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3256" windowHeight="11856"/>
  </bookViews>
  <sheets>
    <sheet name="TDSheet" sheetId="1" r:id="rId1"/>
  </sheets>
  <definedNames>
    <definedName name="_xlnm._FilterDatabase" localSheetId="0" hidden="1">TDSheet!$A$5:$AE$6350</definedName>
  </definedNames>
  <calcPr calcId="144525"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6350" i="1" l="1"/>
  <c r="T6350" i="1"/>
  <c r="P6350" i="1"/>
  <c r="O6350" i="1"/>
  <c r="N6350" i="1"/>
  <c r="AA6348" i="1"/>
  <c r="T6348" i="1"/>
  <c r="P6348" i="1"/>
  <c r="O6348" i="1"/>
  <c r="N6348" i="1"/>
  <c r="AA6346" i="1"/>
  <c r="T6346" i="1"/>
  <c r="P6346" i="1"/>
  <c r="O6346" i="1"/>
  <c r="N6346" i="1"/>
  <c r="AA6345" i="1"/>
  <c r="T6345" i="1"/>
  <c r="P6345" i="1"/>
  <c r="O6345" i="1"/>
  <c r="N6345" i="1"/>
  <c r="AA6344" i="1"/>
  <c r="T6344" i="1"/>
  <c r="P6344" i="1"/>
  <c r="O6344" i="1"/>
  <c r="N6344" i="1"/>
  <c r="AA6343" i="1"/>
  <c r="T6343" i="1"/>
  <c r="P6343" i="1"/>
  <c r="O6343" i="1"/>
  <c r="N6343" i="1"/>
  <c r="AA6341" i="1"/>
  <c r="T6341" i="1"/>
  <c r="P6341" i="1"/>
  <c r="O6341" i="1"/>
  <c r="N6341" i="1"/>
  <c r="AA6340" i="1"/>
  <c r="T6340" i="1"/>
  <c r="P6340" i="1"/>
  <c r="O6340" i="1"/>
  <c r="N6340" i="1"/>
  <c r="AA6338" i="1"/>
  <c r="T6338" i="1"/>
  <c r="P6338" i="1"/>
  <c r="O6338" i="1"/>
  <c r="N6338" i="1"/>
  <c r="AA6337" i="1"/>
  <c r="T6337" i="1"/>
  <c r="P6337" i="1"/>
  <c r="O6337" i="1"/>
  <c r="N6337" i="1"/>
  <c r="AA6336" i="1"/>
  <c r="T6336" i="1"/>
  <c r="P6336" i="1"/>
  <c r="O6336" i="1"/>
  <c r="N6336" i="1"/>
  <c r="AA6335" i="1"/>
  <c r="T6335" i="1"/>
  <c r="P6335" i="1"/>
  <c r="O6335" i="1"/>
  <c r="N6335" i="1"/>
  <c r="AA6334" i="1"/>
  <c r="T6334" i="1"/>
  <c r="P6334" i="1"/>
  <c r="O6334" i="1"/>
  <c r="N6334" i="1"/>
  <c r="AA6332" i="1"/>
  <c r="T6332" i="1"/>
  <c r="P6332" i="1"/>
  <c r="O6332" i="1"/>
  <c r="N6332" i="1"/>
  <c r="AA6331" i="1"/>
  <c r="T6331" i="1"/>
  <c r="P6331" i="1"/>
  <c r="O6331" i="1"/>
  <c r="N6331" i="1"/>
  <c r="AA6330" i="1"/>
  <c r="T6330" i="1"/>
  <c r="P6330" i="1"/>
  <c r="O6330" i="1"/>
  <c r="N6330" i="1"/>
  <c r="AA6329" i="1"/>
  <c r="T6329" i="1"/>
  <c r="P6329" i="1"/>
  <c r="O6329" i="1"/>
  <c r="N6329" i="1"/>
  <c r="AA6328" i="1"/>
  <c r="T6328" i="1"/>
  <c r="P6328" i="1"/>
  <c r="O6328" i="1"/>
  <c r="N6328" i="1"/>
  <c r="AA6327" i="1"/>
  <c r="T6327" i="1"/>
  <c r="P6327" i="1"/>
  <c r="O6327" i="1"/>
  <c r="N6327" i="1"/>
  <c r="AA6326" i="1"/>
  <c r="T6326" i="1"/>
  <c r="P6326" i="1"/>
  <c r="O6326" i="1"/>
  <c r="N6326" i="1"/>
  <c r="AA6325" i="1"/>
  <c r="T6325" i="1"/>
  <c r="P6325" i="1"/>
  <c r="O6325" i="1"/>
  <c r="N6325" i="1"/>
  <c r="AA6324" i="1"/>
  <c r="T6324" i="1"/>
  <c r="P6324" i="1"/>
  <c r="O6324" i="1"/>
  <c r="N6324" i="1"/>
  <c r="AA6323" i="1"/>
  <c r="T6323" i="1"/>
  <c r="P6323" i="1"/>
  <c r="O6323" i="1"/>
  <c r="N6323" i="1"/>
  <c r="AA6322" i="1"/>
  <c r="T6322" i="1"/>
  <c r="P6322" i="1"/>
  <c r="O6322" i="1"/>
  <c r="N6322" i="1"/>
  <c r="AA6321" i="1"/>
  <c r="T6321" i="1"/>
  <c r="P6321" i="1"/>
  <c r="O6321" i="1"/>
  <c r="N6321" i="1"/>
  <c r="AA6320" i="1"/>
  <c r="T6320" i="1"/>
  <c r="P6320" i="1"/>
  <c r="O6320" i="1"/>
  <c r="N6320" i="1"/>
  <c r="AA6319" i="1"/>
  <c r="T6319" i="1"/>
  <c r="P6319" i="1"/>
  <c r="O6319" i="1"/>
  <c r="N6319" i="1"/>
  <c r="AA6318" i="1"/>
  <c r="T6318" i="1"/>
  <c r="P6318" i="1"/>
  <c r="O6318" i="1"/>
  <c r="N6318" i="1"/>
  <c r="AA6317" i="1"/>
  <c r="T6317" i="1"/>
  <c r="P6317" i="1"/>
  <c r="O6317" i="1"/>
  <c r="N6317" i="1"/>
  <c r="AA6316" i="1"/>
  <c r="T6316" i="1"/>
  <c r="P6316" i="1"/>
  <c r="O6316" i="1"/>
  <c r="N6316" i="1"/>
  <c r="AA6315" i="1"/>
  <c r="T6315" i="1"/>
  <c r="P6315" i="1"/>
  <c r="O6315" i="1"/>
  <c r="N6315" i="1"/>
  <c r="AA6314" i="1"/>
  <c r="T6314" i="1"/>
  <c r="P6314" i="1"/>
  <c r="O6314" i="1"/>
  <c r="N6314" i="1"/>
  <c r="AA6313" i="1"/>
  <c r="T6313" i="1"/>
  <c r="P6313" i="1"/>
  <c r="O6313" i="1"/>
  <c r="N6313" i="1"/>
  <c r="AA6312" i="1"/>
  <c r="T6312" i="1"/>
  <c r="P6312" i="1"/>
  <c r="O6312" i="1"/>
  <c r="N6312" i="1"/>
  <c r="AA6311" i="1"/>
  <c r="T6311" i="1"/>
  <c r="P6311" i="1"/>
  <c r="O6311" i="1"/>
  <c r="N6311" i="1"/>
  <c r="AA6307" i="1"/>
  <c r="T6307" i="1"/>
  <c r="P6307" i="1"/>
  <c r="O6307" i="1"/>
  <c r="N6307" i="1"/>
  <c r="AA6306" i="1"/>
  <c r="T6306" i="1"/>
  <c r="P6306" i="1"/>
  <c r="O6306" i="1"/>
  <c r="N6306" i="1"/>
  <c r="AA6304" i="1"/>
  <c r="T6304" i="1"/>
  <c r="P6304" i="1"/>
  <c r="O6304" i="1"/>
  <c r="N6304" i="1"/>
  <c r="AA6303" i="1"/>
  <c r="T6303" i="1"/>
  <c r="P6303" i="1"/>
  <c r="O6303" i="1"/>
  <c r="N6303" i="1"/>
  <c r="AA6300" i="1"/>
  <c r="T6300" i="1"/>
  <c r="P6300" i="1"/>
  <c r="O6300" i="1"/>
  <c r="N6300" i="1"/>
  <c r="AA6298" i="1"/>
  <c r="T6298" i="1"/>
  <c r="P6298" i="1"/>
  <c r="O6298" i="1"/>
  <c r="N6298" i="1"/>
  <c r="AA6297" i="1"/>
  <c r="T6297" i="1"/>
  <c r="P6297" i="1"/>
  <c r="O6297" i="1"/>
  <c r="N6297" i="1"/>
  <c r="AA6296" i="1"/>
  <c r="T6296" i="1"/>
  <c r="P6296" i="1"/>
  <c r="O6296" i="1"/>
  <c r="N6296" i="1"/>
  <c r="AA6294" i="1"/>
  <c r="T6294" i="1"/>
  <c r="P6294" i="1"/>
  <c r="O6294" i="1"/>
  <c r="N6294" i="1"/>
  <c r="AA6293" i="1"/>
  <c r="T6293" i="1"/>
  <c r="P6293" i="1"/>
  <c r="O6293" i="1"/>
  <c r="N6293" i="1"/>
  <c r="AA6290" i="1"/>
  <c r="T6290" i="1"/>
  <c r="P6290" i="1"/>
  <c r="O6290" i="1"/>
  <c r="N6290" i="1"/>
  <c r="AA6289" i="1"/>
  <c r="T6289" i="1"/>
  <c r="P6289" i="1"/>
  <c r="O6289" i="1"/>
  <c r="N6289" i="1"/>
  <c r="AA6288" i="1"/>
  <c r="T6288" i="1"/>
  <c r="P6288" i="1"/>
  <c r="O6288" i="1"/>
  <c r="N6288" i="1"/>
  <c r="AA6287" i="1"/>
  <c r="T6287" i="1"/>
  <c r="P6287" i="1"/>
  <c r="O6287" i="1"/>
  <c r="N6287" i="1"/>
  <c r="AA6286" i="1"/>
  <c r="T6286" i="1"/>
  <c r="P6286" i="1"/>
  <c r="O6286" i="1"/>
  <c r="N6286" i="1"/>
  <c r="AA6284" i="1"/>
  <c r="T6284" i="1"/>
  <c r="P6284" i="1"/>
  <c r="O6284" i="1"/>
  <c r="N6284" i="1"/>
  <c r="AA6282" i="1"/>
  <c r="T6282" i="1"/>
  <c r="P6282" i="1"/>
  <c r="O6282" i="1"/>
  <c r="N6282" i="1"/>
  <c r="AA6281" i="1"/>
  <c r="T6281" i="1"/>
  <c r="P6281" i="1"/>
  <c r="O6281" i="1"/>
  <c r="N6281" i="1"/>
  <c r="AA6280" i="1"/>
  <c r="T6280" i="1"/>
  <c r="P6280" i="1"/>
  <c r="O6280" i="1"/>
  <c r="N6280" i="1"/>
  <c r="AA6277" i="1"/>
  <c r="T6277" i="1"/>
  <c r="P6277" i="1"/>
  <c r="O6277" i="1"/>
  <c r="N6277" i="1"/>
  <c r="AA6276" i="1"/>
  <c r="T6276" i="1"/>
  <c r="P6276" i="1"/>
  <c r="O6276" i="1"/>
  <c r="N6276" i="1"/>
  <c r="AA6272" i="1"/>
  <c r="T6272" i="1"/>
  <c r="P6272" i="1"/>
  <c r="O6272" i="1"/>
  <c r="N6272" i="1"/>
  <c r="AA6270" i="1"/>
  <c r="T6270" i="1"/>
  <c r="P6270" i="1"/>
  <c r="O6270" i="1"/>
  <c r="N6270" i="1"/>
  <c r="AA6269" i="1"/>
  <c r="T6269" i="1"/>
  <c r="P6269" i="1"/>
  <c r="O6269" i="1"/>
  <c r="N6269" i="1"/>
  <c r="AA6266" i="1"/>
  <c r="T6266" i="1"/>
  <c r="P6266" i="1"/>
  <c r="O6266" i="1"/>
  <c r="N6266" i="1"/>
  <c r="AA6265" i="1"/>
  <c r="T6265" i="1"/>
  <c r="P6265" i="1"/>
  <c r="O6265" i="1"/>
  <c r="N6265" i="1"/>
  <c r="AA6262" i="1"/>
  <c r="T6262" i="1"/>
  <c r="P6262" i="1"/>
  <c r="O6262" i="1"/>
  <c r="N6262" i="1"/>
  <c r="AA6260" i="1"/>
  <c r="T6260" i="1"/>
  <c r="P6260" i="1"/>
  <c r="O6260" i="1"/>
  <c r="N6260" i="1"/>
  <c r="AA6259" i="1"/>
  <c r="T6259" i="1"/>
  <c r="P6259" i="1"/>
  <c r="O6259" i="1"/>
  <c r="N6259" i="1"/>
  <c r="AA6257" i="1"/>
  <c r="T6257" i="1"/>
  <c r="P6257" i="1"/>
  <c r="O6257" i="1"/>
  <c r="N6257" i="1"/>
  <c r="AA6256" i="1"/>
  <c r="T6256" i="1"/>
  <c r="P6256" i="1"/>
  <c r="O6256" i="1"/>
  <c r="N6256" i="1"/>
  <c r="AA6255" i="1"/>
  <c r="T6255" i="1"/>
  <c r="P6255" i="1"/>
  <c r="O6255" i="1"/>
  <c r="N6255" i="1"/>
  <c r="AA6254" i="1"/>
  <c r="T6254" i="1"/>
  <c r="P6254" i="1"/>
  <c r="O6254" i="1"/>
  <c r="N6254" i="1"/>
  <c r="AA6253" i="1"/>
  <c r="T6253" i="1"/>
  <c r="P6253" i="1"/>
  <c r="O6253" i="1"/>
  <c r="N6253" i="1"/>
  <c r="AA6252" i="1"/>
  <c r="T6252" i="1"/>
  <c r="P6252" i="1"/>
  <c r="O6252" i="1"/>
  <c r="N6252" i="1"/>
  <c r="AA6251" i="1"/>
  <c r="T6251" i="1"/>
  <c r="P6251" i="1"/>
  <c r="O6251" i="1"/>
  <c r="N6251" i="1"/>
  <c r="AA6250" i="1"/>
  <c r="T6250" i="1"/>
  <c r="P6250" i="1"/>
  <c r="O6250" i="1"/>
  <c r="N6250" i="1"/>
  <c r="AA6249" i="1"/>
  <c r="T6249" i="1"/>
  <c r="P6249" i="1"/>
  <c r="O6249" i="1"/>
  <c r="N6249" i="1"/>
  <c r="AA6247" i="1"/>
  <c r="T6247" i="1"/>
  <c r="P6247" i="1"/>
  <c r="O6247" i="1"/>
  <c r="N6247" i="1"/>
  <c r="AA6246" i="1"/>
  <c r="T6246" i="1"/>
  <c r="P6246" i="1"/>
  <c r="O6246" i="1"/>
  <c r="N6246" i="1"/>
  <c r="AA6244" i="1"/>
  <c r="T6244" i="1"/>
  <c r="P6244" i="1"/>
  <c r="O6244" i="1"/>
  <c r="N6244" i="1"/>
  <c r="AA6243" i="1"/>
  <c r="T6243" i="1"/>
  <c r="P6243" i="1"/>
  <c r="O6243" i="1"/>
  <c r="N6243" i="1"/>
  <c r="AA6241" i="1"/>
  <c r="T6241" i="1"/>
  <c r="P6241" i="1"/>
  <c r="O6241" i="1"/>
  <c r="N6241" i="1"/>
  <c r="AA6240" i="1"/>
  <c r="T6240" i="1"/>
  <c r="P6240" i="1"/>
  <c r="O6240" i="1"/>
  <c r="N6240" i="1"/>
  <c r="AA6239" i="1"/>
  <c r="T6239" i="1"/>
  <c r="P6239" i="1"/>
  <c r="O6239" i="1"/>
  <c r="N6239" i="1"/>
  <c r="AA6238" i="1"/>
  <c r="T6238" i="1"/>
  <c r="P6238" i="1"/>
  <c r="O6238" i="1"/>
  <c r="N6238" i="1"/>
  <c r="AA6237" i="1"/>
  <c r="T6237" i="1"/>
  <c r="P6237" i="1"/>
  <c r="O6237" i="1"/>
  <c r="N6237" i="1"/>
  <c r="AA6236" i="1"/>
  <c r="T6236" i="1"/>
  <c r="P6236" i="1"/>
  <c r="O6236" i="1"/>
  <c r="N6236" i="1"/>
  <c r="AA6233" i="1"/>
  <c r="T6233" i="1"/>
  <c r="P6233" i="1"/>
  <c r="O6233" i="1"/>
  <c r="N6233" i="1"/>
  <c r="AA6232" i="1"/>
  <c r="T6232" i="1"/>
  <c r="P6232" i="1"/>
  <c r="O6232" i="1"/>
  <c r="N6232" i="1"/>
  <c r="AA6231" i="1"/>
  <c r="T6231" i="1"/>
  <c r="P6231" i="1"/>
  <c r="O6231" i="1"/>
  <c r="N6231" i="1"/>
  <c r="AA6230" i="1"/>
  <c r="T6230" i="1"/>
  <c r="P6230" i="1"/>
  <c r="O6230" i="1"/>
  <c r="N6230" i="1"/>
  <c r="AA6229" i="1"/>
  <c r="T6229" i="1"/>
  <c r="P6229" i="1"/>
  <c r="O6229" i="1"/>
  <c r="N6229" i="1"/>
  <c r="AA6228" i="1"/>
  <c r="T6228" i="1"/>
  <c r="P6228" i="1"/>
  <c r="O6228" i="1"/>
  <c r="N6228" i="1"/>
  <c r="AA6227" i="1"/>
  <c r="T6227" i="1"/>
  <c r="P6227" i="1"/>
  <c r="O6227" i="1"/>
  <c r="N6227" i="1"/>
  <c r="AA6225" i="1"/>
  <c r="T6225" i="1"/>
  <c r="P6225" i="1"/>
  <c r="O6225" i="1"/>
  <c r="N6225" i="1"/>
  <c r="AA6224" i="1"/>
  <c r="T6224" i="1"/>
  <c r="P6224" i="1"/>
  <c r="O6224" i="1"/>
  <c r="N6224" i="1"/>
  <c r="AA6223" i="1"/>
  <c r="T6223" i="1"/>
  <c r="P6223" i="1"/>
  <c r="O6223" i="1"/>
  <c r="N6223" i="1"/>
  <c r="AA6222" i="1"/>
  <c r="T6222" i="1"/>
  <c r="P6222" i="1"/>
  <c r="O6222" i="1"/>
  <c r="N6222" i="1"/>
  <c r="AA6220" i="1"/>
  <c r="T6220" i="1"/>
  <c r="P6220" i="1"/>
  <c r="O6220" i="1"/>
  <c r="N6220" i="1"/>
  <c r="AA6219" i="1"/>
  <c r="T6219" i="1"/>
  <c r="P6219" i="1"/>
  <c r="O6219" i="1"/>
  <c r="N6219" i="1"/>
  <c r="AA6218" i="1"/>
  <c r="T6218" i="1"/>
  <c r="P6218" i="1"/>
  <c r="O6218" i="1"/>
  <c r="N6218" i="1"/>
  <c r="AA6217" i="1"/>
  <c r="T6217" i="1"/>
  <c r="P6217" i="1"/>
  <c r="O6217" i="1"/>
  <c r="N6217" i="1"/>
  <c r="AA6216" i="1"/>
  <c r="T6216" i="1"/>
  <c r="P6216" i="1"/>
  <c r="O6216" i="1"/>
  <c r="N6216" i="1"/>
  <c r="AA6214" i="1"/>
  <c r="T6214" i="1"/>
  <c r="P6214" i="1"/>
  <c r="O6214" i="1"/>
  <c r="N6214" i="1"/>
  <c r="AA6213" i="1"/>
  <c r="T6213" i="1"/>
  <c r="P6213" i="1"/>
  <c r="O6213" i="1"/>
  <c r="N6213" i="1"/>
  <c r="AA6212" i="1"/>
  <c r="T6212" i="1"/>
  <c r="P6212" i="1"/>
  <c r="O6212" i="1"/>
  <c r="N6212" i="1"/>
  <c r="AA6211" i="1"/>
  <c r="T6211" i="1"/>
  <c r="P6211" i="1"/>
  <c r="O6211" i="1"/>
  <c r="N6211" i="1"/>
  <c r="AA6210" i="1"/>
  <c r="T6210" i="1"/>
  <c r="P6210" i="1"/>
  <c r="O6210" i="1"/>
  <c r="N6210" i="1"/>
  <c r="AA6209" i="1"/>
  <c r="T6209" i="1"/>
  <c r="P6209" i="1"/>
  <c r="O6209" i="1"/>
  <c r="N6209" i="1"/>
  <c r="AA6208" i="1"/>
  <c r="T6208" i="1"/>
  <c r="P6208" i="1"/>
  <c r="O6208" i="1"/>
  <c r="N6208" i="1"/>
  <c r="AA6207" i="1"/>
  <c r="T6207" i="1"/>
  <c r="P6207" i="1"/>
  <c r="O6207" i="1"/>
  <c r="N6207" i="1"/>
  <c r="AA6206" i="1"/>
  <c r="T6206" i="1"/>
  <c r="P6206" i="1"/>
  <c r="O6206" i="1"/>
  <c r="N6206" i="1"/>
  <c r="P6205" i="1"/>
  <c r="O6205" i="1"/>
  <c r="N6205" i="1"/>
  <c r="AA6204" i="1"/>
  <c r="T6204" i="1"/>
  <c r="P6204" i="1"/>
  <c r="O6204" i="1"/>
  <c r="N6204" i="1"/>
  <c r="AA6203" i="1"/>
  <c r="T6203" i="1"/>
  <c r="P6203" i="1"/>
  <c r="O6203" i="1"/>
  <c r="N6203" i="1"/>
  <c r="AA6202" i="1"/>
  <c r="T6202" i="1"/>
  <c r="P6202" i="1"/>
  <c r="O6202" i="1"/>
  <c r="N6202" i="1"/>
  <c r="AA6201" i="1"/>
  <c r="T6201" i="1"/>
  <c r="P6201" i="1"/>
  <c r="O6201" i="1"/>
  <c r="N6201" i="1"/>
  <c r="AA6200" i="1"/>
  <c r="T6200" i="1"/>
  <c r="P6200" i="1"/>
  <c r="O6200" i="1"/>
  <c r="N6200" i="1"/>
  <c r="AA6199" i="1"/>
  <c r="T6199" i="1"/>
  <c r="P6199" i="1"/>
  <c r="O6199" i="1"/>
  <c r="N6199" i="1"/>
  <c r="AA6198" i="1"/>
  <c r="T6198" i="1"/>
  <c r="P6198" i="1"/>
  <c r="O6198" i="1"/>
  <c r="N6198" i="1"/>
  <c r="AA6197" i="1"/>
  <c r="T6197" i="1"/>
  <c r="P6197" i="1"/>
  <c r="O6197" i="1"/>
  <c r="N6197" i="1"/>
  <c r="AA6196" i="1"/>
  <c r="T6196" i="1"/>
  <c r="P6196" i="1"/>
  <c r="O6196" i="1"/>
  <c r="N6196" i="1"/>
  <c r="AA6195" i="1"/>
  <c r="T6195" i="1"/>
  <c r="P6195" i="1"/>
  <c r="O6195" i="1"/>
  <c r="N6195" i="1"/>
  <c r="AA6194" i="1"/>
  <c r="T6194" i="1"/>
  <c r="P6194" i="1"/>
  <c r="O6194" i="1"/>
  <c r="N6194" i="1"/>
  <c r="AA6193" i="1"/>
  <c r="T6193" i="1"/>
  <c r="P6193" i="1"/>
  <c r="O6193" i="1"/>
  <c r="N6193" i="1"/>
  <c r="AA6192" i="1"/>
  <c r="T6192" i="1"/>
  <c r="P6192" i="1"/>
  <c r="O6192" i="1"/>
  <c r="N6192" i="1"/>
  <c r="AA6191" i="1"/>
  <c r="T6191" i="1"/>
  <c r="P6191" i="1"/>
  <c r="O6191" i="1"/>
  <c r="N6191" i="1"/>
  <c r="AA6190" i="1"/>
  <c r="T6190" i="1"/>
  <c r="P6190" i="1"/>
  <c r="O6190" i="1"/>
  <c r="N6190" i="1"/>
  <c r="AA6189" i="1"/>
  <c r="T6189" i="1"/>
  <c r="P6189" i="1"/>
  <c r="O6189" i="1"/>
  <c r="N6189" i="1"/>
  <c r="AA6188" i="1"/>
  <c r="T6188" i="1"/>
  <c r="P6188" i="1"/>
  <c r="O6188" i="1"/>
  <c r="N6188" i="1"/>
  <c r="AA6187" i="1"/>
  <c r="T6187" i="1"/>
  <c r="P6187" i="1"/>
  <c r="O6187" i="1"/>
  <c r="N6187" i="1"/>
  <c r="AA6186" i="1"/>
  <c r="T6186" i="1"/>
  <c r="P6186" i="1"/>
  <c r="O6186" i="1"/>
  <c r="N6186" i="1"/>
  <c r="AA6185" i="1"/>
  <c r="T6185" i="1"/>
  <c r="P6185" i="1"/>
  <c r="O6185" i="1"/>
  <c r="N6185" i="1"/>
  <c r="AA6184" i="1"/>
  <c r="T6184" i="1"/>
  <c r="P6184" i="1"/>
  <c r="O6184" i="1"/>
  <c r="N6184" i="1"/>
  <c r="AA6183" i="1"/>
  <c r="T6183" i="1"/>
  <c r="P6183" i="1"/>
  <c r="O6183" i="1"/>
  <c r="N6183" i="1"/>
  <c r="AA6182" i="1"/>
  <c r="T6182" i="1"/>
  <c r="P6182" i="1"/>
  <c r="O6182" i="1"/>
  <c r="N6182" i="1"/>
  <c r="AA6181" i="1"/>
  <c r="T6181" i="1"/>
  <c r="P6181" i="1"/>
  <c r="O6181" i="1"/>
  <c r="N6181" i="1"/>
  <c r="AA6180" i="1"/>
  <c r="T6180" i="1"/>
  <c r="P6180" i="1"/>
  <c r="O6180" i="1"/>
  <c r="N6180" i="1"/>
  <c r="AA6179" i="1"/>
  <c r="T6179" i="1"/>
  <c r="P6179" i="1"/>
  <c r="O6179" i="1"/>
  <c r="N6179" i="1"/>
  <c r="AA6177" i="1"/>
  <c r="T6177" i="1"/>
  <c r="P6177" i="1"/>
  <c r="O6177" i="1"/>
  <c r="N6177" i="1"/>
  <c r="AA6176" i="1"/>
  <c r="T6176" i="1"/>
  <c r="P6176" i="1"/>
  <c r="O6176" i="1"/>
  <c r="N6176" i="1"/>
  <c r="AA6175" i="1"/>
  <c r="T6175" i="1"/>
  <c r="P6175" i="1"/>
  <c r="O6175" i="1"/>
  <c r="N6175" i="1"/>
  <c r="AA6174" i="1"/>
  <c r="T6174" i="1"/>
  <c r="P6174" i="1"/>
  <c r="O6174" i="1"/>
  <c r="N6174" i="1"/>
  <c r="AA6171" i="1"/>
  <c r="T6171" i="1"/>
  <c r="P6171" i="1"/>
  <c r="O6171" i="1"/>
  <c r="N6171" i="1"/>
  <c r="AA6169" i="1"/>
  <c r="T6169" i="1"/>
  <c r="P6169" i="1"/>
  <c r="O6169" i="1"/>
  <c r="N6169" i="1"/>
  <c r="AA6168" i="1"/>
  <c r="T6168" i="1"/>
  <c r="P6168" i="1"/>
  <c r="O6168" i="1"/>
  <c r="N6168" i="1"/>
  <c r="AA6167" i="1"/>
  <c r="T6167" i="1"/>
  <c r="P6167" i="1"/>
  <c r="O6167" i="1"/>
  <c r="N6167" i="1"/>
  <c r="AA6165" i="1"/>
  <c r="T6165" i="1"/>
  <c r="P6165" i="1"/>
  <c r="O6165" i="1"/>
  <c r="N6165" i="1"/>
  <c r="AA6163" i="1"/>
  <c r="T6163" i="1"/>
  <c r="P6163" i="1"/>
  <c r="O6163" i="1"/>
  <c r="N6163" i="1"/>
  <c r="AA6162" i="1"/>
  <c r="T6162" i="1"/>
  <c r="P6162" i="1"/>
  <c r="O6162" i="1"/>
  <c r="N6162" i="1"/>
  <c r="AA6161" i="1"/>
  <c r="T6161" i="1"/>
  <c r="P6161" i="1"/>
  <c r="O6161" i="1"/>
  <c r="N6161" i="1"/>
  <c r="AA6160" i="1"/>
  <c r="T6160" i="1"/>
  <c r="P6160" i="1"/>
  <c r="O6160" i="1"/>
  <c r="N6160" i="1"/>
  <c r="AA6159" i="1"/>
  <c r="T6159" i="1"/>
  <c r="P6159" i="1"/>
  <c r="O6159" i="1"/>
  <c r="N6159" i="1"/>
  <c r="AA6158" i="1"/>
  <c r="T6158" i="1"/>
  <c r="P6158" i="1"/>
  <c r="O6158" i="1"/>
  <c r="N6158" i="1"/>
  <c r="AA6157" i="1"/>
  <c r="T6157" i="1"/>
  <c r="P6157" i="1"/>
  <c r="O6157" i="1"/>
  <c r="N6157" i="1"/>
  <c r="AA6156" i="1"/>
  <c r="T6156" i="1"/>
  <c r="P6156" i="1"/>
  <c r="O6156" i="1"/>
  <c r="N6156" i="1"/>
  <c r="AA6155" i="1"/>
  <c r="T6155" i="1"/>
  <c r="P6155" i="1"/>
  <c r="O6155" i="1"/>
  <c r="N6155" i="1"/>
  <c r="AA6154" i="1"/>
  <c r="T6154" i="1"/>
  <c r="P6154" i="1"/>
  <c r="O6154" i="1"/>
  <c r="N6154" i="1"/>
  <c r="AA6153" i="1"/>
  <c r="T6153" i="1"/>
  <c r="P6153" i="1"/>
  <c r="O6153" i="1"/>
  <c r="N6153" i="1"/>
  <c r="AA6152" i="1"/>
  <c r="T6152" i="1"/>
  <c r="P6152" i="1"/>
  <c r="O6152" i="1"/>
  <c r="N6152" i="1"/>
  <c r="AA6151" i="1"/>
  <c r="T6151" i="1"/>
  <c r="P6151" i="1"/>
  <c r="O6151" i="1"/>
  <c r="N6151" i="1"/>
  <c r="AA6150" i="1"/>
  <c r="T6150" i="1"/>
  <c r="P6150" i="1"/>
  <c r="O6150" i="1"/>
  <c r="N6150" i="1"/>
  <c r="AA6149" i="1"/>
  <c r="T6149" i="1"/>
  <c r="P6149" i="1"/>
  <c r="O6149" i="1"/>
  <c r="N6149" i="1"/>
  <c r="AA6148" i="1"/>
  <c r="T6148" i="1"/>
  <c r="P6148" i="1"/>
  <c r="O6148" i="1"/>
  <c r="N6148" i="1"/>
  <c r="AA6147" i="1"/>
  <c r="T6147" i="1"/>
  <c r="P6147" i="1"/>
  <c r="O6147" i="1"/>
  <c r="N6147" i="1"/>
  <c r="AA6146" i="1"/>
  <c r="T6146" i="1"/>
  <c r="P6146" i="1"/>
  <c r="O6146" i="1"/>
  <c r="N6146" i="1"/>
  <c r="AA6145" i="1"/>
  <c r="T6145" i="1"/>
  <c r="P6145" i="1"/>
  <c r="O6145" i="1"/>
  <c r="N6145" i="1"/>
  <c r="AA6144" i="1"/>
  <c r="T6144" i="1"/>
  <c r="P6144" i="1"/>
  <c r="O6144" i="1"/>
  <c r="N6144" i="1"/>
  <c r="AA6143" i="1"/>
  <c r="T6143" i="1"/>
  <c r="P6143" i="1"/>
  <c r="O6143" i="1"/>
  <c r="N6143" i="1"/>
  <c r="AA6142" i="1"/>
  <c r="T6142" i="1"/>
  <c r="P6142" i="1"/>
  <c r="O6142" i="1"/>
  <c r="N6142" i="1"/>
  <c r="AA6141" i="1"/>
  <c r="T6141" i="1"/>
  <c r="P6141" i="1"/>
  <c r="O6141" i="1"/>
  <c r="N6141" i="1"/>
  <c r="AA6140" i="1"/>
  <c r="T6140" i="1"/>
  <c r="P6140" i="1"/>
  <c r="O6140" i="1"/>
  <c r="N6140" i="1"/>
  <c r="AA6139" i="1"/>
  <c r="T6139" i="1"/>
  <c r="P6139" i="1"/>
  <c r="O6139" i="1"/>
  <c r="N6139" i="1"/>
  <c r="AA6138" i="1"/>
  <c r="T6138" i="1"/>
  <c r="P6138" i="1"/>
  <c r="O6138" i="1"/>
  <c r="N6138" i="1"/>
  <c r="AA6137" i="1"/>
  <c r="T6137" i="1"/>
  <c r="P6137" i="1"/>
  <c r="O6137" i="1"/>
  <c r="N6137" i="1"/>
  <c r="AA6136" i="1"/>
  <c r="T6136" i="1"/>
  <c r="P6136" i="1"/>
  <c r="O6136" i="1"/>
  <c r="N6136" i="1"/>
  <c r="AA6135" i="1"/>
  <c r="T6135" i="1"/>
  <c r="P6135" i="1"/>
  <c r="O6135" i="1"/>
  <c r="N6135" i="1"/>
  <c r="AA6134" i="1"/>
  <c r="T6134" i="1"/>
  <c r="P6134" i="1"/>
  <c r="O6134" i="1"/>
  <c r="N6134" i="1"/>
  <c r="AA6133" i="1"/>
  <c r="T6133" i="1"/>
  <c r="P6133" i="1"/>
  <c r="O6133" i="1"/>
  <c r="N6133" i="1"/>
  <c r="AA6132" i="1"/>
  <c r="T6132" i="1"/>
  <c r="P6132" i="1"/>
  <c r="O6132" i="1"/>
  <c r="N6132" i="1"/>
  <c r="AA6131" i="1"/>
  <c r="T6131" i="1"/>
  <c r="P6131" i="1"/>
  <c r="O6131" i="1"/>
  <c r="N6131" i="1"/>
  <c r="AA6130" i="1"/>
  <c r="T6130" i="1"/>
  <c r="P6130" i="1"/>
  <c r="O6130" i="1"/>
  <c r="N6130" i="1"/>
  <c r="AA6129" i="1"/>
  <c r="T6129" i="1"/>
  <c r="P6129" i="1"/>
  <c r="O6129" i="1"/>
  <c r="N6129" i="1"/>
  <c r="AA6127" i="1"/>
  <c r="T6127" i="1"/>
  <c r="P6127" i="1"/>
  <c r="O6127" i="1"/>
  <c r="N6127" i="1"/>
  <c r="AA6126" i="1"/>
  <c r="T6126" i="1"/>
  <c r="P6126" i="1"/>
  <c r="O6126" i="1"/>
  <c r="N6126" i="1"/>
  <c r="AA6125" i="1"/>
  <c r="T6125" i="1"/>
  <c r="P6125" i="1"/>
  <c r="O6125" i="1"/>
  <c r="N6125" i="1"/>
  <c r="AA6124" i="1"/>
  <c r="T6124" i="1"/>
  <c r="P6124" i="1"/>
  <c r="O6124" i="1"/>
  <c r="N6124" i="1"/>
  <c r="AA6123" i="1"/>
  <c r="T6123" i="1"/>
  <c r="P6123" i="1"/>
  <c r="O6123" i="1"/>
  <c r="N6123" i="1"/>
  <c r="AA6122" i="1"/>
  <c r="T6122" i="1"/>
  <c r="P6122" i="1"/>
  <c r="O6122" i="1"/>
  <c r="N6122" i="1"/>
  <c r="AA6121" i="1"/>
  <c r="T6121" i="1"/>
  <c r="P6121" i="1"/>
  <c r="O6121" i="1"/>
  <c r="N6121" i="1"/>
  <c r="AA6120" i="1"/>
  <c r="T6120" i="1"/>
  <c r="P6120" i="1"/>
  <c r="O6120" i="1"/>
  <c r="N6120" i="1"/>
  <c r="AA6119" i="1"/>
  <c r="T6119" i="1"/>
  <c r="P6119" i="1"/>
  <c r="O6119" i="1"/>
  <c r="N6119" i="1"/>
  <c r="AA6118" i="1"/>
  <c r="T6118" i="1"/>
  <c r="P6118" i="1"/>
  <c r="O6118" i="1"/>
  <c r="N6118" i="1"/>
  <c r="AA6117" i="1"/>
  <c r="T6117" i="1"/>
  <c r="P6117" i="1"/>
  <c r="O6117" i="1"/>
  <c r="N6117" i="1"/>
  <c r="AA6116" i="1"/>
  <c r="T6116" i="1"/>
  <c r="P6116" i="1"/>
  <c r="O6116" i="1"/>
  <c r="N6116" i="1"/>
  <c r="AA6112" i="1"/>
  <c r="T6112" i="1"/>
  <c r="P6112" i="1"/>
  <c r="O6112" i="1"/>
  <c r="N6112" i="1"/>
  <c r="AA6111" i="1"/>
  <c r="T6111" i="1"/>
  <c r="P6111" i="1"/>
  <c r="O6111" i="1"/>
  <c r="N6111" i="1"/>
  <c r="AA6109" i="1"/>
  <c r="T6109" i="1"/>
  <c r="P6109" i="1"/>
  <c r="O6109" i="1"/>
  <c r="N6109" i="1"/>
  <c r="AA6108" i="1"/>
  <c r="T6108" i="1"/>
  <c r="P6108" i="1"/>
  <c r="O6108" i="1"/>
  <c r="N6108" i="1"/>
  <c r="AA6106" i="1"/>
  <c r="T6106" i="1"/>
  <c r="P6106" i="1"/>
  <c r="O6106" i="1"/>
  <c r="N6106" i="1"/>
  <c r="AA6105" i="1"/>
  <c r="T6105" i="1"/>
  <c r="P6105" i="1"/>
  <c r="O6105" i="1"/>
  <c r="N6105" i="1"/>
  <c r="AA6104" i="1"/>
  <c r="T6104" i="1"/>
  <c r="P6104" i="1"/>
  <c r="O6104" i="1"/>
  <c r="N6104" i="1"/>
  <c r="AA6103" i="1"/>
  <c r="T6103" i="1"/>
  <c r="P6103" i="1"/>
  <c r="O6103" i="1"/>
  <c r="N6103" i="1"/>
  <c r="AA6102" i="1"/>
  <c r="T6102" i="1"/>
  <c r="P6102" i="1"/>
  <c r="O6102" i="1"/>
  <c r="N6102" i="1"/>
  <c r="AA6101" i="1"/>
  <c r="T6101" i="1"/>
  <c r="P6101" i="1"/>
  <c r="O6101" i="1"/>
  <c r="N6101" i="1"/>
  <c r="AA6100" i="1"/>
  <c r="T6100" i="1"/>
  <c r="P6100" i="1"/>
  <c r="O6100" i="1"/>
  <c r="N6100" i="1"/>
  <c r="AA6097" i="1"/>
  <c r="T6097" i="1"/>
  <c r="P6097" i="1"/>
  <c r="O6097" i="1"/>
  <c r="N6097" i="1"/>
  <c r="AA6096" i="1"/>
  <c r="T6096" i="1"/>
  <c r="P6096" i="1"/>
  <c r="O6096" i="1"/>
  <c r="N6096" i="1"/>
  <c r="AA6095" i="1"/>
  <c r="T6095" i="1"/>
  <c r="P6095" i="1"/>
  <c r="O6095" i="1"/>
  <c r="N6095" i="1"/>
  <c r="AA6094" i="1"/>
  <c r="T6094" i="1"/>
  <c r="P6094" i="1"/>
  <c r="O6094" i="1"/>
  <c r="N6094" i="1"/>
  <c r="AA6093" i="1"/>
  <c r="T6093" i="1"/>
  <c r="P6093" i="1"/>
  <c r="O6093" i="1"/>
  <c r="N6093" i="1"/>
  <c r="AA6092" i="1"/>
  <c r="T6092" i="1"/>
  <c r="P6092" i="1"/>
  <c r="O6092" i="1"/>
  <c r="N6092" i="1"/>
  <c r="AA6091" i="1"/>
  <c r="T6091" i="1"/>
  <c r="P6091" i="1"/>
  <c r="O6091" i="1"/>
  <c r="N6091" i="1"/>
  <c r="AA6090" i="1"/>
  <c r="T6090" i="1"/>
  <c r="P6090" i="1"/>
  <c r="O6090" i="1"/>
  <c r="N6090" i="1"/>
  <c r="AA6087" i="1"/>
  <c r="T6087" i="1"/>
  <c r="P6087" i="1"/>
  <c r="O6087" i="1"/>
  <c r="N6087" i="1"/>
  <c r="AA6086" i="1"/>
  <c r="T6086" i="1"/>
  <c r="P6086" i="1"/>
  <c r="O6086" i="1"/>
  <c r="N6086" i="1"/>
  <c r="AA6085" i="1"/>
  <c r="T6085" i="1"/>
  <c r="P6085" i="1"/>
  <c r="O6085" i="1"/>
  <c r="N6085" i="1"/>
  <c r="AA6083" i="1"/>
  <c r="T6083" i="1"/>
  <c r="P6083" i="1"/>
  <c r="O6083" i="1"/>
  <c r="N6083" i="1"/>
  <c r="AA6078" i="1"/>
  <c r="T6078" i="1"/>
  <c r="P6078" i="1"/>
  <c r="O6078" i="1"/>
  <c r="N6078" i="1"/>
  <c r="AA6077" i="1"/>
  <c r="T6077" i="1"/>
  <c r="P6077" i="1"/>
  <c r="O6077" i="1"/>
  <c r="N6077" i="1"/>
  <c r="AA6076" i="1"/>
  <c r="T6076" i="1"/>
  <c r="P6076" i="1"/>
  <c r="O6076" i="1"/>
  <c r="N6076" i="1"/>
  <c r="AA6075" i="1"/>
  <c r="T6075" i="1"/>
  <c r="P6075" i="1"/>
  <c r="O6075" i="1"/>
  <c r="N6075" i="1"/>
  <c r="AA6074" i="1"/>
  <c r="T6074" i="1"/>
  <c r="P6074" i="1"/>
  <c r="O6074" i="1"/>
  <c r="N6074" i="1"/>
  <c r="AA6073" i="1"/>
  <c r="T6073" i="1"/>
  <c r="P6073" i="1"/>
  <c r="O6073" i="1"/>
  <c r="N6073" i="1"/>
  <c r="AA6072" i="1"/>
  <c r="T6072" i="1"/>
  <c r="P6072" i="1"/>
  <c r="O6072" i="1"/>
  <c r="N6072" i="1"/>
  <c r="AA6071" i="1"/>
  <c r="T6071" i="1"/>
  <c r="P6071" i="1"/>
  <c r="O6071" i="1"/>
  <c r="N6071" i="1"/>
  <c r="AA6070" i="1"/>
  <c r="T6070" i="1"/>
  <c r="P6070" i="1"/>
  <c r="O6070" i="1"/>
  <c r="N6070" i="1"/>
  <c r="AA6069" i="1"/>
  <c r="T6069" i="1"/>
  <c r="P6069" i="1"/>
  <c r="O6069" i="1"/>
  <c r="N6069" i="1"/>
  <c r="AA6068" i="1"/>
  <c r="T6068" i="1"/>
  <c r="P6068" i="1"/>
  <c r="O6068" i="1"/>
  <c r="N6068" i="1"/>
  <c r="AA6067" i="1"/>
  <c r="T6067" i="1"/>
  <c r="P6067" i="1"/>
  <c r="O6067" i="1"/>
  <c r="N6067" i="1"/>
  <c r="AA6066" i="1"/>
  <c r="T6066" i="1"/>
  <c r="P6066" i="1"/>
  <c r="O6066" i="1"/>
  <c r="N6066" i="1"/>
  <c r="AA6065" i="1"/>
  <c r="T6065" i="1"/>
  <c r="P6065" i="1"/>
  <c r="O6065" i="1"/>
  <c r="N6065" i="1"/>
  <c r="AA6064" i="1"/>
  <c r="T6064" i="1"/>
  <c r="P6064" i="1"/>
  <c r="O6064" i="1"/>
  <c r="N6064" i="1"/>
  <c r="AA6062" i="1"/>
  <c r="T6062" i="1"/>
  <c r="N6062" i="1"/>
  <c r="AA6060" i="1"/>
  <c r="T6060" i="1"/>
  <c r="P6060" i="1"/>
  <c r="O6060" i="1"/>
  <c r="N6060" i="1"/>
  <c r="AA6059" i="1"/>
  <c r="T6059" i="1"/>
  <c r="P6059" i="1"/>
  <c r="O6059" i="1"/>
  <c r="N6059" i="1"/>
  <c r="AA6058" i="1"/>
  <c r="T6058" i="1"/>
  <c r="P6058" i="1"/>
  <c r="O6058" i="1"/>
  <c r="N6058" i="1"/>
  <c r="AA6057" i="1"/>
  <c r="T6057" i="1"/>
  <c r="P6057" i="1"/>
  <c r="O6057" i="1"/>
  <c r="N6057" i="1"/>
  <c r="AA6056" i="1"/>
  <c r="T6056" i="1"/>
  <c r="P6056" i="1"/>
  <c r="O6056" i="1"/>
  <c r="N6056" i="1"/>
  <c r="AA6055" i="1"/>
  <c r="T6055" i="1"/>
  <c r="P6055" i="1"/>
  <c r="O6055" i="1"/>
  <c r="N6055" i="1"/>
  <c r="AA6054" i="1"/>
  <c r="T6054" i="1"/>
  <c r="P6054" i="1"/>
  <c r="O6054" i="1"/>
  <c r="N6054" i="1"/>
  <c r="AA6053" i="1"/>
  <c r="T6053" i="1"/>
  <c r="P6053" i="1"/>
  <c r="O6053" i="1"/>
  <c r="N6053" i="1"/>
  <c r="AA6052" i="1"/>
  <c r="T6052" i="1"/>
  <c r="P6052" i="1"/>
  <c r="O6052" i="1"/>
  <c r="N6052" i="1"/>
  <c r="AA6051" i="1"/>
  <c r="T6051" i="1"/>
  <c r="P6051" i="1"/>
  <c r="O6051" i="1"/>
  <c r="N6051" i="1"/>
  <c r="AA6050" i="1"/>
  <c r="T6050" i="1"/>
  <c r="P6050" i="1"/>
  <c r="O6050" i="1"/>
  <c r="N6050" i="1"/>
  <c r="AA6049" i="1"/>
  <c r="T6049" i="1"/>
  <c r="P6049" i="1"/>
  <c r="O6049" i="1"/>
  <c r="N6049" i="1"/>
  <c r="AA6048" i="1"/>
  <c r="T6048" i="1"/>
  <c r="P6048" i="1"/>
  <c r="O6048" i="1"/>
  <c r="N6048" i="1"/>
  <c r="AA6047" i="1"/>
  <c r="T6047" i="1"/>
  <c r="P6047" i="1"/>
  <c r="O6047" i="1"/>
  <c r="N6047" i="1"/>
  <c r="AA6044" i="1"/>
  <c r="T6044" i="1"/>
  <c r="P6044" i="1"/>
  <c r="O6044" i="1"/>
  <c r="N6044" i="1"/>
  <c r="AA6043" i="1"/>
  <c r="T6043" i="1"/>
  <c r="P6043" i="1"/>
  <c r="O6043" i="1"/>
  <c r="N6043" i="1"/>
  <c r="AA6042" i="1"/>
  <c r="T6042" i="1"/>
  <c r="P6042" i="1"/>
  <c r="O6042" i="1"/>
  <c r="N6042" i="1"/>
  <c r="AA6041" i="1"/>
  <c r="T6041" i="1"/>
  <c r="P6041" i="1"/>
  <c r="O6041" i="1"/>
  <c r="N6041" i="1"/>
  <c r="AA6040" i="1"/>
  <c r="T6040" i="1"/>
  <c r="P6040" i="1"/>
  <c r="O6040" i="1"/>
  <c r="N6040" i="1"/>
  <c r="AA6039" i="1"/>
  <c r="T6039" i="1"/>
  <c r="P6039" i="1"/>
  <c r="O6039" i="1"/>
  <c r="N6039" i="1"/>
  <c r="AA6038" i="1"/>
  <c r="T6038" i="1"/>
  <c r="P6038" i="1"/>
  <c r="O6038" i="1"/>
  <c r="N6038" i="1"/>
  <c r="AA6037" i="1"/>
  <c r="T6037" i="1"/>
  <c r="P6037" i="1"/>
  <c r="O6037" i="1"/>
  <c r="N6037" i="1"/>
  <c r="AA6036" i="1"/>
  <c r="T6036" i="1"/>
  <c r="P6036" i="1"/>
  <c r="O6036" i="1"/>
  <c r="N6036" i="1"/>
  <c r="AA6035" i="1"/>
  <c r="T6035" i="1"/>
  <c r="P6035" i="1"/>
  <c r="O6035" i="1"/>
  <c r="N6035" i="1"/>
  <c r="AA6034" i="1"/>
  <c r="T6034" i="1"/>
  <c r="P6034" i="1"/>
  <c r="O6034" i="1"/>
  <c r="N6034" i="1"/>
  <c r="AA6033" i="1"/>
  <c r="T6033" i="1"/>
  <c r="P6033" i="1"/>
  <c r="O6033" i="1"/>
  <c r="N6033" i="1"/>
  <c r="AA6032" i="1"/>
  <c r="T6032" i="1"/>
  <c r="P6032" i="1"/>
  <c r="O6032" i="1"/>
  <c r="N6032" i="1"/>
  <c r="AA6031" i="1"/>
  <c r="T6031" i="1"/>
  <c r="P6031" i="1"/>
  <c r="O6031" i="1"/>
  <c r="N6031" i="1"/>
  <c r="AA6030" i="1"/>
  <c r="T6030" i="1"/>
  <c r="P6030" i="1"/>
  <c r="O6030" i="1"/>
  <c r="N6030" i="1"/>
  <c r="AA6029" i="1"/>
  <c r="T6029" i="1"/>
  <c r="P6029" i="1"/>
  <c r="O6029" i="1"/>
  <c r="N6029" i="1"/>
  <c r="AA6028" i="1"/>
  <c r="T6028" i="1"/>
  <c r="P6028" i="1"/>
  <c r="O6028" i="1"/>
  <c r="N6028" i="1"/>
  <c r="AA6027" i="1"/>
  <c r="T6027" i="1"/>
  <c r="P6027" i="1"/>
  <c r="O6027" i="1"/>
  <c r="N6027" i="1"/>
  <c r="AA6026" i="1"/>
  <c r="T6026" i="1"/>
  <c r="P6026" i="1"/>
  <c r="O6026" i="1"/>
  <c r="N6026" i="1"/>
  <c r="AA6025" i="1"/>
  <c r="T6025" i="1"/>
  <c r="P6025" i="1"/>
  <c r="O6025" i="1"/>
  <c r="N6025" i="1"/>
  <c r="AA6024" i="1"/>
  <c r="T6024" i="1"/>
  <c r="P6024" i="1"/>
  <c r="O6024" i="1"/>
  <c r="N6024" i="1"/>
  <c r="AA6022" i="1"/>
  <c r="T6022" i="1"/>
  <c r="P6022" i="1"/>
  <c r="O6022" i="1"/>
  <c r="N6022" i="1"/>
  <c r="AA6021" i="1"/>
  <c r="T6021" i="1"/>
  <c r="P6021" i="1"/>
  <c r="O6021" i="1"/>
  <c r="N6021" i="1"/>
  <c r="AA6020" i="1"/>
  <c r="T6020" i="1"/>
  <c r="P6020" i="1"/>
  <c r="O6020" i="1"/>
  <c r="N6020" i="1"/>
  <c r="AA6019" i="1"/>
  <c r="T6019" i="1"/>
  <c r="P6019" i="1"/>
  <c r="O6019" i="1"/>
  <c r="N6019" i="1"/>
  <c r="AA6018" i="1"/>
  <c r="T6018" i="1"/>
  <c r="P6018" i="1"/>
  <c r="O6018" i="1"/>
  <c r="N6018" i="1"/>
  <c r="AA6017" i="1"/>
  <c r="T6017" i="1"/>
  <c r="P6017" i="1"/>
  <c r="O6017" i="1"/>
  <c r="N6017" i="1"/>
  <c r="AA6016" i="1"/>
  <c r="T6016" i="1"/>
  <c r="P6016" i="1"/>
  <c r="O6016" i="1"/>
  <c r="N6016" i="1"/>
  <c r="AA6015" i="1"/>
  <c r="T6015" i="1"/>
  <c r="P6015" i="1"/>
  <c r="O6015" i="1"/>
  <c r="N6015" i="1"/>
  <c r="AA6014" i="1"/>
  <c r="T6014" i="1"/>
  <c r="P6014" i="1"/>
  <c r="O6014" i="1"/>
  <c r="N6014" i="1"/>
  <c r="AA6013" i="1"/>
  <c r="T6013" i="1"/>
  <c r="P6013" i="1"/>
  <c r="O6013" i="1"/>
  <c r="N6013" i="1"/>
  <c r="AA6012" i="1"/>
  <c r="T6012" i="1"/>
  <c r="P6012" i="1"/>
  <c r="O6012" i="1"/>
  <c r="N6012" i="1"/>
  <c r="AA6011" i="1"/>
  <c r="T6011" i="1"/>
  <c r="P6011" i="1"/>
  <c r="O6011" i="1"/>
  <c r="N6011" i="1"/>
  <c r="AA6010" i="1"/>
  <c r="T6010" i="1"/>
  <c r="P6010" i="1"/>
  <c r="O6010" i="1"/>
  <c r="N6010" i="1"/>
  <c r="AA6009" i="1"/>
  <c r="T6009" i="1"/>
  <c r="P6009" i="1"/>
  <c r="O6009" i="1"/>
  <c r="N6009" i="1"/>
  <c r="AA6008" i="1"/>
  <c r="T6008" i="1"/>
  <c r="P6008" i="1"/>
  <c r="O6008" i="1"/>
  <c r="N6008" i="1"/>
  <c r="AA6007" i="1"/>
  <c r="T6007" i="1"/>
  <c r="P6007" i="1"/>
  <c r="O6007" i="1"/>
  <c r="N6007" i="1"/>
  <c r="AA6006" i="1"/>
  <c r="T6006" i="1"/>
  <c r="P6006" i="1"/>
  <c r="O6006" i="1"/>
  <c r="N6006" i="1"/>
  <c r="AA6005" i="1"/>
  <c r="T6005" i="1"/>
  <c r="P6005" i="1"/>
  <c r="O6005" i="1"/>
  <c r="N6005" i="1"/>
  <c r="AA6004" i="1"/>
  <c r="T6004" i="1"/>
  <c r="P6004" i="1"/>
  <c r="O6004" i="1"/>
  <c r="N6004" i="1"/>
  <c r="AA6003" i="1"/>
  <c r="T6003" i="1"/>
  <c r="P6003" i="1"/>
  <c r="O6003" i="1"/>
  <c r="N6003" i="1"/>
  <c r="AA6002" i="1"/>
  <c r="T6002" i="1"/>
  <c r="P6002" i="1"/>
  <c r="O6002" i="1"/>
  <c r="N6002" i="1"/>
  <c r="AA6001" i="1"/>
  <c r="T6001" i="1"/>
  <c r="P6001" i="1"/>
  <c r="O6001" i="1"/>
  <c r="N6001" i="1"/>
  <c r="AA6000" i="1"/>
  <c r="T6000" i="1"/>
  <c r="P6000" i="1"/>
  <c r="O6000" i="1"/>
  <c r="N6000" i="1"/>
  <c r="AA5999" i="1"/>
  <c r="T5999" i="1"/>
  <c r="P5999" i="1"/>
  <c r="O5999" i="1"/>
  <c r="N5999" i="1"/>
  <c r="AA5998" i="1"/>
  <c r="T5998" i="1"/>
  <c r="P5998" i="1"/>
  <c r="O5998" i="1"/>
  <c r="N5998" i="1"/>
  <c r="AA5997" i="1"/>
  <c r="T5997" i="1"/>
  <c r="P5997" i="1"/>
  <c r="O5997" i="1"/>
  <c r="N5997" i="1"/>
  <c r="AA5996" i="1"/>
  <c r="T5996" i="1"/>
  <c r="P5996" i="1"/>
  <c r="O5996" i="1"/>
  <c r="N5996" i="1"/>
  <c r="AA5995" i="1"/>
  <c r="T5995" i="1"/>
  <c r="P5995" i="1"/>
  <c r="O5995" i="1"/>
  <c r="N5995" i="1"/>
  <c r="AA5994" i="1"/>
  <c r="T5994" i="1"/>
  <c r="P5994" i="1"/>
  <c r="O5994" i="1"/>
  <c r="N5994" i="1"/>
  <c r="AA5992" i="1"/>
  <c r="T5992" i="1"/>
  <c r="P5992" i="1"/>
  <c r="O5992" i="1"/>
  <c r="N5992" i="1"/>
  <c r="AA5991" i="1"/>
  <c r="T5991" i="1"/>
  <c r="P5991" i="1"/>
  <c r="O5991" i="1"/>
  <c r="N5991" i="1"/>
  <c r="AA5990" i="1"/>
  <c r="T5990" i="1"/>
  <c r="P5990" i="1"/>
  <c r="O5990" i="1"/>
  <c r="N5990" i="1"/>
  <c r="AA5989" i="1"/>
  <c r="T5989" i="1"/>
  <c r="P5989" i="1"/>
  <c r="O5989" i="1"/>
  <c r="N5989" i="1"/>
  <c r="AA5988" i="1"/>
  <c r="T5988" i="1"/>
  <c r="P5988" i="1"/>
  <c r="O5988" i="1"/>
  <c r="N5988" i="1"/>
  <c r="AA5987" i="1"/>
  <c r="T5987" i="1"/>
  <c r="P5987" i="1"/>
  <c r="O5987" i="1"/>
  <c r="N5987" i="1"/>
  <c r="AA5986" i="1"/>
  <c r="T5986" i="1"/>
  <c r="P5986" i="1"/>
  <c r="O5986" i="1"/>
  <c r="N5986" i="1"/>
  <c r="AA5985" i="1"/>
  <c r="T5985" i="1"/>
  <c r="P5985" i="1"/>
  <c r="O5985" i="1"/>
  <c r="N5985" i="1"/>
  <c r="AA5984" i="1"/>
  <c r="T5984" i="1"/>
  <c r="P5984" i="1"/>
  <c r="O5984" i="1"/>
  <c r="N5984" i="1"/>
  <c r="AA5983" i="1"/>
  <c r="T5983" i="1"/>
  <c r="P5983" i="1"/>
  <c r="O5983" i="1"/>
  <c r="N5983" i="1"/>
  <c r="AA5982" i="1"/>
  <c r="T5982" i="1"/>
  <c r="P5982" i="1"/>
  <c r="O5982" i="1"/>
  <c r="N5982" i="1"/>
  <c r="AA5981" i="1"/>
  <c r="T5981" i="1"/>
  <c r="P5981" i="1"/>
  <c r="O5981" i="1"/>
  <c r="N5981" i="1"/>
  <c r="AA5980" i="1"/>
  <c r="T5980" i="1"/>
  <c r="P5980" i="1"/>
  <c r="O5980" i="1"/>
  <c r="N5980" i="1"/>
  <c r="AA5978" i="1"/>
  <c r="T5978" i="1"/>
  <c r="P5978" i="1"/>
  <c r="O5978" i="1"/>
  <c r="N5978" i="1"/>
  <c r="AA5977" i="1"/>
  <c r="T5977" i="1"/>
  <c r="P5977" i="1"/>
  <c r="O5977" i="1"/>
  <c r="N5977" i="1"/>
  <c r="AA5976" i="1"/>
  <c r="T5976" i="1"/>
  <c r="P5976" i="1"/>
  <c r="O5976" i="1"/>
  <c r="N5976" i="1"/>
  <c r="AA5975" i="1"/>
  <c r="T5975" i="1"/>
  <c r="P5975" i="1"/>
  <c r="O5975" i="1"/>
  <c r="N5975" i="1"/>
  <c r="AA5974" i="1"/>
  <c r="T5974" i="1"/>
  <c r="P5974" i="1"/>
  <c r="O5974" i="1"/>
  <c r="N5974" i="1"/>
  <c r="AA5973" i="1"/>
  <c r="T5973" i="1"/>
  <c r="P5973" i="1"/>
  <c r="O5973" i="1"/>
  <c r="N5973" i="1"/>
  <c r="AA5972" i="1"/>
  <c r="T5972" i="1"/>
  <c r="P5972" i="1"/>
  <c r="O5972" i="1"/>
  <c r="N5972" i="1"/>
  <c r="AA5971" i="1"/>
  <c r="T5971" i="1"/>
  <c r="P5971" i="1"/>
  <c r="O5971" i="1"/>
  <c r="N5971" i="1"/>
  <c r="AA5970" i="1"/>
  <c r="T5970" i="1"/>
  <c r="P5970" i="1"/>
  <c r="O5970" i="1"/>
  <c r="N5970" i="1"/>
  <c r="AA5969" i="1"/>
  <c r="T5969" i="1"/>
  <c r="P5969" i="1"/>
  <c r="O5969" i="1"/>
  <c r="N5969" i="1"/>
  <c r="AA5968" i="1"/>
  <c r="T5968" i="1"/>
  <c r="P5968" i="1"/>
  <c r="O5968" i="1"/>
  <c r="N5968" i="1"/>
  <c r="AA5967" i="1"/>
  <c r="T5967" i="1"/>
  <c r="P5967" i="1"/>
  <c r="O5967" i="1"/>
  <c r="N5967" i="1"/>
  <c r="AA5966" i="1"/>
  <c r="T5966" i="1"/>
  <c r="P5966" i="1"/>
  <c r="O5966" i="1"/>
  <c r="N5966" i="1"/>
  <c r="AA5965" i="1"/>
  <c r="T5965" i="1"/>
  <c r="P5965" i="1"/>
  <c r="O5965" i="1"/>
  <c r="N5965" i="1"/>
  <c r="AA5964" i="1"/>
  <c r="T5964" i="1"/>
  <c r="P5964" i="1"/>
  <c r="O5964" i="1"/>
  <c r="N5964" i="1"/>
  <c r="AA5963" i="1"/>
  <c r="T5963" i="1"/>
  <c r="P5963" i="1"/>
  <c r="O5963" i="1"/>
  <c r="N5963" i="1"/>
  <c r="AA5960" i="1"/>
  <c r="T5960" i="1"/>
  <c r="P5960" i="1"/>
  <c r="O5960" i="1"/>
  <c r="N5960" i="1"/>
  <c r="AA5959" i="1"/>
  <c r="T5959" i="1"/>
  <c r="P5959" i="1"/>
  <c r="O5959" i="1"/>
  <c r="N5959" i="1"/>
  <c r="AA5958" i="1"/>
  <c r="T5958" i="1"/>
  <c r="P5958" i="1"/>
  <c r="O5958" i="1"/>
  <c r="N5958" i="1"/>
  <c r="AA5957" i="1"/>
  <c r="T5957" i="1"/>
  <c r="P5957" i="1"/>
  <c r="O5957" i="1"/>
  <c r="N5957" i="1"/>
  <c r="AA5956" i="1"/>
  <c r="T5956" i="1"/>
  <c r="P5956" i="1"/>
  <c r="O5956" i="1"/>
  <c r="N5956" i="1"/>
  <c r="AA5955" i="1"/>
  <c r="T5955" i="1"/>
  <c r="P5955" i="1"/>
  <c r="O5955" i="1"/>
  <c r="N5955" i="1"/>
  <c r="AA5954" i="1"/>
  <c r="T5954" i="1"/>
  <c r="P5954" i="1"/>
  <c r="O5954" i="1"/>
  <c r="N5954" i="1"/>
  <c r="AA5953" i="1"/>
  <c r="T5953" i="1"/>
  <c r="P5953" i="1"/>
  <c r="O5953" i="1"/>
  <c r="N5953" i="1"/>
  <c r="AA5952" i="1"/>
  <c r="T5952" i="1"/>
  <c r="P5952" i="1"/>
  <c r="O5952" i="1"/>
  <c r="N5952" i="1"/>
  <c r="AA5951" i="1"/>
  <c r="T5951" i="1"/>
  <c r="P5951" i="1"/>
  <c r="O5951" i="1"/>
  <c r="N5951" i="1"/>
  <c r="AA5950" i="1"/>
  <c r="T5950" i="1"/>
  <c r="P5950" i="1"/>
  <c r="O5950" i="1"/>
  <c r="N5950" i="1"/>
  <c r="AA5949" i="1"/>
  <c r="T5949" i="1"/>
  <c r="P5949" i="1"/>
  <c r="O5949" i="1"/>
  <c r="N5949" i="1"/>
  <c r="AA5948" i="1"/>
  <c r="T5948" i="1"/>
  <c r="P5948" i="1"/>
  <c r="O5948" i="1"/>
  <c r="N5948" i="1"/>
  <c r="AA5947" i="1"/>
  <c r="T5947" i="1"/>
  <c r="P5947" i="1"/>
  <c r="O5947" i="1"/>
  <c r="N5947" i="1"/>
  <c r="AA5946" i="1"/>
  <c r="T5946" i="1"/>
  <c r="P5946" i="1"/>
  <c r="O5946" i="1"/>
  <c r="N5946" i="1"/>
  <c r="AA5945" i="1"/>
  <c r="T5945" i="1"/>
  <c r="P5945" i="1"/>
  <c r="O5945" i="1"/>
  <c r="N5945" i="1"/>
  <c r="AA5944" i="1"/>
  <c r="T5944" i="1"/>
  <c r="P5944" i="1"/>
  <c r="O5944" i="1"/>
  <c r="N5944" i="1"/>
  <c r="AA5943" i="1"/>
  <c r="T5943" i="1"/>
  <c r="P5943" i="1"/>
  <c r="O5943" i="1"/>
  <c r="N5943" i="1"/>
  <c r="AA5942" i="1"/>
  <c r="T5942" i="1"/>
  <c r="N5942" i="1"/>
  <c r="AA5941" i="1"/>
  <c r="T5941" i="1"/>
  <c r="P5941" i="1"/>
  <c r="O5941" i="1"/>
  <c r="N5941" i="1"/>
  <c r="AA5940" i="1"/>
  <c r="T5940" i="1"/>
  <c r="P5940" i="1"/>
  <c r="O5940" i="1"/>
  <c r="N5940" i="1"/>
  <c r="AA5939" i="1"/>
  <c r="T5939" i="1"/>
  <c r="P5939" i="1"/>
  <c r="O5939" i="1"/>
  <c r="N5939" i="1"/>
  <c r="AA5937" i="1"/>
  <c r="T5937" i="1"/>
  <c r="P5937" i="1"/>
  <c r="O5937" i="1"/>
  <c r="N5937" i="1"/>
  <c r="AA5936" i="1"/>
  <c r="T5936" i="1"/>
  <c r="P5936" i="1"/>
  <c r="O5936" i="1"/>
  <c r="N5936" i="1"/>
  <c r="AA5935" i="1"/>
  <c r="T5935" i="1"/>
  <c r="P5935" i="1"/>
  <c r="O5935" i="1"/>
  <c r="N5935" i="1"/>
  <c r="AA5934" i="1"/>
  <c r="T5934" i="1"/>
  <c r="P5934" i="1"/>
  <c r="O5934" i="1"/>
  <c r="N5934" i="1"/>
  <c r="AA5933" i="1"/>
  <c r="T5933" i="1"/>
  <c r="P5933" i="1"/>
  <c r="O5933" i="1"/>
  <c r="N5933" i="1"/>
  <c r="AA5932" i="1"/>
  <c r="T5932" i="1"/>
  <c r="P5932" i="1"/>
  <c r="O5932" i="1"/>
  <c r="N5932" i="1"/>
  <c r="AA5931" i="1"/>
  <c r="T5931" i="1"/>
  <c r="P5931" i="1"/>
  <c r="O5931" i="1"/>
  <c r="N5931" i="1"/>
  <c r="AA5930" i="1"/>
  <c r="T5930" i="1"/>
  <c r="P5930" i="1"/>
  <c r="O5930" i="1"/>
  <c r="N5930" i="1"/>
  <c r="AA5929" i="1"/>
  <c r="T5929" i="1"/>
  <c r="P5929" i="1"/>
  <c r="O5929" i="1"/>
  <c r="N5929" i="1"/>
  <c r="AA5928" i="1"/>
  <c r="T5928" i="1"/>
  <c r="P5928" i="1"/>
  <c r="O5928" i="1"/>
  <c r="N5928" i="1"/>
  <c r="AA5927" i="1"/>
  <c r="T5927" i="1"/>
  <c r="P5927" i="1"/>
  <c r="O5927" i="1"/>
  <c r="N5927" i="1"/>
  <c r="AA5926" i="1"/>
  <c r="T5926" i="1"/>
  <c r="P5926" i="1"/>
  <c r="O5926" i="1"/>
  <c r="N5926" i="1"/>
  <c r="AA5925" i="1"/>
  <c r="T5925" i="1"/>
  <c r="P5925" i="1"/>
  <c r="O5925" i="1"/>
  <c r="N5925" i="1"/>
  <c r="AA5924" i="1"/>
  <c r="T5924" i="1"/>
  <c r="P5924" i="1"/>
  <c r="O5924" i="1"/>
  <c r="N5924" i="1"/>
  <c r="AA5923" i="1"/>
  <c r="T5923" i="1"/>
  <c r="P5923" i="1"/>
  <c r="O5923" i="1"/>
  <c r="N5923" i="1"/>
  <c r="AA5922" i="1"/>
  <c r="T5922" i="1"/>
  <c r="P5922" i="1"/>
  <c r="O5922" i="1"/>
  <c r="N5922" i="1"/>
  <c r="AA5921" i="1"/>
  <c r="T5921" i="1"/>
  <c r="P5921" i="1"/>
  <c r="O5921" i="1"/>
  <c r="N5921" i="1"/>
  <c r="AA5920" i="1"/>
  <c r="T5920" i="1"/>
  <c r="P5920" i="1"/>
  <c r="O5920" i="1"/>
  <c r="N5920" i="1"/>
  <c r="AA5919" i="1"/>
  <c r="T5919" i="1"/>
  <c r="P5919" i="1"/>
  <c r="O5919" i="1"/>
  <c r="N5919" i="1"/>
  <c r="AA5918" i="1"/>
  <c r="T5918" i="1"/>
  <c r="P5918" i="1"/>
  <c r="O5918" i="1"/>
  <c r="N5918" i="1"/>
  <c r="AA5917" i="1"/>
  <c r="T5917" i="1"/>
  <c r="P5917" i="1"/>
  <c r="O5917" i="1"/>
  <c r="N5917" i="1"/>
  <c r="AA5916" i="1"/>
  <c r="T5916" i="1"/>
  <c r="P5916" i="1"/>
  <c r="O5916" i="1"/>
  <c r="N5916" i="1"/>
  <c r="AA5915" i="1"/>
  <c r="T5915" i="1"/>
  <c r="P5915" i="1"/>
  <c r="O5915" i="1"/>
  <c r="N5915" i="1"/>
  <c r="AA5914" i="1"/>
  <c r="T5914" i="1"/>
  <c r="P5914" i="1"/>
  <c r="O5914" i="1"/>
  <c r="N5914" i="1"/>
  <c r="AA5913" i="1"/>
  <c r="T5913" i="1"/>
  <c r="P5913" i="1"/>
  <c r="O5913" i="1"/>
  <c r="N5913" i="1"/>
  <c r="AA5912" i="1"/>
  <c r="T5912" i="1"/>
  <c r="P5912" i="1"/>
  <c r="O5912" i="1"/>
  <c r="N5912" i="1"/>
  <c r="AA5911" i="1"/>
  <c r="T5911" i="1"/>
  <c r="P5911" i="1"/>
  <c r="O5911" i="1"/>
  <c r="N5911" i="1"/>
  <c r="AA5909" i="1"/>
  <c r="T5909" i="1"/>
  <c r="P5909" i="1"/>
  <c r="O5909" i="1"/>
  <c r="N5909" i="1"/>
  <c r="AA5908" i="1"/>
  <c r="T5908" i="1"/>
  <c r="P5908" i="1"/>
  <c r="O5908" i="1"/>
  <c r="N5908" i="1"/>
  <c r="AA5907" i="1"/>
  <c r="T5907" i="1"/>
  <c r="P5907" i="1"/>
  <c r="O5907" i="1"/>
  <c r="N5907" i="1"/>
  <c r="AA5906" i="1"/>
  <c r="T5906" i="1"/>
  <c r="P5906" i="1"/>
  <c r="O5906" i="1"/>
  <c r="N5906" i="1"/>
  <c r="AA5905" i="1"/>
  <c r="T5905" i="1"/>
  <c r="P5905" i="1"/>
  <c r="O5905" i="1"/>
  <c r="N5905" i="1"/>
  <c r="AA5904" i="1"/>
  <c r="T5904" i="1"/>
  <c r="P5904" i="1"/>
  <c r="O5904" i="1"/>
  <c r="N5904" i="1"/>
  <c r="AA5903" i="1"/>
  <c r="T5903" i="1"/>
  <c r="P5903" i="1"/>
  <c r="O5903" i="1"/>
  <c r="N5903" i="1"/>
  <c r="AA5902" i="1"/>
  <c r="T5902" i="1"/>
  <c r="P5902" i="1"/>
  <c r="O5902" i="1"/>
  <c r="N5902" i="1"/>
  <c r="AA5901" i="1"/>
  <c r="T5901" i="1"/>
  <c r="P5901" i="1"/>
  <c r="O5901" i="1"/>
  <c r="N5901" i="1"/>
  <c r="AA5900" i="1"/>
  <c r="T5900" i="1"/>
  <c r="P5900" i="1"/>
  <c r="O5900" i="1"/>
  <c r="N5900" i="1"/>
  <c r="AA5899" i="1"/>
  <c r="T5899" i="1"/>
  <c r="P5899" i="1"/>
  <c r="O5899" i="1"/>
  <c r="N5899" i="1"/>
  <c r="AA5898" i="1"/>
  <c r="T5898" i="1"/>
  <c r="P5898" i="1"/>
  <c r="O5898" i="1"/>
  <c r="N5898" i="1"/>
  <c r="AA5897" i="1"/>
  <c r="T5897" i="1"/>
  <c r="P5897" i="1"/>
  <c r="O5897" i="1"/>
  <c r="N5897" i="1"/>
  <c r="AA5896" i="1"/>
  <c r="T5896" i="1"/>
  <c r="P5896" i="1"/>
  <c r="O5896" i="1"/>
  <c r="N5896" i="1"/>
  <c r="AA5895" i="1"/>
  <c r="T5895" i="1"/>
  <c r="P5895" i="1"/>
  <c r="O5895" i="1"/>
  <c r="N5895" i="1"/>
  <c r="AA5894" i="1"/>
  <c r="T5894" i="1"/>
  <c r="P5894" i="1"/>
  <c r="O5894" i="1"/>
  <c r="N5894" i="1"/>
  <c r="AA5893" i="1"/>
  <c r="T5893" i="1"/>
  <c r="P5893" i="1"/>
  <c r="O5893" i="1"/>
  <c r="N5893" i="1"/>
  <c r="AA5892" i="1"/>
  <c r="T5892" i="1"/>
  <c r="P5892" i="1"/>
  <c r="O5892" i="1"/>
  <c r="N5892" i="1"/>
  <c r="AA5891" i="1"/>
  <c r="T5891" i="1"/>
  <c r="P5891" i="1"/>
  <c r="O5891" i="1"/>
  <c r="N5891" i="1"/>
  <c r="AA5890" i="1"/>
  <c r="T5890" i="1"/>
  <c r="O5890" i="1"/>
  <c r="N5890" i="1"/>
  <c r="AA5889" i="1"/>
  <c r="T5889" i="1"/>
  <c r="P5889" i="1"/>
  <c r="O5889" i="1"/>
  <c r="N5889" i="1"/>
  <c r="AA5888" i="1"/>
  <c r="T5888" i="1"/>
  <c r="P5888" i="1"/>
  <c r="O5888" i="1"/>
  <c r="N5888" i="1"/>
  <c r="AA5887" i="1"/>
  <c r="T5887" i="1"/>
  <c r="P5887" i="1"/>
  <c r="O5887" i="1"/>
  <c r="N5887" i="1"/>
  <c r="AA5886" i="1"/>
  <c r="T5886" i="1"/>
  <c r="P5886" i="1"/>
  <c r="O5886" i="1"/>
  <c r="N5886" i="1"/>
  <c r="AA5884" i="1"/>
  <c r="T5884" i="1"/>
  <c r="P5884" i="1"/>
  <c r="O5884" i="1"/>
  <c r="N5884" i="1"/>
  <c r="AA5883" i="1"/>
  <c r="T5883" i="1"/>
  <c r="P5883" i="1"/>
  <c r="O5883" i="1"/>
  <c r="N5883" i="1"/>
  <c r="AA5882" i="1"/>
  <c r="T5882" i="1"/>
  <c r="P5882" i="1"/>
  <c r="O5882" i="1"/>
  <c r="N5882" i="1"/>
  <c r="AA5881" i="1"/>
  <c r="T5881" i="1"/>
  <c r="P5881" i="1"/>
  <c r="O5881" i="1"/>
  <c r="N5881" i="1"/>
  <c r="AA5880" i="1"/>
  <c r="T5880" i="1"/>
  <c r="P5880" i="1"/>
  <c r="O5880" i="1"/>
  <c r="N5880" i="1"/>
  <c r="AA5879" i="1"/>
  <c r="T5879" i="1"/>
  <c r="P5879" i="1"/>
  <c r="O5879" i="1"/>
  <c r="N5879" i="1"/>
  <c r="AA5878" i="1"/>
  <c r="T5878" i="1"/>
  <c r="P5878" i="1"/>
  <c r="O5878" i="1"/>
  <c r="N5878" i="1"/>
  <c r="AA5877" i="1"/>
  <c r="T5877" i="1"/>
  <c r="P5877" i="1"/>
  <c r="O5877" i="1"/>
  <c r="N5877" i="1"/>
  <c r="AA5876" i="1"/>
  <c r="T5876" i="1"/>
  <c r="P5876" i="1"/>
  <c r="O5876" i="1"/>
  <c r="N5876" i="1"/>
  <c r="AA5875" i="1"/>
  <c r="T5875" i="1"/>
  <c r="P5875" i="1"/>
  <c r="O5875" i="1"/>
  <c r="N5875" i="1"/>
  <c r="AA5873" i="1"/>
  <c r="T5873" i="1"/>
  <c r="P5873" i="1"/>
  <c r="O5873" i="1"/>
  <c r="N5873" i="1"/>
  <c r="AA5872" i="1"/>
  <c r="T5872" i="1"/>
  <c r="P5872" i="1"/>
  <c r="O5872" i="1"/>
  <c r="N5872" i="1"/>
  <c r="AA5871" i="1"/>
  <c r="T5871" i="1"/>
  <c r="P5871" i="1"/>
  <c r="O5871" i="1"/>
  <c r="N5871" i="1"/>
  <c r="AA5870" i="1"/>
  <c r="T5870" i="1"/>
  <c r="P5870" i="1"/>
  <c r="O5870" i="1"/>
  <c r="N5870" i="1"/>
  <c r="AA5869" i="1"/>
  <c r="T5869" i="1"/>
  <c r="P5869" i="1"/>
  <c r="O5869" i="1"/>
  <c r="N5869" i="1"/>
  <c r="AA5868" i="1"/>
  <c r="T5868" i="1"/>
  <c r="P5868" i="1"/>
  <c r="O5868" i="1"/>
  <c r="N5868" i="1"/>
  <c r="AA5867" i="1"/>
  <c r="T5867" i="1"/>
  <c r="P5867" i="1"/>
  <c r="O5867" i="1"/>
  <c r="N5867" i="1"/>
  <c r="AA5864" i="1"/>
  <c r="T5864" i="1"/>
  <c r="P5864" i="1"/>
  <c r="O5864" i="1"/>
  <c r="N5864" i="1"/>
  <c r="AA5863" i="1"/>
  <c r="T5863" i="1"/>
  <c r="P5863" i="1"/>
  <c r="O5863" i="1"/>
  <c r="N5863" i="1"/>
  <c r="AA5862" i="1"/>
  <c r="T5862" i="1"/>
  <c r="P5862" i="1"/>
  <c r="O5862" i="1"/>
  <c r="N5862" i="1"/>
  <c r="AA5861" i="1"/>
  <c r="T5861" i="1"/>
  <c r="P5861" i="1"/>
  <c r="O5861" i="1"/>
  <c r="N5861" i="1"/>
  <c r="AA5860" i="1"/>
  <c r="T5860" i="1"/>
  <c r="P5860" i="1"/>
  <c r="O5860" i="1"/>
  <c r="N5860" i="1"/>
  <c r="AA5859" i="1"/>
  <c r="T5859" i="1"/>
  <c r="P5859" i="1"/>
  <c r="O5859" i="1"/>
  <c r="N5859" i="1"/>
  <c r="AA5858" i="1"/>
  <c r="T5858" i="1"/>
  <c r="P5858" i="1"/>
  <c r="O5858" i="1"/>
  <c r="N5858" i="1"/>
  <c r="AA5857" i="1"/>
  <c r="T5857" i="1"/>
  <c r="P5857" i="1"/>
  <c r="O5857" i="1"/>
  <c r="N5857" i="1"/>
  <c r="AA5856" i="1"/>
  <c r="T5856" i="1"/>
  <c r="P5856" i="1"/>
  <c r="O5856" i="1"/>
  <c r="N5856" i="1"/>
  <c r="AA5855" i="1"/>
  <c r="T5855" i="1"/>
  <c r="P5855" i="1"/>
  <c r="O5855" i="1"/>
  <c r="N5855" i="1"/>
  <c r="AA5854" i="1"/>
  <c r="T5854" i="1"/>
  <c r="P5854" i="1"/>
  <c r="O5854" i="1"/>
  <c r="N5854" i="1"/>
  <c r="AA5853" i="1"/>
  <c r="T5853" i="1"/>
  <c r="P5853" i="1"/>
  <c r="O5853" i="1"/>
  <c r="N5853" i="1"/>
  <c r="AA5852" i="1"/>
  <c r="T5852" i="1"/>
  <c r="P5852" i="1"/>
  <c r="O5852" i="1"/>
  <c r="N5852" i="1"/>
  <c r="AA5851" i="1"/>
  <c r="T5851" i="1"/>
  <c r="P5851" i="1"/>
  <c r="O5851" i="1"/>
  <c r="N5851" i="1"/>
  <c r="AA5850" i="1"/>
  <c r="T5850" i="1"/>
  <c r="P5850" i="1"/>
  <c r="O5850" i="1"/>
  <c r="N5850" i="1"/>
  <c r="AA5849" i="1"/>
  <c r="T5849" i="1"/>
  <c r="P5849" i="1"/>
  <c r="O5849" i="1"/>
  <c r="N5849" i="1"/>
  <c r="AA5847" i="1"/>
  <c r="T5847" i="1"/>
  <c r="P5847" i="1"/>
  <c r="O5847" i="1"/>
  <c r="N5847" i="1"/>
  <c r="AA5846" i="1"/>
  <c r="T5846" i="1"/>
  <c r="P5846" i="1"/>
  <c r="O5846" i="1"/>
  <c r="N5846" i="1"/>
  <c r="AA5845" i="1"/>
  <c r="T5845" i="1"/>
  <c r="P5845" i="1"/>
  <c r="O5845" i="1"/>
  <c r="N5845" i="1"/>
  <c r="AA5844" i="1"/>
  <c r="T5844" i="1"/>
  <c r="P5844" i="1"/>
  <c r="O5844" i="1"/>
  <c r="N5844" i="1"/>
  <c r="AA5843" i="1"/>
  <c r="T5843" i="1"/>
  <c r="P5843" i="1"/>
  <c r="O5843" i="1"/>
  <c r="N5843" i="1"/>
  <c r="AA5842" i="1"/>
  <c r="T5842" i="1"/>
  <c r="P5842" i="1"/>
  <c r="O5842" i="1"/>
  <c r="N5842" i="1"/>
  <c r="AA5841" i="1"/>
  <c r="T5841" i="1"/>
  <c r="P5841" i="1"/>
  <c r="O5841" i="1"/>
  <c r="N5841" i="1"/>
  <c r="AA5840" i="1"/>
  <c r="T5840" i="1"/>
  <c r="P5840" i="1"/>
  <c r="O5840" i="1"/>
  <c r="N5840" i="1"/>
  <c r="AA5839" i="1"/>
  <c r="T5839" i="1"/>
  <c r="P5839" i="1"/>
  <c r="O5839" i="1"/>
  <c r="N5839" i="1"/>
  <c r="AA5838" i="1"/>
  <c r="T5838" i="1"/>
  <c r="P5838" i="1"/>
  <c r="O5838" i="1"/>
  <c r="N5838" i="1"/>
  <c r="AA5837" i="1"/>
  <c r="T5837" i="1"/>
  <c r="P5837" i="1"/>
  <c r="O5837" i="1"/>
  <c r="N5837" i="1"/>
  <c r="AA5836" i="1"/>
  <c r="T5836" i="1"/>
  <c r="P5836" i="1"/>
  <c r="O5836" i="1"/>
  <c r="N5836" i="1"/>
  <c r="AA5835" i="1"/>
  <c r="T5835" i="1"/>
  <c r="P5835" i="1"/>
  <c r="O5835" i="1"/>
  <c r="N5835" i="1"/>
  <c r="AA5834" i="1"/>
  <c r="T5834" i="1"/>
  <c r="P5834" i="1"/>
  <c r="O5834" i="1"/>
  <c r="N5834" i="1"/>
  <c r="AA5833" i="1"/>
  <c r="T5833" i="1"/>
  <c r="P5833" i="1"/>
  <c r="O5833" i="1"/>
  <c r="N5833" i="1"/>
  <c r="AA5832" i="1"/>
  <c r="T5832" i="1"/>
  <c r="P5832" i="1"/>
  <c r="O5832" i="1"/>
  <c r="N5832" i="1"/>
  <c r="AA5830" i="1"/>
  <c r="T5830" i="1"/>
  <c r="P5830" i="1"/>
  <c r="O5830" i="1"/>
  <c r="N5830" i="1"/>
  <c r="AA5829" i="1"/>
  <c r="T5829" i="1"/>
  <c r="P5829" i="1"/>
  <c r="O5829" i="1"/>
  <c r="N5829" i="1"/>
  <c r="AA5828" i="1"/>
  <c r="T5828" i="1"/>
  <c r="P5828" i="1"/>
  <c r="O5828" i="1"/>
  <c r="N5828" i="1"/>
  <c r="AA5827" i="1"/>
  <c r="T5827" i="1"/>
  <c r="P5827" i="1"/>
  <c r="O5827" i="1"/>
  <c r="N5827" i="1"/>
  <c r="AA5826" i="1"/>
  <c r="T5826" i="1"/>
  <c r="P5826" i="1"/>
  <c r="O5826" i="1"/>
  <c r="N5826" i="1"/>
  <c r="AA5825" i="1"/>
  <c r="T5825" i="1"/>
  <c r="P5825" i="1"/>
  <c r="O5825" i="1"/>
  <c r="N5825" i="1"/>
  <c r="AA5824" i="1"/>
  <c r="T5824" i="1"/>
  <c r="P5824" i="1"/>
  <c r="O5824" i="1"/>
  <c r="N5824" i="1"/>
  <c r="AA5823" i="1"/>
  <c r="T5823" i="1"/>
  <c r="P5823" i="1"/>
  <c r="O5823" i="1"/>
  <c r="N5823" i="1"/>
  <c r="AA5822" i="1"/>
  <c r="T5822" i="1"/>
  <c r="P5822" i="1"/>
  <c r="O5822" i="1"/>
  <c r="N5822" i="1"/>
  <c r="AA5821" i="1"/>
  <c r="T5821" i="1"/>
  <c r="P5821" i="1"/>
  <c r="O5821" i="1"/>
  <c r="N5821" i="1"/>
  <c r="AA5820" i="1"/>
  <c r="T5820" i="1"/>
  <c r="P5820" i="1"/>
  <c r="O5820" i="1"/>
  <c r="N5820" i="1"/>
  <c r="AA5819" i="1"/>
  <c r="T5819" i="1"/>
  <c r="P5819" i="1"/>
  <c r="O5819" i="1"/>
  <c r="N5819" i="1"/>
  <c r="AA5818" i="1"/>
  <c r="T5818" i="1"/>
  <c r="P5818" i="1"/>
  <c r="O5818" i="1"/>
  <c r="N5818" i="1"/>
  <c r="AA5817" i="1"/>
  <c r="T5817" i="1"/>
  <c r="P5817" i="1"/>
  <c r="O5817" i="1"/>
  <c r="N5817" i="1"/>
  <c r="AA5816" i="1"/>
  <c r="T5816" i="1"/>
  <c r="P5816" i="1"/>
  <c r="O5816" i="1"/>
  <c r="N5816" i="1"/>
  <c r="AA5815" i="1"/>
  <c r="T5815" i="1"/>
  <c r="P5815" i="1"/>
  <c r="O5815" i="1"/>
  <c r="N5815" i="1"/>
  <c r="AA5814" i="1"/>
  <c r="T5814" i="1"/>
  <c r="P5814" i="1"/>
  <c r="O5814" i="1"/>
  <c r="N5814" i="1"/>
  <c r="AA5813" i="1"/>
  <c r="T5813" i="1"/>
  <c r="P5813" i="1"/>
  <c r="O5813" i="1"/>
  <c r="N5813" i="1"/>
  <c r="AA5811" i="1"/>
  <c r="T5811" i="1"/>
  <c r="P5811" i="1"/>
  <c r="O5811" i="1"/>
  <c r="N5811" i="1"/>
  <c r="AA5810" i="1"/>
  <c r="T5810" i="1"/>
  <c r="P5810" i="1"/>
  <c r="O5810" i="1"/>
  <c r="N5810" i="1"/>
  <c r="AA5809" i="1"/>
  <c r="T5809" i="1"/>
  <c r="P5809" i="1"/>
  <c r="O5809" i="1"/>
  <c r="N5809" i="1"/>
  <c r="AA5808" i="1"/>
  <c r="T5808" i="1"/>
  <c r="P5808" i="1"/>
  <c r="O5808" i="1"/>
  <c r="N5808" i="1"/>
  <c r="AA5807" i="1"/>
  <c r="T5807" i="1"/>
  <c r="P5807" i="1"/>
  <c r="O5807" i="1"/>
  <c r="N5807" i="1"/>
  <c r="AA5806" i="1"/>
  <c r="T5806" i="1"/>
  <c r="P5806" i="1"/>
  <c r="O5806" i="1"/>
  <c r="N5806" i="1"/>
  <c r="AA5805" i="1"/>
  <c r="T5805" i="1"/>
  <c r="P5805" i="1"/>
  <c r="O5805" i="1"/>
  <c r="N5805" i="1"/>
  <c r="AA5804" i="1"/>
  <c r="T5804" i="1"/>
  <c r="P5804" i="1"/>
  <c r="O5804" i="1"/>
  <c r="N5804" i="1"/>
  <c r="AA5802" i="1"/>
  <c r="T5802" i="1"/>
  <c r="P5802" i="1"/>
  <c r="O5802" i="1"/>
  <c r="N5802" i="1"/>
  <c r="AA5801" i="1"/>
  <c r="T5801" i="1"/>
  <c r="P5801" i="1"/>
  <c r="O5801" i="1"/>
  <c r="N5801" i="1"/>
  <c r="AA5800" i="1"/>
  <c r="T5800" i="1"/>
  <c r="P5800" i="1"/>
  <c r="O5800" i="1"/>
  <c r="N5800" i="1"/>
  <c r="AA5799" i="1"/>
  <c r="T5799" i="1"/>
  <c r="P5799" i="1"/>
  <c r="O5799" i="1"/>
  <c r="N5799" i="1"/>
  <c r="AA5798" i="1"/>
  <c r="T5798" i="1"/>
  <c r="P5798" i="1"/>
  <c r="O5798" i="1"/>
  <c r="N5798" i="1"/>
  <c r="AA5797" i="1"/>
  <c r="T5797" i="1"/>
  <c r="P5797" i="1"/>
  <c r="O5797" i="1"/>
  <c r="N5797" i="1"/>
  <c r="AA5796" i="1"/>
  <c r="T5796" i="1"/>
  <c r="P5796" i="1"/>
  <c r="O5796" i="1"/>
  <c r="N5796" i="1"/>
  <c r="AA5795" i="1"/>
  <c r="T5795" i="1"/>
  <c r="P5795" i="1"/>
  <c r="O5795" i="1"/>
  <c r="N5795" i="1"/>
  <c r="AA5794" i="1"/>
  <c r="T5794" i="1"/>
  <c r="P5794" i="1"/>
  <c r="O5794" i="1"/>
  <c r="N5794" i="1"/>
  <c r="AA5793" i="1"/>
  <c r="T5793" i="1"/>
  <c r="P5793" i="1"/>
  <c r="O5793" i="1"/>
  <c r="N5793" i="1"/>
  <c r="AA5792" i="1"/>
  <c r="T5792" i="1"/>
  <c r="P5792" i="1"/>
  <c r="O5792" i="1"/>
  <c r="N5792" i="1"/>
  <c r="AA5791" i="1"/>
  <c r="T5791" i="1"/>
  <c r="P5791" i="1"/>
  <c r="O5791" i="1"/>
  <c r="N5791" i="1"/>
  <c r="AA5790" i="1"/>
  <c r="T5790" i="1"/>
  <c r="P5790" i="1"/>
  <c r="O5790" i="1"/>
  <c r="N5790" i="1"/>
  <c r="AA5789" i="1"/>
  <c r="T5789" i="1"/>
  <c r="P5789" i="1"/>
  <c r="O5789" i="1"/>
  <c r="N5789" i="1"/>
  <c r="AA5788" i="1"/>
  <c r="T5788" i="1"/>
  <c r="P5788" i="1"/>
  <c r="O5788" i="1"/>
  <c r="N5788" i="1"/>
  <c r="AA5787" i="1"/>
  <c r="T5787" i="1"/>
  <c r="P5787" i="1"/>
  <c r="O5787" i="1"/>
  <c r="N5787" i="1"/>
  <c r="AA5786" i="1"/>
  <c r="T5786" i="1"/>
  <c r="P5786" i="1"/>
  <c r="O5786" i="1"/>
  <c r="N5786" i="1"/>
  <c r="AA5785" i="1"/>
  <c r="T5785" i="1"/>
  <c r="P5785" i="1"/>
  <c r="O5785" i="1"/>
  <c r="N5785" i="1"/>
  <c r="AA5784" i="1"/>
  <c r="T5784" i="1"/>
  <c r="P5784" i="1"/>
  <c r="O5784" i="1"/>
  <c r="N5784" i="1"/>
  <c r="AA5783" i="1"/>
  <c r="T5783" i="1"/>
  <c r="P5783" i="1"/>
  <c r="O5783" i="1"/>
  <c r="N5783" i="1"/>
  <c r="AA5782" i="1"/>
  <c r="T5782" i="1"/>
  <c r="P5782" i="1"/>
  <c r="O5782" i="1"/>
  <c r="N5782" i="1"/>
  <c r="AA5781" i="1"/>
  <c r="T5781" i="1"/>
  <c r="P5781" i="1"/>
  <c r="O5781" i="1"/>
  <c r="N5781" i="1"/>
  <c r="AA5780" i="1"/>
  <c r="T5780" i="1"/>
  <c r="P5780" i="1"/>
  <c r="O5780" i="1"/>
  <c r="N5780" i="1"/>
  <c r="AA5779" i="1"/>
  <c r="T5779" i="1"/>
  <c r="P5779" i="1"/>
  <c r="O5779" i="1"/>
  <c r="N5779" i="1"/>
  <c r="AA5778" i="1"/>
  <c r="T5778" i="1"/>
  <c r="P5778" i="1"/>
  <c r="O5778" i="1"/>
  <c r="N5778" i="1"/>
  <c r="AA5777" i="1"/>
  <c r="T5777" i="1"/>
  <c r="P5777" i="1"/>
  <c r="O5777" i="1"/>
  <c r="N5777" i="1"/>
  <c r="AA5776" i="1"/>
  <c r="T5776" i="1"/>
  <c r="P5776" i="1"/>
  <c r="O5776" i="1"/>
  <c r="N5776" i="1"/>
  <c r="AA5775" i="1"/>
  <c r="T5775" i="1"/>
  <c r="P5775" i="1"/>
  <c r="O5775" i="1"/>
  <c r="N5775" i="1"/>
  <c r="AA5774" i="1"/>
  <c r="T5774" i="1"/>
  <c r="P5774" i="1"/>
  <c r="O5774" i="1"/>
  <c r="N5774" i="1"/>
  <c r="AA5773" i="1"/>
  <c r="T5773" i="1"/>
  <c r="P5773" i="1"/>
  <c r="O5773" i="1"/>
  <c r="N5773" i="1"/>
  <c r="AA5772" i="1"/>
  <c r="T5772" i="1"/>
  <c r="P5772" i="1"/>
  <c r="O5772" i="1"/>
  <c r="N5772" i="1"/>
  <c r="AA5771" i="1"/>
  <c r="T5771" i="1"/>
  <c r="P5771" i="1"/>
  <c r="O5771" i="1"/>
  <c r="N5771" i="1"/>
  <c r="AA5770" i="1"/>
  <c r="T5770" i="1"/>
  <c r="P5770" i="1"/>
  <c r="O5770" i="1"/>
  <c r="N5770" i="1"/>
  <c r="AA5769" i="1"/>
  <c r="T5769" i="1"/>
  <c r="P5769" i="1"/>
  <c r="O5769" i="1"/>
  <c r="N5769" i="1"/>
  <c r="AA5768" i="1"/>
  <c r="T5768" i="1"/>
  <c r="P5768" i="1"/>
  <c r="O5768" i="1"/>
  <c r="N5768" i="1"/>
  <c r="AA5767" i="1"/>
  <c r="T5767" i="1"/>
  <c r="P5767" i="1"/>
  <c r="O5767" i="1"/>
  <c r="N5767" i="1"/>
  <c r="AA5766" i="1"/>
  <c r="T5766" i="1"/>
  <c r="P5766" i="1"/>
  <c r="O5766" i="1"/>
  <c r="N5766" i="1"/>
  <c r="AA5765" i="1"/>
  <c r="T5765" i="1"/>
  <c r="P5765" i="1"/>
  <c r="O5765" i="1"/>
  <c r="N5765" i="1"/>
  <c r="AA5764" i="1"/>
  <c r="T5764" i="1"/>
  <c r="P5764" i="1"/>
  <c r="O5764" i="1"/>
  <c r="N5764" i="1"/>
  <c r="AA5763" i="1"/>
  <c r="T5763" i="1"/>
  <c r="P5763" i="1"/>
  <c r="O5763" i="1"/>
  <c r="N5763" i="1"/>
  <c r="AA5762" i="1"/>
  <c r="T5762" i="1"/>
  <c r="P5762" i="1"/>
  <c r="O5762" i="1"/>
  <c r="N5762" i="1"/>
  <c r="AA5761" i="1"/>
  <c r="T5761" i="1"/>
  <c r="P5761" i="1"/>
  <c r="O5761" i="1"/>
  <c r="N5761" i="1"/>
  <c r="AA5760" i="1"/>
  <c r="T5760" i="1"/>
  <c r="P5760" i="1"/>
  <c r="O5760" i="1"/>
  <c r="N5760" i="1"/>
  <c r="AA5759" i="1"/>
  <c r="T5759" i="1"/>
  <c r="P5759" i="1"/>
  <c r="O5759" i="1"/>
  <c r="N5759" i="1"/>
  <c r="AA5757" i="1"/>
  <c r="T5757" i="1"/>
  <c r="P5757" i="1"/>
  <c r="O5757" i="1"/>
  <c r="N5757" i="1"/>
  <c r="AA5754" i="1"/>
  <c r="T5754" i="1"/>
  <c r="P5754" i="1"/>
  <c r="O5754" i="1"/>
  <c r="N5754" i="1"/>
  <c r="AA5753" i="1"/>
  <c r="T5753" i="1"/>
  <c r="P5753" i="1"/>
  <c r="O5753" i="1"/>
  <c r="N5753" i="1"/>
  <c r="AA5752" i="1"/>
  <c r="T5752" i="1"/>
  <c r="P5752" i="1"/>
  <c r="O5752" i="1"/>
  <c r="N5752" i="1"/>
  <c r="AA5751" i="1"/>
  <c r="T5751" i="1"/>
  <c r="P5751" i="1"/>
  <c r="O5751" i="1"/>
  <c r="N5751" i="1"/>
  <c r="AA5750" i="1"/>
  <c r="T5750" i="1"/>
  <c r="P5750" i="1"/>
  <c r="O5750" i="1"/>
  <c r="N5750" i="1"/>
  <c r="AA5749" i="1"/>
  <c r="T5749" i="1"/>
  <c r="P5749" i="1"/>
  <c r="O5749" i="1"/>
  <c r="N5749" i="1"/>
  <c r="AA5748" i="1"/>
  <c r="T5748" i="1"/>
  <c r="P5748" i="1"/>
  <c r="O5748" i="1"/>
  <c r="N5748" i="1"/>
  <c r="AA5747" i="1"/>
  <c r="T5747" i="1"/>
  <c r="P5747" i="1"/>
  <c r="O5747" i="1"/>
  <c r="N5747" i="1"/>
  <c r="AA5746" i="1"/>
  <c r="T5746" i="1"/>
  <c r="P5746" i="1"/>
  <c r="O5746" i="1"/>
  <c r="N5746" i="1"/>
  <c r="AA5745" i="1"/>
  <c r="T5745" i="1"/>
  <c r="P5745" i="1"/>
  <c r="O5745" i="1"/>
  <c r="N5745" i="1"/>
  <c r="AA5744" i="1"/>
  <c r="T5744" i="1"/>
  <c r="P5744" i="1"/>
  <c r="O5744" i="1"/>
  <c r="N5744" i="1"/>
  <c r="AA5743" i="1"/>
  <c r="T5743" i="1"/>
  <c r="P5743" i="1"/>
  <c r="O5743" i="1"/>
  <c r="N5743" i="1"/>
  <c r="AA5742" i="1"/>
  <c r="T5742" i="1"/>
  <c r="P5742" i="1"/>
  <c r="O5742" i="1"/>
  <c r="N5742" i="1"/>
  <c r="AA5740" i="1"/>
  <c r="T5740" i="1"/>
  <c r="P5740" i="1"/>
  <c r="O5740" i="1"/>
  <c r="N5740" i="1"/>
  <c r="AA5739" i="1"/>
  <c r="T5739" i="1"/>
  <c r="P5739" i="1"/>
  <c r="O5739" i="1"/>
  <c r="N5739" i="1"/>
  <c r="AA5738" i="1"/>
  <c r="T5738" i="1"/>
  <c r="P5738" i="1"/>
  <c r="O5738" i="1"/>
  <c r="N5738" i="1"/>
  <c r="AA5737" i="1"/>
  <c r="T5737" i="1"/>
  <c r="P5737" i="1"/>
  <c r="O5737" i="1"/>
  <c r="N5737" i="1"/>
  <c r="AA5736" i="1"/>
  <c r="T5736" i="1"/>
  <c r="P5736" i="1"/>
  <c r="O5736" i="1"/>
  <c r="N5736" i="1"/>
  <c r="AA5735" i="1"/>
  <c r="T5735" i="1"/>
  <c r="P5735" i="1"/>
  <c r="O5735" i="1"/>
  <c r="N5735" i="1"/>
  <c r="AA5734" i="1"/>
  <c r="T5734" i="1"/>
  <c r="P5734" i="1"/>
  <c r="O5734" i="1"/>
  <c r="N5734" i="1"/>
  <c r="AA5731" i="1"/>
  <c r="T5731" i="1"/>
  <c r="P5731" i="1"/>
  <c r="O5731" i="1"/>
  <c r="N5731" i="1"/>
  <c r="AA5730" i="1"/>
  <c r="T5730" i="1"/>
  <c r="P5730" i="1"/>
  <c r="O5730" i="1"/>
  <c r="N5730" i="1"/>
  <c r="AA5728" i="1"/>
  <c r="T5728" i="1"/>
  <c r="P5728" i="1"/>
  <c r="O5728" i="1"/>
  <c r="N5728" i="1"/>
  <c r="AA5727" i="1"/>
  <c r="T5727" i="1"/>
  <c r="P5727" i="1"/>
  <c r="O5727" i="1"/>
  <c r="N5727" i="1"/>
  <c r="AA5724" i="1"/>
  <c r="T5724" i="1"/>
  <c r="P5724" i="1"/>
  <c r="O5724" i="1"/>
  <c r="N5724" i="1"/>
  <c r="AA5719" i="1"/>
  <c r="T5719" i="1"/>
  <c r="P5719" i="1"/>
  <c r="O5719" i="1"/>
  <c r="N5719" i="1"/>
  <c r="AA5718" i="1"/>
  <c r="T5718" i="1"/>
  <c r="P5718" i="1"/>
  <c r="O5718" i="1"/>
  <c r="N5718" i="1"/>
  <c r="AA5717" i="1"/>
  <c r="T5717" i="1"/>
  <c r="P5717" i="1"/>
  <c r="O5717" i="1"/>
  <c r="N5717" i="1"/>
  <c r="AA5715" i="1"/>
  <c r="T5715" i="1"/>
  <c r="P5715" i="1"/>
  <c r="O5715" i="1"/>
  <c r="N5715" i="1"/>
  <c r="AA5712" i="1"/>
  <c r="T5712" i="1"/>
  <c r="P5712" i="1"/>
  <c r="O5712" i="1"/>
  <c r="N5712" i="1"/>
  <c r="AA5711" i="1"/>
  <c r="T5711" i="1"/>
  <c r="P5711" i="1"/>
  <c r="O5711" i="1"/>
  <c r="N5711" i="1"/>
  <c r="AA5710" i="1"/>
  <c r="T5710" i="1"/>
  <c r="P5710" i="1"/>
  <c r="O5710" i="1"/>
  <c r="N5710" i="1"/>
  <c r="AA5709" i="1"/>
  <c r="T5709" i="1"/>
  <c r="P5709" i="1"/>
  <c r="O5709" i="1"/>
  <c r="N5709" i="1"/>
  <c r="AA5708" i="1"/>
  <c r="T5708" i="1"/>
  <c r="P5708" i="1"/>
  <c r="O5708" i="1"/>
  <c r="N5708" i="1"/>
  <c r="AA5707" i="1"/>
  <c r="T5707" i="1"/>
  <c r="P5707" i="1"/>
  <c r="O5707" i="1"/>
  <c r="N5707" i="1"/>
  <c r="AA5706" i="1"/>
  <c r="T5706" i="1"/>
  <c r="P5706" i="1"/>
  <c r="O5706" i="1"/>
  <c r="N5706" i="1"/>
  <c r="AA5705" i="1"/>
  <c r="T5705" i="1"/>
  <c r="P5705" i="1"/>
  <c r="O5705" i="1"/>
  <c r="N5705" i="1"/>
  <c r="AA5704" i="1"/>
  <c r="T5704" i="1"/>
  <c r="P5704" i="1"/>
  <c r="O5704" i="1"/>
  <c r="N5704" i="1"/>
  <c r="AA5702" i="1"/>
  <c r="T5702" i="1"/>
  <c r="P5702" i="1"/>
  <c r="O5702" i="1"/>
  <c r="N5702" i="1"/>
  <c r="AA5701" i="1"/>
  <c r="T5701" i="1"/>
  <c r="P5701" i="1"/>
  <c r="O5701" i="1"/>
  <c r="N5701" i="1"/>
  <c r="AA5700" i="1"/>
  <c r="T5700" i="1"/>
  <c r="P5700" i="1"/>
  <c r="O5700" i="1"/>
  <c r="N5700" i="1"/>
  <c r="AA5699" i="1"/>
  <c r="T5699" i="1"/>
  <c r="P5699" i="1"/>
  <c r="O5699" i="1"/>
  <c r="N5699" i="1"/>
  <c r="AA5698" i="1"/>
  <c r="T5698" i="1"/>
  <c r="P5698" i="1"/>
  <c r="O5698" i="1"/>
  <c r="N5698" i="1"/>
  <c r="AA5697" i="1"/>
  <c r="T5697" i="1"/>
  <c r="P5697" i="1"/>
  <c r="O5697" i="1"/>
  <c r="N5697" i="1"/>
  <c r="AA5694" i="1"/>
  <c r="T5694" i="1"/>
  <c r="P5694" i="1"/>
  <c r="O5694" i="1"/>
  <c r="N5694" i="1"/>
  <c r="AA5693" i="1"/>
  <c r="T5693" i="1"/>
  <c r="P5693" i="1"/>
  <c r="O5693" i="1"/>
  <c r="N5693" i="1"/>
  <c r="AA5692" i="1"/>
  <c r="T5692" i="1"/>
  <c r="P5692" i="1"/>
  <c r="O5692" i="1"/>
  <c r="N5692" i="1"/>
  <c r="AA5691" i="1"/>
  <c r="T5691" i="1"/>
  <c r="P5691" i="1"/>
  <c r="O5691" i="1"/>
  <c r="N5691" i="1"/>
  <c r="AA5689" i="1"/>
  <c r="T5689" i="1"/>
  <c r="P5689" i="1"/>
  <c r="O5689" i="1"/>
  <c r="N5689" i="1"/>
  <c r="AA5687" i="1"/>
  <c r="T5687" i="1"/>
  <c r="P5687" i="1"/>
  <c r="O5687" i="1"/>
  <c r="N5687" i="1"/>
  <c r="AA5686" i="1"/>
  <c r="T5686" i="1"/>
  <c r="P5686" i="1"/>
  <c r="O5686" i="1"/>
  <c r="N5686" i="1"/>
  <c r="AA5685" i="1"/>
  <c r="T5685" i="1"/>
  <c r="P5685" i="1"/>
  <c r="O5685" i="1"/>
  <c r="N5685" i="1"/>
  <c r="AA5682" i="1"/>
  <c r="T5682" i="1"/>
  <c r="P5682" i="1"/>
  <c r="O5682" i="1"/>
  <c r="N5682" i="1"/>
  <c r="AA5681" i="1"/>
  <c r="T5681" i="1"/>
  <c r="P5681" i="1"/>
  <c r="O5681" i="1"/>
  <c r="N5681" i="1"/>
  <c r="AA5680" i="1"/>
  <c r="T5680" i="1"/>
  <c r="P5680" i="1"/>
  <c r="O5680" i="1"/>
  <c r="N5680" i="1"/>
  <c r="AA5679" i="1"/>
  <c r="T5679" i="1"/>
  <c r="P5679" i="1"/>
  <c r="O5679" i="1"/>
  <c r="N5679" i="1"/>
  <c r="AA5678" i="1"/>
  <c r="T5678" i="1"/>
  <c r="P5678" i="1"/>
  <c r="O5678" i="1"/>
  <c r="N5678" i="1"/>
  <c r="AA5677" i="1"/>
  <c r="T5677" i="1"/>
  <c r="P5677" i="1"/>
  <c r="O5677" i="1"/>
  <c r="N5677" i="1"/>
  <c r="AA5676" i="1"/>
  <c r="T5676" i="1"/>
  <c r="P5676" i="1"/>
  <c r="O5676" i="1"/>
  <c r="N5676" i="1"/>
  <c r="AA5675" i="1"/>
  <c r="T5675" i="1"/>
  <c r="P5675" i="1"/>
  <c r="O5675" i="1"/>
  <c r="N5675" i="1"/>
  <c r="AA5674" i="1"/>
  <c r="T5674" i="1"/>
  <c r="P5674" i="1"/>
  <c r="O5674" i="1"/>
  <c r="N5674" i="1"/>
  <c r="AA5673" i="1"/>
  <c r="T5673" i="1"/>
  <c r="P5673" i="1"/>
  <c r="O5673" i="1"/>
  <c r="N5673" i="1"/>
  <c r="AA5672" i="1"/>
  <c r="T5672" i="1"/>
  <c r="P5672" i="1"/>
  <c r="O5672" i="1"/>
  <c r="N5672" i="1"/>
  <c r="AA5670" i="1"/>
  <c r="T5670" i="1"/>
  <c r="P5670" i="1"/>
  <c r="O5670" i="1"/>
  <c r="N5670" i="1"/>
  <c r="AA5669" i="1"/>
  <c r="T5669" i="1"/>
  <c r="P5669" i="1"/>
  <c r="O5669" i="1"/>
  <c r="N5669" i="1"/>
  <c r="AA5668" i="1"/>
  <c r="T5668" i="1"/>
  <c r="P5668" i="1"/>
  <c r="O5668" i="1"/>
  <c r="N5668" i="1"/>
  <c r="AA5667" i="1"/>
  <c r="T5667" i="1"/>
  <c r="P5667" i="1"/>
  <c r="O5667" i="1"/>
  <c r="N5667" i="1"/>
  <c r="AA5666" i="1"/>
  <c r="T5666" i="1"/>
  <c r="P5666" i="1"/>
  <c r="O5666" i="1"/>
  <c r="N5666" i="1"/>
  <c r="AA5665" i="1"/>
  <c r="T5665" i="1"/>
  <c r="P5665" i="1"/>
  <c r="O5665" i="1"/>
  <c r="N5665" i="1"/>
  <c r="AA5662" i="1"/>
  <c r="T5662" i="1"/>
  <c r="P5662" i="1"/>
  <c r="O5662" i="1"/>
  <c r="N5662" i="1"/>
  <c r="AA5661" i="1"/>
  <c r="T5661" i="1"/>
  <c r="P5661" i="1"/>
  <c r="O5661" i="1"/>
  <c r="N5661" i="1"/>
  <c r="AA5660" i="1"/>
  <c r="T5660" i="1"/>
  <c r="P5660" i="1"/>
  <c r="O5660" i="1"/>
  <c r="N5660" i="1"/>
  <c r="AA5659" i="1"/>
  <c r="T5659" i="1"/>
  <c r="P5659" i="1"/>
  <c r="O5659" i="1"/>
  <c r="N5659" i="1"/>
  <c r="AA5658" i="1"/>
  <c r="T5658" i="1"/>
  <c r="P5658" i="1"/>
  <c r="O5658" i="1"/>
  <c r="N5658" i="1"/>
  <c r="AA5654" i="1"/>
  <c r="T5654" i="1"/>
  <c r="P5654" i="1"/>
  <c r="O5654" i="1"/>
  <c r="N5654" i="1"/>
  <c r="AA5653" i="1"/>
  <c r="T5653" i="1"/>
  <c r="P5653" i="1"/>
  <c r="O5653" i="1"/>
  <c r="N5653" i="1"/>
  <c r="AA5652" i="1"/>
  <c r="T5652" i="1"/>
  <c r="P5652" i="1"/>
  <c r="O5652" i="1"/>
  <c r="N5652" i="1"/>
  <c r="AA5651" i="1"/>
  <c r="T5651" i="1"/>
  <c r="P5651" i="1"/>
  <c r="O5651" i="1"/>
  <c r="N5651" i="1"/>
  <c r="AA5649" i="1"/>
  <c r="T5649" i="1"/>
  <c r="P5649" i="1"/>
  <c r="O5649" i="1"/>
  <c r="N5649" i="1"/>
  <c r="AA5648" i="1"/>
  <c r="T5648" i="1"/>
  <c r="P5648" i="1"/>
  <c r="O5648" i="1"/>
  <c r="N5648" i="1"/>
  <c r="AA5646" i="1"/>
  <c r="T5646" i="1"/>
  <c r="P5646" i="1"/>
  <c r="O5646" i="1"/>
  <c r="N5646" i="1"/>
  <c r="AA5645" i="1"/>
  <c r="T5645" i="1"/>
  <c r="P5645" i="1"/>
  <c r="O5645" i="1"/>
  <c r="N5645" i="1"/>
  <c r="AA5644" i="1"/>
  <c r="T5644" i="1"/>
  <c r="P5644" i="1"/>
  <c r="O5644" i="1"/>
  <c r="N5644" i="1"/>
  <c r="AA5643" i="1"/>
  <c r="T5643" i="1"/>
  <c r="P5643" i="1"/>
  <c r="O5643" i="1"/>
  <c r="N5643" i="1"/>
  <c r="AA5642" i="1"/>
  <c r="T5642" i="1"/>
  <c r="P5642" i="1"/>
  <c r="O5642" i="1"/>
  <c r="N5642" i="1"/>
  <c r="AA5641" i="1"/>
  <c r="T5641" i="1"/>
  <c r="P5641" i="1"/>
  <c r="O5641" i="1"/>
  <c r="N5641" i="1"/>
  <c r="AA5639" i="1"/>
  <c r="T5639" i="1"/>
  <c r="P5639" i="1"/>
  <c r="O5639" i="1"/>
  <c r="N5639" i="1"/>
  <c r="AA5638" i="1"/>
  <c r="T5638" i="1"/>
  <c r="P5638" i="1"/>
  <c r="O5638" i="1"/>
  <c r="N5638" i="1"/>
  <c r="AA5636" i="1"/>
  <c r="T5636" i="1"/>
  <c r="P5636" i="1"/>
  <c r="O5636" i="1"/>
  <c r="N5636" i="1"/>
  <c r="AA5634" i="1"/>
  <c r="T5634" i="1"/>
  <c r="P5634" i="1"/>
  <c r="O5634" i="1"/>
  <c r="N5634" i="1"/>
  <c r="AA5631" i="1"/>
  <c r="T5631" i="1"/>
  <c r="P5631" i="1"/>
  <c r="O5631" i="1"/>
  <c r="N5631" i="1"/>
  <c r="AA5630" i="1"/>
  <c r="T5630" i="1"/>
  <c r="P5630" i="1"/>
  <c r="O5630" i="1"/>
  <c r="N5630" i="1"/>
  <c r="AA5627" i="1"/>
  <c r="T5627" i="1"/>
  <c r="P5627" i="1"/>
  <c r="O5627" i="1"/>
  <c r="N5627" i="1"/>
  <c r="AA5626" i="1"/>
  <c r="T5626" i="1"/>
  <c r="P5626" i="1"/>
  <c r="O5626" i="1"/>
  <c r="N5626" i="1"/>
  <c r="AA5625" i="1"/>
  <c r="T5625" i="1"/>
  <c r="P5625" i="1"/>
  <c r="O5625" i="1"/>
  <c r="N5625" i="1"/>
  <c r="AA5623" i="1"/>
  <c r="T5623" i="1"/>
  <c r="P5623" i="1"/>
  <c r="O5623" i="1"/>
  <c r="N5623" i="1"/>
  <c r="AA5622" i="1"/>
  <c r="T5622" i="1"/>
  <c r="P5622" i="1"/>
  <c r="O5622" i="1"/>
  <c r="N5622" i="1"/>
  <c r="AA5621" i="1"/>
  <c r="T5621" i="1"/>
  <c r="P5621" i="1"/>
  <c r="O5621" i="1"/>
  <c r="N5621" i="1"/>
  <c r="AA5619" i="1"/>
  <c r="T5619" i="1"/>
  <c r="P5619" i="1"/>
  <c r="O5619" i="1"/>
  <c r="N5619" i="1"/>
  <c r="AA5618" i="1"/>
  <c r="T5618" i="1"/>
  <c r="P5618" i="1"/>
  <c r="O5618" i="1"/>
  <c r="N5618" i="1"/>
  <c r="AA5617" i="1"/>
  <c r="T5617" i="1"/>
  <c r="P5617" i="1"/>
  <c r="O5617" i="1"/>
  <c r="N5617" i="1"/>
  <c r="AA5616" i="1"/>
  <c r="T5616" i="1"/>
  <c r="P5616" i="1"/>
  <c r="O5616" i="1"/>
  <c r="N5616" i="1"/>
  <c r="AA5615" i="1"/>
  <c r="T5615" i="1"/>
  <c r="P5615" i="1"/>
  <c r="O5615" i="1"/>
  <c r="N5615" i="1"/>
  <c r="AA5614" i="1"/>
  <c r="T5614" i="1"/>
  <c r="P5614" i="1"/>
  <c r="O5614" i="1"/>
  <c r="N5614" i="1"/>
  <c r="AA5612" i="1"/>
  <c r="T5612" i="1"/>
  <c r="P5612" i="1"/>
  <c r="O5612" i="1"/>
  <c r="N5612" i="1"/>
  <c r="AA5611" i="1"/>
  <c r="T5611" i="1"/>
  <c r="P5611" i="1"/>
  <c r="O5611" i="1"/>
  <c r="N5611" i="1"/>
  <c r="AA5609" i="1"/>
  <c r="T5609" i="1"/>
  <c r="P5609" i="1"/>
  <c r="O5609" i="1"/>
  <c r="N5609" i="1"/>
  <c r="AA5608" i="1"/>
  <c r="T5608" i="1"/>
  <c r="P5608" i="1"/>
  <c r="O5608" i="1"/>
  <c r="N5608" i="1"/>
  <c r="AA5607" i="1"/>
  <c r="T5607" i="1"/>
  <c r="P5607" i="1"/>
  <c r="O5607" i="1"/>
  <c r="N5607" i="1"/>
  <c r="AA5604" i="1"/>
  <c r="T5604" i="1"/>
  <c r="P5604" i="1"/>
  <c r="O5604" i="1"/>
  <c r="N5604" i="1"/>
  <c r="AA5603" i="1"/>
  <c r="T5603" i="1"/>
  <c r="P5603" i="1"/>
  <c r="O5603" i="1"/>
  <c r="N5603" i="1"/>
  <c r="AA5602" i="1"/>
  <c r="T5602" i="1"/>
  <c r="P5602" i="1"/>
  <c r="O5602" i="1"/>
  <c r="N5602" i="1"/>
  <c r="AA5601" i="1"/>
  <c r="T5601" i="1"/>
  <c r="P5601" i="1"/>
  <c r="O5601" i="1"/>
  <c r="N5601" i="1"/>
  <c r="AA5599" i="1"/>
  <c r="T5599" i="1"/>
  <c r="P5599" i="1"/>
  <c r="O5599" i="1"/>
  <c r="N5599" i="1"/>
  <c r="AA5598" i="1"/>
  <c r="T5598" i="1"/>
  <c r="P5598" i="1"/>
  <c r="O5598" i="1"/>
  <c r="N5598" i="1"/>
  <c r="AA5597" i="1"/>
  <c r="T5597" i="1"/>
  <c r="P5597" i="1"/>
  <c r="O5597" i="1"/>
  <c r="N5597" i="1"/>
  <c r="AA5596" i="1"/>
  <c r="T5596" i="1"/>
  <c r="P5596" i="1"/>
  <c r="O5596" i="1"/>
  <c r="N5596" i="1"/>
  <c r="AA5593" i="1"/>
  <c r="T5593" i="1"/>
  <c r="P5593" i="1"/>
  <c r="O5593" i="1"/>
  <c r="N5593" i="1"/>
  <c r="AA5592" i="1"/>
  <c r="T5592" i="1"/>
  <c r="P5592" i="1"/>
  <c r="O5592" i="1"/>
  <c r="N5592" i="1"/>
  <c r="AA5591" i="1"/>
  <c r="T5591" i="1"/>
  <c r="P5591" i="1"/>
  <c r="O5591" i="1"/>
  <c r="N5591" i="1"/>
  <c r="AA5590" i="1"/>
  <c r="T5590" i="1"/>
  <c r="P5590" i="1"/>
  <c r="O5590" i="1"/>
  <c r="N5590" i="1"/>
  <c r="AA5589" i="1"/>
  <c r="T5589" i="1"/>
  <c r="P5589" i="1"/>
  <c r="O5589" i="1"/>
  <c r="N5589" i="1"/>
  <c r="AA5587" i="1"/>
  <c r="T5587" i="1"/>
  <c r="P5587" i="1"/>
  <c r="O5587" i="1"/>
  <c r="N5587" i="1"/>
  <c r="AA5586" i="1"/>
  <c r="T5586" i="1"/>
  <c r="P5586" i="1"/>
  <c r="O5586" i="1"/>
  <c r="N5586" i="1"/>
  <c r="AA5585" i="1"/>
  <c r="T5585" i="1"/>
  <c r="P5585" i="1"/>
  <c r="O5585" i="1"/>
  <c r="N5585" i="1"/>
  <c r="AA5583" i="1"/>
  <c r="T5583" i="1"/>
  <c r="P5583" i="1"/>
  <c r="O5583" i="1"/>
  <c r="N5583" i="1"/>
  <c r="AA5582" i="1"/>
  <c r="T5582" i="1"/>
  <c r="P5582" i="1"/>
  <c r="O5582" i="1"/>
  <c r="N5582" i="1"/>
  <c r="AA5581" i="1"/>
  <c r="T5581" i="1"/>
  <c r="P5581" i="1"/>
  <c r="O5581" i="1"/>
  <c r="N5581" i="1"/>
  <c r="AA5580" i="1"/>
  <c r="T5580" i="1"/>
  <c r="P5580" i="1"/>
  <c r="O5580" i="1"/>
  <c r="N5580" i="1"/>
  <c r="AA5579" i="1"/>
  <c r="T5579" i="1"/>
  <c r="P5579" i="1"/>
  <c r="O5579" i="1"/>
  <c r="N5579" i="1"/>
  <c r="AA5577" i="1"/>
  <c r="T5577" i="1"/>
  <c r="P5577" i="1"/>
  <c r="O5577" i="1"/>
  <c r="N5577" i="1"/>
  <c r="AA5576" i="1"/>
  <c r="T5576" i="1"/>
  <c r="P5576" i="1"/>
  <c r="O5576" i="1"/>
  <c r="N5576" i="1"/>
  <c r="AA5575" i="1"/>
  <c r="T5575" i="1"/>
  <c r="P5575" i="1"/>
  <c r="O5575" i="1"/>
  <c r="N5575" i="1"/>
  <c r="AA5574" i="1"/>
  <c r="T5574" i="1"/>
  <c r="P5574" i="1"/>
  <c r="O5574" i="1"/>
  <c r="N5574" i="1"/>
  <c r="AA5573" i="1"/>
  <c r="T5573" i="1"/>
  <c r="P5573" i="1"/>
  <c r="O5573" i="1"/>
  <c r="N5573" i="1"/>
  <c r="AA5572" i="1"/>
  <c r="T5572" i="1"/>
  <c r="P5572" i="1"/>
  <c r="O5572" i="1"/>
  <c r="N5572" i="1"/>
  <c r="AA5571" i="1"/>
  <c r="T5571" i="1"/>
  <c r="P5571" i="1"/>
  <c r="O5571" i="1"/>
  <c r="N5571" i="1"/>
  <c r="AA5570" i="1"/>
  <c r="T5570" i="1"/>
  <c r="P5570" i="1"/>
  <c r="O5570" i="1"/>
  <c r="N5570" i="1"/>
  <c r="AA5567" i="1"/>
  <c r="T5567" i="1"/>
  <c r="P5567" i="1"/>
  <c r="O5567" i="1"/>
  <c r="N5567" i="1"/>
  <c r="AA5565" i="1"/>
  <c r="T5565" i="1"/>
  <c r="P5565" i="1"/>
  <c r="O5565" i="1"/>
  <c r="N5565" i="1"/>
  <c r="AA5563" i="1"/>
  <c r="T5563" i="1"/>
  <c r="P5563" i="1"/>
  <c r="O5563" i="1"/>
  <c r="N5563" i="1"/>
  <c r="AA5562" i="1"/>
  <c r="T5562" i="1"/>
  <c r="P5562" i="1"/>
  <c r="O5562" i="1"/>
  <c r="N5562" i="1"/>
  <c r="AA5561" i="1"/>
  <c r="T5561" i="1"/>
  <c r="P5561" i="1"/>
  <c r="O5561" i="1"/>
  <c r="N5561" i="1"/>
  <c r="AA5560" i="1"/>
  <c r="T5560" i="1"/>
  <c r="P5560" i="1"/>
  <c r="O5560" i="1"/>
  <c r="N5560" i="1"/>
  <c r="AA5554" i="1"/>
  <c r="T5554" i="1"/>
  <c r="P5554" i="1"/>
  <c r="O5554" i="1"/>
  <c r="N5554" i="1"/>
  <c r="AA5553" i="1"/>
  <c r="T5553" i="1"/>
  <c r="P5553" i="1"/>
  <c r="O5553" i="1"/>
  <c r="N5553" i="1"/>
  <c r="AA5552" i="1"/>
  <c r="T5552" i="1"/>
  <c r="P5552" i="1"/>
  <c r="O5552" i="1"/>
  <c r="N5552" i="1"/>
  <c r="AA5550" i="1"/>
  <c r="T5550" i="1"/>
  <c r="P5550" i="1"/>
  <c r="O5550" i="1"/>
  <c r="N5550" i="1"/>
  <c r="AA5549" i="1"/>
  <c r="T5549" i="1"/>
  <c r="P5549" i="1"/>
  <c r="O5549" i="1"/>
  <c r="N5549" i="1"/>
  <c r="AA5548" i="1"/>
  <c r="T5548" i="1"/>
  <c r="P5548" i="1"/>
  <c r="O5548" i="1"/>
  <c r="N5548" i="1"/>
  <c r="AA5547" i="1"/>
  <c r="T5547" i="1"/>
  <c r="P5547" i="1"/>
  <c r="O5547" i="1"/>
  <c r="N5547" i="1"/>
  <c r="AA5545" i="1"/>
  <c r="T5545" i="1"/>
  <c r="P5545" i="1"/>
  <c r="O5545" i="1"/>
  <c r="N5545" i="1"/>
  <c r="P5544" i="1"/>
  <c r="O5544" i="1"/>
  <c r="N5544" i="1"/>
  <c r="AA5543" i="1"/>
  <c r="T5543" i="1"/>
  <c r="P5543" i="1"/>
  <c r="O5543" i="1"/>
  <c r="N5543" i="1"/>
  <c r="AA5542" i="1"/>
  <c r="T5542" i="1"/>
  <c r="P5542" i="1"/>
  <c r="O5542" i="1"/>
  <c r="N5542" i="1"/>
  <c r="AA5541" i="1"/>
  <c r="T5541" i="1"/>
  <c r="P5541" i="1"/>
  <c r="O5541" i="1"/>
  <c r="N5541" i="1"/>
  <c r="AA5540" i="1"/>
  <c r="T5540" i="1"/>
  <c r="P5540" i="1"/>
  <c r="O5540" i="1"/>
  <c r="N5540" i="1"/>
  <c r="AA5539" i="1"/>
  <c r="T5539" i="1"/>
  <c r="P5539" i="1"/>
  <c r="O5539" i="1"/>
  <c r="N5539" i="1"/>
  <c r="AA5538" i="1"/>
  <c r="T5538" i="1"/>
  <c r="P5538" i="1"/>
  <c r="O5538" i="1"/>
  <c r="N5538" i="1"/>
  <c r="AA5537" i="1"/>
  <c r="T5537" i="1"/>
  <c r="P5537" i="1"/>
  <c r="O5537" i="1"/>
  <c r="N5537" i="1"/>
  <c r="AA5536" i="1"/>
  <c r="T5536" i="1"/>
  <c r="P5536" i="1"/>
  <c r="O5536" i="1"/>
  <c r="N5536" i="1"/>
  <c r="AA5535" i="1"/>
  <c r="T5535" i="1"/>
  <c r="P5535" i="1"/>
  <c r="O5535" i="1"/>
  <c r="N5535" i="1"/>
  <c r="P5533" i="1"/>
  <c r="O5533" i="1"/>
  <c r="N5533" i="1"/>
  <c r="AA5532" i="1"/>
  <c r="T5532" i="1"/>
  <c r="P5532" i="1"/>
  <c r="O5532" i="1"/>
  <c r="N5532" i="1"/>
  <c r="AA5530" i="1"/>
  <c r="T5530" i="1"/>
  <c r="P5530" i="1"/>
  <c r="O5530" i="1"/>
  <c r="N5530" i="1"/>
  <c r="AA5529" i="1"/>
  <c r="T5529" i="1"/>
  <c r="P5529" i="1"/>
  <c r="O5529" i="1"/>
  <c r="N5529" i="1"/>
  <c r="AA5528" i="1"/>
  <c r="T5528" i="1"/>
  <c r="P5528" i="1"/>
  <c r="O5528" i="1"/>
  <c r="N5528" i="1"/>
  <c r="AA5527" i="1"/>
  <c r="T5527" i="1"/>
  <c r="P5527" i="1"/>
  <c r="O5527" i="1"/>
  <c r="N5527" i="1"/>
  <c r="AA5526" i="1"/>
  <c r="T5526" i="1"/>
  <c r="P5526" i="1"/>
  <c r="O5526" i="1"/>
  <c r="N5526" i="1"/>
  <c r="AA5525" i="1"/>
  <c r="T5525" i="1"/>
  <c r="P5525" i="1"/>
  <c r="O5525" i="1"/>
  <c r="N5525" i="1"/>
  <c r="AA5524" i="1"/>
  <c r="T5524" i="1"/>
  <c r="P5524" i="1"/>
  <c r="O5524" i="1"/>
  <c r="N5524" i="1"/>
  <c r="AA5520" i="1"/>
  <c r="T5520" i="1"/>
  <c r="P5520" i="1"/>
  <c r="O5520" i="1"/>
  <c r="N5520" i="1"/>
  <c r="AA5519" i="1"/>
  <c r="T5519" i="1"/>
  <c r="P5519" i="1"/>
  <c r="O5519" i="1"/>
  <c r="N5519" i="1"/>
  <c r="AA5518" i="1"/>
  <c r="T5518" i="1"/>
  <c r="P5518" i="1"/>
  <c r="O5518" i="1"/>
  <c r="N5518" i="1"/>
  <c r="AA5517" i="1"/>
  <c r="T5517" i="1"/>
  <c r="P5517" i="1"/>
  <c r="O5517" i="1"/>
  <c r="N5517" i="1"/>
  <c r="AA5516" i="1"/>
  <c r="T5516" i="1"/>
  <c r="P5516" i="1"/>
  <c r="O5516" i="1"/>
  <c r="N5516" i="1"/>
  <c r="AA5515" i="1"/>
  <c r="T5515" i="1"/>
  <c r="P5515" i="1"/>
  <c r="O5515" i="1"/>
  <c r="N5515" i="1"/>
  <c r="AA5514" i="1"/>
  <c r="T5514" i="1"/>
  <c r="P5514" i="1"/>
  <c r="O5514" i="1"/>
  <c r="N5514" i="1"/>
  <c r="AA5513" i="1"/>
  <c r="T5513" i="1"/>
  <c r="P5513" i="1"/>
  <c r="O5513" i="1"/>
  <c r="N5513" i="1"/>
  <c r="AA5512" i="1"/>
  <c r="T5512" i="1"/>
  <c r="P5512" i="1"/>
  <c r="O5512" i="1"/>
  <c r="N5512" i="1"/>
  <c r="AA5511" i="1"/>
  <c r="T5511" i="1"/>
  <c r="P5511" i="1"/>
  <c r="O5511" i="1"/>
  <c r="N5511" i="1"/>
  <c r="AA5510" i="1"/>
  <c r="T5510" i="1"/>
  <c r="P5510" i="1"/>
  <c r="O5510" i="1"/>
  <c r="N5510" i="1"/>
  <c r="AA5507" i="1"/>
  <c r="T5507" i="1"/>
  <c r="P5507" i="1"/>
  <c r="O5507" i="1"/>
  <c r="N5507" i="1"/>
  <c r="AA5506" i="1"/>
  <c r="T5506" i="1"/>
  <c r="P5506" i="1"/>
  <c r="O5506" i="1"/>
  <c r="N5506" i="1"/>
  <c r="AA5505" i="1"/>
  <c r="T5505" i="1"/>
  <c r="P5505" i="1"/>
  <c r="O5505" i="1"/>
  <c r="N5505" i="1"/>
  <c r="AA5504" i="1"/>
  <c r="T5504" i="1"/>
  <c r="P5504" i="1"/>
  <c r="O5504" i="1"/>
  <c r="N5504" i="1"/>
  <c r="AA5503" i="1"/>
  <c r="T5503" i="1"/>
  <c r="P5503" i="1"/>
  <c r="O5503" i="1"/>
  <c r="N5503" i="1"/>
  <c r="AA5502" i="1"/>
  <c r="T5502" i="1"/>
  <c r="P5502" i="1"/>
  <c r="O5502" i="1"/>
  <c r="N5502" i="1"/>
  <c r="AA5501" i="1"/>
  <c r="T5501" i="1"/>
  <c r="P5501" i="1"/>
  <c r="O5501" i="1"/>
  <c r="N5501" i="1"/>
  <c r="AA5500" i="1"/>
  <c r="T5500" i="1"/>
  <c r="P5500" i="1"/>
  <c r="O5500" i="1"/>
  <c r="N5500" i="1"/>
  <c r="AA5498" i="1"/>
  <c r="T5498" i="1"/>
  <c r="P5498" i="1"/>
  <c r="O5498" i="1"/>
  <c r="N5498" i="1"/>
  <c r="AA5497" i="1"/>
  <c r="T5497" i="1"/>
  <c r="P5497" i="1"/>
  <c r="O5497" i="1"/>
  <c r="N5497" i="1"/>
  <c r="AA5496" i="1"/>
  <c r="T5496" i="1"/>
  <c r="P5496" i="1"/>
  <c r="O5496" i="1"/>
  <c r="N5496" i="1"/>
  <c r="AA5494" i="1"/>
  <c r="T5494" i="1"/>
  <c r="P5494" i="1"/>
  <c r="O5494" i="1"/>
  <c r="N5494" i="1"/>
  <c r="AA5493" i="1"/>
  <c r="T5493" i="1"/>
  <c r="P5493" i="1"/>
  <c r="O5493" i="1"/>
  <c r="N5493" i="1"/>
  <c r="AA5491" i="1"/>
  <c r="T5491" i="1"/>
  <c r="P5491" i="1"/>
  <c r="O5491" i="1"/>
  <c r="N5491" i="1"/>
  <c r="AA5487" i="1"/>
  <c r="T5487" i="1"/>
  <c r="P5487" i="1"/>
  <c r="O5487" i="1"/>
  <c r="N5487" i="1"/>
  <c r="AA5485" i="1"/>
  <c r="T5485" i="1"/>
  <c r="P5485" i="1"/>
  <c r="O5485" i="1"/>
  <c r="N5485" i="1"/>
  <c r="AA5484" i="1"/>
  <c r="T5484" i="1"/>
  <c r="P5484" i="1"/>
  <c r="O5484" i="1"/>
  <c r="N5484" i="1"/>
  <c r="AA5482" i="1"/>
  <c r="T5482" i="1"/>
  <c r="P5482" i="1"/>
  <c r="O5482" i="1"/>
  <c r="N5482" i="1"/>
  <c r="AA5481" i="1"/>
  <c r="T5481" i="1"/>
  <c r="P5481" i="1"/>
  <c r="O5481" i="1"/>
  <c r="N5481" i="1"/>
  <c r="AA5480" i="1"/>
  <c r="T5480" i="1"/>
  <c r="P5480" i="1"/>
  <c r="O5480" i="1"/>
  <c r="N5480" i="1"/>
  <c r="AA5479" i="1"/>
  <c r="T5479" i="1"/>
  <c r="P5479" i="1"/>
  <c r="O5479" i="1"/>
  <c r="N5479" i="1"/>
  <c r="AA5478" i="1"/>
  <c r="T5478" i="1"/>
  <c r="P5478" i="1"/>
  <c r="O5478" i="1"/>
  <c r="N5478" i="1"/>
  <c r="AA5477" i="1"/>
  <c r="T5477" i="1"/>
  <c r="P5477" i="1"/>
  <c r="O5477" i="1"/>
  <c r="N5477" i="1"/>
  <c r="AA5475" i="1"/>
  <c r="T5475" i="1"/>
  <c r="P5475" i="1"/>
  <c r="O5475" i="1"/>
  <c r="N5475" i="1"/>
  <c r="AA5474" i="1"/>
  <c r="T5474" i="1"/>
  <c r="P5474" i="1"/>
  <c r="O5474" i="1"/>
  <c r="N5474" i="1"/>
  <c r="AA5473" i="1"/>
  <c r="T5473" i="1"/>
  <c r="P5473" i="1"/>
  <c r="O5473" i="1"/>
  <c r="N5473" i="1"/>
  <c r="AA5472" i="1"/>
  <c r="T5472" i="1"/>
  <c r="P5472" i="1"/>
  <c r="O5472" i="1"/>
  <c r="N5472" i="1"/>
  <c r="AA5471" i="1"/>
  <c r="T5471" i="1"/>
  <c r="P5471" i="1"/>
  <c r="O5471" i="1"/>
  <c r="N5471" i="1"/>
  <c r="AA5470" i="1"/>
  <c r="T5470" i="1"/>
  <c r="P5470" i="1"/>
  <c r="O5470" i="1"/>
  <c r="N5470" i="1"/>
  <c r="AA5469" i="1"/>
  <c r="T5469" i="1"/>
  <c r="P5469" i="1"/>
  <c r="O5469" i="1"/>
  <c r="N5469" i="1"/>
  <c r="AA5468" i="1"/>
  <c r="T5468" i="1"/>
  <c r="P5468" i="1"/>
  <c r="O5468" i="1"/>
  <c r="N5468" i="1"/>
  <c r="AA5467" i="1"/>
  <c r="T5467" i="1"/>
  <c r="P5467" i="1"/>
  <c r="O5467" i="1"/>
  <c r="N5467" i="1"/>
  <c r="AA5466" i="1"/>
  <c r="T5466" i="1"/>
  <c r="P5466" i="1"/>
  <c r="O5466" i="1"/>
  <c r="N5466" i="1"/>
  <c r="AA5465" i="1"/>
  <c r="T5465" i="1"/>
  <c r="P5465" i="1"/>
  <c r="O5465" i="1"/>
  <c r="N5465" i="1"/>
  <c r="AA5464" i="1"/>
  <c r="T5464" i="1"/>
  <c r="P5464" i="1"/>
  <c r="O5464" i="1"/>
  <c r="N5464" i="1"/>
  <c r="AA5463" i="1"/>
  <c r="T5463" i="1"/>
  <c r="P5463" i="1"/>
  <c r="O5463" i="1"/>
  <c r="N5463" i="1"/>
  <c r="AA5462" i="1"/>
  <c r="T5462" i="1"/>
  <c r="P5462" i="1"/>
  <c r="O5462" i="1"/>
  <c r="N5462" i="1"/>
  <c r="AA5461" i="1"/>
  <c r="T5461" i="1"/>
  <c r="P5461" i="1"/>
  <c r="O5461" i="1"/>
  <c r="N5461" i="1"/>
  <c r="AA5460" i="1"/>
  <c r="T5460" i="1"/>
  <c r="P5460" i="1"/>
  <c r="O5460" i="1"/>
  <c r="N5460" i="1"/>
  <c r="AA5459" i="1"/>
  <c r="T5459" i="1"/>
  <c r="P5459" i="1"/>
  <c r="O5459" i="1"/>
  <c r="N5459" i="1"/>
  <c r="AA5457" i="1"/>
  <c r="T5457" i="1"/>
  <c r="P5457" i="1"/>
  <c r="O5457" i="1"/>
  <c r="N5457" i="1"/>
  <c r="AA5456" i="1"/>
  <c r="T5456" i="1"/>
  <c r="P5456" i="1"/>
  <c r="O5456" i="1"/>
  <c r="N5456" i="1"/>
  <c r="AA5455" i="1"/>
  <c r="T5455" i="1"/>
  <c r="P5455" i="1"/>
  <c r="O5455" i="1"/>
  <c r="N5455" i="1"/>
  <c r="AA5454" i="1"/>
  <c r="T5454" i="1"/>
  <c r="P5454" i="1"/>
  <c r="O5454" i="1"/>
  <c r="N5454" i="1"/>
  <c r="AA5453" i="1"/>
  <c r="T5453" i="1"/>
  <c r="P5453" i="1"/>
  <c r="O5453" i="1"/>
  <c r="N5453" i="1"/>
  <c r="AA5452" i="1"/>
  <c r="T5452" i="1"/>
  <c r="P5452" i="1"/>
  <c r="O5452" i="1"/>
  <c r="N5452" i="1"/>
  <c r="AA5451" i="1"/>
  <c r="T5451" i="1"/>
  <c r="P5451" i="1"/>
  <c r="O5451" i="1"/>
  <c r="N5451" i="1"/>
  <c r="AA5450" i="1"/>
  <c r="T5450" i="1"/>
  <c r="P5450" i="1"/>
  <c r="O5450" i="1"/>
  <c r="N5450" i="1"/>
  <c r="AA5449" i="1"/>
  <c r="T5449" i="1"/>
  <c r="P5449" i="1"/>
  <c r="O5449" i="1"/>
  <c r="N5449" i="1"/>
  <c r="AA5448" i="1"/>
  <c r="T5448" i="1"/>
  <c r="P5448" i="1"/>
  <c r="O5448" i="1"/>
  <c r="N5448" i="1"/>
  <c r="AA5447" i="1"/>
  <c r="T5447" i="1"/>
  <c r="P5447" i="1"/>
  <c r="O5447" i="1"/>
  <c r="N5447" i="1"/>
  <c r="AA5446" i="1"/>
  <c r="T5446" i="1"/>
  <c r="P5446" i="1"/>
  <c r="O5446" i="1"/>
  <c r="N5446" i="1"/>
  <c r="AA5445" i="1"/>
  <c r="T5445" i="1"/>
  <c r="P5445" i="1"/>
  <c r="O5445" i="1"/>
  <c r="N5445" i="1"/>
  <c r="AA5444" i="1"/>
  <c r="T5444" i="1"/>
  <c r="P5444" i="1"/>
  <c r="O5444" i="1"/>
  <c r="N5444" i="1"/>
  <c r="AA5443" i="1"/>
  <c r="T5443" i="1"/>
  <c r="P5443" i="1"/>
  <c r="O5443" i="1"/>
  <c r="N5443" i="1"/>
  <c r="AA5442" i="1"/>
  <c r="T5442" i="1"/>
  <c r="P5442" i="1"/>
  <c r="O5442" i="1"/>
  <c r="N5442" i="1"/>
  <c r="AA5441" i="1"/>
  <c r="T5441" i="1"/>
  <c r="P5441" i="1"/>
  <c r="O5441" i="1"/>
  <c r="N5441" i="1"/>
  <c r="AA5439" i="1"/>
  <c r="T5439" i="1"/>
  <c r="P5439" i="1"/>
  <c r="O5439" i="1"/>
  <c r="N5439" i="1"/>
  <c r="AA5438" i="1"/>
  <c r="T5438" i="1"/>
  <c r="P5438" i="1"/>
  <c r="O5438" i="1"/>
  <c r="N5438" i="1"/>
  <c r="AA5437" i="1"/>
  <c r="T5437" i="1"/>
  <c r="P5437" i="1"/>
  <c r="O5437" i="1"/>
  <c r="N5437" i="1"/>
  <c r="AA5436" i="1"/>
  <c r="T5436" i="1"/>
  <c r="P5436" i="1"/>
  <c r="O5436" i="1"/>
  <c r="N5436" i="1"/>
  <c r="AA5435" i="1"/>
  <c r="T5435" i="1"/>
  <c r="P5435" i="1"/>
  <c r="O5435" i="1"/>
  <c r="N5435" i="1"/>
  <c r="AA5434" i="1"/>
  <c r="T5434" i="1"/>
  <c r="P5434" i="1"/>
  <c r="O5434" i="1"/>
  <c r="N5434" i="1"/>
  <c r="AA5433" i="1"/>
  <c r="T5433" i="1"/>
  <c r="P5433" i="1"/>
  <c r="O5433" i="1"/>
  <c r="N5433" i="1"/>
  <c r="AA5432" i="1"/>
  <c r="T5432" i="1"/>
  <c r="P5432" i="1"/>
  <c r="O5432" i="1"/>
  <c r="N5432" i="1"/>
  <c r="AA5430" i="1"/>
  <c r="T5430" i="1"/>
  <c r="P5430" i="1"/>
  <c r="O5430" i="1"/>
  <c r="N5430" i="1"/>
  <c r="AA5429" i="1"/>
  <c r="T5429" i="1"/>
  <c r="P5429" i="1"/>
  <c r="O5429" i="1"/>
  <c r="N5429" i="1"/>
  <c r="AA5428" i="1"/>
  <c r="T5428" i="1"/>
  <c r="P5428" i="1"/>
  <c r="O5428" i="1"/>
  <c r="N5428" i="1"/>
  <c r="AA5425" i="1"/>
  <c r="T5425" i="1"/>
  <c r="P5425" i="1"/>
  <c r="O5425" i="1"/>
  <c r="N5425" i="1"/>
  <c r="AA5424" i="1"/>
  <c r="T5424" i="1"/>
  <c r="P5424" i="1"/>
  <c r="O5424" i="1"/>
  <c r="N5424" i="1"/>
  <c r="AA5423" i="1"/>
  <c r="T5423" i="1"/>
  <c r="P5423" i="1"/>
  <c r="O5423" i="1"/>
  <c r="N5423" i="1"/>
  <c r="AA5422" i="1"/>
  <c r="T5422" i="1"/>
  <c r="P5422" i="1"/>
  <c r="O5422" i="1"/>
  <c r="N5422" i="1"/>
  <c r="AA5421" i="1"/>
  <c r="T5421" i="1"/>
  <c r="P5421" i="1"/>
  <c r="O5421" i="1"/>
  <c r="N5421" i="1"/>
  <c r="AA5419" i="1"/>
  <c r="T5419" i="1"/>
  <c r="P5419" i="1"/>
  <c r="O5419" i="1"/>
  <c r="N5419" i="1"/>
  <c r="AA5417" i="1"/>
  <c r="T5417" i="1"/>
  <c r="P5417" i="1"/>
  <c r="O5417" i="1"/>
  <c r="N5417" i="1"/>
  <c r="AA5415" i="1"/>
  <c r="T5415" i="1"/>
  <c r="P5415" i="1"/>
  <c r="O5415" i="1"/>
  <c r="N5415" i="1"/>
  <c r="AA5414" i="1"/>
  <c r="T5414" i="1"/>
  <c r="P5414" i="1"/>
  <c r="O5414" i="1"/>
  <c r="N5414" i="1"/>
  <c r="AA5413" i="1"/>
  <c r="T5413" i="1"/>
  <c r="P5413" i="1"/>
  <c r="O5413" i="1"/>
  <c r="N5413" i="1"/>
  <c r="AA5412" i="1"/>
  <c r="T5412" i="1"/>
  <c r="P5412" i="1"/>
  <c r="O5412" i="1"/>
  <c r="N5412" i="1"/>
  <c r="AA5411" i="1"/>
  <c r="T5411" i="1"/>
  <c r="P5411" i="1"/>
  <c r="O5411" i="1"/>
  <c r="N5411" i="1"/>
  <c r="AA5410" i="1"/>
  <c r="T5410" i="1"/>
  <c r="P5410" i="1"/>
  <c r="O5410" i="1"/>
  <c r="N5410" i="1"/>
  <c r="AA5409" i="1"/>
  <c r="T5409" i="1"/>
  <c r="P5409" i="1"/>
  <c r="O5409" i="1"/>
  <c r="N5409" i="1"/>
  <c r="AA5408" i="1"/>
  <c r="T5408" i="1"/>
  <c r="P5408" i="1"/>
  <c r="O5408" i="1"/>
  <c r="N5408" i="1"/>
  <c r="AA5406" i="1"/>
  <c r="T5406" i="1"/>
  <c r="P5406" i="1"/>
  <c r="O5406" i="1"/>
  <c r="N5406" i="1"/>
  <c r="AA5405" i="1"/>
  <c r="T5405" i="1"/>
  <c r="P5405" i="1"/>
  <c r="O5405" i="1"/>
  <c r="N5405" i="1"/>
  <c r="AA5404" i="1"/>
  <c r="T5404" i="1"/>
  <c r="P5404" i="1"/>
  <c r="O5404" i="1"/>
  <c r="N5404" i="1"/>
  <c r="AA5403" i="1"/>
  <c r="T5403" i="1"/>
  <c r="P5403" i="1"/>
  <c r="O5403" i="1"/>
  <c r="N5403" i="1"/>
  <c r="AA5402" i="1"/>
  <c r="T5402" i="1"/>
  <c r="P5402" i="1"/>
  <c r="O5402" i="1"/>
  <c r="N5402" i="1"/>
  <c r="AA5400" i="1"/>
  <c r="T5400" i="1"/>
  <c r="P5400" i="1"/>
  <c r="O5400" i="1"/>
  <c r="N5400" i="1"/>
  <c r="AA5399" i="1"/>
  <c r="T5399" i="1"/>
  <c r="P5399" i="1"/>
  <c r="O5399" i="1"/>
  <c r="N5399" i="1"/>
  <c r="AA5397" i="1"/>
  <c r="T5397" i="1"/>
  <c r="P5397" i="1"/>
  <c r="O5397" i="1"/>
  <c r="N5397" i="1"/>
  <c r="AA5395" i="1"/>
  <c r="T5395" i="1"/>
  <c r="P5395" i="1"/>
  <c r="O5395" i="1"/>
  <c r="N5395" i="1"/>
  <c r="AA5394" i="1"/>
  <c r="T5394" i="1"/>
  <c r="P5394" i="1"/>
  <c r="O5394" i="1"/>
  <c r="N5394" i="1"/>
  <c r="AA5393" i="1"/>
  <c r="T5393" i="1"/>
  <c r="P5393" i="1"/>
  <c r="O5393" i="1"/>
  <c r="N5393" i="1"/>
  <c r="AA5392" i="1"/>
  <c r="T5392" i="1"/>
  <c r="P5392" i="1"/>
  <c r="O5392" i="1"/>
  <c r="N5392" i="1"/>
  <c r="AA5391" i="1"/>
  <c r="T5391" i="1"/>
  <c r="P5391" i="1"/>
  <c r="O5391" i="1"/>
  <c r="N5391" i="1"/>
  <c r="AA5390" i="1"/>
  <c r="T5390" i="1"/>
  <c r="P5390" i="1"/>
  <c r="O5390" i="1"/>
  <c r="N5390" i="1"/>
  <c r="AA5389" i="1"/>
  <c r="T5389" i="1"/>
  <c r="P5389" i="1"/>
  <c r="O5389" i="1"/>
  <c r="N5389" i="1"/>
  <c r="AA5387" i="1"/>
  <c r="T5387" i="1"/>
  <c r="P5387" i="1"/>
  <c r="O5387" i="1"/>
  <c r="N5387" i="1"/>
  <c r="AA5386" i="1"/>
  <c r="T5386" i="1"/>
  <c r="P5386" i="1"/>
  <c r="O5386" i="1"/>
  <c r="N5386" i="1"/>
  <c r="AA5385" i="1"/>
  <c r="T5385" i="1"/>
  <c r="P5385" i="1"/>
  <c r="O5385" i="1"/>
  <c r="N5385" i="1"/>
  <c r="AA5384" i="1"/>
  <c r="T5384" i="1"/>
  <c r="P5384" i="1"/>
  <c r="O5384" i="1"/>
  <c r="N5384" i="1"/>
  <c r="AA5383" i="1"/>
  <c r="T5383" i="1"/>
  <c r="P5383" i="1"/>
  <c r="O5383" i="1"/>
  <c r="N5383" i="1"/>
  <c r="AA5382" i="1"/>
  <c r="T5382" i="1"/>
  <c r="P5382" i="1"/>
  <c r="O5382" i="1"/>
  <c r="N5382" i="1"/>
  <c r="AA5381" i="1"/>
  <c r="T5381" i="1"/>
  <c r="P5381" i="1"/>
  <c r="O5381" i="1"/>
  <c r="N5381" i="1"/>
  <c r="AA5380" i="1"/>
  <c r="T5380" i="1"/>
  <c r="P5380" i="1"/>
  <c r="O5380" i="1"/>
  <c r="N5380" i="1"/>
  <c r="AA5379" i="1"/>
  <c r="T5379" i="1"/>
  <c r="P5379" i="1"/>
  <c r="O5379" i="1"/>
  <c r="N5379" i="1"/>
  <c r="AA5378" i="1"/>
  <c r="T5378" i="1"/>
  <c r="P5378" i="1"/>
  <c r="O5378" i="1"/>
  <c r="N5378" i="1"/>
  <c r="AA5377" i="1"/>
  <c r="T5377" i="1"/>
  <c r="P5377" i="1"/>
  <c r="O5377" i="1"/>
  <c r="N5377" i="1"/>
  <c r="AA5376" i="1"/>
  <c r="T5376" i="1"/>
  <c r="P5376" i="1"/>
  <c r="O5376" i="1"/>
  <c r="N5376" i="1"/>
  <c r="AA5375" i="1"/>
  <c r="T5375" i="1"/>
  <c r="P5375" i="1"/>
  <c r="O5375" i="1"/>
  <c r="N5375" i="1"/>
  <c r="AA5374" i="1"/>
  <c r="T5374" i="1"/>
  <c r="P5374" i="1"/>
  <c r="O5374" i="1"/>
  <c r="N5374" i="1"/>
  <c r="AA5373" i="1"/>
  <c r="T5373" i="1"/>
  <c r="P5373" i="1"/>
  <c r="O5373" i="1"/>
  <c r="N5373" i="1"/>
  <c r="AA5370" i="1"/>
  <c r="T5370" i="1"/>
  <c r="P5370" i="1"/>
  <c r="O5370" i="1"/>
  <c r="N5370" i="1"/>
  <c r="AA5369" i="1"/>
  <c r="T5369" i="1"/>
  <c r="P5369" i="1"/>
  <c r="O5369" i="1"/>
  <c r="N5369" i="1"/>
  <c r="AA5368" i="1"/>
  <c r="T5368" i="1"/>
  <c r="P5368" i="1"/>
  <c r="O5368" i="1"/>
  <c r="N5368" i="1"/>
  <c r="AA5367" i="1"/>
  <c r="T5367" i="1"/>
  <c r="P5367" i="1"/>
  <c r="O5367" i="1"/>
  <c r="N5367" i="1"/>
  <c r="AA5366" i="1"/>
  <c r="T5366" i="1"/>
  <c r="P5366" i="1"/>
  <c r="O5366" i="1"/>
  <c r="N5366" i="1"/>
  <c r="AA5365" i="1"/>
  <c r="T5365" i="1"/>
  <c r="P5365" i="1"/>
  <c r="O5365" i="1"/>
  <c r="N5365" i="1"/>
  <c r="AA5364" i="1"/>
  <c r="T5364" i="1"/>
  <c r="P5364" i="1"/>
  <c r="O5364" i="1"/>
  <c r="N5364" i="1"/>
  <c r="AA5363" i="1"/>
  <c r="T5363" i="1"/>
  <c r="P5363" i="1"/>
  <c r="O5363" i="1"/>
  <c r="N5363" i="1"/>
  <c r="AA5361" i="1"/>
  <c r="T5361" i="1"/>
  <c r="P5361" i="1"/>
  <c r="O5361" i="1"/>
  <c r="N5361" i="1"/>
  <c r="AA5360" i="1"/>
  <c r="T5360" i="1"/>
  <c r="P5360" i="1"/>
  <c r="O5360" i="1"/>
  <c r="N5360" i="1"/>
  <c r="AA5359" i="1"/>
  <c r="T5359" i="1"/>
  <c r="P5359" i="1"/>
  <c r="O5359" i="1"/>
  <c r="N5359" i="1"/>
  <c r="AA5358" i="1"/>
  <c r="T5358" i="1"/>
  <c r="P5358" i="1"/>
  <c r="O5358" i="1"/>
  <c r="N5358" i="1"/>
  <c r="AA5357" i="1"/>
  <c r="T5357" i="1"/>
  <c r="P5357" i="1"/>
  <c r="O5357" i="1"/>
  <c r="N5357" i="1"/>
  <c r="AA5356" i="1"/>
  <c r="T5356" i="1"/>
  <c r="O5356" i="1"/>
  <c r="N5356" i="1"/>
  <c r="AA5355" i="1"/>
  <c r="T5355" i="1"/>
  <c r="P5355" i="1"/>
  <c r="O5355" i="1"/>
  <c r="N5355" i="1"/>
  <c r="P5352" i="1"/>
  <c r="O5352" i="1"/>
  <c r="N5352" i="1"/>
  <c r="AA5350" i="1"/>
  <c r="T5350" i="1"/>
  <c r="P5350" i="1"/>
  <c r="O5350" i="1"/>
  <c r="N5350" i="1"/>
  <c r="AA5349" i="1"/>
  <c r="T5349" i="1"/>
  <c r="P5349" i="1"/>
  <c r="O5349" i="1"/>
  <c r="N5349" i="1"/>
  <c r="AA5348" i="1"/>
  <c r="T5348" i="1"/>
  <c r="P5348" i="1"/>
  <c r="O5348" i="1"/>
  <c r="N5348" i="1"/>
  <c r="AA5347" i="1"/>
  <c r="T5347" i="1"/>
  <c r="P5347" i="1"/>
  <c r="O5347" i="1"/>
  <c r="N5347" i="1"/>
  <c r="AA5346" i="1"/>
  <c r="T5346" i="1"/>
  <c r="P5346" i="1"/>
  <c r="O5346" i="1"/>
  <c r="N5346" i="1"/>
  <c r="AA5345" i="1"/>
  <c r="T5345" i="1"/>
  <c r="P5345" i="1"/>
  <c r="O5345" i="1"/>
  <c r="N5345" i="1"/>
  <c r="AA5344" i="1"/>
  <c r="T5344" i="1"/>
  <c r="P5344" i="1"/>
  <c r="O5344" i="1"/>
  <c r="N5344" i="1"/>
  <c r="AA5343" i="1"/>
  <c r="T5343" i="1"/>
  <c r="P5343" i="1"/>
  <c r="O5343" i="1"/>
  <c r="N5343" i="1"/>
  <c r="AA5342" i="1"/>
  <c r="T5342" i="1"/>
  <c r="P5342" i="1"/>
  <c r="O5342" i="1"/>
  <c r="N5342" i="1"/>
  <c r="AA5341" i="1"/>
  <c r="T5341" i="1"/>
  <c r="P5341" i="1"/>
  <c r="O5341" i="1"/>
  <c r="N5341" i="1"/>
  <c r="AA5339" i="1"/>
  <c r="T5339" i="1"/>
  <c r="P5339" i="1"/>
  <c r="O5339" i="1"/>
  <c r="N5339" i="1"/>
  <c r="AA5338" i="1"/>
  <c r="T5338" i="1"/>
  <c r="P5338" i="1"/>
  <c r="O5338" i="1"/>
  <c r="N5338" i="1"/>
  <c r="AA5337" i="1"/>
  <c r="T5337" i="1"/>
  <c r="P5337" i="1"/>
  <c r="O5337" i="1"/>
  <c r="N5337" i="1"/>
  <c r="AA5336" i="1"/>
  <c r="T5336" i="1"/>
  <c r="P5336" i="1"/>
  <c r="O5336" i="1"/>
  <c r="N5336" i="1"/>
  <c r="AA5335" i="1"/>
  <c r="T5335" i="1"/>
  <c r="P5335" i="1"/>
  <c r="O5335" i="1"/>
  <c r="N5335" i="1"/>
  <c r="AA5334" i="1"/>
  <c r="T5334" i="1"/>
  <c r="P5334" i="1"/>
  <c r="O5334" i="1"/>
  <c r="N5334" i="1"/>
  <c r="AA5333" i="1"/>
  <c r="T5333" i="1"/>
  <c r="P5333" i="1"/>
  <c r="O5333" i="1"/>
  <c r="N5333" i="1"/>
  <c r="AA5332" i="1"/>
  <c r="T5332" i="1"/>
  <c r="P5332" i="1"/>
  <c r="O5332" i="1"/>
  <c r="N5332" i="1"/>
  <c r="AA5329" i="1"/>
  <c r="T5329" i="1"/>
  <c r="P5329" i="1"/>
  <c r="O5329" i="1"/>
  <c r="N5329" i="1"/>
  <c r="AA5328" i="1"/>
  <c r="T5328" i="1"/>
  <c r="P5328" i="1"/>
  <c r="O5328" i="1"/>
  <c r="N5328" i="1"/>
  <c r="AA5327" i="1"/>
  <c r="T5327" i="1"/>
  <c r="P5327" i="1"/>
  <c r="O5327" i="1"/>
  <c r="N5327" i="1"/>
  <c r="AA5326" i="1"/>
  <c r="T5326" i="1"/>
  <c r="P5326" i="1"/>
  <c r="O5326" i="1"/>
  <c r="N5326" i="1"/>
  <c r="AA5325" i="1"/>
  <c r="T5325" i="1"/>
  <c r="P5325" i="1"/>
  <c r="O5325" i="1"/>
  <c r="N5325" i="1"/>
  <c r="AA5324" i="1"/>
  <c r="T5324" i="1"/>
  <c r="P5324" i="1"/>
  <c r="O5324" i="1"/>
  <c r="N5324" i="1"/>
  <c r="AA5321" i="1"/>
  <c r="T5321" i="1"/>
  <c r="P5321" i="1"/>
  <c r="O5321" i="1"/>
  <c r="N5321" i="1"/>
  <c r="AA5320" i="1"/>
  <c r="T5320" i="1"/>
  <c r="P5320" i="1"/>
  <c r="O5320" i="1"/>
  <c r="N5320" i="1"/>
  <c r="AA5319" i="1"/>
  <c r="T5319" i="1"/>
  <c r="P5319" i="1"/>
  <c r="O5319" i="1"/>
  <c r="N5319" i="1"/>
  <c r="AA5318" i="1"/>
  <c r="T5318" i="1"/>
  <c r="P5318" i="1"/>
  <c r="O5318" i="1"/>
  <c r="N5318" i="1"/>
  <c r="AA5316" i="1"/>
  <c r="T5316" i="1"/>
  <c r="P5316" i="1"/>
  <c r="O5316" i="1"/>
  <c r="N5316" i="1"/>
  <c r="AA5315" i="1"/>
  <c r="T5315" i="1"/>
  <c r="P5315" i="1"/>
  <c r="O5315" i="1"/>
  <c r="N5315" i="1"/>
  <c r="AA5314" i="1"/>
  <c r="T5314" i="1"/>
  <c r="P5314" i="1"/>
  <c r="O5314" i="1"/>
  <c r="N5314" i="1"/>
  <c r="AA5313" i="1"/>
  <c r="T5313" i="1"/>
  <c r="P5313" i="1"/>
  <c r="O5313" i="1"/>
  <c r="N5313" i="1"/>
  <c r="AA5312" i="1"/>
  <c r="T5312" i="1"/>
  <c r="P5312" i="1"/>
  <c r="O5312" i="1"/>
  <c r="N5312" i="1"/>
  <c r="AA5311" i="1"/>
  <c r="T5311" i="1"/>
  <c r="P5311" i="1"/>
  <c r="O5311" i="1"/>
  <c r="N5311" i="1"/>
  <c r="AA5310" i="1"/>
  <c r="T5310" i="1"/>
  <c r="P5310" i="1"/>
  <c r="O5310" i="1"/>
  <c r="N5310" i="1"/>
  <c r="AA5309" i="1"/>
  <c r="T5309" i="1"/>
  <c r="P5309" i="1"/>
  <c r="O5309" i="1"/>
  <c r="N5309" i="1"/>
  <c r="AA5308" i="1"/>
  <c r="T5308" i="1"/>
  <c r="P5308" i="1"/>
  <c r="O5308" i="1"/>
  <c r="N5308" i="1"/>
  <c r="AA5307" i="1"/>
  <c r="T5307" i="1"/>
  <c r="P5307" i="1"/>
  <c r="O5307" i="1"/>
  <c r="N5307" i="1"/>
  <c r="AA5306" i="1"/>
  <c r="T5306" i="1"/>
  <c r="P5306" i="1"/>
  <c r="O5306" i="1"/>
  <c r="N5306" i="1"/>
  <c r="AA5305" i="1"/>
  <c r="T5305" i="1"/>
  <c r="P5305" i="1"/>
  <c r="O5305" i="1"/>
  <c r="N5305" i="1"/>
  <c r="AA5304" i="1"/>
  <c r="T5304" i="1"/>
  <c r="P5304" i="1"/>
  <c r="O5304" i="1"/>
  <c r="N5304" i="1"/>
  <c r="AA5303" i="1"/>
  <c r="T5303" i="1"/>
  <c r="P5303" i="1"/>
  <c r="O5303" i="1"/>
  <c r="N5303" i="1"/>
  <c r="AA5302" i="1"/>
  <c r="T5302" i="1"/>
  <c r="P5302" i="1"/>
  <c r="O5302" i="1"/>
  <c r="N5302" i="1"/>
  <c r="AA5301" i="1"/>
  <c r="T5301" i="1"/>
  <c r="P5301" i="1"/>
  <c r="O5301" i="1"/>
  <c r="N5301" i="1"/>
  <c r="AA5300" i="1"/>
  <c r="T5300" i="1"/>
  <c r="P5300" i="1"/>
  <c r="O5300" i="1"/>
  <c r="N5300" i="1"/>
  <c r="AA5299" i="1"/>
  <c r="T5299" i="1"/>
  <c r="P5299" i="1"/>
  <c r="O5299" i="1"/>
  <c r="N5299" i="1"/>
  <c r="AA5298" i="1"/>
  <c r="T5298" i="1"/>
  <c r="P5298" i="1"/>
  <c r="O5298" i="1"/>
  <c r="N5298" i="1"/>
  <c r="AA5297" i="1"/>
  <c r="T5297" i="1"/>
  <c r="P5297" i="1"/>
  <c r="O5297" i="1"/>
  <c r="N5297" i="1"/>
  <c r="AA5296" i="1"/>
  <c r="T5296" i="1"/>
  <c r="P5296" i="1"/>
  <c r="O5296" i="1"/>
  <c r="N5296" i="1"/>
  <c r="AA5294" i="1"/>
  <c r="T5294" i="1"/>
  <c r="P5294" i="1"/>
  <c r="O5294" i="1"/>
  <c r="N5294" i="1"/>
  <c r="AA5293" i="1"/>
  <c r="T5293" i="1"/>
  <c r="P5293" i="1"/>
  <c r="O5293" i="1"/>
  <c r="N5293" i="1"/>
  <c r="AA5292" i="1"/>
  <c r="T5292" i="1"/>
  <c r="P5292" i="1"/>
  <c r="O5292" i="1"/>
  <c r="N5292" i="1"/>
  <c r="AA5291" i="1"/>
  <c r="T5291" i="1"/>
  <c r="P5291" i="1"/>
  <c r="O5291" i="1"/>
  <c r="N5291" i="1"/>
  <c r="AA5290" i="1"/>
  <c r="T5290" i="1"/>
  <c r="P5290" i="1"/>
  <c r="O5290" i="1"/>
  <c r="N5290" i="1"/>
  <c r="AA5289" i="1"/>
  <c r="T5289" i="1"/>
  <c r="P5289" i="1"/>
  <c r="O5289" i="1"/>
  <c r="N5289" i="1"/>
  <c r="AA5288" i="1"/>
  <c r="T5288" i="1"/>
  <c r="P5288" i="1"/>
  <c r="O5288" i="1"/>
  <c r="N5288" i="1"/>
  <c r="AA5287" i="1"/>
  <c r="T5287" i="1"/>
  <c r="P5287" i="1"/>
  <c r="O5287" i="1"/>
  <c r="N5287" i="1"/>
  <c r="AA5286" i="1"/>
  <c r="T5286" i="1"/>
  <c r="P5286" i="1"/>
  <c r="O5286" i="1"/>
  <c r="N5286" i="1"/>
  <c r="AA5285" i="1"/>
  <c r="T5285" i="1"/>
  <c r="P5285" i="1"/>
  <c r="O5285" i="1"/>
  <c r="N5285" i="1"/>
  <c r="AA5284" i="1"/>
  <c r="T5284" i="1"/>
  <c r="P5284" i="1"/>
  <c r="O5284" i="1"/>
  <c r="N5284" i="1"/>
  <c r="AA5283" i="1"/>
  <c r="T5283" i="1"/>
  <c r="P5283" i="1"/>
  <c r="O5283" i="1"/>
  <c r="N5283" i="1"/>
  <c r="AA5282" i="1"/>
  <c r="T5282" i="1"/>
  <c r="P5282" i="1"/>
  <c r="O5282" i="1"/>
  <c r="N5282" i="1"/>
  <c r="AA5281" i="1"/>
  <c r="T5281" i="1"/>
  <c r="O5281" i="1"/>
  <c r="N5281" i="1"/>
  <c r="AA5280" i="1"/>
  <c r="T5280" i="1"/>
  <c r="P5280" i="1"/>
  <c r="O5280" i="1"/>
  <c r="N5280" i="1"/>
  <c r="AA5279" i="1"/>
  <c r="T5279" i="1"/>
  <c r="P5279" i="1"/>
  <c r="O5279" i="1"/>
  <c r="N5279" i="1"/>
  <c r="AA5278" i="1"/>
  <c r="T5278" i="1"/>
  <c r="P5278" i="1"/>
  <c r="O5278" i="1"/>
  <c r="N5278" i="1"/>
  <c r="AA5277" i="1"/>
  <c r="T5277" i="1"/>
  <c r="P5277" i="1"/>
  <c r="O5277" i="1"/>
  <c r="N5277" i="1"/>
  <c r="AA5276" i="1"/>
  <c r="T5276" i="1"/>
  <c r="P5276" i="1"/>
  <c r="O5276" i="1"/>
  <c r="N5276" i="1"/>
  <c r="AA5275" i="1"/>
  <c r="T5275" i="1"/>
  <c r="P5275" i="1"/>
  <c r="O5275" i="1"/>
  <c r="N5275" i="1"/>
  <c r="AA5274" i="1"/>
  <c r="T5274" i="1"/>
  <c r="P5274" i="1"/>
  <c r="O5274" i="1"/>
  <c r="N5274" i="1"/>
  <c r="AA5273" i="1"/>
  <c r="T5273" i="1"/>
  <c r="P5273" i="1"/>
  <c r="O5273" i="1"/>
  <c r="N5273" i="1"/>
  <c r="AA5272" i="1"/>
  <c r="T5272" i="1"/>
  <c r="P5272" i="1"/>
  <c r="O5272" i="1"/>
  <c r="N5272" i="1"/>
  <c r="AA5271" i="1"/>
  <c r="T5271" i="1"/>
  <c r="P5271" i="1"/>
  <c r="O5271" i="1"/>
  <c r="N5271" i="1"/>
  <c r="AA5270" i="1"/>
  <c r="T5270" i="1"/>
  <c r="P5270" i="1"/>
  <c r="O5270" i="1"/>
  <c r="N5270" i="1"/>
  <c r="AA5269" i="1"/>
  <c r="T5269" i="1"/>
  <c r="P5269" i="1"/>
  <c r="O5269" i="1"/>
  <c r="N5269" i="1"/>
  <c r="AA5268" i="1"/>
  <c r="T5268" i="1"/>
  <c r="O5268" i="1"/>
  <c r="N5268" i="1"/>
  <c r="AA5267" i="1"/>
  <c r="T5267" i="1"/>
  <c r="P5267" i="1"/>
  <c r="O5267" i="1"/>
  <c r="N5267" i="1"/>
  <c r="AA5266" i="1"/>
  <c r="T5266" i="1"/>
  <c r="P5266" i="1"/>
  <c r="O5266" i="1"/>
  <c r="N5266" i="1"/>
  <c r="AA5265" i="1"/>
  <c r="T5265" i="1"/>
  <c r="P5265" i="1"/>
  <c r="O5265" i="1"/>
  <c r="N5265" i="1"/>
  <c r="AA5264" i="1"/>
  <c r="T5264" i="1"/>
  <c r="P5264" i="1"/>
  <c r="O5264" i="1"/>
  <c r="N5264" i="1"/>
  <c r="AA5263" i="1"/>
  <c r="T5263" i="1"/>
  <c r="P5263" i="1"/>
  <c r="O5263" i="1"/>
  <c r="N5263" i="1"/>
  <c r="AA5262" i="1"/>
  <c r="T5262" i="1"/>
  <c r="P5262" i="1"/>
  <c r="O5262" i="1"/>
  <c r="N5262" i="1"/>
  <c r="AA5261" i="1"/>
  <c r="T5261" i="1"/>
  <c r="P5261" i="1"/>
  <c r="O5261" i="1"/>
  <c r="N5261" i="1"/>
  <c r="AA5260" i="1"/>
  <c r="T5260" i="1"/>
  <c r="O5260" i="1"/>
  <c r="N5260" i="1"/>
  <c r="AA5259" i="1"/>
  <c r="T5259" i="1"/>
  <c r="P5259" i="1"/>
  <c r="O5259" i="1"/>
  <c r="N5259" i="1"/>
  <c r="AA5258" i="1"/>
  <c r="T5258" i="1"/>
  <c r="P5258" i="1"/>
  <c r="O5258" i="1"/>
  <c r="N5258" i="1"/>
  <c r="AA5257" i="1"/>
  <c r="T5257" i="1"/>
  <c r="P5257" i="1"/>
  <c r="O5257" i="1"/>
  <c r="N5257" i="1"/>
  <c r="AA5256" i="1"/>
  <c r="T5256" i="1"/>
  <c r="P5256" i="1"/>
  <c r="O5256" i="1"/>
  <c r="N5256" i="1"/>
  <c r="AA5255" i="1"/>
  <c r="T5255" i="1"/>
  <c r="P5255" i="1"/>
  <c r="O5255" i="1"/>
  <c r="N5255" i="1"/>
  <c r="AA5254" i="1"/>
  <c r="T5254" i="1"/>
  <c r="P5254" i="1"/>
  <c r="O5254" i="1"/>
  <c r="N5254" i="1"/>
  <c r="AA5253" i="1"/>
  <c r="T5253" i="1"/>
  <c r="P5253" i="1"/>
  <c r="O5253" i="1"/>
  <c r="N5253" i="1"/>
  <c r="AA5252" i="1"/>
  <c r="T5252" i="1"/>
  <c r="P5252" i="1"/>
  <c r="O5252" i="1"/>
  <c r="N5252" i="1"/>
  <c r="AA5251" i="1"/>
  <c r="T5251" i="1"/>
  <c r="P5251" i="1"/>
  <c r="O5251" i="1"/>
  <c r="N5251" i="1"/>
  <c r="AA5250" i="1"/>
  <c r="T5250" i="1"/>
  <c r="P5250" i="1"/>
  <c r="O5250" i="1"/>
  <c r="N5250" i="1"/>
  <c r="AA5249" i="1"/>
  <c r="T5249" i="1"/>
  <c r="P5249" i="1"/>
  <c r="O5249" i="1"/>
  <c r="N5249" i="1"/>
  <c r="AA5248" i="1"/>
  <c r="T5248" i="1"/>
  <c r="P5248" i="1"/>
  <c r="O5248" i="1"/>
  <c r="N5248" i="1"/>
  <c r="AA5247" i="1"/>
  <c r="T5247" i="1"/>
  <c r="P5247" i="1"/>
  <c r="O5247" i="1"/>
  <c r="N5247" i="1"/>
  <c r="AA5246" i="1"/>
  <c r="T5246" i="1"/>
  <c r="O5246" i="1"/>
  <c r="N5246" i="1"/>
  <c r="AA5245" i="1"/>
  <c r="T5245" i="1"/>
  <c r="P5245" i="1"/>
  <c r="O5245" i="1"/>
  <c r="N5245" i="1"/>
  <c r="AA5244" i="1"/>
  <c r="T5244" i="1"/>
  <c r="P5244" i="1"/>
  <c r="O5244" i="1"/>
  <c r="N5244" i="1"/>
  <c r="AA5243" i="1"/>
  <c r="T5243" i="1"/>
  <c r="P5243" i="1"/>
  <c r="O5243" i="1"/>
  <c r="N5243" i="1"/>
  <c r="AA5242" i="1"/>
  <c r="T5242" i="1"/>
  <c r="P5242" i="1"/>
  <c r="O5242" i="1"/>
  <c r="N5242" i="1"/>
  <c r="AA5241" i="1"/>
  <c r="T5241" i="1"/>
  <c r="P5241" i="1"/>
  <c r="O5241" i="1"/>
  <c r="N5241" i="1"/>
  <c r="AA5240" i="1"/>
  <c r="T5240" i="1"/>
  <c r="P5240" i="1"/>
  <c r="O5240" i="1"/>
  <c r="N5240" i="1"/>
  <c r="AA5239" i="1"/>
  <c r="T5239" i="1"/>
  <c r="P5239" i="1"/>
  <c r="O5239" i="1"/>
  <c r="N5239" i="1"/>
  <c r="AA5238" i="1"/>
  <c r="T5238" i="1"/>
  <c r="P5238" i="1"/>
  <c r="O5238" i="1"/>
  <c r="N5238" i="1"/>
  <c r="AA5237" i="1"/>
  <c r="T5237" i="1"/>
  <c r="O5237" i="1"/>
  <c r="N5237" i="1"/>
  <c r="AA5236" i="1"/>
  <c r="T5236" i="1"/>
  <c r="P5236" i="1"/>
  <c r="O5236" i="1"/>
  <c r="N5236" i="1"/>
  <c r="AA5235" i="1"/>
  <c r="T5235" i="1"/>
  <c r="P5235" i="1"/>
  <c r="O5235" i="1"/>
  <c r="N5235" i="1"/>
  <c r="AA5234" i="1"/>
  <c r="T5234" i="1"/>
  <c r="P5234" i="1"/>
  <c r="O5234" i="1"/>
  <c r="N5234" i="1"/>
  <c r="AA5232" i="1"/>
  <c r="T5232" i="1"/>
  <c r="P5232" i="1"/>
  <c r="O5232" i="1"/>
  <c r="N5232" i="1"/>
  <c r="AA5231" i="1"/>
  <c r="T5231" i="1"/>
  <c r="P5231" i="1"/>
  <c r="O5231" i="1"/>
  <c r="N5231" i="1"/>
  <c r="AA5230" i="1"/>
  <c r="T5230" i="1"/>
  <c r="P5230" i="1"/>
  <c r="O5230" i="1"/>
  <c r="N5230" i="1"/>
  <c r="AA5228" i="1"/>
  <c r="T5228" i="1"/>
  <c r="P5228" i="1"/>
  <c r="O5228" i="1"/>
  <c r="N5228" i="1"/>
  <c r="AA5227" i="1"/>
  <c r="T5227" i="1"/>
  <c r="P5227" i="1"/>
  <c r="O5227" i="1"/>
  <c r="N5227" i="1"/>
  <c r="AA5226" i="1"/>
  <c r="T5226" i="1"/>
  <c r="P5226" i="1"/>
  <c r="O5226" i="1"/>
  <c r="N5226" i="1"/>
  <c r="AA5225" i="1"/>
  <c r="T5225" i="1"/>
  <c r="P5225" i="1"/>
  <c r="O5225" i="1"/>
  <c r="N5225" i="1"/>
  <c r="AA5224" i="1"/>
  <c r="T5224" i="1"/>
  <c r="P5224" i="1"/>
  <c r="O5224" i="1"/>
  <c r="N5224" i="1"/>
  <c r="AA5223" i="1"/>
  <c r="T5223" i="1"/>
  <c r="P5223" i="1"/>
  <c r="O5223" i="1"/>
  <c r="N5223" i="1"/>
  <c r="AA5222" i="1"/>
  <c r="T5222" i="1"/>
  <c r="P5222" i="1"/>
  <c r="O5222" i="1"/>
  <c r="N5222" i="1"/>
  <c r="AA5221" i="1"/>
  <c r="T5221" i="1"/>
  <c r="P5221" i="1"/>
  <c r="O5221" i="1"/>
  <c r="N5221" i="1"/>
  <c r="AA5220" i="1"/>
  <c r="T5220" i="1"/>
  <c r="P5220" i="1"/>
  <c r="O5220" i="1"/>
  <c r="N5220" i="1"/>
  <c r="AA5219" i="1"/>
  <c r="T5219" i="1"/>
  <c r="P5219" i="1"/>
  <c r="O5219" i="1"/>
  <c r="N5219" i="1"/>
  <c r="AA5218" i="1"/>
  <c r="T5218" i="1"/>
  <c r="P5218" i="1"/>
  <c r="O5218" i="1"/>
  <c r="N5218" i="1"/>
  <c r="AA5217" i="1"/>
  <c r="T5217" i="1"/>
  <c r="P5217" i="1"/>
  <c r="O5217" i="1"/>
  <c r="N5217" i="1"/>
  <c r="AA5216" i="1"/>
  <c r="T5216" i="1"/>
  <c r="P5216" i="1"/>
  <c r="O5216" i="1"/>
  <c r="N5216" i="1"/>
  <c r="AA5215" i="1"/>
  <c r="T5215" i="1"/>
  <c r="P5215" i="1"/>
  <c r="O5215" i="1"/>
  <c r="N5215" i="1"/>
  <c r="AA5214" i="1"/>
  <c r="T5214" i="1"/>
  <c r="P5214" i="1"/>
  <c r="O5214" i="1"/>
  <c r="N5214" i="1"/>
  <c r="AA5213" i="1"/>
  <c r="T5213" i="1"/>
  <c r="P5213" i="1"/>
  <c r="O5213" i="1"/>
  <c r="N5213" i="1"/>
  <c r="AA5212" i="1"/>
  <c r="T5212" i="1"/>
  <c r="P5212" i="1"/>
  <c r="O5212" i="1"/>
  <c r="N5212" i="1"/>
  <c r="AA5211" i="1"/>
  <c r="T5211" i="1"/>
  <c r="P5211" i="1"/>
  <c r="O5211" i="1"/>
  <c r="N5211" i="1"/>
  <c r="AA5210" i="1"/>
  <c r="T5210" i="1"/>
  <c r="P5210" i="1"/>
  <c r="O5210" i="1"/>
  <c r="N5210" i="1"/>
  <c r="AA5209" i="1"/>
  <c r="T5209" i="1"/>
  <c r="P5209" i="1"/>
  <c r="O5209" i="1"/>
  <c r="N5209" i="1"/>
  <c r="AA5208" i="1"/>
  <c r="T5208" i="1"/>
  <c r="P5208" i="1"/>
  <c r="O5208" i="1"/>
  <c r="N5208" i="1"/>
  <c r="AA5207" i="1"/>
  <c r="T5207" i="1"/>
  <c r="P5207" i="1"/>
  <c r="O5207" i="1"/>
  <c r="N5207" i="1"/>
  <c r="AA5206" i="1"/>
  <c r="T5206" i="1"/>
  <c r="P5206" i="1"/>
  <c r="O5206" i="1"/>
  <c r="N5206" i="1"/>
  <c r="AA5205" i="1"/>
  <c r="T5205" i="1"/>
  <c r="P5205" i="1"/>
  <c r="O5205" i="1"/>
  <c r="N5205" i="1"/>
  <c r="AA5204" i="1"/>
  <c r="T5204" i="1"/>
  <c r="P5204" i="1"/>
  <c r="O5204" i="1"/>
  <c r="N5204" i="1"/>
  <c r="AA5203" i="1"/>
  <c r="T5203" i="1"/>
  <c r="P5203" i="1"/>
  <c r="O5203" i="1"/>
  <c r="N5203" i="1"/>
  <c r="AA5202" i="1"/>
  <c r="T5202" i="1"/>
  <c r="P5202" i="1"/>
  <c r="O5202" i="1"/>
  <c r="N5202" i="1"/>
  <c r="AA5201" i="1"/>
  <c r="T5201" i="1"/>
  <c r="P5201" i="1"/>
  <c r="O5201" i="1"/>
  <c r="N5201" i="1"/>
  <c r="AA5200" i="1"/>
  <c r="T5200" i="1"/>
  <c r="P5200" i="1"/>
  <c r="O5200" i="1"/>
  <c r="N5200" i="1"/>
  <c r="AA5199" i="1"/>
  <c r="T5199" i="1"/>
  <c r="P5199" i="1"/>
  <c r="O5199" i="1"/>
  <c r="N5199" i="1"/>
  <c r="AA5198" i="1"/>
  <c r="T5198" i="1"/>
  <c r="P5198" i="1"/>
  <c r="O5198" i="1"/>
  <c r="N5198" i="1"/>
  <c r="AA5197" i="1"/>
  <c r="T5197" i="1"/>
  <c r="P5197" i="1"/>
  <c r="O5197" i="1"/>
  <c r="N5197" i="1"/>
  <c r="AA5196" i="1"/>
  <c r="T5196" i="1"/>
  <c r="P5196" i="1"/>
  <c r="O5196" i="1"/>
  <c r="N5196" i="1"/>
  <c r="AA5195" i="1"/>
  <c r="T5195" i="1"/>
  <c r="P5195" i="1"/>
  <c r="O5195" i="1"/>
  <c r="N5195" i="1"/>
  <c r="AA5194" i="1"/>
  <c r="T5194" i="1"/>
  <c r="P5194" i="1"/>
  <c r="O5194" i="1"/>
  <c r="N5194" i="1"/>
  <c r="AA5193" i="1"/>
  <c r="T5193" i="1"/>
  <c r="P5193" i="1"/>
  <c r="O5193" i="1"/>
  <c r="N5193" i="1"/>
  <c r="AA5192" i="1"/>
  <c r="T5192" i="1"/>
  <c r="P5192" i="1"/>
  <c r="O5192" i="1"/>
  <c r="N5192" i="1"/>
  <c r="AA5191" i="1"/>
  <c r="T5191" i="1"/>
  <c r="P5191" i="1"/>
  <c r="O5191" i="1"/>
  <c r="N5191" i="1"/>
  <c r="AA5190" i="1"/>
  <c r="T5190" i="1"/>
  <c r="P5190" i="1"/>
  <c r="O5190" i="1"/>
  <c r="N5190" i="1"/>
  <c r="AA5189" i="1"/>
  <c r="T5189" i="1"/>
  <c r="P5189" i="1"/>
  <c r="O5189" i="1"/>
  <c r="N5189" i="1"/>
  <c r="AA5188" i="1"/>
  <c r="T5188" i="1"/>
  <c r="P5188" i="1"/>
  <c r="O5188" i="1"/>
  <c r="N5188" i="1"/>
  <c r="AA5187" i="1"/>
  <c r="T5187" i="1"/>
  <c r="P5187" i="1"/>
  <c r="O5187" i="1"/>
  <c r="N5187" i="1"/>
  <c r="AA5186" i="1"/>
  <c r="T5186" i="1"/>
  <c r="P5186" i="1"/>
  <c r="O5186" i="1"/>
  <c r="N5186" i="1"/>
  <c r="AA5185" i="1"/>
  <c r="T5185" i="1"/>
  <c r="P5185" i="1"/>
  <c r="O5185" i="1"/>
  <c r="N5185" i="1"/>
  <c r="AA5184" i="1"/>
  <c r="T5184" i="1"/>
  <c r="P5184" i="1"/>
  <c r="O5184" i="1"/>
  <c r="N5184" i="1"/>
  <c r="AA5183" i="1"/>
  <c r="T5183" i="1"/>
  <c r="P5183" i="1"/>
  <c r="O5183" i="1"/>
  <c r="N5183" i="1"/>
  <c r="AA5182" i="1"/>
  <c r="T5182" i="1"/>
  <c r="P5182" i="1"/>
  <c r="O5182" i="1"/>
  <c r="N5182" i="1"/>
  <c r="AA5181" i="1"/>
  <c r="T5181" i="1"/>
  <c r="P5181" i="1"/>
  <c r="O5181" i="1"/>
  <c r="N5181" i="1"/>
  <c r="AA5180" i="1"/>
  <c r="T5180" i="1"/>
  <c r="P5180" i="1"/>
  <c r="O5180" i="1"/>
  <c r="N5180" i="1"/>
  <c r="AA5179" i="1"/>
  <c r="T5179" i="1"/>
  <c r="P5179" i="1"/>
  <c r="O5179" i="1"/>
  <c r="N5179" i="1"/>
  <c r="AA5178" i="1"/>
  <c r="T5178" i="1"/>
  <c r="P5178" i="1"/>
  <c r="O5178" i="1"/>
  <c r="N5178" i="1"/>
  <c r="AA5177" i="1"/>
  <c r="T5177" i="1"/>
  <c r="P5177" i="1"/>
  <c r="O5177" i="1"/>
  <c r="N5177" i="1"/>
  <c r="AA5176" i="1"/>
  <c r="T5176" i="1"/>
  <c r="P5176" i="1"/>
  <c r="O5176" i="1"/>
  <c r="N5176" i="1"/>
  <c r="AA5175" i="1"/>
  <c r="T5175" i="1"/>
  <c r="P5175" i="1"/>
  <c r="O5175" i="1"/>
  <c r="N5175" i="1"/>
  <c r="AA5174" i="1"/>
  <c r="T5174" i="1"/>
  <c r="P5174" i="1"/>
  <c r="O5174" i="1"/>
  <c r="N5174" i="1"/>
  <c r="AA5173" i="1"/>
  <c r="T5173" i="1"/>
  <c r="P5173" i="1"/>
  <c r="O5173" i="1"/>
  <c r="N5173" i="1"/>
  <c r="AA5172" i="1"/>
  <c r="T5172" i="1"/>
  <c r="P5172" i="1"/>
  <c r="O5172" i="1"/>
  <c r="N5172" i="1"/>
  <c r="AA5171" i="1"/>
  <c r="T5171" i="1"/>
  <c r="P5171" i="1"/>
  <c r="O5171" i="1"/>
  <c r="N5171" i="1"/>
  <c r="AA5170" i="1"/>
  <c r="T5170" i="1"/>
  <c r="P5170" i="1"/>
  <c r="O5170" i="1"/>
  <c r="N5170" i="1"/>
  <c r="AA5169" i="1"/>
  <c r="T5169" i="1"/>
  <c r="P5169" i="1"/>
  <c r="O5169" i="1"/>
  <c r="N5169" i="1"/>
  <c r="AA5168" i="1"/>
  <c r="T5168" i="1"/>
  <c r="P5168" i="1"/>
  <c r="O5168" i="1"/>
  <c r="N5168" i="1"/>
  <c r="AA5167" i="1"/>
  <c r="T5167" i="1"/>
  <c r="P5167" i="1"/>
  <c r="O5167" i="1"/>
  <c r="N5167" i="1"/>
  <c r="AA5166" i="1"/>
  <c r="T5166" i="1"/>
  <c r="P5166" i="1"/>
  <c r="O5166" i="1"/>
  <c r="N5166" i="1"/>
  <c r="AA5165" i="1"/>
  <c r="T5165" i="1"/>
  <c r="P5165" i="1"/>
  <c r="O5165" i="1"/>
  <c r="N5165" i="1"/>
  <c r="AA5164" i="1"/>
  <c r="T5164" i="1"/>
  <c r="P5164" i="1"/>
  <c r="O5164" i="1"/>
  <c r="N5164" i="1"/>
  <c r="AA5163" i="1"/>
  <c r="T5163" i="1"/>
  <c r="P5163" i="1"/>
  <c r="O5163" i="1"/>
  <c r="N5163" i="1"/>
  <c r="AA5162" i="1"/>
  <c r="T5162" i="1"/>
  <c r="P5162" i="1"/>
  <c r="O5162" i="1"/>
  <c r="N5162" i="1"/>
  <c r="AA5161" i="1"/>
  <c r="T5161" i="1"/>
  <c r="P5161" i="1"/>
  <c r="O5161" i="1"/>
  <c r="N5161" i="1"/>
  <c r="AA5160" i="1"/>
  <c r="T5160" i="1"/>
  <c r="P5160" i="1"/>
  <c r="O5160" i="1"/>
  <c r="N5160" i="1"/>
  <c r="AA5159" i="1"/>
  <c r="T5159" i="1"/>
  <c r="P5159" i="1"/>
  <c r="O5159" i="1"/>
  <c r="N5159" i="1"/>
  <c r="AA5158" i="1"/>
  <c r="T5158" i="1"/>
  <c r="P5158" i="1"/>
  <c r="O5158" i="1"/>
  <c r="N5158" i="1"/>
  <c r="AA5157" i="1"/>
  <c r="T5157" i="1"/>
  <c r="P5157" i="1"/>
  <c r="O5157" i="1"/>
  <c r="N5157" i="1"/>
  <c r="AA5156" i="1"/>
  <c r="T5156" i="1"/>
  <c r="P5156" i="1"/>
  <c r="O5156" i="1"/>
  <c r="N5156" i="1"/>
  <c r="AA5155" i="1"/>
  <c r="T5155" i="1"/>
  <c r="P5155" i="1"/>
  <c r="O5155" i="1"/>
  <c r="N5155" i="1"/>
  <c r="AA5154" i="1"/>
  <c r="T5154" i="1"/>
  <c r="P5154" i="1"/>
  <c r="O5154" i="1"/>
  <c r="N5154" i="1"/>
  <c r="AA5153" i="1"/>
  <c r="T5153" i="1"/>
  <c r="P5153" i="1"/>
  <c r="O5153" i="1"/>
  <c r="N5153" i="1"/>
  <c r="AA5152" i="1"/>
  <c r="T5152" i="1"/>
  <c r="P5152" i="1"/>
  <c r="O5152" i="1"/>
  <c r="N5152" i="1"/>
  <c r="AA5151" i="1"/>
  <c r="T5151" i="1"/>
  <c r="P5151" i="1"/>
  <c r="O5151" i="1"/>
  <c r="N5151" i="1"/>
  <c r="AA5150" i="1"/>
  <c r="T5150" i="1"/>
  <c r="P5150" i="1"/>
  <c r="O5150" i="1"/>
  <c r="N5150" i="1"/>
  <c r="AA5149" i="1"/>
  <c r="T5149" i="1"/>
  <c r="P5149" i="1"/>
  <c r="O5149" i="1"/>
  <c r="N5149" i="1"/>
  <c r="AA5148" i="1"/>
  <c r="T5148" i="1"/>
  <c r="P5148" i="1"/>
  <c r="O5148" i="1"/>
  <c r="N5148" i="1"/>
  <c r="AA5147" i="1"/>
  <c r="T5147" i="1"/>
  <c r="P5147" i="1"/>
  <c r="O5147" i="1"/>
  <c r="N5147" i="1"/>
  <c r="AA5146" i="1"/>
  <c r="T5146" i="1"/>
  <c r="P5146" i="1"/>
  <c r="O5146" i="1"/>
  <c r="N5146" i="1"/>
  <c r="AA5145" i="1"/>
  <c r="T5145" i="1"/>
  <c r="P5145" i="1"/>
  <c r="O5145" i="1"/>
  <c r="N5145" i="1"/>
  <c r="AA5144" i="1"/>
  <c r="T5144" i="1"/>
  <c r="P5144" i="1"/>
  <c r="O5144" i="1"/>
  <c r="N5144" i="1"/>
  <c r="AA5143" i="1"/>
  <c r="T5143" i="1"/>
  <c r="P5143" i="1"/>
  <c r="O5143" i="1"/>
  <c r="N5143" i="1"/>
  <c r="AA5142" i="1"/>
  <c r="T5142" i="1"/>
  <c r="P5142" i="1"/>
  <c r="O5142" i="1"/>
  <c r="N5142" i="1"/>
  <c r="AA5141" i="1"/>
  <c r="T5141" i="1"/>
  <c r="P5141" i="1"/>
  <c r="O5141" i="1"/>
  <c r="N5141" i="1"/>
  <c r="AA5140" i="1"/>
  <c r="T5140" i="1"/>
  <c r="P5140" i="1"/>
  <c r="O5140" i="1"/>
  <c r="N5140" i="1"/>
  <c r="AA5139" i="1"/>
  <c r="T5139" i="1"/>
  <c r="P5139" i="1"/>
  <c r="O5139" i="1"/>
  <c r="N5139" i="1"/>
  <c r="AA5138" i="1"/>
  <c r="T5138" i="1"/>
  <c r="P5138" i="1"/>
  <c r="O5138" i="1"/>
  <c r="N5138" i="1"/>
  <c r="AA5137" i="1"/>
  <c r="T5137" i="1"/>
  <c r="P5137" i="1"/>
  <c r="O5137" i="1"/>
  <c r="N5137" i="1"/>
  <c r="AA5136" i="1"/>
  <c r="T5136" i="1"/>
  <c r="P5136" i="1"/>
  <c r="O5136" i="1"/>
  <c r="N5136" i="1"/>
  <c r="AA5135" i="1"/>
  <c r="T5135" i="1"/>
  <c r="P5135" i="1"/>
  <c r="O5135" i="1"/>
  <c r="N5135" i="1"/>
  <c r="AA5134" i="1"/>
  <c r="T5134" i="1"/>
  <c r="P5134" i="1"/>
  <c r="O5134" i="1"/>
  <c r="N5134" i="1"/>
  <c r="AA5133" i="1"/>
  <c r="T5133" i="1"/>
  <c r="P5133" i="1"/>
  <c r="O5133" i="1"/>
  <c r="N5133" i="1"/>
  <c r="AA5132" i="1"/>
  <c r="T5132" i="1"/>
  <c r="P5132" i="1"/>
  <c r="O5132" i="1"/>
  <c r="N5132" i="1"/>
  <c r="AA5131" i="1"/>
  <c r="T5131" i="1"/>
  <c r="P5131" i="1"/>
  <c r="O5131" i="1"/>
  <c r="N5131" i="1"/>
  <c r="AA5130" i="1"/>
  <c r="T5130" i="1"/>
  <c r="P5130" i="1"/>
  <c r="O5130" i="1"/>
  <c r="N5130" i="1"/>
  <c r="AA5129" i="1"/>
  <c r="T5129" i="1"/>
  <c r="P5129" i="1"/>
  <c r="O5129" i="1"/>
  <c r="N5129" i="1"/>
  <c r="AA5128" i="1"/>
  <c r="T5128" i="1"/>
  <c r="P5128" i="1"/>
  <c r="O5128" i="1"/>
  <c r="N5128" i="1"/>
  <c r="AA5127" i="1"/>
  <c r="T5127" i="1"/>
  <c r="P5127" i="1"/>
  <c r="O5127" i="1"/>
  <c r="N5127" i="1"/>
  <c r="AA5126" i="1"/>
  <c r="T5126" i="1"/>
  <c r="P5126" i="1"/>
  <c r="O5126" i="1"/>
  <c r="N5126" i="1"/>
  <c r="AA5125" i="1"/>
  <c r="T5125" i="1"/>
  <c r="P5125" i="1"/>
  <c r="O5125" i="1"/>
  <c r="N5125" i="1"/>
  <c r="AA5124" i="1"/>
  <c r="T5124" i="1"/>
  <c r="P5124" i="1"/>
  <c r="O5124" i="1"/>
  <c r="N5124" i="1"/>
  <c r="AA5123" i="1"/>
  <c r="T5123" i="1"/>
  <c r="P5123" i="1"/>
  <c r="O5123" i="1"/>
  <c r="N5123" i="1"/>
  <c r="AA5122" i="1"/>
  <c r="T5122" i="1"/>
  <c r="P5122" i="1"/>
  <c r="O5122" i="1"/>
  <c r="N5122" i="1"/>
  <c r="AA5121" i="1"/>
  <c r="T5121" i="1"/>
  <c r="P5121" i="1"/>
  <c r="O5121" i="1"/>
  <c r="N5121" i="1"/>
  <c r="AA5120" i="1"/>
  <c r="T5120" i="1"/>
  <c r="P5120" i="1"/>
  <c r="O5120" i="1"/>
  <c r="N5120" i="1"/>
  <c r="AA5119" i="1"/>
  <c r="T5119" i="1"/>
  <c r="P5119" i="1"/>
  <c r="O5119" i="1"/>
  <c r="N5119" i="1"/>
  <c r="AA5118" i="1"/>
  <c r="T5118" i="1"/>
  <c r="P5118" i="1"/>
  <c r="O5118" i="1"/>
  <c r="N5118" i="1"/>
  <c r="AA5117" i="1"/>
  <c r="T5117" i="1"/>
  <c r="P5117" i="1"/>
  <c r="O5117" i="1"/>
  <c r="N5117" i="1"/>
  <c r="AA5116" i="1"/>
  <c r="T5116" i="1"/>
  <c r="P5116" i="1"/>
  <c r="O5116" i="1"/>
  <c r="N5116" i="1"/>
  <c r="AA5115" i="1"/>
  <c r="T5115" i="1"/>
  <c r="P5115" i="1"/>
  <c r="O5115" i="1"/>
  <c r="N5115" i="1"/>
  <c r="AA5114" i="1"/>
  <c r="T5114" i="1"/>
  <c r="P5114" i="1"/>
  <c r="O5114" i="1"/>
  <c r="N5114" i="1"/>
  <c r="AA5113" i="1"/>
  <c r="T5113" i="1"/>
  <c r="P5113" i="1"/>
  <c r="O5113" i="1"/>
  <c r="N5113" i="1"/>
  <c r="AA5112" i="1"/>
  <c r="T5112" i="1"/>
  <c r="P5112" i="1"/>
  <c r="O5112" i="1"/>
  <c r="N5112" i="1"/>
  <c r="AA5111" i="1"/>
  <c r="T5111" i="1"/>
  <c r="P5111" i="1"/>
  <c r="O5111" i="1"/>
  <c r="N5111" i="1"/>
  <c r="AA5110" i="1"/>
  <c r="T5110" i="1"/>
  <c r="P5110" i="1"/>
  <c r="O5110" i="1"/>
  <c r="N5110" i="1"/>
  <c r="AA5109" i="1"/>
  <c r="T5109" i="1"/>
  <c r="P5109" i="1"/>
  <c r="O5109" i="1"/>
  <c r="N5109" i="1"/>
  <c r="AA5108" i="1"/>
  <c r="T5108" i="1"/>
  <c r="P5108" i="1"/>
  <c r="O5108" i="1"/>
  <c r="N5108" i="1"/>
  <c r="AA5107" i="1"/>
  <c r="T5107" i="1"/>
  <c r="P5107" i="1"/>
  <c r="O5107" i="1"/>
  <c r="N5107" i="1"/>
  <c r="AA5106" i="1"/>
  <c r="T5106" i="1"/>
  <c r="P5106" i="1"/>
  <c r="O5106" i="1"/>
  <c r="N5106" i="1"/>
  <c r="AA5105" i="1"/>
  <c r="T5105" i="1"/>
  <c r="P5105" i="1"/>
  <c r="O5105" i="1"/>
  <c r="N5105" i="1"/>
  <c r="AA5104" i="1"/>
  <c r="T5104" i="1"/>
  <c r="P5104" i="1"/>
  <c r="O5104" i="1"/>
  <c r="N5104" i="1"/>
  <c r="AA5103" i="1"/>
  <c r="T5103" i="1"/>
  <c r="P5103" i="1"/>
  <c r="O5103" i="1"/>
  <c r="N5103" i="1"/>
  <c r="AA5102" i="1"/>
  <c r="T5102" i="1"/>
  <c r="P5102" i="1"/>
  <c r="O5102" i="1"/>
  <c r="N5102" i="1"/>
  <c r="AA5101" i="1"/>
  <c r="T5101" i="1"/>
  <c r="P5101" i="1"/>
  <c r="O5101" i="1"/>
  <c r="N5101" i="1"/>
  <c r="AA5100" i="1"/>
  <c r="T5100" i="1"/>
  <c r="P5100" i="1"/>
  <c r="O5100" i="1"/>
  <c r="N5100" i="1"/>
  <c r="AA5099" i="1"/>
  <c r="T5099" i="1"/>
  <c r="P5099" i="1"/>
  <c r="O5099" i="1"/>
  <c r="N5099" i="1"/>
  <c r="AA5098" i="1"/>
  <c r="T5098" i="1"/>
  <c r="P5098" i="1"/>
  <c r="O5098" i="1"/>
  <c r="N5098" i="1"/>
  <c r="AA5097" i="1"/>
  <c r="T5097" i="1"/>
  <c r="P5097" i="1"/>
  <c r="O5097" i="1"/>
  <c r="N5097" i="1"/>
  <c r="AA5096" i="1"/>
  <c r="T5096" i="1"/>
  <c r="P5096" i="1"/>
  <c r="O5096" i="1"/>
  <c r="N5096" i="1"/>
  <c r="AA5095" i="1"/>
  <c r="T5095" i="1"/>
  <c r="P5095" i="1"/>
  <c r="O5095" i="1"/>
  <c r="N5095" i="1"/>
  <c r="AA5094" i="1"/>
  <c r="T5094" i="1"/>
  <c r="P5094" i="1"/>
  <c r="O5094" i="1"/>
  <c r="N5094" i="1"/>
  <c r="AA5093" i="1"/>
  <c r="T5093" i="1"/>
  <c r="P5093" i="1"/>
  <c r="O5093" i="1"/>
  <c r="N5093" i="1"/>
  <c r="AA5092" i="1"/>
  <c r="T5092" i="1"/>
  <c r="P5092" i="1"/>
  <c r="O5092" i="1"/>
  <c r="N5092" i="1"/>
  <c r="AA5091" i="1"/>
  <c r="T5091" i="1"/>
  <c r="P5091" i="1"/>
  <c r="O5091" i="1"/>
  <c r="N5091" i="1"/>
  <c r="AA5090" i="1"/>
  <c r="T5090" i="1"/>
  <c r="P5090" i="1"/>
  <c r="O5090" i="1"/>
  <c r="N5090" i="1"/>
  <c r="AA5089" i="1"/>
  <c r="T5089" i="1"/>
  <c r="P5089" i="1"/>
  <c r="O5089" i="1"/>
  <c r="N5089" i="1"/>
  <c r="AA5088" i="1"/>
  <c r="T5088" i="1"/>
  <c r="P5088" i="1"/>
  <c r="O5088" i="1"/>
  <c r="N5088" i="1"/>
  <c r="AA5087" i="1"/>
  <c r="T5087" i="1"/>
  <c r="P5087" i="1"/>
  <c r="O5087" i="1"/>
  <c r="N5087" i="1"/>
  <c r="AA5086" i="1"/>
  <c r="T5086" i="1"/>
  <c r="P5086" i="1"/>
  <c r="O5086" i="1"/>
  <c r="N5086" i="1"/>
  <c r="AA5085" i="1"/>
  <c r="T5085" i="1"/>
  <c r="P5085" i="1"/>
  <c r="O5085" i="1"/>
  <c r="N5085" i="1"/>
  <c r="AA5084" i="1"/>
  <c r="T5084" i="1"/>
  <c r="P5084" i="1"/>
  <c r="O5084" i="1"/>
  <c r="N5084" i="1"/>
  <c r="AA5083" i="1"/>
  <c r="T5083" i="1"/>
  <c r="P5083" i="1"/>
  <c r="O5083" i="1"/>
  <c r="N5083" i="1"/>
  <c r="AA5082" i="1"/>
  <c r="T5082" i="1"/>
  <c r="P5082" i="1"/>
  <c r="O5082" i="1"/>
  <c r="N5082" i="1"/>
  <c r="AA5081" i="1"/>
  <c r="T5081" i="1"/>
  <c r="P5081" i="1"/>
  <c r="O5081" i="1"/>
  <c r="N5081" i="1"/>
  <c r="AA5080" i="1"/>
  <c r="T5080" i="1"/>
  <c r="P5080" i="1"/>
  <c r="O5080" i="1"/>
  <c r="N5080" i="1"/>
  <c r="AA5079" i="1"/>
  <c r="T5079" i="1"/>
  <c r="P5079" i="1"/>
  <c r="O5079" i="1"/>
  <c r="N5079" i="1"/>
  <c r="AA5078" i="1"/>
  <c r="T5078" i="1"/>
  <c r="P5078" i="1"/>
  <c r="O5078" i="1"/>
  <c r="N5078" i="1"/>
  <c r="AA5077" i="1"/>
  <c r="T5077" i="1"/>
  <c r="P5077" i="1"/>
  <c r="O5077" i="1"/>
  <c r="N5077" i="1"/>
  <c r="AA5076" i="1"/>
  <c r="T5076" i="1"/>
  <c r="P5076" i="1"/>
  <c r="O5076" i="1"/>
  <c r="N5076" i="1"/>
  <c r="AA5075" i="1"/>
  <c r="T5075" i="1"/>
  <c r="P5075" i="1"/>
  <c r="O5075" i="1"/>
  <c r="N5075" i="1"/>
  <c r="AA5074" i="1"/>
  <c r="T5074" i="1"/>
  <c r="P5074" i="1"/>
  <c r="O5074" i="1"/>
  <c r="N5074" i="1"/>
  <c r="AA5073" i="1"/>
  <c r="T5073" i="1"/>
  <c r="P5073" i="1"/>
  <c r="O5073" i="1"/>
  <c r="N5073" i="1"/>
  <c r="AA5072" i="1"/>
  <c r="T5072" i="1"/>
  <c r="P5072" i="1"/>
  <c r="O5072" i="1"/>
  <c r="N5072" i="1"/>
  <c r="AA5071" i="1"/>
  <c r="T5071" i="1"/>
  <c r="P5071" i="1"/>
  <c r="O5071" i="1"/>
  <c r="N5071" i="1"/>
  <c r="AA5070" i="1"/>
  <c r="T5070" i="1"/>
  <c r="P5070" i="1"/>
  <c r="O5070" i="1"/>
  <c r="N5070" i="1"/>
  <c r="AA5069" i="1"/>
  <c r="T5069" i="1"/>
  <c r="P5069" i="1"/>
  <c r="O5069" i="1"/>
  <c r="N5069" i="1"/>
  <c r="AA5068" i="1"/>
  <c r="T5068" i="1"/>
  <c r="P5068" i="1"/>
  <c r="O5068" i="1"/>
  <c r="N5068" i="1"/>
  <c r="AA5067" i="1"/>
  <c r="T5067" i="1"/>
  <c r="P5067" i="1"/>
  <c r="O5067" i="1"/>
  <c r="N5067" i="1"/>
  <c r="AA5066" i="1"/>
  <c r="T5066" i="1"/>
  <c r="P5066" i="1"/>
  <c r="O5066" i="1"/>
  <c r="N5066" i="1"/>
  <c r="AA5065" i="1"/>
  <c r="T5065" i="1"/>
  <c r="P5065" i="1"/>
  <c r="O5065" i="1"/>
  <c r="N5065" i="1"/>
  <c r="AA5064" i="1"/>
  <c r="T5064" i="1"/>
  <c r="P5064" i="1"/>
  <c r="O5064" i="1"/>
  <c r="N5064" i="1"/>
  <c r="AA5063" i="1"/>
  <c r="T5063" i="1"/>
  <c r="P5063" i="1"/>
  <c r="O5063" i="1"/>
  <c r="N5063" i="1"/>
  <c r="AA5062" i="1"/>
  <c r="T5062" i="1"/>
  <c r="P5062" i="1"/>
  <c r="O5062" i="1"/>
  <c r="N5062" i="1"/>
  <c r="AA5061" i="1"/>
  <c r="T5061" i="1"/>
  <c r="P5061" i="1"/>
  <c r="O5061" i="1"/>
  <c r="N5061" i="1"/>
  <c r="AA5060" i="1"/>
  <c r="T5060" i="1"/>
  <c r="P5060" i="1"/>
  <c r="O5060" i="1"/>
  <c r="N5060" i="1"/>
  <c r="AA5059" i="1"/>
  <c r="T5059" i="1"/>
  <c r="P5059" i="1"/>
  <c r="O5059" i="1"/>
  <c r="N5059" i="1"/>
  <c r="AA5058" i="1"/>
  <c r="T5058" i="1"/>
  <c r="P5058" i="1"/>
  <c r="O5058" i="1"/>
  <c r="N5058" i="1"/>
  <c r="AA5057" i="1"/>
  <c r="T5057" i="1"/>
  <c r="P5057" i="1"/>
  <c r="O5057" i="1"/>
  <c r="N5057" i="1"/>
  <c r="AA5056" i="1"/>
  <c r="T5056" i="1"/>
  <c r="P5056" i="1"/>
  <c r="O5056" i="1"/>
  <c r="N5056" i="1"/>
  <c r="AA5055" i="1"/>
  <c r="T5055" i="1"/>
  <c r="P5055" i="1"/>
  <c r="O5055" i="1"/>
  <c r="N5055" i="1"/>
  <c r="AA5054" i="1"/>
  <c r="T5054" i="1"/>
  <c r="P5054" i="1"/>
  <c r="O5054" i="1"/>
  <c r="N5054" i="1"/>
  <c r="AA5053" i="1"/>
  <c r="T5053" i="1"/>
  <c r="P5053" i="1"/>
  <c r="O5053" i="1"/>
  <c r="N5053" i="1"/>
  <c r="AA5052" i="1"/>
  <c r="T5052" i="1"/>
  <c r="P5052" i="1"/>
  <c r="O5052" i="1"/>
  <c r="N5052" i="1"/>
  <c r="AA5051" i="1"/>
  <c r="T5051" i="1"/>
  <c r="P5051" i="1"/>
  <c r="O5051" i="1"/>
  <c r="N5051" i="1"/>
  <c r="AA5050" i="1"/>
  <c r="T5050" i="1"/>
  <c r="P5050" i="1"/>
  <c r="O5050" i="1"/>
  <c r="N5050" i="1"/>
  <c r="AA5049" i="1"/>
  <c r="T5049" i="1"/>
  <c r="P5049" i="1"/>
  <c r="O5049" i="1"/>
  <c r="N5049" i="1"/>
  <c r="AA5048" i="1"/>
  <c r="T5048" i="1"/>
  <c r="P5048" i="1"/>
  <c r="O5048" i="1"/>
  <c r="N5048" i="1"/>
  <c r="AA5047" i="1"/>
  <c r="T5047" i="1"/>
  <c r="P5047" i="1"/>
  <c r="O5047" i="1"/>
  <c r="N5047" i="1"/>
  <c r="AA5046" i="1"/>
  <c r="T5046" i="1"/>
  <c r="P5046" i="1"/>
  <c r="O5046" i="1"/>
  <c r="N5046" i="1"/>
  <c r="AA5045" i="1"/>
  <c r="T5045" i="1"/>
  <c r="P5045" i="1"/>
  <c r="O5045" i="1"/>
  <c r="N5045" i="1"/>
  <c r="AA5044" i="1"/>
  <c r="T5044" i="1"/>
  <c r="P5044" i="1"/>
  <c r="O5044" i="1"/>
  <c r="N5044" i="1"/>
  <c r="AA5043" i="1"/>
  <c r="T5043" i="1"/>
  <c r="P5043" i="1"/>
  <c r="O5043" i="1"/>
  <c r="N5043" i="1"/>
  <c r="AA5042" i="1"/>
  <c r="T5042" i="1"/>
  <c r="P5042" i="1"/>
  <c r="O5042" i="1"/>
  <c r="N5042" i="1"/>
  <c r="AA5041" i="1"/>
  <c r="T5041" i="1"/>
  <c r="P5041" i="1"/>
  <c r="O5041" i="1"/>
  <c r="N5041" i="1"/>
  <c r="AA5040" i="1"/>
  <c r="T5040" i="1"/>
  <c r="P5040" i="1"/>
  <c r="O5040" i="1"/>
  <c r="N5040" i="1"/>
  <c r="AA5039" i="1"/>
  <c r="T5039" i="1"/>
  <c r="P5039" i="1"/>
  <c r="O5039" i="1"/>
  <c r="N5039" i="1"/>
  <c r="AA5038" i="1"/>
  <c r="T5038" i="1"/>
  <c r="P5038" i="1"/>
  <c r="O5038" i="1"/>
  <c r="N5038" i="1"/>
  <c r="AA5037" i="1"/>
  <c r="T5037" i="1"/>
  <c r="P5037" i="1"/>
  <c r="O5037" i="1"/>
  <c r="N5037" i="1"/>
  <c r="AA5036" i="1"/>
  <c r="T5036" i="1"/>
  <c r="P5036" i="1"/>
  <c r="O5036" i="1"/>
  <c r="N5036" i="1"/>
  <c r="AA5035" i="1"/>
  <c r="T5035" i="1"/>
  <c r="P5035" i="1"/>
  <c r="O5035" i="1"/>
  <c r="N5035" i="1"/>
  <c r="AA5034" i="1"/>
  <c r="T5034" i="1"/>
  <c r="P5034" i="1"/>
  <c r="O5034" i="1"/>
  <c r="N5034" i="1"/>
  <c r="AA5033" i="1"/>
  <c r="T5033" i="1"/>
  <c r="P5033" i="1"/>
  <c r="O5033" i="1"/>
  <c r="N5033" i="1"/>
  <c r="AA5032" i="1"/>
  <c r="T5032" i="1"/>
  <c r="P5032" i="1"/>
  <c r="O5032" i="1"/>
  <c r="N5032" i="1"/>
  <c r="AA5031" i="1"/>
  <c r="T5031" i="1"/>
  <c r="P5031" i="1"/>
  <c r="O5031" i="1"/>
  <c r="N5031" i="1"/>
  <c r="AA5030" i="1"/>
  <c r="T5030" i="1"/>
  <c r="P5030" i="1"/>
  <c r="O5030" i="1"/>
  <c r="N5030" i="1"/>
  <c r="AA5029" i="1"/>
  <c r="T5029" i="1"/>
  <c r="P5029" i="1"/>
  <c r="O5029" i="1"/>
  <c r="N5029" i="1"/>
  <c r="AA5028" i="1"/>
  <c r="T5028" i="1"/>
  <c r="P5028" i="1"/>
  <c r="O5028" i="1"/>
  <c r="N5028" i="1"/>
  <c r="AA5027" i="1"/>
  <c r="T5027" i="1"/>
  <c r="P5027" i="1"/>
  <c r="O5027" i="1"/>
  <c r="N5027" i="1"/>
  <c r="AA5026" i="1"/>
  <c r="T5026" i="1"/>
  <c r="P5026" i="1"/>
  <c r="O5026" i="1"/>
  <c r="N5026" i="1"/>
  <c r="AA5025" i="1"/>
  <c r="T5025" i="1"/>
  <c r="P5025" i="1"/>
  <c r="O5025" i="1"/>
  <c r="N5025" i="1"/>
  <c r="AA5024" i="1"/>
  <c r="T5024" i="1"/>
  <c r="P5024" i="1"/>
  <c r="O5024" i="1"/>
  <c r="N5024" i="1"/>
  <c r="AA5023" i="1"/>
  <c r="T5023" i="1"/>
  <c r="P5023" i="1"/>
  <c r="O5023" i="1"/>
  <c r="N5023" i="1"/>
  <c r="AA5022" i="1"/>
  <c r="T5022" i="1"/>
  <c r="P5022" i="1"/>
  <c r="O5022" i="1"/>
  <c r="N5022" i="1"/>
  <c r="AA5021" i="1"/>
  <c r="T5021" i="1"/>
  <c r="P5021" i="1"/>
  <c r="O5021" i="1"/>
  <c r="N5021" i="1"/>
  <c r="AA5020" i="1"/>
  <c r="T5020" i="1"/>
  <c r="P5020" i="1"/>
  <c r="O5020" i="1"/>
  <c r="N5020" i="1"/>
  <c r="AA5019" i="1"/>
  <c r="T5019" i="1"/>
  <c r="P5019" i="1"/>
  <c r="O5019" i="1"/>
  <c r="N5019" i="1"/>
  <c r="AA5018" i="1"/>
  <c r="T5018" i="1"/>
  <c r="P5018" i="1"/>
  <c r="O5018" i="1"/>
  <c r="N5018" i="1"/>
  <c r="AA5017" i="1"/>
  <c r="T5017" i="1"/>
  <c r="P5017" i="1"/>
  <c r="O5017" i="1"/>
  <c r="N5017" i="1"/>
  <c r="AA5016" i="1"/>
  <c r="T5016" i="1"/>
  <c r="P5016" i="1"/>
  <c r="O5016" i="1"/>
  <c r="N5016" i="1"/>
  <c r="AA5015" i="1"/>
  <c r="T5015" i="1"/>
  <c r="P5015" i="1"/>
  <c r="O5015" i="1"/>
  <c r="N5015" i="1"/>
  <c r="AA5014" i="1"/>
  <c r="T5014" i="1"/>
  <c r="P5014" i="1"/>
  <c r="O5014" i="1"/>
  <c r="N5014" i="1"/>
  <c r="AA5013" i="1"/>
  <c r="T5013" i="1"/>
  <c r="P5013" i="1"/>
  <c r="O5013" i="1"/>
  <c r="N5013" i="1"/>
  <c r="AA5012" i="1"/>
  <c r="T5012" i="1"/>
  <c r="P5012" i="1"/>
  <c r="O5012" i="1"/>
  <c r="N5012" i="1"/>
  <c r="AA5011" i="1"/>
  <c r="T5011" i="1"/>
  <c r="P5011" i="1"/>
  <c r="O5011" i="1"/>
  <c r="N5011" i="1"/>
  <c r="AA5010" i="1"/>
  <c r="T5010" i="1"/>
  <c r="P5010" i="1"/>
  <c r="O5010" i="1"/>
  <c r="N5010" i="1"/>
  <c r="AA5009" i="1"/>
  <c r="T5009" i="1"/>
  <c r="P5009" i="1"/>
  <c r="O5009" i="1"/>
  <c r="N5009" i="1"/>
  <c r="AA5008" i="1"/>
  <c r="T5008" i="1"/>
  <c r="P5008" i="1"/>
  <c r="O5008" i="1"/>
  <c r="N5008" i="1"/>
  <c r="AA5007" i="1"/>
  <c r="T5007" i="1"/>
  <c r="P5007" i="1"/>
  <c r="O5007" i="1"/>
  <c r="N5007" i="1"/>
  <c r="AA5006" i="1"/>
  <c r="T5006" i="1"/>
  <c r="P5006" i="1"/>
  <c r="O5006" i="1"/>
  <c r="N5006" i="1"/>
  <c r="AA5005" i="1"/>
  <c r="T5005" i="1"/>
  <c r="P5005" i="1"/>
  <c r="O5005" i="1"/>
  <c r="N5005" i="1"/>
  <c r="AA5004" i="1"/>
  <c r="T5004" i="1"/>
  <c r="P5004" i="1"/>
  <c r="O5004" i="1"/>
  <c r="N5004" i="1"/>
  <c r="AA5003" i="1"/>
  <c r="T5003" i="1"/>
  <c r="P5003" i="1"/>
  <c r="O5003" i="1"/>
  <c r="N5003" i="1"/>
  <c r="AA5002" i="1"/>
  <c r="T5002" i="1"/>
  <c r="P5002" i="1"/>
  <c r="O5002" i="1"/>
  <c r="N5002" i="1"/>
  <c r="AA5001" i="1"/>
  <c r="T5001" i="1"/>
  <c r="P5001" i="1"/>
  <c r="O5001" i="1"/>
  <c r="N5001" i="1"/>
  <c r="AA5000" i="1"/>
  <c r="T5000" i="1"/>
  <c r="P5000" i="1"/>
  <c r="O5000" i="1"/>
  <c r="N5000" i="1"/>
  <c r="AA4999" i="1"/>
  <c r="T4999" i="1"/>
  <c r="P4999" i="1"/>
  <c r="O4999" i="1"/>
  <c r="N4999" i="1"/>
  <c r="AA4998" i="1"/>
  <c r="T4998" i="1"/>
  <c r="P4998" i="1"/>
  <c r="O4998" i="1"/>
  <c r="N4998" i="1"/>
  <c r="AA4997" i="1"/>
  <c r="T4997" i="1"/>
  <c r="P4997" i="1"/>
  <c r="O4997" i="1"/>
  <c r="N4997" i="1"/>
  <c r="AA4996" i="1"/>
  <c r="T4996" i="1"/>
  <c r="P4996" i="1"/>
  <c r="O4996" i="1"/>
  <c r="N4996" i="1"/>
  <c r="AA4995" i="1"/>
  <c r="T4995" i="1"/>
  <c r="P4995" i="1"/>
  <c r="O4995" i="1"/>
  <c r="N4995" i="1"/>
  <c r="AA4994" i="1"/>
  <c r="T4994" i="1"/>
  <c r="P4994" i="1"/>
  <c r="O4994" i="1"/>
  <c r="N4994" i="1"/>
  <c r="AA4993" i="1"/>
  <c r="T4993" i="1"/>
  <c r="P4993" i="1"/>
  <c r="O4993" i="1"/>
  <c r="N4993" i="1"/>
  <c r="AA4992" i="1"/>
  <c r="T4992" i="1"/>
  <c r="P4992" i="1"/>
  <c r="O4992" i="1"/>
  <c r="N4992" i="1"/>
  <c r="AA4991" i="1"/>
  <c r="T4991" i="1"/>
  <c r="P4991" i="1"/>
  <c r="O4991" i="1"/>
  <c r="N4991" i="1"/>
  <c r="AA4990" i="1"/>
  <c r="T4990" i="1"/>
  <c r="P4990" i="1"/>
  <c r="O4990" i="1"/>
  <c r="N4990" i="1"/>
  <c r="AA4989" i="1"/>
  <c r="T4989" i="1"/>
  <c r="P4989" i="1"/>
  <c r="O4989" i="1"/>
  <c r="N4989" i="1"/>
  <c r="AA4988" i="1"/>
  <c r="T4988" i="1"/>
  <c r="P4988" i="1"/>
  <c r="O4988" i="1"/>
  <c r="N4988" i="1"/>
  <c r="AA4987" i="1"/>
  <c r="T4987" i="1"/>
  <c r="P4987" i="1"/>
  <c r="O4987" i="1"/>
  <c r="N4987" i="1"/>
  <c r="AA4986" i="1"/>
  <c r="T4986" i="1"/>
  <c r="P4986" i="1"/>
  <c r="O4986" i="1"/>
  <c r="N4986" i="1"/>
  <c r="AA4985" i="1"/>
  <c r="T4985" i="1"/>
  <c r="P4985" i="1"/>
  <c r="O4985" i="1"/>
  <c r="N4985" i="1"/>
  <c r="AA4984" i="1"/>
  <c r="T4984" i="1"/>
  <c r="P4984" i="1"/>
  <c r="O4984" i="1"/>
  <c r="N4984" i="1"/>
  <c r="AA4983" i="1"/>
  <c r="T4983" i="1"/>
  <c r="P4983" i="1"/>
  <c r="O4983" i="1"/>
  <c r="N4983" i="1"/>
  <c r="AA4982" i="1"/>
  <c r="T4982" i="1"/>
  <c r="P4982" i="1"/>
  <c r="O4982" i="1"/>
  <c r="N4982" i="1"/>
  <c r="AA4981" i="1"/>
  <c r="T4981" i="1"/>
  <c r="P4981" i="1"/>
  <c r="O4981" i="1"/>
  <c r="N4981" i="1"/>
  <c r="AA4980" i="1"/>
  <c r="T4980" i="1"/>
  <c r="P4980" i="1"/>
  <c r="O4980" i="1"/>
  <c r="N4980" i="1"/>
  <c r="AA4979" i="1"/>
  <c r="T4979" i="1"/>
  <c r="P4979" i="1"/>
  <c r="O4979" i="1"/>
  <c r="N4979" i="1"/>
  <c r="AA4978" i="1"/>
  <c r="T4978" i="1"/>
  <c r="P4978" i="1"/>
  <c r="O4978" i="1"/>
  <c r="N4978" i="1"/>
  <c r="AA4977" i="1"/>
  <c r="T4977" i="1"/>
  <c r="P4977" i="1"/>
  <c r="O4977" i="1"/>
  <c r="N4977" i="1"/>
  <c r="AA4976" i="1"/>
  <c r="T4976" i="1"/>
  <c r="P4976" i="1"/>
  <c r="O4976" i="1"/>
  <c r="N4976" i="1"/>
  <c r="AA4975" i="1"/>
  <c r="T4975" i="1"/>
  <c r="P4975" i="1"/>
  <c r="O4975" i="1"/>
  <c r="N4975" i="1"/>
  <c r="AA4974" i="1"/>
  <c r="T4974" i="1"/>
  <c r="P4974" i="1"/>
  <c r="O4974" i="1"/>
  <c r="N4974" i="1"/>
  <c r="AA4973" i="1"/>
  <c r="T4973" i="1"/>
  <c r="P4973" i="1"/>
  <c r="O4973" i="1"/>
  <c r="N4973" i="1"/>
  <c r="AA4972" i="1"/>
  <c r="T4972" i="1"/>
  <c r="O4972" i="1"/>
  <c r="N4972" i="1"/>
  <c r="AA4971" i="1"/>
  <c r="T4971" i="1"/>
  <c r="P4971" i="1"/>
  <c r="O4971" i="1"/>
  <c r="N4971" i="1"/>
  <c r="AA4970" i="1"/>
  <c r="T4970" i="1"/>
  <c r="P4970" i="1"/>
  <c r="O4970" i="1"/>
  <c r="N4970" i="1"/>
  <c r="AA4969" i="1"/>
  <c r="T4969" i="1"/>
  <c r="P4969" i="1"/>
  <c r="O4969" i="1"/>
  <c r="N4969" i="1"/>
  <c r="AA4968" i="1"/>
  <c r="T4968" i="1"/>
  <c r="P4968" i="1"/>
  <c r="O4968" i="1"/>
  <c r="N4968" i="1"/>
  <c r="AA4967" i="1"/>
  <c r="T4967" i="1"/>
  <c r="P4967" i="1"/>
  <c r="O4967" i="1"/>
  <c r="N4967" i="1"/>
  <c r="AA4966" i="1"/>
  <c r="T4966" i="1"/>
  <c r="P4966" i="1"/>
  <c r="O4966" i="1"/>
  <c r="N4966" i="1"/>
  <c r="AA4965" i="1"/>
  <c r="T4965" i="1"/>
  <c r="P4965" i="1"/>
  <c r="O4965" i="1"/>
  <c r="N4965" i="1"/>
  <c r="AA4964" i="1"/>
  <c r="T4964" i="1"/>
  <c r="P4964" i="1"/>
  <c r="O4964" i="1"/>
  <c r="N4964" i="1"/>
  <c r="AA4963" i="1"/>
  <c r="T4963" i="1"/>
  <c r="P4963" i="1"/>
  <c r="O4963" i="1"/>
  <c r="N4963" i="1"/>
  <c r="AA4962" i="1"/>
  <c r="T4962" i="1"/>
  <c r="P4962" i="1"/>
  <c r="O4962" i="1"/>
  <c r="N4962" i="1"/>
  <c r="AA4961" i="1"/>
  <c r="T4961" i="1"/>
  <c r="P4961" i="1"/>
  <c r="O4961" i="1"/>
  <c r="N4961" i="1"/>
  <c r="AA4960" i="1"/>
  <c r="T4960" i="1"/>
  <c r="P4960" i="1"/>
  <c r="O4960" i="1"/>
  <c r="N4960" i="1"/>
  <c r="AA4959" i="1"/>
  <c r="T4959" i="1"/>
  <c r="P4959" i="1"/>
  <c r="O4959" i="1"/>
  <c r="N4959" i="1"/>
  <c r="AA4958" i="1"/>
  <c r="T4958" i="1"/>
  <c r="P4958" i="1"/>
  <c r="O4958" i="1"/>
  <c r="N4958" i="1"/>
  <c r="AA4957" i="1"/>
  <c r="T4957" i="1"/>
  <c r="P4957" i="1"/>
  <c r="O4957" i="1"/>
  <c r="N4957" i="1"/>
  <c r="AA4956" i="1"/>
  <c r="T4956" i="1"/>
  <c r="P4956" i="1"/>
  <c r="O4956" i="1"/>
  <c r="N4956" i="1"/>
  <c r="AA4955" i="1"/>
  <c r="T4955" i="1"/>
  <c r="P4955" i="1"/>
  <c r="O4955" i="1"/>
  <c r="N4955" i="1"/>
  <c r="AA4954" i="1"/>
  <c r="T4954" i="1"/>
  <c r="P4954" i="1"/>
  <c r="O4954" i="1"/>
  <c r="N4954" i="1"/>
  <c r="AA4953" i="1"/>
  <c r="T4953" i="1"/>
  <c r="P4953" i="1"/>
  <c r="O4953" i="1"/>
  <c r="N4953" i="1"/>
  <c r="AA4952" i="1"/>
  <c r="T4952" i="1"/>
  <c r="P4952" i="1"/>
  <c r="O4952" i="1"/>
  <c r="N4952" i="1"/>
  <c r="AA4951" i="1"/>
  <c r="T4951" i="1"/>
  <c r="P4951" i="1"/>
  <c r="O4951" i="1"/>
  <c r="N4951" i="1"/>
  <c r="AA4950" i="1"/>
  <c r="T4950" i="1"/>
  <c r="P4950" i="1"/>
  <c r="O4950" i="1"/>
  <c r="N4950" i="1"/>
  <c r="AA4949" i="1"/>
  <c r="T4949" i="1"/>
  <c r="P4949" i="1"/>
  <c r="O4949" i="1"/>
  <c r="N4949" i="1"/>
  <c r="AA4948" i="1"/>
  <c r="T4948" i="1"/>
  <c r="P4948" i="1"/>
  <c r="O4948" i="1"/>
  <c r="N4948" i="1"/>
  <c r="AA4947" i="1"/>
  <c r="T4947" i="1"/>
  <c r="P4947" i="1"/>
  <c r="O4947" i="1"/>
  <c r="N4947" i="1"/>
  <c r="AA4946" i="1"/>
  <c r="T4946" i="1"/>
  <c r="P4946" i="1"/>
  <c r="O4946" i="1"/>
  <c r="N4946" i="1"/>
  <c r="AA4945" i="1"/>
  <c r="T4945" i="1"/>
  <c r="P4945" i="1"/>
  <c r="O4945" i="1"/>
  <c r="N4945" i="1"/>
  <c r="AA4944" i="1"/>
  <c r="T4944" i="1"/>
  <c r="P4944" i="1"/>
  <c r="O4944" i="1"/>
  <c r="N4944" i="1"/>
  <c r="AA4943" i="1"/>
  <c r="T4943" i="1"/>
  <c r="P4943" i="1"/>
  <c r="O4943" i="1"/>
  <c r="N4943" i="1"/>
  <c r="AA4942" i="1"/>
  <c r="T4942" i="1"/>
  <c r="P4942" i="1"/>
  <c r="O4942" i="1"/>
  <c r="N4942" i="1"/>
  <c r="AA4941" i="1"/>
  <c r="T4941" i="1"/>
  <c r="P4941" i="1"/>
  <c r="O4941" i="1"/>
  <c r="N4941" i="1"/>
  <c r="AA4940" i="1"/>
  <c r="T4940" i="1"/>
  <c r="P4940" i="1"/>
  <c r="O4940" i="1"/>
  <c r="N4940" i="1"/>
  <c r="AA4939" i="1"/>
  <c r="T4939" i="1"/>
  <c r="P4939" i="1"/>
  <c r="O4939" i="1"/>
  <c r="N4939" i="1"/>
  <c r="AA4938" i="1"/>
  <c r="T4938" i="1"/>
  <c r="P4938" i="1"/>
  <c r="O4938" i="1"/>
  <c r="N4938" i="1"/>
  <c r="AA4937" i="1"/>
  <c r="T4937" i="1"/>
  <c r="P4937" i="1"/>
  <c r="O4937" i="1"/>
  <c r="N4937" i="1"/>
  <c r="AA4936" i="1"/>
  <c r="T4936" i="1"/>
  <c r="P4936" i="1"/>
  <c r="O4936" i="1"/>
  <c r="N4936" i="1"/>
  <c r="AA4935" i="1"/>
  <c r="T4935" i="1"/>
  <c r="P4935" i="1"/>
  <c r="O4935" i="1"/>
  <c r="N4935" i="1"/>
  <c r="AA4934" i="1"/>
  <c r="T4934" i="1"/>
  <c r="P4934" i="1"/>
  <c r="O4934" i="1"/>
  <c r="N4934" i="1"/>
  <c r="AA4933" i="1"/>
  <c r="T4933" i="1"/>
  <c r="P4933" i="1"/>
  <c r="O4933" i="1"/>
  <c r="N4933" i="1"/>
  <c r="AA4932" i="1"/>
  <c r="T4932" i="1"/>
  <c r="P4932" i="1"/>
  <c r="O4932" i="1"/>
  <c r="N4932" i="1"/>
  <c r="AA4931" i="1"/>
  <c r="T4931" i="1"/>
  <c r="P4931" i="1"/>
  <c r="O4931" i="1"/>
  <c r="N4931" i="1"/>
  <c r="AA4930" i="1"/>
  <c r="T4930" i="1"/>
  <c r="P4930" i="1"/>
  <c r="O4930" i="1"/>
  <c r="N4930" i="1"/>
  <c r="AA4929" i="1"/>
  <c r="T4929" i="1"/>
  <c r="P4929" i="1"/>
  <c r="O4929" i="1"/>
  <c r="N4929" i="1"/>
  <c r="AA4928" i="1"/>
  <c r="T4928" i="1"/>
  <c r="P4928" i="1"/>
  <c r="O4928" i="1"/>
  <c r="N4928" i="1"/>
  <c r="AA4927" i="1"/>
  <c r="T4927" i="1"/>
  <c r="P4927" i="1"/>
  <c r="O4927" i="1"/>
  <c r="N4927" i="1"/>
  <c r="AA4926" i="1"/>
  <c r="T4926" i="1"/>
  <c r="P4926" i="1"/>
  <c r="O4926" i="1"/>
  <c r="N4926" i="1"/>
  <c r="AA4925" i="1"/>
  <c r="T4925" i="1"/>
  <c r="P4925" i="1"/>
  <c r="O4925" i="1"/>
  <c r="N4925" i="1"/>
  <c r="AA4924" i="1"/>
  <c r="T4924" i="1"/>
  <c r="P4924" i="1"/>
  <c r="O4924" i="1"/>
  <c r="N4924" i="1"/>
  <c r="AA4923" i="1"/>
  <c r="T4923" i="1"/>
  <c r="P4923" i="1"/>
  <c r="O4923" i="1"/>
  <c r="N4923" i="1"/>
  <c r="AA4922" i="1"/>
  <c r="T4922" i="1"/>
  <c r="P4922" i="1"/>
  <c r="O4922" i="1"/>
  <c r="N4922" i="1"/>
  <c r="AA4921" i="1"/>
  <c r="T4921" i="1"/>
  <c r="P4921" i="1"/>
  <c r="O4921" i="1"/>
  <c r="N4921" i="1"/>
  <c r="AA4920" i="1"/>
  <c r="T4920" i="1"/>
  <c r="P4920" i="1"/>
  <c r="O4920" i="1"/>
  <c r="N4920" i="1"/>
  <c r="AA4919" i="1"/>
  <c r="T4919" i="1"/>
  <c r="P4919" i="1"/>
  <c r="O4919" i="1"/>
  <c r="N4919" i="1"/>
  <c r="AA4918" i="1"/>
  <c r="T4918" i="1"/>
  <c r="P4918" i="1"/>
  <c r="O4918" i="1"/>
  <c r="N4918" i="1"/>
  <c r="AA4917" i="1"/>
  <c r="T4917" i="1"/>
  <c r="P4917" i="1"/>
  <c r="O4917" i="1"/>
  <c r="N4917" i="1"/>
  <c r="AA4916" i="1"/>
  <c r="T4916" i="1"/>
  <c r="P4916" i="1"/>
  <c r="O4916" i="1"/>
  <c r="N4916" i="1"/>
  <c r="AA4915" i="1"/>
  <c r="T4915" i="1"/>
  <c r="P4915" i="1"/>
  <c r="O4915" i="1"/>
  <c r="N4915" i="1"/>
  <c r="AA4914" i="1"/>
  <c r="T4914" i="1"/>
  <c r="P4914" i="1"/>
  <c r="O4914" i="1"/>
  <c r="N4914" i="1"/>
  <c r="AA4913" i="1"/>
  <c r="T4913" i="1"/>
  <c r="P4913" i="1"/>
  <c r="O4913" i="1"/>
  <c r="N4913" i="1"/>
  <c r="AA4912" i="1"/>
  <c r="T4912" i="1"/>
  <c r="P4912" i="1"/>
  <c r="O4912" i="1"/>
  <c r="N4912" i="1"/>
  <c r="AA4911" i="1"/>
  <c r="T4911" i="1"/>
  <c r="P4911" i="1"/>
  <c r="O4911" i="1"/>
  <c r="N4911" i="1"/>
  <c r="AA4910" i="1"/>
  <c r="T4910" i="1"/>
  <c r="P4910" i="1"/>
  <c r="O4910" i="1"/>
  <c r="N4910" i="1"/>
  <c r="AA4909" i="1"/>
  <c r="T4909" i="1"/>
  <c r="P4909" i="1"/>
  <c r="O4909" i="1"/>
  <c r="N4909" i="1"/>
  <c r="AA4908" i="1"/>
  <c r="T4908" i="1"/>
  <c r="P4908" i="1"/>
  <c r="O4908" i="1"/>
  <c r="N4908" i="1"/>
  <c r="AA4907" i="1"/>
  <c r="T4907" i="1"/>
  <c r="P4907" i="1"/>
  <c r="O4907" i="1"/>
  <c r="N4907" i="1"/>
  <c r="AA4906" i="1"/>
  <c r="T4906" i="1"/>
  <c r="P4906" i="1"/>
  <c r="O4906" i="1"/>
  <c r="N4906" i="1"/>
  <c r="AA4905" i="1"/>
  <c r="T4905" i="1"/>
  <c r="P4905" i="1"/>
  <c r="O4905" i="1"/>
  <c r="N4905" i="1"/>
  <c r="AA4904" i="1"/>
  <c r="T4904" i="1"/>
  <c r="P4904" i="1"/>
  <c r="O4904" i="1"/>
  <c r="N4904" i="1"/>
  <c r="AA4903" i="1"/>
  <c r="T4903" i="1"/>
  <c r="P4903" i="1"/>
  <c r="O4903" i="1"/>
  <c r="N4903" i="1"/>
  <c r="AA4902" i="1"/>
  <c r="T4902" i="1"/>
  <c r="P4902" i="1"/>
  <c r="O4902" i="1"/>
  <c r="N4902" i="1"/>
  <c r="AA4901" i="1"/>
  <c r="T4901" i="1"/>
  <c r="P4901" i="1"/>
  <c r="O4901" i="1"/>
  <c r="N4901" i="1"/>
  <c r="AA4900" i="1"/>
  <c r="T4900" i="1"/>
  <c r="P4900" i="1"/>
  <c r="O4900" i="1"/>
  <c r="N4900" i="1"/>
  <c r="AA4899" i="1"/>
  <c r="T4899" i="1"/>
  <c r="P4899" i="1"/>
  <c r="O4899" i="1"/>
  <c r="N4899" i="1"/>
  <c r="AA4898" i="1"/>
  <c r="T4898" i="1"/>
  <c r="P4898" i="1"/>
  <c r="O4898" i="1"/>
  <c r="N4898" i="1"/>
  <c r="AA4897" i="1"/>
  <c r="T4897" i="1"/>
  <c r="P4897" i="1"/>
  <c r="O4897" i="1"/>
  <c r="N4897" i="1"/>
  <c r="AA4896" i="1"/>
  <c r="T4896" i="1"/>
  <c r="P4896" i="1"/>
  <c r="O4896" i="1"/>
  <c r="N4896" i="1"/>
  <c r="AA4895" i="1"/>
  <c r="T4895" i="1"/>
  <c r="P4895" i="1"/>
  <c r="O4895" i="1"/>
  <c r="N4895" i="1"/>
  <c r="AA4894" i="1"/>
  <c r="T4894" i="1"/>
  <c r="P4894" i="1"/>
  <c r="O4894" i="1"/>
  <c r="N4894" i="1"/>
  <c r="AA4893" i="1"/>
  <c r="T4893" i="1"/>
  <c r="P4893" i="1"/>
  <c r="O4893" i="1"/>
  <c r="N4893" i="1"/>
  <c r="AA4892" i="1"/>
  <c r="T4892" i="1"/>
  <c r="P4892" i="1"/>
  <c r="O4892" i="1"/>
  <c r="N4892" i="1"/>
  <c r="AA4891" i="1"/>
  <c r="T4891" i="1"/>
  <c r="P4891" i="1"/>
  <c r="O4891" i="1"/>
  <c r="N4891" i="1"/>
  <c r="AA4890" i="1"/>
  <c r="T4890" i="1"/>
  <c r="P4890" i="1"/>
  <c r="O4890" i="1"/>
  <c r="N4890" i="1"/>
  <c r="AA4889" i="1"/>
  <c r="T4889" i="1"/>
  <c r="P4889" i="1"/>
  <c r="O4889" i="1"/>
  <c r="N4889" i="1"/>
  <c r="AA4888" i="1"/>
  <c r="T4888" i="1"/>
  <c r="P4888" i="1"/>
  <c r="O4888" i="1"/>
  <c r="N4888" i="1"/>
  <c r="AA4887" i="1"/>
  <c r="T4887" i="1"/>
  <c r="P4887" i="1"/>
  <c r="O4887" i="1"/>
  <c r="N4887" i="1"/>
  <c r="AA4886" i="1"/>
  <c r="T4886" i="1"/>
  <c r="P4886" i="1"/>
  <c r="O4886" i="1"/>
  <c r="N4886" i="1"/>
  <c r="AA4885" i="1"/>
  <c r="T4885" i="1"/>
  <c r="P4885" i="1"/>
  <c r="O4885" i="1"/>
  <c r="N4885" i="1"/>
  <c r="AA4884" i="1"/>
  <c r="T4884" i="1"/>
  <c r="P4884" i="1"/>
  <c r="O4884" i="1"/>
  <c r="N4884" i="1"/>
  <c r="AA4883" i="1"/>
  <c r="T4883" i="1"/>
  <c r="P4883" i="1"/>
  <c r="O4883" i="1"/>
  <c r="N4883" i="1"/>
  <c r="AA4882" i="1"/>
  <c r="T4882" i="1"/>
  <c r="P4882" i="1"/>
  <c r="O4882" i="1"/>
  <c r="N4882" i="1"/>
  <c r="AA4881" i="1"/>
  <c r="T4881" i="1"/>
  <c r="P4881" i="1"/>
  <c r="O4881" i="1"/>
  <c r="N4881" i="1"/>
  <c r="AA4880" i="1"/>
  <c r="T4880" i="1"/>
  <c r="P4880" i="1"/>
  <c r="O4880" i="1"/>
  <c r="N4880" i="1"/>
  <c r="AA4879" i="1"/>
  <c r="T4879" i="1"/>
  <c r="P4879" i="1"/>
  <c r="O4879" i="1"/>
  <c r="N4879" i="1"/>
  <c r="AA4878" i="1"/>
  <c r="T4878" i="1"/>
  <c r="P4878" i="1"/>
  <c r="O4878" i="1"/>
  <c r="N4878" i="1"/>
  <c r="AA4877" i="1"/>
  <c r="T4877" i="1"/>
  <c r="P4877" i="1"/>
  <c r="O4877" i="1"/>
  <c r="N4877" i="1"/>
  <c r="AA4876" i="1"/>
  <c r="T4876" i="1"/>
  <c r="P4876" i="1"/>
  <c r="O4876" i="1"/>
  <c r="N4876" i="1"/>
  <c r="AA4875" i="1"/>
  <c r="T4875" i="1"/>
  <c r="P4875" i="1"/>
  <c r="O4875" i="1"/>
  <c r="N4875" i="1"/>
  <c r="AA4874" i="1"/>
  <c r="T4874" i="1"/>
  <c r="P4874" i="1"/>
  <c r="O4874" i="1"/>
  <c r="N4874" i="1"/>
  <c r="AA4873" i="1"/>
  <c r="T4873" i="1"/>
  <c r="P4873" i="1"/>
  <c r="O4873" i="1"/>
  <c r="N4873" i="1"/>
  <c r="AA4872" i="1"/>
  <c r="T4872" i="1"/>
  <c r="P4872" i="1"/>
  <c r="O4872" i="1"/>
  <c r="N4872" i="1"/>
  <c r="AA4871" i="1"/>
  <c r="T4871" i="1"/>
  <c r="P4871" i="1"/>
  <c r="O4871" i="1"/>
  <c r="N4871" i="1"/>
  <c r="AA4870" i="1"/>
  <c r="T4870" i="1"/>
  <c r="P4870" i="1"/>
  <c r="O4870" i="1"/>
  <c r="N4870" i="1"/>
  <c r="AA4869" i="1"/>
  <c r="T4869" i="1"/>
  <c r="P4869" i="1"/>
  <c r="O4869" i="1"/>
  <c r="N4869" i="1"/>
  <c r="AA4868" i="1"/>
  <c r="T4868" i="1"/>
  <c r="P4868" i="1"/>
  <c r="O4868" i="1"/>
  <c r="N4868" i="1"/>
  <c r="AA4867" i="1"/>
  <c r="T4867" i="1"/>
  <c r="P4867" i="1"/>
  <c r="O4867" i="1"/>
  <c r="N4867" i="1"/>
  <c r="AA4866" i="1"/>
  <c r="T4866" i="1"/>
  <c r="P4866" i="1"/>
  <c r="O4866" i="1"/>
  <c r="N4866" i="1"/>
  <c r="AA4865" i="1"/>
  <c r="T4865" i="1"/>
  <c r="P4865" i="1"/>
  <c r="O4865" i="1"/>
  <c r="N4865" i="1"/>
  <c r="AA4864" i="1"/>
  <c r="T4864" i="1"/>
  <c r="P4864" i="1"/>
  <c r="O4864" i="1"/>
  <c r="N4864" i="1"/>
  <c r="AA4863" i="1"/>
  <c r="T4863" i="1"/>
  <c r="P4863" i="1"/>
  <c r="O4863" i="1"/>
  <c r="N4863" i="1"/>
  <c r="AA4862" i="1"/>
  <c r="T4862" i="1"/>
  <c r="P4862" i="1"/>
  <c r="O4862" i="1"/>
  <c r="N4862" i="1"/>
  <c r="AA4861" i="1"/>
  <c r="T4861" i="1"/>
  <c r="P4861" i="1"/>
  <c r="O4861" i="1"/>
  <c r="N4861" i="1"/>
  <c r="AA4860" i="1"/>
  <c r="T4860" i="1"/>
  <c r="P4860" i="1"/>
  <c r="O4860" i="1"/>
  <c r="N4860" i="1"/>
  <c r="AA4859" i="1"/>
  <c r="T4859" i="1"/>
  <c r="P4859" i="1"/>
  <c r="O4859" i="1"/>
  <c r="N4859" i="1"/>
  <c r="AA4858" i="1"/>
  <c r="T4858" i="1"/>
  <c r="P4858" i="1"/>
  <c r="O4858" i="1"/>
  <c r="N4858" i="1"/>
  <c r="AA4855" i="1"/>
  <c r="T4855" i="1"/>
  <c r="P4855" i="1"/>
  <c r="O4855" i="1"/>
  <c r="N4855" i="1"/>
  <c r="AA4854" i="1"/>
  <c r="T4854" i="1"/>
  <c r="P4854" i="1"/>
  <c r="O4854" i="1"/>
  <c r="N4854" i="1"/>
  <c r="AA4853" i="1"/>
  <c r="T4853" i="1"/>
  <c r="P4853" i="1"/>
  <c r="O4853" i="1"/>
  <c r="N4853" i="1"/>
  <c r="AA4852" i="1"/>
  <c r="T4852" i="1"/>
  <c r="P4852" i="1"/>
  <c r="O4852" i="1"/>
  <c r="N4852" i="1"/>
  <c r="AA4851" i="1"/>
  <c r="T4851" i="1"/>
  <c r="P4851" i="1"/>
  <c r="O4851" i="1"/>
  <c r="N4851" i="1"/>
  <c r="AA4850" i="1"/>
  <c r="T4850" i="1"/>
  <c r="P4850" i="1"/>
  <c r="O4850" i="1"/>
  <c r="N4850" i="1"/>
  <c r="AA4849" i="1"/>
  <c r="T4849" i="1"/>
  <c r="P4849" i="1"/>
  <c r="O4849" i="1"/>
  <c r="N4849" i="1"/>
  <c r="AA4848" i="1"/>
  <c r="T4848" i="1"/>
  <c r="P4848" i="1"/>
  <c r="O4848" i="1"/>
  <c r="N4848" i="1"/>
  <c r="AA4846" i="1"/>
  <c r="T4846" i="1"/>
  <c r="P4846" i="1"/>
  <c r="O4846" i="1"/>
  <c r="N4846" i="1"/>
  <c r="AA4845" i="1"/>
  <c r="T4845" i="1"/>
  <c r="P4845" i="1"/>
  <c r="O4845" i="1"/>
  <c r="N4845" i="1"/>
  <c r="AA4844" i="1"/>
  <c r="T4844" i="1"/>
  <c r="P4844" i="1"/>
  <c r="O4844" i="1"/>
  <c r="N4844" i="1"/>
  <c r="AA4843" i="1"/>
  <c r="T4843" i="1"/>
  <c r="P4843" i="1"/>
  <c r="O4843" i="1"/>
  <c r="N4843" i="1"/>
  <c r="AA4842" i="1"/>
  <c r="T4842" i="1"/>
  <c r="P4842" i="1"/>
  <c r="O4842" i="1"/>
  <c r="N4842" i="1"/>
  <c r="AA4841" i="1"/>
  <c r="T4841" i="1"/>
  <c r="P4841" i="1"/>
  <c r="O4841" i="1"/>
  <c r="N4841" i="1"/>
  <c r="AA4837" i="1"/>
  <c r="T4837" i="1"/>
  <c r="P4837" i="1"/>
  <c r="O4837" i="1"/>
  <c r="N4837" i="1"/>
  <c r="AA4836" i="1"/>
  <c r="T4836" i="1"/>
  <c r="P4836" i="1"/>
  <c r="O4836" i="1"/>
  <c r="N4836" i="1"/>
  <c r="AA4835" i="1"/>
  <c r="T4835" i="1"/>
  <c r="P4835" i="1"/>
  <c r="O4835" i="1"/>
  <c r="N4835" i="1"/>
  <c r="AA4834" i="1"/>
  <c r="T4834" i="1"/>
  <c r="P4834" i="1"/>
  <c r="O4834" i="1"/>
  <c r="N4834" i="1"/>
  <c r="AA4831" i="1"/>
  <c r="T4831" i="1"/>
  <c r="P4831" i="1"/>
  <c r="O4831" i="1"/>
  <c r="N4831" i="1"/>
  <c r="AA4830" i="1"/>
  <c r="T4830" i="1"/>
  <c r="P4830" i="1"/>
  <c r="O4830" i="1"/>
  <c r="N4830" i="1"/>
  <c r="AA4828" i="1"/>
  <c r="T4828" i="1"/>
  <c r="P4828" i="1"/>
  <c r="O4828" i="1"/>
  <c r="N4828" i="1"/>
  <c r="AA4827" i="1"/>
  <c r="T4827" i="1"/>
  <c r="P4827" i="1"/>
  <c r="O4827" i="1"/>
  <c r="N4827" i="1"/>
  <c r="AA4826" i="1"/>
  <c r="T4826" i="1"/>
  <c r="P4826" i="1"/>
  <c r="O4826" i="1"/>
  <c r="N4826" i="1"/>
  <c r="AA4820" i="1"/>
  <c r="T4820" i="1"/>
  <c r="P4820" i="1"/>
  <c r="O4820" i="1"/>
  <c r="N4820" i="1"/>
  <c r="AA4819" i="1"/>
  <c r="T4819" i="1"/>
  <c r="P4819" i="1"/>
  <c r="O4819" i="1"/>
  <c r="N4819" i="1"/>
  <c r="AA4818" i="1"/>
  <c r="T4818" i="1"/>
  <c r="P4818" i="1"/>
  <c r="O4818" i="1"/>
  <c r="N4818" i="1"/>
  <c r="AA4817" i="1"/>
  <c r="T4817" i="1"/>
  <c r="P4817" i="1"/>
  <c r="O4817" i="1"/>
  <c r="N4817" i="1"/>
  <c r="AA4816" i="1"/>
  <c r="T4816" i="1"/>
  <c r="P4816" i="1"/>
  <c r="O4816" i="1"/>
  <c r="N4816" i="1"/>
  <c r="AA4815" i="1"/>
  <c r="T4815" i="1"/>
  <c r="P4815" i="1"/>
  <c r="O4815" i="1"/>
  <c r="N4815" i="1"/>
  <c r="AA4814" i="1"/>
  <c r="T4814" i="1"/>
  <c r="P4814" i="1"/>
  <c r="O4814" i="1"/>
  <c r="N4814" i="1"/>
  <c r="AA4813" i="1"/>
  <c r="T4813" i="1"/>
  <c r="P4813" i="1"/>
  <c r="O4813" i="1"/>
  <c r="N4813" i="1"/>
  <c r="AA4812" i="1"/>
  <c r="T4812" i="1"/>
  <c r="P4812" i="1"/>
  <c r="O4812" i="1"/>
  <c r="N4812" i="1"/>
  <c r="AA4810" i="1"/>
  <c r="T4810" i="1"/>
  <c r="P4810" i="1"/>
  <c r="O4810" i="1"/>
  <c r="N4810" i="1"/>
  <c r="AA4809" i="1"/>
  <c r="T4809" i="1"/>
  <c r="P4809" i="1"/>
  <c r="O4809" i="1"/>
  <c r="N4809" i="1"/>
  <c r="AA4808" i="1"/>
  <c r="T4808" i="1"/>
  <c r="P4808" i="1"/>
  <c r="O4808" i="1"/>
  <c r="N4808" i="1"/>
  <c r="AA4806" i="1"/>
  <c r="T4806" i="1"/>
  <c r="P4806" i="1"/>
  <c r="O4806" i="1"/>
  <c r="N4806" i="1"/>
  <c r="AA4805" i="1"/>
  <c r="T4805" i="1"/>
  <c r="P4805" i="1"/>
  <c r="O4805" i="1"/>
  <c r="N4805" i="1"/>
  <c r="AA4804" i="1"/>
  <c r="T4804" i="1"/>
  <c r="P4804" i="1"/>
  <c r="O4804" i="1"/>
  <c r="N4804" i="1"/>
  <c r="AA4803" i="1"/>
  <c r="T4803" i="1"/>
  <c r="P4803" i="1"/>
  <c r="O4803" i="1"/>
  <c r="N4803" i="1"/>
  <c r="AA4802" i="1"/>
  <c r="T4802" i="1"/>
  <c r="P4802" i="1"/>
  <c r="O4802" i="1"/>
  <c r="N4802" i="1"/>
  <c r="AA4801" i="1"/>
  <c r="T4801" i="1"/>
  <c r="P4801" i="1"/>
  <c r="O4801" i="1"/>
  <c r="N4801" i="1"/>
  <c r="AA4800" i="1"/>
  <c r="T4800" i="1"/>
  <c r="P4800" i="1"/>
  <c r="O4800" i="1"/>
  <c r="N4800" i="1"/>
  <c r="AA4799" i="1"/>
  <c r="T4799" i="1"/>
  <c r="P4799" i="1"/>
  <c r="O4799" i="1"/>
  <c r="N4799" i="1"/>
  <c r="AA4798" i="1"/>
  <c r="T4798" i="1"/>
  <c r="P4798" i="1"/>
  <c r="O4798" i="1"/>
  <c r="N4798" i="1"/>
  <c r="AA4797" i="1"/>
  <c r="T4797" i="1"/>
  <c r="P4797" i="1"/>
  <c r="O4797" i="1"/>
  <c r="N4797" i="1"/>
  <c r="AA4796" i="1"/>
  <c r="T4796" i="1"/>
  <c r="P4796" i="1"/>
  <c r="O4796" i="1"/>
  <c r="N4796" i="1"/>
  <c r="AA4795" i="1"/>
  <c r="T4795" i="1"/>
  <c r="P4795" i="1"/>
  <c r="O4795" i="1"/>
  <c r="N4795" i="1"/>
  <c r="AA4794" i="1"/>
  <c r="T4794" i="1"/>
  <c r="P4794" i="1"/>
  <c r="O4794" i="1"/>
  <c r="N4794" i="1"/>
  <c r="AA4793" i="1"/>
  <c r="T4793" i="1"/>
  <c r="P4793" i="1"/>
  <c r="O4793" i="1"/>
  <c r="N4793" i="1"/>
  <c r="AA4792" i="1"/>
  <c r="T4792" i="1"/>
  <c r="P4792" i="1"/>
  <c r="O4792" i="1"/>
  <c r="N4792" i="1"/>
  <c r="AA4791" i="1"/>
  <c r="T4791" i="1"/>
  <c r="P4791" i="1"/>
  <c r="O4791" i="1"/>
  <c r="N4791" i="1"/>
  <c r="AA4788" i="1"/>
  <c r="T4788" i="1"/>
  <c r="P4788" i="1"/>
  <c r="O4788" i="1"/>
  <c r="N4788" i="1"/>
  <c r="AA4787" i="1"/>
  <c r="T4787" i="1"/>
  <c r="P4787" i="1"/>
  <c r="O4787" i="1"/>
  <c r="N4787" i="1"/>
  <c r="AA4786" i="1"/>
  <c r="T4786" i="1"/>
  <c r="P4786" i="1"/>
  <c r="O4786" i="1"/>
  <c r="N4786" i="1"/>
  <c r="AA4785" i="1"/>
  <c r="T4785" i="1"/>
  <c r="P4785" i="1"/>
  <c r="O4785" i="1"/>
  <c r="N4785" i="1"/>
  <c r="AA4784" i="1"/>
  <c r="T4784" i="1"/>
  <c r="P4784" i="1"/>
  <c r="O4784" i="1"/>
  <c r="N4784" i="1"/>
  <c r="AA4783" i="1"/>
  <c r="T4783" i="1"/>
  <c r="P4783" i="1"/>
  <c r="O4783" i="1"/>
  <c r="N4783" i="1"/>
  <c r="AA4782" i="1"/>
  <c r="T4782" i="1"/>
  <c r="P4782" i="1"/>
  <c r="O4782" i="1"/>
  <c r="N4782" i="1"/>
  <c r="AA4781" i="1"/>
  <c r="T4781" i="1"/>
  <c r="P4781" i="1"/>
  <c r="O4781" i="1"/>
  <c r="N4781" i="1"/>
  <c r="AA4780" i="1"/>
  <c r="T4780" i="1"/>
  <c r="P4780" i="1"/>
  <c r="O4780" i="1"/>
  <c r="N4780" i="1"/>
  <c r="AA4779" i="1"/>
  <c r="T4779" i="1"/>
  <c r="P4779" i="1"/>
  <c r="O4779" i="1"/>
  <c r="N4779" i="1"/>
  <c r="AA4778" i="1"/>
  <c r="T4778" i="1"/>
  <c r="P4778" i="1"/>
  <c r="O4778" i="1"/>
  <c r="N4778" i="1"/>
  <c r="AA4777" i="1"/>
  <c r="T4777" i="1"/>
  <c r="P4777" i="1"/>
  <c r="O4777" i="1"/>
  <c r="N4777" i="1"/>
  <c r="AA4776" i="1"/>
  <c r="T4776" i="1"/>
  <c r="P4776" i="1"/>
  <c r="O4776" i="1"/>
  <c r="N4776" i="1"/>
  <c r="AA4775" i="1"/>
  <c r="T4775" i="1"/>
  <c r="P4775" i="1"/>
  <c r="O4775" i="1"/>
  <c r="N4775" i="1"/>
  <c r="AA4774" i="1"/>
  <c r="T4774" i="1"/>
  <c r="P4774" i="1"/>
  <c r="O4774" i="1"/>
  <c r="N4774" i="1"/>
  <c r="AA4773" i="1"/>
  <c r="T4773" i="1"/>
  <c r="P4773" i="1"/>
  <c r="O4773" i="1"/>
  <c r="N4773" i="1"/>
  <c r="AA4771" i="1"/>
  <c r="T4771" i="1"/>
  <c r="P4771" i="1"/>
  <c r="O4771" i="1"/>
  <c r="N4771" i="1"/>
  <c r="AA4770" i="1"/>
  <c r="T4770" i="1"/>
  <c r="P4770" i="1"/>
  <c r="O4770" i="1"/>
  <c r="N4770" i="1"/>
  <c r="AA4769" i="1"/>
  <c r="T4769" i="1"/>
  <c r="P4769" i="1"/>
  <c r="O4769" i="1"/>
  <c r="N4769" i="1"/>
  <c r="AA4768" i="1"/>
  <c r="T4768" i="1"/>
  <c r="P4768" i="1"/>
  <c r="O4768" i="1"/>
  <c r="N4768" i="1"/>
  <c r="AA4767" i="1"/>
  <c r="T4767" i="1"/>
  <c r="P4767" i="1"/>
  <c r="O4767" i="1"/>
  <c r="N4767" i="1"/>
  <c r="AA4766" i="1"/>
  <c r="T4766" i="1"/>
  <c r="P4766" i="1"/>
  <c r="O4766" i="1"/>
  <c r="N4766" i="1"/>
  <c r="AA4765" i="1"/>
  <c r="T4765" i="1"/>
  <c r="P4765" i="1"/>
  <c r="O4765" i="1"/>
  <c r="N4765" i="1"/>
  <c r="AA4763" i="1"/>
  <c r="T4763" i="1"/>
  <c r="P4763" i="1"/>
  <c r="O4763" i="1"/>
  <c r="N4763" i="1"/>
  <c r="AA4762" i="1"/>
  <c r="T4762" i="1"/>
  <c r="P4762" i="1"/>
  <c r="O4762" i="1"/>
  <c r="N4762" i="1"/>
  <c r="AA4761" i="1"/>
  <c r="T4761" i="1"/>
  <c r="P4761" i="1"/>
  <c r="O4761" i="1"/>
  <c r="N4761" i="1"/>
  <c r="AA4760" i="1"/>
  <c r="T4760" i="1"/>
  <c r="P4760" i="1"/>
  <c r="O4760" i="1"/>
  <c r="N4760" i="1"/>
  <c r="AA4759" i="1"/>
  <c r="T4759" i="1"/>
  <c r="P4759" i="1"/>
  <c r="O4759" i="1"/>
  <c r="N4759" i="1"/>
  <c r="AA4758" i="1"/>
  <c r="T4758" i="1"/>
  <c r="P4758" i="1"/>
  <c r="O4758" i="1"/>
  <c r="N4758" i="1"/>
  <c r="AA4757" i="1"/>
  <c r="T4757" i="1"/>
  <c r="P4757" i="1"/>
  <c r="O4757" i="1"/>
  <c r="N4757" i="1"/>
  <c r="AA4756" i="1"/>
  <c r="T4756" i="1"/>
  <c r="P4756" i="1"/>
  <c r="O4756" i="1"/>
  <c r="N4756" i="1"/>
  <c r="AA4755" i="1"/>
  <c r="T4755" i="1"/>
  <c r="P4755" i="1"/>
  <c r="O4755" i="1"/>
  <c r="N4755" i="1"/>
  <c r="AA4754" i="1"/>
  <c r="T4754" i="1"/>
  <c r="P4754" i="1"/>
  <c r="O4754" i="1"/>
  <c r="N4754" i="1"/>
  <c r="AA4753" i="1"/>
  <c r="T4753" i="1"/>
  <c r="P4753" i="1"/>
  <c r="O4753" i="1"/>
  <c r="N4753" i="1"/>
  <c r="AA4752" i="1"/>
  <c r="T4752" i="1"/>
  <c r="P4752" i="1"/>
  <c r="O4752" i="1"/>
  <c r="N4752" i="1"/>
  <c r="AA4751" i="1"/>
  <c r="T4751" i="1"/>
  <c r="P4751" i="1"/>
  <c r="O4751" i="1"/>
  <c r="N4751" i="1"/>
  <c r="AA4750" i="1"/>
  <c r="T4750" i="1"/>
  <c r="P4750" i="1"/>
  <c r="O4750" i="1"/>
  <c r="N4750" i="1"/>
  <c r="AA4749" i="1"/>
  <c r="T4749" i="1"/>
  <c r="P4749" i="1"/>
  <c r="O4749" i="1"/>
  <c r="N4749" i="1"/>
  <c r="AA4747" i="1"/>
  <c r="T4747" i="1"/>
  <c r="P4747" i="1"/>
  <c r="O4747" i="1"/>
  <c r="N4747" i="1"/>
  <c r="AA4746" i="1"/>
  <c r="T4746" i="1"/>
  <c r="P4746" i="1"/>
  <c r="O4746" i="1"/>
  <c r="N4746" i="1"/>
  <c r="AA4745" i="1"/>
  <c r="T4745" i="1"/>
  <c r="P4745" i="1"/>
  <c r="O4745" i="1"/>
  <c r="N4745" i="1"/>
  <c r="AA4744" i="1"/>
  <c r="T4744" i="1"/>
  <c r="P4744" i="1"/>
  <c r="O4744" i="1"/>
  <c r="N4744" i="1"/>
  <c r="AA4743" i="1"/>
  <c r="T4743" i="1"/>
  <c r="P4743" i="1"/>
  <c r="O4743" i="1"/>
  <c r="N4743" i="1"/>
  <c r="AA4742" i="1"/>
  <c r="T4742" i="1"/>
  <c r="P4742" i="1"/>
  <c r="O4742" i="1"/>
  <c r="N4742" i="1"/>
  <c r="AA4741" i="1"/>
  <c r="T4741" i="1"/>
  <c r="P4741" i="1"/>
  <c r="O4741" i="1"/>
  <c r="N4741" i="1"/>
  <c r="AA4740" i="1"/>
  <c r="T4740" i="1"/>
  <c r="P4740" i="1"/>
  <c r="O4740" i="1"/>
  <c r="N4740" i="1"/>
  <c r="AA4739" i="1"/>
  <c r="T4739" i="1"/>
  <c r="P4739" i="1"/>
  <c r="O4739" i="1"/>
  <c r="N4739" i="1"/>
  <c r="AA4736" i="1"/>
  <c r="T4736" i="1"/>
  <c r="P4736" i="1"/>
  <c r="O4736" i="1"/>
  <c r="N4736" i="1"/>
  <c r="AA4735" i="1"/>
  <c r="T4735" i="1"/>
  <c r="P4735" i="1"/>
  <c r="O4735" i="1"/>
  <c r="N4735" i="1"/>
  <c r="AA4734" i="1"/>
  <c r="T4734" i="1"/>
  <c r="P4734" i="1"/>
  <c r="O4734" i="1"/>
  <c r="N4734" i="1"/>
  <c r="AA4733" i="1"/>
  <c r="T4733" i="1"/>
  <c r="P4733" i="1"/>
  <c r="O4733" i="1"/>
  <c r="N4733" i="1"/>
  <c r="AA4732" i="1"/>
  <c r="T4732" i="1"/>
  <c r="P4732" i="1"/>
  <c r="O4732" i="1"/>
  <c r="N4732" i="1"/>
  <c r="AA4731" i="1"/>
  <c r="T4731" i="1"/>
  <c r="P4731" i="1"/>
  <c r="O4731" i="1"/>
  <c r="N4731" i="1"/>
  <c r="AA4730" i="1"/>
  <c r="T4730" i="1"/>
  <c r="P4730" i="1"/>
  <c r="O4730" i="1"/>
  <c r="N4730" i="1"/>
  <c r="AA4729" i="1"/>
  <c r="T4729" i="1"/>
  <c r="P4729" i="1"/>
  <c r="O4729" i="1"/>
  <c r="N4729" i="1"/>
  <c r="AA4728" i="1"/>
  <c r="T4728" i="1"/>
  <c r="O4728" i="1"/>
  <c r="N4728" i="1"/>
  <c r="AA4727" i="1"/>
  <c r="T4727" i="1"/>
  <c r="O4727" i="1"/>
  <c r="N4727" i="1"/>
  <c r="AA4726" i="1"/>
  <c r="T4726" i="1"/>
  <c r="P4726" i="1"/>
  <c r="O4726" i="1"/>
  <c r="N4726" i="1"/>
  <c r="AA4725" i="1"/>
  <c r="T4725" i="1"/>
  <c r="P4725" i="1"/>
  <c r="O4725" i="1"/>
  <c r="N4725" i="1"/>
  <c r="AA4724" i="1"/>
  <c r="T4724" i="1"/>
  <c r="P4724" i="1"/>
  <c r="O4724" i="1"/>
  <c r="N4724" i="1"/>
  <c r="AA4723" i="1"/>
  <c r="T4723" i="1"/>
  <c r="P4723" i="1"/>
  <c r="O4723" i="1"/>
  <c r="N4723" i="1"/>
  <c r="AA4722" i="1"/>
  <c r="T4722" i="1"/>
  <c r="P4722" i="1"/>
  <c r="O4722" i="1"/>
  <c r="N4722" i="1"/>
  <c r="AA4721" i="1"/>
  <c r="T4721" i="1"/>
  <c r="P4721" i="1"/>
  <c r="O4721" i="1"/>
  <c r="N4721" i="1"/>
  <c r="AA4720" i="1"/>
  <c r="T4720" i="1"/>
  <c r="P4720" i="1"/>
  <c r="O4720" i="1"/>
  <c r="N4720" i="1"/>
  <c r="AA4719" i="1"/>
  <c r="T4719" i="1"/>
  <c r="P4719" i="1"/>
  <c r="O4719" i="1"/>
  <c r="N4719" i="1"/>
  <c r="AA4716" i="1"/>
  <c r="T4716" i="1"/>
  <c r="P4716" i="1"/>
  <c r="O4716" i="1"/>
  <c r="N4716" i="1"/>
  <c r="AA4715" i="1"/>
  <c r="T4715" i="1"/>
  <c r="P4715" i="1"/>
  <c r="O4715" i="1"/>
  <c r="N4715" i="1"/>
  <c r="AA4713" i="1"/>
  <c r="T4713" i="1"/>
  <c r="P4713" i="1"/>
  <c r="O4713" i="1"/>
  <c r="N4713" i="1"/>
  <c r="AA4712" i="1"/>
  <c r="T4712" i="1"/>
  <c r="P4712" i="1"/>
  <c r="O4712" i="1"/>
  <c r="N4712" i="1"/>
  <c r="AA4711" i="1"/>
  <c r="T4711" i="1"/>
  <c r="P4711" i="1"/>
  <c r="O4711" i="1"/>
  <c r="N4711" i="1"/>
  <c r="AA4710" i="1"/>
  <c r="T4710" i="1"/>
  <c r="P4710" i="1"/>
  <c r="O4710" i="1"/>
  <c r="N4710" i="1"/>
  <c r="AA4709" i="1"/>
  <c r="T4709" i="1"/>
  <c r="P4709" i="1"/>
  <c r="O4709" i="1"/>
  <c r="N4709" i="1"/>
  <c r="AA4708" i="1"/>
  <c r="T4708" i="1"/>
  <c r="P4708" i="1"/>
  <c r="O4708" i="1"/>
  <c r="N4708" i="1"/>
  <c r="AA4707" i="1"/>
  <c r="T4707" i="1"/>
  <c r="P4707" i="1"/>
  <c r="O4707" i="1"/>
  <c r="N4707" i="1"/>
  <c r="AA4706" i="1"/>
  <c r="T4706" i="1"/>
  <c r="P4706" i="1"/>
  <c r="O4706" i="1"/>
  <c r="N4706" i="1"/>
  <c r="AA4705" i="1"/>
  <c r="T4705" i="1"/>
  <c r="P4705" i="1"/>
  <c r="O4705" i="1"/>
  <c r="N4705" i="1"/>
  <c r="AA4704" i="1"/>
  <c r="T4704" i="1"/>
  <c r="P4704" i="1"/>
  <c r="O4704" i="1"/>
  <c r="N4704" i="1"/>
  <c r="AA4703" i="1"/>
  <c r="T4703" i="1"/>
  <c r="P4703" i="1"/>
  <c r="O4703" i="1"/>
  <c r="N4703" i="1"/>
  <c r="AA4701" i="1"/>
  <c r="T4701" i="1"/>
  <c r="P4701" i="1"/>
  <c r="O4701" i="1"/>
  <c r="N4701" i="1"/>
  <c r="AA4700" i="1"/>
  <c r="T4700" i="1"/>
  <c r="P4700" i="1"/>
  <c r="O4700" i="1"/>
  <c r="N4700" i="1"/>
  <c r="AA4699" i="1"/>
  <c r="T4699" i="1"/>
  <c r="P4699" i="1"/>
  <c r="O4699" i="1"/>
  <c r="N4699" i="1"/>
  <c r="AA4697" i="1"/>
  <c r="T4697" i="1"/>
  <c r="P4697" i="1"/>
  <c r="O4697" i="1"/>
  <c r="N4697" i="1"/>
  <c r="AA4696" i="1"/>
  <c r="T4696" i="1"/>
  <c r="P4696" i="1"/>
  <c r="O4696" i="1"/>
  <c r="N4696" i="1"/>
  <c r="AA4695" i="1"/>
  <c r="T4695" i="1"/>
  <c r="P4695" i="1"/>
  <c r="O4695" i="1"/>
  <c r="N4695" i="1"/>
  <c r="AA4694" i="1"/>
  <c r="T4694" i="1"/>
  <c r="P4694" i="1"/>
  <c r="O4694" i="1"/>
  <c r="N4694" i="1"/>
  <c r="AA4693" i="1"/>
  <c r="T4693" i="1"/>
  <c r="P4693" i="1"/>
  <c r="O4693" i="1"/>
  <c r="N4693" i="1"/>
  <c r="AA4692" i="1"/>
  <c r="T4692" i="1"/>
  <c r="P4692" i="1"/>
  <c r="O4692" i="1"/>
  <c r="N4692" i="1"/>
  <c r="AA4691" i="1"/>
  <c r="T4691" i="1"/>
  <c r="P4691" i="1"/>
  <c r="O4691" i="1"/>
  <c r="N4691" i="1"/>
  <c r="AA4689" i="1"/>
  <c r="T4689" i="1"/>
  <c r="P4689" i="1"/>
  <c r="O4689" i="1"/>
  <c r="N4689" i="1"/>
  <c r="AA4688" i="1"/>
  <c r="T4688" i="1"/>
  <c r="P4688" i="1"/>
  <c r="O4688" i="1"/>
  <c r="N4688" i="1"/>
  <c r="AA4683" i="1"/>
  <c r="T4683" i="1"/>
  <c r="P4683" i="1"/>
  <c r="O4683" i="1"/>
  <c r="N4683" i="1"/>
  <c r="P4680" i="1"/>
  <c r="O4680" i="1"/>
  <c r="N4680" i="1"/>
  <c r="AA4678" i="1"/>
  <c r="T4678" i="1"/>
  <c r="P4678" i="1"/>
  <c r="O4678" i="1"/>
  <c r="N4678" i="1"/>
  <c r="AA4676" i="1"/>
  <c r="T4676" i="1"/>
  <c r="P4676" i="1"/>
  <c r="O4676" i="1"/>
  <c r="N4676" i="1"/>
  <c r="AA4675" i="1"/>
  <c r="T4675" i="1"/>
  <c r="P4675" i="1"/>
  <c r="O4675" i="1"/>
  <c r="N4675" i="1"/>
  <c r="P4673" i="1"/>
  <c r="O4673" i="1"/>
  <c r="N4673" i="1"/>
  <c r="AA4672" i="1"/>
  <c r="T4672" i="1"/>
  <c r="P4672" i="1"/>
  <c r="O4672" i="1"/>
  <c r="N4672" i="1"/>
  <c r="AA4671" i="1"/>
  <c r="T4671" i="1"/>
  <c r="P4671" i="1"/>
  <c r="O4671" i="1"/>
  <c r="N4671" i="1"/>
  <c r="AA4670" i="1"/>
  <c r="T4670" i="1"/>
  <c r="P4670" i="1"/>
  <c r="O4670" i="1"/>
  <c r="N4670" i="1"/>
  <c r="AA4668" i="1"/>
  <c r="T4668" i="1"/>
  <c r="P4668" i="1"/>
  <c r="O4668" i="1"/>
  <c r="N4668" i="1"/>
  <c r="AA4667" i="1"/>
  <c r="T4667" i="1"/>
  <c r="P4667" i="1"/>
  <c r="O4667" i="1"/>
  <c r="N4667" i="1"/>
  <c r="AA4664" i="1"/>
  <c r="T4664" i="1"/>
  <c r="P4664" i="1"/>
  <c r="O4664" i="1"/>
  <c r="N4664" i="1"/>
  <c r="AA4663" i="1"/>
  <c r="T4663" i="1"/>
  <c r="P4663" i="1"/>
  <c r="O4663" i="1"/>
  <c r="N4663" i="1"/>
  <c r="AA4662" i="1"/>
  <c r="T4662" i="1"/>
  <c r="P4662" i="1"/>
  <c r="O4662" i="1"/>
  <c r="N4662" i="1"/>
  <c r="AA4661" i="1"/>
  <c r="T4661" i="1"/>
  <c r="P4661" i="1"/>
  <c r="O4661" i="1"/>
  <c r="N4661" i="1"/>
  <c r="AA4660" i="1"/>
  <c r="T4660" i="1"/>
  <c r="P4660" i="1"/>
  <c r="O4660" i="1"/>
  <c r="N4660" i="1"/>
  <c r="AA4659" i="1"/>
  <c r="T4659" i="1"/>
  <c r="P4659" i="1"/>
  <c r="O4659" i="1"/>
  <c r="N4659" i="1"/>
  <c r="AA4658" i="1"/>
  <c r="T4658" i="1"/>
  <c r="P4658" i="1"/>
  <c r="O4658" i="1"/>
  <c r="N4658" i="1"/>
  <c r="AA4657" i="1"/>
  <c r="T4657" i="1"/>
  <c r="P4657" i="1"/>
  <c r="O4657" i="1"/>
  <c r="N4657" i="1"/>
  <c r="AA4656" i="1"/>
  <c r="T4656" i="1"/>
  <c r="P4656" i="1"/>
  <c r="O4656" i="1"/>
  <c r="N4656" i="1"/>
  <c r="AA4655" i="1"/>
  <c r="T4655" i="1"/>
  <c r="P4655" i="1"/>
  <c r="O4655" i="1"/>
  <c r="N4655" i="1"/>
  <c r="AA4654" i="1"/>
  <c r="T4654" i="1"/>
  <c r="P4654" i="1"/>
  <c r="O4654" i="1"/>
  <c r="N4654" i="1"/>
  <c r="AA4653" i="1"/>
  <c r="T4653" i="1"/>
  <c r="P4653" i="1"/>
  <c r="O4653" i="1"/>
  <c r="N4653" i="1"/>
  <c r="AA4652" i="1"/>
  <c r="T4652" i="1"/>
  <c r="P4652" i="1"/>
  <c r="O4652" i="1"/>
  <c r="N4652" i="1"/>
  <c r="AA4651" i="1"/>
  <c r="T4651" i="1"/>
  <c r="P4651" i="1"/>
  <c r="O4651" i="1"/>
  <c r="N4651" i="1"/>
  <c r="AA4650" i="1"/>
  <c r="T4650" i="1"/>
  <c r="P4650" i="1"/>
  <c r="O4650" i="1"/>
  <c r="N4650" i="1"/>
  <c r="AA4649" i="1"/>
  <c r="T4649" i="1"/>
  <c r="P4649" i="1"/>
  <c r="O4649" i="1"/>
  <c r="N4649" i="1"/>
  <c r="AA4648" i="1"/>
  <c r="T4648" i="1"/>
  <c r="P4648" i="1"/>
  <c r="O4648" i="1"/>
  <c r="N4648" i="1"/>
  <c r="AA4647" i="1"/>
  <c r="T4647" i="1"/>
  <c r="P4647" i="1"/>
  <c r="O4647" i="1"/>
  <c r="N4647" i="1"/>
  <c r="AA4646" i="1"/>
  <c r="T4646" i="1"/>
  <c r="P4646" i="1"/>
  <c r="O4646" i="1"/>
  <c r="N4646" i="1"/>
  <c r="AA4645" i="1"/>
  <c r="T4645" i="1"/>
  <c r="P4645" i="1"/>
  <c r="O4645" i="1"/>
  <c r="N4645" i="1"/>
  <c r="AA4642" i="1"/>
  <c r="T4642" i="1"/>
  <c r="P4642" i="1"/>
  <c r="O4642" i="1"/>
  <c r="N4642" i="1"/>
  <c r="AA4641" i="1"/>
  <c r="T4641" i="1"/>
  <c r="P4641" i="1"/>
  <c r="O4641" i="1"/>
  <c r="N4641" i="1"/>
  <c r="AA4640" i="1"/>
  <c r="T4640" i="1"/>
  <c r="P4640" i="1"/>
  <c r="O4640" i="1"/>
  <c r="N4640" i="1"/>
  <c r="AA4639" i="1"/>
  <c r="T4639" i="1"/>
  <c r="P4639" i="1"/>
  <c r="O4639" i="1"/>
  <c r="N4639" i="1"/>
  <c r="AA4638" i="1"/>
  <c r="T4638" i="1"/>
  <c r="P4638" i="1"/>
  <c r="O4638" i="1"/>
  <c r="N4638" i="1"/>
  <c r="AA4637" i="1"/>
  <c r="T4637" i="1"/>
  <c r="P4637" i="1"/>
  <c r="O4637" i="1"/>
  <c r="N4637" i="1"/>
  <c r="AA4636" i="1"/>
  <c r="T4636" i="1"/>
  <c r="P4636" i="1"/>
  <c r="O4636" i="1"/>
  <c r="N4636" i="1"/>
  <c r="AA4635" i="1"/>
  <c r="T4635" i="1"/>
  <c r="P4635" i="1"/>
  <c r="O4635" i="1"/>
  <c r="N4635" i="1"/>
  <c r="AA4634" i="1"/>
  <c r="T4634" i="1"/>
  <c r="P4634" i="1"/>
  <c r="O4634" i="1"/>
  <c r="N4634" i="1"/>
  <c r="AA4633" i="1"/>
  <c r="T4633" i="1"/>
  <c r="P4633" i="1"/>
  <c r="O4633" i="1"/>
  <c r="N4633" i="1"/>
  <c r="AA4632" i="1"/>
  <c r="T4632" i="1"/>
  <c r="P4632" i="1"/>
  <c r="O4632" i="1"/>
  <c r="N4632" i="1"/>
  <c r="AA4631" i="1"/>
  <c r="T4631" i="1"/>
  <c r="P4631" i="1"/>
  <c r="O4631" i="1"/>
  <c r="N4631" i="1"/>
  <c r="AA4630" i="1"/>
  <c r="T4630" i="1"/>
  <c r="P4630" i="1"/>
  <c r="O4630" i="1"/>
  <c r="N4630" i="1"/>
  <c r="AA4629" i="1"/>
  <c r="T4629" i="1"/>
  <c r="P4629" i="1"/>
  <c r="O4629" i="1"/>
  <c r="N4629" i="1"/>
  <c r="AA4628" i="1"/>
  <c r="T4628" i="1"/>
  <c r="P4628" i="1"/>
  <c r="O4628" i="1"/>
  <c r="N4628" i="1"/>
  <c r="AA4627" i="1"/>
  <c r="T4627" i="1"/>
  <c r="P4627" i="1"/>
  <c r="O4627" i="1"/>
  <c r="N4627" i="1"/>
  <c r="AA4626" i="1"/>
  <c r="T4626" i="1"/>
  <c r="P4626" i="1"/>
  <c r="O4626" i="1"/>
  <c r="N4626" i="1"/>
  <c r="AA4625" i="1"/>
  <c r="T4625" i="1"/>
  <c r="P4625" i="1"/>
  <c r="O4625" i="1"/>
  <c r="N4625" i="1"/>
  <c r="AA4624" i="1"/>
  <c r="T4624" i="1"/>
  <c r="P4624" i="1"/>
  <c r="O4624" i="1"/>
  <c r="N4624" i="1"/>
  <c r="AA4620" i="1"/>
  <c r="T4620" i="1"/>
  <c r="P4620" i="1"/>
  <c r="O4620" i="1"/>
  <c r="N4620" i="1"/>
  <c r="AA4619" i="1"/>
  <c r="T4619" i="1"/>
  <c r="P4619" i="1"/>
  <c r="O4619" i="1"/>
  <c r="N4619" i="1"/>
  <c r="AA4618" i="1"/>
  <c r="T4618" i="1"/>
  <c r="P4618" i="1"/>
  <c r="O4618" i="1"/>
  <c r="N4618" i="1"/>
  <c r="AA4616" i="1"/>
  <c r="T4616" i="1"/>
  <c r="P4616" i="1"/>
  <c r="O4616" i="1"/>
  <c r="N4616" i="1"/>
  <c r="AA4615" i="1"/>
  <c r="T4615" i="1"/>
  <c r="P4615" i="1"/>
  <c r="O4615" i="1"/>
  <c r="N4615" i="1"/>
  <c r="AA4614" i="1"/>
  <c r="T4614" i="1"/>
  <c r="P4614" i="1"/>
  <c r="O4614" i="1"/>
  <c r="N4614" i="1"/>
  <c r="AA4612" i="1"/>
  <c r="T4612" i="1"/>
  <c r="P4612" i="1"/>
  <c r="O4612" i="1"/>
  <c r="N4612" i="1"/>
  <c r="AA4611" i="1"/>
  <c r="T4611" i="1"/>
  <c r="P4611" i="1"/>
  <c r="O4611" i="1"/>
  <c r="N4611" i="1"/>
  <c r="AA4610" i="1"/>
  <c r="T4610" i="1"/>
  <c r="P4610" i="1"/>
  <c r="O4610" i="1"/>
  <c r="N4610" i="1"/>
  <c r="AA4609" i="1"/>
  <c r="T4609" i="1"/>
  <c r="P4609" i="1"/>
  <c r="O4609" i="1"/>
  <c r="N4609" i="1"/>
  <c r="AA4608" i="1"/>
  <c r="T4608" i="1"/>
  <c r="P4608" i="1"/>
  <c r="O4608" i="1"/>
  <c r="N4608" i="1"/>
  <c r="AA4607" i="1"/>
  <c r="T4607" i="1"/>
  <c r="P4607" i="1"/>
  <c r="O4607" i="1"/>
  <c r="N4607" i="1"/>
  <c r="AA4606" i="1"/>
  <c r="T4606" i="1"/>
  <c r="P4606" i="1"/>
  <c r="O4606" i="1"/>
  <c r="N4606" i="1"/>
  <c r="AA4604" i="1"/>
  <c r="T4604" i="1"/>
  <c r="P4604" i="1"/>
  <c r="O4604" i="1"/>
  <c r="N4604" i="1"/>
  <c r="AA4603" i="1"/>
  <c r="T4603" i="1"/>
  <c r="P4603" i="1"/>
  <c r="O4603" i="1"/>
  <c r="N4603" i="1"/>
  <c r="AA4600" i="1"/>
  <c r="T4600" i="1"/>
  <c r="P4600" i="1"/>
  <c r="O4600" i="1"/>
  <c r="N4600" i="1"/>
  <c r="AA4599" i="1"/>
  <c r="T4599" i="1"/>
  <c r="P4599" i="1"/>
  <c r="O4599" i="1"/>
  <c r="N4599" i="1"/>
  <c r="AA4598" i="1"/>
  <c r="T4598" i="1"/>
  <c r="P4598" i="1"/>
  <c r="O4598" i="1"/>
  <c r="N4598" i="1"/>
  <c r="AA4597" i="1"/>
  <c r="T4597" i="1"/>
  <c r="P4597" i="1"/>
  <c r="O4597" i="1"/>
  <c r="N4597" i="1"/>
  <c r="AA4596" i="1"/>
  <c r="T4596" i="1"/>
  <c r="P4596" i="1"/>
  <c r="O4596" i="1"/>
  <c r="N4596" i="1"/>
  <c r="AA4595" i="1"/>
  <c r="T4595" i="1"/>
  <c r="P4595" i="1"/>
  <c r="O4595" i="1"/>
  <c r="N4595" i="1"/>
  <c r="AA4594" i="1"/>
  <c r="T4594" i="1"/>
  <c r="P4594" i="1"/>
  <c r="O4594" i="1"/>
  <c r="N4594" i="1"/>
  <c r="AA4593" i="1"/>
  <c r="T4593" i="1"/>
  <c r="P4593" i="1"/>
  <c r="O4593" i="1"/>
  <c r="N4593" i="1"/>
  <c r="AA4592" i="1"/>
  <c r="T4592" i="1"/>
  <c r="P4592" i="1"/>
  <c r="O4592" i="1"/>
  <c r="N4592" i="1"/>
  <c r="AA4591" i="1"/>
  <c r="T4591" i="1"/>
  <c r="P4591" i="1"/>
  <c r="O4591" i="1"/>
  <c r="N4591" i="1"/>
  <c r="AA4590" i="1"/>
  <c r="T4590" i="1"/>
  <c r="P4590" i="1"/>
  <c r="O4590" i="1"/>
  <c r="N4590" i="1"/>
  <c r="AA4589" i="1"/>
  <c r="T4589" i="1"/>
  <c r="P4589" i="1"/>
  <c r="O4589" i="1"/>
  <c r="N4589" i="1"/>
  <c r="AA4588" i="1"/>
  <c r="T4588" i="1"/>
  <c r="P4588" i="1"/>
  <c r="O4588" i="1"/>
  <c r="N4588" i="1"/>
  <c r="AA4587" i="1"/>
  <c r="T4587" i="1"/>
  <c r="P4587" i="1"/>
  <c r="O4587" i="1"/>
  <c r="N4587" i="1"/>
  <c r="AA4586" i="1"/>
  <c r="T4586" i="1"/>
  <c r="P4586" i="1"/>
  <c r="O4586" i="1"/>
  <c r="N4586" i="1"/>
  <c r="AA4585" i="1"/>
  <c r="T4585" i="1"/>
  <c r="P4585" i="1"/>
  <c r="O4585" i="1"/>
  <c r="N4585" i="1"/>
  <c r="AA4584" i="1"/>
  <c r="T4584" i="1"/>
  <c r="P4584" i="1"/>
  <c r="O4584" i="1"/>
  <c r="N4584" i="1"/>
  <c r="AA4583" i="1"/>
  <c r="T4583" i="1"/>
  <c r="P4583" i="1"/>
  <c r="O4583" i="1"/>
  <c r="N4583" i="1"/>
  <c r="AA4582" i="1"/>
  <c r="T4582" i="1"/>
  <c r="P4582" i="1"/>
  <c r="O4582" i="1"/>
  <c r="N4582" i="1"/>
  <c r="AA4581" i="1"/>
  <c r="T4581" i="1"/>
  <c r="P4581" i="1"/>
  <c r="O4581" i="1"/>
  <c r="N4581" i="1"/>
  <c r="AA4580" i="1"/>
  <c r="T4580" i="1"/>
  <c r="P4580" i="1"/>
  <c r="O4580" i="1"/>
  <c r="N4580" i="1"/>
  <c r="AA4578" i="1"/>
  <c r="T4578" i="1"/>
  <c r="P4578" i="1"/>
  <c r="O4578" i="1"/>
  <c r="N4578" i="1"/>
  <c r="AA4577" i="1"/>
  <c r="T4577" i="1"/>
  <c r="P4577" i="1"/>
  <c r="O4577" i="1"/>
  <c r="N4577" i="1"/>
  <c r="AA4576" i="1"/>
  <c r="T4576" i="1"/>
  <c r="P4576" i="1"/>
  <c r="O4576" i="1"/>
  <c r="N4576" i="1"/>
  <c r="AA4575" i="1"/>
  <c r="T4575" i="1"/>
  <c r="P4575" i="1"/>
  <c r="O4575" i="1"/>
  <c r="N4575" i="1"/>
  <c r="AA4574" i="1"/>
  <c r="T4574" i="1"/>
  <c r="P4574" i="1"/>
  <c r="O4574" i="1"/>
  <c r="N4574" i="1"/>
  <c r="AA4573" i="1"/>
  <c r="T4573" i="1"/>
  <c r="P4573" i="1"/>
  <c r="O4573" i="1"/>
  <c r="N4573" i="1"/>
  <c r="AA4572" i="1"/>
  <c r="T4572" i="1"/>
  <c r="P4572" i="1"/>
  <c r="O4572" i="1"/>
  <c r="N4572" i="1"/>
  <c r="AA4571" i="1"/>
  <c r="T4571" i="1"/>
  <c r="P4571" i="1"/>
  <c r="O4571" i="1"/>
  <c r="N4571" i="1"/>
  <c r="AA4570" i="1"/>
  <c r="T4570" i="1"/>
  <c r="P4570" i="1"/>
  <c r="O4570" i="1"/>
  <c r="N4570" i="1"/>
  <c r="AA4569" i="1"/>
  <c r="T4569" i="1"/>
  <c r="P4569" i="1"/>
  <c r="O4569" i="1"/>
  <c r="N4569" i="1"/>
  <c r="AA4568" i="1"/>
  <c r="T4568" i="1"/>
  <c r="P4568" i="1"/>
  <c r="O4568" i="1"/>
  <c r="N4568" i="1"/>
  <c r="AA4567" i="1"/>
  <c r="T4567" i="1"/>
  <c r="P4567" i="1"/>
  <c r="O4567" i="1"/>
  <c r="N4567" i="1"/>
  <c r="AA4566" i="1"/>
  <c r="T4566" i="1"/>
  <c r="P4566" i="1"/>
  <c r="O4566" i="1"/>
  <c r="N4566" i="1"/>
  <c r="AA4565" i="1"/>
  <c r="T4565" i="1"/>
  <c r="P4565" i="1"/>
  <c r="O4565" i="1"/>
  <c r="N4565" i="1"/>
  <c r="AA4564" i="1"/>
  <c r="T4564" i="1"/>
  <c r="P4564" i="1"/>
  <c r="O4564" i="1"/>
  <c r="N4564" i="1"/>
  <c r="AA4563" i="1"/>
  <c r="T4563" i="1"/>
  <c r="P4563" i="1"/>
  <c r="O4563" i="1"/>
  <c r="N4563" i="1"/>
  <c r="AA4562" i="1"/>
  <c r="T4562" i="1"/>
  <c r="P4562" i="1"/>
  <c r="O4562" i="1"/>
  <c r="N4562" i="1"/>
  <c r="AA4561" i="1"/>
  <c r="T4561" i="1"/>
  <c r="P4561" i="1"/>
  <c r="O4561" i="1"/>
  <c r="N4561" i="1"/>
  <c r="AA4560" i="1"/>
  <c r="T4560" i="1"/>
  <c r="P4560" i="1"/>
  <c r="O4560" i="1"/>
  <c r="N4560" i="1"/>
  <c r="AA4557" i="1"/>
  <c r="T4557" i="1"/>
  <c r="P4557" i="1"/>
  <c r="O4557" i="1"/>
  <c r="N4557" i="1"/>
  <c r="AA4556" i="1"/>
  <c r="T4556" i="1"/>
  <c r="P4556" i="1"/>
  <c r="O4556" i="1"/>
  <c r="N4556" i="1"/>
  <c r="AA4555" i="1"/>
  <c r="T4555" i="1"/>
  <c r="P4555" i="1"/>
  <c r="O4555" i="1"/>
  <c r="N4555" i="1"/>
  <c r="AA4554" i="1"/>
  <c r="T4554" i="1"/>
  <c r="P4554" i="1"/>
  <c r="O4554" i="1"/>
  <c r="N4554" i="1"/>
  <c r="AA4553" i="1"/>
  <c r="T4553" i="1"/>
  <c r="P4553" i="1"/>
  <c r="O4553" i="1"/>
  <c r="N4553" i="1"/>
  <c r="AA4552" i="1"/>
  <c r="T4552" i="1"/>
  <c r="P4552" i="1"/>
  <c r="O4552" i="1"/>
  <c r="N4552" i="1"/>
  <c r="AA4551" i="1"/>
  <c r="T4551" i="1"/>
  <c r="P4551" i="1"/>
  <c r="O4551" i="1"/>
  <c r="N4551" i="1"/>
  <c r="AA4550" i="1"/>
  <c r="T4550" i="1"/>
  <c r="P4550" i="1"/>
  <c r="O4550" i="1"/>
  <c r="N4550" i="1"/>
  <c r="AA4549" i="1"/>
  <c r="T4549" i="1"/>
  <c r="P4549" i="1"/>
  <c r="O4549" i="1"/>
  <c r="N4549" i="1"/>
  <c r="AA4548" i="1"/>
  <c r="T4548" i="1"/>
  <c r="P4548" i="1"/>
  <c r="O4548" i="1"/>
  <c r="N4548" i="1"/>
  <c r="AA4547" i="1"/>
  <c r="T4547" i="1"/>
  <c r="P4547" i="1"/>
  <c r="O4547" i="1"/>
  <c r="N4547" i="1"/>
  <c r="AA4546" i="1"/>
  <c r="T4546" i="1"/>
  <c r="P4546" i="1"/>
  <c r="O4546" i="1"/>
  <c r="N4546" i="1"/>
  <c r="AA4544" i="1"/>
  <c r="T4544" i="1"/>
  <c r="P4544" i="1"/>
  <c r="O4544" i="1"/>
  <c r="N4544" i="1"/>
  <c r="AA4543" i="1"/>
  <c r="T4543" i="1"/>
  <c r="P4543" i="1"/>
  <c r="O4543" i="1"/>
  <c r="N4543" i="1"/>
  <c r="AA4542" i="1"/>
  <c r="T4542" i="1"/>
  <c r="P4542" i="1"/>
  <c r="O4542" i="1"/>
  <c r="N4542" i="1"/>
  <c r="AA4541" i="1"/>
  <c r="T4541" i="1"/>
  <c r="P4541" i="1"/>
  <c r="O4541" i="1"/>
  <c r="N4541" i="1"/>
  <c r="AA4540" i="1"/>
  <c r="T4540" i="1"/>
  <c r="P4540" i="1"/>
  <c r="O4540" i="1"/>
  <c r="N4540" i="1"/>
  <c r="AA4539" i="1"/>
  <c r="T4539" i="1"/>
  <c r="P4539" i="1"/>
  <c r="O4539" i="1"/>
  <c r="N4539" i="1"/>
  <c r="AA4538" i="1"/>
  <c r="T4538" i="1"/>
  <c r="P4538" i="1"/>
  <c r="O4538" i="1"/>
  <c r="N4538" i="1"/>
  <c r="AA4537" i="1"/>
  <c r="T4537" i="1"/>
  <c r="P4537" i="1"/>
  <c r="O4537" i="1"/>
  <c r="N4537" i="1"/>
  <c r="AA4536" i="1"/>
  <c r="T4536" i="1"/>
  <c r="P4536" i="1"/>
  <c r="O4536" i="1"/>
  <c r="N4536" i="1"/>
  <c r="AA4535" i="1"/>
  <c r="T4535" i="1"/>
  <c r="P4535" i="1"/>
  <c r="O4535" i="1"/>
  <c r="N4535" i="1"/>
  <c r="AA4534" i="1"/>
  <c r="T4534" i="1"/>
  <c r="P4534" i="1"/>
  <c r="O4534" i="1"/>
  <c r="N4534" i="1"/>
  <c r="AA4533" i="1"/>
  <c r="T4533" i="1"/>
  <c r="P4533" i="1"/>
  <c r="O4533" i="1"/>
  <c r="N4533" i="1"/>
  <c r="AA4532" i="1"/>
  <c r="T4532" i="1"/>
  <c r="P4532" i="1"/>
  <c r="O4532" i="1"/>
  <c r="N4532" i="1"/>
  <c r="AA4531" i="1"/>
  <c r="T4531" i="1"/>
  <c r="P4531" i="1"/>
  <c r="O4531" i="1"/>
  <c r="N4531" i="1"/>
  <c r="AA4530" i="1"/>
  <c r="T4530" i="1"/>
  <c r="P4530" i="1"/>
  <c r="O4530" i="1"/>
  <c r="N4530" i="1"/>
  <c r="AA4529" i="1"/>
  <c r="T4529" i="1"/>
  <c r="P4529" i="1"/>
  <c r="O4529" i="1"/>
  <c r="N4529" i="1"/>
  <c r="AA4528" i="1"/>
  <c r="T4528" i="1"/>
  <c r="P4528" i="1"/>
  <c r="O4528" i="1"/>
  <c r="N4528" i="1"/>
  <c r="AA4523" i="1"/>
  <c r="T4523" i="1"/>
  <c r="P4523" i="1"/>
  <c r="O4523" i="1"/>
  <c r="N4523" i="1"/>
  <c r="AA4522" i="1"/>
  <c r="T4522" i="1"/>
  <c r="P4522" i="1"/>
  <c r="O4522" i="1"/>
  <c r="N4522" i="1"/>
  <c r="AA4521" i="1"/>
  <c r="T4521" i="1"/>
  <c r="P4521" i="1"/>
  <c r="O4521" i="1"/>
  <c r="N4521" i="1"/>
  <c r="AA4520" i="1"/>
  <c r="T4520" i="1"/>
  <c r="P4520" i="1"/>
  <c r="O4520" i="1"/>
  <c r="N4520" i="1"/>
  <c r="AA4519" i="1"/>
  <c r="T4519" i="1"/>
  <c r="P4519" i="1"/>
  <c r="O4519" i="1"/>
  <c r="N4519" i="1"/>
  <c r="AA4517" i="1"/>
  <c r="T4517" i="1"/>
  <c r="P4517" i="1"/>
  <c r="O4517" i="1"/>
  <c r="N4517" i="1"/>
  <c r="AA4515" i="1"/>
  <c r="T4515" i="1"/>
  <c r="P4515" i="1"/>
  <c r="O4515" i="1"/>
  <c r="N4515" i="1"/>
  <c r="AA4514" i="1"/>
  <c r="T4514" i="1"/>
  <c r="P4514" i="1"/>
  <c r="O4514" i="1"/>
  <c r="N4514" i="1"/>
  <c r="AA4513" i="1"/>
  <c r="T4513" i="1"/>
  <c r="P4513" i="1"/>
  <c r="O4513" i="1"/>
  <c r="N4513" i="1"/>
  <c r="AA4512" i="1"/>
  <c r="T4512" i="1"/>
  <c r="P4512" i="1"/>
  <c r="O4512" i="1"/>
  <c r="N4512" i="1"/>
  <c r="AA4509" i="1"/>
  <c r="T4509" i="1"/>
  <c r="P4509" i="1"/>
  <c r="O4509" i="1"/>
  <c r="N4509" i="1"/>
  <c r="AA4508" i="1"/>
  <c r="T4508" i="1"/>
  <c r="P4508" i="1"/>
  <c r="O4508" i="1"/>
  <c r="N4508" i="1"/>
  <c r="AA4507" i="1"/>
  <c r="T4507" i="1"/>
  <c r="P4507" i="1"/>
  <c r="O4507" i="1"/>
  <c r="N4507" i="1"/>
  <c r="AA4506" i="1"/>
  <c r="T4506" i="1"/>
  <c r="P4506" i="1"/>
  <c r="O4506" i="1"/>
  <c r="N4506" i="1"/>
  <c r="AA4505" i="1"/>
  <c r="T4505" i="1"/>
  <c r="P4505" i="1"/>
  <c r="O4505" i="1"/>
  <c r="N4505" i="1"/>
  <c r="AA4504" i="1"/>
  <c r="T4504" i="1"/>
  <c r="P4504" i="1"/>
  <c r="O4504" i="1"/>
  <c r="N4504" i="1"/>
  <c r="AA4503" i="1"/>
  <c r="T4503" i="1"/>
  <c r="P4503" i="1"/>
  <c r="O4503" i="1"/>
  <c r="N4503" i="1"/>
  <c r="AA4502" i="1"/>
  <c r="T4502" i="1"/>
  <c r="P4502" i="1"/>
  <c r="O4502" i="1"/>
  <c r="N4502" i="1"/>
  <c r="AA4501" i="1"/>
  <c r="T4501" i="1"/>
  <c r="P4501" i="1"/>
  <c r="O4501" i="1"/>
  <c r="N4501" i="1"/>
  <c r="AA4500" i="1"/>
  <c r="T4500" i="1"/>
  <c r="P4500" i="1"/>
  <c r="O4500" i="1"/>
  <c r="N4500" i="1"/>
  <c r="AA4499" i="1"/>
  <c r="T4499" i="1"/>
  <c r="P4499" i="1"/>
  <c r="O4499" i="1"/>
  <c r="N4499" i="1"/>
  <c r="AA4497" i="1"/>
  <c r="T4497" i="1"/>
  <c r="P4497" i="1"/>
  <c r="O4497" i="1"/>
  <c r="N4497" i="1"/>
  <c r="AA4496" i="1"/>
  <c r="T4496" i="1"/>
  <c r="P4496" i="1"/>
  <c r="O4496" i="1"/>
  <c r="N4496" i="1"/>
  <c r="AA4495" i="1"/>
  <c r="T4495" i="1"/>
  <c r="P4495" i="1"/>
  <c r="O4495" i="1"/>
  <c r="N4495" i="1"/>
  <c r="AA4494" i="1"/>
  <c r="T4494" i="1"/>
  <c r="P4494" i="1"/>
  <c r="O4494" i="1"/>
  <c r="N4494" i="1"/>
  <c r="AA4493" i="1"/>
  <c r="T4493" i="1"/>
  <c r="P4493" i="1"/>
  <c r="O4493" i="1"/>
  <c r="N4493" i="1"/>
  <c r="AA4492" i="1"/>
  <c r="T4492" i="1"/>
  <c r="P4492" i="1"/>
  <c r="O4492" i="1"/>
  <c r="N4492" i="1"/>
  <c r="AA4491" i="1"/>
  <c r="T4491" i="1"/>
  <c r="P4491" i="1"/>
  <c r="O4491" i="1"/>
  <c r="N4491" i="1"/>
  <c r="AA4490" i="1"/>
  <c r="T4490" i="1"/>
  <c r="P4490" i="1"/>
  <c r="O4490" i="1"/>
  <c r="N4490" i="1"/>
  <c r="AA4489" i="1"/>
  <c r="T4489" i="1"/>
  <c r="P4489" i="1"/>
  <c r="O4489" i="1"/>
  <c r="N4489" i="1"/>
  <c r="AA4488" i="1"/>
  <c r="T4488" i="1"/>
  <c r="P4488" i="1"/>
  <c r="O4488" i="1"/>
  <c r="N4488" i="1"/>
  <c r="AA4487" i="1"/>
  <c r="T4487" i="1"/>
  <c r="P4487" i="1"/>
  <c r="O4487" i="1"/>
  <c r="N4487" i="1"/>
  <c r="AA4486" i="1"/>
  <c r="T4486" i="1"/>
  <c r="P4486" i="1"/>
  <c r="O4486" i="1"/>
  <c r="N4486" i="1"/>
  <c r="AA4485" i="1"/>
  <c r="T4485" i="1"/>
  <c r="P4485" i="1"/>
  <c r="O4485" i="1"/>
  <c r="N4485" i="1"/>
  <c r="AA4484" i="1"/>
  <c r="T4484" i="1"/>
  <c r="P4484" i="1"/>
  <c r="O4484" i="1"/>
  <c r="N4484" i="1"/>
  <c r="AA4483" i="1"/>
  <c r="T4483" i="1"/>
  <c r="P4483" i="1"/>
  <c r="O4483" i="1"/>
  <c r="N4483" i="1"/>
  <c r="AA4482" i="1"/>
  <c r="T4482" i="1"/>
  <c r="P4482" i="1"/>
  <c r="O4482" i="1"/>
  <c r="N4482" i="1"/>
  <c r="AA4481" i="1"/>
  <c r="T4481" i="1"/>
  <c r="P4481" i="1"/>
  <c r="O4481" i="1"/>
  <c r="N4481" i="1"/>
  <c r="AA4480" i="1"/>
  <c r="T4480" i="1"/>
  <c r="P4480" i="1"/>
  <c r="O4480" i="1"/>
  <c r="N4480" i="1"/>
  <c r="AA4479" i="1"/>
  <c r="T4479" i="1"/>
  <c r="P4479" i="1"/>
  <c r="O4479" i="1"/>
  <c r="N4479" i="1"/>
  <c r="AA4478" i="1"/>
  <c r="T4478" i="1"/>
  <c r="P4478" i="1"/>
  <c r="O4478" i="1"/>
  <c r="N4478" i="1"/>
  <c r="AA4477" i="1"/>
  <c r="T4477" i="1"/>
  <c r="P4477" i="1"/>
  <c r="O4477" i="1"/>
  <c r="N4477" i="1"/>
  <c r="AA4476" i="1"/>
  <c r="T4476" i="1"/>
  <c r="P4476" i="1"/>
  <c r="O4476" i="1"/>
  <c r="N4476" i="1"/>
  <c r="AA4475" i="1"/>
  <c r="T4475" i="1"/>
  <c r="P4475" i="1"/>
  <c r="O4475" i="1"/>
  <c r="N4475" i="1"/>
  <c r="AA4473" i="1"/>
  <c r="T4473" i="1"/>
  <c r="P4473" i="1"/>
  <c r="O4473" i="1"/>
  <c r="N4473" i="1"/>
  <c r="AA4472" i="1"/>
  <c r="T4472" i="1"/>
  <c r="P4472" i="1"/>
  <c r="O4472" i="1"/>
  <c r="N4472" i="1"/>
  <c r="AA4470" i="1"/>
  <c r="T4470" i="1"/>
  <c r="P4470" i="1"/>
  <c r="O4470" i="1"/>
  <c r="N4470" i="1"/>
  <c r="AA4469" i="1"/>
  <c r="T4469" i="1"/>
  <c r="P4469" i="1"/>
  <c r="O4469" i="1"/>
  <c r="N4469" i="1"/>
  <c r="AA4468" i="1"/>
  <c r="T4468" i="1"/>
  <c r="P4468" i="1"/>
  <c r="O4468" i="1"/>
  <c r="N4468" i="1"/>
  <c r="AA4467" i="1"/>
  <c r="T4467" i="1"/>
  <c r="P4467" i="1"/>
  <c r="O4467" i="1"/>
  <c r="N4467" i="1"/>
  <c r="AA4466" i="1"/>
  <c r="T4466" i="1"/>
  <c r="P4466" i="1"/>
  <c r="O4466" i="1"/>
  <c r="N4466" i="1"/>
  <c r="AA4465" i="1"/>
  <c r="T4465" i="1"/>
  <c r="P4465" i="1"/>
  <c r="O4465" i="1"/>
  <c r="N4465" i="1"/>
  <c r="AA4464" i="1"/>
  <c r="T4464" i="1"/>
  <c r="P4464" i="1"/>
  <c r="O4464" i="1"/>
  <c r="N4464" i="1"/>
  <c r="AA4463" i="1"/>
  <c r="T4463" i="1"/>
  <c r="P4463" i="1"/>
  <c r="O4463" i="1"/>
  <c r="N4463" i="1"/>
  <c r="AA4462" i="1"/>
  <c r="T4462" i="1"/>
  <c r="P4462" i="1"/>
  <c r="O4462" i="1"/>
  <c r="N4462" i="1"/>
  <c r="AA4461" i="1"/>
  <c r="T4461" i="1"/>
  <c r="P4461" i="1"/>
  <c r="O4461" i="1"/>
  <c r="N4461" i="1"/>
  <c r="AA4460" i="1"/>
  <c r="T4460" i="1"/>
  <c r="P4460" i="1"/>
  <c r="O4460" i="1"/>
  <c r="N4460" i="1"/>
  <c r="AA4459" i="1"/>
  <c r="T4459" i="1"/>
  <c r="P4459" i="1"/>
  <c r="O4459" i="1"/>
  <c r="N4459" i="1"/>
  <c r="AA4458" i="1"/>
  <c r="T4458" i="1"/>
  <c r="P4458" i="1"/>
  <c r="O4458" i="1"/>
  <c r="N4458" i="1"/>
  <c r="AA4457" i="1"/>
  <c r="T4457" i="1"/>
  <c r="P4457" i="1"/>
  <c r="O4457" i="1"/>
  <c r="N4457" i="1"/>
  <c r="AA4456" i="1"/>
  <c r="T4456" i="1"/>
  <c r="P4456" i="1"/>
  <c r="O4456" i="1"/>
  <c r="N4456" i="1"/>
  <c r="AA4455" i="1"/>
  <c r="T4455" i="1"/>
  <c r="P4455" i="1"/>
  <c r="O4455" i="1"/>
  <c r="N4455" i="1"/>
  <c r="AA4454" i="1"/>
  <c r="T4454" i="1"/>
  <c r="P4454" i="1"/>
  <c r="O4454" i="1"/>
  <c r="N4454" i="1"/>
  <c r="AA4453" i="1"/>
  <c r="T4453" i="1"/>
  <c r="P4453" i="1"/>
  <c r="O4453" i="1"/>
  <c r="N4453" i="1"/>
  <c r="AA4452" i="1"/>
  <c r="T4452" i="1"/>
  <c r="P4452" i="1"/>
  <c r="O4452" i="1"/>
  <c r="N4452" i="1"/>
  <c r="AA4451" i="1"/>
  <c r="T4451" i="1"/>
  <c r="P4451" i="1"/>
  <c r="O4451" i="1"/>
  <c r="N4451" i="1"/>
  <c r="AA4450" i="1"/>
  <c r="T4450" i="1"/>
  <c r="P4450" i="1"/>
  <c r="O4450" i="1"/>
  <c r="N4450" i="1"/>
  <c r="AA4449" i="1"/>
  <c r="T4449" i="1"/>
  <c r="P4449" i="1"/>
  <c r="O4449" i="1"/>
  <c r="N4449" i="1"/>
  <c r="AA4448" i="1"/>
  <c r="T4448" i="1"/>
  <c r="P4448" i="1"/>
  <c r="O4448" i="1"/>
  <c r="N4448" i="1"/>
  <c r="AA4447" i="1"/>
  <c r="T4447" i="1"/>
  <c r="P4447" i="1"/>
  <c r="O4447" i="1"/>
  <c r="N4447" i="1"/>
  <c r="AA4446" i="1"/>
  <c r="T4446" i="1"/>
  <c r="P4446" i="1"/>
  <c r="O4446" i="1"/>
  <c r="N4446" i="1"/>
  <c r="AA4445" i="1"/>
  <c r="T4445" i="1"/>
  <c r="P4445" i="1"/>
  <c r="O4445" i="1"/>
  <c r="N4445" i="1"/>
  <c r="AA4444" i="1"/>
  <c r="T4444" i="1"/>
  <c r="P4444" i="1"/>
  <c r="O4444" i="1"/>
  <c r="N4444" i="1"/>
  <c r="AA4443" i="1"/>
  <c r="T4443" i="1"/>
  <c r="P4443" i="1"/>
  <c r="O4443" i="1"/>
  <c r="N4443" i="1"/>
  <c r="AA4442" i="1"/>
  <c r="T4442" i="1"/>
  <c r="P4442" i="1"/>
  <c r="O4442" i="1"/>
  <c r="N4442" i="1"/>
  <c r="AA4441" i="1"/>
  <c r="T4441" i="1"/>
  <c r="P4441" i="1"/>
  <c r="O4441" i="1"/>
  <c r="N4441" i="1"/>
  <c r="AA4440" i="1"/>
  <c r="T4440" i="1"/>
  <c r="P4440" i="1"/>
  <c r="O4440" i="1"/>
  <c r="N4440" i="1"/>
  <c r="AA4439" i="1"/>
  <c r="T4439" i="1"/>
  <c r="P4439" i="1"/>
  <c r="O4439" i="1"/>
  <c r="N4439" i="1"/>
  <c r="AA4438" i="1"/>
  <c r="T4438" i="1"/>
  <c r="P4438" i="1"/>
  <c r="O4438" i="1"/>
  <c r="N4438" i="1"/>
  <c r="AA4434" i="1"/>
  <c r="T4434" i="1"/>
  <c r="O4434" i="1"/>
  <c r="N4434" i="1"/>
  <c r="AA4433" i="1"/>
  <c r="T4433" i="1"/>
  <c r="P4433" i="1"/>
  <c r="O4433" i="1"/>
  <c r="N4433" i="1"/>
  <c r="AA4432" i="1"/>
  <c r="T4432" i="1"/>
  <c r="P4432" i="1"/>
  <c r="O4432" i="1"/>
  <c r="N4432" i="1"/>
  <c r="AA4431" i="1"/>
  <c r="T4431" i="1"/>
  <c r="P4431" i="1"/>
  <c r="O4431" i="1"/>
  <c r="N4431" i="1"/>
  <c r="AA4430" i="1"/>
  <c r="T4430" i="1"/>
  <c r="P4430" i="1"/>
  <c r="O4430" i="1"/>
  <c r="N4430" i="1"/>
  <c r="AA4429" i="1"/>
  <c r="T4429" i="1"/>
  <c r="P4429" i="1"/>
  <c r="O4429" i="1"/>
  <c r="N4429" i="1"/>
  <c r="AA4428" i="1"/>
  <c r="T4428" i="1"/>
  <c r="P4428" i="1"/>
  <c r="O4428" i="1"/>
  <c r="N4428" i="1"/>
  <c r="AA4427" i="1"/>
  <c r="T4427" i="1"/>
  <c r="P4427" i="1"/>
  <c r="O4427" i="1"/>
  <c r="N4427" i="1"/>
  <c r="AA4426" i="1"/>
  <c r="T4426" i="1"/>
  <c r="P4426" i="1"/>
  <c r="O4426" i="1"/>
  <c r="N4426" i="1"/>
  <c r="AA4425" i="1"/>
  <c r="T4425" i="1"/>
  <c r="P4425" i="1"/>
  <c r="O4425" i="1"/>
  <c r="N4425" i="1"/>
  <c r="AA4424" i="1"/>
  <c r="T4424" i="1"/>
  <c r="P4424" i="1"/>
  <c r="O4424" i="1"/>
  <c r="N4424" i="1"/>
  <c r="AA4423" i="1"/>
  <c r="T4423" i="1"/>
  <c r="P4423" i="1"/>
  <c r="O4423" i="1"/>
  <c r="N4423" i="1"/>
  <c r="AA4422" i="1"/>
  <c r="T4422" i="1"/>
  <c r="P4422" i="1"/>
  <c r="O4422" i="1"/>
  <c r="N4422" i="1"/>
  <c r="AA4421" i="1"/>
  <c r="T4421" i="1"/>
  <c r="P4421" i="1"/>
  <c r="O4421" i="1"/>
  <c r="N4421" i="1"/>
  <c r="AA4420" i="1"/>
  <c r="T4420" i="1"/>
  <c r="P4420" i="1"/>
  <c r="O4420" i="1"/>
  <c r="N4420" i="1"/>
  <c r="AA4419" i="1"/>
  <c r="T4419" i="1"/>
  <c r="P4419" i="1"/>
  <c r="O4419" i="1"/>
  <c r="N4419" i="1"/>
  <c r="AA4418" i="1"/>
  <c r="T4418" i="1"/>
  <c r="P4418" i="1"/>
  <c r="O4418" i="1"/>
  <c r="N4418" i="1"/>
  <c r="AA4417" i="1"/>
  <c r="T4417" i="1"/>
  <c r="P4417" i="1"/>
  <c r="O4417" i="1"/>
  <c r="N4417" i="1"/>
  <c r="AA4416" i="1"/>
  <c r="T4416" i="1"/>
  <c r="P4416" i="1"/>
  <c r="O4416" i="1"/>
  <c r="N4416" i="1"/>
  <c r="P4413" i="1"/>
  <c r="O4413" i="1"/>
  <c r="N4413" i="1"/>
  <c r="AA4412" i="1"/>
  <c r="T4412" i="1"/>
  <c r="P4412" i="1"/>
  <c r="O4412" i="1"/>
  <c r="N4412" i="1"/>
  <c r="AA4411" i="1"/>
  <c r="T4411" i="1"/>
  <c r="P4411" i="1"/>
  <c r="O4411" i="1"/>
  <c r="N4411" i="1"/>
  <c r="AA4410" i="1"/>
  <c r="T4410" i="1"/>
  <c r="P4410" i="1"/>
  <c r="O4410" i="1"/>
  <c r="N4410" i="1"/>
  <c r="AA4409" i="1"/>
  <c r="T4409" i="1"/>
  <c r="P4409" i="1"/>
  <c r="O4409" i="1"/>
  <c r="N4409" i="1"/>
  <c r="AA4408" i="1"/>
  <c r="T4408" i="1"/>
  <c r="P4408" i="1"/>
  <c r="O4408" i="1"/>
  <c r="N4408" i="1"/>
  <c r="AA4407" i="1"/>
  <c r="T4407" i="1"/>
  <c r="P4407" i="1"/>
  <c r="O4407" i="1"/>
  <c r="N4407" i="1"/>
  <c r="P4405" i="1"/>
  <c r="O4405" i="1"/>
  <c r="N4405" i="1"/>
  <c r="AA4403" i="1"/>
  <c r="T4403" i="1"/>
  <c r="P4403" i="1"/>
  <c r="O4403" i="1"/>
  <c r="N4403" i="1"/>
  <c r="AA4402" i="1"/>
  <c r="T4402" i="1"/>
  <c r="P4402" i="1"/>
  <c r="O4402" i="1"/>
  <c r="N4402" i="1"/>
  <c r="AA4400" i="1"/>
  <c r="T4400" i="1"/>
  <c r="P4400" i="1"/>
  <c r="O4400" i="1"/>
  <c r="N4400" i="1"/>
  <c r="AA4398" i="1"/>
  <c r="T4398" i="1"/>
  <c r="P4398" i="1"/>
  <c r="O4398" i="1"/>
  <c r="N4398" i="1"/>
  <c r="AA4395" i="1"/>
  <c r="T4395" i="1"/>
  <c r="P4395" i="1"/>
  <c r="O4395" i="1"/>
  <c r="N4395" i="1"/>
  <c r="AA4394" i="1"/>
  <c r="T4394" i="1"/>
  <c r="P4394" i="1"/>
  <c r="O4394" i="1"/>
  <c r="N4394" i="1"/>
  <c r="AA4393" i="1"/>
  <c r="T4393" i="1"/>
  <c r="P4393" i="1"/>
  <c r="O4393" i="1"/>
  <c r="N4393" i="1"/>
  <c r="AA4392" i="1"/>
  <c r="T4392" i="1"/>
  <c r="P4392" i="1"/>
  <c r="O4392" i="1"/>
  <c r="N4392" i="1"/>
  <c r="AA4391" i="1"/>
  <c r="T4391" i="1"/>
  <c r="P4391" i="1"/>
  <c r="O4391" i="1"/>
  <c r="N4391" i="1"/>
  <c r="AA4390" i="1"/>
  <c r="T4390" i="1"/>
  <c r="P4390" i="1"/>
  <c r="O4390" i="1"/>
  <c r="N4390" i="1"/>
  <c r="AA4389" i="1"/>
  <c r="T4389" i="1"/>
  <c r="P4389" i="1"/>
  <c r="O4389" i="1"/>
  <c r="N4389" i="1"/>
  <c r="AA4388" i="1"/>
  <c r="T4388" i="1"/>
  <c r="P4388" i="1"/>
  <c r="O4388" i="1"/>
  <c r="N4388" i="1"/>
  <c r="AA4386" i="1"/>
  <c r="T4386" i="1"/>
  <c r="P4386" i="1"/>
  <c r="O4386" i="1"/>
  <c r="N4386" i="1"/>
  <c r="AA4385" i="1"/>
  <c r="T4385" i="1"/>
  <c r="P4385" i="1"/>
  <c r="O4385" i="1"/>
  <c r="N4385" i="1"/>
  <c r="AA4382" i="1"/>
  <c r="T4382" i="1"/>
  <c r="P4382" i="1"/>
  <c r="O4382" i="1"/>
  <c r="N4382" i="1"/>
  <c r="AA4381" i="1"/>
  <c r="T4381" i="1"/>
  <c r="P4381" i="1"/>
  <c r="O4381" i="1"/>
  <c r="N4381" i="1"/>
  <c r="AA4380" i="1"/>
  <c r="T4380" i="1"/>
  <c r="P4380" i="1"/>
  <c r="O4380" i="1"/>
  <c r="N4380" i="1"/>
  <c r="AA4379" i="1"/>
  <c r="T4379" i="1"/>
  <c r="P4379" i="1"/>
  <c r="O4379" i="1"/>
  <c r="N4379" i="1"/>
  <c r="AA4378" i="1"/>
  <c r="T4378" i="1"/>
  <c r="P4378" i="1"/>
  <c r="O4378" i="1"/>
  <c r="N4378" i="1"/>
  <c r="AA4377" i="1"/>
  <c r="T4377" i="1"/>
  <c r="N4377" i="1"/>
  <c r="AA4376" i="1"/>
  <c r="T4376" i="1"/>
  <c r="P4376" i="1"/>
  <c r="O4376" i="1"/>
  <c r="N4376" i="1"/>
  <c r="AA4375" i="1"/>
  <c r="T4375" i="1"/>
  <c r="P4375" i="1"/>
  <c r="O4375" i="1"/>
  <c r="N4375" i="1"/>
  <c r="AA4374" i="1"/>
  <c r="T4374" i="1"/>
  <c r="P4374" i="1"/>
  <c r="O4374" i="1"/>
  <c r="N4374" i="1"/>
  <c r="AA4373" i="1"/>
  <c r="T4373" i="1"/>
  <c r="P4373" i="1"/>
  <c r="O4373" i="1"/>
  <c r="N4373" i="1"/>
  <c r="AA4372" i="1"/>
  <c r="T4372" i="1"/>
  <c r="N4372" i="1"/>
  <c r="AA4371" i="1"/>
  <c r="T4371" i="1"/>
  <c r="P4371" i="1"/>
  <c r="O4371" i="1"/>
  <c r="N4371" i="1"/>
  <c r="AA4370" i="1"/>
  <c r="T4370" i="1"/>
  <c r="P4370" i="1"/>
  <c r="O4370" i="1"/>
  <c r="N4370" i="1"/>
  <c r="AA4369" i="1"/>
  <c r="T4369" i="1"/>
  <c r="P4369" i="1"/>
  <c r="O4369" i="1"/>
  <c r="N4369" i="1"/>
  <c r="AA4367" i="1"/>
  <c r="T4367" i="1"/>
  <c r="P4367" i="1"/>
  <c r="O4367" i="1"/>
  <c r="N4367" i="1"/>
  <c r="AA4366" i="1"/>
  <c r="T4366" i="1"/>
  <c r="P4366" i="1"/>
  <c r="O4366" i="1"/>
  <c r="N4366" i="1"/>
  <c r="AA4365" i="1"/>
  <c r="T4365" i="1"/>
  <c r="P4365" i="1"/>
  <c r="O4365" i="1"/>
  <c r="N4365" i="1"/>
  <c r="AA4364" i="1"/>
  <c r="T4364" i="1"/>
  <c r="P4364" i="1"/>
  <c r="O4364" i="1"/>
  <c r="N4364" i="1"/>
  <c r="AA4363" i="1"/>
  <c r="T4363" i="1"/>
  <c r="P4363" i="1"/>
  <c r="O4363" i="1"/>
  <c r="N4363" i="1"/>
  <c r="AA4362" i="1"/>
  <c r="T4362" i="1"/>
  <c r="P4362" i="1"/>
  <c r="O4362" i="1"/>
  <c r="N4362" i="1"/>
  <c r="AA4360" i="1"/>
  <c r="T4360" i="1"/>
  <c r="P4360" i="1"/>
  <c r="O4360" i="1"/>
  <c r="N4360" i="1"/>
  <c r="AA4359" i="1"/>
  <c r="T4359" i="1"/>
  <c r="P4359" i="1"/>
  <c r="O4359" i="1"/>
  <c r="N4359" i="1"/>
  <c r="AA4357" i="1"/>
  <c r="T4357" i="1"/>
  <c r="P4357" i="1"/>
  <c r="O4357" i="1"/>
  <c r="N4357" i="1"/>
  <c r="AA4355" i="1"/>
  <c r="T4355" i="1"/>
  <c r="P4355" i="1"/>
  <c r="O4355" i="1"/>
  <c r="N4355" i="1"/>
  <c r="AA4352" i="1"/>
  <c r="T4352" i="1"/>
  <c r="P4352" i="1"/>
  <c r="O4352" i="1"/>
  <c r="N4352" i="1"/>
  <c r="AA4351" i="1"/>
  <c r="T4351" i="1"/>
  <c r="P4351" i="1"/>
  <c r="O4351" i="1"/>
  <c r="N4351" i="1"/>
  <c r="AA4350" i="1"/>
  <c r="T4350" i="1"/>
  <c r="P4350" i="1"/>
  <c r="O4350" i="1"/>
  <c r="N4350" i="1"/>
  <c r="AA4349" i="1"/>
  <c r="T4349" i="1"/>
  <c r="N4349" i="1"/>
  <c r="AA4348" i="1"/>
  <c r="T4348" i="1"/>
  <c r="P4348" i="1"/>
  <c r="O4348" i="1"/>
  <c r="N4348" i="1"/>
  <c r="AA4347" i="1"/>
  <c r="T4347" i="1"/>
  <c r="N4347" i="1"/>
  <c r="AA4346" i="1"/>
  <c r="T4346" i="1"/>
  <c r="P4346" i="1"/>
  <c r="O4346" i="1"/>
  <c r="N4346" i="1"/>
  <c r="AA4345" i="1"/>
  <c r="T4345" i="1"/>
  <c r="P4345" i="1"/>
  <c r="O4345" i="1"/>
  <c r="N4345" i="1"/>
  <c r="AA4344" i="1"/>
  <c r="T4344" i="1"/>
  <c r="P4344" i="1"/>
  <c r="O4344" i="1"/>
  <c r="N4344" i="1"/>
  <c r="AA4343" i="1"/>
  <c r="T4343" i="1"/>
  <c r="P4343" i="1"/>
  <c r="O4343" i="1"/>
  <c r="N4343" i="1"/>
  <c r="AA4342" i="1"/>
  <c r="T4342" i="1"/>
  <c r="P4342" i="1"/>
  <c r="O4342" i="1"/>
  <c r="N4342" i="1"/>
  <c r="AA4341" i="1"/>
  <c r="T4341" i="1"/>
  <c r="P4341" i="1"/>
  <c r="O4341" i="1"/>
  <c r="N4341" i="1"/>
  <c r="AA4340" i="1"/>
  <c r="T4340" i="1"/>
  <c r="N4340" i="1"/>
  <c r="AA4339" i="1"/>
  <c r="T4339" i="1"/>
  <c r="P4339" i="1"/>
  <c r="O4339" i="1"/>
  <c r="N4339" i="1"/>
  <c r="AA4338" i="1"/>
  <c r="T4338" i="1"/>
  <c r="P4338" i="1"/>
  <c r="O4338" i="1"/>
  <c r="N4338" i="1"/>
  <c r="AA4337" i="1"/>
  <c r="T4337" i="1"/>
  <c r="P4337" i="1"/>
  <c r="O4337" i="1"/>
  <c r="N4337" i="1"/>
  <c r="AA4336" i="1"/>
  <c r="T4336" i="1"/>
  <c r="P4336" i="1"/>
  <c r="O4336" i="1"/>
  <c r="N4336" i="1"/>
  <c r="AA4335" i="1"/>
  <c r="T4335" i="1"/>
  <c r="P4335" i="1"/>
  <c r="O4335" i="1"/>
  <c r="N4335" i="1"/>
  <c r="AA4334" i="1"/>
  <c r="T4334" i="1"/>
  <c r="P4334" i="1"/>
  <c r="O4334" i="1"/>
  <c r="N4334" i="1"/>
  <c r="AA4333" i="1"/>
  <c r="T4333" i="1"/>
  <c r="P4333" i="1"/>
  <c r="O4333" i="1"/>
  <c r="N4333" i="1"/>
  <c r="AA4331" i="1"/>
  <c r="T4331" i="1"/>
  <c r="P4331" i="1"/>
  <c r="O4331" i="1"/>
  <c r="N4331" i="1"/>
  <c r="AA4330" i="1"/>
  <c r="T4330" i="1"/>
  <c r="P4330" i="1"/>
  <c r="O4330" i="1"/>
  <c r="N4330" i="1"/>
  <c r="AA4329" i="1"/>
  <c r="T4329" i="1"/>
  <c r="P4329" i="1"/>
  <c r="O4329" i="1"/>
  <c r="N4329" i="1"/>
  <c r="P4325" i="1"/>
  <c r="O4325" i="1"/>
  <c r="N4325" i="1"/>
  <c r="P4324" i="1"/>
  <c r="O4324" i="1"/>
  <c r="N4324" i="1"/>
  <c r="P4323" i="1"/>
  <c r="O4323" i="1"/>
  <c r="N4323" i="1"/>
  <c r="P4322" i="1"/>
  <c r="O4322" i="1"/>
  <c r="N4322" i="1"/>
  <c r="AA4320" i="1"/>
  <c r="T4320" i="1"/>
  <c r="P4320" i="1"/>
  <c r="O4320" i="1"/>
  <c r="N4320" i="1"/>
  <c r="AA4319" i="1"/>
  <c r="T4319" i="1"/>
  <c r="P4319" i="1"/>
  <c r="O4319" i="1"/>
  <c r="N4319" i="1"/>
  <c r="AA4317" i="1"/>
  <c r="T4317" i="1"/>
  <c r="P4317" i="1"/>
  <c r="O4317" i="1"/>
  <c r="N4317" i="1"/>
  <c r="AA4316" i="1"/>
  <c r="T4316" i="1"/>
  <c r="P4316" i="1"/>
  <c r="O4316" i="1"/>
  <c r="N4316" i="1"/>
  <c r="AA4314" i="1"/>
  <c r="T4314" i="1"/>
  <c r="P4314" i="1"/>
  <c r="O4314" i="1"/>
  <c r="N4314" i="1"/>
  <c r="AA4313" i="1"/>
  <c r="T4313" i="1"/>
  <c r="P4313" i="1"/>
  <c r="O4313" i="1"/>
  <c r="N4313" i="1"/>
  <c r="AA4312" i="1"/>
  <c r="T4312" i="1"/>
  <c r="P4312" i="1"/>
  <c r="O4312" i="1"/>
  <c r="N4312" i="1"/>
  <c r="AA4309" i="1"/>
  <c r="T4309" i="1"/>
  <c r="P4309" i="1"/>
  <c r="O4309" i="1"/>
  <c r="N4309" i="1"/>
  <c r="AA4308" i="1"/>
  <c r="T4308" i="1"/>
  <c r="P4308" i="1"/>
  <c r="O4308" i="1"/>
  <c r="N4308" i="1"/>
  <c r="AA4305" i="1"/>
  <c r="T4305" i="1"/>
  <c r="P4305" i="1"/>
  <c r="O4305" i="1"/>
  <c r="N4305" i="1"/>
  <c r="AA4304" i="1"/>
  <c r="T4304" i="1"/>
  <c r="P4304" i="1"/>
  <c r="O4304" i="1"/>
  <c r="N4304" i="1"/>
  <c r="AA4303" i="1"/>
  <c r="T4303" i="1"/>
  <c r="P4303" i="1"/>
  <c r="O4303" i="1"/>
  <c r="N4303" i="1"/>
  <c r="AA4302" i="1"/>
  <c r="T4302" i="1"/>
  <c r="P4302" i="1"/>
  <c r="O4302" i="1"/>
  <c r="N4302" i="1"/>
  <c r="AA4299" i="1"/>
  <c r="T4299" i="1"/>
  <c r="P4299" i="1"/>
  <c r="O4299" i="1"/>
  <c r="N4299" i="1"/>
  <c r="AA4298" i="1"/>
  <c r="T4298" i="1"/>
  <c r="P4298" i="1"/>
  <c r="O4298" i="1"/>
  <c r="N4298" i="1"/>
  <c r="AA4297" i="1"/>
  <c r="T4297" i="1"/>
  <c r="P4297" i="1"/>
  <c r="O4297" i="1"/>
  <c r="N4297" i="1"/>
  <c r="AA4296" i="1"/>
  <c r="T4296" i="1"/>
  <c r="P4296" i="1"/>
  <c r="O4296" i="1"/>
  <c r="N4296" i="1"/>
  <c r="AA4295" i="1"/>
  <c r="T4295" i="1"/>
  <c r="P4295" i="1"/>
  <c r="O4295" i="1"/>
  <c r="N4295" i="1"/>
  <c r="AA4294" i="1"/>
  <c r="T4294" i="1"/>
  <c r="P4294" i="1"/>
  <c r="O4294" i="1"/>
  <c r="N4294" i="1"/>
  <c r="AA4293" i="1"/>
  <c r="T4293" i="1"/>
  <c r="P4293" i="1"/>
  <c r="O4293" i="1"/>
  <c r="N4293" i="1"/>
  <c r="AA4292" i="1"/>
  <c r="T4292" i="1"/>
  <c r="P4292" i="1"/>
  <c r="O4292" i="1"/>
  <c r="N4292" i="1"/>
  <c r="AA4291" i="1"/>
  <c r="T4291" i="1"/>
  <c r="P4291" i="1"/>
  <c r="O4291" i="1"/>
  <c r="N4291" i="1"/>
  <c r="AA4290" i="1"/>
  <c r="T4290" i="1"/>
  <c r="P4290" i="1"/>
  <c r="O4290" i="1"/>
  <c r="N4290" i="1"/>
  <c r="AA4289" i="1"/>
  <c r="T4289" i="1"/>
  <c r="P4289" i="1"/>
  <c r="O4289" i="1"/>
  <c r="N4289" i="1"/>
  <c r="AA4288" i="1"/>
  <c r="T4288" i="1"/>
  <c r="P4288" i="1"/>
  <c r="O4288" i="1"/>
  <c r="N4288" i="1"/>
  <c r="AA4287" i="1"/>
  <c r="T4287" i="1"/>
  <c r="P4287" i="1"/>
  <c r="O4287" i="1"/>
  <c r="N4287" i="1"/>
  <c r="AA4286" i="1"/>
  <c r="T4286" i="1"/>
  <c r="P4286" i="1"/>
  <c r="O4286" i="1"/>
  <c r="N4286" i="1"/>
  <c r="AA4285" i="1"/>
  <c r="T4285" i="1"/>
  <c r="P4285" i="1"/>
  <c r="O4285" i="1"/>
  <c r="N4285" i="1"/>
  <c r="AA4284" i="1"/>
  <c r="T4284" i="1"/>
  <c r="P4284" i="1"/>
  <c r="O4284" i="1"/>
  <c r="N4284" i="1"/>
  <c r="AA4283" i="1"/>
  <c r="T4283" i="1"/>
  <c r="P4283" i="1"/>
  <c r="O4283" i="1"/>
  <c r="N4283" i="1"/>
  <c r="AA4282" i="1"/>
  <c r="T4282" i="1"/>
  <c r="P4282" i="1"/>
  <c r="O4282" i="1"/>
  <c r="N4282" i="1"/>
  <c r="AA4281" i="1"/>
  <c r="T4281" i="1"/>
  <c r="P4281" i="1"/>
  <c r="O4281" i="1"/>
  <c r="N4281" i="1"/>
  <c r="AA4280" i="1"/>
  <c r="T4280" i="1"/>
  <c r="P4280" i="1"/>
  <c r="O4280" i="1"/>
  <c r="N4280" i="1"/>
  <c r="AA4279" i="1"/>
  <c r="T4279" i="1"/>
  <c r="P4279" i="1"/>
  <c r="O4279" i="1"/>
  <c r="N4279" i="1"/>
  <c r="AA4278" i="1"/>
  <c r="T4278" i="1"/>
  <c r="P4278" i="1"/>
  <c r="O4278" i="1"/>
  <c r="N4278" i="1"/>
  <c r="AA4277" i="1"/>
  <c r="T4277" i="1"/>
  <c r="P4277" i="1"/>
  <c r="O4277" i="1"/>
  <c r="N4277" i="1"/>
  <c r="AA4276" i="1"/>
  <c r="T4276" i="1"/>
  <c r="P4276" i="1"/>
  <c r="O4276" i="1"/>
  <c r="N4276" i="1"/>
  <c r="AA4275" i="1"/>
  <c r="T4275" i="1"/>
  <c r="P4275" i="1"/>
  <c r="O4275" i="1"/>
  <c r="N4275" i="1"/>
  <c r="AA4274" i="1"/>
  <c r="T4274" i="1"/>
  <c r="P4274" i="1"/>
  <c r="O4274" i="1"/>
  <c r="N4274" i="1"/>
  <c r="AA4272" i="1"/>
  <c r="T4272" i="1"/>
  <c r="P4272" i="1"/>
  <c r="O4272" i="1"/>
  <c r="N4272" i="1"/>
  <c r="AA4269" i="1"/>
  <c r="T4269" i="1"/>
  <c r="P4269" i="1"/>
  <c r="O4269" i="1"/>
  <c r="N4269" i="1"/>
  <c r="AA4266" i="1"/>
  <c r="T4266" i="1"/>
  <c r="P4266" i="1"/>
  <c r="O4266" i="1"/>
  <c r="N4266" i="1"/>
  <c r="AA4265" i="1"/>
  <c r="T4265" i="1"/>
  <c r="P4265" i="1"/>
  <c r="O4265" i="1"/>
  <c r="N4265" i="1"/>
  <c r="AA4264" i="1"/>
  <c r="T4264" i="1"/>
  <c r="P4264" i="1"/>
  <c r="O4264" i="1"/>
  <c r="N4264" i="1"/>
  <c r="AA4263" i="1"/>
  <c r="T4263" i="1"/>
  <c r="P4263" i="1"/>
  <c r="O4263" i="1"/>
  <c r="N4263" i="1"/>
  <c r="AA4261" i="1"/>
  <c r="T4261" i="1"/>
  <c r="P4261" i="1"/>
  <c r="O4261" i="1"/>
  <c r="N4261" i="1"/>
  <c r="AA4260" i="1"/>
  <c r="T4260" i="1"/>
  <c r="P4260" i="1"/>
  <c r="O4260" i="1"/>
  <c r="N4260" i="1"/>
  <c r="AA4259" i="1"/>
  <c r="T4259" i="1"/>
  <c r="P4259" i="1"/>
  <c r="O4259" i="1"/>
  <c r="N4259" i="1"/>
  <c r="AA4258" i="1"/>
  <c r="T4258" i="1"/>
  <c r="P4258" i="1"/>
  <c r="O4258" i="1"/>
  <c r="N4258" i="1"/>
  <c r="AA4257" i="1"/>
  <c r="T4257" i="1"/>
  <c r="P4257" i="1"/>
  <c r="O4257" i="1"/>
  <c r="N4257" i="1"/>
  <c r="AA4256" i="1"/>
  <c r="T4256" i="1"/>
  <c r="P4256" i="1"/>
  <c r="O4256" i="1"/>
  <c r="N4256" i="1"/>
  <c r="AA4255" i="1"/>
  <c r="T4255" i="1"/>
  <c r="P4255" i="1"/>
  <c r="O4255" i="1"/>
  <c r="N4255" i="1"/>
  <c r="AA4254" i="1"/>
  <c r="T4254" i="1"/>
  <c r="P4254" i="1"/>
  <c r="O4254" i="1"/>
  <c r="N4254" i="1"/>
  <c r="AA4253" i="1"/>
  <c r="T4253" i="1"/>
  <c r="P4253" i="1"/>
  <c r="O4253" i="1"/>
  <c r="N4253" i="1"/>
  <c r="AA4252" i="1"/>
  <c r="T4252" i="1"/>
  <c r="P4252" i="1"/>
  <c r="O4252" i="1"/>
  <c r="N4252" i="1"/>
  <c r="AA4250" i="1"/>
  <c r="T4250" i="1"/>
  <c r="P4250" i="1"/>
  <c r="O4250" i="1"/>
  <c r="N4250" i="1"/>
  <c r="AA4249" i="1"/>
  <c r="T4249" i="1"/>
  <c r="P4249" i="1"/>
  <c r="O4249" i="1"/>
  <c r="N4249" i="1"/>
  <c r="AA4248" i="1"/>
  <c r="T4248" i="1"/>
  <c r="P4248" i="1"/>
  <c r="O4248" i="1"/>
  <c r="N4248" i="1"/>
  <c r="AA4247" i="1"/>
  <c r="T4247" i="1"/>
  <c r="P4247" i="1"/>
  <c r="O4247" i="1"/>
  <c r="N4247" i="1"/>
  <c r="AA4246" i="1"/>
  <c r="T4246" i="1"/>
  <c r="P4246" i="1"/>
  <c r="O4246" i="1"/>
  <c r="N4246" i="1"/>
  <c r="AA4245" i="1"/>
  <c r="T4245" i="1"/>
  <c r="P4245" i="1"/>
  <c r="O4245" i="1"/>
  <c r="N4245" i="1"/>
  <c r="AA4244" i="1"/>
  <c r="T4244" i="1"/>
  <c r="P4244" i="1"/>
  <c r="O4244" i="1"/>
  <c r="N4244" i="1"/>
  <c r="AA4243" i="1"/>
  <c r="T4243" i="1"/>
  <c r="N4243" i="1"/>
  <c r="AA4242" i="1"/>
  <c r="T4242" i="1"/>
  <c r="P4242" i="1"/>
  <c r="O4242" i="1"/>
  <c r="N4242" i="1"/>
  <c r="AA4240" i="1"/>
  <c r="T4240" i="1"/>
  <c r="P4240" i="1"/>
  <c r="O4240" i="1"/>
  <c r="N4240" i="1"/>
  <c r="AA4239" i="1"/>
  <c r="T4239" i="1"/>
  <c r="P4239" i="1"/>
  <c r="O4239" i="1"/>
  <c r="N4239" i="1"/>
  <c r="AA4238" i="1"/>
  <c r="T4238" i="1"/>
  <c r="P4238" i="1"/>
  <c r="O4238" i="1"/>
  <c r="N4238" i="1"/>
  <c r="AA4237" i="1"/>
  <c r="T4237" i="1"/>
  <c r="P4237" i="1"/>
  <c r="O4237" i="1"/>
  <c r="N4237" i="1"/>
  <c r="AA4236" i="1"/>
  <c r="T4236" i="1"/>
  <c r="P4236" i="1"/>
  <c r="O4236" i="1"/>
  <c r="N4236" i="1"/>
  <c r="AA4234" i="1"/>
  <c r="T4234" i="1"/>
  <c r="P4234" i="1"/>
  <c r="O4234" i="1"/>
  <c r="N4234" i="1"/>
  <c r="AA4233" i="1"/>
  <c r="T4233" i="1"/>
  <c r="P4233" i="1"/>
  <c r="O4233" i="1"/>
  <c r="N4233" i="1"/>
  <c r="AA4232" i="1"/>
  <c r="T4232" i="1"/>
  <c r="P4232" i="1"/>
  <c r="O4232" i="1"/>
  <c r="N4232" i="1"/>
  <c r="AA4231" i="1"/>
  <c r="T4231" i="1"/>
  <c r="P4231" i="1"/>
  <c r="O4231" i="1"/>
  <c r="N4231" i="1"/>
  <c r="AA4230" i="1"/>
  <c r="T4230" i="1"/>
  <c r="P4230" i="1"/>
  <c r="O4230" i="1"/>
  <c r="N4230" i="1"/>
  <c r="AA4229" i="1"/>
  <c r="T4229" i="1"/>
  <c r="P4229" i="1"/>
  <c r="O4229" i="1"/>
  <c r="N4229" i="1"/>
  <c r="AA4228" i="1"/>
  <c r="T4228" i="1"/>
  <c r="P4228" i="1"/>
  <c r="O4228" i="1"/>
  <c r="N4228" i="1"/>
  <c r="AA4227" i="1"/>
  <c r="T4227" i="1"/>
  <c r="P4227" i="1"/>
  <c r="O4227" i="1"/>
  <c r="N4227" i="1"/>
  <c r="AA4223" i="1"/>
  <c r="T4223" i="1"/>
  <c r="P4223" i="1"/>
  <c r="O4223" i="1"/>
  <c r="N4223" i="1"/>
  <c r="AA4222" i="1"/>
  <c r="T4222" i="1"/>
  <c r="P4222" i="1"/>
  <c r="O4222" i="1"/>
  <c r="N4222" i="1"/>
  <c r="AA4221" i="1"/>
  <c r="T4221" i="1"/>
  <c r="P4221" i="1"/>
  <c r="O4221" i="1"/>
  <c r="N4221" i="1"/>
  <c r="AA4220" i="1"/>
  <c r="T4220" i="1"/>
  <c r="P4220" i="1"/>
  <c r="O4220" i="1"/>
  <c r="N4220" i="1"/>
  <c r="AA4219" i="1"/>
  <c r="T4219" i="1"/>
  <c r="P4219" i="1"/>
  <c r="O4219" i="1"/>
  <c r="N4219" i="1"/>
  <c r="AA4218" i="1"/>
  <c r="T4218" i="1"/>
  <c r="P4218" i="1"/>
  <c r="O4218" i="1"/>
  <c r="N4218" i="1"/>
  <c r="AA4217" i="1"/>
  <c r="T4217" i="1"/>
  <c r="P4217" i="1"/>
  <c r="O4217" i="1"/>
  <c r="N4217" i="1"/>
  <c r="AA4216" i="1"/>
  <c r="T4216" i="1"/>
  <c r="P4216" i="1"/>
  <c r="O4216" i="1"/>
  <c r="N4216" i="1"/>
  <c r="AA4215" i="1"/>
  <c r="T4215" i="1"/>
  <c r="P4215" i="1"/>
  <c r="O4215" i="1"/>
  <c r="N4215" i="1"/>
  <c r="AA4214" i="1"/>
  <c r="T4214" i="1"/>
  <c r="P4214" i="1"/>
  <c r="O4214" i="1"/>
  <c r="N4214" i="1"/>
  <c r="AA4213" i="1"/>
  <c r="T4213" i="1"/>
  <c r="P4213" i="1"/>
  <c r="O4213" i="1"/>
  <c r="N4213" i="1"/>
  <c r="AA4212" i="1"/>
  <c r="T4212" i="1"/>
  <c r="P4212" i="1"/>
  <c r="O4212" i="1"/>
  <c r="N4212" i="1"/>
  <c r="AA4211" i="1"/>
  <c r="T4211" i="1"/>
  <c r="P4211" i="1"/>
  <c r="O4211" i="1"/>
  <c r="N4211" i="1"/>
  <c r="AA4210" i="1"/>
  <c r="T4210" i="1"/>
  <c r="P4210" i="1"/>
  <c r="O4210" i="1"/>
  <c r="N4210" i="1"/>
  <c r="AA4209" i="1"/>
  <c r="T4209" i="1"/>
  <c r="P4209" i="1"/>
  <c r="O4209" i="1"/>
  <c r="N4209" i="1"/>
  <c r="AA4205" i="1"/>
  <c r="T4205" i="1"/>
  <c r="P4205" i="1"/>
  <c r="O4205" i="1"/>
  <c r="N4205" i="1"/>
  <c r="AA4204" i="1"/>
  <c r="T4204" i="1"/>
  <c r="P4204" i="1"/>
  <c r="O4204" i="1"/>
  <c r="N4204" i="1"/>
  <c r="AA4203" i="1"/>
  <c r="T4203" i="1"/>
  <c r="P4203" i="1"/>
  <c r="O4203" i="1"/>
  <c r="N4203" i="1"/>
  <c r="AA4200" i="1"/>
  <c r="T4200" i="1"/>
  <c r="P4200" i="1"/>
  <c r="O4200" i="1"/>
  <c r="N4200" i="1"/>
  <c r="AA4199" i="1"/>
  <c r="T4199" i="1"/>
  <c r="P4199" i="1"/>
  <c r="O4199" i="1"/>
  <c r="N4199" i="1"/>
  <c r="AA4198" i="1"/>
  <c r="T4198" i="1"/>
  <c r="P4198" i="1"/>
  <c r="O4198" i="1"/>
  <c r="N4198" i="1"/>
  <c r="AA4196" i="1"/>
  <c r="T4196" i="1"/>
  <c r="P4196" i="1"/>
  <c r="O4196" i="1"/>
  <c r="N4196" i="1"/>
  <c r="AA4195" i="1"/>
  <c r="T4195" i="1"/>
  <c r="P4195" i="1"/>
  <c r="O4195" i="1"/>
  <c r="N4195" i="1"/>
  <c r="AA4194" i="1"/>
  <c r="T4194" i="1"/>
  <c r="P4194" i="1"/>
  <c r="O4194" i="1"/>
  <c r="N4194" i="1"/>
  <c r="AA4193" i="1"/>
  <c r="T4193" i="1"/>
  <c r="P4193" i="1"/>
  <c r="O4193" i="1"/>
  <c r="N4193" i="1"/>
  <c r="AA4192" i="1"/>
  <c r="T4192" i="1"/>
  <c r="P4192" i="1"/>
  <c r="O4192" i="1"/>
  <c r="N4192" i="1"/>
  <c r="AA4191" i="1"/>
  <c r="T4191" i="1"/>
  <c r="P4191" i="1"/>
  <c r="O4191" i="1"/>
  <c r="N4191" i="1"/>
  <c r="AA4190" i="1"/>
  <c r="T4190" i="1"/>
  <c r="P4190" i="1"/>
  <c r="O4190" i="1"/>
  <c r="N4190" i="1"/>
  <c r="AA4189" i="1"/>
  <c r="T4189" i="1"/>
  <c r="P4189" i="1"/>
  <c r="O4189" i="1"/>
  <c r="N4189" i="1"/>
  <c r="AA4188" i="1"/>
  <c r="T4188" i="1"/>
  <c r="P4188" i="1"/>
  <c r="O4188" i="1"/>
  <c r="N4188" i="1"/>
  <c r="AA4187" i="1"/>
  <c r="T4187" i="1"/>
  <c r="P4187" i="1"/>
  <c r="O4187" i="1"/>
  <c r="N4187" i="1"/>
  <c r="AA4184" i="1"/>
  <c r="T4184" i="1"/>
  <c r="P4184" i="1"/>
  <c r="O4184" i="1"/>
  <c r="N4184" i="1"/>
  <c r="AA4183" i="1"/>
  <c r="T4183" i="1"/>
  <c r="P4183" i="1"/>
  <c r="O4183" i="1"/>
  <c r="N4183" i="1"/>
  <c r="AA4181" i="1"/>
  <c r="T4181" i="1"/>
  <c r="P4181" i="1"/>
  <c r="O4181" i="1"/>
  <c r="N4181" i="1"/>
  <c r="AA4180" i="1"/>
  <c r="T4180" i="1"/>
  <c r="P4180" i="1"/>
  <c r="O4180" i="1"/>
  <c r="N4180" i="1"/>
  <c r="AA4179" i="1"/>
  <c r="T4179" i="1"/>
  <c r="P4179" i="1"/>
  <c r="O4179" i="1"/>
  <c r="N4179" i="1"/>
  <c r="AA4178" i="1"/>
  <c r="T4178" i="1"/>
  <c r="P4178" i="1"/>
  <c r="O4178" i="1"/>
  <c r="N4178" i="1"/>
  <c r="AA4177" i="1"/>
  <c r="T4177" i="1"/>
  <c r="P4177" i="1"/>
  <c r="O4177" i="1"/>
  <c r="N4177" i="1"/>
  <c r="AA4176" i="1"/>
  <c r="T4176" i="1"/>
  <c r="P4176" i="1"/>
  <c r="O4176" i="1"/>
  <c r="N4176" i="1"/>
  <c r="AA4175" i="1"/>
  <c r="T4175" i="1"/>
  <c r="P4175" i="1"/>
  <c r="O4175" i="1"/>
  <c r="N4175" i="1"/>
  <c r="AA4174" i="1"/>
  <c r="T4174" i="1"/>
  <c r="P4174" i="1"/>
  <c r="O4174" i="1"/>
  <c r="N4174" i="1"/>
  <c r="AA4173" i="1"/>
  <c r="T4173" i="1"/>
  <c r="P4173" i="1"/>
  <c r="O4173" i="1"/>
  <c r="N4173" i="1"/>
  <c r="AA4172" i="1"/>
  <c r="T4172" i="1"/>
  <c r="P4172" i="1"/>
  <c r="O4172" i="1"/>
  <c r="N4172" i="1"/>
  <c r="AA4171" i="1"/>
  <c r="T4171" i="1"/>
  <c r="P4171" i="1"/>
  <c r="O4171" i="1"/>
  <c r="N4171" i="1"/>
  <c r="AA4170" i="1"/>
  <c r="T4170" i="1"/>
  <c r="P4170" i="1"/>
  <c r="O4170" i="1"/>
  <c r="N4170" i="1"/>
  <c r="AA4169" i="1"/>
  <c r="T4169" i="1"/>
  <c r="P4169" i="1"/>
  <c r="O4169" i="1"/>
  <c r="N4169" i="1"/>
  <c r="AA4168" i="1"/>
  <c r="T4168" i="1"/>
  <c r="P4168" i="1"/>
  <c r="O4168" i="1"/>
  <c r="N4168" i="1"/>
  <c r="AA4167" i="1"/>
  <c r="T4167" i="1"/>
  <c r="P4167" i="1"/>
  <c r="O4167" i="1"/>
  <c r="N4167" i="1"/>
  <c r="AA4166" i="1"/>
  <c r="T4166" i="1"/>
  <c r="P4166" i="1"/>
  <c r="O4166" i="1"/>
  <c r="N4166" i="1"/>
  <c r="AA4165" i="1"/>
  <c r="T4165" i="1"/>
  <c r="P4165" i="1"/>
  <c r="O4165" i="1"/>
  <c r="N4165" i="1"/>
  <c r="AA4164" i="1"/>
  <c r="T4164" i="1"/>
  <c r="P4164" i="1"/>
  <c r="O4164" i="1"/>
  <c r="N4164" i="1"/>
  <c r="AA4163" i="1"/>
  <c r="T4163" i="1"/>
  <c r="P4163" i="1"/>
  <c r="O4163" i="1"/>
  <c r="N4163" i="1"/>
  <c r="AA4162" i="1"/>
  <c r="T4162" i="1"/>
  <c r="P4162" i="1"/>
  <c r="O4162" i="1"/>
  <c r="N4162" i="1"/>
  <c r="AA4161" i="1"/>
  <c r="T4161" i="1"/>
  <c r="P4161" i="1"/>
  <c r="O4161" i="1"/>
  <c r="N4161" i="1"/>
  <c r="AA4160" i="1"/>
  <c r="T4160" i="1"/>
  <c r="P4160" i="1"/>
  <c r="O4160" i="1"/>
  <c r="N4160" i="1"/>
  <c r="AA4159" i="1"/>
  <c r="T4159" i="1"/>
  <c r="P4159" i="1"/>
  <c r="O4159" i="1"/>
  <c r="N4159" i="1"/>
  <c r="AA4158" i="1"/>
  <c r="T4158" i="1"/>
  <c r="P4158" i="1"/>
  <c r="O4158" i="1"/>
  <c r="N4158" i="1"/>
  <c r="AA4157" i="1"/>
  <c r="T4157" i="1"/>
  <c r="P4157" i="1"/>
  <c r="O4157" i="1"/>
  <c r="N4157" i="1"/>
  <c r="AA4156" i="1"/>
  <c r="T4156" i="1"/>
  <c r="P4156" i="1"/>
  <c r="O4156" i="1"/>
  <c r="N4156" i="1"/>
  <c r="AA4155" i="1"/>
  <c r="T4155" i="1"/>
  <c r="P4155" i="1"/>
  <c r="O4155" i="1"/>
  <c r="N4155" i="1"/>
  <c r="AA4154" i="1"/>
  <c r="T4154" i="1"/>
  <c r="P4154" i="1"/>
  <c r="O4154" i="1"/>
  <c r="N4154" i="1"/>
  <c r="AA4153" i="1"/>
  <c r="T4153" i="1"/>
  <c r="P4153" i="1"/>
  <c r="O4153" i="1"/>
  <c r="N4153" i="1"/>
  <c r="AA4152" i="1"/>
  <c r="T4152" i="1"/>
  <c r="P4152" i="1"/>
  <c r="O4152" i="1"/>
  <c r="N4152" i="1"/>
  <c r="AA4151" i="1"/>
  <c r="T4151" i="1"/>
  <c r="P4151" i="1"/>
  <c r="O4151" i="1"/>
  <c r="N4151" i="1"/>
  <c r="AA4150" i="1"/>
  <c r="T4150" i="1"/>
  <c r="P4150" i="1"/>
  <c r="O4150" i="1"/>
  <c r="N4150" i="1"/>
  <c r="AA4149" i="1"/>
  <c r="T4149" i="1"/>
  <c r="P4149" i="1"/>
  <c r="O4149" i="1"/>
  <c r="N4149" i="1"/>
  <c r="AA4148" i="1"/>
  <c r="T4148" i="1"/>
  <c r="P4148" i="1"/>
  <c r="O4148" i="1"/>
  <c r="N4148" i="1"/>
  <c r="AA4147" i="1"/>
  <c r="T4147" i="1"/>
  <c r="P4147" i="1"/>
  <c r="O4147" i="1"/>
  <c r="N4147" i="1"/>
  <c r="AA4146" i="1"/>
  <c r="T4146" i="1"/>
  <c r="P4146" i="1"/>
  <c r="O4146" i="1"/>
  <c r="N4146" i="1"/>
  <c r="AA4145" i="1"/>
  <c r="T4145" i="1"/>
  <c r="P4145" i="1"/>
  <c r="O4145" i="1"/>
  <c r="N4145" i="1"/>
  <c r="AA4144" i="1"/>
  <c r="T4144" i="1"/>
  <c r="P4144" i="1"/>
  <c r="O4144" i="1"/>
  <c r="N4144" i="1"/>
  <c r="AA4143" i="1"/>
  <c r="T4143" i="1"/>
  <c r="P4143" i="1"/>
  <c r="O4143" i="1"/>
  <c r="N4143" i="1"/>
  <c r="AA4142" i="1"/>
  <c r="T4142" i="1"/>
  <c r="P4142" i="1"/>
  <c r="O4142" i="1"/>
  <c r="N4142" i="1"/>
  <c r="AA4141" i="1"/>
  <c r="T4141" i="1"/>
  <c r="P4141" i="1"/>
  <c r="O4141" i="1"/>
  <c r="N4141" i="1"/>
  <c r="AA4140" i="1"/>
  <c r="T4140" i="1"/>
  <c r="P4140" i="1"/>
  <c r="O4140" i="1"/>
  <c r="N4140" i="1"/>
  <c r="AA4139" i="1"/>
  <c r="T4139" i="1"/>
  <c r="P4139" i="1"/>
  <c r="O4139" i="1"/>
  <c r="N4139" i="1"/>
  <c r="AA4138" i="1"/>
  <c r="T4138" i="1"/>
  <c r="P4138" i="1"/>
  <c r="O4138" i="1"/>
  <c r="N4138" i="1"/>
  <c r="AA4137" i="1"/>
  <c r="T4137" i="1"/>
  <c r="P4137" i="1"/>
  <c r="O4137" i="1"/>
  <c r="N4137" i="1"/>
  <c r="AA4136" i="1"/>
  <c r="T4136" i="1"/>
  <c r="P4136" i="1"/>
  <c r="O4136" i="1"/>
  <c r="N4136" i="1"/>
  <c r="AA4135" i="1"/>
  <c r="T4135" i="1"/>
  <c r="P4135" i="1"/>
  <c r="O4135" i="1"/>
  <c r="N4135" i="1"/>
  <c r="AA4134" i="1"/>
  <c r="T4134" i="1"/>
  <c r="P4134" i="1"/>
  <c r="O4134" i="1"/>
  <c r="N4134" i="1"/>
  <c r="AA4133" i="1"/>
  <c r="T4133" i="1"/>
  <c r="P4133" i="1"/>
  <c r="O4133" i="1"/>
  <c r="N4133" i="1"/>
  <c r="AA4132" i="1"/>
  <c r="T4132" i="1"/>
  <c r="P4132" i="1"/>
  <c r="O4132" i="1"/>
  <c r="N4132" i="1"/>
  <c r="AA4131" i="1"/>
  <c r="T4131" i="1"/>
  <c r="P4131" i="1"/>
  <c r="O4131" i="1"/>
  <c r="N4131" i="1"/>
  <c r="AA4130" i="1"/>
  <c r="T4130" i="1"/>
  <c r="P4130" i="1"/>
  <c r="O4130" i="1"/>
  <c r="N4130" i="1"/>
  <c r="AA4129" i="1"/>
  <c r="T4129" i="1"/>
  <c r="P4129" i="1"/>
  <c r="O4129" i="1"/>
  <c r="N4129" i="1"/>
  <c r="AA4128" i="1"/>
  <c r="T4128" i="1"/>
  <c r="P4128" i="1"/>
  <c r="O4128" i="1"/>
  <c r="N4128" i="1"/>
  <c r="AA4127" i="1"/>
  <c r="T4127" i="1"/>
  <c r="P4127" i="1"/>
  <c r="O4127" i="1"/>
  <c r="N4127" i="1"/>
  <c r="AA4126" i="1"/>
  <c r="T4126" i="1"/>
  <c r="P4126" i="1"/>
  <c r="O4126" i="1"/>
  <c r="N4126" i="1"/>
  <c r="AA4125" i="1"/>
  <c r="T4125" i="1"/>
  <c r="P4125" i="1"/>
  <c r="O4125" i="1"/>
  <c r="N4125" i="1"/>
  <c r="AA4124" i="1"/>
  <c r="T4124" i="1"/>
  <c r="P4124" i="1"/>
  <c r="O4124" i="1"/>
  <c r="N4124" i="1"/>
  <c r="AA4123" i="1"/>
  <c r="T4123" i="1"/>
  <c r="P4123" i="1"/>
  <c r="O4123" i="1"/>
  <c r="N4123" i="1"/>
  <c r="AA4122" i="1"/>
  <c r="T4122" i="1"/>
  <c r="P4122" i="1"/>
  <c r="O4122" i="1"/>
  <c r="N4122" i="1"/>
  <c r="AA4121" i="1"/>
  <c r="T4121" i="1"/>
  <c r="P4121" i="1"/>
  <c r="O4121" i="1"/>
  <c r="N4121" i="1"/>
  <c r="AA4120" i="1"/>
  <c r="T4120" i="1"/>
  <c r="P4120" i="1"/>
  <c r="O4120" i="1"/>
  <c r="N4120" i="1"/>
  <c r="AA4119" i="1"/>
  <c r="T4119" i="1"/>
  <c r="P4119" i="1"/>
  <c r="O4119" i="1"/>
  <c r="N4119" i="1"/>
  <c r="AA4118" i="1"/>
  <c r="T4118" i="1"/>
  <c r="P4118" i="1"/>
  <c r="O4118" i="1"/>
  <c r="N4118" i="1"/>
  <c r="AA4117" i="1"/>
  <c r="T4117" i="1"/>
  <c r="P4117" i="1"/>
  <c r="O4117" i="1"/>
  <c r="N4117" i="1"/>
  <c r="AA4116" i="1"/>
  <c r="T4116" i="1"/>
  <c r="P4116" i="1"/>
  <c r="O4116" i="1"/>
  <c r="N4116" i="1"/>
  <c r="AA4115" i="1"/>
  <c r="T4115" i="1"/>
  <c r="P4115" i="1"/>
  <c r="O4115" i="1"/>
  <c r="N4115" i="1"/>
  <c r="AA4114" i="1"/>
  <c r="T4114" i="1"/>
  <c r="P4114" i="1"/>
  <c r="O4114" i="1"/>
  <c r="N4114" i="1"/>
  <c r="AA4113" i="1"/>
  <c r="T4113" i="1"/>
  <c r="P4113" i="1"/>
  <c r="O4113" i="1"/>
  <c r="N4113" i="1"/>
  <c r="AA4112" i="1"/>
  <c r="T4112" i="1"/>
  <c r="P4112" i="1"/>
  <c r="O4112" i="1"/>
  <c r="N4112" i="1"/>
  <c r="AA4111" i="1"/>
  <c r="T4111" i="1"/>
  <c r="P4111" i="1"/>
  <c r="O4111" i="1"/>
  <c r="N4111" i="1"/>
  <c r="AA4110" i="1"/>
  <c r="T4110" i="1"/>
  <c r="P4110" i="1"/>
  <c r="O4110" i="1"/>
  <c r="N4110" i="1"/>
  <c r="AA4109" i="1"/>
  <c r="T4109" i="1"/>
  <c r="P4109" i="1"/>
  <c r="O4109" i="1"/>
  <c r="N4109" i="1"/>
  <c r="AA4108" i="1"/>
  <c r="T4108" i="1"/>
  <c r="P4108" i="1"/>
  <c r="O4108" i="1"/>
  <c r="N4108" i="1"/>
  <c r="AA4107" i="1"/>
  <c r="T4107" i="1"/>
  <c r="P4107" i="1"/>
  <c r="O4107" i="1"/>
  <c r="N4107" i="1"/>
  <c r="AA4106" i="1"/>
  <c r="T4106" i="1"/>
  <c r="P4106" i="1"/>
  <c r="O4106" i="1"/>
  <c r="N4106" i="1"/>
  <c r="AA4105" i="1"/>
  <c r="T4105" i="1"/>
  <c r="P4105" i="1"/>
  <c r="O4105" i="1"/>
  <c r="N4105" i="1"/>
  <c r="AA4104" i="1"/>
  <c r="T4104" i="1"/>
  <c r="P4104" i="1"/>
  <c r="O4104" i="1"/>
  <c r="N4104" i="1"/>
  <c r="AA4103" i="1"/>
  <c r="T4103" i="1"/>
  <c r="P4103" i="1"/>
  <c r="O4103" i="1"/>
  <c r="N4103" i="1"/>
  <c r="AA4102" i="1"/>
  <c r="T4102" i="1"/>
  <c r="P4102" i="1"/>
  <c r="O4102" i="1"/>
  <c r="N4102" i="1"/>
  <c r="AA4101" i="1"/>
  <c r="T4101" i="1"/>
  <c r="P4101" i="1"/>
  <c r="O4101" i="1"/>
  <c r="N4101" i="1"/>
  <c r="AA4100" i="1"/>
  <c r="T4100" i="1"/>
  <c r="P4100" i="1"/>
  <c r="O4100" i="1"/>
  <c r="N4100" i="1"/>
  <c r="AA4097" i="1"/>
  <c r="T4097" i="1"/>
  <c r="P4097" i="1"/>
  <c r="O4097" i="1"/>
  <c r="N4097" i="1"/>
  <c r="AA4096" i="1"/>
  <c r="T4096" i="1"/>
  <c r="P4096" i="1"/>
  <c r="O4096" i="1"/>
  <c r="N4096" i="1"/>
  <c r="AA4095" i="1"/>
  <c r="T4095" i="1"/>
  <c r="P4095" i="1"/>
  <c r="O4095" i="1"/>
  <c r="N4095" i="1"/>
  <c r="AA4094" i="1"/>
  <c r="T4094" i="1"/>
  <c r="P4094" i="1"/>
  <c r="O4094" i="1"/>
  <c r="N4094" i="1"/>
  <c r="AA4093" i="1"/>
  <c r="T4093" i="1"/>
  <c r="P4093" i="1"/>
  <c r="O4093" i="1"/>
  <c r="N4093" i="1"/>
  <c r="AA4092" i="1"/>
  <c r="T4092" i="1"/>
  <c r="P4092" i="1"/>
  <c r="O4092" i="1"/>
  <c r="N4092" i="1"/>
  <c r="AA4091" i="1"/>
  <c r="T4091" i="1"/>
  <c r="P4091" i="1"/>
  <c r="O4091" i="1"/>
  <c r="N4091" i="1"/>
  <c r="AA4090" i="1"/>
  <c r="T4090" i="1"/>
  <c r="P4090" i="1"/>
  <c r="O4090" i="1"/>
  <c r="N4090" i="1"/>
  <c r="AA4089" i="1"/>
  <c r="T4089" i="1"/>
  <c r="P4089" i="1"/>
  <c r="O4089" i="1"/>
  <c r="N4089" i="1"/>
  <c r="AA4088" i="1"/>
  <c r="T4088" i="1"/>
  <c r="P4088" i="1"/>
  <c r="O4088" i="1"/>
  <c r="N4088" i="1"/>
  <c r="AA4087" i="1"/>
  <c r="T4087" i="1"/>
  <c r="P4087" i="1"/>
  <c r="O4087" i="1"/>
  <c r="N4087" i="1"/>
  <c r="AA4086" i="1"/>
  <c r="T4086" i="1"/>
  <c r="P4086" i="1"/>
  <c r="O4086" i="1"/>
  <c r="N4086" i="1"/>
  <c r="AA4084" i="1"/>
  <c r="T4084" i="1"/>
  <c r="P4084" i="1"/>
  <c r="O4084" i="1"/>
  <c r="N4084" i="1"/>
  <c r="AA4083" i="1"/>
  <c r="T4083" i="1"/>
  <c r="P4083" i="1"/>
  <c r="O4083" i="1"/>
  <c r="N4083" i="1"/>
  <c r="AA4082" i="1"/>
  <c r="T4082" i="1"/>
  <c r="P4082" i="1"/>
  <c r="O4082" i="1"/>
  <c r="N4082" i="1"/>
  <c r="AA4081" i="1"/>
  <c r="T4081" i="1"/>
  <c r="P4081" i="1"/>
  <c r="O4081" i="1"/>
  <c r="N4081" i="1"/>
  <c r="AA4080" i="1"/>
  <c r="T4080" i="1"/>
  <c r="P4080" i="1"/>
  <c r="O4080" i="1"/>
  <c r="N4080" i="1"/>
  <c r="AA4079" i="1"/>
  <c r="T4079" i="1"/>
  <c r="P4079" i="1"/>
  <c r="O4079" i="1"/>
  <c r="N4079" i="1"/>
  <c r="AA4078" i="1"/>
  <c r="T4078" i="1"/>
  <c r="P4078" i="1"/>
  <c r="O4078" i="1"/>
  <c r="N4078" i="1"/>
  <c r="AA4077" i="1"/>
  <c r="T4077" i="1"/>
  <c r="P4077" i="1"/>
  <c r="O4077" i="1"/>
  <c r="N4077" i="1"/>
  <c r="AA4076" i="1"/>
  <c r="T4076" i="1"/>
  <c r="P4076" i="1"/>
  <c r="O4076" i="1"/>
  <c r="N4076" i="1"/>
  <c r="AA4075" i="1"/>
  <c r="T4075" i="1"/>
  <c r="P4075" i="1"/>
  <c r="O4075" i="1"/>
  <c r="N4075" i="1"/>
  <c r="AA4074" i="1"/>
  <c r="T4074" i="1"/>
  <c r="P4074" i="1"/>
  <c r="O4074" i="1"/>
  <c r="N4074" i="1"/>
  <c r="AA4073" i="1"/>
  <c r="T4073" i="1"/>
  <c r="P4073" i="1"/>
  <c r="O4073" i="1"/>
  <c r="N4073" i="1"/>
  <c r="AA4072" i="1"/>
  <c r="T4072" i="1"/>
  <c r="P4072" i="1"/>
  <c r="O4072" i="1"/>
  <c r="N4072" i="1"/>
  <c r="AA4071" i="1"/>
  <c r="T4071" i="1"/>
  <c r="P4071" i="1"/>
  <c r="O4071" i="1"/>
  <c r="N4071" i="1"/>
  <c r="AA4070" i="1"/>
  <c r="T4070" i="1"/>
  <c r="P4070" i="1"/>
  <c r="O4070" i="1"/>
  <c r="N4070" i="1"/>
  <c r="AA4069" i="1"/>
  <c r="T4069" i="1"/>
  <c r="P4069" i="1"/>
  <c r="O4069" i="1"/>
  <c r="N4069" i="1"/>
  <c r="AA4068" i="1"/>
  <c r="T4068" i="1"/>
  <c r="P4068" i="1"/>
  <c r="O4068" i="1"/>
  <c r="N4068" i="1"/>
  <c r="AA4066" i="1"/>
  <c r="T4066" i="1"/>
  <c r="P4066" i="1"/>
  <c r="O4066" i="1"/>
  <c r="N4066" i="1"/>
  <c r="AA4065" i="1"/>
  <c r="T4065" i="1"/>
  <c r="P4065" i="1"/>
  <c r="O4065" i="1"/>
  <c r="N4065" i="1"/>
  <c r="AA4064" i="1"/>
  <c r="T4064" i="1"/>
  <c r="P4064" i="1"/>
  <c r="O4064" i="1"/>
  <c r="N4064" i="1"/>
  <c r="AA4063" i="1"/>
  <c r="T4063" i="1"/>
  <c r="P4063" i="1"/>
  <c r="O4063" i="1"/>
  <c r="N4063" i="1"/>
  <c r="AA4062" i="1"/>
  <c r="T4062" i="1"/>
  <c r="P4062" i="1"/>
  <c r="O4062" i="1"/>
  <c r="N4062" i="1"/>
  <c r="AA4061" i="1"/>
  <c r="T4061" i="1"/>
  <c r="P4061" i="1"/>
  <c r="O4061" i="1"/>
  <c r="N4061" i="1"/>
  <c r="AA4060" i="1"/>
  <c r="T4060" i="1"/>
  <c r="P4060" i="1"/>
  <c r="O4060" i="1"/>
  <c r="N4060" i="1"/>
  <c r="AA4059" i="1"/>
  <c r="T4059" i="1"/>
  <c r="P4059" i="1"/>
  <c r="O4059" i="1"/>
  <c r="N4059" i="1"/>
  <c r="AA4058" i="1"/>
  <c r="T4058" i="1"/>
  <c r="P4058" i="1"/>
  <c r="O4058" i="1"/>
  <c r="N4058" i="1"/>
  <c r="AA4056" i="1"/>
  <c r="T4056" i="1"/>
  <c r="P4056" i="1"/>
  <c r="O4056" i="1"/>
  <c r="N4056" i="1"/>
  <c r="AA4055" i="1"/>
  <c r="T4055" i="1"/>
  <c r="P4055" i="1"/>
  <c r="O4055" i="1"/>
  <c r="N4055" i="1"/>
  <c r="AA4054" i="1"/>
  <c r="T4054" i="1"/>
  <c r="P4054" i="1"/>
  <c r="O4054" i="1"/>
  <c r="N4054" i="1"/>
  <c r="AA4053" i="1"/>
  <c r="T4053" i="1"/>
  <c r="P4053" i="1"/>
  <c r="O4053" i="1"/>
  <c r="N4053" i="1"/>
  <c r="AA4052" i="1"/>
  <c r="T4052" i="1"/>
  <c r="P4052" i="1"/>
  <c r="O4052" i="1"/>
  <c r="N4052" i="1"/>
  <c r="AA4051" i="1"/>
  <c r="T4051" i="1"/>
  <c r="P4051" i="1"/>
  <c r="O4051" i="1"/>
  <c r="N4051" i="1"/>
  <c r="AA4050" i="1"/>
  <c r="T4050" i="1"/>
  <c r="P4050" i="1"/>
  <c r="O4050" i="1"/>
  <c r="N4050" i="1"/>
  <c r="AA4049" i="1"/>
  <c r="T4049" i="1"/>
  <c r="P4049" i="1"/>
  <c r="O4049" i="1"/>
  <c r="N4049" i="1"/>
  <c r="AA4048" i="1"/>
  <c r="T4048" i="1"/>
  <c r="P4048" i="1"/>
  <c r="O4048" i="1"/>
  <c r="N4048" i="1"/>
  <c r="AA4047" i="1"/>
  <c r="T4047" i="1"/>
  <c r="P4047" i="1"/>
  <c r="O4047" i="1"/>
  <c r="N4047" i="1"/>
  <c r="AA4046" i="1"/>
  <c r="T4046" i="1"/>
  <c r="P4046" i="1"/>
  <c r="O4046" i="1"/>
  <c r="N4046" i="1"/>
  <c r="AA4045" i="1"/>
  <c r="T4045" i="1"/>
  <c r="P4045" i="1"/>
  <c r="O4045" i="1"/>
  <c r="N4045" i="1"/>
  <c r="AA4044" i="1"/>
  <c r="T4044" i="1"/>
  <c r="P4044" i="1"/>
  <c r="O4044" i="1"/>
  <c r="N4044" i="1"/>
  <c r="AA4043" i="1"/>
  <c r="T4043" i="1"/>
  <c r="P4043" i="1"/>
  <c r="O4043" i="1"/>
  <c r="N4043" i="1"/>
  <c r="AA4042" i="1"/>
  <c r="T4042" i="1"/>
  <c r="P4042" i="1"/>
  <c r="O4042" i="1"/>
  <c r="N4042" i="1"/>
  <c r="AA4041" i="1"/>
  <c r="T4041" i="1"/>
  <c r="P4041" i="1"/>
  <c r="O4041" i="1"/>
  <c r="N4041" i="1"/>
  <c r="AA4040" i="1"/>
  <c r="T4040" i="1"/>
  <c r="P4040" i="1"/>
  <c r="O4040" i="1"/>
  <c r="N4040" i="1"/>
  <c r="AA4039" i="1"/>
  <c r="T4039" i="1"/>
  <c r="P4039" i="1"/>
  <c r="O4039" i="1"/>
  <c r="N4039" i="1"/>
  <c r="AA4038" i="1"/>
  <c r="T4038" i="1"/>
  <c r="P4038" i="1"/>
  <c r="O4038" i="1"/>
  <c r="N4038" i="1"/>
  <c r="AA4037" i="1"/>
  <c r="T4037" i="1"/>
  <c r="P4037" i="1"/>
  <c r="O4037" i="1"/>
  <c r="N4037" i="1"/>
  <c r="AA4036" i="1"/>
  <c r="T4036" i="1"/>
  <c r="P4036" i="1"/>
  <c r="O4036" i="1"/>
  <c r="N4036" i="1"/>
  <c r="AA4034" i="1"/>
  <c r="T4034" i="1"/>
  <c r="P4034" i="1"/>
  <c r="O4034" i="1"/>
  <c r="N4034" i="1"/>
  <c r="AA4033" i="1"/>
  <c r="T4033" i="1"/>
  <c r="P4033" i="1"/>
  <c r="O4033" i="1"/>
  <c r="N4033" i="1"/>
  <c r="AA4032" i="1"/>
  <c r="T4032" i="1"/>
  <c r="P4032" i="1"/>
  <c r="O4032" i="1"/>
  <c r="N4032" i="1"/>
  <c r="AA4028" i="1"/>
  <c r="T4028" i="1"/>
  <c r="P4028" i="1"/>
  <c r="O4028" i="1"/>
  <c r="N4028" i="1"/>
  <c r="AA4027" i="1"/>
  <c r="T4027" i="1"/>
  <c r="P4027" i="1"/>
  <c r="O4027" i="1"/>
  <c r="N4027" i="1"/>
  <c r="AA4026" i="1"/>
  <c r="T4026" i="1"/>
  <c r="P4026" i="1"/>
  <c r="O4026" i="1"/>
  <c r="N4026" i="1"/>
  <c r="AA4025" i="1"/>
  <c r="T4025" i="1"/>
  <c r="P4025" i="1"/>
  <c r="O4025" i="1"/>
  <c r="N4025" i="1"/>
  <c r="AA4023" i="1"/>
  <c r="T4023" i="1"/>
  <c r="P4023" i="1"/>
  <c r="O4023" i="1"/>
  <c r="N4023" i="1"/>
  <c r="AA4022" i="1"/>
  <c r="T4022" i="1"/>
  <c r="P4022" i="1"/>
  <c r="O4022" i="1"/>
  <c r="N4022" i="1"/>
  <c r="AA4021" i="1"/>
  <c r="T4021" i="1"/>
  <c r="P4021" i="1"/>
  <c r="O4021" i="1"/>
  <c r="N4021" i="1"/>
  <c r="AA4020" i="1"/>
  <c r="T4020" i="1"/>
  <c r="P4020" i="1"/>
  <c r="O4020" i="1"/>
  <c r="N4020" i="1"/>
  <c r="AA4019" i="1"/>
  <c r="T4019" i="1"/>
  <c r="P4019" i="1"/>
  <c r="O4019" i="1"/>
  <c r="N4019" i="1"/>
  <c r="AA4018" i="1"/>
  <c r="T4018" i="1"/>
  <c r="P4018" i="1"/>
  <c r="O4018" i="1"/>
  <c r="N4018" i="1"/>
  <c r="AA4017" i="1"/>
  <c r="T4017" i="1"/>
  <c r="P4017" i="1"/>
  <c r="O4017" i="1"/>
  <c r="N4017" i="1"/>
  <c r="AA4016" i="1"/>
  <c r="T4016" i="1"/>
  <c r="P4016" i="1"/>
  <c r="O4016" i="1"/>
  <c r="N4016" i="1"/>
  <c r="AA4013" i="1"/>
  <c r="T4013" i="1"/>
  <c r="P4013" i="1"/>
  <c r="O4013" i="1"/>
  <c r="N4013" i="1"/>
  <c r="AA4012" i="1"/>
  <c r="T4012" i="1"/>
  <c r="P4012" i="1"/>
  <c r="O4012" i="1"/>
  <c r="N4012" i="1"/>
  <c r="AA4011" i="1"/>
  <c r="T4011" i="1"/>
  <c r="P4011" i="1"/>
  <c r="O4011" i="1"/>
  <c r="N4011" i="1"/>
  <c r="AA4010" i="1"/>
  <c r="T4010" i="1"/>
  <c r="P4010" i="1"/>
  <c r="O4010" i="1"/>
  <c r="N4010" i="1"/>
  <c r="AA4009" i="1"/>
  <c r="T4009" i="1"/>
  <c r="P4009" i="1"/>
  <c r="O4009" i="1"/>
  <c r="N4009" i="1"/>
  <c r="AA4008" i="1"/>
  <c r="T4008" i="1"/>
  <c r="P4008" i="1"/>
  <c r="O4008" i="1"/>
  <c r="N4008" i="1"/>
  <c r="AA4007" i="1"/>
  <c r="T4007" i="1"/>
  <c r="P4007" i="1"/>
  <c r="O4007" i="1"/>
  <c r="N4007" i="1"/>
  <c r="AA4006" i="1"/>
  <c r="T4006" i="1"/>
  <c r="P4006" i="1"/>
  <c r="O4006" i="1"/>
  <c r="N4006" i="1"/>
  <c r="AA4005" i="1"/>
  <c r="T4005" i="1"/>
  <c r="P4005" i="1"/>
  <c r="O4005" i="1"/>
  <c r="N4005" i="1"/>
  <c r="AA4004" i="1"/>
  <c r="T4004" i="1"/>
  <c r="P4004" i="1"/>
  <c r="O4004" i="1"/>
  <c r="N4004" i="1"/>
  <c r="AA4003" i="1"/>
  <c r="T4003" i="1"/>
  <c r="P4003" i="1"/>
  <c r="O4003" i="1"/>
  <c r="N4003" i="1"/>
  <c r="AA4002" i="1"/>
  <c r="T4002" i="1"/>
  <c r="P4002" i="1"/>
  <c r="O4002" i="1"/>
  <c r="N4002" i="1"/>
  <c r="AA4001" i="1"/>
  <c r="T4001" i="1"/>
  <c r="P4001" i="1"/>
  <c r="O4001" i="1"/>
  <c r="N4001" i="1"/>
  <c r="AA4000" i="1"/>
  <c r="T4000" i="1"/>
  <c r="P4000" i="1"/>
  <c r="O4000" i="1"/>
  <c r="N4000" i="1"/>
  <c r="AA3999" i="1"/>
  <c r="T3999" i="1"/>
  <c r="P3999" i="1"/>
  <c r="O3999" i="1"/>
  <c r="N3999" i="1"/>
  <c r="AA3998" i="1"/>
  <c r="T3998" i="1"/>
  <c r="P3998" i="1"/>
  <c r="O3998" i="1"/>
  <c r="N3998" i="1"/>
  <c r="AA3997" i="1"/>
  <c r="T3997" i="1"/>
  <c r="P3997" i="1"/>
  <c r="O3997" i="1"/>
  <c r="N3997" i="1"/>
  <c r="AA3996" i="1"/>
  <c r="T3996" i="1"/>
  <c r="P3996" i="1"/>
  <c r="O3996" i="1"/>
  <c r="N3996" i="1"/>
  <c r="AA3995" i="1"/>
  <c r="T3995" i="1"/>
  <c r="P3995" i="1"/>
  <c r="O3995" i="1"/>
  <c r="N3995" i="1"/>
  <c r="AA3994" i="1"/>
  <c r="T3994" i="1"/>
  <c r="P3994" i="1"/>
  <c r="O3994" i="1"/>
  <c r="N3994" i="1"/>
  <c r="AA3993" i="1"/>
  <c r="T3993" i="1"/>
  <c r="P3993" i="1"/>
  <c r="O3993" i="1"/>
  <c r="N3993" i="1"/>
  <c r="AA3992" i="1"/>
  <c r="T3992" i="1"/>
  <c r="P3992" i="1"/>
  <c r="O3992" i="1"/>
  <c r="N3992" i="1"/>
  <c r="AA3991" i="1"/>
  <c r="T3991" i="1"/>
  <c r="P3991" i="1"/>
  <c r="O3991" i="1"/>
  <c r="N3991" i="1"/>
  <c r="AA3990" i="1"/>
  <c r="T3990" i="1"/>
  <c r="P3990" i="1"/>
  <c r="O3990" i="1"/>
  <c r="N3990" i="1"/>
  <c r="AA3989" i="1"/>
  <c r="T3989" i="1"/>
  <c r="P3989" i="1"/>
  <c r="O3989" i="1"/>
  <c r="N3989" i="1"/>
  <c r="AA3988" i="1"/>
  <c r="T3988" i="1"/>
  <c r="P3988" i="1"/>
  <c r="O3988" i="1"/>
  <c r="N3988" i="1"/>
  <c r="AA3987" i="1"/>
  <c r="T3987" i="1"/>
  <c r="P3987" i="1"/>
  <c r="O3987" i="1"/>
  <c r="N3987" i="1"/>
  <c r="AA3986" i="1"/>
  <c r="T3986" i="1"/>
  <c r="P3986" i="1"/>
  <c r="O3986" i="1"/>
  <c r="N3986" i="1"/>
  <c r="AA3985" i="1"/>
  <c r="T3985" i="1"/>
  <c r="P3985" i="1"/>
  <c r="O3985" i="1"/>
  <c r="N3985" i="1"/>
  <c r="AA3984" i="1"/>
  <c r="T3984" i="1"/>
  <c r="P3984" i="1"/>
  <c r="O3984" i="1"/>
  <c r="N3984" i="1"/>
  <c r="AA3983" i="1"/>
  <c r="T3983" i="1"/>
  <c r="P3983" i="1"/>
  <c r="O3983" i="1"/>
  <c r="N3983" i="1"/>
  <c r="AA3982" i="1"/>
  <c r="T3982" i="1"/>
  <c r="P3982" i="1"/>
  <c r="O3982" i="1"/>
  <c r="N3982" i="1"/>
  <c r="AA3981" i="1"/>
  <c r="T3981" i="1"/>
  <c r="P3981" i="1"/>
  <c r="O3981" i="1"/>
  <c r="N3981" i="1"/>
  <c r="AA3980" i="1"/>
  <c r="T3980" i="1"/>
  <c r="P3980" i="1"/>
  <c r="O3980" i="1"/>
  <c r="N3980" i="1"/>
  <c r="AA3979" i="1"/>
  <c r="T3979" i="1"/>
  <c r="P3979" i="1"/>
  <c r="O3979" i="1"/>
  <c r="N3979" i="1"/>
  <c r="AA3978" i="1"/>
  <c r="T3978" i="1"/>
  <c r="P3978" i="1"/>
  <c r="O3978" i="1"/>
  <c r="N3978" i="1"/>
  <c r="AA3977" i="1"/>
  <c r="T3977" i="1"/>
  <c r="P3977" i="1"/>
  <c r="O3977" i="1"/>
  <c r="N3977" i="1"/>
  <c r="AA3976" i="1"/>
  <c r="T3976" i="1"/>
  <c r="P3976" i="1"/>
  <c r="O3976" i="1"/>
  <c r="N3976" i="1"/>
  <c r="AA3975" i="1"/>
  <c r="T3975" i="1"/>
  <c r="P3975" i="1"/>
  <c r="O3975" i="1"/>
  <c r="N3975" i="1"/>
  <c r="AA3974" i="1"/>
  <c r="T3974" i="1"/>
  <c r="P3974" i="1"/>
  <c r="O3974" i="1"/>
  <c r="N3974" i="1"/>
  <c r="AA3973" i="1"/>
  <c r="T3973" i="1"/>
  <c r="P3973" i="1"/>
  <c r="O3973" i="1"/>
  <c r="N3973" i="1"/>
  <c r="AA3972" i="1"/>
  <c r="T3972" i="1"/>
  <c r="P3972" i="1"/>
  <c r="O3972" i="1"/>
  <c r="N3972" i="1"/>
  <c r="AA3971" i="1"/>
  <c r="T3971" i="1"/>
  <c r="P3971" i="1"/>
  <c r="O3971" i="1"/>
  <c r="N3971" i="1"/>
  <c r="AA3970" i="1"/>
  <c r="T3970" i="1"/>
  <c r="P3970" i="1"/>
  <c r="O3970" i="1"/>
  <c r="N3970" i="1"/>
  <c r="AA3969" i="1"/>
  <c r="T3969" i="1"/>
  <c r="P3969" i="1"/>
  <c r="O3969" i="1"/>
  <c r="N3969" i="1"/>
  <c r="AA3968" i="1"/>
  <c r="T3968" i="1"/>
  <c r="P3968" i="1"/>
  <c r="O3968" i="1"/>
  <c r="N3968" i="1"/>
  <c r="AA3967" i="1"/>
  <c r="T3967" i="1"/>
  <c r="P3967" i="1"/>
  <c r="O3967" i="1"/>
  <c r="N3967" i="1"/>
  <c r="AA3966" i="1"/>
  <c r="T3966" i="1"/>
  <c r="P3966" i="1"/>
  <c r="O3966" i="1"/>
  <c r="N3966" i="1"/>
  <c r="AA3965" i="1"/>
  <c r="T3965" i="1"/>
  <c r="P3965" i="1"/>
  <c r="O3965" i="1"/>
  <c r="N3965" i="1"/>
  <c r="AA3964" i="1"/>
  <c r="T3964" i="1"/>
  <c r="P3964" i="1"/>
  <c r="O3964" i="1"/>
  <c r="N3964" i="1"/>
  <c r="AA3963" i="1"/>
  <c r="T3963" i="1"/>
  <c r="P3963" i="1"/>
  <c r="O3963" i="1"/>
  <c r="N3963" i="1"/>
  <c r="AA3962" i="1"/>
  <c r="T3962" i="1"/>
  <c r="P3962" i="1"/>
  <c r="O3962" i="1"/>
  <c r="N3962" i="1"/>
  <c r="AA3961" i="1"/>
  <c r="T3961" i="1"/>
  <c r="P3961" i="1"/>
  <c r="O3961" i="1"/>
  <c r="N3961" i="1"/>
  <c r="AA3960" i="1"/>
  <c r="T3960" i="1"/>
  <c r="P3960" i="1"/>
  <c r="O3960" i="1"/>
  <c r="N3960" i="1"/>
  <c r="AA3959" i="1"/>
  <c r="T3959" i="1"/>
  <c r="P3959" i="1"/>
  <c r="O3959" i="1"/>
  <c r="N3959" i="1"/>
  <c r="AA3958" i="1"/>
  <c r="T3958" i="1"/>
  <c r="P3958" i="1"/>
  <c r="O3958" i="1"/>
  <c r="N3958" i="1"/>
  <c r="AA3957" i="1"/>
  <c r="T3957" i="1"/>
  <c r="P3957" i="1"/>
  <c r="O3957" i="1"/>
  <c r="N3957" i="1"/>
  <c r="AA3956" i="1"/>
  <c r="T3956" i="1"/>
  <c r="P3956" i="1"/>
  <c r="O3956" i="1"/>
  <c r="N3956" i="1"/>
  <c r="AA3953" i="1"/>
  <c r="T3953" i="1"/>
  <c r="P3953" i="1"/>
  <c r="O3953" i="1"/>
  <c r="N3953" i="1"/>
  <c r="AA3951" i="1"/>
  <c r="T3951" i="1"/>
  <c r="P3951" i="1"/>
  <c r="O3951" i="1"/>
  <c r="N3951" i="1"/>
  <c r="AA3950" i="1"/>
  <c r="T3950" i="1"/>
  <c r="P3950" i="1"/>
  <c r="O3950" i="1"/>
  <c r="N3950" i="1"/>
  <c r="AA3949" i="1"/>
  <c r="T3949" i="1"/>
  <c r="P3949" i="1"/>
  <c r="O3949" i="1"/>
  <c r="N3949" i="1"/>
  <c r="AA3948" i="1"/>
  <c r="T3948" i="1"/>
  <c r="P3948" i="1"/>
  <c r="O3948" i="1"/>
  <c r="N3948" i="1"/>
  <c r="AA3947" i="1"/>
  <c r="T3947" i="1"/>
  <c r="P3947" i="1"/>
  <c r="O3947" i="1"/>
  <c r="N3947" i="1"/>
  <c r="AA3946" i="1"/>
  <c r="T3946" i="1"/>
  <c r="P3946" i="1"/>
  <c r="O3946" i="1"/>
  <c r="N3946" i="1"/>
  <c r="AA3945" i="1"/>
  <c r="T3945" i="1"/>
  <c r="P3945" i="1"/>
  <c r="O3945" i="1"/>
  <c r="N3945" i="1"/>
  <c r="AA3944" i="1"/>
  <c r="T3944" i="1"/>
  <c r="P3944" i="1"/>
  <c r="O3944" i="1"/>
  <c r="N3944" i="1"/>
  <c r="AA3943" i="1"/>
  <c r="T3943" i="1"/>
  <c r="P3943" i="1"/>
  <c r="O3943" i="1"/>
  <c r="N3943" i="1"/>
  <c r="AA3942" i="1"/>
  <c r="T3942" i="1"/>
  <c r="P3942" i="1"/>
  <c r="O3942" i="1"/>
  <c r="N3942" i="1"/>
  <c r="AA3941" i="1"/>
  <c r="T3941" i="1"/>
  <c r="P3941" i="1"/>
  <c r="O3941" i="1"/>
  <c r="N3941" i="1"/>
  <c r="AA3940" i="1"/>
  <c r="T3940" i="1"/>
  <c r="P3940" i="1"/>
  <c r="O3940" i="1"/>
  <c r="N3940" i="1"/>
  <c r="AA3939" i="1"/>
  <c r="T3939" i="1"/>
  <c r="P3939" i="1"/>
  <c r="O3939" i="1"/>
  <c r="N3939" i="1"/>
  <c r="AA3938" i="1"/>
  <c r="T3938" i="1"/>
  <c r="P3938" i="1"/>
  <c r="O3938" i="1"/>
  <c r="N3938" i="1"/>
  <c r="AA3937" i="1"/>
  <c r="T3937" i="1"/>
  <c r="P3937" i="1"/>
  <c r="O3937" i="1"/>
  <c r="N3937" i="1"/>
  <c r="AA3936" i="1"/>
  <c r="T3936" i="1"/>
  <c r="P3936" i="1"/>
  <c r="O3936" i="1"/>
  <c r="N3936" i="1"/>
  <c r="AA3935" i="1"/>
  <c r="T3935" i="1"/>
  <c r="P3935" i="1"/>
  <c r="O3935" i="1"/>
  <c r="N3935" i="1"/>
  <c r="AA3934" i="1"/>
  <c r="T3934" i="1"/>
  <c r="P3934" i="1"/>
  <c r="O3934" i="1"/>
  <c r="N3934" i="1"/>
  <c r="AA3933" i="1"/>
  <c r="T3933" i="1"/>
  <c r="P3933" i="1"/>
  <c r="O3933" i="1"/>
  <c r="N3933" i="1"/>
  <c r="AA3932" i="1"/>
  <c r="T3932" i="1"/>
  <c r="P3932" i="1"/>
  <c r="O3932" i="1"/>
  <c r="N3932" i="1"/>
  <c r="AA3931" i="1"/>
  <c r="T3931" i="1"/>
  <c r="P3931" i="1"/>
  <c r="O3931" i="1"/>
  <c r="N3931" i="1"/>
  <c r="AA3930" i="1"/>
  <c r="T3930" i="1"/>
  <c r="P3930" i="1"/>
  <c r="O3930" i="1"/>
  <c r="N3930" i="1"/>
  <c r="AA3929" i="1"/>
  <c r="T3929" i="1"/>
  <c r="P3929" i="1"/>
  <c r="O3929" i="1"/>
  <c r="N3929" i="1"/>
  <c r="AA3928" i="1"/>
  <c r="T3928" i="1"/>
  <c r="P3928" i="1"/>
  <c r="O3928" i="1"/>
  <c r="N3928" i="1"/>
  <c r="AA3927" i="1"/>
  <c r="T3927" i="1"/>
  <c r="P3927" i="1"/>
  <c r="O3927" i="1"/>
  <c r="N3927" i="1"/>
  <c r="AA3926" i="1"/>
  <c r="T3926" i="1"/>
  <c r="P3926" i="1"/>
  <c r="O3926" i="1"/>
  <c r="N3926" i="1"/>
  <c r="AA3925" i="1"/>
  <c r="T3925" i="1"/>
  <c r="P3925" i="1"/>
  <c r="O3925" i="1"/>
  <c r="N3925" i="1"/>
  <c r="AA3921" i="1"/>
  <c r="T3921" i="1"/>
  <c r="P3921" i="1"/>
  <c r="O3921" i="1"/>
  <c r="N3921" i="1"/>
  <c r="P3918" i="1"/>
  <c r="O3918" i="1"/>
  <c r="N3918" i="1"/>
  <c r="P3917" i="1"/>
  <c r="O3917" i="1"/>
  <c r="N3917" i="1"/>
  <c r="AA3915" i="1"/>
  <c r="T3915" i="1"/>
  <c r="P3915" i="1"/>
  <c r="O3915" i="1"/>
  <c r="N3915" i="1"/>
  <c r="AA3914" i="1"/>
  <c r="T3914" i="1"/>
  <c r="P3914" i="1"/>
  <c r="O3914" i="1"/>
  <c r="N3914" i="1"/>
  <c r="AA3913" i="1"/>
  <c r="T3913" i="1"/>
  <c r="P3913" i="1"/>
  <c r="O3913" i="1"/>
  <c r="N3913" i="1"/>
  <c r="AA3912" i="1"/>
  <c r="T3912" i="1"/>
  <c r="P3912" i="1"/>
  <c r="O3912" i="1"/>
  <c r="N3912" i="1"/>
  <c r="AA3911" i="1"/>
  <c r="T3911" i="1"/>
  <c r="P3911" i="1"/>
  <c r="O3911" i="1"/>
  <c r="N3911" i="1"/>
  <c r="AA3910" i="1"/>
  <c r="T3910" i="1"/>
  <c r="P3910" i="1"/>
  <c r="O3910" i="1"/>
  <c r="N3910" i="1"/>
  <c r="AA3909" i="1"/>
  <c r="T3909" i="1"/>
  <c r="P3909" i="1"/>
  <c r="O3909" i="1"/>
  <c r="N3909" i="1"/>
  <c r="AA3908" i="1"/>
  <c r="T3908" i="1"/>
  <c r="P3908" i="1"/>
  <c r="O3908" i="1"/>
  <c r="N3908" i="1"/>
  <c r="AA3907" i="1"/>
  <c r="T3907" i="1"/>
  <c r="P3907" i="1"/>
  <c r="O3907" i="1"/>
  <c r="N3907" i="1"/>
  <c r="AA3906" i="1"/>
  <c r="T3906" i="1"/>
  <c r="P3906" i="1"/>
  <c r="O3906" i="1"/>
  <c r="N3906" i="1"/>
  <c r="AA3905" i="1"/>
  <c r="T3905" i="1"/>
  <c r="P3905" i="1"/>
  <c r="O3905" i="1"/>
  <c r="N3905" i="1"/>
  <c r="AA3902" i="1"/>
  <c r="T3902" i="1"/>
  <c r="P3902" i="1"/>
  <c r="O3902" i="1"/>
  <c r="N3902" i="1"/>
  <c r="AA3901" i="1"/>
  <c r="T3901" i="1"/>
  <c r="P3901" i="1"/>
  <c r="O3901" i="1"/>
  <c r="N3901" i="1"/>
  <c r="AA3900" i="1"/>
  <c r="T3900" i="1"/>
  <c r="P3900" i="1"/>
  <c r="O3900" i="1"/>
  <c r="N3900" i="1"/>
  <c r="AA3899" i="1"/>
  <c r="T3899" i="1"/>
  <c r="P3899" i="1"/>
  <c r="O3899" i="1"/>
  <c r="N3899" i="1"/>
  <c r="AA3897" i="1"/>
  <c r="T3897" i="1"/>
  <c r="P3897" i="1"/>
  <c r="O3897" i="1"/>
  <c r="N3897" i="1"/>
  <c r="AA3896" i="1"/>
  <c r="T3896" i="1"/>
  <c r="P3896" i="1"/>
  <c r="O3896" i="1"/>
  <c r="N3896" i="1"/>
  <c r="AA3895" i="1"/>
  <c r="T3895" i="1"/>
  <c r="P3895" i="1"/>
  <c r="O3895" i="1"/>
  <c r="N3895" i="1"/>
  <c r="AA3894" i="1"/>
  <c r="T3894" i="1"/>
  <c r="P3894" i="1"/>
  <c r="O3894" i="1"/>
  <c r="N3894" i="1"/>
  <c r="AA3893" i="1"/>
  <c r="T3893" i="1"/>
  <c r="P3893" i="1"/>
  <c r="O3893" i="1"/>
  <c r="N3893" i="1"/>
  <c r="AA3892" i="1"/>
  <c r="T3892" i="1"/>
  <c r="P3892" i="1"/>
  <c r="O3892" i="1"/>
  <c r="N3892" i="1"/>
  <c r="AA3891" i="1"/>
  <c r="T3891" i="1"/>
  <c r="P3891" i="1"/>
  <c r="O3891" i="1"/>
  <c r="N3891" i="1"/>
  <c r="AA3890" i="1"/>
  <c r="T3890" i="1"/>
  <c r="P3890" i="1"/>
  <c r="O3890" i="1"/>
  <c r="N3890" i="1"/>
  <c r="AA3889" i="1"/>
  <c r="T3889" i="1"/>
  <c r="P3889" i="1"/>
  <c r="O3889" i="1"/>
  <c r="N3889" i="1"/>
  <c r="AA3888" i="1"/>
  <c r="T3888" i="1"/>
  <c r="P3888" i="1"/>
  <c r="O3888" i="1"/>
  <c r="N3888" i="1"/>
  <c r="AA3887" i="1"/>
  <c r="T3887" i="1"/>
  <c r="P3887" i="1"/>
  <c r="O3887" i="1"/>
  <c r="N3887" i="1"/>
  <c r="AA3886" i="1"/>
  <c r="T3886" i="1"/>
  <c r="P3886" i="1"/>
  <c r="O3886" i="1"/>
  <c r="N3886" i="1"/>
  <c r="AA3885" i="1"/>
  <c r="T3885" i="1"/>
  <c r="P3885" i="1"/>
  <c r="O3885" i="1"/>
  <c r="N3885" i="1"/>
  <c r="AA3884" i="1"/>
  <c r="T3884" i="1"/>
  <c r="P3884" i="1"/>
  <c r="O3884" i="1"/>
  <c r="N3884" i="1"/>
  <c r="AA3883" i="1"/>
  <c r="T3883" i="1"/>
  <c r="P3883" i="1"/>
  <c r="O3883" i="1"/>
  <c r="N3883" i="1"/>
  <c r="AA3882" i="1"/>
  <c r="T3882" i="1"/>
  <c r="P3882" i="1"/>
  <c r="O3882" i="1"/>
  <c r="N3882" i="1"/>
  <c r="AA3881" i="1"/>
  <c r="T3881" i="1"/>
  <c r="P3881" i="1"/>
  <c r="O3881" i="1"/>
  <c r="N3881" i="1"/>
  <c r="AA3880" i="1"/>
  <c r="T3880" i="1"/>
  <c r="P3880" i="1"/>
  <c r="O3880" i="1"/>
  <c r="N3880" i="1"/>
  <c r="AA3879" i="1"/>
  <c r="T3879" i="1"/>
  <c r="P3879" i="1"/>
  <c r="O3879" i="1"/>
  <c r="N3879" i="1"/>
  <c r="AA3878" i="1"/>
  <c r="T3878" i="1"/>
  <c r="P3878" i="1"/>
  <c r="O3878" i="1"/>
  <c r="N3878" i="1"/>
  <c r="AA3877" i="1"/>
  <c r="T3877" i="1"/>
  <c r="P3877" i="1"/>
  <c r="O3877" i="1"/>
  <c r="N3877" i="1"/>
  <c r="AA3876" i="1"/>
  <c r="T3876" i="1"/>
  <c r="P3876" i="1"/>
  <c r="O3876" i="1"/>
  <c r="N3876" i="1"/>
  <c r="AA3875" i="1"/>
  <c r="T3875" i="1"/>
  <c r="P3875" i="1"/>
  <c r="O3875" i="1"/>
  <c r="N3875" i="1"/>
  <c r="AA3874" i="1"/>
  <c r="T3874" i="1"/>
  <c r="P3874" i="1"/>
  <c r="O3874" i="1"/>
  <c r="N3874" i="1"/>
  <c r="AA3873" i="1"/>
  <c r="T3873" i="1"/>
  <c r="P3873" i="1"/>
  <c r="O3873" i="1"/>
  <c r="N3873" i="1"/>
  <c r="AA3872" i="1"/>
  <c r="T3872" i="1"/>
  <c r="P3872" i="1"/>
  <c r="O3872" i="1"/>
  <c r="N3872" i="1"/>
  <c r="AA3871" i="1"/>
  <c r="T3871" i="1"/>
  <c r="P3871" i="1"/>
  <c r="O3871" i="1"/>
  <c r="N3871" i="1"/>
  <c r="AA3870" i="1"/>
  <c r="T3870" i="1"/>
  <c r="P3870" i="1"/>
  <c r="O3870" i="1"/>
  <c r="N3870" i="1"/>
  <c r="AA3869" i="1"/>
  <c r="T3869" i="1"/>
  <c r="P3869" i="1"/>
  <c r="O3869" i="1"/>
  <c r="N3869" i="1"/>
  <c r="AA3868" i="1"/>
  <c r="T3868" i="1"/>
  <c r="P3868" i="1"/>
  <c r="O3868" i="1"/>
  <c r="N3868" i="1"/>
  <c r="AA3867" i="1"/>
  <c r="T3867" i="1"/>
  <c r="P3867" i="1"/>
  <c r="O3867" i="1"/>
  <c r="N3867" i="1"/>
  <c r="AA3866" i="1"/>
  <c r="T3866" i="1"/>
  <c r="P3866" i="1"/>
  <c r="O3866" i="1"/>
  <c r="N3866" i="1"/>
  <c r="AA3865" i="1"/>
  <c r="T3865" i="1"/>
  <c r="P3865" i="1"/>
  <c r="O3865" i="1"/>
  <c r="N3865" i="1"/>
  <c r="AA3864" i="1"/>
  <c r="T3864" i="1"/>
  <c r="P3864" i="1"/>
  <c r="O3864" i="1"/>
  <c r="N3864" i="1"/>
  <c r="AA3863" i="1"/>
  <c r="T3863" i="1"/>
  <c r="P3863" i="1"/>
  <c r="O3863" i="1"/>
  <c r="N3863" i="1"/>
  <c r="AA3862" i="1"/>
  <c r="T3862" i="1"/>
  <c r="P3862" i="1"/>
  <c r="O3862" i="1"/>
  <c r="N3862" i="1"/>
  <c r="AA3861" i="1"/>
  <c r="T3861" i="1"/>
  <c r="P3861" i="1"/>
  <c r="O3861" i="1"/>
  <c r="N3861" i="1"/>
  <c r="AA3860" i="1"/>
  <c r="T3860" i="1"/>
  <c r="P3860" i="1"/>
  <c r="O3860" i="1"/>
  <c r="N3860" i="1"/>
  <c r="AA3859" i="1"/>
  <c r="T3859" i="1"/>
  <c r="P3859" i="1"/>
  <c r="O3859" i="1"/>
  <c r="N3859" i="1"/>
  <c r="AA3858" i="1"/>
  <c r="T3858" i="1"/>
  <c r="P3858" i="1"/>
  <c r="O3858" i="1"/>
  <c r="N3858" i="1"/>
  <c r="AA3857" i="1"/>
  <c r="T3857" i="1"/>
  <c r="P3857" i="1"/>
  <c r="O3857" i="1"/>
  <c r="N3857" i="1"/>
  <c r="AA3856" i="1"/>
  <c r="T3856" i="1"/>
  <c r="P3856" i="1"/>
  <c r="O3856" i="1"/>
  <c r="N3856" i="1"/>
  <c r="AA3855" i="1"/>
  <c r="T3855" i="1"/>
  <c r="P3855" i="1"/>
  <c r="O3855" i="1"/>
  <c r="N3855" i="1"/>
  <c r="AA3854" i="1"/>
  <c r="T3854" i="1"/>
  <c r="P3854" i="1"/>
  <c r="O3854" i="1"/>
  <c r="N3854" i="1"/>
  <c r="AA3853" i="1"/>
  <c r="T3853" i="1"/>
  <c r="P3853" i="1"/>
  <c r="O3853" i="1"/>
  <c r="N3853" i="1"/>
  <c r="AA3852" i="1"/>
  <c r="T3852" i="1"/>
  <c r="P3852" i="1"/>
  <c r="O3852" i="1"/>
  <c r="N3852" i="1"/>
  <c r="AA3851" i="1"/>
  <c r="T3851" i="1"/>
  <c r="P3851" i="1"/>
  <c r="O3851" i="1"/>
  <c r="N3851" i="1"/>
  <c r="AA3850" i="1"/>
  <c r="T3850" i="1"/>
  <c r="P3850" i="1"/>
  <c r="O3850" i="1"/>
  <c r="N3850" i="1"/>
  <c r="AA3849" i="1"/>
  <c r="T3849" i="1"/>
  <c r="P3849" i="1"/>
  <c r="O3849" i="1"/>
  <c r="N3849" i="1"/>
  <c r="AA3848" i="1"/>
  <c r="T3848" i="1"/>
  <c r="P3848" i="1"/>
  <c r="O3848" i="1"/>
  <c r="N3848" i="1"/>
  <c r="AA3847" i="1"/>
  <c r="T3847" i="1"/>
  <c r="P3847" i="1"/>
  <c r="O3847" i="1"/>
  <c r="N3847" i="1"/>
  <c r="AA3846" i="1"/>
  <c r="T3846" i="1"/>
  <c r="P3846" i="1"/>
  <c r="O3846" i="1"/>
  <c r="N3846" i="1"/>
  <c r="AA3845" i="1"/>
  <c r="T3845" i="1"/>
  <c r="P3845" i="1"/>
  <c r="O3845" i="1"/>
  <c r="N3845" i="1"/>
  <c r="AA3844" i="1"/>
  <c r="T3844" i="1"/>
  <c r="P3844" i="1"/>
  <c r="O3844" i="1"/>
  <c r="N3844" i="1"/>
  <c r="AA3843" i="1"/>
  <c r="T3843" i="1"/>
  <c r="P3843" i="1"/>
  <c r="O3843" i="1"/>
  <c r="N3843" i="1"/>
  <c r="AA3842" i="1"/>
  <c r="T3842" i="1"/>
  <c r="P3842" i="1"/>
  <c r="O3842" i="1"/>
  <c r="N3842" i="1"/>
  <c r="AA3841" i="1"/>
  <c r="T3841" i="1"/>
  <c r="P3841" i="1"/>
  <c r="O3841" i="1"/>
  <c r="N3841" i="1"/>
  <c r="AA3840" i="1"/>
  <c r="T3840" i="1"/>
  <c r="P3840" i="1"/>
  <c r="O3840" i="1"/>
  <c r="N3840" i="1"/>
  <c r="AA3839" i="1"/>
  <c r="T3839" i="1"/>
  <c r="P3839" i="1"/>
  <c r="O3839" i="1"/>
  <c r="N3839" i="1"/>
  <c r="AA3838" i="1"/>
  <c r="T3838" i="1"/>
  <c r="P3838" i="1"/>
  <c r="O3838" i="1"/>
  <c r="N3838" i="1"/>
  <c r="AA3837" i="1"/>
  <c r="T3837" i="1"/>
  <c r="P3837" i="1"/>
  <c r="O3837" i="1"/>
  <c r="N3837" i="1"/>
  <c r="AA3836" i="1"/>
  <c r="T3836" i="1"/>
  <c r="P3836" i="1"/>
  <c r="O3836" i="1"/>
  <c r="N3836" i="1"/>
  <c r="AA3835" i="1"/>
  <c r="T3835" i="1"/>
  <c r="P3835" i="1"/>
  <c r="O3835" i="1"/>
  <c r="N3835" i="1"/>
  <c r="AA3834" i="1"/>
  <c r="T3834" i="1"/>
  <c r="P3834" i="1"/>
  <c r="O3834" i="1"/>
  <c r="N3834" i="1"/>
  <c r="AA3833" i="1"/>
  <c r="T3833" i="1"/>
  <c r="P3833" i="1"/>
  <c r="O3833" i="1"/>
  <c r="N3833" i="1"/>
  <c r="AA3832" i="1"/>
  <c r="T3832" i="1"/>
  <c r="P3832" i="1"/>
  <c r="O3832" i="1"/>
  <c r="N3832" i="1"/>
  <c r="AA3831" i="1"/>
  <c r="T3831" i="1"/>
  <c r="P3831" i="1"/>
  <c r="O3831" i="1"/>
  <c r="N3831" i="1"/>
  <c r="AA3830" i="1"/>
  <c r="T3830" i="1"/>
  <c r="P3830" i="1"/>
  <c r="O3830" i="1"/>
  <c r="N3830" i="1"/>
  <c r="AA3829" i="1"/>
  <c r="T3829" i="1"/>
  <c r="P3829" i="1"/>
  <c r="O3829" i="1"/>
  <c r="N3829" i="1"/>
  <c r="AA3828" i="1"/>
  <c r="T3828" i="1"/>
  <c r="P3828" i="1"/>
  <c r="O3828" i="1"/>
  <c r="N3828" i="1"/>
  <c r="AA3827" i="1"/>
  <c r="T3827" i="1"/>
  <c r="P3827" i="1"/>
  <c r="O3827" i="1"/>
  <c r="N3827" i="1"/>
  <c r="AA3826" i="1"/>
  <c r="T3826" i="1"/>
  <c r="P3826" i="1"/>
  <c r="O3826" i="1"/>
  <c r="N3826" i="1"/>
  <c r="AA3825" i="1"/>
  <c r="T3825" i="1"/>
  <c r="P3825" i="1"/>
  <c r="O3825" i="1"/>
  <c r="N3825" i="1"/>
  <c r="AA3824" i="1"/>
  <c r="T3824" i="1"/>
  <c r="P3824" i="1"/>
  <c r="O3824" i="1"/>
  <c r="N3824" i="1"/>
  <c r="AA3823" i="1"/>
  <c r="T3823" i="1"/>
  <c r="P3823" i="1"/>
  <c r="O3823" i="1"/>
  <c r="N3823" i="1"/>
  <c r="AA3822" i="1"/>
  <c r="T3822" i="1"/>
  <c r="P3822" i="1"/>
  <c r="O3822" i="1"/>
  <c r="N3822" i="1"/>
  <c r="AA3821" i="1"/>
  <c r="T3821" i="1"/>
  <c r="P3821" i="1"/>
  <c r="O3821" i="1"/>
  <c r="N3821" i="1"/>
  <c r="AA3820" i="1"/>
  <c r="T3820" i="1"/>
  <c r="P3820" i="1"/>
  <c r="O3820" i="1"/>
  <c r="N3820" i="1"/>
  <c r="AA3819" i="1"/>
  <c r="T3819" i="1"/>
  <c r="P3819" i="1"/>
  <c r="O3819" i="1"/>
  <c r="N3819" i="1"/>
  <c r="AA3818" i="1"/>
  <c r="T3818" i="1"/>
  <c r="P3818" i="1"/>
  <c r="O3818" i="1"/>
  <c r="N3818" i="1"/>
  <c r="AA3817" i="1"/>
  <c r="T3817" i="1"/>
  <c r="P3817" i="1"/>
  <c r="O3817" i="1"/>
  <c r="N3817" i="1"/>
  <c r="AA3816" i="1"/>
  <c r="T3816" i="1"/>
  <c r="P3816" i="1"/>
  <c r="O3816" i="1"/>
  <c r="N3816" i="1"/>
  <c r="AA3813" i="1"/>
  <c r="T3813" i="1"/>
  <c r="P3813" i="1"/>
  <c r="O3813" i="1"/>
  <c r="N3813" i="1"/>
  <c r="AA3812" i="1"/>
  <c r="T3812" i="1"/>
  <c r="P3812" i="1"/>
  <c r="O3812" i="1"/>
  <c r="N3812" i="1"/>
  <c r="AA3811" i="1"/>
  <c r="T3811" i="1"/>
  <c r="P3811" i="1"/>
  <c r="O3811" i="1"/>
  <c r="N3811" i="1"/>
  <c r="AA3810" i="1"/>
  <c r="T3810" i="1"/>
  <c r="P3810" i="1"/>
  <c r="O3810" i="1"/>
  <c r="N3810" i="1"/>
  <c r="AA3809" i="1"/>
  <c r="T3809" i="1"/>
  <c r="P3809" i="1"/>
  <c r="O3809" i="1"/>
  <c r="N3809" i="1"/>
  <c r="AA3808" i="1"/>
  <c r="T3808" i="1"/>
  <c r="P3808" i="1"/>
  <c r="O3808" i="1"/>
  <c r="N3808" i="1"/>
  <c r="AA3807" i="1"/>
  <c r="T3807" i="1"/>
  <c r="P3807" i="1"/>
  <c r="O3807" i="1"/>
  <c r="N3807" i="1"/>
  <c r="AA3806" i="1"/>
  <c r="T3806" i="1"/>
  <c r="P3806" i="1"/>
  <c r="O3806" i="1"/>
  <c r="N3806" i="1"/>
  <c r="AA3805" i="1"/>
  <c r="T3805" i="1"/>
  <c r="P3805" i="1"/>
  <c r="O3805" i="1"/>
  <c r="N3805" i="1"/>
  <c r="AA3804" i="1"/>
  <c r="T3804" i="1"/>
  <c r="P3804" i="1"/>
  <c r="O3804" i="1"/>
  <c r="N3804" i="1"/>
  <c r="AA3803" i="1"/>
  <c r="T3803" i="1"/>
  <c r="P3803" i="1"/>
  <c r="O3803" i="1"/>
  <c r="N3803" i="1"/>
  <c r="AA3802" i="1"/>
  <c r="T3802" i="1"/>
  <c r="P3802" i="1"/>
  <c r="O3802" i="1"/>
  <c r="N3802" i="1"/>
  <c r="AA3801" i="1"/>
  <c r="T3801" i="1"/>
  <c r="P3801" i="1"/>
  <c r="O3801" i="1"/>
  <c r="N3801" i="1"/>
  <c r="AA3800" i="1"/>
  <c r="T3800" i="1"/>
  <c r="P3800" i="1"/>
  <c r="O3800" i="1"/>
  <c r="N3800" i="1"/>
  <c r="AA3799" i="1"/>
  <c r="T3799" i="1"/>
  <c r="P3799" i="1"/>
  <c r="O3799" i="1"/>
  <c r="N3799" i="1"/>
  <c r="AA3798" i="1"/>
  <c r="T3798" i="1"/>
  <c r="O3798" i="1"/>
  <c r="N3798" i="1"/>
  <c r="AA3797" i="1"/>
  <c r="T3797" i="1"/>
  <c r="P3797" i="1"/>
  <c r="O3797" i="1"/>
  <c r="N3797" i="1"/>
  <c r="AA3796" i="1"/>
  <c r="T3796" i="1"/>
  <c r="P3796" i="1"/>
  <c r="O3796" i="1"/>
  <c r="N3796" i="1"/>
  <c r="AA3795" i="1"/>
  <c r="T3795" i="1"/>
  <c r="P3795" i="1"/>
  <c r="O3795" i="1"/>
  <c r="N3795" i="1"/>
  <c r="AA3794" i="1"/>
  <c r="T3794" i="1"/>
  <c r="O3794" i="1"/>
  <c r="N3794" i="1"/>
  <c r="AA3793" i="1"/>
  <c r="T3793" i="1"/>
  <c r="P3793" i="1"/>
  <c r="O3793" i="1"/>
  <c r="N3793" i="1"/>
  <c r="AA3792" i="1"/>
  <c r="T3792" i="1"/>
  <c r="P3792" i="1"/>
  <c r="O3792" i="1"/>
  <c r="N3792" i="1"/>
  <c r="AA3791" i="1"/>
  <c r="T3791" i="1"/>
  <c r="P3791" i="1"/>
  <c r="O3791" i="1"/>
  <c r="N3791" i="1"/>
  <c r="AA3790" i="1"/>
  <c r="T3790" i="1"/>
  <c r="P3790" i="1"/>
  <c r="O3790" i="1"/>
  <c r="N3790" i="1"/>
  <c r="AA3789" i="1"/>
  <c r="T3789" i="1"/>
  <c r="P3789" i="1"/>
  <c r="O3789" i="1"/>
  <c r="N3789" i="1"/>
  <c r="AA3788" i="1"/>
  <c r="T3788" i="1"/>
  <c r="P3788" i="1"/>
  <c r="O3788" i="1"/>
  <c r="N3788" i="1"/>
  <c r="AA3787" i="1"/>
  <c r="T3787" i="1"/>
  <c r="P3787" i="1"/>
  <c r="O3787" i="1"/>
  <c r="N3787" i="1"/>
  <c r="AA3785" i="1"/>
  <c r="T3785" i="1"/>
  <c r="P3785" i="1"/>
  <c r="O3785" i="1"/>
  <c r="N3785" i="1"/>
  <c r="AA3784" i="1"/>
  <c r="T3784" i="1"/>
  <c r="P3784" i="1"/>
  <c r="O3784" i="1"/>
  <c r="N3784" i="1"/>
  <c r="AA3783" i="1"/>
  <c r="T3783" i="1"/>
  <c r="P3783" i="1"/>
  <c r="O3783" i="1"/>
  <c r="N3783" i="1"/>
  <c r="AA3782" i="1"/>
  <c r="T3782" i="1"/>
  <c r="P3782" i="1"/>
  <c r="O3782" i="1"/>
  <c r="N3782" i="1"/>
  <c r="AA3781" i="1"/>
  <c r="T3781" i="1"/>
  <c r="P3781" i="1"/>
  <c r="O3781" i="1"/>
  <c r="N3781" i="1"/>
  <c r="AA3780" i="1"/>
  <c r="T3780" i="1"/>
  <c r="P3780" i="1"/>
  <c r="O3780" i="1"/>
  <c r="N3780" i="1"/>
  <c r="AA3779" i="1"/>
  <c r="T3779" i="1"/>
  <c r="P3779" i="1"/>
  <c r="O3779" i="1"/>
  <c r="N3779" i="1"/>
  <c r="AA3778" i="1"/>
  <c r="T3778" i="1"/>
  <c r="P3778" i="1"/>
  <c r="O3778" i="1"/>
  <c r="N3778" i="1"/>
  <c r="AA3777" i="1"/>
  <c r="T3777" i="1"/>
  <c r="P3777" i="1"/>
  <c r="O3777" i="1"/>
  <c r="N3777" i="1"/>
  <c r="AA3776" i="1"/>
  <c r="T3776" i="1"/>
  <c r="P3776" i="1"/>
  <c r="O3776" i="1"/>
  <c r="N3776" i="1"/>
  <c r="AA3774" i="1"/>
  <c r="T3774" i="1"/>
  <c r="P3774" i="1"/>
  <c r="O3774" i="1"/>
  <c r="N3774" i="1"/>
  <c r="AA3773" i="1"/>
  <c r="T3773" i="1"/>
  <c r="P3773" i="1"/>
  <c r="O3773" i="1"/>
  <c r="N3773" i="1"/>
  <c r="AA3772" i="1"/>
  <c r="T3772" i="1"/>
  <c r="P3772" i="1"/>
  <c r="O3772" i="1"/>
  <c r="N3772" i="1"/>
  <c r="AA3771" i="1"/>
  <c r="T3771" i="1"/>
  <c r="P3771" i="1"/>
  <c r="O3771" i="1"/>
  <c r="N3771" i="1"/>
  <c r="AA3770" i="1"/>
  <c r="T3770" i="1"/>
  <c r="P3770" i="1"/>
  <c r="O3770" i="1"/>
  <c r="N3770" i="1"/>
  <c r="AA3769" i="1"/>
  <c r="T3769" i="1"/>
  <c r="P3769" i="1"/>
  <c r="O3769" i="1"/>
  <c r="N3769" i="1"/>
  <c r="AA3768" i="1"/>
  <c r="T3768" i="1"/>
  <c r="P3768" i="1"/>
  <c r="O3768" i="1"/>
  <c r="N3768" i="1"/>
  <c r="AA3767" i="1"/>
  <c r="T3767" i="1"/>
  <c r="P3767" i="1"/>
  <c r="O3767" i="1"/>
  <c r="N3767" i="1"/>
  <c r="AA3766" i="1"/>
  <c r="T3766" i="1"/>
  <c r="P3766" i="1"/>
  <c r="O3766" i="1"/>
  <c r="N3766" i="1"/>
  <c r="AA3765" i="1"/>
  <c r="T3765" i="1"/>
  <c r="P3765" i="1"/>
  <c r="O3765" i="1"/>
  <c r="N3765" i="1"/>
  <c r="AA3764" i="1"/>
  <c r="T3764" i="1"/>
  <c r="P3764" i="1"/>
  <c r="O3764" i="1"/>
  <c r="N3764" i="1"/>
  <c r="AA3763" i="1"/>
  <c r="T3763" i="1"/>
  <c r="P3763" i="1"/>
  <c r="O3763" i="1"/>
  <c r="N3763" i="1"/>
  <c r="AA3761" i="1"/>
  <c r="T3761" i="1"/>
  <c r="P3761" i="1"/>
  <c r="O3761" i="1"/>
  <c r="N3761" i="1"/>
  <c r="AA3760" i="1"/>
  <c r="T3760" i="1"/>
  <c r="P3760" i="1"/>
  <c r="O3760" i="1"/>
  <c r="N3760" i="1"/>
  <c r="AA3759" i="1"/>
  <c r="T3759" i="1"/>
  <c r="P3759" i="1"/>
  <c r="O3759" i="1"/>
  <c r="N3759" i="1"/>
  <c r="AA3758" i="1"/>
  <c r="T3758" i="1"/>
  <c r="P3758" i="1"/>
  <c r="O3758" i="1"/>
  <c r="N3758" i="1"/>
  <c r="AA3757" i="1"/>
  <c r="T3757" i="1"/>
  <c r="P3757" i="1"/>
  <c r="O3757" i="1"/>
  <c r="N3757" i="1"/>
  <c r="AA3756" i="1"/>
  <c r="T3756" i="1"/>
  <c r="P3756" i="1"/>
  <c r="O3756" i="1"/>
  <c r="N3756" i="1"/>
  <c r="AA3755" i="1"/>
  <c r="T3755" i="1"/>
  <c r="P3755" i="1"/>
  <c r="O3755" i="1"/>
  <c r="N3755" i="1"/>
  <c r="AA3754" i="1"/>
  <c r="T3754" i="1"/>
  <c r="P3754" i="1"/>
  <c r="O3754" i="1"/>
  <c r="N3754" i="1"/>
  <c r="AA3753" i="1"/>
  <c r="T3753" i="1"/>
  <c r="P3753" i="1"/>
  <c r="O3753" i="1"/>
  <c r="N3753" i="1"/>
  <c r="AA3752" i="1"/>
  <c r="T3752" i="1"/>
  <c r="P3752" i="1"/>
  <c r="O3752" i="1"/>
  <c r="N3752" i="1"/>
  <c r="AA3751" i="1"/>
  <c r="T3751" i="1"/>
  <c r="P3751" i="1"/>
  <c r="O3751" i="1"/>
  <c r="N3751" i="1"/>
  <c r="AA3750" i="1"/>
  <c r="T3750" i="1"/>
  <c r="P3750" i="1"/>
  <c r="O3750" i="1"/>
  <c r="N3750" i="1"/>
  <c r="AA3749" i="1"/>
  <c r="T3749" i="1"/>
  <c r="P3749" i="1"/>
  <c r="O3749" i="1"/>
  <c r="N3749" i="1"/>
  <c r="AA3748" i="1"/>
  <c r="T3748" i="1"/>
  <c r="P3748" i="1"/>
  <c r="O3748" i="1"/>
  <c r="N3748" i="1"/>
  <c r="AA3744" i="1"/>
  <c r="T3744" i="1"/>
  <c r="P3744" i="1"/>
  <c r="O3744" i="1"/>
  <c r="N3744" i="1"/>
  <c r="AA3743" i="1"/>
  <c r="T3743" i="1"/>
  <c r="P3743" i="1"/>
  <c r="O3743" i="1"/>
  <c r="N3743" i="1"/>
  <c r="AA3740" i="1"/>
  <c r="T3740" i="1"/>
  <c r="P3740" i="1"/>
  <c r="O3740" i="1"/>
  <c r="N3740" i="1"/>
  <c r="AA3739" i="1"/>
  <c r="T3739" i="1"/>
  <c r="P3739" i="1"/>
  <c r="O3739" i="1"/>
  <c r="N3739" i="1"/>
  <c r="AA3738" i="1"/>
  <c r="T3738" i="1"/>
  <c r="P3738" i="1"/>
  <c r="O3738" i="1"/>
  <c r="N3738" i="1"/>
  <c r="AA3737" i="1"/>
  <c r="T3737" i="1"/>
  <c r="P3737" i="1"/>
  <c r="O3737" i="1"/>
  <c r="N3737" i="1"/>
  <c r="AA3736" i="1"/>
  <c r="T3736" i="1"/>
  <c r="P3736" i="1"/>
  <c r="O3736" i="1"/>
  <c r="N3736" i="1"/>
  <c r="AA3735" i="1"/>
  <c r="T3735" i="1"/>
  <c r="P3735" i="1"/>
  <c r="O3735" i="1"/>
  <c r="N3735" i="1"/>
  <c r="AA3734" i="1"/>
  <c r="T3734" i="1"/>
  <c r="P3734" i="1"/>
  <c r="O3734" i="1"/>
  <c r="N3734" i="1"/>
  <c r="AA3733" i="1"/>
  <c r="T3733" i="1"/>
  <c r="P3733" i="1"/>
  <c r="O3733" i="1"/>
  <c r="N3733" i="1"/>
  <c r="AA3732" i="1"/>
  <c r="T3732" i="1"/>
  <c r="P3732" i="1"/>
  <c r="O3732" i="1"/>
  <c r="N3732" i="1"/>
  <c r="AA3731" i="1"/>
  <c r="T3731" i="1"/>
  <c r="P3731" i="1"/>
  <c r="O3731" i="1"/>
  <c r="N3731" i="1"/>
  <c r="AA3730" i="1"/>
  <c r="T3730" i="1"/>
  <c r="P3730" i="1"/>
  <c r="O3730" i="1"/>
  <c r="N3730" i="1"/>
  <c r="AA3729" i="1"/>
  <c r="T3729" i="1"/>
  <c r="P3729" i="1"/>
  <c r="O3729" i="1"/>
  <c r="N3729" i="1"/>
  <c r="AA3728" i="1"/>
  <c r="T3728" i="1"/>
  <c r="P3728" i="1"/>
  <c r="O3728" i="1"/>
  <c r="N3728" i="1"/>
  <c r="AA3727" i="1"/>
  <c r="T3727" i="1"/>
  <c r="P3727" i="1"/>
  <c r="O3727" i="1"/>
  <c r="N3727" i="1"/>
  <c r="AA3726" i="1"/>
  <c r="T3726" i="1"/>
  <c r="P3726" i="1"/>
  <c r="O3726" i="1"/>
  <c r="N3726" i="1"/>
  <c r="AA3725" i="1"/>
  <c r="T3725" i="1"/>
  <c r="P3725" i="1"/>
  <c r="O3725" i="1"/>
  <c r="N3725" i="1"/>
  <c r="AA3724" i="1"/>
  <c r="T3724" i="1"/>
  <c r="P3724" i="1"/>
  <c r="O3724" i="1"/>
  <c r="N3724" i="1"/>
  <c r="AA3723" i="1"/>
  <c r="T3723" i="1"/>
  <c r="P3723" i="1"/>
  <c r="O3723" i="1"/>
  <c r="N3723" i="1"/>
  <c r="AA3722" i="1"/>
  <c r="T3722" i="1"/>
  <c r="P3722" i="1"/>
  <c r="O3722" i="1"/>
  <c r="N3722" i="1"/>
  <c r="AA3721" i="1"/>
  <c r="T3721" i="1"/>
  <c r="P3721" i="1"/>
  <c r="O3721" i="1"/>
  <c r="N3721" i="1"/>
  <c r="AA3719" i="1"/>
  <c r="T3719" i="1"/>
  <c r="P3719" i="1"/>
  <c r="O3719" i="1"/>
  <c r="N3719" i="1"/>
  <c r="AA3718" i="1"/>
  <c r="T3718" i="1"/>
  <c r="P3718" i="1"/>
  <c r="O3718" i="1"/>
  <c r="N3718" i="1"/>
  <c r="AA3717" i="1"/>
  <c r="T3717" i="1"/>
  <c r="P3717" i="1"/>
  <c r="O3717" i="1"/>
  <c r="N3717" i="1"/>
  <c r="AA3713" i="1"/>
  <c r="T3713" i="1"/>
  <c r="P3713" i="1"/>
  <c r="O3713" i="1"/>
  <c r="N3713" i="1"/>
  <c r="AA3712" i="1"/>
  <c r="T3712" i="1"/>
  <c r="P3712" i="1"/>
  <c r="O3712" i="1"/>
  <c r="N3712" i="1"/>
  <c r="AA3711" i="1"/>
  <c r="T3711" i="1"/>
  <c r="P3711" i="1"/>
  <c r="O3711" i="1"/>
  <c r="N3711" i="1"/>
  <c r="AA3710" i="1"/>
  <c r="T3710" i="1"/>
  <c r="P3710" i="1"/>
  <c r="O3710" i="1"/>
  <c r="N3710" i="1"/>
  <c r="AA3709" i="1"/>
  <c r="T3709" i="1"/>
  <c r="P3709" i="1"/>
  <c r="O3709" i="1"/>
  <c r="N3709" i="1"/>
  <c r="AA3708" i="1"/>
  <c r="T3708" i="1"/>
  <c r="P3708" i="1"/>
  <c r="O3708" i="1"/>
  <c r="N3708" i="1"/>
  <c r="AA3707" i="1"/>
  <c r="T3707" i="1"/>
  <c r="P3707" i="1"/>
  <c r="O3707" i="1"/>
  <c r="N3707" i="1"/>
  <c r="AA3706" i="1"/>
  <c r="T3706" i="1"/>
  <c r="P3706" i="1"/>
  <c r="O3706" i="1"/>
  <c r="N3706" i="1"/>
  <c r="P3704" i="1"/>
  <c r="O3704" i="1"/>
  <c r="N3704" i="1"/>
  <c r="AA3701" i="1"/>
  <c r="T3701" i="1"/>
  <c r="P3701" i="1"/>
  <c r="O3701" i="1"/>
  <c r="N3701" i="1"/>
  <c r="AA3700" i="1"/>
  <c r="T3700" i="1"/>
  <c r="P3700" i="1"/>
  <c r="O3700" i="1"/>
  <c r="N3700" i="1"/>
  <c r="P3697" i="1"/>
  <c r="O3697" i="1"/>
  <c r="N3697" i="1"/>
  <c r="P3696" i="1"/>
  <c r="O3696" i="1"/>
  <c r="N3696" i="1"/>
  <c r="P3695" i="1"/>
  <c r="O3695" i="1"/>
  <c r="N3695" i="1"/>
  <c r="AA3693" i="1"/>
  <c r="T3693" i="1"/>
  <c r="P3693" i="1"/>
  <c r="O3693" i="1"/>
  <c r="N3693" i="1"/>
  <c r="AA3692" i="1"/>
  <c r="T3692" i="1"/>
  <c r="P3692" i="1"/>
  <c r="O3692" i="1"/>
  <c r="N3692" i="1"/>
  <c r="AA3691" i="1"/>
  <c r="T3691" i="1"/>
  <c r="P3691" i="1"/>
  <c r="O3691" i="1"/>
  <c r="N3691" i="1"/>
  <c r="AA3690" i="1"/>
  <c r="T3690" i="1"/>
  <c r="P3690" i="1"/>
  <c r="O3690" i="1"/>
  <c r="N3690" i="1"/>
  <c r="AA3689" i="1"/>
  <c r="T3689" i="1"/>
  <c r="P3689" i="1"/>
  <c r="O3689" i="1"/>
  <c r="N3689" i="1"/>
  <c r="AA3688" i="1"/>
  <c r="T3688" i="1"/>
  <c r="P3688" i="1"/>
  <c r="O3688" i="1"/>
  <c r="N3688" i="1"/>
  <c r="AA3687" i="1"/>
  <c r="T3687" i="1"/>
  <c r="P3687" i="1"/>
  <c r="O3687" i="1"/>
  <c r="N3687" i="1"/>
  <c r="AA3686" i="1"/>
  <c r="T3686" i="1"/>
  <c r="P3686" i="1"/>
  <c r="O3686" i="1"/>
  <c r="N3686" i="1"/>
  <c r="AA3685" i="1"/>
  <c r="T3685" i="1"/>
  <c r="P3685" i="1"/>
  <c r="O3685" i="1"/>
  <c r="N3685" i="1"/>
  <c r="AA3684" i="1"/>
  <c r="T3684" i="1"/>
  <c r="P3684" i="1"/>
  <c r="O3684" i="1"/>
  <c r="N3684" i="1"/>
  <c r="AA3683" i="1"/>
  <c r="T3683" i="1"/>
  <c r="P3683" i="1"/>
  <c r="O3683" i="1"/>
  <c r="N3683" i="1"/>
  <c r="AA3682" i="1"/>
  <c r="T3682" i="1"/>
  <c r="P3682" i="1"/>
  <c r="O3682" i="1"/>
  <c r="N3682" i="1"/>
  <c r="AA3681" i="1"/>
  <c r="T3681" i="1"/>
  <c r="P3681" i="1"/>
  <c r="O3681" i="1"/>
  <c r="N3681" i="1"/>
  <c r="AA3680" i="1"/>
  <c r="T3680" i="1"/>
  <c r="P3680" i="1"/>
  <c r="O3680" i="1"/>
  <c r="N3680" i="1"/>
  <c r="AA3679" i="1"/>
  <c r="T3679" i="1"/>
  <c r="P3679" i="1"/>
  <c r="O3679" i="1"/>
  <c r="N3679" i="1"/>
  <c r="AA3678" i="1"/>
  <c r="T3678" i="1"/>
  <c r="P3678" i="1"/>
  <c r="O3678" i="1"/>
  <c r="N3678" i="1"/>
  <c r="AA3677" i="1"/>
  <c r="T3677" i="1"/>
  <c r="P3677" i="1"/>
  <c r="O3677" i="1"/>
  <c r="N3677" i="1"/>
  <c r="AA3676" i="1"/>
  <c r="T3676" i="1"/>
  <c r="P3676" i="1"/>
  <c r="O3676" i="1"/>
  <c r="N3676" i="1"/>
  <c r="AA3675" i="1"/>
  <c r="T3675" i="1"/>
  <c r="P3675" i="1"/>
  <c r="O3675" i="1"/>
  <c r="N3675" i="1"/>
  <c r="AA3674" i="1"/>
  <c r="T3674" i="1"/>
  <c r="P3674" i="1"/>
  <c r="O3674" i="1"/>
  <c r="N3674" i="1"/>
  <c r="AA3673" i="1"/>
  <c r="T3673" i="1"/>
  <c r="P3673" i="1"/>
  <c r="O3673" i="1"/>
  <c r="N3673" i="1"/>
  <c r="AA3672" i="1"/>
  <c r="T3672" i="1"/>
  <c r="P3672" i="1"/>
  <c r="O3672" i="1"/>
  <c r="N3672" i="1"/>
  <c r="P3671" i="1"/>
  <c r="O3671" i="1"/>
  <c r="N3671" i="1"/>
  <c r="AA3670" i="1"/>
  <c r="T3670" i="1"/>
  <c r="P3670" i="1"/>
  <c r="O3670" i="1"/>
  <c r="N3670" i="1"/>
  <c r="AA3669" i="1"/>
  <c r="T3669" i="1"/>
  <c r="P3669" i="1"/>
  <c r="O3669" i="1"/>
  <c r="N3669" i="1"/>
  <c r="AA3668" i="1"/>
  <c r="T3668" i="1"/>
  <c r="P3668" i="1"/>
  <c r="O3668" i="1"/>
  <c r="N3668" i="1"/>
  <c r="AA3667" i="1"/>
  <c r="T3667" i="1"/>
  <c r="P3667" i="1"/>
  <c r="O3667" i="1"/>
  <c r="N3667" i="1"/>
  <c r="AA3666" i="1"/>
  <c r="T3666" i="1"/>
  <c r="P3666" i="1"/>
  <c r="O3666" i="1"/>
  <c r="N3666" i="1"/>
  <c r="AA3665" i="1"/>
  <c r="T3665" i="1"/>
  <c r="P3665" i="1"/>
  <c r="O3665" i="1"/>
  <c r="N3665" i="1"/>
  <c r="AA3664" i="1"/>
  <c r="T3664" i="1"/>
  <c r="P3664" i="1"/>
  <c r="O3664" i="1"/>
  <c r="N3664" i="1"/>
  <c r="AA3661" i="1"/>
  <c r="T3661" i="1"/>
  <c r="P3661" i="1"/>
  <c r="O3661" i="1"/>
  <c r="N3661" i="1"/>
  <c r="AA3660" i="1"/>
  <c r="T3660" i="1"/>
  <c r="P3660" i="1"/>
  <c r="O3660" i="1"/>
  <c r="N3660" i="1"/>
  <c r="AA3659" i="1"/>
  <c r="T3659" i="1"/>
  <c r="P3659" i="1"/>
  <c r="O3659" i="1"/>
  <c r="N3659" i="1"/>
  <c r="AA3658" i="1"/>
  <c r="T3658" i="1"/>
  <c r="P3658" i="1"/>
  <c r="O3658" i="1"/>
  <c r="N3658" i="1"/>
  <c r="AA3657" i="1"/>
  <c r="T3657" i="1"/>
  <c r="P3657" i="1"/>
  <c r="O3657" i="1"/>
  <c r="N3657" i="1"/>
  <c r="AA3656" i="1"/>
  <c r="T3656" i="1"/>
  <c r="P3656" i="1"/>
  <c r="O3656" i="1"/>
  <c r="N3656" i="1"/>
  <c r="AA3655" i="1"/>
  <c r="T3655" i="1"/>
  <c r="P3655" i="1"/>
  <c r="O3655" i="1"/>
  <c r="N3655" i="1"/>
  <c r="AA3654" i="1"/>
  <c r="T3654" i="1"/>
  <c r="P3654" i="1"/>
  <c r="O3654" i="1"/>
  <c r="N3654" i="1"/>
  <c r="AA3653" i="1"/>
  <c r="T3653" i="1"/>
  <c r="P3653" i="1"/>
  <c r="O3653" i="1"/>
  <c r="N3653" i="1"/>
  <c r="AA3652" i="1"/>
  <c r="T3652" i="1"/>
  <c r="P3652" i="1"/>
  <c r="O3652" i="1"/>
  <c r="N3652" i="1"/>
  <c r="AA3651" i="1"/>
  <c r="T3651" i="1"/>
  <c r="P3651" i="1"/>
  <c r="O3651" i="1"/>
  <c r="N3651" i="1"/>
  <c r="AA3650" i="1"/>
  <c r="T3650" i="1"/>
  <c r="P3650" i="1"/>
  <c r="O3650" i="1"/>
  <c r="N3650" i="1"/>
  <c r="AA3649" i="1"/>
  <c r="T3649" i="1"/>
  <c r="P3649" i="1"/>
  <c r="O3649" i="1"/>
  <c r="N3649" i="1"/>
  <c r="AA3648" i="1"/>
  <c r="T3648" i="1"/>
  <c r="P3648" i="1"/>
  <c r="O3648" i="1"/>
  <c r="N3648" i="1"/>
  <c r="AA3647" i="1"/>
  <c r="T3647" i="1"/>
  <c r="P3647" i="1"/>
  <c r="O3647" i="1"/>
  <c r="N3647" i="1"/>
  <c r="AA3646" i="1"/>
  <c r="T3646" i="1"/>
  <c r="P3646" i="1"/>
  <c r="O3646" i="1"/>
  <c r="N3646" i="1"/>
  <c r="AA3645" i="1"/>
  <c r="T3645" i="1"/>
  <c r="P3645" i="1"/>
  <c r="O3645" i="1"/>
  <c r="N3645" i="1"/>
  <c r="AA3644" i="1"/>
  <c r="T3644" i="1"/>
  <c r="P3644" i="1"/>
  <c r="O3644" i="1"/>
  <c r="N3644" i="1"/>
  <c r="AA3643" i="1"/>
  <c r="T3643" i="1"/>
  <c r="P3643" i="1"/>
  <c r="O3643" i="1"/>
  <c r="N3643" i="1"/>
  <c r="AA3642" i="1"/>
  <c r="T3642" i="1"/>
  <c r="P3642" i="1"/>
  <c r="O3642" i="1"/>
  <c r="N3642" i="1"/>
  <c r="AA3641" i="1"/>
  <c r="T3641" i="1"/>
  <c r="P3641" i="1"/>
  <c r="O3641" i="1"/>
  <c r="N3641" i="1"/>
  <c r="AA3640" i="1"/>
  <c r="T3640" i="1"/>
  <c r="P3640" i="1"/>
  <c r="O3640" i="1"/>
  <c r="N3640" i="1"/>
  <c r="AA3639" i="1"/>
  <c r="T3639" i="1"/>
  <c r="P3639" i="1"/>
  <c r="O3639" i="1"/>
  <c r="N3639" i="1"/>
  <c r="AA3638" i="1"/>
  <c r="T3638" i="1"/>
  <c r="P3638" i="1"/>
  <c r="O3638" i="1"/>
  <c r="N3638" i="1"/>
  <c r="AA3637" i="1"/>
  <c r="T3637" i="1"/>
  <c r="P3637" i="1"/>
  <c r="O3637" i="1"/>
  <c r="N3637" i="1"/>
  <c r="AA3636" i="1"/>
  <c r="T3636" i="1"/>
  <c r="P3636" i="1"/>
  <c r="O3636" i="1"/>
  <c r="N3636" i="1"/>
  <c r="AA3635" i="1"/>
  <c r="T3635" i="1"/>
  <c r="P3635" i="1"/>
  <c r="O3635" i="1"/>
  <c r="N3635" i="1"/>
  <c r="AA3634" i="1"/>
  <c r="T3634" i="1"/>
  <c r="P3634" i="1"/>
  <c r="O3634" i="1"/>
  <c r="N3634" i="1"/>
  <c r="AA3633" i="1"/>
  <c r="T3633" i="1"/>
  <c r="P3633" i="1"/>
  <c r="O3633" i="1"/>
  <c r="N3633" i="1"/>
  <c r="AA3632" i="1"/>
  <c r="T3632" i="1"/>
  <c r="P3632" i="1"/>
  <c r="O3632" i="1"/>
  <c r="N3632" i="1"/>
  <c r="AA3631" i="1"/>
  <c r="T3631" i="1"/>
  <c r="P3631" i="1"/>
  <c r="O3631" i="1"/>
  <c r="N3631" i="1"/>
  <c r="AA3630" i="1"/>
  <c r="T3630" i="1"/>
  <c r="P3630" i="1"/>
  <c r="O3630" i="1"/>
  <c r="N3630" i="1"/>
  <c r="AA3629" i="1"/>
  <c r="T3629" i="1"/>
  <c r="P3629" i="1"/>
  <c r="O3629" i="1"/>
  <c r="N3629" i="1"/>
  <c r="AA3626" i="1"/>
  <c r="T3626" i="1"/>
  <c r="P3626" i="1"/>
  <c r="O3626" i="1"/>
  <c r="N3626" i="1"/>
  <c r="AA3625" i="1"/>
  <c r="T3625" i="1"/>
  <c r="P3625" i="1"/>
  <c r="O3625" i="1"/>
  <c r="N3625" i="1"/>
  <c r="AA3623" i="1"/>
  <c r="T3623" i="1"/>
  <c r="P3623" i="1"/>
  <c r="O3623" i="1"/>
  <c r="N3623" i="1"/>
  <c r="AA3622" i="1"/>
  <c r="T3622" i="1"/>
  <c r="P3622" i="1"/>
  <c r="O3622" i="1"/>
  <c r="N3622" i="1"/>
  <c r="AA3621" i="1"/>
  <c r="T3621" i="1"/>
  <c r="P3621" i="1"/>
  <c r="O3621" i="1"/>
  <c r="N3621" i="1"/>
  <c r="AA3620" i="1"/>
  <c r="T3620" i="1"/>
  <c r="P3620" i="1"/>
  <c r="O3620" i="1"/>
  <c r="N3620" i="1"/>
  <c r="AA3619" i="1"/>
  <c r="T3619" i="1"/>
  <c r="P3619" i="1"/>
  <c r="O3619" i="1"/>
  <c r="N3619" i="1"/>
  <c r="AA3618" i="1"/>
  <c r="T3618" i="1"/>
  <c r="P3618" i="1"/>
  <c r="O3618" i="1"/>
  <c r="N3618" i="1"/>
  <c r="AA3617" i="1"/>
  <c r="T3617" i="1"/>
  <c r="P3617" i="1"/>
  <c r="O3617" i="1"/>
  <c r="N3617" i="1"/>
  <c r="AA3616" i="1"/>
  <c r="T3616" i="1"/>
  <c r="P3616" i="1"/>
  <c r="O3616" i="1"/>
  <c r="N3616" i="1"/>
  <c r="AA3615" i="1"/>
  <c r="T3615" i="1"/>
  <c r="P3615" i="1"/>
  <c r="O3615" i="1"/>
  <c r="N3615" i="1"/>
  <c r="AA3614" i="1"/>
  <c r="T3614" i="1"/>
  <c r="P3614" i="1"/>
  <c r="O3614" i="1"/>
  <c r="N3614" i="1"/>
  <c r="AA3613" i="1"/>
  <c r="T3613" i="1"/>
  <c r="P3613" i="1"/>
  <c r="O3613" i="1"/>
  <c r="N3613" i="1"/>
  <c r="AA3612" i="1"/>
  <c r="T3612" i="1"/>
  <c r="P3612" i="1"/>
  <c r="O3612" i="1"/>
  <c r="N3612" i="1"/>
  <c r="AA3611" i="1"/>
  <c r="T3611" i="1"/>
  <c r="P3611" i="1"/>
  <c r="O3611" i="1"/>
  <c r="N3611" i="1"/>
  <c r="AA3610" i="1"/>
  <c r="T3610" i="1"/>
  <c r="P3610" i="1"/>
  <c r="O3610" i="1"/>
  <c r="N3610" i="1"/>
  <c r="AA3609" i="1"/>
  <c r="T3609" i="1"/>
  <c r="P3609" i="1"/>
  <c r="O3609" i="1"/>
  <c r="N3609" i="1"/>
  <c r="AA3608" i="1"/>
  <c r="T3608" i="1"/>
  <c r="P3608" i="1"/>
  <c r="O3608" i="1"/>
  <c r="N3608" i="1"/>
  <c r="AA3607" i="1"/>
  <c r="T3607" i="1"/>
  <c r="P3607" i="1"/>
  <c r="O3607" i="1"/>
  <c r="N3607" i="1"/>
  <c r="AA3606" i="1"/>
  <c r="T3606" i="1"/>
  <c r="P3606" i="1"/>
  <c r="O3606" i="1"/>
  <c r="N3606" i="1"/>
  <c r="AA3605" i="1"/>
  <c r="T3605" i="1"/>
  <c r="P3605" i="1"/>
  <c r="O3605" i="1"/>
  <c r="N3605" i="1"/>
  <c r="AA3602" i="1"/>
  <c r="T3602" i="1"/>
  <c r="P3602" i="1"/>
  <c r="O3602" i="1"/>
  <c r="N3602" i="1"/>
  <c r="AA3601" i="1"/>
  <c r="T3601" i="1"/>
  <c r="P3601" i="1"/>
  <c r="O3601" i="1"/>
  <c r="N3601" i="1"/>
  <c r="AA3600" i="1"/>
  <c r="T3600" i="1"/>
  <c r="P3600" i="1"/>
  <c r="O3600" i="1"/>
  <c r="N3600" i="1"/>
  <c r="AA3599" i="1"/>
  <c r="T3599" i="1"/>
  <c r="P3599" i="1"/>
  <c r="O3599" i="1"/>
  <c r="N3599" i="1"/>
  <c r="AA3598" i="1"/>
  <c r="T3598" i="1"/>
  <c r="P3598" i="1"/>
  <c r="O3598" i="1"/>
  <c r="N3598" i="1"/>
  <c r="AA3597" i="1"/>
  <c r="T3597" i="1"/>
  <c r="P3597" i="1"/>
  <c r="O3597" i="1"/>
  <c r="N3597" i="1"/>
  <c r="AA3596" i="1"/>
  <c r="T3596" i="1"/>
  <c r="P3596" i="1"/>
  <c r="O3596" i="1"/>
  <c r="N3596" i="1"/>
  <c r="AA3595" i="1"/>
  <c r="T3595" i="1"/>
  <c r="P3595" i="1"/>
  <c r="O3595" i="1"/>
  <c r="N3595" i="1"/>
  <c r="AA3594" i="1"/>
  <c r="T3594" i="1"/>
  <c r="P3594" i="1"/>
  <c r="O3594" i="1"/>
  <c r="N3594" i="1"/>
  <c r="AA3593" i="1"/>
  <c r="T3593" i="1"/>
  <c r="P3593" i="1"/>
  <c r="O3593" i="1"/>
  <c r="N3593" i="1"/>
  <c r="AA3592" i="1"/>
  <c r="T3592" i="1"/>
  <c r="P3592" i="1"/>
  <c r="O3592" i="1"/>
  <c r="N3592" i="1"/>
  <c r="AA3591" i="1"/>
  <c r="T3591" i="1"/>
  <c r="P3591" i="1"/>
  <c r="O3591" i="1"/>
  <c r="N3591" i="1"/>
  <c r="AA3589" i="1"/>
  <c r="T3589" i="1"/>
  <c r="P3589" i="1"/>
  <c r="O3589" i="1"/>
  <c r="N3589" i="1"/>
  <c r="AA3588" i="1"/>
  <c r="T3588" i="1"/>
  <c r="P3588" i="1"/>
  <c r="O3588" i="1"/>
  <c r="N3588" i="1"/>
  <c r="AA3587" i="1"/>
  <c r="T3587" i="1"/>
  <c r="P3587" i="1"/>
  <c r="O3587" i="1"/>
  <c r="N3587" i="1"/>
  <c r="AA3586" i="1"/>
  <c r="T3586" i="1"/>
  <c r="P3586" i="1"/>
  <c r="O3586" i="1"/>
  <c r="N3586" i="1"/>
  <c r="AA3585" i="1"/>
  <c r="T3585" i="1"/>
  <c r="P3585" i="1"/>
  <c r="O3585" i="1"/>
  <c r="N3585" i="1"/>
  <c r="AA3584" i="1"/>
  <c r="T3584" i="1"/>
  <c r="P3584" i="1"/>
  <c r="O3584" i="1"/>
  <c r="N3584" i="1"/>
  <c r="AA3583" i="1"/>
  <c r="T3583" i="1"/>
  <c r="P3583" i="1"/>
  <c r="O3583" i="1"/>
  <c r="N3583" i="1"/>
  <c r="AA3582" i="1"/>
  <c r="T3582" i="1"/>
  <c r="P3582" i="1"/>
  <c r="O3582" i="1"/>
  <c r="N3582" i="1"/>
  <c r="AA3581" i="1"/>
  <c r="T3581" i="1"/>
  <c r="P3581" i="1"/>
  <c r="O3581" i="1"/>
  <c r="N3581" i="1"/>
  <c r="AA3580" i="1"/>
  <c r="T3580" i="1"/>
  <c r="P3580" i="1"/>
  <c r="O3580" i="1"/>
  <c r="N3580" i="1"/>
  <c r="AA3579" i="1"/>
  <c r="T3579" i="1"/>
  <c r="P3579" i="1"/>
  <c r="O3579" i="1"/>
  <c r="N3579" i="1"/>
  <c r="AA3578" i="1"/>
  <c r="T3578" i="1"/>
  <c r="P3578" i="1"/>
  <c r="O3578" i="1"/>
  <c r="N3578" i="1"/>
  <c r="AA3577" i="1"/>
  <c r="T3577" i="1"/>
  <c r="P3577" i="1"/>
  <c r="O3577" i="1"/>
  <c r="N3577" i="1"/>
  <c r="AA3573" i="1"/>
  <c r="T3573" i="1"/>
  <c r="P3573" i="1"/>
  <c r="O3573" i="1"/>
  <c r="N3573" i="1"/>
  <c r="AA3572" i="1"/>
  <c r="T3572" i="1"/>
  <c r="P3572" i="1"/>
  <c r="O3572" i="1"/>
  <c r="N3572" i="1"/>
  <c r="AA3570" i="1"/>
  <c r="T3570" i="1"/>
  <c r="P3570" i="1"/>
  <c r="O3570" i="1"/>
  <c r="N3570" i="1"/>
  <c r="AA3569" i="1"/>
  <c r="T3569" i="1"/>
  <c r="P3569" i="1"/>
  <c r="O3569" i="1"/>
  <c r="N3569" i="1"/>
  <c r="AA3567" i="1"/>
  <c r="T3567" i="1"/>
  <c r="P3567" i="1"/>
  <c r="O3567" i="1"/>
  <c r="N3567" i="1"/>
  <c r="AA3566" i="1"/>
  <c r="T3566" i="1"/>
  <c r="P3566" i="1"/>
  <c r="O3566" i="1"/>
  <c r="N3566" i="1"/>
  <c r="AA3560" i="1"/>
  <c r="T3560" i="1"/>
  <c r="P3560" i="1"/>
  <c r="O3560" i="1"/>
  <c r="N3560" i="1"/>
  <c r="AA3558" i="1"/>
  <c r="T3558" i="1"/>
  <c r="P3558" i="1"/>
  <c r="O3558" i="1"/>
  <c r="N3558" i="1"/>
  <c r="AA3557" i="1"/>
  <c r="T3557" i="1"/>
  <c r="P3557" i="1"/>
  <c r="O3557" i="1"/>
  <c r="N3557" i="1"/>
  <c r="AA3555" i="1"/>
  <c r="T3555" i="1"/>
  <c r="P3555" i="1"/>
  <c r="O3555" i="1"/>
  <c r="N3555" i="1"/>
  <c r="AA3554" i="1"/>
  <c r="T3554" i="1"/>
  <c r="P3554" i="1"/>
  <c r="O3554" i="1"/>
  <c r="N3554" i="1"/>
  <c r="AA3553" i="1"/>
  <c r="T3553" i="1"/>
  <c r="P3553" i="1"/>
  <c r="O3553" i="1"/>
  <c r="N3553" i="1"/>
  <c r="AA3552" i="1"/>
  <c r="T3552" i="1"/>
  <c r="P3552" i="1"/>
  <c r="O3552" i="1"/>
  <c r="N3552" i="1"/>
  <c r="AA3551" i="1"/>
  <c r="T3551" i="1"/>
  <c r="P3551" i="1"/>
  <c r="O3551" i="1"/>
  <c r="N3551" i="1"/>
  <c r="AA3549" i="1"/>
  <c r="T3549" i="1"/>
  <c r="P3549" i="1"/>
  <c r="O3549" i="1"/>
  <c r="N3549" i="1"/>
  <c r="AA3548" i="1"/>
  <c r="T3548" i="1"/>
  <c r="P3548" i="1"/>
  <c r="O3548" i="1"/>
  <c r="N3548" i="1"/>
  <c r="AA3547" i="1"/>
  <c r="T3547" i="1"/>
  <c r="P3547" i="1"/>
  <c r="O3547" i="1"/>
  <c r="N3547" i="1"/>
  <c r="AA3545" i="1"/>
  <c r="T3545" i="1"/>
  <c r="P3545" i="1"/>
  <c r="O3545" i="1"/>
  <c r="N3545" i="1"/>
  <c r="AA3544" i="1"/>
  <c r="T3544" i="1"/>
  <c r="P3544" i="1"/>
  <c r="O3544" i="1"/>
  <c r="N3544" i="1"/>
  <c r="AA3543" i="1"/>
  <c r="T3543" i="1"/>
  <c r="P3543" i="1"/>
  <c r="O3543" i="1"/>
  <c r="N3543" i="1"/>
  <c r="AA3542" i="1"/>
  <c r="T3542" i="1"/>
  <c r="P3542" i="1"/>
  <c r="O3542" i="1"/>
  <c r="N3542" i="1"/>
  <c r="AA3539" i="1"/>
  <c r="T3539" i="1"/>
  <c r="P3539" i="1"/>
  <c r="O3539" i="1"/>
  <c r="N3539" i="1"/>
  <c r="AA3538" i="1"/>
  <c r="T3538" i="1"/>
  <c r="P3538" i="1"/>
  <c r="O3538" i="1"/>
  <c r="N3538" i="1"/>
  <c r="AA3537" i="1"/>
  <c r="T3537" i="1"/>
  <c r="P3537" i="1"/>
  <c r="O3537" i="1"/>
  <c r="N3537" i="1"/>
  <c r="AA3536" i="1"/>
  <c r="T3536" i="1"/>
  <c r="P3536" i="1"/>
  <c r="O3536" i="1"/>
  <c r="N3536" i="1"/>
  <c r="AA3535" i="1"/>
  <c r="T3535" i="1"/>
  <c r="P3535" i="1"/>
  <c r="O3535" i="1"/>
  <c r="N3535" i="1"/>
  <c r="AA3533" i="1"/>
  <c r="T3533" i="1"/>
  <c r="P3533" i="1"/>
  <c r="O3533" i="1"/>
  <c r="N3533" i="1"/>
  <c r="AA3532" i="1"/>
  <c r="T3532" i="1"/>
  <c r="P3532" i="1"/>
  <c r="O3532" i="1"/>
  <c r="N3532" i="1"/>
  <c r="AA3531" i="1"/>
  <c r="T3531" i="1"/>
  <c r="P3531" i="1"/>
  <c r="O3531" i="1"/>
  <c r="N3531" i="1"/>
  <c r="AA3529" i="1"/>
  <c r="T3529" i="1"/>
  <c r="P3529" i="1"/>
  <c r="O3529" i="1"/>
  <c r="N3529" i="1"/>
  <c r="AA3528" i="1"/>
  <c r="T3528" i="1"/>
  <c r="P3528" i="1"/>
  <c r="O3528" i="1"/>
  <c r="N3528" i="1"/>
  <c r="AA3526" i="1"/>
  <c r="T3526" i="1"/>
  <c r="P3526" i="1"/>
  <c r="O3526" i="1"/>
  <c r="N3526" i="1"/>
  <c r="AA3525" i="1"/>
  <c r="T3525" i="1"/>
  <c r="P3525" i="1"/>
  <c r="O3525" i="1"/>
  <c r="N3525" i="1"/>
  <c r="AA3524" i="1"/>
  <c r="T3524" i="1"/>
  <c r="P3524" i="1"/>
  <c r="O3524" i="1"/>
  <c r="N3524" i="1"/>
  <c r="AA3523" i="1"/>
  <c r="T3523" i="1"/>
  <c r="P3523" i="1"/>
  <c r="O3523" i="1"/>
  <c r="N3523" i="1"/>
  <c r="AA3522" i="1"/>
  <c r="T3522" i="1"/>
  <c r="P3522" i="1"/>
  <c r="O3522" i="1"/>
  <c r="N3522" i="1"/>
  <c r="AA3521" i="1"/>
  <c r="T3521" i="1"/>
  <c r="P3521" i="1"/>
  <c r="O3521" i="1"/>
  <c r="N3521" i="1"/>
  <c r="AA3520" i="1"/>
  <c r="T3520" i="1"/>
  <c r="P3520" i="1"/>
  <c r="O3520" i="1"/>
  <c r="N3520" i="1"/>
  <c r="AA3519" i="1"/>
  <c r="T3519" i="1"/>
  <c r="P3519" i="1"/>
  <c r="O3519" i="1"/>
  <c r="N3519" i="1"/>
  <c r="AA3518" i="1"/>
  <c r="T3518" i="1"/>
  <c r="P3518" i="1"/>
  <c r="O3518" i="1"/>
  <c r="N3518" i="1"/>
  <c r="AA3517" i="1"/>
  <c r="T3517" i="1"/>
  <c r="P3517" i="1"/>
  <c r="O3517" i="1"/>
  <c r="N3517" i="1"/>
  <c r="AA3516" i="1"/>
  <c r="T3516" i="1"/>
  <c r="P3516" i="1"/>
  <c r="O3516" i="1"/>
  <c r="N3516" i="1"/>
  <c r="AA3515" i="1"/>
  <c r="T3515" i="1"/>
  <c r="P3515" i="1"/>
  <c r="O3515" i="1"/>
  <c r="N3515" i="1"/>
  <c r="AA3514" i="1"/>
  <c r="T3514" i="1"/>
  <c r="P3514" i="1"/>
  <c r="O3514" i="1"/>
  <c r="N3514" i="1"/>
  <c r="AA3513" i="1"/>
  <c r="T3513" i="1"/>
  <c r="P3513" i="1"/>
  <c r="O3513" i="1"/>
  <c r="N3513" i="1"/>
  <c r="AA3510" i="1"/>
  <c r="T3510" i="1"/>
  <c r="P3510" i="1"/>
  <c r="O3510" i="1"/>
  <c r="N3510" i="1"/>
  <c r="AA3509" i="1"/>
  <c r="T3509" i="1"/>
  <c r="P3509" i="1"/>
  <c r="O3509" i="1"/>
  <c r="N3509" i="1"/>
  <c r="AA3508" i="1"/>
  <c r="T3508" i="1"/>
  <c r="P3508" i="1"/>
  <c r="O3508" i="1"/>
  <c r="N3508" i="1"/>
  <c r="AA3507" i="1"/>
  <c r="T3507" i="1"/>
  <c r="P3507" i="1"/>
  <c r="O3507" i="1"/>
  <c r="N3507" i="1"/>
  <c r="AA3506" i="1"/>
  <c r="T3506" i="1"/>
  <c r="P3506" i="1"/>
  <c r="O3506" i="1"/>
  <c r="N3506" i="1"/>
  <c r="AA3505" i="1"/>
  <c r="T3505" i="1"/>
  <c r="P3505" i="1"/>
  <c r="O3505" i="1"/>
  <c r="N3505" i="1"/>
  <c r="AA3502" i="1"/>
  <c r="T3502" i="1"/>
  <c r="P3502" i="1"/>
  <c r="O3502" i="1"/>
  <c r="N3502" i="1"/>
  <c r="AA3500" i="1"/>
  <c r="T3500" i="1"/>
  <c r="P3500" i="1"/>
  <c r="O3500" i="1"/>
  <c r="N3500" i="1"/>
  <c r="AA3499" i="1"/>
  <c r="T3499" i="1"/>
  <c r="P3499" i="1"/>
  <c r="O3499" i="1"/>
  <c r="N3499" i="1"/>
  <c r="AA3497" i="1"/>
  <c r="T3497" i="1"/>
  <c r="P3497" i="1"/>
  <c r="O3497" i="1"/>
  <c r="N3497" i="1"/>
  <c r="AA3495" i="1"/>
  <c r="T3495" i="1"/>
  <c r="P3495" i="1"/>
  <c r="O3495" i="1"/>
  <c r="N3495" i="1"/>
  <c r="AA3493" i="1"/>
  <c r="T3493" i="1"/>
  <c r="P3493" i="1"/>
  <c r="O3493" i="1"/>
  <c r="N3493" i="1"/>
  <c r="AA3491" i="1"/>
  <c r="T3491" i="1"/>
  <c r="P3491" i="1"/>
  <c r="O3491" i="1"/>
  <c r="N3491" i="1"/>
  <c r="AA3490" i="1"/>
  <c r="T3490" i="1"/>
  <c r="P3490" i="1"/>
  <c r="O3490" i="1"/>
  <c r="N3490" i="1"/>
  <c r="AA3488" i="1"/>
  <c r="T3488" i="1"/>
  <c r="P3488" i="1"/>
  <c r="O3488" i="1"/>
  <c r="N3488" i="1"/>
  <c r="AA3486" i="1"/>
  <c r="T3486" i="1"/>
  <c r="P3486" i="1"/>
  <c r="O3486" i="1"/>
  <c r="N3486" i="1"/>
  <c r="AA3485" i="1"/>
  <c r="T3485" i="1"/>
  <c r="P3485" i="1"/>
  <c r="O3485" i="1"/>
  <c r="N3485" i="1"/>
  <c r="AA3484" i="1"/>
  <c r="T3484" i="1"/>
  <c r="P3484" i="1"/>
  <c r="O3484" i="1"/>
  <c r="N3484" i="1"/>
  <c r="AA3483" i="1"/>
  <c r="T3483" i="1"/>
  <c r="P3483" i="1"/>
  <c r="O3483" i="1"/>
  <c r="N3483" i="1"/>
  <c r="AA3482" i="1"/>
  <c r="T3482" i="1"/>
  <c r="P3482" i="1"/>
  <c r="O3482" i="1"/>
  <c r="N3482" i="1"/>
  <c r="AA3481" i="1"/>
  <c r="T3481" i="1"/>
  <c r="P3481" i="1"/>
  <c r="O3481" i="1"/>
  <c r="N3481" i="1"/>
  <c r="AA3480" i="1"/>
  <c r="T3480" i="1"/>
  <c r="P3480" i="1"/>
  <c r="O3480" i="1"/>
  <c r="N3480" i="1"/>
  <c r="AA3479" i="1"/>
  <c r="T3479" i="1"/>
  <c r="P3479" i="1"/>
  <c r="O3479" i="1"/>
  <c r="N3479" i="1"/>
  <c r="AA3478" i="1"/>
  <c r="T3478" i="1"/>
  <c r="P3478" i="1"/>
  <c r="O3478" i="1"/>
  <c r="N3478" i="1"/>
  <c r="AA3477" i="1"/>
  <c r="T3477" i="1"/>
  <c r="P3477" i="1"/>
  <c r="O3477" i="1"/>
  <c r="N3477" i="1"/>
  <c r="AA3476" i="1"/>
  <c r="T3476" i="1"/>
  <c r="P3476" i="1"/>
  <c r="O3476" i="1"/>
  <c r="N3476" i="1"/>
  <c r="AA3475" i="1"/>
  <c r="T3475" i="1"/>
  <c r="P3475" i="1"/>
  <c r="O3475" i="1"/>
  <c r="N3475" i="1"/>
  <c r="AA3474" i="1"/>
  <c r="T3474" i="1"/>
  <c r="P3474" i="1"/>
  <c r="O3474" i="1"/>
  <c r="N3474" i="1"/>
  <c r="AA3473" i="1"/>
  <c r="T3473" i="1"/>
  <c r="P3473" i="1"/>
  <c r="O3473" i="1"/>
  <c r="N3473" i="1"/>
  <c r="AA3472" i="1"/>
  <c r="T3472" i="1"/>
  <c r="P3472" i="1"/>
  <c r="O3472" i="1"/>
  <c r="N3472" i="1"/>
  <c r="AA3470" i="1"/>
  <c r="T3470" i="1"/>
  <c r="P3470" i="1"/>
  <c r="O3470" i="1"/>
  <c r="N3470" i="1"/>
  <c r="AA3467" i="1"/>
  <c r="T3467" i="1"/>
  <c r="P3467" i="1"/>
  <c r="O3467" i="1"/>
  <c r="N3467" i="1"/>
  <c r="AA3466" i="1"/>
  <c r="T3466" i="1"/>
  <c r="P3466" i="1"/>
  <c r="O3466" i="1"/>
  <c r="N3466" i="1"/>
  <c r="AA3465" i="1"/>
  <c r="T3465" i="1"/>
  <c r="P3465" i="1"/>
  <c r="O3465" i="1"/>
  <c r="N3465" i="1"/>
  <c r="AA3464" i="1"/>
  <c r="T3464" i="1"/>
  <c r="P3464" i="1"/>
  <c r="O3464" i="1"/>
  <c r="N3464" i="1"/>
  <c r="AA3463" i="1"/>
  <c r="T3463" i="1"/>
  <c r="P3463" i="1"/>
  <c r="O3463" i="1"/>
  <c r="N3463" i="1"/>
  <c r="AA3461" i="1"/>
  <c r="T3461" i="1"/>
  <c r="P3461" i="1"/>
  <c r="O3461" i="1"/>
  <c r="N3461" i="1"/>
  <c r="AA3460" i="1"/>
  <c r="T3460" i="1"/>
  <c r="P3460" i="1"/>
  <c r="O3460" i="1"/>
  <c r="N3460" i="1"/>
  <c r="AA3458" i="1"/>
  <c r="T3458" i="1"/>
  <c r="P3458" i="1"/>
  <c r="O3458" i="1"/>
  <c r="N3458" i="1"/>
  <c r="AA3457" i="1"/>
  <c r="T3457" i="1"/>
  <c r="P3457" i="1"/>
  <c r="O3457" i="1"/>
  <c r="N3457" i="1"/>
  <c r="AA3456" i="1"/>
  <c r="T3456" i="1"/>
  <c r="P3456" i="1"/>
  <c r="O3456" i="1"/>
  <c r="N3456" i="1"/>
  <c r="AA3455" i="1"/>
  <c r="T3455" i="1"/>
  <c r="P3455" i="1"/>
  <c r="O3455" i="1"/>
  <c r="N3455" i="1"/>
  <c r="AA3454" i="1"/>
  <c r="T3454" i="1"/>
  <c r="P3454" i="1"/>
  <c r="O3454" i="1"/>
  <c r="N3454" i="1"/>
  <c r="AA3453" i="1"/>
  <c r="T3453" i="1"/>
  <c r="P3453" i="1"/>
  <c r="O3453" i="1"/>
  <c r="N3453" i="1"/>
  <c r="AA3452" i="1"/>
  <c r="T3452" i="1"/>
  <c r="P3452" i="1"/>
  <c r="O3452" i="1"/>
  <c r="N3452" i="1"/>
  <c r="AA3451" i="1"/>
  <c r="T3451" i="1"/>
  <c r="P3451" i="1"/>
  <c r="O3451" i="1"/>
  <c r="N3451" i="1"/>
  <c r="AA3450" i="1"/>
  <c r="T3450" i="1"/>
  <c r="P3450" i="1"/>
  <c r="O3450" i="1"/>
  <c r="N3450" i="1"/>
  <c r="AA3449" i="1"/>
  <c r="T3449" i="1"/>
  <c r="P3449" i="1"/>
  <c r="O3449" i="1"/>
  <c r="N3449" i="1"/>
  <c r="AA3448" i="1"/>
  <c r="T3448" i="1"/>
  <c r="P3448" i="1"/>
  <c r="O3448" i="1"/>
  <c r="N3448" i="1"/>
  <c r="AA3447" i="1"/>
  <c r="T3447" i="1"/>
  <c r="P3447" i="1"/>
  <c r="O3447" i="1"/>
  <c r="N3447" i="1"/>
  <c r="AA3446" i="1"/>
  <c r="T3446" i="1"/>
  <c r="P3446" i="1"/>
  <c r="O3446" i="1"/>
  <c r="N3446" i="1"/>
  <c r="AA3445" i="1"/>
  <c r="T3445" i="1"/>
  <c r="P3445" i="1"/>
  <c r="O3445" i="1"/>
  <c r="N3445" i="1"/>
  <c r="AA3444" i="1"/>
  <c r="T3444" i="1"/>
  <c r="P3444" i="1"/>
  <c r="O3444" i="1"/>
  <c r="N3444" i="1"/>
  <c r="AA3443" i="1"/>
  <c r="T3443" i="1"/>
  <c r="P3443" i="1"/>
  <c r="O3443" i="1"/>
  <c r="N3443" i="1"/>
  <c r="AA3440" i="1"/>
  <c r="T3440" i="1"/>
  <c r="P3440" i="1"/>
  <c r="O3440" i="1"/>
  <c r="N3440" i="1"/>
  <c r="AA3438" i="1"/>
  <c r="T3438" i="1"/>
  <c r="P3438" i="1"/>
  <c r="O3438" i="1"/>
  <c r="N3438" i="1"/>
  <c r="AA3437" i="1"/>
  <c r="T3437" i="1"/>
  <c r="P3437" i="1"/>
  <c r="O3437" i="1"/>
  <c r="N3437" i="1"/>
  <c r="AA3436" i="1"/>
  <c r="T3436" i="1"/>
  <c r="P3436" i="1"/>
  <c r="O3436" i="1"/>
  <c r="N3436" i="1"/>
  <c r="AA3435" i="1"/>
  <c r="T3435" i="1"/>
  <c r="P3435" i="1"/>
  <c r="O3435" i="1"/>
  <c r="N3435" i="1"/>
  <c r="AA3434" i="1"/>
  <c r="T3434" i="1"/>
  <c r="P3434" i="1"/>
  <c r="O3434" i="1"/>
  <c r="N3434" i="1"/>
  <c r="AA3433" i="1"/>
  <c r="T3433" i="1"/>
  <c r="P3433" i="1"/>
  <c r="O3433" i="1"/>
  <c r="N3433" i="1"/>
  <c r="AA3432" i="1"/>
  <c r="T3432" i="1"/>
  <c r="P3432" i="1"/>
  <c r="O3432" i="1"/>
  <c r="N3432" i="1"/>
  <c r="AA3431" i="1"/>
  <c r="T3431" i="1"/>
  <c r="P3431" i="1"/>
  <c r="O3431" i="1"/>
  <c r="N3431" i="1"/>
  <c r="AA3429" i="1"/>
  <c r="T3429" i="1"/>
  <c r="P3429" i="1"/>
  <c r="O3429" i="1"/>
  <c r="N3429" i="1"/>
  <c r="AA3428" i="1"/>
  <c r="T3428" i="1"/>
  <c r="P3428" i="1"/>
  <c r="O3428" i="1"/>
  <c r="N3428" i="1"/>
  <c r="AA3425" i="1"/>
  <c r="T3425" i="1"/>
  <c r="P3425" i="1"/>
  <c r="O3425" i="1"/>
  <c r="N3425" i="1"/>
  <c r="AA3424" i="1"/>
  <c r="T3424" i="1"/>
  <c r="P3424" i="1"/>
  <c r="O3424" i="1"/>
  <c r="N3424" i="1"/>
  <c r="AA3423" i="1"/>
  <c r="T3423" i="1"/>
  <c r="P3423" i="1"/>
  <c r="O3423" i="1"/>
  <c r="N3423" i="1"/>
  <c r="AA3422" i="1"/>
  <c r="T3422" i="1"/>
  <c r="P3422" i="1"/>
  <c r="O3422" i="1"/>
  <c r="N3422" i="1"/>
  <c r="AA3421" i="1"/>
  <c r="T3421" i="1"/>
  <c r="P3421" i="1"/>
  <c r="O3421" i="1"/>
  <c r="N3421" i="1"/>
  <c r="AA3419" i="1"/>
  <c r="T3419" i="1"/>
  <c r="P3419" i="1"/>
  <c r="O3419" i="1"/>
  <c r="N3419" i="1"/>
  <c r="AA3418" i="1"/>
  <c r="T3418" i="1"/>
  <c r="P3418" i="1"/>
  <c r="O3418" i="1"/>
  <c r="N3418" i="1"/>
  <c r="AA3415" i="1"/>
  <c r="T3415" i="1"/>
  <c r="P3415" i="1"/>
  <c r="O3415" i="1"/>
  <c r="N3415" i="1"/>
  <c r="AA3414" i="1"/>
  <c r="T3414" i="1"/>
  <c r="P3414" i="1"/>
  <c r="O3414" i="1"/>
  <c r="N3414" i="1"/>
  <c r="AA3413" i="1"/>
  <c r="T3413" i="1"/>
  <c r="P3413" i="1"/>
  <c r="O3413" i="1"/>
  <c r="N3413" i="1"/>
  <c r="AA3412" i="1"/>
  <c r="T3412" i="1"/>
  <c r="P3412" i="1"/>
  <c r="O3412" i="1"/>
  <c r="N3412" i="1"/>
  <c r="AA3411" i="1"/>
  <c r="T3411" i="1"/>
  <c r="P3411" i="1"/>
  <c r="O3411" i="1"/>
  <c r="N3411" i="1"/>
  <c r="AA3410" i="1"/>
  <c r="T3410" i="1"/>
  <c r="P3410" i="1"/>
  <c r="O3410" i="1"/>
  <c r="N3410" i="1"/>
  <c r="AA3409" i="1"/>
  <c r="T3409" i="1"/>
  <c r="P3409" i="1"/>
  <c r="O3409" i="1"/>
  <c r="N3409" i="1"/>
  <c r="AA3407" i="1"/>
  <c r="T3407" i="1"/>
  <c r="P3407" i="1"/>
  <c r="O3407" i="1"/>
  <c r="N3407" i="1"/>
  <c r="AA3406" i="1"/>
  <c r="T3406" i="1"/>
  <c r="P3406" i="1"/>
  <c r="O3406" i="1"/>
  <c r="N3406" i="1"/>
  <c r="AA3405" i="1"/>
  <c r="T3405" i="1"/>
  <c r="P3405" i="1"/>
  <c r="O3405" i="1"/>
  <c r="N3405" i="1"/>
  <c r="AA3404" i="1"/>
  <c r="T3404" i="1"/>
  <c r="P3404" i="1"/>
  <c r="O3404" i="1"/>
  <c r="N3404" i="1"/>
  <c r="AA3401" i="1"/>
  <c r="T3401" i="1"/>
  <c r="P3401" i="1"/>
  <c r="O3401" i="1"/>
  <c r="N3401" i="1"/>
  <c r="AA3399" i="1"/>
  <c r="T3399" i="1"/>
  <c r="P3399" i="1"/>
  <c r="O3399" i="1"/>
  <c r="N3399" i="1"/>
  <c r="AA3398" i="1"/>
  <c r="T3398" i="1"/>
  <c r="P3398" i="1"/>
  <c r="O3398" i="1"/>
  <c r="N3398" i="1"/>
  <c r="AA3396" i="1"/>
  <c r="T3396" i="1"/>
  <c r="P3396" i="1"/>
  <c r="O3396" i="1"/>
  <c r="N3396" i="1"/>
  <c r="AA3395" i="1"/>
  <c r="T3395" i="1"/>
  <c r="P3395" i="1"/>
  <c r="O3395" i="1"/>
  <c r="N3395" i="1"/>
  <c r="AA3394" i="1"/>
  <c r="T3394" i="1"/>
  <c r="P3394" i="1"/>
  <c r="O3394" i="1"/>
  <c r="N3394" i="1"/>
  <c r="AA3393" i="1"/>
  <c r="T3393" i="1"/>
  <c r="P3393" i="1"/>
  <c r="O3393" i="1"/>
  <c r="N3393" i="1"/>
  <c r="AA3391" i="1"/>
  <c r="T3391" i="1"/>
  <c r="P3391" i="1"/>
  <c r="O3391" i="1"/>
  <c r="N3391" i="1"/>
  <c r="AA3390" i="1"/>
  <c r="T3390" i="1"/>
  <c r="P3390" i="1"/>
  <c r="O3390" i="1"/>
  <c r="N3390" i="1"/>
  <c r="AA3389" i="1"/>
  <c r="T3389" i="1"/>
  <c r="P3389" i="1"/>
  <c r="O3389" i="1"/>
  <c r="N3389" i="1"/>
  <c r="AA3387" i="1"/>
  <c r="T3387" i="1"/>
  <c r="P3387" i="1"/>
  <c r="O3387" i="1"/>
  <c r="N3387" i="1"/>
  <c r="AA3386" i="1"/>
  <c r="T3386" i="1"/>
  <c r="P3386" i="1"/>
  <c r="O3386" i="1"/>
  <c r="N3386" i="1"/>
  <c r="AA3385" i="1"/>
  <c r="T3385" i="1"/>
  <c r="P3385" i="1"/>
  <c r="O3385" i="1"/>
  <c r="N3385" i="1"/>
  <c r="AA3384" i="1"/>
  <c r="T3384" i="1"/>
  <c r="P3384" i="1"/>
  <c r="O3384" i="1"/>
  <c r="N3384" i="1"/>
  <c r="AA3383" i="1"/>
  <c r="T3383" i="1"/>
  <c r="P3383" i="1"/>
  <c r="O3383" i="1"/>
  <c r="N3383" i="1"/>
  <c r="AA3382" i="1"/>
  <c r="T3382" i="1"/>
  <c r="P3382" i="1"/>
  <c r="O3382" i="1"/>
  <c r="N3382" i="1"/>
  <c r="AA3381" i="1"/>
  <c r="T3381" i="1"/>
  <c r="P3381" i="1"/>
  <c r="O3381" i="1"/>
  <c r="N3381" i="1"/>
  <c r="AA3380" i="1"/>
  <c r="T3380" i="1"/>
  <c r="P3380" i="1"/>
  <c r="O3380" i="1"/>
  <c r="N3380" i="1"/>
  <c r="AA3378" i="1"/>
  <c r="T3378" i="1"/>
  <c r="P3378" i="1"/>
  <c r="O3378" i="1"/>
  <c r="N3378" i="1"/>
  <c r="AA3377" i="1"/>
  <c r="T3377" i="1"/>
  <c r="P3377" i="1"/>
  <c r="O3377" i="1"/>
  <c r="N3377" i="1"/>
  <c r="AA3373" i="1"/>
  <c r="T3373" i="1"/>
  <c r="P3373" i="1"/>
  <c r="O3373" i="1"/>
  <c r="N3373" i="1"/>
  <c r="AA3372" i="1"/>
  <c r="T3372" i="1"/>
  <c r="P3372" i="1"/>
  <c r="O3372" i="1"/>
  <c r="N3372" i="1"/>
  <c r="AA3371" i="1"/>
  <c r="T3371" i="1"/>
  <c r="P3371" i="1"/>
  <c r="O3371" i="1"/>
  <c r="N3371" i="1"/>
  <c r="AA3370" i="1"/>
  <c r="T3370" i="1"/>
  <c r="P3370" i="1"/>
  <c r="O3370" i="1"/>
  <c r="N3370" i="1"/>
  <c r="AA3369" i="1"/>
  <c r="T3369" i="1"/>
  <c r="P3369" i="1"/>
  <c r="O3369" i="1"/>
  <c r="N3369" i="1"/>
  <c r="AA3368" i="1"/>
  <c r="T3368" i="1"/>
  <c r="P3368" i="1"/>
  <c r="O3368" i="1"/>
  <c r="N3368" i="1"/>
  <c r="AA3367" i="1"/>
  <c r="T3367" i="1"/>
  <c r="P3367" i="1"/>
  <c r="O3367" i="1"/>
  <c r="N3367" i="1"/>
  <c r="AA3366" i="1"/>
  <c r="T3366" i="1"/>
  <c r="P3366" i="1"/>
  <c r="O3366" i="1"/>
  <c r="N3366" i="1"/>
  <c r="AA3365" i="1"/>
  <c r="T3365" i="1"/>
  <c r="P3365" i="1"/>
  <c r="O3365" i="1"/>
  <c r="N3365" i="1"/>
  <c r="AA3364" i="1"/>
  <c r="T3364" i="1"/>
  <c r="P3364" i="1"/>
  <c r="O3364" i="1"/>
  <c r="N3364" i="1"/>
  <c r="AA3363" i="1"/>
  <c r="T3363" i="1"/>
  <c r="P3363" i="1"/>
  <c r="O3363" i="1"/>
  <c r="N3363" i="1"/>
  <c r="AA3361" i="1"/>
  <c r="T3361" i="1"/>
  <c r="P3361" i="1"/>
  <c r="O3361" i="1"/>
  <c r="N3361" i="1"/>
  <c r="AA3360" i="1"/>
  <c r="T3360" i="1"/>
  <c r="P3360" i="1"/>
  <c r="O3360" i="1"/>
  <c r="N3360" i="1"/>
  <c r="AA3359" i="1"/>
  <c r="T3359" i="1"/>
  <c r="P3359" i="1"/>
  <c r="O3359" i="1"/>
  <c r="N3359" i="1"/>
  <c r="AA3358" i="1"/>
  <c r="T3358" i="1"/>
  <c r="P3358" i="1"/>
  <c r="O3358" i="1"/>
  <c r="N3358" i="1"/>
  <c r="AA3357" i="1"/>
  <c r="T3357" i="1"/>
  <c r="P3357" i="1"/>
  <c r="O3357" i="1"/>
  <c r="N3357" i="1"/>
  <c r="AA3356" i="1"/>
  <c r="T3356" i="1"/>
  <c r="P3356" i="1"/>
  <c r="O3356" i="1"/>
  <c r="N3356" i="1"/>
  <c r="AA3355" i="1"/>
  <c r="T3355" i="1"/>
  <c r="P3355" i="1"/>
  <c r="O3355" i="1"/>
  <c r="N3355" i="1"/>
  <c r="AA3354" i="1"/>
  <c r="T3354" i="1"/>
  <c r="P3354" i="1"/>
  <c r="O3354" i="1"/>
  <c r="N3354" i="1"/>
  <c r="AA3352" i="1"/>
  <c r="T3352" i="1"/>
  <c r="P3352" i="1"/>
  <c r="O3352" i="1"/>
  <c r="N3352" i="1"/>
  <c r="AA3351" i="1"/>
  <c r="T3351" i="1"/>
  <c r="P3351" i="1"/>
  <c r="O3351" i="1"/>
  <c r="N3351" i="1"/>
  <c r="AA3350" i="1"/>
  <c r="T3350" i="1"/>
  <c r="P3350" i="1"/>
  <c r="O3350" i="1"/>
  <c r="N3350" i="1"/>
  <c r="AA3349" i="1"/>
  <c r="T3349" i="1"/>
  <c r="P3349" i="1"/>
  <c r="O3349" i="1"/>
  <c r="N3349" i="1"/>
  <c r="AA3348" i="1"/>
  <c r="T3348" i="1"/>
  <c r="P3348" i="1"/>
  <c r="O3348" i="1"/>
  <c r="N3348" i="1"/>
  <c r="AA3347" i="1"/>
  <c r="T3347" i="1"/>
  <c r="P3347" i="1"/>
  <c r="O3347" i="1"/>
  <c r="N3347" i="1"/>
  <c r="AA3346" i="1"/>
  <c r="T3346" i="1"/>
  <c r="P3346" i="1"/>
  <c r="O3346" i="1"/>
  <c r="N3346" i="1"/>
  <c r="AA3345" i="1"/>
  <c r="T3345" i="1"/>
  <c r="P3345" i="1"/>
  <c r="O3345" i="1"/>
  <c r="N3345" i="1"/>
  <c r="AA3344" i="1"/>
  <c r="T3344" i="1"/>
  <c r="P3344" i="1"/>
  <c r="O3344" i="1"/>
  <c r="N3344" i="1"/>
  <c r="AA3343" i="1"/>
  <c r="T3343" i="1"/>
  <c r="P3343" i="1"/>
  <c r="O3343" i="1"/>
  <c r="N3343" i="1"/>
  <c r="AA3342" i="1"/>
  <c r="T3342" i="1"/>
  <c r="P3342" i="1"/>
  <c r="O3342" i="1"/>
  <c r="N3342" i="1"/>
  <c r="AA3341" i="1"/>
  <c r="T3341" i="1"/>
  <c r="P3341" i="1"/>
  <c r="O3341" i="1"/>
  <c r="N3341" i="1"/>
  <c r="AA3340" i="1"/>
  <c r="T3340" i="1"/>
  <c r="P3340" i="1"/>
  <c r="O3340" i="1"/>
  <c r="N3340" i="1"/>
  <c r="AA3339" i="1"/>
  <c r="T3339" i="1"/>
  <c r="P3339" i="1"/>
  <c r="O3339" i="1"/>
  <c r="N3339" i="1"/>
  <c r="AA3338" i="1"/>
  <c r="T3338" i="1"/>
  <c r="P3338" i="1"/>
  <c r="O3338" i="1"/>
  <c r="N3338" i="1"/>
  <c r="AA3337" i="1"/>
  <c r="T3337" i="1"/>
  <c r="P3337" i="1"/>
  <c r="O3337" i="1"/>
  <c r="N3337" i="1"/>
  <c r="AA3336" i="1"/>
  <c r="T3336" i="1"/>
  <c r="P3336" i="1"/>
  <c r="O3336" i="1"/>
  <c r="N3336" i="1"/>
  <c r="AA3335" i="1"/>
  <c r="T3335" i="1"/>
  <c r="P3335" i="1"/>
  <c r="O3335" i="1"/>
  <c r="N3335" i="1"/>
  <c r="AA3334" i="1"/>
  <c r="T3334" i="1"/>
  <c r="P3334" i="1"/>
  <c r="O3334" i="1"/>
  <c r="N3334" i="1"/>
  <c r="AA3333" i="1"/>
  <c r="T3333" i="1"/>
  <c r="P3333" i="1"/>
  <c r="O3333" i="1"/>
  <c r="N3333" i="1"/>
  <c r="AA3332" i="1"/>
  <c r="T3332" i="1"/>
  <c r="P3332" i="1"/>
  <c r="O3332" i="1"/>
  <c r="N3332" i="1"/>
  <c r="AA3331" i="1"/>
  <c r="T3331" i="1"/>
  <c r="P3331" i="1"/>
  <c r="O3331" i="1"/>
  <c r="N3331" i="1"/>
  <c r="AA3330" i="1"/>
  <c r="T3330" i="1"/>
  <c r="P3330" i="1"/>
  <c r="O3330" i="1"/>
  <c r="N3330" i="1"/>
  <c r="AA3329" i="1"/>
  <c r="T3329" i="1"/>
  <c r="P3329" i="1"/>
  <c r="O3329" i="1"/>
  <c r="N3329" i="1"/>
  <c r="AA3328" i="1"/>
  <c r="T3328" i="1"/>
  <c r="P3328" i="1"/>
  <c r="O3328" i="1"/>
  <c r="N3328" i="1"/>
  <c r="AA3327" i="1"/>
  <c r="T3327" i="1"/>
  <c r="P3327" i="1"/>
  <c r="O3327" i="1"/>
  <c r="N3327" i="1"/>
  <c r="AA3326" i="1"/>
  <c r="T3326" i="1"/>
  <c r="P3326" i="1"/>
  <c r="O3326" i="1"/>
  <c r="N3326" i="1"/>
  <c r="AA3325" i="1"/>
  <c r="T3325" i="1"/>
  <c r="P3325" i="1"/>
  <c r="O3325" i="1"/>
  <c r="N3325" i="1"/>
  <c r="AA3324" i="1"/>
  <c r="T3324" i="1"/>
  <c r="P3324" i="1"/>
  <c r="O3324" i="1"/>
  <c r="N3324" i="1"/>
  <c r="AA3323" i="1"/>
  <c r="T3323" i="1"/>
  <c r="P3323" i="1"/>
  <c r="O3323" i="1"/>
  <c r="N3323" i="1"/>
  <c r="AA3322" i="1"/>
  <c r="T3322" i="1"/>
  <c r="P3322" i="1"/>
  <c r="O3322" i="1"/>
  <c r="N3322" i="1"/>
  <c r="AA3321" i="1"/>
  <c r="T3321" i="1"/>
  <c r="P3321" i="1"/>
  <c r="O3321" i="1"/>
  <c r="N3321" i="1"/>
  <c r="AA3320" i="1"/>
  <c r="T3320" i="1"/>
  <c r="P3320" i="1"/>
  <c r="O3320" i="1"/>
  <c r="N3320" i="1"/>
  <c r="AA3319" i="1"/>
  <c r="T3319" i="1"/>
  <c r="P3319" i="1"/>
  <c r="O3319" i="1"/>
  <c r="N3319" i="1"/>
  <c r="AA3318" i="1"/>
  <c r="T3318" i="1"/>
  <c r="P3318" i="1"/>
  <c r="O3318" i="1"/>
  <c r="N3318" i="1"/>
  <c r="AA3317" i="1"/>
  <c r="T3317" i="1"/>
  <c r="P3317" i="1"/>
  <c r="O3317" i="1"/>
  <c r="N3317" i="1"/>
  <c r="AA3316" i="1"/>
  <c r="T3316" i="1"/>
  <c r="P3316" i="1"/>
  <c r="O3316" i="1"/>
  <c r="N3316" i="1"/>
  <c r="AA3315" i="1"/>
  <c r="T3315" i="1"/>
  <c r="P3315" i="1"/>
  <c r="O3315" i="1"/>
  <c r="N3315" i="1"/>
  <c r="AA3313" i="1"/>
  <c r="T3313" i="1"/>
  <c r="P3313" i="1"/>
  <c r="O3313" i="1"/>
  <c r="N3313" i="1"/>
  <c r="AA3312" i="1"/>
  <c r="T3312" i="1"/>
  <c r="P3312" i="1"/>
  <c r="O3312" i="1"/>
  <c r="N3312" i="1"/>
  <c r="AA3311" i="1"/>
  <c r="T3311" i="1"/>
  <c r="P3311" i="1"/>
  <c r="O3311" i="1"/>
  <c r="N3311" i="1"/>
  <c r="AA3310" i="1"/>
  <c r="T3310" i="1"/>
  <c r="P3310" i="1"/>
  <c r="O3310" i="1"/>
  <c r="N3310" i="1"/>
  <c r="AA3309" i="1"/>
  <c r="T3309" i="1"/>
  <c r="P3309" i="1"/>
  <c r="O3309" i="1"/>
  <c r="N3309" i="1"/>
  <c r="AA3308" i="1"/>
  <c r="T3308" i="1"/>
  <c r="P3308" i="1"/>
  <c r="O3308" i="1"/>
  <c r="N3308" i="1"/>
  <c r="AA3307" i="1"/>
  <c r="T3307" i="1"/>
  <c r="P3307" i="1"/>
  <c r="O3307" i="1"/>
  <c r="N3307" i="1"/>
  <c r="AA3306" i="1"/>
  <c r="T3306" i="1"/>
  <c r="P3306" i="1"/>
  <c r="O3306" i="1"/>
  <c r="N3306" i="1"/>
  <c r="AA3305" i="1"/>
  <c r="T3305" i="1"/>
  <c r="P3305" i="1"/>
  <c r="O3305" i="1"/>
  <c r="N3305" i="1"/>
  <c r="AA3304" i="1"/>
  <c r="T3304" i="1"/>
  <c r="P3304" i="1"/>
  <c r="O3304" i="1"/>
  <c r="N3304" i="1"/>
  <c r="AA3303" i="1"/>
  <c r="T3303" i="1"/>
  <c r="P3303" i="1"/>
  <c r="O3303" i="1"/>
  <c r="N3303" i="1"/>
  <c r="AA3300" i="1"/>
  <c r="T3300" i="1"/>
  <c r="P3300" i="1"/>
  <c r="O3300" i="1"/>
  <c r="N3300" i="1"/>
  <c r="AA3299" i="1"/>
  <c r="T3299" i="1"/>
  <c r="P3299" i="1"/>
  <c r="O3299" i="1"/>
  <c r="N3299" i="1"/>
  <c r="AA3298" i="1"/>
  <c r="T3298" i="1"/>
  <c r="P3298" i="1"/>
  <c r="O3298" i="1"/>
  <c r="N3298" i="1"/>
  <c r="AA3297" i="1"/>
  <c r="T3297" i="1"/>
  <c r="P3297" i="1"/>
  <c r="O3297" i="1"/>
  <c r="N3297" i="1"/>
  <c r="AA3296" i="1"/>
  <c r="T3296" i="1"/>
  <c r="P3296" i="1"/>
  <c r="O3296" i="1"/>
  <c r="N3296" i="1"/>
  <c r="AA3295" i="1"/>
  <c r="T3295" i="1"/>
  <c r="P3295" i="1"/>
  <c r="O3295" i="1"/>
  <c r="N3295" i="1"/>
  <c r="AA3294" i="1"/>
  <c r="T3294" i="1"/>
  <c r="P3294" i="1"/>
  <c r="O3294" i="1"/>
  <c r="N3294" i="1"/>
  <c r="AA3293" i="1"/>
  <c r="T3293" i="1"/>
  <c r="P3293" i="1"/>
  <c r="O3293" i="1"/>
  <c r="N3293" i="1"/>
  <c r="AA3292" i="1"/>
  <c r="T3292" i="1"/>
  <c r="P3292" i="1"/>
  <c r="O3292" i="1"/>
  <c r="N3292" i="1"/>
  <c r="AA3291" i="1"/>
  <c r="T3291" i="1"/>
  <c r="P3291" i="1"/>
  <c r="O3291" i="1"/>
  <c r="N3291" i="1"/>
  <c r="AA3289" i="1"/>
  <c r="T3289" i="1"/>
  <c r="P3289" i="1"/>
  <c r="O3289" i="1"/>
  <c r="N3289" i="1"/>
  <c r="AA3288" i="1"/>
  <c r="T3288" i="1"/>
  <c r="P3288" i="1"/>
  <c r="O3288" i="1"/>
  <c r="N3288" i="1"/>
  <c r="AA3286" i="1"/>
  <c r="T3286" i="1"/>
  <c r="P3286" i="1"/>
  <c r="O3286" i="1"/>
  <c r="N3286" i="1"/>
  <c r="AA3285" i="1"/>
  <c r="T3285" i="1"/>
  <c r="P3285" i="1"/>
  <c r="O3285" i="1"/>
  <c r="N3285" i="1"/>
  <c r="AA3284" i="1"/>
  <c r="T3284" i="1"/>
  <c r="P3284" i="1"/>
  <c r="O3284" i="1"/>
  <c r="N3284" i="1"/>
  <c r="AA3282" i="1"/>
  <c r="T3282" i="1"/>
  <c r="P3282" i="1"/>
  <c r="O3282" i="1"/>
  <c r="N3282" i="1"/>
  <c r="AA3281" i="1"/>
  <c r="T3281" i="1"/>
  <c r="P3281" i="1"/>
  <c r="O3281" i="1"/>
  <c r="N3281" i="1"/>
  <c r="AA3280" i="1"/>
  <c r="T3280" i="1"/>
  <c r="P3280" i="1"/>
  <c r="O3280" i="1"/>
  <c r="N3280" i="1"/>
  <c r="AA3278" i="1"/>
  <c r="T3278" i="1"/>
  <c r="P3278" i="1"/>
  <c r="O3278" i="1"/>
  <c r="N3278" i="1"/>
  <c r="AA3276" i="1"/>
  <c r="T3276" i="1"/>
  <c r="P3276" i="1"/>
  <c r="O3276" i="1"/>
  <c r="N3276" i="1"/>
  <c r="AA3275" i="1"/>
  <c r="T3275" i="1"/>
  <c r="P3275" i="1"/>
  <c r="O3275" i="1"/>
  <c r="N3275" i="1"/>
  <c r="AA3274" i="1"/>
  <c r="T3274" i="1"/>
  <c r="P3274" i="1"/>
  <c r="O3274" i="1"/>
  <c r="N3274" i="1"/>
  <c r="AA3273" i="1"/>
  <c r="T3273" i="1"/>
  <c r="P3273" i="1"/>
  <c r="O3273" i="1"/>
  <c r="N3273" i="1"/>
  <c r="AA3272" i="1"/>
  <c r="T3272" i="1"/>
  <c r="P3272" i="1"/>
  <c r="O3272" i="1"/>
  <c r="N3272" i="1"/>
  <c r="AA3271" i="1"/>
  <c r="T3271" i="1"/>
  <c r="P3271" i="1"/>
  <c r="O3271" i="1"/>
  <c r="N3271" i="1"/>
  <c r="AA3270" i="1"/>
  <c r="T3270" i="1"/>
  <c r="P3270" i="1"/>
  <c r="O3270" i="1"/>
  <c r="N3270" i="1"/>
  <c r="AA3269" i="1"/>
  <c r="T3269" i="1"/>
  <c r="P3269" i="1"/>
  <c r="O3269" i="1"/>
  <c r="N3269" i="1"/>
  <c r="AA3268" i="1"/>
  <c r="T3268" i="1"/>
  <c r="P3268" i="1"/>
  <c r="O3268" i="1"/>
  <c r="N3268" i="1"/>
  <c r="AA3267" i="1"/>
  <c r="T3267" i="1"/>
  <c r="P3267" i="1"/>
  <c r="O3267" i="1"/>
  <c r="N3267" i="1"/>
  <c r="AA3263" i="1"/>
  <c r="T3263" i="1"/>
  <c r="P3263" i="1"/>
  <c r="O3263" i="1"/>
  <c r="N3263" i="1"/>
  <c r="AA3262" i="1"/>
  <c r="T3262" i="1"/>
  <c r="P3262" i="1"/>
  <c r="O3262" i="1"/>
  <c r="N3262" i="1"/>
  <c r="AA3260" i="1"/>
  <c r="T3260" i="1"/>
  <c r="P3260" i="1"/>
  <c r="O3260" i="1"/>
  <c r="N3260" i="1"/>
  <c r="AA3258" i="1"/>
  <c r="T3258" i="1"/>
  <c r="P3258" i="1"/>
  <c r="O3258" i="1"/>
  <c r="N3258" i="1"/>
  <c r="AA3256" i="1"/>
  <c r="T3256" i="1"/>
  <c r="P3256" i="1"/>
  <c r="O3256" i="1"/>
  <c r="N3256" i="1"/>
  <c r="AA3253" i="1"/>
  <c r="T3253" i="1"/>
  <c r="P3253" i="1"/>
  <c r="O3253" i="1"/>
  <c r="N3253" i="1"/>
  <c r="AA3252" i="1"/>
  <c r="T3252" i="1"/>
  <c r="P3252" i="1"/>
  <c r="O3252" i="1"/>
  <c r="N3252" i="1"/>
  <c r="AA3251" i="1"/>
  <c r="T3251" i="1"/>
  <c r="P3251" i="1"/>
  <c r="O3251" i="1"/>
  <c r="N3251" i="1"/>
  <c r="AA3249" i="1"/>
  <c r="T3249" i="1"/>
  <c r="P3249" i="1"/>
  <c r="O3249" i="1"/>
  <c r="N3249" i="1"/>
  <c r="AA3247" i="1"/>
  <c r="T3247" i="1"/>
  <c r="P3247" i="1"/>
  <c r="O3247" i="1"/>
  <c r="N3247" i="1"/>
  <c r="AA3246" i="1"/>
  <c r="T3246" i="1"/>
  <c r="P3246" i="1"/>
  <c r="O3246" i="1"/>
  <c r="N3246" i="1"/>
  <c r="AA3245" i="1"/>
  <c r="T3245" i="1"/>
  <c r="P3245" i="1"/>
  <c r="O3245" i="1"/>
  <c r="N3245" i="1"/>
  <c r="AA3244" i="1"/>
  <c r="T3244" i="1"/>
  <c r="P3244" i="1"/>
  <c r="O3244" i="1"/>
  <c r="N3244" i="1"/>
  <c r="AA3243" i="1"/>
  <c r="T3243" i="1"/>
  <c r="P3243" i="1"/>
  <c r="O3243" i="1"/>
  <c r="N3243" i="1"/>
  <c r="AA3242" i="1"/>
  <c r="T3242" i="1"/>
  <c r="P3242" i="1"/>
  <c r="O3242" i="1"/>
  <c r="N3242" i="1"/>
  <c r="AA3241" i="1"/>
  <c r="T3241" i="1"/>
  <c r="P3241" i="1"/>
  <c r="O3241" i="1"/>
  <c r="N3241" i="1"/>
  <c r="AA3240" i="1"/>
  <c r="T3240" i="1"/>
  <c r="P3240" i="1"/>
  <c r="O3240" i="1"/>
  <c r="N3240" i="1"/>
  <c r="AA3239" i="1"/>
  <c r="T3239" i="1"/>
  <c r="P3239" i="1"/>
  <c r="O3239" i="1"/>
  <c r="N3239" i="1"/>
  <c r="AA3238" i="1"/>
  <c r="T3238" i="1"/>
  <c r="P3238" i="1"/>
  <c r="O3238" i="1"/>
  <c r="N3238" i="1"/>
  <c r="AA3237" i="1"/>
  <c r="T3237" i="1"/>
  <c r="P3237" i="1"/>
  <c r="O3237" i="1"/>
  <c r="N3237" i="1"/>
  <c r="AA3236" i="1"/>
  <c r="T3236" i="1"/>
  <c r="P3236" i="1"/>
  <c r="O3236" i="1"/>
  <c r="N3236" i="1"/>
  <c r="AA3235" i="1"/>
  <c r="T3235" i="1"/>
  <c r="P3235" i="1"/>
  <c r="O3235" i="1"/>
  <c r="N3235" i="1"/>
  <c r="AA3234" i="1"/>
  <c r="T3234" i="1"/>
  <c r="P3234" i="1"/>
  <c r="O3234" i="1"/>
  <c r="N3234" i="1"/>
  <c r="AA3233" i="1"/>
  <c r="T3233" i="1"/>
  <c r="P3233" i="1"/>
  <c r="O3233" i="1"/>
  <c r="N3233" i="1"/>
  <c r="AA3232" i="1"/>
  <c r="T3232" i="1"/>
  <c r="P3232" i="1"/>
  <c r="O3232" i="1"/>
  <c r="N3232" i="1"/>
  <c r="AA3231" i="1"/>
  <c r="T3231" i="1"/>
  <c r="P3231" i="1"/>
  <c r="O3231" i="1"/>
  <c r="N3231" i="1"/>
  <c r="AA3229" i="1"/>
  <c r="T3229" i="1"/>
  <c r="P3229" i="1"/>
  <c r="O3229" i="1"/>
  <c r="N3229" i="1"/>
  <c r="AA3228" i="1"/>
  <c r="T3228" i="1"/>
  <c r="P3228" i="1"/>
  <c r="O3228" i="1"/>
  <c r="N3228" i="1"/>
  <c r="AA3227" i="1"/>
  <c r="T3227" i="1"/>
  <c r="P3227" i="1"/>
  <c r="O3227" i="1"/>
  <c r="N3227" i="1"/>
  <c r="AA3226" i="1"/>
  <c r="T3226" i="1"/>
  <c r="P3226" i="1"/>
  <c r="O3226" i="1"/>
  <c r="N3226" i="1"/>
  <c r="AA3224" i="1"/>
  <c r="T3224" i="1"/>
  <c r="P3224" i="1"/>
  <c r="O3224" i="1"/>
  <c r="N3224" i="1"/>
  <c r="AA3223" i="1"/>
  <c r="T3223" i="1"/>
  <c r="P3223" i="1"/>
  <c r="O3223" i="1"/>
  <c r="N3223" i="1"/>
  <c r="AA3222" i="1"/>
  <c r="T3222" i="1"/>
  <c r="P3222" i="1"/>
  <c r="O3222" i="1"/>
  <c r="N3222" i="1"/>
  <c r="AA3220" i="1"/>
  <c r="T3220" i="1"/>
  <c r="P3220" i="1"/>
  <c r="O3220" i="1"/>
  <c r="N3220" i="1"/>
  <c r="AA3219" i="1"/>
  <c r="T3219" i="1"/>
  <c r="P3219" i="1"/>
  <c r="O3219" i="1"/>
  <c r="N3219" i="1"/>
  <c r="AA3218" i="1"/>
  <c r="T3218" i="1"/>
  <c r="P3218" i="1"/>
  <c r="O3218" i="1"/>
  <c r="N3218" i="1"/>
  <c r="AA3217" i="1"/>
  <c r="T3217" i="1"/>
  <c r="P3217" i="1"/>
  <c r="O3217" i="1"/>
  <c r="N3217" i="1"/>
  <c r="AA3216" i="1"/>
  <c r="T3216" i="1"/>
  <c r="P3216" i="1"/>
  <c r="O3216" i="1"/>
  <c r="N3216" i="1"/>
  <c r="AA3215" i="1"/>
  <c r="T3215" i="1"/>
  <c r="P3215" i="1"/>
  <c r="O3215" i="1"/>
  <c r="N3215" i="1"/>
  <c r="AA3214" i="1"/>
  <c r="T3214" i="1"/>
  <c r="P3214" i="1"/>
  <c r="O3214" i="1"/>
  <c r="N3214" i="1"/>
  <c r="AA3213" i="1"/>
  <c r="T3213" i="1"/>
  <c r="P3213" i="1"/>
  <c r="O3213" i="1"/>
  <c r="N3213" i="1"/>
  <c r="AA3212" i="1"/>
  <c r="T3212" i="1"/>
  <c r="P3212" i="1"/>
  <c r="O3212" i="1"/>
  <c r="N3212" i="1"/>
  <c r="AA3211" i="1"/>
  <c r="T3211" i="1"/>
  <c r="P3211" i="1"/>
  <c r="O3211" i="1"/>
  <c r="N3211" i="1"/>
  <c r="AA3210" i="1"/>
  <c r="T3210" i="1"/>
  <c r="P3210" i="1"/>
  <c r="O3210" i="1"/>
  <c r="N3210" i="1"/>
  <c r="AA3208" i="1"/>
  <c r="T3208" i="1"/>
  <c r="P3208" i="1"/>
  <c r="O3208" i="1"/>
  <c r="N3208" i="1"/>
  <c r="AA3207" i="1"/>
  <c r="T3207" i="1"/>
  <c r="P3207" i="1"/>
  <c r="O3207" i="1"/>
  <c r="N3207" i="1"/>
  <c r="AA3204" i="1"/>
  <c r="T3204" i="1"/>
  <c r="P3204" i="1"/>
  <c r="O3204" i="1"/>
  <c r="N3204" i="1"/>
  <c r="AA3203" i="1"/>
  <c r="T3203" i="1"/>
  <c r="P3203" i="1"/>
  <c r="O3203" i="1"/>
  <c r="N3203" i="1"/>
  <c r="AA3202" i="1"/>
  <c r="T3202" i="1"/>
  <c r="P3202" i="1"/>
  <c r="O3202" i="1"/>
  <c r="N3202" i="1"/>
  <c r="AA3199" i="1"/>
  <c r="T3199" i="1"/>
  <c r="P3199" i="1"/>
  <c r="O3199" i="1"/>
  <c r="N3199" i="1"/>
  <c r="AA3198" i="1"/>
  <c r="T3198" i="1"/>
  <c r="P3198" i="1"/>
  <c r="O3198" i="1"/>
  <c r="N3198" i="1"/>
  <c r="AA3196" i="1"/>
  <c r="T3196" i="1"/>
  <c r="P3196" i="1"/>
  <c r="O3196" i="1"/>
  <c r="N3196" i="1"/>
  <c r="AA3195" i="1"/>
  <c r="T3195" i="1"/>
  <c r="P3195" i="1"/>
  <c r="O3195" i="1"/>
  <c r="N3195" i="1"/>
  <c r="AA3194" i="1"/>
  <c r="T3194" i="1"/>
  <c r="P3194" i="1"/>
  <c r="O3194" i="1"/>
  <c r="N3194" i="1"/>
  <c r="AA3193" i="1"/>
  <c r="T3193" i="1"/>
  <c r="P3193" i="1"/>
  <c r="O3193" i="1"/>
  <c r="N3193" i="1"/>
  <c r="AA3192" i="1"/>
  <c r="T3192" i="1"/>
  <c r="P3192" i="1"/>
  <c r="O3192" i="1"/>
  <c r="N3192" i="1"/>
  <c r="AA3189" i="1"/>
  <c r="T3189" i="1"/>
  <c r="P3189" i="1"/>
  <c r="O3189" i="1"/>
  <c r="N3189" i="1"/>
  <c r="AA3188" i="1"/>
  <c r="T3188" i="1"/>
  <c r="P3188" i="1"/>
  <c r="O3188" i="1"/>
  <c r="N3188" i="1"/>
  <c r="AA3187" i="1"/>
  <c r="T3187" i="1"/>
  <c r="P3187" i="1"/>
  <c r="O3187" i="1"/>
  <c r="N3187" i="1"/>
  <c r="AA3186" i="1"/>
  <c r="T3186" i="1"/>
  <c r="P3186" i="1"/>
  <c r="O3186" i="1"/>
  <c r="N3186" i="1"/>
  <c r="AA3183" i="1"/>
  <c r="T3183" i="1"/>
  <c r="P3183" i="1"/>
  <c r="O3183" i="1"/>
  <c r="N3183" i="1"/>
  <c r="AA3182" i="1"/>
  <c r="T3182" i="1"/>
  <c r="P3182" i="1"/>
  <c r="O3182" i="1"/>
  <c r="N3182" i="1"/>
  <c r="AA3181" i="1"/>
  <c r="T3181" i="1"/>
  <c r="P3181" i="1"/>
  <c r="O3181" i="1"/>
  <c r="N3181" i="1"/>
  <c r="AA3180" i="1"/>
  <c r="T3180" i="1"/>
  <c r="P3180" i="1"/>
  <c r="O3180" i="1"/>
  <c r="N3180" i="1"/>
  <c r="AA3179" i="1"/>
  <c r="T3179" i="1"/>
  <c r="P3179" i="1"/>
  <c r="O3179" i="1"/>
  <c r="N3179" i="1"/>
  <c r="AA3178" i="1"/>
  <c r="T3178" i="1"/>
  <c r="P3178" i="1"/>
  <c r="O3178" i="1"/>
  <c r="N3178" i="1"/>
  <c r="AA3177" i="1"/>
  <c r="T3177" i="1"/>
  <c r="P3177" i="1"/>
  <c r="O3177" i="1"/>
  <c r="N3177" i="1"/>
  <c r="AA3176" i="1"/>
  <c r="T3176" i="1"/>
  <c r="P3176" i="1"/>
  <c r="O3176" i="1"/>
  <c r="N3176" i="1"/>
  <c r="AA3174" i="1"/>
  <c r="T3174" i="1"/>
  <c r="P3174" i="1"/>
  <c r="O3174" i="1"/>
  <c r="N3174" i="1"/>
  <c r="AA3169" i="1"/>
  <c r="T3169" i="1"/>
  <c r="P3169" i="1"/>
  <c r="O3169" i="1"/>
  <c r="N3169" i="1"/>
  <c r="AA3168" i="1"/>
  <c r="T3168" i="1"/>
  <c r="P3168" i="1"/>
  <c r="O3168" i="1"/>
  <c r="N3168" i="1"/>
  <c r="AA3167" i="1"/>
  <c r="T3167" i="1"/>
  <c r="P3167" i="1"/>
  <c r="O3167" i="1"/>
  <c r="N3167" i="1"/>
  <c r="AA3166" i="1"/>
  <c r="T3166" i="1"/>
  <c r="P3166" i="1"/>
  <c r="O3166" i="1"/>
  <c r="N3166" i="1"/>
  <c r="AA3165" i="1"/>
  <c r="T3165" i="1"/>
  <c r="P3165" i="1"/>
  <c r="O3165" i="1"/>
  <c r="N3165" i="1"/>
  <c r="AA3164" i="1"/>
  <c r="T3164" i="1"/>
  <c r="P3164" i="1"/>
  <c r="O3164" i="1"/>
  <c r="N3164" i="1"/>
  <c r="AA3163" i="1"/>
  <c r="T3163" i="1"/>
  <c r="P3163" i="1"/>
  <c r="O3163" i="1"/>
  <c r="N3163" i="1"/>
  <c r="AA3162" i="1"/>
  <c r="T3162" i="1"/>
  <c r="P3162" i="1"/>
  <c r="O3162" i="1"/>
  <c r="N3162" i="1"/>
  <c r="AA3161" i="1"/>
  <c r="T3161" i="1"/>
  <c r="P3161" i="1"/>
  <c r="O3161" i="1"/>
  <c r="N3161" i="1"/>
  <c r="AA3160" i="1"/>
  <c r="T3160" i="1"/>
  <c r="P3160" i="1"/>
  <c r="O3160" i="1"/>
  <c r="N3160" i="1"/>
  <c r="AA3158" i="1"/>
  <c r="T3158" i="1"/>
  <c r="P3158" i="1"/>
  <c r="O3158" i="1"/>
  <c r="N3158" i="1"/>
  <c r="AA3156" i="1"/>
  <c r="T3156" i="1"/>
  <c r="P3156" i="1"/>
  <c r="O3156" i="1"/>
  <c r="N3156" i="1"/>
  <c r="AA3155" i="1"/>
  <c r="T3155" i="1"/>
  <c r="P3155" i="1"/>
  <c r="O3155" i="1"/>
  <c r="N3155" i="1"/>
  <c r="AA3154" i="1"/>
  <c r="T3154" i="1"/>
  <c r="P3154" i="1"/>
  <c r="O3154" i="1"/>
  <c r="N3154" i="1"/>
  <c r="AA3153" i="1"/>
  <c r="T3153" i="1"/>
  <c r="P3153" i="1"/>
  <c r="O3153" i="1"/>
  <c r="N3153" i="1"/>
  <c r="AA3152" i="1"/>
  <c r="T3152" i="1"/>
  <c r="P3152" i="1"/>
  <c r="O3152" i="1"/>
  <c r="N3152" i="1"/>
  <c r="AA3151" i="1"/>
  <c r="T3151" i="1"/>
  <c r="P3151" i="1"/>
  <c r="O3151" i="1"/>
  <c r="N3151" i="1"/>
  <c r="AA3150" i="1"/>
  <c r="T3150" i="1"/>
  <c r="P3150" i="1"/>
  <c r="O3150" i="1"/>
  <c r="N3150" i="1"/>
  <c r="AA3149" i="1"/>
  <c r="T3149" i="1"/>
  <c r="P3149" i="1"/>
  <c r="O3149" i="1"/>
  <c r="N3149" i="1"/>
  <c r="AA3148" i="1"/>
  <c r="T3148" i="1"/>
  <c r="P3148" i="1"/>
  <c r="O3148" i="1"/>
  <c r="N3148" i="1"/>
  <c r="AA3147" i="1"/>
  <c r="T3147" i="1"/>
  <c r="P3147" i="1"/>
  <c r="O3147" i="1"/>
  <c r="N3147" i="1"/>
  <c r="AA3146" i="1"/>
  <c r="T3146" i="1"/>
  <c r="P3146" i="1"/>
  <c r="O3146" i="1"/>
  <c r="N3146" i="1"/>
  <c r="AA3145" i="1"/>
  <c r="T3145" i="1"/>
  <c r="P3145" i="1"/>
  <c r="O3145" i="1"/>
  <c r="N3145" i="1"/>
  <c r="AA3143" i="1"/>
  <c r="T3143" i="1"/>
  <c r="P3143" i="1"/>
  <c r="O3143" i="1"/>
  <c r="N3143" i="1"/>
  <c r="AA3142" i="1"/>
  <c r="T3142" i="1"/>
  <c r="P3142" i="1"/>
  <c r="O3142" i="1"/>
  <c r="N3142" i="1"/>
  <c r="AA3141" i="1"/>
  <c r="T3141" i="1"/>
  <c r="P3141" i="1"/>
  <c r="O3141" i="1"/>
  <c r="N3141" i="1"/>
  <c r="AA3139" i="1"/>
  <c r="T3139" i="1"/>
  <c r="P3139" i="1"/>
  <c r="O3139" i="1"/>
  <c r="N3139" i="1"/>
  <c r="AA3138" i="1"/>
  <c r="T3138" i="1"/>
  <c r="P3138" i="1"/>
  <c r="O3138" i="1"/>
  <c r="N3138" i="1"/>
  <c r="AA3137" i="1"/>
  <c r="T3137" i="1"/>
  <c r="P3137" i="1"/>
  <c r="O3137" i="1"/>
  <c r="N3137" i="1"/>
  <c r="AA3136" i="1"/>
  <c r="T3136" i="1"/>
  <c r="P3136" i="1"/>
  <c r="O3136" i="1"/>
  <c r="N3136" i="1"/>
  <c r="AA3135" i="1"/>
  <c r="T3135" i="1"/>
  <c r="P3135" i="1"/>
  <c r="O3135" i="1"/>
  <c r="N3135" i="1"/>
  <c r="AA3134" i="1"/>
  <c r="T3134" i="1"/>
  <c r="P3134" i="1"/>
  <c r="O3134" i="1"/>
  <c r="N3134" i="1"/>
  <c r="AA3133" i="1"/>
  <c r="T3133" i="1"/>
  <c r="P3133" i="1"/>
  <c r="O3133" i="1"/>
  <c r="N3133" i="1"/>
  <c r="AA3132" i="1"/>
  <c r="T3132" i="1"/>
  <c r="P3132" i="1"/>
  <c r="O3132" i="1"/>
  <c r="N3132" i="1"/>
  <c r="AA3131" i="1"/>
  <c r="T3131" i="1"/>
  <c r="P3131" i="1"/>
  <c r="O3131" i="1"/>
  <c r="N3131" i="1"/>
  <c r="AA3130" i="1"/>
  <c r="T3130" i="1"/>
  <c r="P3130" i="1"/>
  <c r="O3130" i="1"/>
  <c r="N3130" i="1"/>
  <c r="AA3129" i="1"/>
  <c r="T3129" i="1"/>
  <c r="P3129" i="1"/>
  <c r="O3129" i="1"/>
  <c r="N3129" i="1"/>
  <c r="AA3128" i="1"/>
  <c r="T3128" i="1"/>
  <c r="P3128" i="1"/>
  <c r="O3128" i="1"/>
  <c r="N3128" i="1"/>
  <c r="AA3127" i="1"/>
  <c r="T3127" i="1"/>
  <c r="P3127" i="1"/>
  <c r="O3127" i="1"/>
  <c r="N3127" i="1"/>
  <c r="AA3126" i="1"/>
  <c r="T3126" i="1"/>
  <c r="P3126" i="1"/>
  <c r="O3126" i="1"/>
  <c r="N3126" i="1"/>
  <c r="AA3125" i="1"/>
  <c r="T3125" i="1"/>
  <c r="P3125" i="1"/>
  <c r="O3125" i="1"/>
  <c r="N3125" i="1"/>
  <c r="AA3124" i="1"/>
  <c r="T3124" i="1"/>
  <c r="P3124" i="1"/>
  <c r="O3124" i="1"/>
  <c r="N3124" i="1"/>
  <c r="AA3123" i="1"/>
  <c r="T3123" i="1"/>
  <c r="P3123" i="1"/>
  <c r="O3123" i="1"/>
  <c r="N3123" i="1"/>
  <c r="AA3122" i="1"/>
  <c r="T3122" i="1"/>
  <c r="P3122" i="1"/>
  <c r="O3122" i="1"/>
  <c r="N3122" i="1"/>
  <c r="AA3121" i="1"/>
  <c r="T3121" i="1"/>
  <c r="P3121" i="1"/>
  <c r="O3121" i="1"/>
  <c r="N3121" i="1"/>
  <c r="AA3119" i="1"/>
  <c r="T3119" i="1"/>
  <c r="P3119" i="1"/>
  <c r="O3119" i="1"/>
  <c r="N3119" i="1"/>
  <c r="AA3118" i="1"/>
  <c r="T3118" i="1"/>
  <c r="P3118" i="1"/>
  <c r="O3118" i="1"/>
  <c r="N3118" i="1"/>
  <c r="AA3116" i="1"/>
  <c r="T3116" i="1"/>
  <c r="P3116" i="1"/>
  <c r="O3116" i="1"/>
  <c r="N3116" i="1"/>
  <c r="AA3113" i="1"/>
  <c r="T3113" i="1"/>
  <c r="P3113" i="1"/>
  <c r="O3113" i="1"/>
  <c r="N3113" i="1"/>
  <c r="AA3112" i="1"/>
  <c r="T3112" i="1"/>
  <c r="P3112" i="1"/>
  <c r="O3112" i="1"/>
  <c r="N3112" i="1"/>
  <c r="AA3111" i="1"/>
  <c r="T3111" i="1"/>
  <c r="P3111" i="1"/>
  <c r="O3111" i="1"/>
  <c r="N3111" i="1"/>
  <c r="AA3110" i="1"/>
  <c r="T3110" i="1"/>
  <c r="P3110" i="1"/>
  <c r="O3110" i="1"/>
  <c r="N3110" i="1"/>
  <c r="AA3109" i="1"/>
  <c r="T3109" i="1"/>
  <c r="P3109" i="1"/>
  <c r="O3109" i="1"/>
  <c r="N3109" i="1"/>
  <c r="AA3108" i="1"/>
  <c r="T3108" i="1"/>
  <c r="P3108" i="1"/>
  <c r="O3108" i="1"/>
  <c r="N3108" i="1"/>
  <c r="AA3107" i="1"/>
  <c r="T3107" i="1"/>
  <c r="P3107" i="1"/>
  <c r="O3107" i="1"/>
  <c r="N3107" i="1"/>
  <c r="AA3106" i="1"/>
  <c r="T3106" i="1"/>
  <c r="P3106" i="1"/>
  <c r="O3106" i="1"/>
  <c r="N3106" i="1"/>
  <c r="AA3105" i="1"/>
  <c r="T3105" i="1"/>
  <c r="P3105" i="1"/>
  <c r="O3105" i="1"/>
  <c r="N3105" i="1"/>
  <c r="AA3102" i="1"/>
  <c r="T3102" i="1"/>
  <c r="P3102" i="1"/>
  <c r="O3102" i="1"/>
  <c r="N3102" i="1"/>
  <c r="AA3101" i="1"/>
  <c r="T3101" i="1"/>
  <c r="P3101" i="1"/>
  <c r="O3101" i="1"/>
  <c r="N3101" i="1"/>
  <c r="AA3099" i="1"/>
  <c r="T3099" i="1"/>
  <c r="P3099" i="1"/>
  <c r="O3099" i="1"/>
  <c r="N3099" i="1"/>
  <c r="AA3098" i="1"/>
  <c r="T3098" i="1"/>
  <c r="P3098" i="1"/>
  <c r="O3098" i="1"/>
  <c r="N3098" i="1"/>
  <c r="AA3097" i="1"/>
  <c r="T3097" i="1"/>
  <c r="P3097" i="1"/>
  <c r="O3097" i="1"/>
  <c r="N3097" i="1"/>
  <c r="AA3096" i="1"/>
  <c r="T3096" i="1"/>
  <c r="P3096" i="1"/>
  <c r="O3096" i="1"/>
  <c r="N3096" i="1"/>
  <c r="AA3095" i="1"/>
  <c r="T3095" i="1"/>
  <c r="P3095" i="1"/>
  <c r="O3095" i="1"/>
  <c r="N3095" i="1"/>
  <c r="AA3094" i="1"/>
  <c r="T3094" i="1"/>
  <c r="P3094" i="1"/>
  <c r="O3094" i="1"/>
  <c r="N3094" i="1"/>
  <c r="AA3093" i="1"/>
  <c r="T3093" i="1"/>
  <c r="P3093" i="1"/>
  <c r="O3093" i="1"/>
  <c r="N3093" i="1"/>
  <c r="AA3092" i="1"/>
  <c r="T3092" i="1"/>
  <c r="P3092" i="1"/>
  <c r="O3092" i="1"/>
  <c r="N3092" i="1"/>
  <c r="AA3090" i="1"/>
  <c r="T3090" i="1"/>
  <c r="P3090" i="1"/>
  <c r="O3090" i="1"/>
  <c r="N3090" i="1"/>
  <c r="AA3089" i="1"/>
  <c r="T3089" i="1"/>
  <c r="P3089" i="1"/>
  <c r="O3089" i="1"/>
  <c r="N3089" i="1"/>
  <c r="AA3088" i="1"/>
  <c r="T3088" i="1"/>
  <c r="P3088" i="1"/>
  <c r="O3088" i="1"/>
  <c r="N3088" i="1"/>
  <c r="AA3087" i="1"/>
  <c r="T3087" i="1"/>
  <c r="P3087" i="1"/>
  <c r="O3087" i="1"/>
  <c r="N3087" i="1"/>
  <c r="AA3086" i="1"/>
  <c r="T3086" i="1"/>
  <c r="P3086" i="1"/>
  <c r="O3086" i="1"/>
  <c r="N3086" i="1"/>
  <c r="AA3085" i="1"/>
  <c r="T3085" i="1"/>
  <c r="P3085" i="1"/>
  <c r="O3085" i="1"/>
  <c r="N3085" i="1"/>
  <c r="AA3084" i="1"/>
  <c r="T3084" i="1"/>
  <c r="P3084" i="1"/>
  <c r="O3084" i="1"/>
  <c r="N3084" i="1"/>
  <c r="AA3083" i="1"/>
  <c r="T3083" i="1"/>
  <c r="P3083" i="1"/>
  <c r="O3083" i="1"/>
  <c r="N3083" i="1"/>
  <c r="AA3082" i="1"/>
  <c r="T3082" i="1"/>
  <c r="P3082" i="1"/>
  <c r="O3082" i="1"/>
  <c r="N3082" i="1"/>
  <c r="AA3081" i="1"/>
  <c r="T3081" i="1"/>
  <c r="P3081" i="1"/>
  <c r="O3081" i="1"/>
  <c r="N3081" i="1"/>
  <c r="AA3080" i="1"/>
  <c r="T3080" i="1"/>
  <c r="P3080" i="1"/>
  <c r="O3080" i="1"/>
  <c r="N3080" i="1"/>
  <c r="AA3079" i="1"/>
  <c r="T3079" i="1"/>
  <c r="P3079" i="1"/>
  <c r="O3079" i="1"/>
  <c r="N3079" i="1"/>
  <c r="AA3078" i="1"/>
  <c r="T3078" i="1"/>
  <c r="P3078" i="1"/>
  <c r="O3078" i="1"/>
  <c r="N3078" i="1"/>
  <c r="AA3077" i="1"/>
  <c r="T3077" i="1"/>
  <c r="P3077" i="1"/>
  <c r="O3077" i="1"/>
  <c r="N3077" i="1"/>
  <c r="AA3076" i="1"/>
  <c r="T3076" i="1"/>
  <c r="P3076" i="1"/>
  <c r="O3076" i="1"/>
  <c r="N3076" i="1"/>
  <c r="AA3075" i="1"/>
  <c r="T3075" i="1"/>
  <c r="P3075" i="1"/>
  <c r="O3075" i="1"/>
  <c r="N3075" i="1"/>
  <c r="AA3074" i="1"/>
  <c r="T3074" i="1"/>
  <c r="P3074" i="1"/>
  <c r="O3074" i="1"/>
  <c r="N3074" i="1"/>
  <c r="AA3073" i="1"/>
  <c r="T3073" i="1"/>
  <c r="P3073" i="1"/>
  <c r="O3073" i="1"/>
  <c r="N3073" i="1"/>
  <c r="AA3072" i="1"/>
  <c r="T3072" i="1"/>
  <c r="P3072" i="1"/>
  <c r="O3072" i="1"/>
  <c r="N3072" i="1"/>
  <c r="AA3071" i="1"/>
  <c r="T3071" i="1"/>
  <c r="P3071" i="1"/>
  <c r="O3071" i="1"/>
  <c r="N3071" i="1"/>
  <c r="AA3070" i="1"/>
  <c r="T3070" i="1"/>
  <c r="P3070" i="1"/>
  <c r="O3070" i="1"/>
  <c r="N3070" i="1"/>
  <c r="AA3069" i="1"/>
  <c r="T3069" i="1"/>
  <c r="P3069" i="1"/>
  <c r="O3069" i="1"/>
  <c r="N3069" i="1"/>
  <c r="AA3068" i="1"/>
  <c r="T3068" i="1"/>
  <c r="P3068" i="1"/>
  <c r="O3068" i="1"/>
  <c r="N3068" i="1"/>
  <c r="AA3067" i="1"/>
  <c r="T3067" i="1"/>
  <c r="P3067" i="1"/>
  <c r="O3067" i="1"/>
  <c r="N3067" i="1"/>
  <c r="AA3066" i="1"/>
  <c r="T3066" i="1"/>
  <c r="P3066" i="1"/>
  <c r="O3066" i="1"/>
  <c r="N3066" i="1"/>
  <c r="AA3065" i="1"/>
  <c r="T3065" i="1"/>
  <c r="P3065" i="1"/>
  <c r="O3065" i="1"/>
  <c r="N3065" i="1"/>
  <c r="AA3064" i="1"/>
  <c r="T3064" i="1"/>
  <c r="P3064" i="1"/>
  <c r="O3064" i="1"/>
  <c r="N3064" i="1"/>
  <c r="AA3063" i="1"/>
  <c r="T3063" i="1"/>
  <c r="P3063" i="1"/>
  <c r="O3063" i="1"/>
  <c r="N3063" i="1"/>
  <c r="AA3062" i="1"/>
  <c r="T3062" i="1"/>
  <c r="P3062" i="1"/>
  <c r="O3062" i="1"/>
  <c r="N3062" i="1"/>
  <c r="AA3060" i="1"/>
  <c r="T3060" i="1"/>
  <c r="P3060" i="1"/>
  <c r="O3060" i="1"/>
  <c r="N3060" i="1"/>
  <c r="AA3059" i="1"/>
  <c r="T3059" i="1"/>
  <c r="P3059" i="1"/>
  <c r="O3059" i="1"/>
  <c r="N3059" i="1"/>
  <c r="AA3058" i="1"/>
  <c r="T3058" i="1"/>
  <c r="P3058" i="1"/>
  <c r="O3058" i="1"/>
  <c r="N3058" i="1"/>
  <c r="AA3057" i="1"/>
  <c r="T3057" i="1"/>
  <c r="P3057" i="1"/>
  <c r="O3057" i="1"/>
  <c r="N3057" i="1"/>
  <c r="AA3056" i="1"/>
  <c r="T3056" i="1"/>
  <c r="P3056" i="1"/>
  <c r="O3056" i="1"/>
  <c r="N3056" i="1"/>
  <c r="AA3055" i="1"/>
  <c r="T3055" i="1"/>
  <c r="P3055" i="1"/>
  <c r="O3055" i="1"/>
  <c r="N3055" i="1"/>
  <c r="AA3054" i="1"/>
  <c r="T3054" i="1"/>
  <c r="P3054" i="1"/>
  <c r="O3054" i="1"/>
  <c r="N3054" i="1"/>
  <c r="AA3053" i="1"/>
  <c r="T3053" i="1"/>
  <c r="P3053" i="1"/>
  <c r="O3053" i="1"/>
  <c r="N3053" i="1"/>
  <c r="AA3052" i="1"/>
  <c r="T3052" i="1"/>
  <c r="P3052" i="1"/>
  <c r="O3052" i="1"/>
  <c r="N3052" i="1"/>
  <c r="AA3050" i="1"/>
  <c r="T3050" i="1"/>
  <c r="P3050" i="1"/>
  <c r="O3050" i="1"/>
  <c r="N3050" i="1"/>
  <c r="AA3049" i="1"/>
  <c r="T3049" i="1"/>
  <c r="P3049" i="1"/>
  <c r="O3049" i="1"/>
  <c r="N3049" i="1"/>
  <c r="AA3046" i="1"/>
  <c r="T3046" i="1"/>
  <c r="P3046" i="1"/>
  <c r="O3046" i="1"/>
  <c r="N3046" i="1"/>
  <c r="AA3044" i="1"/>
  <c r="T3044" i="1"/>
  <c r="P3044" i="1"/>
  <c r="O3044" i="1"/>
  <c r="N3044" i="1"/>
  <c r="AA3043" i="1"/>
  <c r="T3043" i="1"/>
  <c r="P3043" i="1"/>
  <c r="O3043" i="1"/>
  <c r="N3043" i="1"/>
  <c r="AA3042" i="1"/>
  <c r="T3042" i="1"/>
  <c r="P3042" i="1"/>
  <c r="O3042" i="1"/>
  <c r="N3042" i="1"/>
  <c r="AA3041" i="1"/>
  <c r="T3041" i="1"/>
  <c r="P3041" i="1"/>
  <c r="O3041" i="1"/>
  <c r="N3041" i="1"/>
  <c r="AA3040" i="1"/>
  <c r="T3040" i="1"/>
  <c r="P3040" i="1"/>
  <c r="O3040" i="1"/>
  <c r="N3040" i="1"/>
  <c r="AA3039" i="1"/>
  <c r="T3039" i="1"/>
  <c r="P3039" i="1"/>
  <c r="O3039" i="1"/>
  <c r="N3039" i="1"/>
  <c r="AA3038" i="1"/>
  <c r="T3038" i="1"/>
  <c r="P3038" i="1"/>
  <c r="O3038" i="1"/>
  <c r="N3038" i="1"/>
  <c r="AA3037" i="1"/>
  <c r="T3037" i="1"/>
  <c r="P3037" i="1"/>
  <c r="O3037" i="1"/>
  <c r="N3037" i="1"/>
  <c r="AA3036" i="1"/>
  <c r="T3036" i="1"/>
  <c r="P3036" i="1"/>
  <c r="O3036" i="1"/>
  <c r="N3036" i="1"/>
  <c r="AA3035" i="1"/>
  <c r="T3035" i="1"/>
  <c r="P3035" i="1"/>
  <c r="O3035" i="1"/>
  <c r="N3035" i="1"/>
  <c r="AA3034" i="1"/>
  <c r="T3034" i="1"/>
  <c r="P3034" i="1"/>
  <c r="O3034" i="1"/>
  <c r="N3034" i="1"/>
  <c r="AA3033" i="1"/>
  <c r="T3033" i="1"/>
  <c r="P3033" i="1"/>
  <c r="O3033" i="1"/>
  <c r="N3033" i="1"/>
  <c r="AA3032" i="1"/>
  <c r="T3032" i="1"/>
  <c r="P3032" i="1"/>
  <c r="O3032" i="1"/>
  <c r="N3032" i="1"/>
  <c r="AA3031" i="1"/>
  <c r="T3031" i="1"/>
  <c r="P3031" i="1"/>
  <c r="O3031" i="1"/>
  <c r="N3031" i="1"/>
  <c r="AA3030" i="1"/>
  <c r="T3030" i="1"/>
  <c r="P3030" i="1"/>
  <c r="O3030" i="1"/>
  <c r="N3030" i="1"/>
  <c r="AA3029" i="1"/>
  <c r="T3029" i="1"/>
  <c r="P3029" i="1"/>
  <c r="O3029" i="1"/>
  <c r="N3029" i="1"/>
  <c r="AA3028" i="1"/>
  <c r="T3028" i="1"/>
  <c r="P3028" i="1"/>
  <c r="O3028" i="1"/>
  <c r="N3028" i="1"/>
  <c r="AA3027" i="1"/>
  <c r="T3027" i="1"/>
  <c r="P3027" i="1"/>
  <c r="O3027" i="1"/>
  <c r="N3027" i="1"/>
  <c r="AA3025" i="1"/>
  <c r="T3025" i="1"/>
  <c r="P3025" i="1"/>
  <c r="O3025" i="1"/>
  <c r="N3025" i="1"/>
  <c r="AA3024" i="1"/>
  <c r="T3024" i="1"/>
  <c r="P3024" i="1"/>
  <c r="O3024" i="1"/>
  <c r="N3024" i="1"/>
  <c r="AA3023" i="1"/>
  <c r="T3023" i="1"/>
  <c r="P3023" i="1"/>
  <c r="O3023" i="1"/>
  <c r="N3023" i="1"/>
  <c r="AA3022" i="1"/>
  <c r="T3022" i="1"/>
  <c r="P3022" i="1"/>
  <c r="O3022" i="1"/>
  <c r="N3022" i="1"/>
  <c r="AA3021" i="1"/>
  <c r="T3021" i="1"/>
  <c r="P3021" i="1"/>
  <c r="O3021" i="1"/>
  <c r="N3021" i="1"/>
  <c r="AA3020" i="1"/>
  <c r="T3020" i="1"/>
  <c r="P3020" i="1"/>
  <c r="O3020" i="1"/>
  <c r="N3020" i="1"/>
  <c r="AA3019" i="1"/>
  <c r="T3019" i="1"/>
  <c r="P3019" i="1"/>
  <c r="O3019" i="1"/>
  <c r="N3019" i="1"/>
  <c r="AA3018" i="1"/>
  <c r="T3018" i="1"/>
  <c r="P3018" i="1"/>
  <c r="O3018" i="1"/>
  <c r="N3018" i="1"/>
  <c r="AA3015" i="1"/>
  <c r="T3015" i="1"/>
  <c r="P3015" i="1"/>
  <c r="O3015" i="1"/>
  <c r="N3015" i="1"/>
  <c r="AA3012" i="1"/>
  <c r="T3012" i="1"/>
  <c r="P3012" i="1"/>
  <c r="O3012" i="1"/>
  <c r="N3012" i="1"/>
  <c r="AA3010" i="1"/>
  <c r="T3010" i="1"/>
  <c r="P3010" i="1"/>
  <c r="O3010" i="1"/>
  <c r="N3010" i="1"/>
  <c r="AA3008" i="1"/>
  <c r="T3008" i="1"/>
  <c r="P3008" i="1"/>
  <c r="O3008" i="1"/>
  <c r="N3008" i="1"/>
  <c r="AA3007" i="1"/>
  <c r="T3007" i="1"/>
  <c r="P3007" i="1"/>
  <c r="O3007" i="1"/>
  <c r="N3007" i="1"/>
  <c r="AA3005" i="1"/>
  <c r="T3005" i="1"/>
  <c r="P3005" i="1"/>
  <c r="O3005" i="1"/>
  <c r="N3005" i="1"/>
  <c r="AA3004" i="1"/>
  <c r="T3004" i="1"/>
  <c r="P3004" i="1"/>
  <c r="O3004" i="1"/>
  <c r="N3004" i="1"/>
  <c r="AA3003" i="1"/>
  <c r="T3003" i="1"/>
  <c r="P3003" i="1"/>
  <c r="O3003" i="1"/>
  <c r="N3003" i="1"/>
  <c r="AA3002" i="1"/>
  <c r="T3002" i="1"/>
  <c r="P3002" i="1"/>
  <c r="O3002" i="1"/>
  <c r="N3002" i="1"/>
  <c r="AA3001" i="1"/>
  <c r="T3001" i="1"/>
  <c r="P3001" i="1"/>
  <c r="O3001" i="1"/>
  <c r="N3001" i="1"/>
  <c r="AA2999" i="1"/>
  <c r="T2999" i="1"/>
  <c r="P2999" i="1"/>
  <c r="O2999" i="1"/>
  <c r="N2999" i="1"/>
  <c r="AA2998" i="1"/>
  <c r="T2998" i="1"/>
  <c r="P2998" i="1"/>
  <c r="O2998" i="1"/>
  <c r="N2998" i="1"/>
  <c r="AA2997" i="1"/>
  <c r="T2997" i="1"/>
  <c r="P2997" i="1"/>
  <c r="O2997" i="1"/>
  <c r="N2997" i="1"/>
  <c r="AA2996" i="1"/>
  <c r="T2996" i="1"/>
  <c r="P2996" i="1"/>
  <c r="O2996" i="1"/>
  <c r="N2996" i="1"/>
  <c r="AA2994" i="1"/>
  <c r="T2994" i="1"/>
  <c r="P2994" i="1"/>
  <c r="O2994" i="1"/>
  <c r="N2994" i="1"/>
  <c r="AA2993" i="1"/>
  <c r="T2993" i="1"/>
  <c r="P2993" i="1"/>
  <c r="O2993" i="1"/>
  <c r="N2993" i="1"/>
  <c r="AA2992" i="1"/>
  <c r="T2992" i="1"/>
  <c r="P2992" i="1"/>
  <c r="O2992" i="1"/>
  <c r="N2992" i="1"/>
  <c r="AA2991" i="1"/>
  <c r="T2991" i="1"/>
  <c r="P2991" i="1"/>
  <c r="O2991" i="1"/>
  <c r="N2991" i="1"/>
  <c r="AA2990" i="1"/>
  <c r="T2990" i="1"/>
  <c r="P2990" i="1"/>
  <c r="O2990" i="1"/>
  <c r="N2990" i="1"/>
  <c r="AA2989" i="1"/>
  <c r="T2989" i="1"/>
  <c r="P2989" i="1"/>
  <c r="O2989" i="1"/>
  <c r="N2989" i="1"/>
  <c r="AA2988" i="1"/>
  <c r="T2988" i="1"/>
  <c r="P2988" i="1"/>
  <c r="O2988" i="1"/>
  <c r="N2988" i="1"/>
  <c r="AA2987" i="1"/>
  <c r="T2987" i="1"/>
  <c r="P2987" i="1"/>
  <c r="O2987" i="1"/>
  <c r="N2987" i="1"/>
  <c r="AA2985" i="1"/>
  <c r="T2985" i="1"/>
  <c r="P2985" i="1"/>
  <c r="O2985" i="1"/>
  <c r="N2985" i="1"/>
  <c r="AA2984" i="1"/>
  <c r="T2984" i="1"/>
  <c r="P2984" i="1"/>
  <c r="O2984" i="1"/>
  <c r="N2984" i="1"/>
  <c r="AA2983" i="1"/>
  <c r="T2983" i="1"/>
  <c r="P2983" i="1"/>
  <c r="O2983" i="1"/>
  <c r="N2983" i="1"/>
  <c r="AA2982" i="1"/>
  <c r="T2982" i="1"/>
  <c r="P2982" i="1"/>
  <c r="O2982" i="1"/>
  <c r="N2982" i="1"/>
  <c r="AA2981" i="1"/>
  <c r="T2981" i="1"/>
  <c r="P2981" i="1"/>
  <c r="O2981" i="1"/>
  <c r="N2981" i="1"/>
  <c r="AA2980" i="1"/>
  <c r="T2980" i="1"/>
  <c r="P2980" i="1"/>
  <c r="O2980" i="1"/>
  <c r="N2980" i="1"/>
  <c r="AA2978" i="1"/>
  <c r="T2978" i="1"/>
  <c r="N2978" i="1"/>
  <c r="AA2977" i="1"/>
  <c r="T2977" i="1"/>
  <c r="N2977" i="1"/>
  <c r="AA2976" i="1"/>
  <c r="T2976" i="1"/>
  <c r="N2976" i="1"/>
  <c r="AA2974" i="1"/>
  <c r="T2974" i="1"/>
  <c r="N2974" i="1"/>
  <c r="AA2973" i="1"/>
  <c r="T2973" i="1"/>
  <c r="N2973" i="1"/>
  <c r="AA2972" i="1"/>
  <c r="T2972" i="1"/>
  <c r="N2972" i="1"/>
  <c r="AA2970" i="1"/>
  <c r="T2970" i="1"/>
  <c r="N2970" i="1"/>
  <c r="AA2969" i="1"/>
  <c r="T2969" i="1"/>
  <c r="N2969" i="1"/>
  <c r="AA2967" i="1"/>
  <c r="T2967" i="1"/>
  <c r="N2967" i="1"/>
  <c r="AA2966" i="1"/>
  <c r="T2966" i="1"/>
  <c r="N2966" i="1"/>
  <c r="AA2965" i="1"/>
  <c r="T2965" i="1"/>
  <c r="N2965" i="1"/>
  <c r="AA2961" i="1"/>
  <c r="T2961" i="1"/>
  <c r="P2961" i="1"/>
  <c r="O2961" i="1"/>
  <c r="N2961" i="1"/>
  <c r="AA2960" i="1"/>
  <c r="T2960" i="1"/>
  <c r="P2960" i="1"/>
  <c r="O2960" i="1"/>
  <c r="N2960" i="1"/>
  <c r="AA2959" i="1"/>
  <c r="T2959" i="1"/>
  <c r="P2959" i="1"/>
  <c r="O2959" i="1"/>
  <c r="N2959" i="1"/>
  <c r="AA2958" i="1"/>
  <c r="T2958" i="1"/>
  <c r="P2958" i="1"/>
  <c r="O2958" i="1"/>
  <c r="N2958" i="1"/>
  <c r="AA2956" i="1"/>
  <c r="T2956" i="1"/>
  <c r="P2956" i="1"/>
  <c r="O2956" i="1"/>
  <c r="N2956" i="1"/>
  <c r="AA2955" i="1"/>
  <c r="T2955" i="1"/>
  <c r="P2955" i="1"/>
  <c r="O2955" i="1"/>
  <c r="N2955" i="1"/>
  <c r="AA2954" i="1"/>
  <c r="T2954" i="1"/>
  <c r="P2954" i="1"/>
  <c r="O2954" i="1"/>
  <c r="N2954" i="1"/>
  <c r="AA2953" i="1"/>
  <c r="T2953" i="1"/>
  <c r="P2953" i="1"/>
  <c r="O2953" i="1"/>
  <c r="N2953" i="1"/>
  <c r="AA2952" i="1"/>
  <c r="T2952" i="1"/>
  <c r="P2952" i="1"/>
  <c r="O2952" i="1"/>
  <c r="N2952" i="1"/>
  <c r="AA2951" i="1"/>
  <c r="T2951" i="1"/>
  <c r="P2951" i="1"/>
  <c r="O2951" i="1"/>
  <c r="N2951" i="1"/>
  <c r="AA2950" i="1"/>
  <c r="T2950" i="1"/>
  <c r="P2950" i="1"/>
  <c r="O2950" i="1"/>
  <c r="N2950" i="1"/>
  <c r="AA2949" i="1"/>
  <c r="T2949" i="1"/>
  <c r="P2949" i="1"/>
  <c r="O2949" i="1"/>
  <c r="N2949" i="1"/>
  <c r="AA2948" i="1"/>
  <c r="T2948" i="1"/>
  <c r="P2948" i="1"/>
  <c r="O2948" i="1"/>
  <c r="N2948" i="1"/>
  <c r="AA2946" i="1"/>
  <c r="T2946" i="1"/>
  <c r="P2946" i="1"/>
  <c r="O2946" i="1"/>
  <c r="N2946" i="1"/>
  <c r="AA2945" i="1"/>
  <c r="T2945" i="1"/>
  <c r="P2945" i="1"/>
  <c r="O2945" i="1"/>
  <c r="N2945" i="1"/>
  <c r="AA2944" i="1"/>
  <c r="T2944" i="1"/>
  <c r="P2944" i="1"/>
  <c r="O2944" i="1"/>
  <c r="N2944" i="1"/>
  <c r="AA2943" i="1"/>
  <c r="T2943" i="1"/>
  <c r="P2943" i="1"/>
  <c r="O2943" i="1"/>
  <c r="N2943" i="1"/>
  <c r="AA2942" i="1"/>
  <c r="T2942" i="1"/>
  <c r="P2942" i="1"/>
  <c r="O2942" i="1"/>
  <c r="N2942" i="1"/>
  <c r="AA2941" i="1"/>
  <c r="T2941" i="1"/>
  <c r="P2941" i="1"/>
  <c r="O2941" i="1"/>
  <c r="N2941" i="1"/>
  <c r="AA2940" i="1"/>
  <c r="T2940" i="1"/>
  <c r="P2940" i="1"/>
  <c r="O2940" i="1"/>
  <c r="N2940" i="1"/>
  <c r="AA2939" i="1"/>
  <c r="T2939" i="1"/>
  <c r="P2939" i="1"/>
  <c r="O2939" i="1"/>
  <c r="N2939" i="1"/>
  <c r="AA2938" i="1"/>
  <c r="T2938" i="1"/>
  <c r="P2938" i="1"/>
  <c r="O2938" i="1"/>
  <c r="N2938" i="1"/>
  <c r="AA2937" i="1"/>
  <c r="T2937" i="1"/>
  <c r="P2937" i="1"/>
  <c r="O2937" i="1"/>
  <c r="N2937" i="1"/>
  <c r="AA2936" i="1"/>
  <c r="T2936" i="1"/>
  <c r="P2936" i="1"/>
  <c r="O2936" i="1"/>
  <c r="N2936" i="1"/>
  <c r="AA2935" i="1"/>
  <c r="T2935" i="1"/>
  <c r="P2935" i="1"/>
  <c r="O2935" i="1"/>
  <c r="N2935" i="1"/>
  <c r="AA2934" i="1"/>
  <c r="T2934" i="1"/>
  <c r="P2934" i="1"/>
  <c r="O2934" i="1"/>
  <c r="N2934" i="1"/>
  <c r="AA2933" i="1"/>
  <c r="T2933" i="1"/>
  <c r="P2933" i="1"/>
  <c r="O2933" i="1"/>
  <c r="N2933" i="1"/>
  <c r="AA2932" i="1"/>
  <c r="T2932" i="1"/>
  <c r="P2932" i="1"/>
  <c r="O2932" i="1"/>
  <c r="N2932" i="1"/>
  <c r="AA2931" i="1"/>
  <c r="T2931" i="1"/>
  <c r="P2931" i="1"/>
  <c r="O2931" i="1"/>
  <c r="N2931" i="1"/>
  <c r="AA2929" i="1"/>
  <c r="T2929" i="1"/>
  <c r="P2929" i="1"/>
  <c r="O2929" i="1"/>
  <c r="N2929" i="1"/>
  <c r="AA2928" i="1"/>
  <c r="T2928" i="1"/>
  <c r="P2928" i="1"/>
  <c r="O2928" i="1"/>
  <c r="N2928" i="1"/>
  <c r="AA2927" i="1"/>
  <c r="T2927" i="1"/>
  <c r="P2927" i="1"/>
  <c r="O2927" i="1"/>
  <c r="N2927" i="1"/>
  <c r="AA2926" i="1"/>
  <c r="T2926" i="1"/>
  <c r="P2926" i="1"/>
  <c r="O2926" i="1"/>
  <c r="N2926" i="1"/>
  <c r="AA2925" i="1"/>
  <c r="T2925" i="1"/>
  <c r="P2925" i="1"/>
  <c r="O2925" i="1"/>
  <c r="N2925" i="1"/>
  <c r="AA2924" i="1"/>
  <c r="T2924" i="1"/>
  <c r="P2924" i="1"/>
  <c r="O2924" i="1"/>
  <c r="N2924" i="1"/>
  <c r="AA2923" i="1"/>
  <c r="T2923" i="1"/>
  <c r="P2923" i="1"/>
  <c r="O2923" i="1"/>
  <c r="N2923" i="1"/>
  <c r="AA2922" i="1"/>
  <c r="T2922" i="1"/>
  <c r="P2922" i="1"/>
  <c r="O2922" i="1"/>
  <c r="N2922" i="1"/>
  <c r="AA2921" i="1"/>
  <c r="T2921" i="1"/>
  <c r="P2921" i="1"/>
  <c r="O2921" i="1"/>
  <c r="N2921" i="1"/>
  <c r="AA2920" i="1"/>
  <c r="T2920" i="1"/>
  <c r="P2920" i="1"/>
  <c r="O2920" i="1"/>
  <c r="N2920" i="1"/>
  <c r="AA2919" i="1"/>
  <c r="T2919" i="1"/>
  <c r="P2919" i="1"/>
  <c r="O2919" i="1"/>
  <c r="N2919" i="1"/>
  <c r="AA2918" i="1"/>
  <c r="T2918" i="1"/>
  <c r="P2918" i="1"/>
  <c r="O2918" i="1"/>
  <c r="N2918" i="1"/>
  <c r="AA2915" i="1"/>
  <c r="T2915" i="1"/>
  <c r="P2915" i="1"/>
  <c r="O2915" i="1"/>
  <c r="N2915" i="1"/>
  <c r="AA2914" i="1"/>
  <c r="T2914" i="1"/>
  <c r="P2914" i="1"/>
  <c r="O2914" i="1"/>
  <c r="N2914" i="1"/>
  <c r="AA2913" i="1"/>
  <c r="T2913" i="1"/>
  <c r="P2913" i="1"/>
  <c r="O2913" i="1"/>
  <c r="N2913" i="1"/>
  <c r="AA2912" i="1"/>
  <c r="T2912" i="1"/>
  <c r="P2912" i="1"/>
  <c r="O2912" i="1"/>
  <c r="N2912" i="1"/>
  <c r="AA2911" i="1"/>
  <c r="T2911" i="1"/>
  <c r="P2911" i="1"/>
  <c r="O2911" i="1"/>
  <c r="N2911" i="1"/>
  <c r="AA2910" i="1"/>
  <c r="T2910" i="1"/>
  <c r="P2910" i="1"/>
  <c r="O2910" i="1"/>
  <c r="N2910" i="1"/>
  <c r="AA2909" i="1"/>
  <c r="T2909" i="1"/>
  <c r="P2909" i="1"/>
  <c r="O2909" i="1"/>
  <c r="N2909" i="1"/>
  <c r="AA2908" i="1"/>
  <c r="T2908" i="1"/>
  <c r="P2908" i="1"/>
  <c r="O2908" i="1"/>
  <c r="N2908" i="1"/>
  <c r="AA2907" i="1"/>
  <c r="T2907" i="1"/>
  <c r="P2907" i="1"/>
  <c r="O2907" i="1"/>
  <c r="N2907" i="1"/>
  <c r="AA2906" i="1"/>
  <c r="T2906" i="1"/>
  <c r="P2906" i="1"/>
  <c r="O2906" i="1"/>
  <c r="N2906" i="1"/>
  <c r="AA2905" i="1"/>
  <c r="T2905" i="1"/>
  <c r="P2905" i="1"/>
  <c r="O2905" i="1"/>
  <c r="N2905" i="1"/>
  <c r="AA2904" i="1"/>
  <c r="T2904" i="1"/>
  <c r="P2904" i="1"/>
  <c r="O2904" i="1"/>
  <c r="N2904" i="1"/>
  <c r="AA2903" i="1"/>
  <c r="T2903" i="1"/>
  <c r="P2903" i="1"/>
  <c r="O2903" i="1"/>
  <c r="N2903" i="1"/>
  <c r="AA2901" i="1"/>
  <c r="T2901" i="1"/>
  <c r="P2901" i="1"/>
  <c r="O2901" i="1"/>
  <c r="N2901" i="1"/>
  <c r="AA2900" i="1"/>
  <c r="T2900" i="1"/>
  <c r="P2900" i="1"/>
  <c r="O2900" i="1"/>
  <c r="N2900" i="1"/>
  <c r="AA2898" i="1"/>
  <c r="T2898" i="1"/>
  <c r="P2898" i="1"/>
  <c r="O2898" i="1"/>
  <c r="N2898" i="1"/>
  <c r="AA2897" i="1"/>
  <c r="T2897" i="1"/>
  <c r="P2897" i="1"/>
  <c r="O2897" i="1"/>
  <c r="N2897" i="1"/>
  <c r="AA2896" i="1"/>
  <c r="T2896" i="1"/>
  <c r="P2896" i="1"/>
  <c r="O2896" i="1"/>
  <c r="N2896" i="1"/>
  <c r="AA2894" i="1"/>
  <c r="T2894" i="1"/>
  <c r="P2894" i="1"/>
  <c r="O2894" i="1"/>
  <c r="N2894" i="1"/>
  <c r="AA2892" i="1"/>
  <c r="T2892" i="1"/>
  <c r="P2892" i="1"/>
  <c r="O2892" i="1"/>
  <c r="N2892" i="1"/>
  <c r="AA2888" i="1"/>
  <c r="T2888" i="1"/>
  <c r="P2888" i="1"/>
  <c r="O2888" i="1"/>
  <c r="N2888" i="1"/>
  <c r="AA2887" i="1"/>
  <c r="T2887" i="1"/>
  <c r="P2887" i="1"/>
  <c r="O2887" i="1"/>
  <c r="N2887" i="1"/>
  <c r="AA2886" i="1"/>
  <c r="T2886" i="1"/>
  <c r="P2886" i="1"/>
  <c r="O2886" i="1"/>
  <c r="N2886" i="1"/>
  <c r="AA2884" i="1"/>
  <c r="T2884" i="1"/>
  <c r="P2884" i="1"/>
  <c r="O2884" i="1"/>
  <c r="N2884" i="1"/>
  <c r="AA2882" i="1"/>
  <c r="T2882" i="1"/>
  <c r="P2882" i="1"/>
  <c r="O2882" i="1"/>
  <c r="N2882" i="1"/>
  <c r="AA2881" i="1"/>
  <c r="T2881" i="1"/>
  <c r="P2881" i="1"/>
  <c r="O2881" i="1"/>
  <c r="N2881" i="1"/>
  <c r="AA2880" i="1"/>
  <c r="T2880" i="1"/>
  <c r="P2880" i="1"/>
  <c r="O2880" i="1"/>
  <c r="N2880" i="1"/>
  <c r="AA2879" i="1"/>
  <c r="T2879" i="1"/>
  <c r="P2879" i="1"/>
  <c r="O2879" i="1"/>
  <c r="N2879" i="1"/>
  <c r="AA2878" i="1"/>
  <c r="T2878" i="1"/>
  <c r="P2878" i="1"/>
  <c r="O2878" i="1"/>
  <c r="N2878" i="1"/>
  <c r="AA2877" i="1"/>
  <c r="T2877" i="1"/>
  <c r="P2877" i="1"/>
  <c r="O2877" i="1"/>
  <c r="N2877" i="1"/>
  <c r="AA2874" i="1"/>
  <c r="T2874" i="1"/>
  <c r="P2874" i="1"/>
  <c r="O2874" i="1"/>
  <c r="N2874" i="1"/>
  <c r="AA2873" i="1"/>
  <c r="T2873" i="1"/>
  <c r="P2873" i="1"/>
  <c r="O2873" i="1"/>
  <c r="N2873" i="1"/>
  <c r="AA2872" i="1"/>
  <c r="T2872" i="1"/>
  <c r="P2872" i="1"/>
  <c r="O2872" i="1"/>
  <c r="N2872" i="1"/>
  <c r="AA2871" i="1"/>
  <c r="T2871" i="1"/>
  <c r="P2871" i="1"/>
  <c r="O2871" i="1"/>
  <c r="N2871" i="1"/>
  <c r="AA2870" i="1"/>
  <c r="T2870" i="1"/>
  <c r="P2870" i="1"/>
  <c r="O2870" i="1"/>
  <c r="N2870" i="1"/>
  <c r="AA2869" i="1"/>
  <c r="T2869" i="1"/>
  <c r="P2869" i="1"/>
  <c r="O2869" i="1"/>
  <c r="N2869" i="1"/>
  <c r="AA2868" i="1"/>
  <c r="T2868" i="1"/>
  <c r="P2868" i="1"/>
  <c r="O2868" i="1"/>
  <c r="N2868" i="1"/>
  <c r="AA2867" i="1"/>
  <c r="T2867" i="1"/>
  <c r="P2867" i="1"/>
  <c r="O2867" i="1"/>
  <c r="N2867" i="1"/>
  <c r="AA2866" i="1"/>
  <c r="T2866" i="1"/>
  <c r="P2866" i="1"/>
  <c r="O2866" i="1"/>
  <c r="N2866" i="1"/>
  <c r="AA2865" i="1"/>
  <c r="T2865" i="1"/>
  <c r="P2865" i="1"/>
  <c r="O2865" i="1"/>
  <c r="N2865" i="1"/>
  <c r="AA2864" i="1"/>
  <c r="T2864" i="1"/>
  <c r="P2864" i="1"/>
  <c r="O2864" i="1"/>
  <c r="N2864" i="1"/>
  <c r="AA2863" i="1"/>
  <c r="T2863" i="1"/>
  <c r="P2863" i="1"/>
  <c r="O2863" i="1"/>
  <c r="N2863" i="1"/>
  <c r="AA2862" i="1"/>
  <c r="T2862" i="1"/>
  <c r="P2862" i="1"/>
  <c r="O2862" i="1"/>
  <c r="N2862" i="1"/>
  <c r="AA2861" i="1"/>
  <c r="T2861" i="1"/>
  <c r="P2861" i="1"/>
  <c r="O2861" i="1"/>
  <c r="N2861" i="1"/>
  <c r="AA2860" i="1"/>
  <c r="T2860" i="1"/>
  <c r="P2860" i="1"/>
  <c r="O2860" i="1"/>
  <c r="N2860" i="1"/>
  <c r="AA2859" i="1"/>
  <c r="T2859" i="1"/>
  <c r="P2859" i="1"/>
  <c r="O2859" i="1"/>
  <c r="N2859" i="1"/>
  <c r="AA2858" i="1"/>
  <c r="T2858" i="1"/>
  <c r="P2858" i="1"/>
  <c r="O2858" i="1"/>
  <c r="N2858" i="1"/>
  <c r="AA2857" i="1"/>
  <c r="T2857" i="1"/>
  <c r="P2857" i="1"/>
  <c r="O2857" i="1"/>
  <c r="N2857" i="1"/>
  <c r="AA2856" i="1"/>
  <c r="T2856" i="1"/>
  <c r="P2856" i="1"/>
  <c r="O2856" i="1"/>
  <c r="N2856" i="1"/>
  <c r="AA2855" i="1"/>
  <c r="T2855" i="1"/>
  <c r="P2855" i="1"/>
  <c r="O2855" i="1"/>
  <c r="N2855" i="1"/>
  <c r="AA2854" i="1"/>
  <c r="T2854" i="1"/>
  <c r="P2854" i="1"/>
  <c r="O2854" i="1"/>
  <c r="N2854" i="1"/>
  <c r="AA2853" i="1"/>
  <c r="T2853" i="1"/>
  <c r="P2853" i="1"/>
  <c r="O2853" i="1"/>
  <c r="N2853" i="1"/>
  <c r="AA2852" i="1"/>
  <c r="T2852" i="1"/>
  <c r="P2852" i="1"/>
  <c r="O2852" i="1"/>
  <c r="N2852" i="1"/>
  <c r="AA2851" i="1"/>
  <c r="T2851" i="1"/>
  <c r="P2851" i="1"/>
  <c r="O2851" i="1"/>
  <c r="N2851" i="1"/>
  <c r="AA2849" i="1"/>
  <c r="T2849" i="1"/>
  <c r="P2849" i="1"/>
  <c r="O2849" i="1"/>
  <c r="N2849" i="1"/>
  <c r="AA2848" i="1"/>
  <c r="T2848" i="1"/>
  <c r="P2848" i="1"/>
  <c r="O2848" i="1"/>
  <c r="N2848" i="1"/>
  <c r="AA2847" i="1"/>
  <c r="T2847" i="1"/>
  <c r="P2847" i="1"/>
  <c r="O2847" i="1"/>
  <c r="N2847" i="1"/>
  <c r="AA2846" i="1"/>
  <c r="T2846" i="1"/>
  <c r="P2846" i="1"/>
  <c r="O2846" i="1"/>
  <c r="N2846" i="1"/>
  <c r="AA2845" i="1"/>
  <c r="T2845" i="1"/>
  <c r="P2845" i="1"/>
  <c r="O2845" i="1"/>
  <c r="N2845" i="1"/>
  <c r="AA2844" i="1"/>
  <c r="T2844" i="1"/>
  <c r="P2844" i="1"/>
  <c r="O2844" i="1"/>
  <c r="N2844" i="1"/>
  <c r="AA2843" i="1"/>
  <c r="T2843" i="1"/>
  <c r="P2843" i="1"/>
  <c r="O2843" i="1"/>
  <c r="N2843" i="1"/>
  <c r="AA2842" i="1"/>
  <c r="T2842" i="1"/>
  <c r="P2842" i="1"/>
  <c r="O2842" i="1"/>
  <c r="N2842" i="1"/>
  <c r="AA2841" i="1"/>
  <c r="T2841" i="1"/>
  <c r="P2841" i="1"/>
  <c r="O2841" i="1"/>
  <c r="N2841" i="1"/>
  <c r="AA2840" i="1"/>
  <c r="T2840" i="1"/>
  <c r="P2840" i="1"/>
  <c r="O2840" i="1"/>
  <c r="N2840" i="1"/>
  <c r="AA2838" i="1"/>
  <c r="T2838" i="1"/>
  <c r="P2838" i="1"/>
  <c r="O2838" i="1"/>
  <c r="N2838" i="1"/>
  <c r="AA2837" i="1"/>
  <c r="T2837" i="1"/>
  <c r="P2837" i="1"/>
  <c r="O2837" i="1"/>
  <c r="N2837" i="1"/>
  <c r="AA2836" i="1"/>
  <c r="T2836" i="1"/>
  <c r="P2836" i="1"/>
  <c r="O2836" i="1"/>
  <c r="N2836" i="1"/>
  <c r="AA2835" i="1"/>
  <c r="T2835" i="1"/>
  <c r="P2835" i="1"/>
  <c r="O2835" i="1"/>
  <c r="N2835" i="1"/>
  <c r="AA2834" i="1"/>
  <c r="T2834" i="1"/>
  <c r="P2834" i="1"/>
  <c r="O2834" i="1"/>
  <c r="N2834" i="1"/>
  <c r="AA2833" i="1"/>
  <c r="T2833" i="1"/>
  <c r="P2833" i="1"/>
  <c r="O2833" i="1"/>
  <c r="N2833" i="1"/>
  <c r="AA2830" i="1"/>
  <c r="T2830" i="1"/>
  <c r="P2830" i="1"/>
  <c r="O2830" i="1"/>
  <c r="N2830" i="1"/>
  <c r="AA2829" i="1"/>
  <c r="T2829" i="1"/>
  <c r="P2829" i="1"/>
  <c r="O2829" i="1"/>
  <c r="N2829" i="1"/>
  <c r="AA2828" i="1"/>
  <c r="T2828" i="1"/>
  <c r="P2828" i="1"/>
  <c r="O2828" i="1"/>
  <c r="N2828" i="1"/>
  <c r="AA2827" i="1"/>
  <c r="T2827" i="1"/>
  <c r="P2827" i="1"/>
  <c r="O2827" i="1"/>
  <c r="N2827" i="1"/>
  <c r="AA2826" i="1"/>
  <c r="T2826" i="1"/>
  <c r="P2826" i="1"/>
  <c r="O2826" i="1"/>
  <c r="N2826" i="1"/>
  <c r="AA2825" i="1"/>
  <c r="T2825" i="1"/>
  <c r="P2825" i="1"/>
  <c r="O2825" i="1"/>
  <c r="N2825" i="1"/>
  <c r="AA2824" i="1"/>
  <c r="T2824" i="1"/>
  <c r="P2824" i="1"/>
  <c r="O2824" i="1"/>
  <c r="N2824" i="1"/>
  <c r="AA2823" i="1"/>
  <c r="T2823" i="1"/>
  <c r="P2823" i="1"/>
  <c r="O2823" i="1"/>
  <c r="N2823" i="1"/>
  <c r="AA2822" i="1"/>
  <c r="T2822" i="1"/>
  <c r="P2822" i="1"/>
  <c r="O2822" i="1"/>
  <c r="N2822" i="1"/>
  <c r="AA2819" i="1"/>
  <c r="T2819" i="1"/>
  <c r="P2819" i="1"/>
  <c r="O2819" i="1"/>
  <c r="N2819" i="1"/>
  <c r="AA2818" i="1"/>
  <c r="T2818" i="1"/>
  <c r="P2818" i="1"/>
  <c r="O2818" i="1"/>
  <c r="N2818" i="1"/>
  <c r="AA2815" i="1"/>
  <c r="T2815" i="1"/>
  <c r="P2815" i="1"/>
  <c r="O2815" i="1"/>
  <c r="N2815" i="1"/>
  <c r="AA2814" i="1"/>
  <c r="T2814" i="1"/>
  <c r="P2814" i="1"/>
  <c r="O2814" i="1"/>
  <c r="N2814" i="1"/>
  <c r="AA2813" i="1"/>
  <c r="T2813" i="1"/>
  <c r="P2813" i="1"/>
  <c r="O2813" i="1"/>
  <c r="N2813" i="1"/>
  <c r="AA2812" i="1"/>
  <c r="T2812" i="1"/>
  <c r="P2812" i="1"/>
  <c r="O2812" i="1"/>
  <c r="N2812" i="1"/>
  <c r="AA2811" i="1"/>
  <c r="T2811" i="1"/>
  <c r="P2811" i="1"/>
  <c r="O2811" i="1"/>
  <c r="N2811" i="1"/>
  <c r="AA2810" i="1"/>
  <c r="T2810" i="1"/>
  <c r="P2810" i="1"/>
  <c r="O2810" i="1"/>
  <c r="N2810" i="1"/>
  <c r="AA2808" i="1"/>
  <c r="T2808" i="1"/>
  <c r="P2808" i="1"/>
  <c r="O2808" i="1"/>
  <c r="N2808" i="1"/>
  <c r="AA2807" i="1"/>
  <c r="T2807" i="1"/>
  <c r="P2807" i="1"/>
  <c r="O2807" i="1"/>
  <c r="N2807" i="1"/>
  <c r="AA2806" i="1"/>
  <c r="T2806" i="1"/>
  <c r="P2806" i="1"/>
  <c r="O2806" i="1"/>
  <c r="N2806" i="1"/>
  <c r="AA2805" i="1"/>
  <c r="T2805" i="1"/>
  <c r="P2805" i="1"/>
  <c r="O2805" i="1"/>
  <c r="N2805" i="1"/>
  <c r="AA2802" i="1"/>
  <c r="T2802" i="1"/>
  <c r="P2802" i="1"/>
  <c r="O2802" i="1"/>
  <c r="N2802" i="1"/>
  <c r="AA2801" i="1"/>
  <c r="T2801" i="1"/>
  <c r="P2801" i="1"/>
  <c r="O2801" i="1"/>
  <c r="N2801" i="1"/>
  <c r="AA2800" i="1"/>
  <c r="T2800" i="1"/>
  <c r="P2800" i="1"/>
  <c r="O2800" i="1"/>
  <c r="N2800" i="1"/>
  <c r="AA2798" i="1"/>
  <c r="T2798" i="1"/>
  <c r="P2798" i="1"/>
  <c r="O2798" i="1"/>
  <c r="N2798" i="1"/>
  <c r="AA2797" i="1"/>
  <c r="T2797" i="1"/>
  <c r="P2797" i="1"/>
  <c r="O2797" i="1"/>
  <c r="N2797" i="1"/>
  <c r="AA2796" i="1"/>
  <c r="T2796" i="1"/>
  <c r="P2796" i="1"/>
  <c r="O2796" i="1"/>
  <c r="N2796" i="1"/>
  <c r="AA2795" i="1"/>
  <c r="T2795" i="1"/>
  <c r="P2795" i="1"/>
  <c r="O2795" i="1"/>
  <c r="N2795" i="1"/>
  <c r="AA2794" i="1"/>
  <c r="T2794" i="1"/>
  <c r="P2794" i="1"/>
  <c r="O2794" i="1"/>
  <c r="N2794" i="1"/>
  <c r="AA2792" i="1"/>
  <c r="T2792" i="1"/>
  <c r="P2792" i="1"/>
  <c r="O2792" i="1"/>
  <c r="N2792" i="1"/>
  <c r="AA2791" i="1"/>
  <c r="T2791" i="1"/>
  <c r="P2791" i="1"/>
  <c r="O2791" i="1"/>
  <c r="N2791" i="1"/>
  <c r="AA2790" i="1"/>
  <c r="T2790" i="1"/>
  <c r="P2790" i="1"/>
  <c r="O2790" i="1"/>
  <c r="N2790" i="1"/>
  <c r="AA2789" i="1"/>
  <c r="T2789" i="1"/>
  <c r="P2789" i="1"/>
  <c r="O2789" i="1"/>
  <c r="N2789" i="1"/>
  <c r="AA2788" i="1"/>
  <c r="T2788" i="1"/>
  <c r="P2788" i="1"/>
  <c r="O2788" i="1"/>
  <c r="N2788" i="1"/>
  <c r="AA2787" i="1"/>
  <c r="T2787" i="1"/>
  <c r="P2787" i="1"/>
  <c r="O2787" i="1"/>
  <c r="N2787" i="1"/>
  <c r="AA2783" i="1"/>
  <c r="T2783" i="1"/>
  <c r="P2783" i="1"/>
  <c r="O2783" i="1"/>
  <c r="N2783" i="1"/>
  <c r="AA2781" i="1"/>
  <c r="T2781" i="1"/>
  <c r="P2781" i="1"/>
  <c r="O2781" i="1"/>
  <c r="N2781" i="1"/>
  <c r="AA2779" i="1"/>
  <c r="T2779" i="1"/>
  <c r="P2779" i="1"/>
  <c r="O2779" i="1"/>
  <c r="N2779" i="1"/>
  <c r="AA2778" i="1"/>
  <c r="T2778" i="1"/>
  <c r="P2778" i="1"/>
  <c r="O2778" i="1"/>
  <c r="N2778" i="1"/>
  <c r="AA2777" i="1"/>
  <c r="T2777" i="1"/>
  <c r="P2777" i="1"/>
  <c r="O2777" i="1"/>
  <c r="N2777" i="1"/>
  <c r="AA2774" i="1"/>
  <c r="T2774" i="1"/>
  <c r="P2774" i="1"/>
  <c r="O2774" i="1"/>
  <c r="N2774" i="1"/>
  <c r="AA2772" i="1"/>
  <c r="T2772" i="1"/>
  <c r="P2772" i="1"/>
  <c r="O2772" i="1"/>
  <c r="N2772" i="1"/>
  <c r="AA2771" i="1"/>
  <c r="T2771" i="1"/>
  <c r="P2771" i="1"/>
  <c r="O2771" i="1"/>
  <c r="N2771" i="1"/>
  <c r="AA2769" i="1"/>
  <c r="T2769" i="1"/>
  <c r="P2769" i="1"/>
  <c r="O2769" i="1"/>
  <c r="N2769" i="1"/>
  <c r="AA2768" i="1"/>
  <c r="T2768" i="1"/>
  <c r="P2768" i="1"/>
  <c r="O2768" i="1"/>
  <c r="N2768" i="1"/>
  <c r="AA2767" i="1"/>
  <c r="T2767" i="1"/>
  <c r="P2767" i="1"/>
  <c r="O2767" i="1"/>
  <c r="N2767" i="1"/>
  <c r="AA2766" i="1"/>
  <c r="T2766" i="1"/>
  <c r="P2766" i="1"/>
  <c r="O2766" i="1"/>
  <c r="N2766" i="1"/>
  <c r="AA2763" i="1"/>
  <c r="T2763" i="1"/>
  <c r="P2763" i="1"/>
  <c r="O2763" i="1"/>
  <c r="N2763" i="1"/>
  <c r="AA2758" i="1"/>
  <c r="T2758" i="1"/>
  <c r="P2758" i="1"/>
  <c r="O2758" i="1"/>
  <c r="N2758" i="1"/>
  <c r="AA2757" i="1"/>
  <c r="T2757" i="1"/>
  <c r="P2757" i="1"/>
  <c r="O2757" i="1"/>
  <c r="N2757" i="1"/>
  <c r="AA2756" i="1"/>
  <c r="T2756" i="1"/>
  <c r="P2756" i="1"/>
  <c r="O2756" i="1"/>
  <c r="N2756" i="1"/>
  <c r="AA2755" i="1"/>
  <c r="T2755" i="1"/>
  <c r="P2755" i="1"/>
  <c r="O2755" i="1"/>
  <c r="N2755" i="1"/>
  <c r="AA2754" i="1"/>
  <c r="T2754" i="1"/>
  <c r="P2754" i="1"/>
  <c r="O2754" i="1"/>
  <c r="N2754" i="1"/>
  <c r="AA2753" i="1"/>
  <c r="T2753" i="1"/>
  <c r="P2753" i="1"/>
  <c r="O2753" i="1"/>
  <c r="N2753" i="1"/>
  <c r="AA2752" i="1"/>
  <c r="T2752" i="1"/>
  <c r="P2752" i="1"/>
  <c r="O2752" i="1"/>
  <c r="N2752" i="1"/>
  <c r="AA2751" i="1"/>
  <c r="T2751" i="1"/>
  <c r="P2751" i="1"/>
  <c r="O2751" i="1"/>
  <c r="N2751" i="1"/>
  <c r="AA2750" i="1"/>
  <c r="T2750" i="1"/>
  <c r="P2750" i="1"/>
  <c r="O2750" i="1"/>
  <c r="N2750" i="1"/>
  <c r="AA2749" i="1"/>
  <c r="T2749" i="1"/>
  <c r="P2749" i="1"/>
  <c r="O2749" i="1"/>
  <c r="N2749" i="1"/>
  <c r="AA2745" i="1"/>
  <c r="T2745" i="1"/>
  <c r="P2745" i="1"/>
  <c r="O2745" i="1"/>
  <c r="N2745" i="1"/>
  <c r="AA2744" i="1"/>
  <c r="T2744" i="1"/>
  <c r="P2744" i="1"/>
  <c r="O2744" i="1"/>
  <c r="N2744" i="1"/>
  <c r="AA2743" i="1"/>
  <c r="T2743" i="1"/>
  <c r="P2743" i="1"/>
  <c r="O2743" i="1"/>
  <c r="N2743" i="1"/>
  <c r="AA2742" i="1"/>
  <c r="T2742" i="1"/>
  <c r="P2742" i="1"/>
  <c r="O2742" i="1"/>
  <c r="N2742" i="1"/>
  <c r="AA2741" i="1"/>
  <c r="T2741" i="1"/>
  <c r="P2741" i="1"/>
  <c r="O2741" i="1"/>
  <c r="N2741" i="1"/>
  <c r="AA2739" i="1"/>
  <c r="T2739" i="1"/>
  <c r="P2739" i="1"/>
  <c r="O2739" i="1"/>
  <c r="N2739" i="1"/>
  <c r="AA2738" i="1"/>
  <c r="T2738" i="1"/>
  <c r="P2738" i="1"/>
  <c r="O2738" i="1"/>
  <c r="N2738" i="1"/>
  <c r="AA2737" i="1"/>
  <c r="T2737" i="1"/>
  <c r="P2737" i="1"/>
  <c r="O2737" i="1"/>
  <c r="N2737" i="1"/>
  <c r="AA2736" i="1"/>
  <c r="T2736" i="1"/>
  <c r="P2736" i="1"/>
  <c r="O2736" i="1"/>
  <c r="N2736" i="1"/>
  <c r="AA2735" i="1"/>
  <c r="T2735" i="1"/>
  <c r="P2735" i="1"/>
  <c r="O2735" i="1"/>
  <c r="N2735" i="1"/>
  <c r="AA2733" i="1"/>
  <c r="T2733" i="1"/>
  <c r="P2733" i="1"/>
  <c r="O2733" i="1"/>
  <c r="N2733" i="1"/>
  <c r="AA2732" i="1"/>
  <c r="T2732" i="1"/>
  <c r="P2732" i="1"/>
  <c r="O2732" i="1"/>
  <c r="N2732" i="1"/>
  <c r="AA2731" i="1"/>
  <c r="T2731" i="1"/>
  <c r="P2731" i="1"/>
  <c r="O2731" i="1"/>
  <c r="N2731" i="1"/>
  <c r="AA2730" i="1"/>
  <c r="T2730" i="1"/>
  <c r="P2730" i="1"/>
  <c r="O2730" i="1"/>
  <c r="N2730" i="1"/>
  <c r="AA2726" i="1"/>
  <c r="T2726" i="1"/>
  <c r="P2726" i="1"/>
  <c r="O2726" i="1"/>
  <c r="N2726" i="1"/>
  <c r="AA2725" i="1"/>
  <c r="T2725" i="1"/>
  <c r="P2725" i="1"/>
  <c r="O2725" i="1"/>
  <c r="N2725" i="1"/>
  <c r="AA2724" i="1"/>
  <c r="T2724" i="1"/>
  <c r="P2724" i="1"/>
  <c r="O2724" i="1"/>
  <c r="N2724" i="1"/>
  <c r="AA2723" i="1"/>
  <c r="T2723" i="1"/>
  <c r="P2723" i="1"/>
  <c r="O2723" i="1"/>
  <c r="N2723" i="1"/>
  <c r="AA2722" i="1"/>
  <c r="T2722" i="1"/>
  <c r="P2722" i="1"/>
  <c r="O2722" i="1"/>
  <c r="N2722" i="1"/>
  <c r="AA2721" i="1"/>
  <c r="T2721" i="1"/>
  <c r="P2721" i="1"/>
  <c r="O2721" i="1"/>
  <c r="N2721" i="1"/>
  <c r="AA2720" i="1"/>
  <c r="T2720" i="1"/>
  <c r="P2720" i="1"/>
  <c r="O2720" i="1"/>
  <c r="N2720" i="1"/>
  <c r="AA2719" i="1"/>
  <c r="T2719" i="1"/>
  <c r="P2719" i="1"/>
  <c r="O2719" i="1"/>
  <c r="N2719" i="1"/>
  <c r="AA2718" i="1"/>
  <c r="T2718" i="1"/>
  <c r="P2718" i="1"/>
  <c r="O2718" i="1"/>
  <c r="N2718" i="1"/>
  <c r="AA2717" i="1"/>
  <c r="T2717" i="1"/>
  <c r="P2717" i="1"/>
  <c r="O2717" i="1"/>
  <c r="N2717" i="1"/>
  <c r="AA2716" i="1"/>
  <c r="T2716" i="1"/>
  <c r="P2716" i="1"/>
  <c r="O2716" i="1"/>
  <c r="N2716" i="1"/>
  <c r="AA2714" i="1"/>
  <c r="T2714" i="1"/>
  <c r="P2714" i="1"/>
  <c r="O2714" i="1"/>
  <c r="N2714" i="1"/>
  <c r="AA2713" i="1"/>
  <c r="T2713" i="1"/>
  <c r="P2713" i="1"/>
  <c r="O2713" i="1"/>
  <c r="N2713" i="1"/>
  <c r="AA2712" i="1"/>
  <c r="T2712" i="1"/>
  <c r="P2712" i="1"/>
  <c r="O2712" i="1"/>
  <c r="N2712" i="1"/>
  <c r="AA2710" i="1"/>
  <c r="T2710" i="1"/>
  <c r="P2710" i="1"/>
  <c r="O2710" i="1"/>
  <c r="N2710" i="1"/>
  <c r="AA2709" i="1"/>
  <c r="T2709" i="1"/>
  <c r="P2709" i="1"/>
  <c r="O2709" i="1"/>
  <c r="N2709" i="1"/>
  <c r="AA2708" i="1"/>
  <c r="T2708" i="1"/>
  <c r="P2708" i="1"/>
  <c r="O2708" i="1"/>
  <c r="N2708" i="1"/>
  <c r="AA2707" i="1"/>
  <c r="T2707" i="1"/>
  <c r="P2707" i="1"/>
  <c r="O2707" i="1"/>
  <c r="N2707" i="1"/>
  <c r="AA2706" i="1"/>
  <c r="T2706" i="1"/>
  <c r="P2706" i="1"/>
  <c r="O2706" i="1"/>
  <c r="N2706" i="1"/>
  <c r="AA2705" i="1"/>
  <c r="T2705" i="1"/>
  <c r="P2705" i="1"/>
  <c r="O2705" i="1"/>
  <c r="N2705" i="1"/>
  <c r="AA2704" i="1"/>
  <c r="T2704" i="1"/>
  <c r="P2704" i="1"/>
  <c r="O2704" i="1"/>
  <c r="N2704" i="1"/>
  <c r="AA2703" i="1"/>
  <c r="T2703" i="1"/>
  <c r="P2703" i="1"/>
  <c r="O2703" i="1"/>
  <c r="N2703" i="1"/>
  <c r="AA2701" i="1"/>
  <c r="T2701" i="1"/>
  <c r="P2701" i="1"/>
  <c r="O2701" i="1"/>
  <c r="N2701" i="1"/>
  <c r="AA2700" i="1"/>
  <c r="T2700" i="1"/>
  <c r="P2700" i="1"/>
  <c r="O2700" i="1"/>
  <c r="N2700" i="1"/>
  <c r="AA2699" i="1"/>
  <c r="T2699" i="1"/>
  <c r="P2699" i="1"/>
  <c r="O2699" i="1"/>
  <c r="N2699" i="1"/>
  <c r="AA2698" i="1"/>
  <c r="T2698" i="1"/>
  <c r="P2698" i="1"/>
  <c r="O2698" i="1"/>
  <c r="N2698" i="1"/>
  <c r="AA2697" i="1"/>
  <c r="T2697" i="1"/>
  <c r="P2697" i="1"/>
  <c r="O2697" i="1"/>
  <c r="N2697" i="1"/>
  <c r="AA2696" i="1"/>
  <c r="T2696" i="1"/>
  <c r="P2696" i="1"/>
  <c r="O2696" i="1"/>
  <c r="N2696" i="1"/>
  <c r="AA2695" i="1"/>
  <c r="T2695" i="1"/>
  <c r="P2695" i="1"/>
  <c r="O2695" i="1"/>
  <c r="N2695" i="1"/>
  <c r="AA2694" i="1"/>
  <c r="T2694" i="1"/>
  <c r="P2694" i="1"/>
  <c r="O2694" i="1"/>
  <c r="N2694" i="1"/>
  <c r="AA2693" i="1"/>
  <c r="T2693" i="1"/>
  <c r="P2693" i="1"/>
  <c r="O2693" i="1"/>
  <c r="N2693" i="1"/>
  <c r="AA2692" i="1"/>
  <c r="T2692" i="1"/>
  <c r="P2692" i="1"/>
  <c r="O2692" i="1"/>
  <c r="N2692" i="1"/>
  <c r="AA2691" i="1"/>
  <c r="T2691" i="1"/>
  <c r="P2691" i="1"/>
  <c r="O2691" i="1"/>
  <c r="N2691" i="1"/>
  <c r="AA2690" i="1"/>
  <c r="T2690" i="1"/>
  <c r="P2690" i="1"/>
  <c r="O2690" i="1"/>
  <c r="N2690" i="1"/>
  <c r="AA2689" i="1"/>
  <c r="T2689" i="1"/>
  <c r="P2689" i="1"/>
  <c r="O2689" i="1"/>
  <c r="N2689" i="1"/>
  <c r="AA2688" i="1"/>
  <c r="T2688" i="1"/>
  <c r="P2688" i="1"/>
  <c r="O2688" i="1"/>
  <c r="N2688" i="1"/>
  <c r="AA2687" i="1"/>
  <c r="T2687" i="1"/>
  <c r="P2687" i="1"/>
  <c r="O2687" i="1"/>
  <c r="N2687" i="1"/>
  <c r="AA2686" i="1"/>
  <c r="T2686" i="1"/>
  <c r="P2686" i="1"/>
  <c r="O2686" i="1"/>
  <c r="N2686" i="1"/>
  <c r="AA2685" i="1"/>
  <c r="T2685" i="1"/>
  <c r="P2685" i="1"/>
  <c r="O2685" i="1"/>
  <c r="N2685" i="1"/>
  <c r="AA2684" i="1"/>
  <c r="T2684" i="1"/>
  <c r="P2684" i="1"/>
  <c r="O2684" i="1"/>
  <c r="N2684" i="1"/>
  <c r="AA2683" i="1"/>
  <c r="T2683" i="1"/>
  <c r="P2683" i="1"/>
  <c r="O2683" i="1"/>
  <c r="N2683" i="1"/>
  <c r="AA2682" i="1"/>
  <c r="T2682" i="1"/>
  <c r="P2682" i="1"/>
  <c r="O2682" i="1"/>
  <c r="N2682" i="1"/>
  <c r="AA2680" i="1"/>
  <c r="T2680" i="1"/>
  <c r="P2680" i="1"/>
  <c r="O2680" i="1"/>
  <c r="N2680" i="1"/>
  <c r="AA2679" i="1"/>
  <c r="T2679" i="1"/>
  <c r="P2679" i="1"/>
  <c r="O2679" i="1"/>
  <c r="N2679" i="1"/>
  <c r="AA2678" i="1"/>
  <c r="T2678" i="1"/>
  <c r="P2678" i="1"/>
  <c r="O2678" i="1"/>
  <c r="N2678" i="1"/>
  <c r="AA2677" i="1"/>
  <c r="T2677" i="1"/>
  <c r="P2677" i="1"/>
  <c r="O2677" i="1"/>
  <c r="N2677" i="1"/>
  <c r="AA2675" i="1"/>
  <c r="T2675" i="1"/>
  <c r="P2675" i="1"/>
  <c r="O2675" i="1"/>
  <c r="N2675" i="1"/>
  <c r="AA2672" i="1"/>
  <c r="T2672" i="1"/>
  <c r="P2672" i="1"/>
  <c r="O2672" i="1"/>
  <c r="N2672" i="1"/>
  <c r="AA2671" i="1"/>
  <c r="T2671" i="1"/>
  <c r="P2671" i="1"/>
  <c r="O2671" i="1"/>
  <c r="N2671" i="1"/>
  <c r="AA2669" i="1"/>
  <c r="T2669" i="1"/>
  <c r="P2669" i="1"/>
  <c r="O2669" i="1"/>
  <c r="N2669" i="1"/>
  <c r="AA2668" i="1"/>
  <c r="T2668" i="1"/>
  <c r="P2668" i="1"/>
  <c r="O2668" i="1"/>
  <c r="N2668" i="1"/>
  <c r="AA2667" i="1"/>
  <c r="T2667" i="1"/>
  <c r="N2667" i="1"/>
  <c r="AA2666" i="1"/>
  <c r="T2666" i="1"/>
  <c r="P2666" i="1"/>
  <c r="O2666" i="1"/>
  <c r="N2666" i="1"/>
  <c r="AA2665" i="1"/>
  <c r="T2665" i="1"/>
  <c r="N2665" i="1"/>
  <c r="AA2664" i="1"/>
  <c r="T2664" i="1"/>
  <c r="P2664" i="1"/>
  <c r="O2664" i="1"/>
  <c r="N2664" i="1"/>
  <c r="AA2663" i="1"/>
  <c r="T2663" i="1"/>
  <c r="N2663" i="1"/>
  <c r="AA2662" i="1"/>
  <c r="T2662" i="1"/>
  <c r="N2662" i="1"/>
  <c r="AA2661" i="1"/>
  <c r="T2661" i="1"/>
  <c r="N2661" i="1"/>
  <c r="AA2660" i="1"/>
  <c r="T2660" i="1"/>
  <c r="P2660" i="1"/>
  <c r="O2660" i="1"/>
  <c r="N2660" i="1"/>
  <c r="AA2659" i="1"/>
  <c r="T2659" i="1"/>
  <c r="P2659" i="1"/>
  <c r="O2659" i="1"/>
  <c r="N2659" i="1"/>
  <c r="AA2658" i="1"/>
  <c r="T2658" i="1"/>
  <c r="N2658" i="1"/>
  <c r="AA2657" i="1"/>
  <c r="T2657" i="1"/>
  <c r="P2657" i="1"/>
  <c r="O2657" i="1"/>
  <c r="N2657" i="1"/>
  <c r="AA2656" i="1"/>
  <c r="T2656" i="1"/>
  <c r="N2656" i="1"/>
  <c r="AA2655" i="1"/>
  <c r="T2655" i="1"/>
  <c r="N2655" i="1"/>
  <c r="AA2654" i="1"/>
  <c r="T2654" i="1"/>
  <c r="P2654" i="1"/>
  <c r="O2654" i="1"/>
  <c r="N2654" i="1"/>
  <c r="AA2653" i="1"/>
  <c r="T2653" i="1"/>
  <c r="P2653" i="1"/>
  <c r="O2653" i="1"/>
  <c r="N2653" i="1"/>
  <c r="AA2652" i="1"/>
  <c r="T2652" i="1"/>
  <c r="P2652" i="1"/>
  <c r="O2652" i="1"/>
  <c r="N2652" i="1"/>
  <c r="AA2651" i="1"/>
  <c r="T2651" i="1"/>
  <c r="P2651" i="1"/>
  <c r="O2651" i="1"/>
  <c r="N2651" i="1"/>
  <c r="AA2647" i="1"/>
  <c r="T2647" i="1"/>
  <c r="P2647" i="1"/>
  <c r="O2647" i="1"/>
  <c r="N2647" i="1"/>
  <c r="AA2645" i="1"/>
  <c r="T2645" i="1"/>
  <c r="P2645" i="1"/>
  <c r="O2645" i="1"/>
  <c r="N2645" i="1"/>
  <c r="AA2641" i="1"/>
  <c r="T2641" i="1"/>
  <c r="P2641" i="1"/>
  <c r="O2641" i="1"/>
  <c r="N2641" i="1"/>
  <c r="AA2637" i="1"/>
  <c r="T2637" i="1"/>
  <c r="P2637" i="1"/>
  <c r="O2637" i="1"/>
  <c r="N2637" i="1"/>
  <c r="AA2631" i="1"/>
  <c r="T2631" i="1"/>
  <c r="P2631" i="1"/>
  <c r="O2631" i="1"/>
  <c r="N2631" i="1"/>
  <c r="AA2630" i="1"/>
  <c r="T2630" i="1"/>
  <c r="P2630" i="1"/>
  <c r="O2630" i="1"/>
  <c r="N2630" i="1"/>
  <c r="AA2629" i="1"/>
  <c r="T2629" i="1"/>
  <c r="P2629" i="1"/>
  <c r="O2629" i="1"/>
  <c r="N2629" i="1"/>
  <c r="AA2628" i="1"/>
  <c r="T2628" i="1"/>
  <c r="P2628" i="1"/>
  <c r="O2628" i="1"/>
  <c r="N2628" i="1"/>
  <c r="AA2627" i="1"/>
  <c r="T2627" i="1"/>
  <c r="P2627" i="1"/>
  <c r="O2627" i="1"/>
  <c r="N2627" i="1"/>
  <c r="AA2626" i="1"/>
  <c r="T2626" i="1"/>
  <c r="P2626" i="1"/>
  <c r="O2626" i="1"/>
  <c r="N2626" i="1"/>
  <c r="AA2625" i="1"/>
  <c r="T2625" i="1"/>
  <c r="P2625" i="1"/>
  <c r="O2625" i="1"/>
  <c r="N2625" i="1"/>
  <c r="AA2624" i="1"/>
  <c r="T2624" i="1"/>
  <c r="P2624" i="1"/>
  <c r="O2624" i="1"/>
  <c r="N2624" i="1"/>
  <c r="AA2623" i="1"/>
  <c r="T2623" i="1"/>
  <c r="P2623" i="1"/>
  <c r="O2623" i="1"/>
  <c r="N2623" i="1"/>
  <c r="AA2622" i="1"/>
  <c r="T2622" i="1"/>
  <c r="P2622" i="1"/>
  <c r="O2622" i="1"/>
  <c r="N2622" i="1"/>
  <c r="P2621" i="1"/>
  <c r="O2621" i="1"/>
  <c r="N2621" i="1"/>
  <c r="P2620" i="1"/>
  <c r="O2620" i="1"/>
  <c r="N2620" i="1"/>
  <c r="AA2618" i="1"/>
  <c r="T2618" i="1"/>
  <c r="P2618" i="1"/>
  <c r="O2618" i="1"/>
  <c r="N2618" i="1"/>
  <c r="AA2617" i="1"/>
  <c r="T2617" i="1"/>
  <c r="P2617" i="1"/>
  <c r="O2617" i="1"/>
  <c r="N2617" i="1"/>
  <c r="AA2616" i="1"/>
  <c r="T2616" i="1"/>
  <c r="P2616" i="1"/>
  <c r="O2616" i="1"/>
  <c r="N2616" i="1"/>
  <c r="AA2615" i="1"/>
  <c r="T2615" i="1"/>
  <c r="P2615" i="1"/>
  <c r="O2615" i="1"/>
  <c r="N2615" i="1"/>
  <c r="AA2614" i="1"/>
  <c r="T2614" i="1"/>
  <c r="P2614" i="1"/>
  <c r="O2614" i="1"/>
  <c r="N2614" i="1"/>
  <c r="AA2613" i="1"/>
  <c r="T2613" i="1"/>
  <c r="P2613" i="1"/>
  <c r="O2613" i="1"/>
  <c r="N2613" i="1"/>
  <c r="AA2612" i="1"/>
  <c r="T2612" i="1"/>
  <c r="P2612" i="1"/>
  <c r="O2612" i="1"/>
  <c r="N2612" i="1"/>
  <c r="AA2611" i="1"/>
  <c r="T2611" i="1"/>
  <c r="P2611" i="1"/>
  <c r="O2611" i="1"/>
  <c r="N2611" i="1"/>
  <c r="AA2610" i="1"/>
  <c r="T2610" i="1"/>
  <c r="P2610" i="1"/>
  <c r="O2610" i="1"/>
  <c r="N2610" i="1"/>
  <c r="AA2609" i="1"/>
  <c r="T2609" i="1"/>
  <c r="P2609" i="1"/>
  <c r="O2609" i="1"/>
  <c r="N2609" i="1"/>
  <c r="AA2608" i="1"/>
  <c r="T2608" i="1"/>
  <c r="P2608" i="1"/>
  <c r="O2608" i="1"/>
  <c r="N2608" i="1"/>
  <c r="AA2607" i="1"/>
  <c r="T2607" i="1"/>
  <c r="P2607" i="1"/>
  <c r="O2607" i="1"/>
  <c r="N2607" i="1"/>
  <c r="P2606" i="1"/>
  <c r="O2606" i="1"/>
  <c r="N2606" i="1"/>
  <c r="P2605" i="1"/>
  <c r="O2605" i="1"/>
  <c r="N2605" i="1"/>
  <c r="AA2602" i="1"/>
  <c r="T2602" i="1"/>
  <c r="P2602" i="1"/>
  <c r="O2602" i="1"/>
  <c r="N2602" i="1"/>
  <c r="AA2601" i="1"/>
  <c r="T2601" i="1"/>
  <c r="P2601" i="1"/>
  <c r="O2601" i="1"/>
  <c r="N2601" i="1"/>
  <c r="AA2600" i="1"/>
  <c r="T2600" i="1"/>
  <c r="P2600" i="1"/>
  <c r="O2600" i="1"/>
  <c r="N2600" i="1"/>
  <c r="AA2599" i="1"/>
  <c r="T2599" i="1"/>
  <c r="P2599" i="1"/>
  <c r="O2599" i="1"/>
  <c r="N2599" i="1"/>
  <c r="AA2598" i="1"/>
  <c r="T2598" i="1"/>
  <c r="P2598" i="1"/>
  <c r="O2598" i="1"/>
  <c r="N2598" i="1"/>
  <c r="AA2597" i="1"/>
  <c r="T2597" i="1"/>
  <c r="P2597" i="1"/>
  <c r="O2597" i="1"/>
  <c r="N2597" i="1"/>
  <c r="AA2596" i="1"/>
  <c r="T2596" i="1"/>
  <c r="P2596" i="1"/>
  <c r="O2596" i="1"/>
  <c r="N2596" i="1"/>
  <c r="AA2595" i="1"/>
  <c r="T2595" i="1"/>
  <c r="P2595" i="1"/>
  <c r="O2595" i="1"/>
  <c r="N2595" i="1"/>
  <c r="AA2594" i="1"/>
  <c r="T2594" i="1"/>
  <c r="P2594" i="1"/>
  <c r="O2594" i="1"/>
  <c r="N2594" i="1"/>
  <c r="AA2593" i="1"/>
  <c r="T2593" i="1"/>
  <c r="P2593" i="1"/>
  <c r="O2593" i="1"/>
  <c r="N2593" i="1"/>
  <c r="AA2592" i="1"/>
  <c r="T2592" i="1"/>
  <c r="P2592" i="1"/>
  <c r="O2592" i="1"/>
  <c r="N2592" i="1"/>
  <c r="AA2591" i="1"/>
  <c r="T2591" i="1"/>
  <c r="P2591" i="1"/>
  <c r="O2591" i="1"/>
  <c r="N2591" i="1"/>
  <c r="AA2590" i="1"/>
  <c r="T2590" i="1"/>
  <c r="P2590" i="1"/>
  <c r="O2590" i="1"/>
  <c r="N2590" i="1"/>
  <c r="AA2589" i="1"/>
  <c r="T2589" i="1"/>
  <c r="P2589" i="1"/>
  <c r="O2589" i="1"/>
  <c r="N2589" i="1"/>
  <c r="AA2587" i="1"/>
  <c r="T2587" i="1"/>
  <c r="P2587" i="1"/>
  <c r="O2587" i="1"/>
  <c r="N2587" i="1"/>
  <c r="AA2585" i="1"/>
  <c r="T2585" i="1"/>
  <c r="P2585" i="1"/>
  <c r="O2585" i="1"/>
  <c r="N2585" i="1"/>
  <c r="AA2584" i="1"/>
  <c r="T2584" i="1"/>
  <c r="P2584" i="1"/>
  <c r="O2584" i="1"/>
  <c r="N2584" i="1"/>
  <c r="AA2583" i="1"/>
  <c r="T2583" i="1"/>
  <c r="P2583" i="1"/>
  <c r="O2583" i="1"/>
  <c r="N2583" i="1"/>
  <c r="AA2582" i="1"/>
  <c r="T2582" i="1"/>
  <c r="P2582" i="1"/>
  <c r="O2582" i="1"/>
  <c r="N2582" i="1"/>
  <c r="AA2581" i="1"/>
  <c r="T2581" i="1"/>
  <c r="P2581" i="1"/>
  <c r="O2581" i="1"/>
  <c r="N2581" i="1"/>
  <c r="AA2580" i="1"/>
  <c r="T2580" i="1"/>
  <c r="P2580" i="1"/>
  <c r="O2580" i="1"/>
  <c r="N2580" i="1"/>
  <c r="AA2579" i="1"/>
  <c r="T2579" i="1"/>
  <c r="P2579" i="1"/>
  <c r="O2579" i="1"/>
  <c r="N2579" i="1"/>
  <c r="AA2578" i="1"/>
  <c r="T2578" i="1"/>
  <c r="P2578" i="1"/>
  <c r="O2578" i="1"/>
  <c r="N2578" i="1"/>
  <c r="AA2576" i="1"/>
  <c r="T2576" i="1"/>
  <c r="P2576" i="1"/>
  <c r="O2576" i="1"/>
  <c r="N2576" i="1"/>
  <c r="AA2575" i="1"/>
  <c r="T2575" i="1"/>
  <c r="P2575" i="1"/>
  <c r="O2575" i="1"/>
  <c r="N2575" i="1"/>
  <c r="AA2571" i="1"/>
  <c r="T2571" i="1"/>
  <c r="P2571" i="1"/>
  <c r="O2571" i="1"/>
  <c r="N2571" i="1"/>
  <c r="AA2570" i="1"/>
  <c r="T2570" i="1"/>
  <c r="P2570" i="1"/>
  <c r="O2570" i="1"/>
  <c r="N2570" i="1"/>
  <c r="AA2569" i="1"/>
  <c r="T2569" i="1"/>
  <c r="P2569" i="1"/>
  <c r="O2569" i="1"/>
  <c r="N2569" i="1"/>
  <c r="AA2568" i="1"/>
  <c r="T2568" i="1"/>
  <c r="P2568" i="1"/>
  <c r="O2568" i="1"/>
  <c r="N2568" i="1"/>
  <c r="AA2567" i="1"/>
  <c r="T2567" i="1"/>
  <c r="P2567" i="1"/>
  <c r="O2567" i="1"/>
  <c r="N2567" i="1"/>
  <c r="AA2566" i="1"/>
  <c r="T2566" i="1"/>
  <c r="P2566" i="1"/>
  <c r="O2566" i="1"/>
  <c r="N2566" i="1"/>
  <c r="AA2565" i="1"/>
  <c r="T2565" i="1"/>
  <c r="P2565" i="1"/>
  <c r="O2565" i="1"/>
  <c r="N2565" i="1"/>
  <c r="AA2564" i="1"/>
  <c r="T2564" i="1"/>
  <c r="P2564" i="1"/>
  <c r="O2564" i="1"/>
  <c r="N2564" i="1"/>
  <c r="AA2563" i="1"/>
  <c r="T2563" i="1"/>
  <c r="P2563" i="1"/>
  <c r="O2563" i="1"/>
  <c r="N2563" i="1"/>
  <c r="AA2562" i="1"/>
  <c r="T2562" i="1"/>
  <c r="P2562" i="1"/>
  <c r="O2562" i="1"/>
  <c r="N2562" i="1"/>
  <c r="AA2561" i="1"/>
  <c r="T2561" i="1"/>
  <c r="P2561" i="1"/>
  <c r="O2561" i="1"/>
  <c r="N2561" i="1"/>
  <c r="AA2560" i="1"/>
  <c r="T2560" i="1"/>
  <c r="P2560" i="1"/>
  <c r="O2560" i="1"/>
  <c r="N2560" i="1"/>
  <c r="AA2559" i="1"/>
  <c r="T2559" i="1"/>
  <c r="P2559" i="1"/>
  <c r="O2559" i="1"/>
  <c r="N2559" i="1"/>
  <c r="AA2557" i="1"/>
  <c r="T2557" i="1"/>
  <c r="P2557" i="1"/>
  <c r="O2557" i="1"/>
  <c r="N2557" i="1"/>
  <c r="AA2556" i="1"/>
  <c r="T2556" i="1"/>
  <c r="P2556" i="1"/>
  <c r="O2556" i="1"/>
  <c r="N2556" i="1"/>
  <c r="AA2555" i="1"/>
  <c r="T2555" i="1"/>
  <c r="P2555" i="1"/>
  <c r="O2555" i="1"/>
  <c r="N2555" i="1"/>
  <c r="AA2554" i="1"/>
  <c r="T2554" i="1"/>
  <c r="P2554" i="1"/>
  <c r="O2554" i="1"/>
  <c r="N2554" i="1"/>
  <c r="AA2553" i="1"/>
  <c r="T2553" i="1"/>
  <c r="P2553" i="1"/>
  <c r="O2553" i="1"/>
  <c r="N2553" i="1"/>
  <c r="AA2552" i="1"/>
  <c r="T2552" i="1"/>
  <c r="P2552" i="1"/>
  <c r="O2552" i="1"/>
  <c r="N2552" i="1"/>
  <c r="AA2551" i="1"/>
  <c r="T2551" i="1"/>
  <c r="P2551" i="1"/>
  <c r="O2551" i="1"/>
  <c r="N2551" i="1"/>
  <c r="AA2550" i="1"/>
  <c r="T2550" i="1"/>
  <c r="P2550" i="1"/>
  <c r="O2550" i="1"/>
  <c r="N2550" i="1"/>
  <c r="AA2548" i="1"/>
  <c r="T2548" i="1"/>
  <c r="P2548" i="1"/>
  <c r="O2548" i="1"/>
  <c r="N2548" i="1"/>
  <c r="AA2547" i="1"/>
  <c r="T2547" i="1"/>
  <c r="P2547" i="1"/>
  <c r="O2547" i="1"/>
  <c r="N2547" i="1"/>
  <c r="AA2544" i="1"/>
  <c r="T2544" i="1"/>
  <c r="P2544" i="1"/>
  <c r="O2544" i="1"/>
  <c r="N2544" i="1"/>
  <c r="AA2543" i="1"/>
  <c r="T2543" i="1"/>
  <c r="P2543" i="1"/>
  <c r="O2543" i="1"/>
  <c r="N2543" i="1"/>
  <c r="AA2542" i="1"/>
  <c r="T2542" i="1"/>
  <c r="P2542" i="1"/>
  <c r="O2542" i="1"/>
  <c r="N2542" i="1"/>
  <c r="AA2541" i="1"/>
  <c r="T2541" i="1"/>
  <c r="P2541" i="1"/>
  <c r="O2541" i="1"/>
  <c r="N2541" i="1"/>
  <c r="AA2539" i="1"/>
  <c r="T2539" i="1"/>
  <c r="N2539" i="1"/>
  <c r="AA2537" i="1"/>
  <c r="T2537" i="1"/>
  <c r="N2537" i="1"/>
  <c r="AA2535" i="1"/>
  <c r="T2535" i="1"/>
  <c r="N2535" i="1"/>
  <c r="AA2532" i="1"/>
  <c r="T2532" i="1"/>
  <c r="P2532" i="1"/>
  <c r="O2532" i="1"/>
  <c r="N2532" i="1"/>
  <c r="AA2531" i="1"/>
  <c r="T2531" i="1"/>
  <c r="P2531" i="1"/>
  <c r="O2531" i="1"/>
  <c r="N2531" i="1"/>
  <c r="AA2530" i="1"/>
  <c r="T2530" i="1"/>
  <c r="P2530" i="1"/>
  <c r="O2530" i="1"/>
  <c r="N2530" i="1"/>
  <c r="AA2528" i="1"/>
  <c r="T2528" i="1"/>
  <c r="N2528" i="1"/>
  <c r="AA2526" i="1"/>
  <c r="T2526" i="1"/>
  <c r="N2526" i="1"/>
  <c r="AA2525" i="1"/>
  <c r="T2525" i="1"/>
  <c r="N2525" i="1"/>
  <c r="AA2522" i="1"/>
  <c r="T2522" i="1"/>
  <c r="P2522" i="1"/>
  <c r="O2522" i="1"/>
  <c r="N2522" i="1"/>
  <c r="AA2521" i="1"/>
  <c r="T2521" i="1"/>
  <c r="P2521" i="1"/>
  <c r="O2521" i="1"/>
  <c r="N2521" i="1"/>
  <c r="AA2519" i="1"/>
  <c r="T2519" i="1"/>
  <c r="N2519" i="1"/>
  <c r="AA2517" i="1"/>
  <c r="T2517" i="1"/>
  <c r="N2517" i="1"/>
  <c r="AA2516" i="1"/>
  <c r="T2516" i="1"/>
  <c r="N2516" i="1"/>
  <c r="AA2514" i="1"/>
  <c r="T2514" i="1"/>
  <c r="P2514" i="1"/>
  <c r="O2514" i="1"/>
  <c r="N2514" i="1"/>
  <c r="AA2513" i="1"/>
  <c r="T2513" i="1"/>
  <c r="P2513" i="1"/>
  <c r="O2513" i="1"/>
  <c r="N2513" i="1"/>
  <c r="AA2510" i="1"/>
  <c r="T2510" i="1"/>
  <c r="N2510" i="1"/>
  <c r="AA2509" i="1"/>
  <c r="T2509" i="1"/>
  <c r="N2509" i="1"/>
  <c r="AA2507" i="1"/>
  <c r="T2507" i="1"/>
  <c r="N2507" i="1"/>
  <c r="AA2505" i="1"/>
  <c r="T2505" i="1"/>
  <c r="N2505" i="1"/>
  <c r="AA2504" i="1"/>
  <c r="T2504" i="1"/>
  <c r="N2504" i="1"/>
  <c r="AA2502" i="1"/>
  <c r="T2502" i="1"/>
  <c r="N2502" i="1"/>
  <c r="AA2501" i="1"/>
  <c r="T2501" i="1"/>
  <c r="N2501" i="1"/>
  <c r="AA2498" i="1"/>
  <c r="T2498" i="1"/>
  <c r="N2498" i="1"/>
  <c r="AA2497" i="1"/>
  <c r="T2497" i="1"/>
  <c r="N2497" i="1"/>
  <c r="AA2492" i="1"/>
  <c r="T2492" i="1"/>
  <c r="P2492" i="1"/>
  <c r="O2492" i="1"/>
  <c r="N2492" i="1"/>
  <c r="AA2491" i="1"/>
  <c r="T2491" i="1"/>
  <c r="P2491" i="1"/>
  <c r="O2491" i="1"/>
  <c r="N2491" i="1"/>
  <c r="AA2490" i="1"/>
  <c r="T2490" i="1"/>
  <c r="P2490" i="1"/>
  <c r="O2490" i="1"/>
  <c r="N2490" i="1"/>
  <c r="AA2488" i="1"/>
  <c r="T2488" i="1"/>
  <c r="P2488" i="1"/>
  <c r="O2488" i="1"/>
  <c r="N2488" i="1"/>
  <c r="AA2487" i="1"/>
  <c r="T2487" i="1"/>
  <c r="P2487" i="1"/>
  <c r="O2487" i="1"/>
  <c r="N2487" i="1"/>
  <c r="AA2485" i="1"/>
  <c r="T2485" i="1"/>
  <c r="P2485" i="1"/>
  <c r="O2485" i="1"/>
  <c r="N2485" i="1"/>
  <c r="AA2484" i="1"/>
  <c r="T2484" i="1"/>
  <c r="P2484" i="1"/>
  <c r="O2484" i="1"/>
  <c r="N2484" i="1"/>
  <c r="AA2483" i="1"/>
  <c r="T2483" i="1"/>
  <c r="P2483" i="1"/>
  <c r="O2483" i="1"/>
  <c r="N2483" i="1"/>
  <c r="AA2482" i="1"/>
  <c r="T2482" i="1"/>
  <c r="P2482" i="1"/>
  <c r="O2482" i="1"/>
  <c r="N2482" i="1"/>
  <c r="AA2481" i="1"/>
  <c r="T2481" i="1"/>
  <c r="P2481" i="1"/>
  <c r="O2481" i="1"/>
  <c r="N2481" i="1"/>
  <c r="AA2480" i="1"/>
  <c r="T2480" i="1"/>
  <c r="P2480" i="1"/>
  <c r="O2480" i="1"/>
  <c r="N2480" i="1"/>
  <c r="AA2479" i="1"/>
  <c r="T2479" i="1"/>
  <c r="P2479" i="1"/>
  <c r="O2479" i="1"/>
  <c r="N2479" i="1"/>
  <c r="AA2478" i="1"/>
  <c r="T2478" i="1"/>
  <c r="P2478" i="1"/>
  <c r="O2478" i="1"/>
  <c r="N2478" i="1"/>
  <c r="AA2477" i="1"/>
  <c r="T2477" i="1"/>
  <c r="P2477" i="1"/>
  <c r="O2477" i="1"/>
  <c r="N2477" i="1"/>
  <c r="AA2476" i="1"/>
  <c r="T2476" i="1"/>
  <c r="P2476" i="1"/>
  <c r="O2476" i="1"/>
  <c r="N2476" i="1"/>
  <c r="AA2475" i="1"/>
  <c r="T2475" i="1"/>
  <c r="P2475" i="1"/>
  <c r="O2475" i="1"/>
  <c r="N2475" i="1"/>
  <c r="AA2474" i="1"/>
  <c r="T2474" i="1"/>
  <c r="P2474" i="1"/>
  <c r="O2474" i="1"/>
  <c r="N2474" i="1"/>
  <c r="AA2472" i="1"/>
  <c r="T2472" i="1"/>
  <c r="P2472" i="1"/>
  <c r="O2472" i="1"/>
  <c r="N2472" i="1"/>
  <c r="AA2471" i="1"/>
  <c r="T2471" i="1"/>
  <c r="P2471" i="1"/>
  <c r="O2471" i="1"/>
  <c r="N2471" i="1"/>
  <c r="AA2470" i="1"/>
  <c r="T2470" i="1"/>
  <c r="P2470" i="1"/>
  <c r="O2470" i="1"/>
  <c r="N2470" i="1"/>
  <c r="AA2469" i="1"/>
  <c r="T2469" i="1"/>
  <c r="P2469" i="1"/>
  <c r="O2469" i="1"/>
  <c r="N2469" i="1"/>
  <c r="AA2468" i="1"/>
  <c r="T2468" i="1"/>
  <c r="P2468" i="1"/>
  <c r="O2468" i="1"/>
  <c r="N2468" i="1"/>
  <c r="AA2466" i="1"/>
  <c r="T2466" i="1"/>
  <c r="P2466" i="1"/>
  <c r="O2466" i="1"/>
  <c r="N2466" i="1"/>
  <c r="AA2465" i="1"/>
  <c r="T2465" i="1"/>
  <c r="P2465" i="1"/>
  <c r="O2465" i="1"/>
  <c r="N2465" i="1"/>
  <c r="AA2464" i="1"/>
  <c r="T2464" i="1"/>
  <c r="P2464" i="1"/>
  <c r="O2464" i="1"/>
  <c r="N2464" i="1"/>
  <c r="AA2463" i="1"/>
  <c r="T2463" i="1"/>
  <c r="P2463" i="1"/>
  <c r="O2463" i="1"/>
  <c r="N2463" i="1"/>
  <c r="AA2462" i="1"/>
  <c r="T2462" i="1"/>
  <c r="P2462" i="1"/>
  <c r="O2462" i="1"/>
  <c r="N2462" i="1"/>
  <c r="AA2461" i="1"/>
  <c r="T2461" i="1"/>
  <c r="P2461" i="1"/>
  <c r="O2461" i="1"/>
  <c r="N2461" i="1"/>
  <c r="AA2460" i="1"/>
  <c r="T2460" i="1"/>
  <c r="P2460" i="1"/>
  <c r="O2460" i="1"/>
  <c r="N2460" i="1"/>
  <c r="AA2459" i="1"/>
  <c r="T2459" i="1"/>
  <c r="P2459" i="1"/>
  <c r="O2459" i="1"/>
  <c r="N2459" i="1"/>
  <c r="AA2458" i="1"/>
  <c r="T2458" i="1"/>
  <c r="P2458" i="1"/>
  <c r="O2458" i="1"/>
  <c r="N2458" i="1"/>
  <c r="AA2457" i="1"/>
  <c r="T2457" i="1"/>
  <c r="P2457" i="1"/>
  <c r="O2457" i="1"/>
  <c r="N2457" i="1"/>
  <c r="AA2456" i="1"/>
  <c r="T2456" i="1"/>
  <c r="P2456" i="1"/>
  <c r="O2456" i="1"/>
  <c r="N2456" i="1"/>
  <c r="AA2455" i="1"/>
  <c r="T2455" i="1"/>
  <c r="P2455" i="1"/>
  <c r="O2455" i="1"/>
  <c r="N2455" i="1"/>
  <c r="AA2454" i="1"/>
  <c r="T2454" i="1"/>
  <c r="P2454" i="1"/>
  <c r="O2454" i="1"/>
  <c r="N2454" i="1"/>
  <c r="AA2453" i="1"/>
  <c r="T2453" i="1"/>
  <c r="P2453" i="1"/>
  <c r="O2453" i="1"/>
  <c r="N2453" i="1"/>
  <c r="AA2452" i="1"/>
  <c r="T2452" i="1"/>
  <c r="P2452" i="1"/>
  <c r="O2452" i="1"/>
  <c r="N2452" i="1"/>
  <c r="AA2451" i="1"/>
  <c r="T2451" i="1"/>
  <c r="P2451" i="1"/>
  <c r="O2451" i="1"/>
  <c r="N2451" i="1"/>
  <c r="AA2450" i="1"/>
  <c r="T2450" i="1"/>
  <c r="P2450" i="1"/>
  <c r="O2450" i="1"/>
  <c r="N2450" i="1"/>
  <c r="AA2449" i="1"/>
  <c r="T2449" i="1"/>
  <c r="P2449" i="1"/>
  <c r="O2449" i="1"/>
  <c r="N2449" i="1"/>
  <c r="AA2448" i="1"/>
  <c r="T2448" i="1"/>
  <c r="P2448" i="1"/>
  <c r="O2448" i="1"/>
  <c r="N2448" i="1"/>
  <c r="AA2447" i="1"/>
  <c r="T2447" i="1"/>
  <c r="P2447" i="1"/>
  <c r="O2447" i="1"/>
  <c r="N2447" i="1"/>
  <c r="AA2446" i="1"/>
  <c r="T2446" i="1"/>
  <c r="P2446" i="1"/>
  <c r="O2446" i="1"/>
  <c r="N2446" i="1"/>
  <c r="AA2443" i="1"/>
  <c r="T2443" i="1"/>
  <c r="P2443" i="1"/>
  <c r="O2443" i="1"/>
  <c r="N2443" i="1"/>
  <c r="AA2440" i="1"/>
  <c r="T2440" i="1"/>
  <c r="P2440" i="1"/>
  <c r="O2440" i="1"/>
  <c r="N2440" i="1"/>
  <c r="AA2439" i="1"/>
  <c r="T2439" i="1"/>
  <c r="P2439" i="1"/>
  <c r="O2439" i="1"/>
  <c r="N2439" i="1"/>
  <c r="AA2438" i="1"/>
  <c r="T2438" i="1"/>
  <c r="P2438" i="1"/>
  <c r="O2438" i="1"/>
  <c r="N2438" i="1"/>
  <c r="AA2437" i="1"/>
  <c r="T2437" i="1"/>
  <c r="P2437" i="1"/>
  <c r="O2437" i="1"/>
  <c r="N2437" i="1"/>
  <c r="AA2436" i="1"/>
  <c r="T2436" i="1"/>
  <c r="P2436" i="1"/>
  <c r="O2436" i="1"/>
  <c r="N2436" i="1"/>
  <c r="AA2435" i="1"/>
  <c r="T2435" i="1"/>
  <c r="P2435" i="1"/>
  <c r="O2435" i="1"/>
  <c r="N2435" i="1"/>
  <c r="P2434" i="1"/>
  <c r="O2434" i="1"/>
  <c r="N2434" i="1"/>
  <c r="AA2433" i="1"/>
  <c r="T2433" i="1"/>
  <c r="P2433" i="1"/>
  <c r="O2433" i="1"/>
  <c r="N2433" i="1"/>
  <c r="AA2430" i="1"/>
  <c r="T2430" i="1"/>
  <c r="P2430" i="1"/>
  <c r="O2430" i="1"/>
  <c r="N2430" i="1"/>
  <c r="AA2429" i="1"/>
  <c r="T2429" i="1"/>
  <c r="P2429" i="1"/>
  <c r="O2429" i="1"/>
  <c r="N2429" i="1"/>
  <c r="AA2428" i="1"/>
  <c r="T2428" i="1"/>
  <c r="P2428" i="1"/>
  <c r="O2428" i="1"/>
  <c r="N2428" i="1"/>
  <c r="AA2427" i="1"/>
  <c r="T2427" i="1"/>
  <c r="P2427" i="1"/>
  <c r="O2427" i="1"/>
  <c r="N2427" i="1"/>
  <c r="AA2426" i="1"/>
  <c r="T2426" i="1"/>
  <c r="P2426" i="1"/>
  <c r="O2426" i="1"/>
  <c r="N2426" i="1"/>
  <c r="AA2425" i="1"/>
  <c r="T2425" i="1"/>
  <c r="P2425" i="1"/>
  <c r="O2425" i="1"/>
  <c r="N2425" i="1"/>
  <c r="AA2424" i="1"/>
  <c r="T2424" i="1"/>
  <c r="P2424" i="1"/>
  <c r="O2424" i="1"/>
  <c r="N2424" i="1"/>
  <c r="AA2423" i="1"/>
  <c r="T2423" i="1"/>
  <c r="P2423" i="1"/>
  <c r="O2423" i="1"/>
  <c r="N2423" i="1"/>
  <c r="AA2421" i="1"/>
  <c r="T2421" i="1"/>
  <c r="P2421" i="1"/>
  <c r="O2421" i="1"/>
  <c r="N2421" i="1"/>
  <c r="AA2420" i="1"/>
  <c r="T2420" i="1"/>
  <c r="P2420" i="1"/>
  <c r="O2420" i="1"/>
  <c r="N2420" i="1"/>
  <c r="AA2419" i="1"/>
  <c r="T2419" i="1"/>
  <c r="P2419" i="1"/>
  <c r="O2419" i="1"/>
  <c r="N2419" i="1"/>
  <c r="AA2418" i="1"/>
  <c r="T2418" i="1"/>
  <c r="P2418" i="1"/>
  <c r="O2418" i="1"/>
  <c r="N2418" i="1"/>
  <c r="AA2417" i="1"/>
  <c r="T2417" i="1"/>
  <c r="P2417" i="1"/>
  <c r="O2417" i="1"/>
  <c r="N2417" i="1"/>
  <c r="AA2416" i="1"/>
  <c r="T2416" i="1"/>
  <c r="P2416" i="1"/>
  <c r="O2416" i="1"/>
  <c r="N2416" i="1"/>
  <c r="AA2415" i="1"/>
  <c r="T2415" i="1"/>
  <c r="P2415" i="1"/>
  <c r="O2415" i="1"/>
  <c r="N2415" i="1"/>
  <c r="AA2414" i="1"/>
  <c r="T2414" i="1"/>
  <c r="P2414" i="1"/>
  <c r="O2414" i="1"/>
  <c r="N2414" i="1"/>
  <c r="AA2413" i="1"/>
  <c r="T2413" i="1"/>
  <c r="P2413" i="1"/>
  <c r="O2413" i="1"/>
  <c r="N2413" i="1"/>
  <c r="AA2412" i="1"/>
  <c r="T2412" i="1"/>
  <c r="P2412" i="1"/>
  <c r="O2412" i="1"/>
  <c r="N2412" i="1"/>
  <c r="AA2411" i="1"/>
  <c r="T2411" i="1"/>
  <c r="P2411" i="1"/>
  <c r="O2411" i="1"/>
  <c r="N2411" i="1"/>
  <c r="AA2410" i="1"/>
  <c r="T2410" i="1"/>
  <c r="P2410" i="1"/>
  <c r="O2410" i="1"/>
  <c r="N2410" i="1"/>
  <c r="AA2409" i="1"/>
  <c r="T2409" i="1"/>
  <c r="P2409" i="1"/>
  <c r="O2409" i="1"/>
  <c r="N2409" i="1"/>
  <c r="AA2407" i="1"/>
  <c r="T2407" i="1"/>
  <c r="P2407" i="1"/>
  <c r="O2407" i="1"/>
  <c r="N2407" i="1"/>
  <c r="AA2406" i="1"/>
  <c r="T2406" i="1"/>
  <c r="P2406" i="1"/>
  <c r="O2406" i="1"/>
  <c r="N2406" i="1"/>
  <c r="AA2405" i="1"/>
  <c r="T2405" i="1"/>
  <c r="P2405" i="1"/>
  <c r="O2405" i="1"/>
  <c r="N2405" i="1"/>
  <c r="AA2404" i="1"/>
  <c r="T2404" i="1"/>
  <c r="P2404" i="1"/>
  <c r="O2404" i="1"/>
  <c r="N2404" i="1"/>
  <c r="AA2402" i="1"/>
  <c r="T2402" i="1"/>
  <c r="P2402" i="1"/>
  <c r="O2402" i="1"/>
  <c r="N2402" i="1"/>
  <c r="AA2401" i="1"/>
  <c r="T2401" i="1"/>
  <c r="P2401" i="1"/>
  <c r="O2401" i="1"/>
  <c r="N2401" i="1"/>
  <c r="AA2400" i="1"/>
  <c r="T2400" i="1"/>
  <c r="P2400" i="1"/>
  <c r="O2400" i="1"/>
  <c r="N2400" i="1"/>
  <c r="AA2399" i="1"/>
  <c r="T2399" i="1"/>
  <c r="P2399" i="1"/>
  <c r="O2399" i="1"/>
  <c r="N2399" i="1"/>
  <c r="AA2398" i="1"/>
  <c r="T2398" i="1"/>
  <c r="P2398" i="1"/>
  <c r="O2398" i="1"/>
  <c r="N2398" i="1"/>
  <c r="AA2397" i="1"/>
  <c r="T2397" i="1"/>
  <c r="P2397" i="1"/>
  <c r="O2397" i="1"/>
  <c r="N2397" i="1"/>
  <c r="AA2394" i="1"/>
  <c r="T2394" i="1"/>
  <c r="P2394" i="1"/>
  <c r="O2394" i="1"/>
  <c r="N2394" i="1"/>
  <c r="AA2392" i="1"/>
  <c r="T2392" i="1"/>
  <c r="P2392" i="1"/>
  <c r="O2392" i="1"/>
  <c r="N2392" i="1"/>
  <c r="AA2391" i="1"/>
  <c r="T2391" i="1"/>
  <c r="P2391" i="1"/>
  <c r="O2391" i="1"/>
  <c r="N2391" i="1"/>
  <c r="AA2390" i="1"/>
  <c r="T2390" i="1"/>
  <c r="P2390" i="1"/>
  <c r="O2390" i="1"/>
  <c r="N2390" i="1"/>
  <c r="AA2389" i="1"/>
  <c r="T2389" i="1"/>
  <c r="P2389" i="1"/>
  <c r="O2389" i="1"/>
  <c r="N2389" i="1"/>
  <c r="AA2388" i="1"/>
  <c r="T2388" i="1"/>
  <c r="P2388" i="1"/>
  <c r="O2388" i="1"/>
  <c r="N2388" i="1"/>
  <c r="AA2387" i="1"/>
  <c r="T2387" i="1"/>
  <c r="P2387" i="1"/>
  <c r="O2387" i="1"/>
  <c r="N2387" i="1"/>
  <c r="AA2386" i="1"/>
  <c r="T2386" i="1"/>
  <c r="P2386" i="1"/>
  <c r="O2386" i="1"/>
  <c r="N2386" i="1"/>
  <c r="AA2385" i="1"/>
  <c r="T2385" i="1"/>
  <c r="P2385" i="1"/>
  <c r="O2385" i="1"/>
  <c r="N2385" i="1"/>
  <c r="AA2381" i="1"/>
  <c r="T2381" i="1"/>
  <c r="P2381" i="1"/>
  <c r="O2381" i="1"/>
  <c r="N2381" i="1"/>
  <c r="AA2378" i="1"/>
  <c r="T2378" i="1"/>
  <c r="P2378" i="1"/>
  <c r="O2378" i="1"/>
  <c r="N2378" i="1"/>
  <c r="AA2377" i="1"/>
  <c r="T2377" i="1"/>
  <c r="P2377" i="1"/>
  <c r="O2377" i="1"/>
  <c r="N2377" i="1"/>
  <c r="AA2375" i="1"/>
  <c r="T2375" i="1"/>
  <c r="P2375" i="1"/>
  <c r="O2375" i="1"/>
  <c r="N2375" i="1"/>
  <c r="AA2374" i="1"/>
  <c r="T2374" i="1"/>
  <c r="P2374" i="1"/>
  <c r="O2374" i="1"/>
  <c r="N2374" i="1"/>
  <c r="AA2373" i="1"/>
  <c r="T2373" i="1"/>
  <c r="P2373" i="1"/>
  <c r="O2373" i="1"/>
  <c r="N2373" i="1"/>
  <c r="AA2370" i="1"/>
  <c r="T2370" i="1"/>
  <c r="P2370" i="1"/>
  <c r="O2370" i="1"/>
  <c r="N2370" i="1"/>
  <c r="AA2369" i="1"/>
  <c r="T2369" i="1"/>
  <c r="P2369" i="1"/>
  <c r="O2369" i="1"/>
  <c r="N2369" i="1"/>
  <c r="AA2368" i="1"/>
  <c r="T2368" i="1"/>
  <c r="P2368" i="1"/>
  <c r="O2368" i="1"/>
  <c r="N2368" i="1"/>
  <c r="AA2367" i="1"/>
  <c r="T2367" i="1"/>
  <c r="P2367" i="1"/>
  <c r="O2367" i="1"/>
  <c r="N2367" i="1"/>
  <c r="AA2366" i="1"/>
  <c r="T2366" i="1"/>
  <c r="P2366" i="1"/>
  <c r="O2366" i="1"/>
  <c r="N2366" i="1"/>
  <c r="AA2365" i="1"/>
  <c r="T2365" i="1"/>
  <c r="P2365" i="1"/>
  <c r="O2365" i="1"/>
  <c r="N2365" i="1"/>
  <c r="AA2364" i="1"/>
  <c r="T2364" i="1"/>
  <c r="P2364" i="1"/>
  <c r="O2364" i="1"/>
  <c r="N2364" i="1"/>
  <c r="AA2363" i="1"/>
  <c r="T2363" i="1"/>
  <c r="P2363" i="1"/>
  <c r="O2363" i="1"/>
  <c r="N2363" i="1"/>
  <c r="AA2362" i="1"/>
  <c r="T2362" i="1"/>
  <c r="P2362" i="1"/>
  <c r="O2362" i="1"/>
  <c r="N2362" i="1"/>
  <c r="AA2361" i="1"/>
  <c r="T2361" i="1"/>
  <c r="P2361" i="1"/>
  <c r="O2361" i="1"/>
  <c r="N2361" i="1"/>
  <c r="AA2360" i="1"/>
  <c r="T2360" i="1"/>
  <c r="P2360" i="1"/>
  <c r="O2360" i="1"/>
  <c r="N2360" i="1"/>
  <c r="AA2359" i="1"/>
  <c r="T2359" i="1"/>
  <c r="P2359" i="1"/>
  <c r="O2359" i="1"/>
  <c r="N2359" i="1"/>
  <c r="AA2358" i="1"/>
  <c r="T2358" i="1"/>
  <c r="P2358" i="1"/>
  <c r="O2358" i="1"/>
  <c r="N2358" i="1"/>
  <c r="AA2356" i="1"/>
  <c r="T2356" i="1"/>
  <c r="P2356" i="1"/>
  <c r="O2356" i="1"/>
  <c r="N2356" i="1"/>
  <c r="AA2355" i="1"/>
  <c r="T2355" i="1"/>
  <c r="P2355" i="1"/>
  <c r="O2355" i="1"/>
  <c r="N2355" i="1"/>
  <c r="AA2354" i="1"/>
  <c r="T2354" i="1"/>
  <c r="P2354" i="1"/>
  <c r="O2354" i="1"/>
  <c r="N2354" i="1"/>
  <c r="AA2353" i="1"/>
  <c r="T2353" i="1"/>
  <c r="P2353" i="1"/>
  <c r="O2353" i="1"/>
  <c r="N2353" i="1"/>
  <c r="AA2352" i="1"/>
  <c r="T2352" i="1"/>
  <c r="P2352" i="1"/>
  <c r="O2352" i="1"/>
  <c r="N2352" i="1"/>
  <c r="AA2351" i="1"/>
  <c r="T2351" i="1"/>
  <c r="P2351" i="1"/>
  <c r="O2351" i="1"/>
  <c r="N2351" i="1"/>
  <c r="AA2350" i="1"/>
  <c r="T2350" i="1"/>
  <c r="P2350" i="1"/>
  <c r="O2350" i="1"/>
  <c r="N2350" i="1"/>
  <c r="AA2349" i="1"/>
  <c r="T2349" i="1"/>
  <c r="P2349" i="1"/>
  <c r="O2349" i="1"/>
  <c r="N2349" i="1"/>
  <c r="AA2348" i="1"/>
  <c r="T2348" i="1"/>
  <c r="P2348" i="1"/>
  <c r="O2348" i="1"/>
  <c r="N2348" i="1"/>
  <c r="AA2347" i="1"/>
  <c r="T2347" i="1"/>
  <c r="P2347" i="1"/>
  <c r="O2347" i="1"/>
  <c r="N2347" i="1"/>
  <c r="AA2346" i="1"/>
  <c r="T2346" i="1"/>
  <c r="P2346" i="1"/>
  <c r="O2346" i="1"/>
  <c r="N2346" i="1"/>
  <c r="AA2345" i="1"/>
  <c r="T2345" i="1"/>
  <c r="P2345" i="1"/>
  <c r="O2345" i="1"/>
  <c r="N2345" i="1"/>
  <c r="AA2344" i="1"/>
  <c r="T2344" i="1"/>
  <c r="P2344" i="1"/>
  <c r="O2344" i="1"/>
  <c r="N2344" i="1"/>
  <c r="AA2343" i="1"/>
  <c r="T2343" i="1"/>
  <c r="P2343" i="1"/>
  <c r="O2343" i="1"/>
  <c r="N2343" i="1"/>
  <c r="AA2341" i="1"/>
  <c r="T2341" i="1"/>
  <c r="P2341" i="1"/>
  <c r="O2341" i="1"/>
  <c r="N2341" i="1"/>
  <c r="AA2340" i="1"/>
  <c r="T2340" i="1"/>
  <c r="P2340" i="1"/>
  <c r="O2340" i="1"/>
  <c r="N2340" i="1"/>
  <c r="AA2339" i="1"/>
  <c r="T2339" i="1"/>
  <c r="P2339" i="1"/>
  <c r="O2339" i="1"/>
  <c r="N2339" i="1"/>
  <c r="AA2338" i="1"/>
  <c r="T2338" i="1"/>
  <c r="P2338" i="1"/>
  <c r="O2338" i="1"/>
  <c r="N2338" i="1"/>
  <c r="AA2337" i="1"/>
  <c r="T2337" i="1"/>
  <c r="P2337" i="1"/>
  <c r="O2337" i="1"/>
  <c r="N2337" i="1"/>
  <c r="AA2336" i="1"/>
  <c r="T2336" i="1"/>
  <c r="P2336" i="1"/>
  <c r="O2336" i="1"/>
  <c r="N2336" i="1"/>
  <c r="AA2335" i="1"/>
  <c r="T2335" i="1"/>
  <c r="P2335" i="1"/>
  <c r="O2335" i="1"/>
  <c r="N2335" i="1"/>
  <c r="AA2334" i="1"/>
  <c r="T2334" i="1"/>
  <c r="P2334" i="1"/>
  <c r="O2334" i="1"/>
  <c r="N2334" i="1"/>
  <c r="AA2333" i="1"/>
  <c r="T2333" i="1"/>
  <c r="P2333" i="1"/>
  <c r="O2333" i="1"/>
  <c r="N2333" i="1"/>
  <c r="AA2332" i="1"/>
  <c r="T2332" i="1"/>
  <c r="P2332" i="1"/>
  <c r="O2332" i="1"/>
  <c r="N2332" i="1"/>
  <c r="AA2331" i="1"/>
  <c r="T2331" i="1"/>
  <c r="O2331" i="1"/>
  <c r="N2331" i="1"/>
  <c r="AA2327" i="1"/>
  <c r="T2327" i="1"/>
  <c r="P2327" i="1"/>
  <c r="O2327" i="1"/>
  <c r="N2327" i="1"/>
  <c r="AA2325" i="1"/>
  <c r="T2325" i="1"/>
  <c r="P2325" i="1"/>
  <c r="O2325" i="1"/>
  <c r="N2325" i="1"/>
  <c r="AA2322" i="1"/>
  <c r="T2322" i="1"/>
  <c r="P2322" i="1"/>
  <c r="O2322" i="1"/>
  <c r="N2322" i="1"/>
  <c r="AA2321" i="1"/>
  <c r="T2321" i="1"/>
  <c r="P2321" i="1"/>
  <c r="O2321" i="1"/>
  <c r="N2321" i="1"/>
  <c r="AA2320" i="1"/>
  <c r="T2320" i="1"/>
  <c r="P2320" i="1"/>
  <c r="O2320" i="1"/>
  <c r="N2320" i="1"/>
  <c r="AA2318" i="1"/>
  <c r="T2318" i="1"/>
  <c r="P2318" i="1"/>
  <c r="O2318" i="1"/>
  <c r="N2318" i="1"/>
  <c r="AA2317" i="1"/>
  <c r="T2317" i="1"/>
  <c r="P2317" i="1"/>
  <c r="O2317" i="1"/>
  <c r="N2317" i="1"/>
  <c r="AA2315" i="1"/>
  <c r="T2315" i="1"/>
  <c r="P2315" i="1"/>
  <c r="O2315" i="1"/>
  <c r="N2315" i="1"/>
  <c r="AA2314" i="1"/>
  <c r="T2314" i="1"/>
  <c r="P2314" i="1"/>
  <c r="O2314" i="1"/>
  <c r="N2314" i="1"/>
  <c r="AA2312" i="1"/>
  <c r="T2312" i="1"/>
  <c r="P2312" i="1"/>
  <c r="O2312" i="1"/>
  <c r="N2312" i="1"/>
  <c r="AA2311" i="1"/>
  <c r="T2311" i="1"/>
  <c r="P2311" i="1"/>
  <c r="O2311" i="1"/>
  <c r="N2311" i="1"/>
  <c r="AA2308" i="1"/>
  <c r="T2308" i="1"/>
  <c r="P2308" i="1"/>
  <c r="O2308" i="1"/>
  <c r="N2308" i="1"/>
  <c r="AA2307" i="1"/>
  <c r="T2307" i="1"/>
  <c r="P2307" i="1"/>
  <c r="O2307" i="1"/>
  <c r="N2307" i="1"/>
  <c r="AA2306" i="1"/>
  <c r="T2306" i="1"/>
  <c r="P2306" i="1"/>
  <c r="O2306" i="1"/>
  <c r="N2306" i="1"/>
  <c r="AA2305" i="1"/>
  <c r="T2305" i="1"/>
  <c r="P2305" i="1"/>
  <c r="O2305" i="1"/>
  <c r="N2305" i="1"/>
  <c r="AA2304" i="1"/>
  <c r="T2304" i="1"/>
  <c r="P2304" i="1"/>
  <c r="O2304" i="1"/>
  <c r="N2304" i="1"/>
  <c r="AA2303" i="1"/>
  <c r="T2303" i="1"/>
  <c r="P2303" i="1"/>
  <c r="O2303" i="1"/>
  <c r="N2303" i="1"/>
  <c r="AA2302" i="1"/>
  <c r="T2302" i="1"/>
  <c r="P2302" i="1"/>
  <c r="O2302" i="1"/>
  <c r="N2302" i="1"/>
  <c r="AA2301" i="1"/>
  <c r="T2301" i="1"/>
  <c r="P2301" i="1"/>
  <c r="O2301" i="1"/>
  <c r="N2301" i="1"/>
  <c r="AA2300" i="1"/>
  <c r="T2300" i="1"/>
  <c r="P2300" i="1"/>
  <c r="O2300" i="1"/>
  <c r="N2300" i="1"/>
  <c r="AA2298" i="1"/>
  <c r="T2298" i="1"/>
  <c r="N2298" i="1"/>
  <c r="AA2297" i="1"/>
  <c r="T2297" i="1"/>
  <c r="N2297" i="1"/>
  <c r="AA2296" i="1"/>
  <c r="T2296" i="1"/>
  <c r="N2296" i="1"/>
  <c r="AA2295" i="1"/>
  <c r="T2295" i="1"/>
  <c r="N2295" i="1"/>
  <c r="AA2294" i="1"/>
  <c r="T2294" i="1"/>
  <c r="N2294" i="1"/>
  <c r="AA2292" i="1"/>
  <c r="T2292" i="1"/>
  <c r="P2292" i="1"/>
  <c r="O2292" i="1"/>
  <c r="N2292" i="1"/>
  <c r="AA2290" i="1"/>
  <c r="T2290" i="1"/>
  <c r="P2290" i="1"/>
  <c r="O2290" i="1"/>
  <c r="N2290" i="1"/>
  <c r="AA2289" i="1"/>
  <c r="T2289" i="1"/>
  <c r="P2289" i="1"/>
  <c r="O2289" i="1"/>
  <c r="N2289" i="1"/>
  <c r="AA2287" i="1"/>
  <c r="T2287" i="1"/>
  <c r="P2287" i="1"/>
  <c r="O2287" i="1"/>
  <c r="N2287" i="1"/>
  <c r="AA2284" i="1"/>
  <c r="T2284" i="1"/>
  <c r="P2284" i="1"/>
  <c r="O2284" i="1"/>
  <c r="N2284" i="1"/>
  <c r="AA2283" i="1"/>
  <c r="T2283" i="1"/>
  <c r="P2283" i="1"/>
  <c r="O2283" i="1"/>
  <c r="N2283" i="1"/>
  <c r="AA2282" i="1"/>
  <c r="T2282" i="1"/>
  <c r="P2282" i="1"/>
  <c r="O2282" i="1"/>
  <c r="N2282" i="1"/>
  <c r="AA2281" i="1"/>
  <c r="T2281" i="1"/>
  <c r="P2281" i="1"/>
  <c r="O2281" i="1"/>
  <c r="N2281" i="1"/>
  <c r="AA2280" i="1"/>
  <c r="T2280" i="1"/>
  <c r="P2280" i="1"/>
  <c r="O2280" i="1"/>
  <c r="N2280" i="1"/>
  <c r="AA2279" i="1"/>
  <c r="T2279" i="1"/>
  <c r="P2279" i="1"/>
  <c r="O2279" i="1"/>
  <c r="N2279" i="1"/>
  <c r="AA2278" i="1"/>
  <c r="T2278" i="1"/>
  <c r="P2278" i="1"/>
  <c r="O2278" i="1"/>
  <c r="N2278" i="1"/>
  <c r="AA2277" i="1"/>
  <c r="T2277" i="1"/>
  <c r="P2277" i="1"/>
  <c r="O2277" i="1"/>
  <c r="N2277" i="1"/>
  <c r="AA2276" i="1"/>
  <c r="T2276" i="1"/>
  <c r="P2276" i="1"/>
  <c r="O2276" i="1"/>
  <c r="N2276" i="1"/>
  <c r="AA2275" i="1"/>
  <c r="T2275" i="1"/>
  <c r="P2275" i="1"/>
  <c r="O2275" i="1"/>
  <c r="N2275" i="1"/>
  <c r="AA2274" i="1"/>
  <c r="T2274" i="1"/>
  <c r="P2274" i="1"/>
  <c r="O2274" i="1"/>
  <c r="N2274" i="1"/>
  <c r="AA2273" i="1"/>
  <c r="T2273" i="1"/>
  <c r="P2273" i="1"/>
  <c r="O2273" i="1"/>
  <c r="N2273" i="1"/>
  <c r="AA2272" i="1"/>
  <c r="T2272" i="1"/>
  <c r="P2272" i="1"/>
  <c r="O2272" i="1"/>
  <c r="N2272" i="1"/>
  <c r="AA2270" i="1"/>
  <c r="T2270" i="1"/>
  <c r="P2270" i="1"/>
  <c r="O2270" i="1"/>
  <c r="N2270" i="1"/>
  <c r="AA2268" i="1"/>
  <c r="T2268" i="1"/>
  <c r="P2268" i="1"/>
  <c r="O2268" i="1"/>
  <c r="N2268" i="1"/>
  <c r="AA2266" i="1"/>
  <c r="T2266" i="1"/>
  <c r="P2266" i="1"/>
  <c r="O2266" i="1"/>
  <c r="N2266" i="1"/>
  <c r="AA2263" i="1"/>
  <c r="T2263" i="1"/>
  <c r="P2263" i="1"/>
  <c r="O2263" i="1"/>
  <c r="N2263" i="1"/>
  <c r="AA2262" i="1"/>
  <c r="T2262" i="1"/>
  <c r="P2262" i="1"/>
  <c r="O2262" i="1"/>
  <c r="N2262" i="1"/>
  <c r="AA2261" i="1"/>
  <c r="T2261" i="1"/>
  <c r="P2261" i="1"/>
  <c r="O2261" i="1"/>
  <c r="N2261" i="1"/>
  <c r="AA2260" i="1"/>
  <c r="T2260" i="1"/>
  <c r="P2260" i="1"/>
  <c r="O2260" i="1"/>
  <c r="N2260" i="1"/>
  <c r="AA2259" i="1"/>
  <c r="T2259" i="1"/>
  <c r="P2259" i="1"/>
  <c r="O2259" i="1"/>
  <c r="N2259" i="1"/>
  <c r="AA2258" i="1"/>
  <c r="T2258" i="1"/>
  <c r="P2258" i="1"/>
  <c r="O2258" i="1"/>
  <c r="N2258" i="1"/>
  <c r="AA2255" i="1"/>
  <c r="T2255" i="1"/>
  <c r="P2255" i="1"/>
  <c r="O2255" i="1"/>
  <c r="N2255" i="1"/>
  <c r="AA2254" i="1"/>
  <c r="T2254" i="1"/>
  <c r="P2254" i="1"/>
  <c r="O2254" i="1"/>
  <c r="N2254" i="1"/>
  <c r="AA2250" i="1"/>
  <c r="T2250" i="1"/>
  <c r="P2250" i="1"/>
  <c r="O2250" i="1"/>
  <c r="N2250" i="1"/>
  <c r="AA2249" i="1"/>
  <c r="T2249" i="1"/>
  <c r="P2249" i="1"/>
  <c r="O2249" i="1"/>
  <c r="N2249" i="1"/>
  <c r="AA2247" i="1"/>
  <c r="T2247" i="1"/>
  <c r="P2247" i="1"/>
  <c r="O2247" i="1"/>
  <c r="N2247" i="1"/>
  <c r="AA2246" i="1"/>
  <c r="T2246" i="1"/>
  <c r="P2246" i="1"/>
  <c r="O2246" i="1"/>
  <c r="N2246" i="1"/>
  <c r="AA2245" i="1"/>
  <c r="T2245" i="1"/>
  <c r="P2245" i="1"/>
  <c r="O2245" i="1"/>
  <c r="N2245" i="1"/>
  <c r="AA2244" i="1"/>
  <c r="T2244" i="1"/>
  <c r="P2244" i="1"/>
  <c r="O2244" i="1"/>
  <c r="N2244" i="1"/>
  <c r="AA2243" i="1"/>
  <c r="T2243" i="1"/>
  <c r="P2243" i="1"/>
  <c r="O2243" i="1"/>
  <c r="N2243" i="1"/>
  <c r="AA2240" i="1"/>
  <c r="T2240" i="1"/>
  <c r="P2240" i="1"/>
  <c r="O2240" i="1"/>
  <c r="N2240" i="1"/>
  <c r="AA2239" i="1"/>
  <c r="T2239" i="1"/>
  <c r="P2239" i="1"/>
  <c r="O2239" i="1"/>
  <c r="N2239" i="1"/>
  <c r="AA2238" i="1"/>
  <c r="T2238" i="1"/>
  <c r="P2238" i="1"/>
  <c r="O2238" i="1"/>
  <c r="N2238" i="1"/>
  <c r="AA2237" i="1"/>
  <c r="T2237" i="1"/>
  <c r="P2237" i="1"/>
  <c r="O2237" i="1"/>
  <c r="N2237" i="1"/>
  <c r="AA2236" i="1"/>
  <c r="T2236" i="1"/>
  <c r="P2236" i="1"/>
  <c r="O2236" i="1"/>
  <c r="N2236" i="1"/>
  <c r="AA2235" i="1"/>
  <c r="T2235" i="1"/>
  <c r="P2235" i="1"/>
  <c r="O2235" i="1"/>
  <c r="N2235" i="1"/>
  <c r="AA2234" i="1"/>
  <c r="T2234" i="1"/>
  <c r="P2234" i="1"/>
  <c r="O2234" i="1"/>
  <c r="N2234" i="1"/>
  <c r="AA2233" i="1"/>
  <c r="T2233" i="1"/>
  <c r="P2233" i="1"/>
  <c r="O2233" i="1"/>
  <c r="N2233" i="1"/>
  <c r="P2232" i="1"/>
  <c r="O2232" i="1"/>
  <c r="N2232" i="1"/>
  <c r="P2231" i="1"/>
  <c r="O2231" i="1"/>
  <c r="N2231" i="1"/>
  <c r="AA2229" i="1"/>
  <c r="T2229" i="1"/>
  <c r="P2229" i="1"/>
  <c r="O2229" i="1"/>
  <c r="N2229" i="1"/>
  <c r="AA2228" i="1"/>
  <c r="T2228" i="1"/>
  <c r="P2228" i="1"/>
  <c r="O2228" i="1"/>
  <c r="N2228" i="1"/>
  <c r="AA2226" i="1"/>
  <c r="T2226" i="1"/>
  <c r="P2226" i="1"/>
  <c r="O2226" i="1"/>
  <c r="N2226" i="1"/>
  <c r="P2225" i="1"/>
  <c r="O2225" i="1"/>
  <c r="N2225" i="1"/>
  <c r="AA2224" i="1"/>
  <c r="T2224" i="1"/>
  <c r="P2224" i="1"/>
  <c r="O2224" i="1"/>
  <c r="N2224" i="1"/>
  <c r="AA2223" i="1"/>
  <c r="T2223" i="1"/>
  <c r="P2223" i="1"/>
  <c r="O2223" i="1"/>
  <c r="N2223" i="1"/>
  <c r="AA2222" i="1"/>
  <c r="T2222" i="1"/>
  <c r="P2222" i="1"/>
  <c r="O2222" i="1"/>
  <c r="N2222" i="1"/>
  <c r="AA2221" i="1"/>
  <c r="T2221" i="1"/>
  <c r="P2221" i="1"/>
  <c r="O2221" i="1"/>
  <c r="N2221" i="1"/>
  <c r="AA2219" i="1"/>
  <c r="T2219" i="1"/>
  <c r="P2219" i="1"/>
  <c r="O2219" i="1"/>
  <c r="N2219" i="1"/>
  <c r="AA2218" i="1"/>
  <c r="T2218" i="1"/>
  <c r="P2218" i="1"/>
  <c r="O2218" i="1"/>
  <c r="N2218" i="1"/>
  <c r="AA2217" i="1"/>
  <c r="T2217" i="1"/>
  <c r="P2217" i="1"/>
  <c r="O2217" i="1"/>
  <c r="N2217" i="1"/>
  <c r="AA2216" i="1"/>
  <c r="T2216" i="1"/>
  <c r="P2216" i="1"/>
  <c r="O2216" i="1"/>
  <c r="N2216" i="1"/>
  <c r="P2215" i="1"/>
  <c r="O2215" i="1"/>
  <c r="N2215" i="1"/>
  <c r="AA2214" i="1"/>
  <c r="T2214" i="1"/>
  <c r="P2214" i="1"/>
  <c r="O2214" i="1"/>
  <c r="N2214" i="1"/>
  <c r="AA2213" i="1"/>
  <c r="T2213" i="1"/>
  <c r="P2213" i="1"/>
  <c r="O2213" i="1"/>
  <c r="N2213" i="1"/>
  <c r="P2212" i="1"/>
  <c r="O2212" i="1"/>
  <c r="N2212" i="1"/>
  <c r="AA2211" i="1"/>
  <c r="T2211" i="1"/>
  <c r="P2211" i="1"/>
  <c r="O2211" i="1"/>
  <c r="N2211" i="1"/>
  <c r="P2210" i="1"/>
  <c r="O2210" i="1"/>
  <c r="N2210" i="1"/>
  <c r="AA2209" i="1"/>
  <c r="T2209" i="1"/>
  <c r="P2209" i="1"/>
  <c r="O2209" i="1"/>
  <c r="N2209" i="1"/>
  <c r="AA2208" i="1"/>
  <c r="T2208" i="1"/>
  <c r="P2208" i="1"/>
  <c r="O2208" i="1"/>
  <c r="N2208" i="1"/>
  <c r="P2207" i="1"/>
  <c r="O2207" i="1"/>
  <c r="N2207" i="1"/>
  <c r="AA2206" i="1"/>
  <c r="T2206" i="1"/>
  <c r="P2206" i="1"/>
  <c r="O2206" i="1"/>
  <c r="N2206" i="1"/>
  <c r="AA2205" i="1"/>
  <c r="T2205" i="1"/>
  <c r="P2205" i="1"/>
  <c r="O2205" i="1"/>
  <c r="N2205" i="1"/>
  <c r="AA2204" i="1"/>
  <c r="T2204" i="1"/>
  <c r="P2204" i="1"/>
  <c r="O2204" i="1"/>
  <c r="N2204" i="1"/>
  <c r="AA2203" i="1"/>
  <c r="T2203" i="1"/>
  <c r="P2203" i="1"/>
  <c r="O2203" i="1"/>
  <c r="N2203" i="1"/>
  <c r="AA2199" i="1"/>
  <c r="T2199" i="1"/>
  <c r="P2199" i="1"/>
  <c r="O2199" i="1"/>
  <c r="N2199" i="1"/>
  <c r="AA2197" i="1"/>
  <c r="T2197" i="1"/>
  <c r="P2197" i="1"/>
  <c r="O2197" i="1"/>
  <c r="N2197" i="1"/>
  <c r="AA2196" i="1"/>
  <c r="T2196" i="1"/>
  <c r="P2196" i="1"/>
  <c r="O2196" i="1"/>
  <c r="N2196" i="1"/>
  <c r="AA2194" i="1"/>
  <c r="T2194" i="1"/>
  <c r="P2194" i="1"/>
  <c r="O2194" i="1"/>
  <c r="N2194" i="1"/>
  <c r="AA2193" i="1"/>
  <c r="T2193" i="1"/>
  <c r="P2193" i="1"/>
  <c r="O2193" i="1"/>
  <c r="N2193" i="1"/>
  <c r="AA2191" i="1"/>
  <c r="T2191" i="1"/>
  <c r="P2191" i="1"/>
  <c r="O2191" i="1"/>
  <c r="N2191" i="1"/>
  <c r="AA2190" i="1"/>
  <c r="T2190" i="1"/>
  <c r="P2190" i="1"/>
  <c r="O2190" i="1"/>
  <c r="N2190" i="1"/>
  <c r="AA2187" i="1"/>
  <c r="T2187" i="1"/>
  <c r="P2187" i="1"/>
  <c r="O2187" i="1"/>
  <c r="N2187" i="1"/>
  <c r="AA2186" i="1"/>
  <c r="T2186" i="1"/>
  <c r="P2186" i="1"/>
  <c r="O2186" i="1"/>
  <c r="N2186" i="1"/>
  <c r="AA2184" i="1"/>
  <c r="T2184" i="1"/>
  <c r="P2184" i="1"/>
  <c r="O2184" i="1"/>
  <c r="N2184" i="1"/>
  <c r="AA2183" i="1"/>
  <c r="T2183" i="1"/>
  <c r="P2183" i="1"/>
  <c r="O2183" i="1"/>
  <c r="N2183" i="1"/>
  <c r="AA2182" i="1"/>
  <c r="T2182" i="1"/>
  <c r="P2182" i="1"/>
  <c r="O2182" i="1"/>
  <c r="N2182" i="1"/>
  <c r="AA2181" i="1"/>
  <c r="T2181" i="1"/>
  <c r="P2181" i="1"/>
  <c r="O2181" i="1"/>
  <c r="N2181" i="1"/>
  <c r="AA2180" i="1"/>
  <c r="T2180" i="1"/>
  <c r="P2180" i="1"/>
  <c r="O2180" i="1"/>
  <c r="N2180" i="1"/>
  <c r="AA2179" i="1"/>
  <c r="T2179" i="1"/>
  <c r="P2179" i="1"/>
  <c r="O2179" i="1"/>
  <c r="N2179" i="1"/>
  <c r="AA2178" i="1"/>
  <c r="T2178" i="1"/>
  <c r="P2178" i="1"/>
  <c r="O2178" i="1"/>
  <c r="N2178" i="1"/>
  <c r="AA2177" i="1"/>
  <c r="T2177" i="1"/>
  <c r="P2177" i="1"/>
  <c r="O2177" i="1"/>
  <c r="N2177" i="1"/>
  <c r="AA2176" i="1"/>
  <c r="T2176" i="1"/>
  <c r="P2176" i="1"/>
  <c r="O2176" i="1"/>
  <c r="N2176" i="1"/>
  <c r="AA2175" i="1"/>
  <c r="T2175" i="1"/>
  <c r="P2175" i="1"/>
  <c r="O2175" i="1"/>
  <c r="N2175" i="1"/>
  <c r="AA2174" i="1"/>
  <c r="T2174" i="1"/>
  <c r="P2174" i="1"/>
  <c r="O2174" i="1"/>
  <c r="N2174" i="1"/>
  <c r="AA2173" i="1"/>
  <c r="T2173" i="1"/>
  <c r="P2173" i="1"/>
  <c r="O2173" i="1"/>
  <c r="N2173" i="1"/>
  <c r="AA2172" i="1"/>
  <c r="T2172" i="1"/>
  <c r="P2172" i="1"/>
  <c r="O2172" i="1"/>
  <c r="N2172" i="1"/>
  <c r="AA2171" i="1"/>
  <c r="T2171" i="1"/>
  <c r="P2171" i="1"/>
  <c r="O2171" i="1"/>
  <c r="N2171" i="1"/>
  <c r="AA2170" i="1"/>
  <c r="T2170" i="1"/>
  <c r="P2170" i="1"/>
  <c r="O2170" i="1"/>
  <c r="N2170" i="1"/>
  <c r="AA2169" i="1"/>
  <c r="T2169" i="1"/>
  <c r="P2169" i="1"/>
  <c r="O2169" i="1"/>
  <c r="N2169" i="1"/>
  <c r="AA2168" i="1"/>
  <c r="T2168" i="1"/>
  <c r="P2168" i="1"/>
  <c r="O2168" i="1"/>
  <c r="N2168" i="1"/>
  <c r="AA2167" i="1"/>
  <c r="T2167" i="1"/>
  <c r="P2167" i="1"/>
  <c r="O2167" i="1"/>
  <c r="N2167" i="1"/>
  <c r="AA2166" i="1"/>
  <c r="T2166" i="1"/>
  <c r="P2166" i="1"/>
  <c r="O2166" i="1"/>
  <c r="N2166" i="1"/>
  <c r="P2165" i="1"/>
  <c r="O2165" i="1"/>
  <c r="N2165" i="1"/>
  <c r="AA2163" i="1"/>
  <c r="T2163" i="1"/>
  <c r="P2163" i="1"/>
  <c r="O2163" i="1"/>
  <c r="N2163" i="1"/>
  <c r="AA2162" i="1"/>
  <c r="T2162" i="1"/>
  <c r="P2162" i="1"/>
  <c r="O2162" i="1"/>
  <c r="N2162" i="1"/>
  <c r="AA2161" i="1"/>
  <c r="T2161" i="1"/>
  <c r="P2161" i="1"/>
  <c r="O2161" i="1"/>
  <c r="N2161" i="1"/>
  <c r="AA2160" i="1"/>
  <c r="T2160" i="1"/>
  <c r="P2160" i="1"/>
  <c r="O2160" i="1"/>
  <c r="N2160" i="1"/>
  <c r="AA2159" i="1"/>
  <c r="T2159" i="1"/>
  <c r="P2159" i="1"/>
  <c r="O2159" i="1"/>
  <c r="N2159" i="1"/>
  <c r="AA2158" i="1"/>
  <c r="T2158" i="1"/>
  <c r="P2158" i="1"/>
  <c r="O2158" i="1"/>
  <c r="N2158" i="1"/>
  <c r="AA2157" i="1"/>
  <c r="T2157" i="1"/>
  <c r="P2157" i="1"/>
  <c r="O2157" i="1"/>
  <c r="N2157" i="1"/>
  <c r="AA2156" i="1"/>
  <c r="T2156" i="1"/>
  <c r="P2156" i="1"/>
  <c r="O2156" i="1"/>
  <c r="N2156" i="1"/>
  <c r="P2155" i="1"/>
  <c r="O2155" i="1"/>
  <c r="N2155" i="1"/>
  <c r="AA2154" i="1"/>
  <c r="T2154" i="1"/>
  <c r="P2154" i="1"/>
  <c r="O2154" i="1"/>
  <c r="N2154" i="1"/>
  <c r="AA2153" i="1"/>
  <c r="T2153" i="1"/>
  <c r="P2153" i="1"/>
  <c r="O2153" i="1"/>
  <c r="N2153" i="1"/>
  <c r="AA2152" i="1"/>
  <c r="T2152" i="1"/>
  <c r="P2152" i="1"/>
  <c r="O2152" i="1"/>
  <c r="N2152" i="1"/>
  <c r="AA2151" i="1"/>
  <c r="T2151" i="1"/>
  <c r="P2151" i="1"/>
  <c r="O2151" i="1"/>
  <c r="N2151" i="1"/>
  <c r="P2150" i="1"/>
  <c r="O2150" i="1"/>
  <c r="N2150" i="1"/>
  <c r="AA2149" i="1"/>
  <c r="T2149" i="1"/>
  <c r="P2149" i="1"/>
  <c r="O2149" i="1"/>
  <c r="N2149" i="1"/>
  <c r="AA2148" i="1"/>
  <c r="T2148" i="1"/>
  <c r="P2148" i="1"/>
  <c r="O2148" i="1"/>
  <c r="N2148" i="1"/>
  <c r="P2147" i="1"/>
  <c r="O2147" i="1"/>
  <c r="N2147" i="1"/>
  <c r="AA2146" i="1"/>
  <c r="T2146" i="1"/>
  <c r="P2146" i="1"/>
  <c r="O2146" i="1"/>
  <c r="N2146" i="1"/>
  <c r="AA2145" i="1"/>
  <c r="T2145" i="1"/>
  <c r="P2145" i="1"/>
  <c r="O2145" i="1"/>
  <c r="N2145" i="1"/>
  <c r="P2144" i="1"/>
  <c r="O2144" i="1"/>
  <c r="N2144" i="1"/>
  <c r="P2143" i="1"/>
  <c r="O2143" i="1"/>
  <c r="N2143" i="1"/>
  <c r="P2142" i="1"/>
  <c r="O2142" i="1"/>
  <c r="N2142" i="1"/>
  <c r="AA2141" i="1"/>
  <c r="T2141" i="1"/>
  <c r="P2141" i="1"/>
  <c r="O2141" i="1"/>
  <c r="N2141" i="1"/>
  <c r="AA2139" i="1"/>
  <c r="T2139" i="1"/>
  <c r="P2139" i="1"/>
  <c r="O2139" i="1"/>
  <c r="N2139" i="1"/>
  <c r="P2138" i="1"/>
  <c r="O2138" i="1"/>
  <c r="N2138" i="1"/>
  <c r="P2137" i="1"/>
  <c r="O2137" i="1"/>
  <c r="N2137" i="1"/>
  <c r="P2136" i="1"/>
  <c r="O2136" i="1"/>
  <c r="N2136" i="1"/>
  <c r="P2135" i="1"/>
  <c r="O2135" i="1"/>
  <c r="N2135" i="1"/>
  <c r="P2134" i="1"/>
  <c r="O2134" i="1"/>
  <c r="N2134" i="1"/>
  <c r="P2133" i="1"/>
  <c r="O2133" i="1"/>
  <c r="N2133" i="1"/>
  <c r="P2132" i="1"/>
  <c r="O2132" i="1"/>
  <c r="N2132" i="1"/>
  <c r="P2131" i="1"/>
  <c r="O2131" i="1"/>
  <c r="N2131" i="1"/>
  <c r="P2130" i="1"/>
  <c r="O2130" i="1"/>
  <c r="N2130" i="1"/>
  <c r="P2129" i="1"/>
  <c r="O2129" i="1"/>
  <c r="N2129" i="1"/>
  <c r="P2128" i="1"/>
  <c r="O2128" i="1"/>
  <c r="N2128" i="1"/>
  <c r="P2127" i="1"/>
  <c r="O2127" i="1"/>
  <c r="N2127" i="1"/>
  <c r="P2126" i="1"/>
  <c r="O2126" i="1"/>
  <c r="N2126" i="1"/>
  <c r="AA2125" i="1"/>
  <c r="T2125" i="1"/>
  <c r="P2125" i="1"/>
  <c r="O2125" i="1"/>
  <c r="N2125" i="1"/>
  <c r="AA2124" i="1"/>
  <c r="T2124" i="1"/>
  <c r="P2124" i="1"/>
  <c r="O2124" i="1"/>
  <c r="N2124" i="1"/>
  <c r="AA2123" i="1"/>
  <c r="T2123" i="1"/>
  <c r="P2123" i="1"/>
  <c r="O2123" i="1"/>
  <c r="N2123" i="1"/>
  <c r="AA2122" i="1"/>
  <c r="T2122" i="1"/>
  <c r="P2122" i="1"/>
  <c r="O2122" i="1"/>
  <c r="N2122" i="1"/>
  <c r="AA2121" i="1"/>
  <c r="T2121" i="1"/>
  <c r="P2121" i="1"/>
  <c r="O2121" i="1"/>
  <c r="N2121" i="1"/>
  <c r="AA2120" i="1"/>
  <c r="T2120" i="1"/>
  <c r="P2120" i="1"/>
  <c r="O2120" i="1"/>
  <c r="N2120" i="1"/>
  <c r="AA2119" i="1"/>
  <c r="T2119" i="1"/>
  <c r="P2119" i="1"/>
  <c r="O2119" i="1"/>
  <c r="N2119" i="1"/>
  <c r="AA2118" i="1"/>
  <c r="T2118" i="1"/>
  <c r="P2118" i="1"/>
  <c r="O2118" i="1"/>
  <c r="N2118" i="1"/>
  <c r="AA2117" i="1"/>
  <c r="T2117" i="1"/>
  <c r="P2117" i="1"/>
  <c r="O2117" i="1"/>
  <c r="N2117" i="1"/>
  <c r="AA2115" i="1"/>
  <c r="T2115" i="1"/>
  <c r="P2115" i="1"/>
  <c r="O2115" i="1"/>
  <c r="N2115" i="1"/>
  <c r="AA2114" i="1"/>
  <c r="T2114" i="1"/>
  <c r="P2114" i="1"/>
  <c r="O2114" i="1"/>
  <c r="N2114" i="1"/>
  <c r="AA2113" i="1"/>
  <c r="T2113" i="1"/>
  <c r="P2113" i="1"/>
  <c r="O2113" i="1"/>
  <c r="N2113" i="1"/>
  <c r="AA2112" i="1"/>
  <c r="T2112" i="1"/>
  <c r="P2112" i="1"/>
  <c r="O2112" i="1"/>
  <c r="N2112" i="1"/>
  <c r="AA2111" i="1"/>
  <c r="T2111" i="1"/>
  <c r="P2111" i="1"/>
  <c r="O2111" i="1"/>
  <c r="N2111" i="1"/>
  <c r="AA2110" i="1"/>
  <c r="T2110" i="1"/>
  <c r="P2110" i="1"/>
  <c r="O2110" i="1"/>
  <c r="N2110" i="1"/>
  <c r="AA2109" i="1"/>
  <c r="T2109" i="1"/>
  <c r="P2109" i="1"/>
  <c r="O2109" i="1"/>
  <c r="N2109" i="1"/>
  <c r="AA2108" i="1"/>
  <c r="T2108" i="1"/>
  <c r="P2108" i="1"/>
  <c r="O2108" i="1"/>
  <c r="N2108" i="1"/>
  <c r="AA2107" i="1"/>
  <c r="T2107" i="1"/>
  <c r="P2107" i="1"/>
  <c r="O2107" i="1"/>
  <c r="N2107" i="1"/>
  <c r="AA2106" i="1"/>
  <c r="T2106" i="1"/>
  <c r="P2106" i="1"/>
  <c r="O2106" i="1"/>
  <c r="N2106" i="1"/>
  <c r="AA2105" i="1"/>
  <c r="T2105" i="1"/>
  <c r="P2105" i="1"/>
  <c r="O2105" i="1"/>
  <c r="N2105" i="1"/>
  <c r="AA2104" i="1"/>
  <c r="T2104" i="1"/>
  <c r="P2104" i="1"/>
  <c r="O2104" i="1"/>
  <c r="N2104" i="1"/>
  <c r="AA2103" i="1"/>
  <c r="T2103" i="1"/>
  <c r="P2103" i="1"/>
  <c r="O2103" i="1"/>
  <c r="N2103" i="1"/>
  <c r="AA2102" i="1"/>
  <c r="T2102" i="1"/>
  <c r="P2102" i="1"/>
  <c r="O2102" i="1"/>
  <c r="N2102" i="1"/>
  <c r="AA2101" i="1"/>
  <c r="T2101" i="1"/>
  <c r="P2101" i="1"/>
  <c r="O2101" i="1"/>
  <c r="N2101" i="1"/>
  <c r="AA2100" i="1"/>
  <c r="T2100" i="1"/>
  <c r="P2100" i="1"/>
  <c r="O2100" i="1"/>
  <c r="N2100" i="1"/>
  <c r="AA2099" i="1"/>
  <c r="T2099" i="1"/>
  <c r="P2099" i="1"/>
  <c r="O2099" i="1"/>
  <c r="N2099" i="1"/>
  <c r="AA2097" i="1"/>
  <c r="T2097" i="1"/>
  <c r="P2097" i="1"/>
  <c r="O2097" i="1"/>
  <c r="N2097" i="1"/>
  <c r="AA2096" i="1"/>
  <c r="T2096" i="1"/>
  <c r="P2096" i="1"/>
  <c r="O2096" i="1"/>
  <c r="N2096" i="1"/>
  <c r="AA2094" i="1"/>
  <c r="T2094" i="1"/>
  <c r="P2094" i="1"/>
  <c r="O2094" i="1"/>
  <c r="N2094" i="1"/>
  <c r="AA2092" i="1"/>
  <c r="T2092" i="1"/>
  <c r="P2092" i="1"/>
  <c r="O2092" i="1"/>
  <c r="N2092" i="1"/>
  <c r="AA2091" i="1"/>
  <c r="T2091" i="1"/>
  <c r="P2091" i="1"/>
  <c r="O2091" i="1"/>
  <c r="N2091" i="1"/>
  <c r="AA2090" i="1"/>
  <c r="T2090" i="1"/>
  <c r="P2090" i="1"/>
  <c r="O2090" i="1"/>
  <c r="N2090" i="1"/>
  <c r="AA2089" i="1"/>
  <c r="T2089" i="1"/>
  <c r="P2089" i="1"/>
  <c r="O2089" i="1"/>
  <c r="N2089" i="1"/>
  <c r="AA2088" i="1"/>
  <c r="T2088" i="1"/>
  <c r="P2088" i="1"/>
  <c r="O2088" i="1"/>
  <c r="N2088" i="1"/>
  <c r="AA2087" i="1"/>
  <c r="T2087" i="1"/>
  <c r="P2087" i="1"/>
  <c r="O2087" i="1"/>
  <c r="N2087" i="1"/>
  <c r="AA2086" i="1"/>
  <c r="T2086" i="1"/>
  <c r="P2086" i="1"/>
  <c r="O2086" i="1"/>
  <c r="N2086" i="1"/>
  <c r="AA2084" i="1"/>
  <c r="T2084" i="1"/>
  <c r="P2084" i="1"/>
  <c r="O2084" i="1"/>
  <c r="N2084" i="1"/>
  <c r="AA2083" i="1"/>
  <c r="T2083" i="1"/>
  <c r="P2083" i="1"/>
  <c r="O2083" i="1"/>
  <c r="N2083" i="1"/>
  <c r="AA2082" i="1"/>
  <c r="T2082" i="1"/>
  <c r="P2082" i="1"/>
  <c r="O2082" i="1"/>
  <c r="N2082" i="1"/>
  <c r="AA2081" i="1"/>
  <c r="T2081" i="1"/>
  <c r="P2081" i="1"/>
  <c r="O2081" i="1"/>
  <c r="N2081" i="1"/>
  <c r="AA2079" i="1"/>
  <c r="T2079" i="1"/>
  <c r="P2079" i="1"/>
  <c r="O2079" i="1"/>
  <c r="N2079" i="1"/>
  <c r="AA2078" i="1"/>
  <c r="T2078" i="1"/>
  <c r="P2078" i="1"/>
  <c r="O2078" i="1"/>
  <c r="N2078" i="1"/>
  <c r="AA2077" i="1"/>
  <c r="T2077" i="1"/>
  <c r="P2077" i="1"/>
  <c r="O2077" i="1"/>
  <c r="N2077" i="1"/>
  <c r="AA2076" i="1"/>
  <c r="T2076" i="1"/>
  <c r="P2076" i="1"/>
  <c r="O2076" i="1"/>
  <c r="N2076" i="1"/>
  <c r="AA2072" i="1"/>
  <c r="T2072" i="1"/>
  <c r="P2072" i="1"/>
  <c r="O2072" i="1"/>
  <c r="N2072" i="1"/>
  <c r="AA2071" i="1"/>
  <c r="T2071" i="1"/>
  <c r="P2071" i="1"/>
  <c r="O2071" i="1"/>
  <c r="N2071" i="1"/>
  <c r="AA2070" i="1"/>
  <c r="T2070" i="1"/>
  <c r="P2070" i="1"/>
  <c r="O2070" i="1"/>
  <c r="N2070" i="1"/>
  <c r="AA2068" i="1"/>
  <c r="T2068" i="1"/>
  <c r="P2068" i="1"/>
  <c r="O2068" i="1"/>
  <c r="N2068" i="1"/>
  <c r="AA2067" i="1"/>
  <c r="T2067" i="1"/>
  <c r="P2067" i="1"/>
  <c r="O2067" i="1"/>
  <c r="N2067" i="1"/>
  <c r="AA2066" i="1"/>
  <c r="T2066" i="1"/>
  <c r="P2066" i="1"/>
  <c r="O2066" i="1"/>
  <c r="N2066" i="1"/>
  <c r="AA2065" i="1"/>
  <c r="T2065" i="1"/>
  <c r="P2065" i="1"/>
  <c r="O2065" i="1"/>
  <c r="N2065" i="1"/>
  <c r="AA2063" i="1"/>
  <c r="T2063" i="1"/>
  <c r="P2063" i="1"/>
  <c r="O2063" i="1"/>
  <c r="N2063" i="1"/>
  <c r="AA2062" i="1"/>
  <c r="T2062" i="1"/>
  <c r="P2062" i="1"/>
  <c r="O2062" i="1"/>
  <c r="N2062" i="1"/>
  <c r="AA2061" i="1"/>
  <c r="T2061" i="1"/>
  <c r="P2061" i="1"/>
  <c r="O2061" i="1"/>
  <c r="N2061" i="1"/>
  <c r="AA2060" i="1"/>
  <c r="T2060" i="1"/>
  <c r="P2060" i="1"/>
  <c r="O2060" i="1"/>
  <c r="N2060" i="1"/>
  <c r="AA2057" i="1"/>
  <c r="T2057" i="1"/>
  <c r="P2057" i="1"/>
  <c r="O2057" i="1"/>
  <c r="N2057" i="1"/>
  <c r="AA2056" i="1"/>
  <c r="T2056" i="1"/>
  <c r="P2056" i="1"/>
  <c r="O2056" i="1"/>
  <c r="N2056" i="1"/>
  <c r="AA2054" i="1"/>
  <c r="T2054" i="1"/>
  <c r="P2054" i="1"/>
  <c r="O2054" i="1"/>
  <c r="N2054" i="1"/>
  <c r="AA2053" i="1"/>
  <c r="T2053" i="1"/>
  <c r="P2053" i="1"/>
  <c r="O2053" i="1"/>
  <c r="N2053" i="1"/>
  <c r="AA2051" i="1"/>
  <c r="T2051" i="1"/>
  <c r="P2051" i="1"/>
  <c r="O2051" i="1"/>
  <c r="N2051" i="1"/>
  <c r="AA2050" i="1"/>
  <c r="T2050" i="1"/>
  <c r="P2050" i="1"/>
  <c r="O2050" i="1"/>
  <c r="N2050" i="1"/>
  <c r="AA2047" i="1"/>
  <c r="T2047" i="1"/>
  <c r="P2047" i="1"/>
  <c r="O2047" i="1"/>
  <c r="N2047" i="1"/>
  <c r="AA2046" i="1"/>
  <c r="T2046" i="1"/>
  <c r="P2046" i="1"/>
  <c r="O2046" i="1"/>
  <c r="N2046" i="1"/>
  <c r="AA2045" i="1"/>
  <c r="T2045" i="1"/>
  <c r="P2045" i="1"/>
  <c r="O2045" i="1"/>
  <c r="N2045" i="1"/>
  <c r="AA2044" i="1"/>
  <c r="T2044" i="1"/>
  <c r="P2044" i="1"/>
  <c r="O2044" i="1"/>
  <c r="N2044" i="1"/>
  <c r="AA2043" i="1"/>
  <c r="T2043" i="1"/>
  <c r="P2043" i="1"/>
  <c r="O2043" i="1"/>
  <c r="N2043" i="1"/>
  <c r="AA2042" i="1"/>
  <c r="T2042" i="1"/>
  <c r="P2042" i="1"/>
  <c r="O2042" i="1"/>
  <c r="N2042" i="1"/>
  <c r="AA2040" i="1"/>
  <c r="T2040" i="1"/>
  <c r="P2040" i="1"/>
  <c r="O2040" i="1"/>
  <c r="N2040" i="1"/>
  <c r="AA2039" i="1"/>
  <c r="T2039" i="1"/>
  <c r="P2039" i="1"/>
  <c r="O2039" i="1"/>
  <c r="N2039" i="1"/>
  <c r="AA2038" i="1"/>
  <c r="T2038" i="1"/>
  <c r="P2038" i="1"/>
  <c r="O2038" i="1"/>
  <c r="N2038" i="1"/>
  <c r="AA2037" i="1"/>
  <c r="T2037" i="1"/>
  <c r="P2037" i="1"/>
  <c r="O2037" i="1"/>
  <c r="N2037" i="1"/>
  <c r="AA2036" i="1"/>
  <c r="T2036" i="1"/>
  <c r="P2036" i="1"/>
  <c r="O2036" i="1"/>
  <c r="N2036" i="1"/>
  <c r="AA2035" i="1"/>
  <c r="T2035" i="1"/>
  <c r="P2035" i="1"/>
  <c r="O2035" i="1"/>
  <c r="N2035" i="1"/>
  <c r="AA2034" i="1"/>
  <c r="T2034" i="1"/>
  <c r="P2034" i="1"/>
  <c r="O2034" i="1"/>
  <c r="N2034" i="1"/>
  <c r="AA2033" i="1"/>
  <c r="T2033" i="1"/>
  <c r="P2033" i="1"/>
  <c r="O2033" i="1"/>
  <c r="N2033" i="1"/>
  <c r="AA2032" i="1"/>
  <c r="T2032" i="1"/>
  <c r="P2032" i="1"/>
  <c r="O2032" i="1"/>
  <c r="N2032" i="1"/>
  <c r="AA2031" i="1"/>
  <c r="T2031" i="1"/>
  <c r="P2031" i="1"/>
  <c r="O2031" i="1"/>
  <c r="N2031" i="1"/>
  <c r="AA2030" i="1"/>
  <c r="T2030" i="1"/>
  <c r="P2030" i="1"/>
  <c r="O2030" i="1"/>
  <c r="N2030" i="1"/>
  <c r="AA2029" i="1"/>
  <c r="T2029" i="1"/>
  <c r="P2029" i="1"/>
  <c r="O2029" i="1"/>
  <c r="N2029" i="1"/>
  <c r="AA2028" i="1"/>
  <c r="T2028" i="1"/>
  <c r="P2028" i="1"/>
  <c r="O2028" i="1"/>
  <c r="N2028" i="1"/>
  <c r="AA2027" i="1"/>
  <c r="T2027" i="1"/>
  <c r="P2027" i="1"/>
  <c r="O2027" i="1"/>
  <c r="N2027" i="1"/>
  <c r="AA2026" i="1"/>
  <c r="T2026" i="1"/>
  <c r="P2026" i="1"/>
  <c r="O2026" i="1"/>
  <c r="N2026" i="1"/>
  <c r="AA2025" i="1"/>
  <c r="T2025" i="1"/>
  <c r="P2025" i="1"/>
  <c r="O2025" i="1"/>
  <c r="N2025" i="1"/>
  <c r="AA2024" i="1"/>
  <c r="T2024" i="1"/>
  <c r="P2024" i="1"/>
  <c r="O2024" i="1"/>
  <c r="N2024" i="1"/>
  <c r="AA2022" i="1"/>
  <c r="T2022" i="1"/>
  <c r="P2022" i="1"/>
  <c r="O2022" i="1"/>
  <c r="N2022" i="1"/>
  <c r="AA2021" i="1"/>
  <c r="T2021" i="1"/>
  <c r="P2021" i="1"/>
  <c r="O2021" i="1"/>
  <c r="N2021" i="1"/>
  <c r="AA2020" i="1"/>
  <c r="T2020" i="1"/>
  <c r="P2020" i="1"/>
  <c r="O2020" i="1"/>
  <c r="N2020" i="1"/>
  <c r="AA2019" i="1"/>
  <c r="T2019" i="1"/>
  <c r="P2019" i="1"/>
  <c r="O2019" i="1"/>
  <c r="N2019" i="1"/>
  <c r="AA2018" i="1"/>
  <c r="T2018" i="1"/>
  <c r="P2018" i="1"/>
  <c r="O2018" i="1"/>
  <c r="N2018" i="1"/>
  <c r="AA2017" i="1"/>
  <c r="T2017" i="1"/>
  <c r="P2017" i="1"/>
  <c r="O2017" i="1"/>
  <c r="N2017" i="1"/>
  <c r="AA2016" i="1"/>
  <c r="T2016" i="1"/>
  <c r="P2016" i="1"/>
  <c r="O2016" i="1"/>
  <c r="N2016" i="1"/>
  <c r="AA2015" i="1"/>
  <c r="T2015" i="1"/>
  <c r="P2015" i="1"/>
  <c r="O2015" i="1"/>
  <c r="N2015" i="1"/>
  <c r="AA2014" i="1"/>
  <c r="T2014" i="1"/>
  <c r="P2014" i="1"/>
  <c r="O2014" i="1"/>
  <c r="N2014" i="1"/>
  <c r="AA2013" i="1"/>
  <c r="T2013" i="1"/>
  <c r="P2013" i="1"/>
  <c r="O2013" i="1"/>
  <c r="N2013" i="1"/>
  <c r="AA2012" i="1"/>
  <c r="T2012" i="1"/>
  <c r="P2012" i="1"/>
  <c r="O2012" i="1"/>
  <c r="N2012" i="1"/>
  <c r="AA2011" i="1"/>
  <c r="T2011" i="1"/>
  <c r="P2011" i="1"/>
  <c r="O2011" i="1"/>
  <c r="N2011" i="1"/>
  <c r="AA2010" i="1"/>
  <c r="T2010" i="1"/>
  <c r="P2010" i="1"/>
  <c r="O2010" i="1"/>
  <c r="N2010" i="1"/>
  <c r="AA2009" i="1"/>
  <c r="T2009" i="1"/>
  <c r="P2009" i="1"/>
  <c r="O2009" i="1"/>
  <c r="N2009" i="1"/>
  <c r="AA2008" i="1"/>
  <c r="T2008" i="1"/>
  <c r="P2008" i="1"/>
  <c r="O2008" i="1"/>
  <c r="N2008" i="1"/>
  <c r="AA2007" i="1"/>
  <c r="T2007" i="1"/>
  <c r="P2007" i="1"/>
  <c r="O2007" i="1"/>
  <c r="N2007" i="1"/>
  <c r="AA2006" i="1"/>
  <c r="T2006" i="1"/>
  <c r="P2006" i="1"/>
  <c r="O2006" i="1"/>
  <c r="N2006" i="1"/>
  <c r="AA2005" i="1"/>
  <c r="T2005" i="1"/>
  <c r="P2005" i="1"/>
  <c r="O2005" i="1"/>
  <c r="N2005" i="1"/>
  <c r="AA2004" i="1"/>
  <c r="T2004" i="1"/>
  <c r="P2004" i="1"/>
  <c r="O2004" i="1"/>
  <c r="N2004" i="1"/>
  <c r="AA2003" i="1"/>
  <c r="T2003" i="1"/>
  <c r="P2003" i="1"/>
  <c r="O2003" i="1"/>
  <c r="N2003" i="1"/>
  <c r="AA2002" i="1"/>
  <c r="T2002" i="1"/>
  <c r="P2002" i="1"/>
  <c r="O2002" i="1"/>
  <c r="N2002" i="1"/>
  <c r="AA2001" i="1"/>
  <c r="T2001" i="1"/>
  <c r="P2001" i="1"/>
  <c r="O2001" i="1"/>
  <c r="N2001" i="1"/>
  <c r="AA2000" i="1"/>
  <c r="T2000" i="1"/>
  <c r="P2000" i="1"/>
  <c r="O2000" i="1"/>
  <c r="N2000" i="1"/>
  <c r="P1999" i="1"/>
  <c r="O1999" i="1"/>
  <c r="N1999" i="1"/>
  <c r="AA1998" i="1"/>
  <c r="T1998" i="1"/>
  <c r="P1998" i="1"/>
  <c r="O1998" i="1"/>
  <c r="N1998" i="1"/>
  <c r="AA1997" i="1"/>
  <c r="T1997" i="1"/>
  <c r="P1997" i="1"/>
  <c r="O1997" i="1"/>
  <c r="N1997" i="1"/>
  <c r="AA1996" i="1"/>
  <c r="T1996" i="1"/>
  <c r="P1996" i="1"/>
  <c r="O1996" i="1"/>
  <c r="N1996" i="1"/>
  <c r="AA1995" i="1"/>
  <c r="T1995" i="1"/>
  <c r="P1995" i="1"/>
  <c r="O1995" i="1"/>
  <c r="N1995" i="1"/>
  <c r="AA1994" i="1"/>
  <c r="T1994" i="1"/>
  <c r="P1994" i="1"/>
  <c r="O1994" i="1"/>
  <c r="N1994" i="1"/>
  <c r="AA1992" i="1"/>
  <c r="T1992" i="1"/>
  <c r="P1992" i="1"/>
  <c r="O1992" i="1"/>
  <c r="N1992" i="1"/>
  <c r="AA1991" i="1"/>
  <c r="T1991" i="1"/>
  <c r="P1991" i="1"/>
  <c r="O1991" i="1"/>
  <c r="N1991" i="1"/>
  <c r="AA1990" i="1"/>
  <c r="T1990" i="1"/>
  <c r="P1990" i="1"/>
  <c r="O1990" i="1"/>
  <c r="N1990" i="1"/>
  <c r="AA1989" i="1"/>
  <c r="T1989" i="1"/>
  <c r="P1989" i="1"/>
  <c r="O1989" i="1"/>
  <c r="N1989" i="1"/>
  <c r="AA1988" i="1"/>
  <c r="T1988" i="1"/>
  <c r="P1988" i="1"/>
  <c r="O1988" i="1"/>
  <c r="N1988" i="1"/>
  <c r="AA1987" i="1"/>
  <c r="T1987" i="1"/>
  <c r="P1987" i="1"/>
  <c r="O1987" i="1"/>
  <c r="N1987" i="1"/>
  <c r="AA1986" i="1"/>
  <c r="T1986" i="1"/>
  <c r="P1986" i="1"/>
  <c r="O1986" i="1"/>
  <c r="N1986" i="1"/>
  <c r="AA1985" i="1"/>
  <c r="T1985" i="1"/>
  <c r="P1985" i="1"/>
  <c r="O1985" i="1"/>
  <c r="N1985" i="1"/>
  <c r="AA1984" i="1"/>
  <c r="T1984" i="1"/>
  <c r="P1984" i="1"/>
  <c r="O1984" i="1"/>
  <c r="N1984" i="1"/>
  <c r="AA1983" i="1"/>
  <c r="T1983" i="1"/>
  <c r="P1983" i="1"/>
  <c r="O1983" i="1"/>
  <c r="N1983" i="1"/>
  <c r="AA1982" i="1"/>
  <c r="T1982" i="1"/>
  <c r="P1982" i="1"/>
  <c r="O1982" i="1"/>
  <c r="N1982" i="1"/>
  <c r="AA1981" i="1"/>
  <c r="T1981" i="1"/>
  <c r="P1981" i="1"/>
  <c r="O1981" i="1"/>
  <c r="N1981" i="1"/>
  <c r="AA1980" i="1"/>
  <c r="T1980" i="1"/>
  <c r="P1980" i="1"/>
  <c r="O1980" i="1"/>
  <c r="N1980" i="1"/>
  <c r="AA1979" i="1"/>
  <c r="T1979" i="1"/>
  <c r="P1979" i="1"/>
  <c r="O1979" i="1"/>
  <c r="N1979" i="1"/>
  <c r="AA1978" i="1"/>
  <c r="T1978" i="1"/>
  <c r="P1978" i="1"/>
  <c r="O1978" i="1"/>
  <c r="N1978" i="1"/>
  <c r="AA1977" i="1"/>
  <c r="T1977" i="1"/>
  <c r="P1977" i="1"/>
  <c r="O1977" i="1"/>
  <c r="N1977" i="1"/>
  <c r="AA1976" i="1"/>
  <c r="T1976" i="1"/>
  <c r="P1976" i="1"/>
  <c r="O1976" i="1"/>
  <c r="N1976" i="1"/>
  <c r="AA1974" i="1"/>
  <c r="T1974" i="1"/>
  <c r="P1974" i="1"/>
  <c r="O1974" i="1"/>
  <c r="N1974" i="1"/>
  <c r="AA1973" i="1"/>
  <c r="T1973" i="1"/>
  <c r="P1973" i="1"/>
  <c r="O1973" i="1"/>
  <c r="N1973" i="1"/>
  <c r="AA1972" i="1"/>
  <c r="T1972" i="1"/>
  <c r="P1972" i="1"/>
  <c r="O1972" i="1"/>
  <c r="N1972" i="1"/>
  <c r="AA1971" i="1"/>
  <c r="T1971" i="1"/>
  <c r="P1971" i="1"/>
  <c r="O1971" i="1"/>
  <c r="N1971" i="1"/>
  <c r="AA1970" i="1"/>
  <c r="T1970" i="1"/>
  <c r="P1970" i="1"/>
  <c r="O1970" i="1"/>
  <c r="N1970" i="1"/>
  <c r="AA1969" i="1"/>
  <c r="T1969" i="1"/>
  <c r="P1969" i="1"/>
  <c r="O1969" i="1"/>
  <c r="N1969" i="1"/>
  <c r="AA1968" i="1"/>
  <c r="T1968" i="1"/>
  <c r="P1968" i="1"/>
  <c r="O1968" i="1"/>
  <c r="N1968" i="1"/>
  <c r="AA1967" i="1"/>
  <c r="T1967" i="1"/>
  <c r="P1967" i="1"/>
  <c r="O1967" i="1"/>
  <c r="N1967" i="1"/>
  <c r="AA1966" i="1"/>
  <c r="T1966" i="1"/>
  <c r="P1966" i="1"/>
  <c r="O1966" i="1"/>
  <c r="N1966" i="1"/>
  <c r="AA1965" i="1"/>
  <c r="T1965" i="1"/>
  <c r="P1965" i="1"/>
  <c r="O1965" i="1"/>
  <c r="N1965" i="1"/>
  <c r="AA1964" i="1"/>
  <c r="T1964" i="1"/>
  <c r="P1964" i="1"/>
  <c r="O1964" i="1"/>
  <c r="N1964" i="1"/>
  <c r="AA1963" i="1"/>
  <c r="T1963" i="1"/>
  <c r="P1963" i="1"/>
  <c r="O1963" i="1"/>
  <c r="N1963" i="1"/>
  <c r="AA1962" i="1"/>
  <c r="T1962" i="1"/>
  <c r="P1962" i="1"/>
  <c r="O1962" i="1"/>
  <c r="N1962" i="1"/>
  <c r="AA1961" i="1"/>
  <c r="T1961" i="1"/>
  <c r="P1961" i="1"/>
  <c r="O1961" i="1"/>
  <c r="N1961" i="1"/>
  <c r="AA1960" i="1"/>
  <c r="T1960" i="1"/>
  <c r="P1960" i="1"/>
  <c r="O1960" i="1"/>
  <c r="N1960" i="1"/>
  <c r="AA1959" i="1"/>
  <c r="T1959" i="1"/>
  <c r="P1959" i="1"/>
  <c r="O1959" i="1"/>
  <c r="N1959" i="1"/>
  <c r="AA1958" i="1"/>
  <c r="T1958" i="1"/>
  <c r="P1958" i="1"/>
  <c r="O1958" i="1"/>
  <c r="N1958" i="1"/>
  <c r="AA1957" i="1"/>
  <c r="T1957" i="1"/>
  <c r="P1957" i="1"/>
  <c r="O1957" i="1"/>
  <c r="N1957" i="1"/>
  <c r="AA1956" i="1"/>
  <c r="T1956" i="1"/>
  <c r="P1956" i="1"/>
  <c r="O1956" i="1"/>
  <c r="N1956" i="1"/>
  <c r="AA1955" i="1"/>
  <c r="T1955" i="1"/>
  <c r="P1955" i="1"/>
  <c r="O1955" i="1"/>
  <c r="N1955" i="1"/>
  <c r="AA1953" i="1"/>
  <c r="T1953" i="1"/>
  <c r="P1953" i="1"/>
  <c r="O1953" i="1"/>
  <c r="N1953" i="1"/>
  <c r="AA1952" i="1"/>
  <c r="T1952" i="1"/>
  <c r="P1952" i="1"/>
  <c r="O1952" i="1"/>
  <c r="N1952" i="1"/>
  <c r="AA1951" i="1"/>
  <c r="T1951" i="1"/>
  <c r="P1951" i="1"/>
  <c r="O1951" i="1"/>
  <c r="N1951" i="1"/>
  <c r="AA1950" i="1"/>
  <c r="T1950" i="1"/>
  <c r="P1950" i="1"/>
  <c r="O1950" i="1"/>
  <c r="N1950" i="1"/>
  <c r="AA1946" i="1"/>
  <c r="T1946" i="1"/>
  <c r="P1946" i="1"/>
  <c r="O1946" i="1"/>
  <c r="N1946" i="1"/>
  <c r="AA1945" i="1"/>
  <c r="T1945" i="1"/>
  <c r="P1945" i="1"/>
  <c r="O1945" i="1"/>
  <c r="N1945" i="1"/>
  <c r="AA1944" i="1"/>
  <c r="T1944" i="1"/>
  <c r="P1944" i="1"/>
  <c r="O1944" i="1"/>
  <c r="N1944" i="1"/>
  <c r="AA1943" i="1"/>
  <c r="T1943" i="1"/>
  <c r="P1943" i="1"/>
  <c r="O1943" i="1"/>
  <c r="N1943" i="1"/>
  <c r="AA1942" i="1"/>
  <c r="T1942" i="1"/>
  <c r="P1942" i="1"/>
  <c r="O1942" i="1"/>
  <c r="N1942" i="1"/>
  <c r="AA1940" i="1"/>
  <c r="T1940" i="1"/>
  <c r="P1940" i="1"/>
  <c r="O1940" i="1"/>
  <c r="N1940" i="1"/>
  <c r="AA1938" i="1"/>
  <c r="T1938" i="1"/>
  <c r="P1938" i="1"/>
  <c r="O1938" i="1"/>
  <c r="N1938" i="1"/>
  <c r="AA1937" i="1"/>
  <c r="T1937" i="1"/>
  <c r="P1937" i="1"/>
  <c r="O1937" i="1"/>
  <c r="N1937" i="1"/>
  <c r="AA1936" i="1"/>
  <c r="T1936" i="1"/>
  <c r="P1936" i="1"/>
  <c r="O1936" i="1"/>
  <c r="N1936" i="1"/>
  <c r="AA1935" i="1"/>
  <c r="T1935" i="1"/>
  <c r="P1935" i="1"/>
  <c r="O1935" i="1"/>
  <c r="N1935" i="1"/>
  <c r="AA1934" i="1"/>
  <c r="T1934" i="1"/>
  <c r="P1934" i="1"/>
  <c r="O1934" i="1"/>
  <c r="N1934" i="1"/>
  <c r="AA1931" i="1"/>
  <c r="T1931" i="1"/>
  <c r="P1931" i="1"/>
  <c r="O1931" i="1"/>
  <c r="N1931" i="1"/>
  <c r="AA1930" i="1"/>
  <c r="T1930" i="1"/>
  <c r="P1930" i="1"/>
  <c r="O1930" i="1"/>
  <c r="N1930" i="1"/>
  <c r="AA1929" i="1"/>
  <c r="T1929" i="1"/>
  <c r="P1929" i="1"/>
  <c r="O1929" i="1"/>
  <c r="N1929" i="1"/>
  <c r="AA1928" i="1"/>
  <c r="T1928" i="1"/>
  <c r="P1928" i="1"/>
  <c r="O1928" i="1"/>
  <c r="N1928" i="1"/>
  <c r="AA1927" i="1"/>
  <c r="T1927" i="1"/>
  <c r="P1927" i="1"/>
  <c r="O1927" i="1"/>
  <c r="N1927" i="1"/>
  <c r="AA1926" i="1"/>
  <c r="T1926" i="1"/>
  <c r="P1926" i="1"/>
  <c r="O1926" i="1"/>
  <c r="N1926" i="1"/>
  <c r="AA1925" i="1"/>
  <c r="T1925" i="1"/>
  <c r="P1925" i="1"/>
  <c r="O1925" i="1"/>
  <c r="N1925" i="1"/>
  <c r="AA1922" i="1"/>
  <c r="T1922" i="1"/>
  <c r="P1922" i="1"/>
  <c r="O1922" i="1"/>
  <c r="N1922" i="1"/>
  <c r="AA1921" i="1"/>
  <c r="T1921" i="1"/>
  <c r="P1921" i="1"/>
  <c r="O1921" i="1"/>
  <c r="N1921" i="1"/>
  <c r="AA1920" i="1"/>
  <c r="T1920" i="1"/>
  <c r="P1920" i="1"/>
  <c r="O1920" i="1"/>
  <c r="N1920" i="1"/>
  <c r="AA1917" i="1"/>
  <c r="T1917" i="1"/>
  <c r="P1917" i="1"/>
  <c r="O1917" i="1"/>
  <c r="N1917" i="1"/>
  <c r="AA1915" i="1"/>
  <c r="T1915" i="1"/>
  <c r="P1915" i="1"/>
  <c r="O1915" i="1"/>
  <c r="N1915" i="1"/>
  <c r="P1914" i="1"/>
  <c r="O1914" i="1"/>
  <c r="N1914" i="1"/>
  <c r="AA1913" i="1"/>
  <c r="T1913" i="1"/>
  <c r="P1913" i="1"/>
  <c r="O1913" i="1"/>
  <c r="N1913" i="1"/>
  <c r="AA1912" i="1"/>
  <c r="T1912" i="1"/>
  <c r="P1912" i="1"/>
  <c r="O1912" i="1"/>
  <c r="N1912" i="1"/>
  <c r="AA1911" i="1"/>
  <c r="T1911" i="1"/>
  <c r="P1911" i="1"/>
  <c r="O1911" i="1"/>
  <c r="N1911" i="1"/>
  <c r="AA1910" i="1"/>
  <c r="T1910" i="1"/>
  <c r="P1910" i="1"/>
  <c r="O1910" i="1"/>
  <c r="N1910" i="1"/>
  <c r="AA1909" i="1"/>
  <c r="T1909" i="1"/>
  <c r="P1909" i="1"/>
  <c r="O1909" i="1"/>
  <c r="N1909" i="1"/>
  <c r="P1908" i="1"/>
  <c r="O1908" i="1"/>
  <c r="N1908" i="1"/>
  <c r="P1907" i="1"/>
  <c r="O1907" i="1"/>
  <c r="N1907" i="1"/>
  <c r="AA1906" i="1"/>
  <c r="T1906" i="1"/>
  <c r="P1906" i="1"/>
  <c r="O1906" i="1"/>
  <c r="N1906" i="1"/>
  <c r="AA1905" i="1"/>
  <c r="T1905" i="1"/>
  <c r="P1905" i="1"/>
  <c r="O1905" i="1"/>
  <c r="N1905" i="1"/>
  <c r="AA1904" i="1"/>
  <c r="T1904" i="1"/>
  <c r="P1904" i="1"/>
  <c r="O1904" i="1"/>
  <c r="N1904" i="1"/>
  <c r="P1903" i="1"/>
  <c r="O1903" i="1"/>
  <c r="N1903" i="1"/>
  <c r="P1902" i="1"/>
  <c r="O1902" i="1"/>
  <c r="N1902" i="1"/>
  <c r="AA1901" i="1"/>
  <c r="T1901" i="1"/>
  <c r="P1901" i="1"/>
  <c r="O1901" i="1"/>
  <c r="N1901" i="1"/>
  <c r="AA1900" i="1"/>
  <c r="T1900" i="1"/>
  <c r="P1900" i="1"/>
  <c r="O1900" i="1"/>
  <c r="N1900" i="1"/>
  <c r="AA1899" i="1"/>
  <c r="T1899" i="1"/>
  <c r="P1899" i="1"/>
  <c r="O1899" i="1"/>
  <c r="N1899" i="1"/>
  <c r="AA1898" i="1"/>
  <c r="T1898" i="1"/>
  <c r="P1898" i="1"/>
  <c r="O1898" i="1"/>
  <c r="N1898" i="1"/>
  <c r="AA1897" i="1"/>
  <c r="T1897" i="1"/>
  <c r="P1897" i="1"/>
  <c r="O1897" i="1"/>
  <c r="N1897" i="1"/>
  <c r="AA1896" i="1"/>
  <c r="T1896" i="1"/>
  <c r="P1896" i="1"/>
  <c r="O1896" i="1"/>
  <c r="N1896" i="1"/>
  <c r="AA1895" i="1"/>
  <c r="T1895" i="1"/>
  <c r="P1895" i="1"/>
  <c r="O1895" i="1"/>
  <c r="N1895" i="1"/>
  <c r="AA1894" i="1"/>
  <c r="T1894" i="1"/>
  <c r="P1894" i="1"/>
  <c r="O1894" i="1"/>
  <c r="N1894" i="1"/>
  <c r="AA1893" i="1"/>
  <c r="T1893" i="1"/>
  <c r="P1893" i="1"/>
  <c r="O1893" i="1"/>
  <c r="N1893" i="1"/>
  <c r="AA1892" i="1"/>
  <c r="T1892" i="1"/>
  <c r="P1892" i="1"/>
  <c r="O1892" i="1"/>
  <c r="N1892" i="1"/>
  <c r="AA1891" i="1"/>
  <c r="T1891" i="1"/>
  <c r="P1891" i="1"/>
  <c r="O1891" i="1"/>
  <c r="N1891" i="1"/>
  <c r="AA1890" i="1"/>
  <c r="T1890" i="1"/>
  <c r="P1890" i="1"/>
  <c r="O1890" i="1"/>
  <c r="N1890" i="1"/>
  <c r="AA1888" i="1"/>
  <c r="T1888" i="1"/>
  <c r="P1888" i="1"/>
  <c r="O1888" i="1"/>
  <c r="N1888" i="1"/>
  <c r="AA1887" i="1"/>
  <c r="T1887" i="1"/>
  <c r="P1887" i="1"/>
  <c r="O1887" i="1"/>
  <c r="N1887" i="1"/>
  <c r="AA1886" i="1"/>
  <c r="T1886" i="1"/>
  <c r="P1886" i="1"/>
  <c r="O1886" i="1"/>
  <c r="N1886" i="1"/>
  <c r="AA1885" i="1"/>
  <c r="T1885" i="1"/>
  <c r="P1885" i="1"/>
  <c r="O1885" i="1"/>
  <c r="N1885" i="1"/>
  <c r="AA1884" i="1"/>
  <c r="T1884" i="1"/>
  <c r="P1884" i="1"/>
  <c r="O1884" i="1"/>
  <c r="N1884" i="1"/>
  <c r="AA1883" i="1"/>
  <c r="T1883" i="1"/>
  <c r="P1883" i="1"/>
  <c r="O1883" i="1"/>
  <c r="N1883" i="1"/>
  <c r="AA1880" i="1"/>
  <c r="T1880" i="1"/>
  <c r="P1880" i="1"/>
  <c r="O1880" i="1"/>
  <c r="N1880" i="1"/>
  <c r="AA1879" i="1"/>
  <c r="T1879" i="1"/>
  <c r="P1879" i="1"/>
  <c r="O1879" i="1"/>
  <c r="N1879" i="1"/>
  <c r="AA1878" i="1"/>
  <c r="T1878" i="1"/>
  <c r="P1878" i="1"/>
  <c r="O1878" i="1"/>
  <c r="N1878" i="1"/>
  <c r="AA1877" i="1"/>
  <c r="T1877" i="1"/>
  <c r="P1877" i="1"/>
  <c r="O1877" i="1"/>
  <c r="N1877" i="1"/>
  <c r="AA1876" i="1"/>
  <c r="T1876" i="1"/>
  <c r="P1876" i="1"/>
  <c r="O1876" i="1"/>
  <c r="N1876" i="1"/>
  <c r="AA1875" i="1"/>
  <c r="T1875" i="1"/>
  <c r="P1875" i="1"/>
  <c r="O1875" i="1"/>
  <c r="N1875" i="1"/>
  <c r="AA1874" i="1"/>
  <c r="T1874" i="1"/>
  <c r="P1874" i="1"/>
  <c r="O1874" i="1"/>
  <c r="N1874" i="1"/>
  <c r="AA1873" i="1"/>
  <c r="T1873" i="1"/>
  <c r="P1873" i="1"/>
  <c r="O1873" i="1"/>
  <c r="N1873" i="1"/>
  <c r="AA1872" i="1"/>
  <c r="T1872" i="1"/>
  <c r="P1872" i="1"/>
  <c r="O1872" i="1"/>
  <c r="N1872" i="1"/>
  <c r="AA1871" i="1"/>
  <c r="T1871" i="1"/>
  <c r="P1871" i="1"/>
  <c r="O1871" i="1"/>
  <c r="N1871" i="1"/>
  <c r="AA1869" i="1"/>
  <c r="T1869" i="1"/>
  <c r="P1869" i="1"/>
  <c r="O1869" i="1"/>
  <c r="N1869" i="1"/>
  <c r="AA1868" i="1"/>
  <c r="T1868" i="1"/>
  <c r="P1868" i="1"/>
  <c r="O1868" i="1"/>
  <c r="N1868" i="1"/>
  <c r="AA1867" i="1"/>
  <c r="T1867" i="1"/>
  <c r="P1867" i="1"/>
  <c r="O1867" i="1"/>
  <c r="N1867" i="1"/>
  <c r="AA1861" i="1"/>
  <c r="T1861" i="1"/>
  <c r="P1861" i="1"/>
  <c r="O1861" i="1"/>
  <c r="N1861" i="1"/>
  <c r="AA1859" i="1"/>
  <c r="T1859" i="1"/>
  <c r="P1859" i="1"/>
  <c r="O1859" i="1"/>
  <c r="N1859" i="1"/>
  <c r="AA1858" i="1"/>
  <c r="T1858" i="1"/>
  <c r="P1858" i="1"/>
  <c r="O1858" i="1"/>
  <c r="N1858" i="1"/>
  <c r="AA1857" i="1"/>
  <c r="T1857" i="1"/>
  <c r="P1857" i="1"/>
  <c r="O1857" i="1"/>
  <c r="N1857" i="1"/>
  <c r="AA1856" i="1"/>
  <c r="T1856" i="1"/>
  <c r="P1856" i="1"/>
  <c r="O1856" i="1"/>
  <c r="N1856" i="1"/>
  <c r="AA1855" i="1"/>
  <c r="T1855" i="1"/>
  <c r="P1855" i="1"/>
  <c r="O1855" i="1"/>
  <c r="N1855" i="1"/>
  <c r="AA1854" i="1"/>
  <c r="T1854" i="1"/>
  <c r="P1854" i="1"/>
  <c r="O1854" i="1"/>
  <c r="N1854" i="1"/>
  <c r="AA1852" i="1"/>
  <c r="T1852" i="1"/>
  <c r="P1852" i="1"/>
  <c r="O1852" i="1"/>
  <c r="N1852" i="1"/>
  <c r="AA1851" i="1"/>
  <c r="T1851" i="1"/>
  <c r="P1851" i="1"/>
  <c r="O1851" i="1"/>
  <c r="N1851" i="1"/>
  <c r="AA1850" i="1"/>
  <c r="T1850" i="1"/>
  <c r="P1850" i="1"/>
  <c r="O1850" i="1"/>
  <c r="N1850" i="1"/>
  <c r="AA1848" i="1"/>
  <c r="T1848" i="1"/>
  <c r="P1848" i="1"/>
  <c r="O1848" i="1"/>
  <c r="N1848" i="1"/>
  <c r="AA1847" i="1"/>
  <c r="T1847" i="1"/>
  <c r="P1847" i="1"/>
  <c r="O1847" i="1"/>
  <c r="N1847" i="1"/>
  <c r="AA1845" i="1"/>
  <c r="T1845" i="1"/>
  <c r="P1845" i="1"/>
  <c r="O1845" i="1"/>
  <c r="N1845" i="1"/>
  <c r="AA1843" i="1"/>
  <c r="T1843" i="1"/>
  <c r="P1843" i="1"/>
  <c r="O1843" i="1"/>
  <c r="N1843" i="1"/>
  <c r="AA1841" i="1"/>
  <c r="T1841" i="1"/>
  <c r="P1841" i="1"/>
  <c r="O1841" i="1"/>
  <c r="N1841" i="1"/>
  <c r="AA1838" i="1"/>
  <c r="T1838" i="1"/>
  <c r="P1838" i="1"/>
  <c r="O1838" i="1"/>
  <c r="N1838" i="1"/>
  <c r="AA1837" i="1"/>
  <c r="T1837" i="1"/>
  <c r="P1837" i="1"/>
  <c r="O1837" i="1"/>
  <c r="N1837" i="1"/>
  <c r="AA1836" i="1"/>
  <c r="T1836" i="1"/>
  <c r="P1836" i="1"/>
  <c r="O1836" i="1"/>
  <c r="N1836" i="1"/>
  <c r="AA1835" i="1"/>
  <c r="T1835" i="1"/>
  <c r="P1835" i="1"/>
  <c r="O1835" i="1"/>
  <c r="N1835" i="1"/>
  <c r="AA1833" i="1"/>
  <c r="T1833" i="1"/>
  <c r="P1833" i="1"/>
  <c r="O1833" i="1"/>
  <c r="N1833" i="1"/>
  <c r="AA1832" i="1"/>
  <c r="T1832" i="1"/>
  <c r="P1832" i="1"/>
  <c r="O1832" i="1"/>
  <c r="N1832" i="1"/>
  <c r="AA1831" i="1"/>
  <c r="T1831" i="1"/>
  <c r="P1831" i="1"/>
  <c r="O1831" i="1"/>
  <c r="N1831" i="1"/>
  <c r="AA1830" i="1"/>
  <c r="T1830" i="1"/>
  <c r="P1830" i="1"/>
  <c r="O1830" i="1"/>
  <c r="N1830" i="1"/>
  <c r="AA1828" i="1"/>
  <c r="T1828" i="1"/>
  <c r="P1828" i="1"/>
  <c r="O1828" i="1"/>
  <c r="N1828" i="1"/>
  <c r="AA1827" i="1"/>
  <c r="T1827" i="1"/>
  <c r="P1827" i="1"/>
  <c r="O1827" i="1"/>
  <c r="N1827" i="1"/>
  <c r="AA1825" i="1"/>
  <c r="T1825" i="1"/>
  <c r="P1825" i="1"/>
  <c r="O1825" i="1"/>
  <c r="N1825" i="1"/>
  <c r="AA1824" i="1"/>
  <c r="T1824" i="1"/>
  <c r="P1824" i="1"/>
  <c r="O1824" i="1"/>
  <c r="N1824" i="1"/>
  <c r="AA1823" i="1"/>
  <c r="T1823" i="1"/>
  <c r="P1823" i="1"/>
  <c r="O1823" i="1"/>
  <c r="N1823" i="1"/>
  <c r="AA1820" i="1"/>
  <c r="T1820" i="1"/>
  <c r="P1820" i="1"/>
  <c r="O1820" i="1"/>
  <c r="N1820" i="1"/>
  <c r="AA1819" i="1"/>
  <c r="T1819" i="1"/>
  <c r="P1819" i="1"/>
  <c r="O1819" i="1"/>
  <c r="N1819" i="1"/>
  <c r="AA1817" i="1"/>
  <c r="T1817" i="1"/>
  <c r="P1817" i="1"/>
  <c r="O1817" i="1"/>
  <c r="N1817" i="1"/>
  <c r="AA1816" i="1"/>
  <c r="T1816" i="1"/>
  <c r="P1816" i="1"/>
  <c r="O1816" i="1"/>
  <c r="N1816" i="1"/>
  <c r="AA1815" i="1"/>
  <c r="T1815" i="1"/>
  <c r="P1815" i="1"/>
  <c r="O1815" i="1"/>
  <c r="N1815" i="1"/>
  <c r="AA1814" i="1"/>
  <c r="T1814" i="1"/>
  <c r="P1814" i="1"/>
  <c r="O1814" i="1"/>
  <c r="N1814" i="1"/>
  <c r="AA1813" i="1"/>
  <c r="T1813" i="1"/>
  <c r="P1813" i="1"/>
  <c r="O1813" i="1"/>
  <c r="N1813" i="1"/>
  <c r="AA1812" i="1"/>
  <c r="T1812" i="1"/>
  <c r="P1812" i="1"/>
  <c r="O1812" i="1"/>
  <c r="N1812" i="1"/>
  <c r="AA1808" i="1"/>
  <c r="T1808" i="1"/>
  <c r="P1808" i="1"/>
  <c r="O1808" i="1"/>
  <c r="N1808" i="1"/>
  <c r="AA1806" i="1"/>
  <c r="T1806" i="1"/>
  <c r="P1806" i="1"/>
  <c r="O1806" i="1"/>
  <c r="N1806" i="1"/>
  <c r="AA1804" i="1"/>
  <c r="T1804" i="1"/>
  <c r="P1804" i="1"/>
  <c r="O1804" i="1"/>
  <c r="N1804" i="1"/>
  <c r="AA1803" i="1"/>
  <c r="T1803" i="1"/>
  <c r="P1803" i="1"/>
  <c r="O1803" i="1"/>
  <c r="N1803" i="1"/>
  <c r="AA1802" i="1"/>
  <c r="T1802" i="1"/>
  <c r="P1802" i="1"/>
  <c r="O1802" i="1"/>
  <c r="N1802" i="1"/>
  <c r="AA1801" i="1"/>
  <c r="T1801" i="1"/>
  <c r="P1801" i="1"/>
  <c r="O1801" i="1"/>
  <c r="N1801" i="1"/>
  <c r="AA1799" i="1"/>
  <c r="T1799" i="1"/>
  <c r="P1799" i="1"/>
  <c r="O1799" i="1"/>
  <c r="N1799" i="1"/>
  <c r="AA1798" i="1"/>
  <c r="T1798" i="1"/>
  <c r="P1798" i="1"/>
  <c r="O1798" i="1"/>
  <c r="N1798" i="1"/>
  <c r="AA1795" i="1"/>
  <c r="T1795" i="1"/>
  <c r="P1795" i="1"/>
  <c r="O1795" i="1"/>
  <c r="N1795" i="1"/>
  <c r="AA1793" i="1"/>
  <c r="T1793" i="1"/>
  <c r="P1793" i="1"/>
  <c r="O1793" i="1"/>
  <c r="N1793" i="1"/>
  <c r="AA1792" i="1"/>
  <c r="T1792" i="1"/>
  <c r="P1792" i="1"/>
  <c r="O1792" i="1"/>
  <c r="N1792" i="1"/>
  <c r="AA1791" i="1"/>
  <c r="T1791" i="1"/>
  <c r="P1791" i="1"/>
  <c r="O1791" i="1"/>
  <c r="N1791" i="1"/>
  <c r="AA1790" i="1"/>
  <c r="T1790" i="1"/>
  <c r="P1790" i="1"/>
  <c r="O1790" i="1"/>
  <c r="N1790" i="1"/>
  <c r="AA1789" i="1"/>
  <c r="T1789" i="1"/>
  <c r="P1789" i="1"/>
  <c r="O1789" i="1"/>
  <c r="N1789" i="1"/>
  <c r="AA1788" i="1"/>
  <c r="T1788" i="1"/>
  <c r="P1788" i="1"/>
  <c r="O1788" i="1"/>
  <c r="N1788" i="1"/>
  <c r="AA1785" i="1"/>
  <c r="T1785" i="1"/>
  <c r="P1785" i="1"/>
  <c r="O1785" i="1"/>
  <c r="N1785" i="1"/>
  <c r="AA1784" i="1"/>
  <c r="T1784" i="1"/>
  <c r="P1784" i="1"/>
  <c r="O1784" i="1"/>
  <c r="N1784" i="1"/>
  <c r="AA1783" i="1"/>
  <c r="T1783" i="1"/>
  <c r="P1783" i="1"/>
  <c r="O1783" i="1"/>
  <c r="N1783" i="1"/>
  <c r="AA1782" i="1"/>
  <c r="T1782" i="1"/>
  <c r="P1782" i="1"/>
  <c r="O1782" i="1"/>
  <c r="N1782" i="1"/>
  <c r="AA1781" i="1"/>
  <c r="T1781" i="1"/>
  <c r="P1781" i="1"/>
  <c r="O1781" i="1"/>
  <c r="N1781" i="1"/>
  <c r="AA1779" i="1"/>
  <c r="T1779" i="1"/>
  <c r="P1779" i="1"/>
  <c r="O1779" i="1"/>
  <c r="N1779" i="1"/>
  <c r="AA1778" i="1"/>
  <c r="T1778" i="1"/>
  <c r="P1778" i="1"/>
  <c r="O1778" i="1"/>
  <c r="N1778" i="1"/>
  <c r="AA1777" i="1"/>
  <c r="T1777" i="1"/>
  <c r="P1777" i="1"/>
  <c r="O1777" i="1"/>
  <c r="N1777" i="1"/>
  <c r="AA1774" i="1"/>
  <c r="T1774" i="1"/>
  <c r="P1774" i="1"/>
  <c r="O1774" i="1"/>
  <c r="N1774" i="1"/>
  <c r="AA1773" i="1"/>
  <c r="T1773" i="1"/>
  <c r="N1773" i="1"/>
  <c r="AA1771" i="1"/>
  <c r="T1771" i="1"/>
  <c r="P1771" i="1"/>
  <c r="O1771" i="1"/>
  <c r="N1771" i="1"/>
  <c r="AA1770" i="1"/>
  <c r="T1770" i="1"/>
  <c r="P1770" i="1"/>
  <c r="O1770" i="1"/>
  <c r="N1770" i="1"/>
  <c r="AA1769" i="1"/>
  <c r="T1769" i="1"/>
  <c r="P1769" i="1"/>
  <c r="O1769" i="1"/>
  <c r="N1769" i="1"/>
  <c r="AA1768" i="1"/>
  <c r="T1768" i="1"/>
  <c r="P1768" i="1"/>
  <c r="O1768" i="1"/>
  <c r="N1768" i="1"/>
  <c r="AA1766" i="1"/>
  <c r="T1766" i="1"/>
  <c r="P1766" i="1"/>
  <c r="O1766" i="1"/>
  <c r="N1766" i="1"/>
  <c r="AA1765" i="1"/>
  <c r="T1765" i="1"/>
  <c r="P1765" i="1"/>
  <c r="O1765" i="1"/>
  <c r="N1765" i="1"/>
  <c r="AA1764" i="1"/>
  <c r="T1764" i="1"/>
  <c r="P1764" i="1"/>
  <c r="O1764" i="1"/>
  <c r="N1764" i="1"/>
  <c r="AA1763" i="1"/>
  <c r="T1763" i="1"/>
  <c r="P1763" i="1"/>
  <c r="O1763" i="1"/>
  <c r="N1763" i="1"/>
  <c r="AA1762" i="1"/>
  <c r="T1762" i="1"/>
  <c r="P1762" i="1"/>
  <c r="O1762" i="1"/>
  <c r="N1762" i="1"/>
  <c r="AA1761" i="1"/>
  <c r="T1761" i="1"/>
  <c r="P1761" i="1"/>
  <c r="O1761" i="1"/>
  <c r="N1761" i="1"/>
  <c r="AA1760" i="1"/>
  <c r="T1760" i="1"/>
  <c r="P1760" i="1"/>
  <c r="O1760" i="1"/>
  <c r="N1760" i="1"/>
  <c r="AA1759" i="1"/>
  <c r="T1759" i="1"/>
  <c r="P1759" i="1"/>
  <c r="O1759" i="1"/>
  <c r="N1759" i="1"/>
  <c r="AA1757" i="1"/>
  <c r="T1757" i="1"/>
  <c r="P1757" i="1"/>
  <c r="O1757" i="1"/>
  <c r="N1757" i="1"/>
  <c r="AA1756" i="1"/>
  <c r="T1756" i="1"/>
  <c r="P1756" i="1"/>
  <c r="O1756" i="1"/>
  <c r="N1756" i="1"/>
  <c r="AA1755" i="1"/>
  <c r="T1755" i="1"/>
  <c r="P1755" i="1"/>
  <c r="O1755" i="1"/>
  <c r="N1755" i="1"/>
  <c r="AA1753" i="1"/>
  <c r="T1753" i="1"/>
  <c r="P1753" i="1"/>
  <c r="O1753" i="1"/>
  <c r="N1753" i="1"/>
  <c r="AA1752" i="1"/>
  <c r="T1752" i="1"/>
  <c r="P1752" i="1"/>
  <c r="O1752" i="1"/>
  <c r="N1752" i="1"/>
  <c r="AA1751" i="1"/>
  <c r="T1751" i="1"/>
  <c r="P1751" i="1"/>
  <c r="O1751" i="1"/>
  <c r="N1751" i="1"/>
  <c r="AA1750" i="1"/>
  <c r="T1750" i="1"/>
  <c r="P1750" i="1"/>
  <c r="O1750" i="1"/>
  <c r="N1750" i="1"/>
  <c r="AA1747" i="1"/>
  <c r="T1747" i="1"/>
  <c r="P1747" i="1"/>
  <c r="O1747" i="1"/>
  <c r="N1747" i="1"/>
  <c r="AA1746" i="1"/>
  <c r="T1746" i="1"/>
  <c r="P1746" i="1"/>
  <c r="O1746" i="1"/>
  <c r="N1746" i="1"/>
  <c r="AA1744" i="1"/>
  <c r="T1744" i="1"/>
  <c r="P1744" i="1"/>
  <c r="O1744" i="1"/>
  <c r="N1744" i="1"/>
  <c r="AA1741" i="1"/>
  <c r="T1741" i="1"/>
  <c r="P1741" i="1"/>
  <c r="O1741" i="1"/>
  <c r="N1741" i="1"/>
  <c r="AA1740" i="1"/>
  <c r="T1740" i="1"/>
  <c r="P1740" i="1"/>
  <c r="O1740" i="1"/>
  <c r="N1740" i="1"/>
  <c r="AA1739" i="1"/>
  <c r="T1739" i="1"/>
  <c r="P1739" i="1"/>
  <c r="O1739" i="1"/>
  <c r="N1739" i="1"/>
  <c r="AA1738" i="1"/>
  <c r="T1738" i="1"/>
  <c r="P1738" i="1"/>
  <c r="O1738" i="1"/>
  <c r="N1738" i="1"/>
  <c r="AA1737" i="1"/>
  <c r="T1737" i="1"/>
  <c r="P1737" i="1"/>
  <c r="O1737" i="1"/>
  <c r="N1737" i="1"/>
  <c r="AA1736" i="1"/>
  <c r="T1736" i="1"/>
  <c r="P1736" i="1"/>
  <c r="O1736" i="1"/>
  <c r="N1736" i="1"/>
  <c r="AA1735" i="1"/>
  <c r="T1735" i="1"/>
  <c r="P1735" i="1"/>
  <c r="O1735" i="1"/>
  <c r="N1735" i="1"/>
  <c r="AA1734" i="1"/>
  <c r="T1734" i="1"/>
  <c r="P1734" i="1"/>
  <c r="O1734" i="1"/>
  <c r="N1734" i="1"/>
  <c r="AA1733" i="1"/>
  <c r="T1733" i="1"/>
  <c r="P1733" i="1"/>
  <c r="O1733" i="1"/>
  <c r="N1733" i="1"/>
  <c r="AA1732" i="1"/>
  <c r="T1732" i="1"/>
  <c r="P1732" i="1"/>
  <c r="O1732" i="1"/>
  <c r="N1732" i="1"/>
  <c r="AA1731" i="1"/>
  <c r="T1731" i="1"/>
  <c r="P1731" i="1"/>
  <c r="O1731" i="1"/>
  <c r="N1731" i="1"/>
  <c r="AA1730" i="1"/>
  <c r="T1730" i="1"/>
  <c r="P1730" i="1"/>
  <c r="O1730" i="1"/>
  <c r="N1730" i="1"/>
  <c r="AA1729" i="1"/>
  <c r="T1729" i="1"/>
  <c r="P1729" i="1"/>
  <c r="O1729" i="1"/>
  <c r="N1729" i="1"/>
  <c r="AA1728" i="1"/>
  <c r="T1728" i="1"/>
  <c r="P1728" i="1"/>
  <c r="O1728" i="1"/>
  <c r="N1728" i="1"/>
  <c r="AA1727" i="1"/>
  <c r="T1727" i="1"/>
  <c r="P1727" i="1"/>
  <c r="O1727" i="1"/>
  <c r="N1727" i="1"/>
  <c r="AA1726" i="1"/>
  <c r="T1726" i="1"/>
  <c r="P1726" i="1"/>
  <c r="O1726" i="1"/>
  <c r="N1726" i="1"/>
  <c r="AA1725" i="1"/>
  <c r="T1725" i="1"/>
  <c r="P1725" i="1"/>
  <c r="O1725" i="1"/>
  <c r="N1725" i="1"/>
  <c r="AA1724" i="1"/>
  <c r="T1724" i="1"/>
  <c r="P1724" i="1"/>
  <c r="O1724" i="1"/>
  <c r="N1724" i="1"/>
  <c r="AA1722" i="1"/>
  <c r="T1722" i="1"/>
  <c r="P1722" i="1"/>
  <c r="O1722" i="1"/>
  <c r="N1722" i="1"/>
  <c r="AA1721" i="1"/>
  <c r="T1721" i="1"/>
  <c r="P1721" i="1"/>
  <c r="O1721" i="1"/>
  <c r="N1721" i="1"/>
  <c r="AA1720" i="1"/>
  <c r="T1720" i="1"/>
  <c r="P1720" i="1"/>
  <c r="O1720" i="1"/>
  <c r="N1720" i="1"/>
  <c r="AA1719" i="1"/>
  <c r="T1719" i="1"/>
  <c r="P1719" i="1"/>
  <c r="O1719" i="1"/>
  <c r="N1719" i="1"/>
  <c r="AA1718" i="1"/>
  <c r="T1718" i="1"/>
  <c r="P1718" i="1"/>
  <c r="O1718" i="1"/>
  <c r="N1718" i="1"/>
  <c r="AA1717" i="1"/>
  <c r="T1717" i="1"/>
  <c r="P1717" i="1"/>
  <c r="O1717" i="1"/>
  <c r="N1717" i="1"/>
  <c r="AA1716" i="1"/>
  <c r="T1716" i="1"/>
  <c r="P1716" i="1"/>
  <c r="O1716" i="1"/>
  <c r="N1716" i="1"/>
  <c r="AA1715" i="1"/>
  <c r="T1715" i="1"/>
  <c r="P1715" i="1"/>
  <c r="O1715" i="1"/>
  <c r="N1715" i="1"/>
  <c r="AA1714" i="1"/>
  <c r="T1714" i="1"/>
  <c r="P1714" i="1"/>
  <c r="O1714" i="1"/>
  <c r="N1714" i="1"/>
  <c r="AA1713" i="1"/>
  <c r="T1713" i="1"/>
  <c r="P1713" i="1"/>
  <c r="O1713" i="1"/>
  <c r="N1713" i="1"/>
  <c r="AA1712" i="1"/>
  <c r="T1712" i="1"/>
  <c r="P1712" i="1"/>
  <c r="O1712" i="1"/>
  <c r="N1712" i="1"/>
  <c r="AA1710" i="1"/>
  <c r="T1710" i="1"/>
  <c r="P1710" i="1"/>
  <c r="O1710" i="1"/>
  <c r="N1710" i="1"/>
  <c r="AA1709" i="1"/>
  <c r="T1709" i="1"/>
  <c r="P1709" i="1"/>
  <c r="O1709" i="1"/>
  <c r="N1709" i="1"/>
  <c r="AA1708" i="1"/>
  <c r="T1708" i="1"/>
  <c r="P1708" i="1"/>
  <c r="O1708" i="1"/>
  <c r="N1708" i="1"/>
  <c r="AA1707" i="1"/>
  <c r="T1707" i="1"/>
  <c r="P1707" i="1"/>
  <c r="O1707" i="1"/>
  <c r="N1707" i="1"/>
  <c r="AA1706" i="1"/>
  <c r="T1706" i="1"/>
  <c r="P1706" i="1"/>
  <c r="O1706" i="1"/>
  <c r="N1706" i="1"/>
  <c r="AA1705" i="1"/>
  <c r="T1705" i="1"/>
  <c r="P1705" i="1"/>
  <c r="O1705" i="1"/>
  <c r="N1705" i="1"/>
  <c r="AA1704" i="1"/>
  <c r="T1704" i="1"/>
  <c r="P1704" i="1"/>
  <c r="O1704" i="1"/>
  <c r="N1704" i="1"/>
  <c r="AA1703" i="1"/>
  <c r="T1703" i="1"/>
  <c r="P1703" i="1"/>
  <c r="O1703" i="1"/>
  <c r="N1703" i="1"/>
  <c r="AA1702" i="1"/>
  <c r="T1702" i="1"/>
  <c r="P1702" i="1"/>
  <c r="O1702" i="1"/>
  <c r="N1702" i="1"/>
  <c r="AA1701" i="1"/>
  <c r="T1701" i="1"/>
  <c r="P1701" i="1"/>
  <c r="O1701" i="1"/>
  <c r="N1701" i="1"/>
  <c r="AA1700" i="1"/>
  <c r="T1700" i="1"/>
  <c r="P1700" i="1"/>
  <c r="O1700" i="1"/>
  <c r="N1700" i="1"/>
  <c r="AA1698" i="1"/>
  <c r="T1698" i="1"/>
  <c r="P1698" i="1"/>
  <c r="O1698" i="1"/>
  <c r="N1698" i="1"/>
  <c r="AA1697" i="1"/>
  <c r="T1697" i="1"/>
  <c r="P1697" i="1"/>
  <c r="O1697" i="1"/>
  <c r="N1697" i="1"/>
  <c r="AA1696" i="1"/>
  <c r="T1696" i="1"/>
  <c r="P1696" i="1"/>
  <c r="O1696" i="1"/>
  <c r="N1696" i="1"/>
  <c r="AA1695" i="1"/>
  <c r="T1695" i="1"/>
  <c r="P1695" i="1"/>
  <c r="O1695" i="1"/>
  <c r="N1695" i="1"/>
  <c r="AA1694" i="1"/>
  <c r="T1694" i="1"/>
  <c r="P1694" i="1"/>
  <c r="O1694" i="1"/>
  <c r="N1694" i="1"/>
  <c r="AA1693" i="1"/>
  <c r="T1693" i="1"/>
  <c r="P1693" i="1"/>
  <c r="O1693" i="1"/>
  <c r="N1693" i="1"/>
  <c r="AA1692" i="1"/>
  <c r="T1692" i="1"/>
  <c r="P1692" i="1"/>
  <c r="O1692" i="1"/>
  <c r="N1692" i="1"/>
  <c r="AA1691" i="1"/>
  <c r="T1691" i="1"/>
  <c r="P1691" i="1"/>
  <c r="O1691" i="1"/>
  <c r="N1691" i="1"/>
  <c r="AA1690" i="1"/>
  <c r="T1690" i="1"/>
  <c r="P1690" i="1"/>
  <c r="O1690" i="1"/>
  <c r="N1690" i="1"/>
  <c r="AA1689" i="1"/>
  <c r="T1689" i="1"/>
  <c r="P1689" i="1"/>
  <c r="O1689" i="1"/>
  <c r="N1689" i="1"/>
  <c r="AA1688" i="1"/>
  <c r="T1688" i="1"/>
  <c r="P1688" i="1"/>
  <c r="O1688" i="1"/>
  <c r="N1688" i="1"/>
  <c r="AA1687" i="1"/>
  <c r="T1687" i="1"/>
  <c r="P1687" i="1"/>
  <c r="O1687" i="1"/>
  <c r="N1687" i="1"/>
  <c r="AA1683" i="1"/>
  <c r="T1683" i="1"/>
  <c r="P1683" i="1"/>
  <c r="O1683" i="1"/>
  <c r="N1683" i="1"/>
  <c r="AA1680" i="1"/>
  <c r="T1680" i="1"/>
  <c r="P1680" i="1"/>
  <c r="O1680" i="1"/>
  <c r="N1680" i="1"/>
  <c r="AA1679" i="1"/>
  <c r="T1679" i="1"/>
  <c r="P1679" i="1"/>
  <c r="O1679" i="1"/>
  <c r="N1679" i="1"/>
  <c r="AA1678" i="1"/>
  <c r="T1678" i="1"/>
  <c r="P1678" i="1"/>
  <c r="O1678" i="1"/>
  <c r="N1678" i="1"/>
  <c r="AA1677" i="1"/>
  <c r="T1677" i="1"/>
  <c r="P1677" i="1"/>
  <c r="O1677" i="1"/>
  <c r="N1677" i="1"/>
  <c r="AA1676" i="1"/>
  <c r="T1676" i="1"/>
  <c r="P1676" i="1"/>
  <c r="O1676" i="1"/>
  <c r="N1676" i="1"/>
  <c r="AA1675" i="1"/>
  <c r="T1675" i="1"/>
  <c r="P1675" i="1"/>
  <c r="O1675" i="1"/>
  <c r="N1675" i="1"/>
  <c r="AA1674" i="1"/>
  <c r="T1674" i="1"/>
  <c r="P1674" i="1"/>
  <c r="O1674" i="1"/>
  <c r="N1674" i="1"/>
  <c r="AA1673" i="1"/>
  <c r="T1673" i="1"/>
  <c r="P1673" i="1"/>
  <c r="O1673" i="1"/>
  <c r="N1673" i="1"/>
  <c r="AA1672" i="1"/>
  <c r="T1672" i="1"/>
  <c r="P1672" i="1"/>
  <c r="O1672" i="1"/>
  <c r="N1672" i="1"/>
  <c r="AA1671" i="1"/>
  <c r="T1671" i="1"/>
  <c r="P1671" i="1"/>
  <c r="O1671" i="1"/>
  <c r="N1671" i="1"/>
  <c r="AA1670" i="1"/>
  <c r="T1670" i="1"/>
  <c r="P1670" i="1"/>
  <c r="O1670" i="1"/>
  <c r="N1670" i="1"/>
  <c r="AA1669" i="1"/>
  <c r="T1669" i="1"/>
  <c r="P1669" i="1"/>
  <c r="O1669" i="1"/>
  <c r="N1669" i="1"/>
  <c r="AA1668" i="1"/>
  <c r="T1668" i="1"/>
  <c r="P1668" i="1"/>
  <c r="O1668" i="1"/>
  <c r="N1668" i="1"/>
  <c r="AA1667" i="1"/>
  <c r="T1667" i="1"/>
  <c r="P1667" i="1"/>
  <c r="O1667" i="1"/>
  <c r="N1667" i="1"/>
  <c r="AA1666" i="1"/>
  <c r="T1666" i="1"/>
  <c r="P1666" i="1"/>
  <c r="O1666" i="1"/>
  <c r="N1666" i="1"/>
  <c r="AA1665" i="1"/>
  <c r="T1665" i="1"/>
  <c r="P1665" i="1"/>
  <c r="O1665" i="1"/>
  <c r="N1665" i="1"/>
  <c r="AA1663" i="1"/>
  <c r="T1663" i="1"/>
  <c r="P1663" i="1"/>
  <c r="O1663" i="1"/>
  <c r="N1663" i="1"/>
  <c r="AA1662" i="1"/>
  <c r="T1662" i="1"/>
  <c r="P1662" i="1"/>
  <c r="O1662" i="1"/>
  <c r="N1662" i="1"/>
  <c r="AA1661" i="1"/>
  <c r="T1661" i="1"/>
  <c r="P1661" i="1"/>
  <c r="O1661" i="1"/>
  <c r="N1661" i="1"/>
  <c r="AA1660" i="1"/>
  <c r="T1660" i="1"/>
  <c r="P1660" i="1"/>
  <c r="O1660" i="1"/>
  <c r="N1660" i="1"/>
  <c r="AA1659" i="1"/>
  <c r="T1659" i="1"/>
  <c r="P1659" i="1"/>
  <c r="O1659" i="1"/>
  <c r="N1659" i="1"/>
  <c r="AA1658" i="1"/>
  <c r="T1658" i="1"/>
  <c r="P1658" i="1"/>
  <c r="O1658" i="1"/>
  <c r="N1658" i="1"/>
  <c r="AA1657" i="1"/>
  <c r="T1657" i="1"/>
  <c r="P1657" i="1"/>
  <c r="O1657" i="1"/>
  <c r="N1657" i="1"/>
  <c r="AA1656" i="1"/>
  <c r="T1656" i="1"/>
  <c r="P1656" i="1"/>
  <c r="O1656" i="1"/>
  <c r="N1656" i="1"/>
  <c r="AA1655" i="1"/>
  <c r="T1655" i="1"/>
  <c r="P1655" i="1"/>
  <c r="O1655" i="1"/>
  <c r="N1655" i="1"/>
  <c r="AA1654" i="1"/>
  <c r="T1654" i="1"/>
  <c r="P1654" i="1"/>
  <c r="O1654" i="1"/>
  <c r="N1654" i="1"/>
  <c r="AA1653" i="1"/>
  <c r="T1653" i="1"/>
  <c r="P1653" i="1"/>
  <c r="O1653" i="1"/>
  <c r="N1653" i="1"/>
  <c r="AA1652" i="1"/>
  <c r="T1652" i="1"/>
  <c r="P1652" i="1"/>
  <c r="O1652" i="1"/>
  <c r="N1652" i="1"/>
  <c r="AA1651" i="1"/>
  <c r="T1651" i="1"/>
  <c r="P1651" i="1"/>
  <c r="O1651" i="1"/>
  <c r="N1651" i="1"/>
  <c r="AA1648" i="1"/>
  <c r="T1648" i="1"/>
  <c r="P1648" i="1"/>
  <c r="O1648" i="1"/>
  <c r="N1648" i="1"/>
  <c r="AA1647" i="1"/>
  <c r="T1647" i="1"/>
  <c r="P1647" i="1"/>
  <c r="O1647" i="1"/>
  <c r="N1647" i="1"/>
  <c r="AA1645" i="1"/>
  <c r="T1645" i="1"/>
  <c r="P1645" i="1"/>
  <c r="O1645" i="1"/>
  <c r="N1645" i="1"/>
  <c r="AA1644" i="1"/>
  <c r="T1644" i="1"/>
  <c r="P1644" i="1"/>
  <c r="O1644" i="1"/>
  <c r="N1644" i="1"/>
  <c r="AA1643" i="1"/>
  <c r="T1643" i="1"/>
  <c r="P1643" i="1"/>
  <c r="O1643" i="1"/>
  <c r="N1643" i="1"/>
  <c r="AA1642" i="1"/>
  <c r="T1642" i="1"/>
  <c r="P1642" i="1"/>
  <c r="O1642" i="1"/>
  <c r="N1642" i="1"/>
  <c r="AA1641" i="1"/>
  <c r="T1641" i="1"/>
  <c r="P1641" i="1"/>
  <c r="O1641" i="1"/>
  <c r="N1641" i="1"/>
  <c r="AA1639" i="1"/>
  <c r="T1639" i="1"/>
  <c r="P1639" i="1"/>
  <c r="O1639" i="1"/>
  <c r="N1639" i="1"/>
  <c r="AA1637" i="1"/>
  <c r="T1637" i="1"/>
  <c r="P1637" i="1"/>
  <c r="O1637" i="1"/>
  <c r="N1637" i="1"/>
  <c r="AA1636" i="1"/>
  <c r="T1636" i="1"/>
  <c r="P1636" i="1"/>
  <c r="O1636" i="1"/>
  <c r="N1636" i="1"/>
  <c r="AA1635" i="1"/>
  <c r="T1635" i="1"/>
  <c r="P1635" i="1"/>
  <c r="O1635" i="1"/>
  <c r="N1635" i="1"/>
  <c r="AA1634" i="1"/>
  <c r="T1634" i="1"/>
  <c r="P1634" i="1"/>
  <c r="O1634" i="1"/>
  <c r="N1634" i="1"/>
  <c r="AA1631" i="1"/>
  <c r="T1631" i="1"/>
  <c r="P1631" i="1"/>
  <c r="O1631" i="1"/>
  <c r="N1631" i="1"/>
  <c r="AA1630" i="1"/>
  <c r="T1630" i="1"/>
  <c r="P1630" i="1"/>
  <c r="O1630" i="1"/>
  <c r="N1630" i="1"/>
  <c r="AA1629" i="1"/>
  <c r="T1629" i="1"/>
  <c r="P1629" i="1"/>
  <c r="O1629" i="1"/>
  <c r="N1629" i="1"/>
  <c r="AA1628" i="1"/>
  <c r="T1628" i="1"/>
  <c r="P1628" i="1"/>
  <c r="O1628" i="1"/>
  <c r="N1628" i="1"/>
  <c r="AA1627" i="1"/>
  <c r="T1627" i="1"/>
  <c r="P1627" i="1"/>
  <c r="O1627" i="1"/>
  <c r="N1627" i="1"/>
  <c r="AA1626" i="1"/>
  <c r="T1626" i="1"/>
  <c r="P1626" i="1"/>
  <c r="O1626" i="1"/>
  <c r="N1626" i="1"/>
  <c r="AA1624" i="1"/>
  <c r="T1624" i="1"/>
  <c r="P1624" i="1"/>
  <c r="O1624" i="1"/>
  <c r="N1624" i="1"/>
  <c r="AA1623" i="1"/>
  <c r="T1623" i="1"/>
  <c r="P1623" i="1"/>
  <c r="O1623" i="1"/>
  <c r="N1623" i="1"/>
  <c r="AA1622" i="1"/>
  <c r="T1622" i="1"/>
  <c r="P1622" i="1"/>
  <c r="O1622" i="1"/>
  <c r="N1622" i="1"/>
  <c r="AA1621" i="1"/>
  <c r="T1621" i="1"/>
  <c r="P1621" i="1"/>
  <c r="O1621" i="1"/>
  <c r="N1621" i="1"/>
  <c r="AA1620" i="1"/>
  <c r="T1620" i="1"/>
  <c r="P1620" i="1"/>
  <c r="O1620" i="1"/>
  <c r="N1620" i="1"/>
  <c r="AA1619" i="1"/>
  <c r="T1619" i="1"/>
  <c r="P1619" i="1"/>
  <c r="O1619" i="1"/>
  <c r="N1619" i="1"/>
  <c r="AA1618" i="1"/>
  <c r="T1618" i="1"/>
  <c r="P1618" i="1"/>
  <c r="O1618" i="1"/>
  <c r="N1618" i="1"/>
  <c r="AA1617" i="1"/>
  <c r="T1617" i="1"/>
  <c r="P1617" i="1"/>
  <c r="O1617" i="1"/>
  <c r="N1617" i="1"/>
  <c r="AA1616" i="1"/>
  <c r="T1616" i="1"/>
  <c r="P1616" i="1"/>
  <c r="O1616" i="1"/>
  <c r="N1616" i="1"/>
  <c r="AA1615" i="1"/>
  <c r="T1615" i="1"/>
  <c r="P1615" i="1"/>
  <c r="O1615" i="1"/>
  <c r="N1615" i="1"/>
  <c r="AA1614" i="1"/>
  <c r="T1614" i="1"/>
  <c r="P1614" i="1"/>
  <c r="O1614" i="1"/>
  <c r="N1614" i="1"/>
  <c r="AA1610" i="1"/>
  <c r="T1610" i="1"/>
  <c r="P1610" i="1"/>
  <c r="O1610" i="1"/>
  <c r="N1610" i="1"/>
  <c r="AA1609" i="1"/>
  <c r="T1609" i="1"/>
  <c r="P1609" i="1"/>
  <c r="O1609" i="1"/>
  <c r="N1609" i="1"/>
  <c r="AA1608" i="1"/>
  <c r="T1608" i="1"/>
  <c r="P1608" i="1"/>
  <c r="O1608" i="1"/>
  <c r="N1608" i="1"/>
  <c r="AA1607" i="1"/>
  <c r="T1607" i="1"/>
  <c r="P1607" i="1"/>
  <c r="O1607" i="1"/>
  <c r="N1607" i="1"/>
  <c r="AA1606" i="1"/>
  <c r="T1606" i="1"/>
  <c r="P1606" i="1"/>
  <c r="O1606" i="1"/>
  <c r="N1606" i="1"/>
  <c r="AA1605" i="1"/>
  <c r="T1605" i="1"/>
  <c r="P1605" i="1"/>
  <c r="O1605" i="1"/>
  <c r="N1605" i="1"/>
  <c r="AA1604" i="1"/>
  <c r="T1604" i="1"/>
  <c r="P1604" i="1"/>
  <c r="O1604" i="1"/>
  <c r="N1604" i="1"/>
  <c r="AA1603" i="1"/>
  <c r="T1603" i="1"/>
  <c r="P1603" i="1"/>
  <c r="O1603" i="1"/>
  <c r="N1603" i="1"/>
  <c r="AA1601" i="1"/>
  <c r="T1601" i="1"/>
  <c r="P1601" i="1"/>
  <c r="O1601" i="1"/>
  <c r="N1601" i="1"/>
  <c r="AA1599" i="1"/>
  <c r="T1599" i="1"/>
  <c r="P1599" i="1"/>
  <c r="O1599" i="1"/>
  <c r="N1599" i="1"/>
  <c r="AA1597" i="1"/>
  <c r="T1597" i="1"/>
  <c r="P1597" i="1"/>
  <c r="O1597" i="1"/>
  <c r="N1597" i="1"/>
  <c r="AA1596" i="1"/>
  <c r="T1596" i="1"/>
  <c r="P1596" i="1"/>
  <c r="O1596" i="1"/>
  <c r="N1596" i="1"/>
  <c r="AA1594" i="1"/>
  <c r="T1594" i="1"/>
  <c r="P1594" i="1"/>
  <c r="O1594" i="1"/>
  <c r="N1594" i="1"/>
  <c r="AA1588" i="1"/>
  <c r="T1588" i="1"/>
  <c r="P1588" i="1"/>
  <c r="O1588" i="1"/>
  <c r="N1588" i="1"/>
  <c r="AA1587" i="1"/>
  <c r="T1587" i="1"/>
  <c r="P1587" i="1"/>
  <c r="O1587" i="1"/>
  <c r="N1587" i="1"/>
  <c r="AA1586" i="1"/>
  <c r="T1586" i="1"/>
  <c r="P1586" i="1"/>
  <c r="O1586" i="1"/>
  <c r="N1586" i="1"/>
  <c r="AA1585" i="1"/>
  <c r="T1585" i="1"/>
  <c r="P1585" i="1"/>
  <c r="O1585" i="1"/>
  <c r="N1585" i="1"/>
  <c r="AA1584" i="1"/>
  <c r="T1584" i="1"/>
  <c r="P1584" i="1"/>
  <c r="O1584" i="1"/>
  <c r="N1584" i="1"/>
  <c r="AA1583" i="1"/>
  <c r="T1583" i="1"/>
  <c r="P1583" i="1"/>
  <c r="O1583" i="1"/>
  <c r="N1583" i="1"/>
  <c r="AA1582" i="1"/>
  <c r="T1582" i="1"/>
  <c r="P1582" i="1"/>
  <c r="O1582" i="1"/>
  <c r="N1582" i="1"/>
  <c r="AA1581" i="1"/>
  <c r="T1581" i="1"/>
  <c r="P1581" i="1"/>
  <c r="O1581" i="1"/>
  <c r="N1581" i="1"/>
  <c r="AA1580" i="1"/>
  <c r="T1580" i="1"/>
  <c r="P1580" i="1"/>
  <c r="O1580" i="1"/>
  <c r="N1580" i="1"/>
  <c r="AA1579" i="1"/>
  <c r="T1579" i="1"/>
  <c r="P1579" i="1"/>
  <c r="O1579" i="1"/>
  <c r="N1579" i="1"/>
  <c r="AA1578" i="1"/>
  <c r="T1578" i="1"/>
  <c r="P1578" i="1"/>
  <c r="O1578" i="1"/>
  <c r="N1578" i="1"/>
  <c r="AA1576" i="1"/>
  <c r="T1576" i="1"/>
  <c r="P1576" i="1"/>
  <c r="O1576" i="1"/>
  <c r="N1576" i="1"/>
  <c r="AA1575" i="1"/>
  <c r="T1575" i="1"/>
  <c r="P1575" i="1"/>
  <c r="O1575" i="1"/>
  <c r="N1575" i="1"/>
  <c r="AA1574" i="1"/>
  <c r="T1574" i="1"/>
  <c r="P1574" i="1"/>
  <c r="O1574" i="1"/>
  <c r="N1574" i="1"/>
  <c r="AA1573" i="1"/>
  <c r="T1573" i="1"/>
  <c r="P1573" i="1"/>
  <c r="O1573" i="1"/>
  <c r="N1573" i="1"/>
  <c r="AA1571" i="1"/>
  <c r="T1571" i="1"/>
  <c r="P1571" i="1"/>
  <c r="O1571" i="1"/>
  <c r="N1571" i="1"/>
  <c r="AA1569" i="1"/>
  <c r="T1569" i="1"/>
  <c r="P1569" i="1"/>
  <c r="O1569" i="1"/>
  <c r="N1569" i="1"/>
  <c r="AA1568" i="1"/>
  <c r="T1568" i="1"/>
  <c r="P1568" i="1"/>
  <c r="O1568" i="1"/>
  <c r="N1568" i="1"/>
  <c r="AA1567" i="1"/>
  <c r="T1567" i="1"/>
  <c r="P1567" i="1"/>
  <c r="O1567" i="1"/>
  <c r="N1567" i="1"/>
  <c r="AA1565" i="1"/>
  <c r="T1565" i="1"/>
  <c r="P1565" i="1"/>
  <c r="O1565" i="1"/>
  <c r="N1565" i="1"/>
  <c r="AA1564" i="1"/>
  <c r="T1564" i="1"/>
  <c r="P1564" i="1"/>
  <c r="O1564" i="1"/>
  <c r="N1564" i="1"/>
  <c r="AA1563" i="1"/>
  <c r="T1563" i="1"/>
  <c r="P1563" i="1"/>
  <c r="O1563" i="1"/>
  <c r="N1563" i="1"/>
  <c r="AA1562" i="1"/>
  <c r="T1562" i="1"/>
  <c r="P1562" i="1"/>
  <c r="O1562" i="1"/>
  <c r="N1562" i="1"/>
  <c r="AA1561" i="1"/>
  <c r="T1561" i="1"/>
  <c r="P1561" i="1"/>
  <c r="O1561" i="1"/>
  <c r="N1561" i="1"/>
  <c r="AA1560" i="1"/>
  <c r="T1560" i="1"/>
  <c r="P1560" i="1"/>
  <c r="O1560" i="1"/>
  <c r="N1560" i="1"/>
  <c r="AA1559" i="1"/>
  <c r="T1559" i="1"/>
  <c r="P1559" i="1"/>
  <c r="O1559" i="1"/>
  <c r="N1559" i="1"/>
  <c r="AA1558" i="1"/>
  <c r="T1558" i="1"/>
  <c r="P1558" i="1"/>
  <c r="O1558" i="1"/>
  <c r="N1558" i="1"/>
  <c r="AA1557" i="1"/>
  <c r="T1557" i="1"/>
  <c r="P1557" i="1"/>
  <c r="O1557" i="1"/>
  <c r="N1557" i="1"/>
  <c r="AA1556" i="1"/>
  <c r="T1556" i="1"/>
  <c r="P1556" i="1"/>
  <c r="O1556" i="1"/>
  <c r="N1556" i="1"/>
  <c r="AA1555" i="1"/>
  <c r="T1555" i="1"/>
  <c r="P1555" i="1"/>
  <c r="O1555" i="1"/>
  <c r="N1555" i="1"/>
  <c r="AA1554" i="1"/>
  <c r="T1554" i="1"/>
  <c r="P1554" i="1"/>
  <c r="O1554" i="1"/>
  <c r="N1554" i="1"/>
  <c r="AA1553" i="1"/>
  <c r="T1553" i="1"/>
  <c r="P1553" i="1"/>
  <c r="O1553" i="1"/>
  <c r="N1553" i="1"/>
  <c r="AA1552" i="1"/>
  <c r="T1552" i="1"/>
  <c r="P1552" i="1"/>
  <c r="O1552" i="1"/>
  <c r="N1552" i="1"/>
  <c r="AA1551" i="1"/>
  <c r="T1551" i="1"/>
  <c r="P1551" i="1"/>
  <c r="O1551" i="1"/>
  <c r="N1551" i="1"/>
  <c r="AA1549" i="1"/>
  <c r="T1549" i="1"/>
  <c r="P1549" i="1"/>
  <c r="O1549" i="1"/>
  <c r="N1549" i="1"/>
  <c r="AA1548" i="1"/>
  <c r="T1548" i="1"/>
  <c r="P1548" i="1"/>
  <c r="O1548" i="1"/>
  <c r="N1548" i="1"/>
  <c r="AA1547" i="1"/>
  <c r="T1547" i="1"/>
  <c r="P1547" i="1"/>
  <c r="O1547" i="1"/>
  <c r="N1547" i="1"/>
  <c r="AA1546" i="1"/>
  <c r="T1546" i="1"/>
  <c r="P1546" i="1"/>
  <c r="O1546" i="1"/>
  <c r="N1546" i="1"/>
  <c r="AA1544" i="1"/>
  <c r="T1544" i="1"/>
  <c r="P1544" i="1"/>
  <c r="O1544" i="1"/>
  <c r="N1544" i="1"/>
  <c r="AA1543" i="1"/>
  <c r="T1543" i="1"/>
  <c r="P1543" i="1"/>
  <c r="O1543" i="1"/>
  <c r="N1543" i="1"/>
  <c r="AA1542" i="1"/>
  <c r="T1542" i="1"/>
  <c r="P1542" i="1"/>
  <c r="O1542" i="1"/>
  <c r="N1542" i="1"/>
  <c r="AA1541" i="1"/>
  <c r="T1541" i="1"/>
  <c r="P1541" i="1"/>
  <c r="O1541" i="1"/>
  <c r="N1541" i="1"/>
  <c r="AA1539" i="1"/>
  <c r="T1539" i="1"/>
  <c r="P1539" i="1"/>
  <c r="O1539" i="1"/>
  <c r="N1539" i="1"/>
  <c r="AA1537" i="1"/>
  <c r="T1537" i="1"/>
  <c r="P1537" i="1"/>
  <c r="O1537" i="1"/>
  <c r="N1537" i="1"/>
  <c r="AA1534" i="1"/>
  <c r="T1534" i="1"/>
  <c r="P1534" i="1"/>
  <c r="O1534" i="1"/>
  <c r="N1534" i="1"/>
  <c r="AA1533" i="1"/>
  <c r="T1533" i="1"/>
  <c r="P1533" i="1"/>
  <c r="O1533" i="1"/>
  <c r="N1533" i="1"/>
  <c r="AA1531" i="1"/>
  <c r="T1531" i="1"/>
  <c r="P1531" i="1"/>
  <c r="O1531" i="1"/>
  <c r="N1531" i="1"/>
  <c r="AA1530" i="1"/>
  <c r="T1530" i="1"/>
  <c r="P1530" i="1"/>
  <c r="O1530" i="1"/>
  <c r="N1530" i="1"/>
  <c r="AA1528" i="1"/>
  <c r="T1528" i="1"/>
  <c r="P1528" i="1"/>
  <c r="O1528" i="1"/>
  <c r="N1528" i="1"/>
  <c r="AA1527" i="1"/>
  <c r="T1527" i="1"/>
  <c r="P1527" i="1"/>
  <c r="O1527" i="1"/>
  <c r="N1527" i="1"/>
  <c r="AA1526" i="1"/>
  <c r="T1526" i="1"/>
  <c r="P1526" i="1"/>
  <c r="O1526" i="1"/>
  <c r="N1526" i="1"/>
  <c r="AA1525" i="1"/>
  <c r="T1525" i="1"/>
  <c r="P1525" i="1"/>
  <c r="O1525" i="1"/>
  <c r="N1525" i="1"/>
  <c r="AA1523" i="1"/>
  <c r="T1523" i="1"/>
  <c r="P1523" i="1"/>
  <c r="O1523" i="1"/>
  <c r="N1523" i="1"/>
  <c r="AA1522" i="1"/>
  <c r="T1522" i="1"/>
  <c r="P1522" i="1"/>
  <c r="O1522" i="1"/>
  <c r="N1522" i="1"/>
  <c r="AA1521" i="1"/>
  <c r="T1521" i="1"/>
  <c r="P1521" i="1"/>
  <c r="O1521" i="1"/>
  <c r="N1521" i="1"/>
  <c r="AA1520" i="1"/>
  <c r="T1520" i="1"/>
  <c r="P1520" i="1"/>
  <c r="O1520" i="1"/>
  <c r="N1520" i="1"/>
  <c r="AA1517" i="1"/>
  <c r="T1517" i="1"/>
  <c r="P1517" i="1"/>
  <c r="O1517" i="1"/>
  <c r="N1517" i="1"/>
  <c r="AA1516" i="1"/>
  <c r="T1516" i="1"/>
  <c r="P1516" i="1"/>
  <c r="O1516" i="1"/>
  <c r="N1516" i="1"/>
  <c r="AA1515" i="1"/>
  <c r="T1515" i="1"/>
  <c r="P1515" i="1"/>
  <c r="O1515" i="1"/>
  <c r="N1515" i="1"/>
  <c r="AA1513" i="1"/>
  <c r="T1513" i="1"/>
  <c r="P1513" i="1"/>
  <c r="O1513" i="1"/>
  <c r="N1513" i="1"/>
  <c r="AA1512" i="1"/>
  <c r="T1512" i="1"/>
  <c r="P1512" i="1"/>
  <c r="O1512" i="1"/>
  <c r="N1512" i="1"/>
  <c r="AA1511" i="1"/>
  <c r="T1511" i="1"/>
  <c r="P1511" i="1"/>
  <c r="O1511" i="1"/>
  <c r="N1511" i="1"/>
  <c r="AA1510" i="1"/>
  <c r="T1510" i="1"/>
  <c r="P1510" i="1"/>
  <c r="O1510" i="1"/>
  <c r="N1510" i="1"/>
  <c r="AA1508" i="1"/>
  <c r="T1508" i="1"/>
  <c r="P1508" i="1"/>
  <c r="O1508" i="1"/>
  <c r="N1508" i="1"/>
  <c r="AA1507" i="1"/>
  <c r="T1507" i="1"/>
  <c r="P1507" i="1"/>
  <c r="O1507" i="1"/>
  <c r="N1507" i="1"/>
  <c r="AA1505" i="1"/>
  <c r="T1505" i="1"/>
  <c r="P1505" i="1"/>
  <c r="O1505" i="1"/>
  <c r="N1505" i="1"/>
  <c r="AA1504" i="1"/>
  <c r="T1504" i="1"/>
  <c r="P1504" i="1"/>
  <c r="O1504" i="1"/>
  <c r="N1504" i="1"/>
  <c r="AA1503" i="1"/>
  <c r="T1503" i="1"/>
  <c r="P1503" i="1"/>
  <c r="O1503" i="1"/>
  <c r="N1503" i="1"/>
  <c r="AA1502" i="1"/>
  <c r="T1502" i="1"/>
  <c r="P1502" i="1"/>
  <c r="O1502" i="1"/>
  <c r="N1502" i="1"/>
  <c r="AA1501" i="1"/>
  <c r="T1501" i="1"/>
  <c r="P1501" i="1"/>
  <c r="O1501" i="1"/>
  <c r="N1501" i="1"/>
  <c r="AA1500" i="1"/>
  <c r="T1500" i="1"/>
  <c r="P1500" i="1"/>
  <c r="O1500" i="1"/>
  <c r="N1500" i="1"/>
  <c r="AA1497" i="1"/>
  <c r="T1497" i="1"/>
  <c r="P1497" i="1"/>
  <c r="O1497" i="1"/>
  <c r="N1497" i="1"/>
  <c r="AA1495" i="1"/>
  <c r="T1495" i="1"/>
  <c r="P1495" i="1"/>
  <c r="O1495" i="1"/>
  <c r="N1495" i="1"/>
  <c r="AA1493" i="1"/>
  <c r="T1493" i="1"/>
  <c r="P1493" i="1"/>
  <c r="O1493" i="1"/>
  <c r="N1493" i="1"/>
  <c r="AA1491" i="1"/>
  <c r="T1491" i="1"/>
  <c r="P1491" i="1"/>
  <c r="O1491" i="1"/>
  <c r="N1491" i="1"/>
  <c r="AA1490" i="1"/>
  <c r="T1490" i="1"/>
  <c r="P1490" i="1"/>
  <c r="O1490" i="1"/>
  <c r="N1490" i="1"/>
  <c r="AA1488" i="1"/>
  <c r="T1488" i="1"/>
  <c r="P1488" i="1"/>
  <c r="O1488" i="1"/>
  <c r="N1488" i="1"/>
  <c r="AA1487" i="1"/>
  <c r="T1487" i="1"/>
  <c r="P1487" i="1"/>
  <c r="O1487" i="1"/>
  <c r="N1487" i="1"/>
  <c r="AA1486" i="1"/>
  <c r="T1486" i="1"/>
  <c r="P1486" i="1"/>
  <c r="O1486" i="1"/>
  <c r="N1486" i="1"/>
  <c r="AA1484" i="1"/>
  <c r="T1484" i="1"/>
  <c r="P1484" i="1"/>
  <c r="O1484" i="1"/>
  <c r="N1484" i="1"/>
  <c r="AA1483" i="1"/>
  <c r="T1483" i="1"/>
  <c r="P1483" i="1"/>
  <c r="O1483" i="1"/>
  <c r="N1483" i="1"/>
  <c r="AA1482" i="1"/>
  <c r="T1482" i="1"/>
  <c r="P1482" i="1"/>
  <c r="O1482" i="1"/>
  <c r="N1482" i="1"/>
  <c r="AA1481" i="1"/>
  <c r="T1481" i="1"/>
  <c r="P1481" i="1"/>
  <c r="O1481" i="1"/>
  <c r="N1481" i="1"/>
  <c r="AA1479" i="1"/>
  <c r="T1479" i="1"/>
  <c r="P1479" i="1"/>
  <c r="O1479" i="1"/>
  <c r="N1479" i="1"/>
  <c r="AA1478" i="1"/>
  <c r="T1478" i="1"/>
  <c r="P1478" i="1"/>
  <c r="O1478" i="1"/>
  <c r="N1478" i="1"/>
  <c r="AA1477" i="1"/>
  <c r="T1477" i="1"/>
  <c r="P1477" i="1"/>
  <c r="O1477" i="1"/>
  <c r="N1477" i="1"/>
  <c r="AA1476" i="1"/>
  <c r="T1476" i="1"/>
  <c r="P1476" i="1"/>
  <c r="O1476" i="1"/>
  <c r="N1476" i="1"/>
  <c r="AA1475" i="1"/>
  <c r="T1475" i="1"/>
  <c r="P1475" i="1"/>
  <c r="O1475" i="1"/>
  <c r="N1475" i="1"/>
  <c r="AA1473" i="1"/>
  <c r="T1473" i="1"/>
  <c r="P1473" i="1"/>
  <c r="O1473" i="1"/>
  <c r="N1473" i="1"/>
  <c r="AA1472" i="1"/>
  <c r="T1472" i="1"/>
  <c r="P1472" i="1"/>
  <c r="O1472" i="1"/>
  <c r="N1472" i="1"/>
  <c r="AA1471" i="1"/>
  <c r="T1471" i="1"/>
  <c r="P1471" i="1"/>
  <c r="O1471" i="1"/>
  <c r="N1471" i="1"/>
  <c r="AA1470" i="1"/>
  <c r="T1470" i="1"/>
  <c r="P1470" i="1"/>
  <c r="O1470" i="1"/>
  <c r="N1470" i="1"/>
  <c r="AA1469" i="1"/>
  <c r="T1469" i="1"/>
  <c r="P1469" i="1"/>
  <c r="O1469" i="1"/>
  <c r="N1469" i="1"/>
  <c r="AA1466" i="1"/>
  <c r="T1466" i="1"/>
  <c r="P1466" i="1"/>
  <c r="O1466" i="1"/>
  <c r="N1466" i="1"/>
  <c r="AA1465" i="1"/>
  <c r="T1465" i="1"/>
  <c r="P1465" i="1"/>
  <c r="O1465" i="1"/>
  <c r="N1465" i="1"/>
  <c r="AA1463" i="1"/>
  <c r="T1463" i="1"/>
  <c r="P1463" i="1"/>
  <c r="O1463" i="1"/>
  <c r="N1463" i="1"/>
  <c r="AA1462" i="1"/>
  <c r="T1462" i="1"/>
  <c r="P1462" i="1"/>
  <c r="O1462" i="1"/>
  <c r="N1462" i="1"/>
  <c r="AA1460" i="1"/>
  <c r="T1460" i="1"/>
  <c r="P1460" i="1"/>
  <c r="O1460" i="1"/>
  <c r="N1460" i="1"/>
  <c r="AA1459" i="1"/>
  <c r="T1459" i="1"/>
  <c r="P1459" i="1"/>
  <c r="O1459" i="1"/>
  <c r="N1459" i="1"/>
  <c r="AA1458" i="1"/>
  <c r="T1458" i="1"/>
  <c r="P1458" i="1"/>
  <c r="O1458" i="1"/>
  <c r="N1458" i="1"/>
  <c r="AA1456" i="1"/>
  <c r="T1456" i="1"/>
  <c r="P1456" i="1"/>
  <c r="O1456" i="1"/>
  <c r="N1456" i="1"/>
  <c r="AA1455" i="1"/>
  <c r="T1455" i="1"/>
  <c r="P1455" i="1"/>
  <c r="O1455" i="1"/>
  <c r="N1455" i="1"/>
  <c r="AA1454" i="1"/>
  <c r="T1454" i="1"/>
  <c r="P1454" i="1"/>
  <c r="O1454" i="1"/>
  <c r="N1454" i="1"/>
  <c r="AA1450" i="1"/>
  <c r="T1450" i="1"/>
  <c r="P1450" i="1"/>
  <c r="O1450" i="1"/>
  <c r="N1450" i="1"/>
  <c r="AA1448" i="1"/>
  <c r="T1448" i="1"/>
  <c r="P1448" i="1"/>
  <c r="O1448" i="1"/>
  <c r="N1448" i="1"/>
  <c r="AA1446" i="1"/>
  <c r="T1446" i="1"/>
  <c r="P1446" i="1"/>
  <c r="O1446" i="1"/>
  <c r="N1446" i="1"/>
  <c r="AA1444" i="1"/>
  <c r="T1444" i="1"/>
  <c r="P1444" i="1"/>
  <c r="O1444" i="1"/>
  <c r="N1444" i="1"/>
  <c r="AA1443" i="1"/>
  <c r="T1443" i="1"/>
  <c r="P1443" i="1"/>
  <c r="O1443" i="1"/>
  <c r="N1443" i="1"/>
  <c r="AA1442" i="1"/>
  <c r="T1442" i="1"/>
  <c r="P1442" i="1"/>
  <c r="O1442" i="1"/>
  <c r="N1442" i="1"/>
  <c r="AA1441" i="1"/>
  <c r="T1441" i="1"/>
  <c r="P1441" i="1"/>
  <c r="O1441" i="1"/>
  <c r="N1441" i="1"/>
  <c r="AA1440" i="1"/>
  <c r="T1440" i="1"/>
  <c r="P1440" i="1"/>
  <c r="O1440" i="1"/>
  <c r="N1440" i="1"/>
  <c r="AA1439" i="1"/>
  <c r="T1439" i="1"/>
  <c r="P1439" i="1"/>
  <c r="O1439" i="1"/>
  <c r="N1439" i="1"/>
  <c r="AA1438" i="1"/>
  <c r="T1438" i="1"/>
  <c r="P1438" i="1"/>
  <c r="O1438" i="1"/>
  <c r="N1438" i="1"/>
  <c r="AA1437" i="1"/>
  <c r="T1437" i="1"/>
  <c r="P1437" i="1"/>
  <c r="O1437" i="1"/>
  <c r="N1437" i="1"/>
  <c r="AA1436" i="1"/>
  <c r="T1436" i="1"/>
  <c r="P1436" i="1"/>
  <c r="O1436" i="1"/>
  <c r="N1436" i="1"/>
  <c r="AA1434" i="1"/>
  <c r="T1434" i="1"/>
  <c r="P1434" i="1"/>
  <c r="O1434" i="1"/>
  <c r="N1434" i="1"/>
  <c r="AA1433" i="1"/>
  <c r="T1433" i="1"/>
  <c r="P1433" i="1"/>
  <c r="O1433" i="1"/>
  <c r="N1433" i="1"/>
  <c r="AA1432" i="1"/>
  <c r="T1432" i="1"/>
  <c r="P1432" i="1"/>
  <c r="O1432" i="1"/>
  <c r="N1432" i="1"/>
  <c r="AA1431" i="1"/>
  <c r="T1431" i="1"/>
  <c r="P1431" i="1"/>
  <c r="O1431" i="1"/>
  <c r="N1431" i="1"/>
  <c r="AA1430" i="1"/>
  <c r="T1430" i="1"/>
  <c r="P1430" i="1"/>
  <c r="O1430" i="1"/>
  <c r="N1430" i="1"/>
  <c r="AA1429" i="1"/>
  <c r="T1429" i="1"/>
  <c r="P1429" i="1"/>
  <c r="O1429" i="1"/>
  <c r="N1429" i="1"/>
  <c r="AA1428" i="1"/>
  <c r="T1428" i="1"/>
  <c r="P1428" i="1"/>
  <c r="O1428" i="1"/>
  <c r="N1428" i="1"/>
  <c r="AA1427" i="1"/>
  <c r="T1427" i="1"/>
  <c r="P1427" i="1"/>
  <c r="O1427" i="1"/>
  <c r="N1427" i="1"/>
  <c r="AA1424" i="1"/>
  <c r="T1424" i="1"/>
  <c r="P1424" i="1"/>
  <c r="O1424" i="1"/>
  <c r="N1424" i="1"/>
  <c r="AA1423" i="1"/>
  <c r="T1423" i="1"/>
  <c r="P1423" i="1"/>
  <c r="O1423" i="1"/>
  <c r="N1423" i="1"/>
  <c r="AA1422" i="1"/>
  <c r="T1422" i="1"/>
  <c r="P1422" i="1"/>
  <c r="O1422" i="1"/>
  <c r="N1422" i="1"/>
  <c r="AA1421" i="1"/>
  <c r="T1421" i="1"/>
  <c r="P1421" i="1"/>
  <c r="O1421" i="1"/>
  <c r="N1421" i="1"/>
  <c r="AA1420" i="1"/>
  <c r="T1420" i="1"/>
  <c r="P1420" i="1"/>
  <c r="O1420" i="1"/>
  <c r="N1420" i="1"/>
  <c r="AA1419" i="1"/>
  <c r="T1419" i="1"/>
  <c r="P1419" i="1"/>
  <c r="O1419" i="1"/>
  <c r="N1419" i="1"/>
  <c r="AA1418" i="1"/>
  <c r="T1418" i="1"/>
  <c r="P1418" i="1"/>
  <c r="O1418" i="1"/>
  <c r="N1418" i="1"/>
  <c r="AA1417" i="1"/>
  <c r="T1417" i="1"/>
  <c r="P1417" i="1"/>
  <c r="O1417" i="1"/>
  <c r="N1417" i="1"/>
  <c r="AA1416" i="1"/>
  <c r="T1416" i="1"/>
  <c r="P1416" i="1"/>
  <c r="O1416" i="1"/>
  <c r="N1416" i="1"/>
  <c r="AA1414" i="1"/>
  <c r="T1414" i="1"/>
  <c r="P1414" i="1"/>
  <c r="O1414" i="1"/>
  <c r="N1414" i="1"/>
  <c r="AA1413" i="1"/>
  <c r="T1413" i="1"/>
  <c r="P1413" i="1"/>
  <c r="O1413" i="1"/>
  <c r="N1413" i="1"/>
  <c r="AA1412" i="1"/>
  <c r="T1412" i="1"/>
  <c r="P1412" i="1"/>
  <c r="O1412" i="1"/>
  <c r="N1412" i="1"/>
  <c r="AA1411" i="1"/>
  <c r="T1411" i="1"/>
  <c r="P1411" i="1"/>
  <c r="O1411" i="1"/>
  <c r="N1411" i="1"/>
  <c r="AA1410" i="1"/>
  <c r="T1410" i="1"/>
  <c r="P1410" i="1"/>
  <c r="O1410" i="1"/>
  <c r="N1410" i="1"/>
  <c r="AA1409" i="1"/>
  <c r="T1409" i="1"/>
  <c r="P1409" i="1"/>
  <c r="O1409" i="1"/>
  <c r="N1409" i="1"/>
  <c r="AA1408" i="1"/>
  <c r="T1408" i="1"/>
  <c r="P1408" i="1"/>
  <c r="O1408" i="1"/>
  <c r="N1408" i="1"/>
  <c r="AA1407" i="1"/>
  <c r="T1407" i="1"/>
  <c r="P1407" i="1"/>
  <c r="O1407" i="1"/>
  <c r="N1407" i="1"/>
  <c r="AA1406" i="1"/>
  <c r="T1406" i="1"/>
  <c r="P1406" i="1"/>
  <c r="O1406" i="1"/>
  <c r="N1406" i="1"/>
  <c r="AA1401" i="1"/>
  <c r="T1401" i="1"/>
  <c r="P1401" i="1"/>
  <c r="O1401" i="1"/>
  <c r="N1401" i="1"/>
  <c r="AA1399" i="1"/>
  <c r="T1399" i="1"/>
  <c r="P1399" i="1"/>
  <c r="O1399" i="1"/>
  <c r="N1399" i="1"/>
  <c r="AA1398" i="1"/>
  <c r="T1398" i="1"/>
  <c r="P1398" i="1"/>
  <c r="O1398" i="1"/>
  <c r="N1398" i="1"/>
  <c r="AA1397" i="1"/>
  <c r="T1397" i="1"/>
  <c r="P1397" i="1"/>
  <c r="O1397" i="1"/>
  <c r="N1397" i="1"/>
  <c r="AA1396" i="1"/>
  <c r="T1396" i="1"/>
  <c r="P1396" i="1"/>
  <c r="O1396" i="1"/>
  <c r="N1396" i="1"/>
  <c r="AA1395" i="1"/>
  <c r="T1395" i="1"/>
  <c r="P1395" i="1"/>
  <c r="O1395" i="1"/>
  <c r="N1395" i="1"/>
  <c r="AA1393" i="1"/>
  <c r="T1393" i="1"/>
  <c r="P1393" i="1"/>
  <c r="O1393" i="1"/>
  <c r="N1393" i="1"/>
  <c r="AA1392" i="1"/>
  <c r="T1392" i="1"/>
  <c r="P1392" i="1"/>
  <c r="O1392" i="1"/>
  <c r="N1392" i="1"/>
  <c r="AA1391" i="1"/>
  <c r="T1391" i="1"/>
  <c r="P1391" i="1"/>
  <c r="O1391" i="1"/>
  <c r="N1391" i="1"/>
  <c r="AA1390" i="1"/>
  <c r="T1390" i="1"/>
  <c r="P1390" i="1"/>
  <c r="O1390" i="1"/>
  <c r="N1390" i="1"/>
  <c r="AA1389" i="1"/>
  <c r="T1389" i="1"/>
  <c r="P1389" i="1"/>
  <c r="O1389" i="1"/>
  <c r="N1389" i="1"/>
  <c r="AA1388" i="1"/>
  <c r="T1388" i="1"/>
  <c r="P1388" i="1"/>
  <c r="O1388" i="1"/>
  <c r="N1388" i="1"/>
  <c r="AA1387" i="1"/>
  <c r="T1387" i="1"/>
  <c r="P1387" i="1"/>
  <c r="O1387" i="1"/>
  <c r="N1387" i="1"/>
  <c r="AA1386" i="1"/>
  <c r="T1386" i="1"/>
  <c r="P1386" i="1"/>
  <c r="O1386" i="1"/>
  <c r="N1386" i="1"/>
  <c r="AA1384" i="1"/>
  <c r="T1384" i="1"/>
  <c r="P1384" i="1"/>
  <c r="O1384" i="1"/>
  <c r="N1384" i="1"/>
  <c r="AA1383" i="1"/>
  <c r="T1383" i="1"/>
  <c r="P1383" i="1"/>
  <c r="O1383" i="1"/>
  <c r="N1383" i="1"/>
  <c r="AA1382" i="1"/>
  <c r="T1382" i="1"/>
  <c r="P1382" i="1"/>
  <c r="O1382" i="1"/>
  <c r="N1382" i="1"/>
  <c r="AA1380" i="1"/>
  <c r="T1380" i="1"/>
  <c r="P1380" i="1"/>
  <c r="O1380" i="1"/>
  <c r="N1380" i="1"/>
  <c r="AA1379" i="1"/>
  <c r="T1379" i="1"/>
  <c r="P1379" i="1"/>
  <c r="O1379" i="1"/>
  <c r="N1379" i="1"/>
  <c r="AA1378" i="1"/>
  <c r="T1378" i="1"/>
  <c r="P1378" i="1"/>
  <c r="O1378" i="1"/>
  <c r="N1378" i="1"/>
  <c r="AA1376" i="1"/>
  <c r="T1376" i="1"/>
  <c r="P1376" i="1"/>
  <c r="O1376" i="1"/>
  <c r="N1376" i="1"/>
  <c r="AA1375" i="1"/>
  <c r="T1375" i="1"/>
  <c r="P1375" i="1"/>
  <c r="O1375" i="1"/>
  <c r="N1375" i="1"/>
  <c r="AA1374" i="1"/>
  <c r="T1374" i="1"/>
  <c r="P1374" i="1"/>
  <c r="O1374" i="1"/>
  <c r="N1374" i="1"/>
  <c r="AA1373" i="1"/>
  <c r="T1373" i="1"/>
  <c r="P1373" i="1"/>
  <c r="O1373" i="1"/>
  <c r="N1373" i="1"/>
  <c r="AA1372" i="1"/>
  <c r="T1372" i="1"/>
  <c r="P1372" i="1"/>
  <c r="O1372" i="1"/>
  <c r="N1372" i="1"/>
  <c r="AA1370" i="1"/>
  <c r="T1370" i="1"/>
  <c r="P1370" i="1"/>
  <c r="O1370" i="1"/>
  <c r="N1370" i="1"/>
  <c r="AA1369" i="1"/>
  <c r="T1369" i="1"/>
  <c r="P1369" i="1"/>
  <c r="O1369" i="1"/>
  <c r="N1369" i="1"/>
  <c r="AA1368" i="1"/>
  <c r="T1368" i="1"/>
  <c r="P1368" i="1"/>
  <c r="O1368" i="1"/>
  <c r="N1368" i="1"/>
  <c r="AA1367" i="1"/>
  <c r="T1367" i="1"/>
  <c r="P1367" i="1"/>
  <c r="O1367" i="1"/>
  <c r="N1367" i="1"/>
  <c r="AA1366" i="1"/>
  <c r="T1366" i="1"/>
  <c r="P1366" i="1"/>
  <c r="O1366" i="1"/>
  <c r="N1366" i="1"/>
  <c r="AA1365" i="1"/>
  <c r="T1365" i="1"/>
  <c r="P1365" i="1"/>
  <c r="O1365" i="1"/>
  <c r="N1365" i="1"/>
  <c r="AA1364" i="1"/>
  <c r="T1364" i="1"/>
  <c r="P1364" i="1"/>
  <c r="O1364" i="1"/>
  <c r="N1364" i="1"/>
  <c r="AA1363" i="1"/>
  <c r="T1363" i="1"/>
  <c r="P1363" i="1"/>
  <c r="O1363" i="1"/>
  <c r="N1363" i="1"/>
  <c r="AA1362" i="1"/>
  <c r="T1362" i="1"/>
  <c r="P1362" i="1"/>
  <c r="O1362" i="1"/>
  <c r="N1362" i="1"/>
  <c r="AA1361" i="1"/>
  <c r="T1361" i="1"/>
  <c r="P1361" i="1"/>
  <c r="O1361" i="1"/>
  <c r="N1361" i="1"/>
  <c r="AA1360" i="1"/>
  <c r="T1360" i="1"/>
  <c r="P1360" i="1"/>
  <c r="O1360" i="1"/>
  <c r="N1360" i="1"/>
  <c r="AA1356" i="1"/>
  <c r="T1356" i="1"/>
  <c r="P1356" i="1"/>
  <c r="O1356" i="1"/>
  <c r="N1356" i="1"/>
  <c r="AA1355" i="1"/>
  <c r="T1355" i="1"/>
  <c r="P1355" i="1"/>
  <c r="O1355" i="1"/>
  <c r="N1355" i="1"/>
  <c r="AA1354" i="1"/>
  <c r="T1354" i="1"/>
  <c r="P1354" i="1"/>
  <c r="O1354" i="1"/>
  <c r="N1354" i="1"/>
  <c r="AA1353" i="1"/>
  <c r="T1353" i="1"/>
  <c r="P1353" i="1"/>
  <c r="O1353" i="1"/>
  <c r="N1353" i="1"/>
  <c r="AA1352" i="1"/>
  <c r="T1352" i="1"/>
  <c r="P1352" i="1"/>
  <c r="O1352" i="1"/>
  <c r="N1352" i="1"/>
  <c r="AA1351" i="1"/>
  <c r="T1351" i="1"/>
  <c r="P1351" i="1"/>
  <c r="O1351" i="1"/>
  <c r="N1351" i="1"/>
  <c r="AA1350" i="1"/>
  <c r="T1350" i="1"/>
  <c r="P1350" i="1"/>
  <c r="O1350" i="1"/>
  <c r="N1350" i="1"/>
  <c r="AA1349" i="1"/>
  <c r="T1349" i="1"/>
  <c r="P1349" i="1"/>
  <c r="O1349" i="1"/>
  <c r="N1349" i="1"/>
  <c r="AA1348" i="1"/>
  <c r="T1348" i="1"/>
  <c r="P1348" i="1"/>
  <c r="O1348" i="1"/>
  <c r="N1348" i="1"/>
  <c r="AA1347" i="1"/>
  <c r="T1347" i="1"/>
  <c r="P1347" i="1"/>
  <c r="O1347" i="1"/>
  <c r="N1347" i="1"/>
  <c r="AA1346" i="1"/>
  <c r="T1346" i="1"/>
  <c r="P1346" i="1"/>
  <c r="O1346" i="1"/>
  <c r="N1346" i="1"/>
  <c r="AA1345" i="1"/>
  <c r="T1345" i="1"/>
  <c r="P1345" i="1"/>
  <c r="O1345" i="1"/>
  <c r="N1345" i="1"/>
  <c r="AA1344" i="1"/>
  <c r="T1344" i="1"/>
  <c r="P1344" i="1"/>
  <c r="O1344" i="1"/>
  <c r="N1344" i="1"/>
  <c r="AA1343" i="1"/>
  <c r="T1343" i="1"/>
  <c r="P1343" i="1"/>
  <c r="O1343" i="1"/>
  <c r="N1343" i="1"/>
  <c r="AA1342" i="1"/>
  <c r="T1342" i="1"/>
  <c r="P1342" i="1"/>
  <c r="O1342" i="1"/>
  <c r="N1342" i="1"/>
  <c r="AA1340" i="1"/>
  <c r="T1340" i="1"/>
  <c r="P1340" i="1"/>
  <c r="O1340" i="1"/>
  <c r="N1340" i="1"/>
  <c r="AA1339" i="1"/>
  <c r="T1339" i="1"/>
  <c r="P1339" i="1"/>
  <c r="O1339" i="1"/>
  <c r="N1339" i="1"/>
  <c r="AA1338" i="1"/>
  <c r="T1338" i="1"/>
  <c r="P1338" i="1"/>
  <c r="O1338" i="1"/>
  <c r="N1338" i="1"/>
  <c r="N1337" i="1"/>
  <c r="N1336" i="1"/>
  <c r="N1335" i="1"/>
  <c r="AA1334" i="1"/>
  <c r="T1334" i="1"/>
  <c r="P1334" i="1"/>
  <c r="O1334" i="1"/>
  <c r="N1334" i="1"/>
  <c r="AA1333" i="1"/>
  <c r="T1333" i="1"/>
  <c r="P1333" i="1"/>
  <c r="O1333" i="1"/>
  <c r="N1333" i="1"/>
  <c r="AA1332" i="1"/>
  <c r="T1332" i="1"/>
  <c r="P1332" i="1"/>
  <c r="O1332" i="1"/>
  <c r="N1332" i="1"/>
  <c r="AA1331" i="1"/>
  <c r="T1331" i="1"/>
  <c r="P1331" i="1"/>
  <c r="O1331" i="1"/>
  <c r="N1331" i="1"/>
  <c r="AA1329" i="1"/>
  <c r="T1329" i="1"/>
  <c r="P1329" i="1"/>
  <c r="O1329" i="1"/>
  <c r="N1329" i="1"/>
  <c r="AA1328" i="1"/>
  <c r="T1328" i="1"/>
  <c r="P1328" i="1"/>
  <c r="O1328" i="1"/>
  <c r="N1328" i="1"/>
  <c r="AA1327" i="1"/>
  <c r="T1327" i="1"/>
  <c r="P1327" i="1"/>
  <c r="O1327" i="1"/>
  <c r="N1327" i="1"/>
  <c r="AA1326" i="1"/>
  <c r="T1326" i="1"/>
  <c r="P1326" i="1"/>
  <c r="O1326" i="1"/>
  <c r="N1326" i="1"/>
  <c r="AA1325" i="1"/>
  <c r="T1325" i="1"/>
  <c r="P1325" i="1"/>
  <c r="O1325" i="1"/>
  <c r="N1325" i="1"/>
  <c r="AA1322" i="1"/>
  <c r="T1322" i="1"/>
  <c r="P1322" i="1"/>
  <c r="O1322" i="1"/>
  <c r="N1322" i="1"/>
  <c r="AA1320" i="1"/>
  <c r="T1320" i="1"/>
  <c r="P1320" i="1"/>
  <c r="O1320" i="1"/>
  <c r="N1320" i="1"/>
  <c r="AA1319" i="1"/>
  <c r="T1319" i="1"/>
  <c r="P1319" i="1"/>
  <c r="O1319" i="1"/>
  <c r="N1319" i="1"/>
  <c r="AA1318" i="1"/>
  <c r="T1318" i="1"/>
  <c r="P1318" i="1"/>
  <c r="O1318" i="1"/>
  <c r="N1318" i="1"/>
  <c r="AA1317" i="1"/>
  <c r="T1317" i="1"/>
  <c r="P1317" i="1"/>
  <c r="O1317" i="1"/>
  <c r="N1317" i="1"/>
  <c r="AA1316" i="1"/>
  <c r="T1316" i="1"/>
  <c r="P1316" i="1"/>
  <c r="O1316" i="1"/>
  <c r="N1316" i="1"/>
  <c r="AA1315" i="1"/>
  <c r="T1315" i="1"/>
  <c r="P1315" i="1"/>
  <c r="O1315" i="1"/>
  <c r="N1315" i="1"/>
  <c r="AA1314" i="1"/>
  <c r="T1314" i="1"/>
  <c r="P1314" i="1"/>
  <c r="O1314" i="1"/>
  <c r="N1314" i="1"/>
  <c r="AA1313" i="1"/>
  <c r="T1313" i="1"/>
  <c r="P1313" i="1"/>
  <c r="O1313" i="1"/>
  <c r="N1313" i="1"/>
  <c r="AA1312" i="1"/>
  <c r="T1312" i="1"/>
  <c r="P1312" i="1"/>
  <c r="O1312" i="1"/>
  <c r="N1312" i="1"/>
  <c r="AA1311" i="1"/>
  <c r="T1311" i="1"/>
  <c r="P1311" i="1"/>
  <c r="O1311" i="1"/>
  <c r="N1311" i="1"/>
  <c r="AA1310" i="1"/>
  <c r="T1310" i="1"/>
  <c r="P1310" i="1"/>
  <c r="O1310" i="1"/>
  <c r="N1310" i="1"/>
  <c r="AA1309" i="1"/>
  <c r="T1309" i="1"/>
  <c r="P1309" i="1"/>
  <c r="O1309" i="1"/>
  <c r="N1309" i="1"/>
  <c r="AA1308" i="1"/>
  <c r="T1308" i="1"/>
  <c r="P1308" i="1"/>
  <c r="O1308" i="1"/>
  <c r="N1308" i="1"/>
  <c r="AA1307" i="1"/>
  <c r="T1307" i="1"/>
  <c r="P1307" i="1"/>
  <c r="O1307" i="1"/>
  <c r="N1307" i="1"/>
  <c r="AA1306" i="1"/>
  <c r="T1306" i="1"/>
  <c r="P1306" i="1"/>
  <c r="O1306" i="1"/>
  <c r="N1306" i="1"/>
  <c r="AA1305" i="1"/>
  <c r="T1305" i="1"/>
  <c r="P1305" i="1"/>
  <c r="O1305" i="1"/>
  <c r="N1305" i="1"/>
  <c r="AA1304" i="1"/>
  <c r="T1304" i="1"/>
  <c r="P1304" i="1"/>
  <c r="O1304" i="1"/>
  <c r="N1304" i="1"/>
  <c r="AA1303" i="1"/>
  <c r="T1303" i="1"/>
  <c r="P1303" i="1"/>
  <c r="O1303" i="1"/>
  <c r="N1303" i="1"/>
  <c r="AA1302" i="1"/>
  <c r="T1302" i="1"/>
  <c r="P1302" i="1"/>
  <c r="O1302" i="1"/>
  <c r="N1302" i="1"/>
  <c r="AA1301" i="1"/>
  <c r="T1301" i="1"/>
  <c r="P1301" i="1"/>
  <c r="O1301" i="1"/>
  <c r="N1301" i="1"/>
  <c r="AA1300" i="1"/>
  <c r="T1300" i="1"/>
  <c r="P1300" i="1"/>
  <c r="O1300" i="1"/>
  <c r="N1300" i="1"/>
  <c r="AA1299" i="1"/>
  <c r="T1299" i="1"/>
  <c r="P1299" i="1"/>
  <c r="O1299" i="1"/>
  <c r="N1299" i="1"/>
  <c r="AA1298" i="1"/>
  <c r="T1298" i="1"/>
  <c r="P1298" i="1"/>
  <c r="O1298" i="1"/>
  <c r="N1298" i="1"/>
  <c r="AA1296" i="1"/>
  <c r="T1296" i="1"/>
  <c r="P1296" i="1"/>
  <c r="O1296" i="1"/>
  <c r="N1296" i="1"/>
  <c r="AA1295" i="1"/>
  <c r="T1295" i="1"/>
  <c r="P1295" i="1"/>
  <c r="O1295" i="1"/>
  <c r="N1295" i="1"/>
  <c r="AA1294" i="1"/>
  <c r="T1294" i="1"/>
  <c r="P1294" i="1"/>
  <c r="O1294" i="1"/>
  <c r="N1294" i="1"/>
  <c r="AA1293" i="1"/>
  <c r="T1293" i="1"/>
  <c r="P1293" i="1"/>
  <c r="O1293" i="1"/>
  <c r="N1293" i="1"/>
  <c r="AA1292" i="1"/>
  <c r="T1292" i="1"/>
  <c r="P1292" i="1"/>
  <c r="O1292" i="1"/>
  <c r="N1292" i="1"/>
  <c r="AA1291" i="1"/>
  <c r="T1291" i="1"/>
  <c r="P1291" i="1"/>
  <c r="O1291" i="1"/>
  <c r="N1291" i="1"/>
  <c r="AA1290" i="1"/>
  <c r="T1290" i="1"/>
  <c r="P1290" i="1"/>
  <c r="O1290" i="1"/>
  <c r="N1290" i="1"/>
  <c r="AA1289" i="1"/>
  <c r="T1289" i="1"/>
  <c r="P1289" i="1"/>
  <c r="O1289" i="1"/>
  <c r="N1289" i="1"/>
  <c r="AA1288" i="1"/>
  <c r="T1288" i="1"/>
  <c r="P1288" i="1"/>
  <c r="O1288" i="1"/>
  <c r="N1288" i="1"/>
  <c r="AA1287" i="1"/>
  <c r="T1287" i="1"/>
  <c r="P1287" i="1"/>
  <c r="O1287" i="1"/>
  <c r="N1287" i="1"/>
  <c r="AA1286" i="1"/>
  <c r="T1286" i="1"/>
  <c r="P1286" i="1"/>
  <c r="O1286" i="1"/>
  <c r="N1286" i="1"/>
  <c r="AA1285" i="1"/>
  <c r="T1285" i="1"/>
  <c r="P1285" i="1"/>
  <c r="O1285" i="1"/>
  <c r="N1285" i="1"/>
  <c r="AA1284" i="1"/>
  <c r="T1284" i="1"/>
  <c r="P1284" i="1"/>
  <c r="O1284" i="1"/>
  <c r="N1284" i="1"/>
  <c r="AA1283" i="1"/>
  <c r="T1283" i="1"/>
  <c r="P1283" i="1"/>
  <c r="O1283" i="1"/>
  <c r="N1283" i="1"/>
  <c r="AA1282" i="1"/>
  <c r="T1282" i="1"/>
  <c r="P1282" i="1"/>
  <c r="O1282" i="1"/>
  <c r="N1282" i="1"/>
  <c r="AA1281" i="1"/>
  <c r="T1281" i="1"/>
  <c r="P1281" i="1"/>
  <c r="O1281" i="1"/>
  <c r="N1281" i="1"/>
  <c r="AA1280" i="1"/>
  <c r="T1280" i="1"/>
  <c r="P1280" i="1"/>
  <c r="O1280" i="1"/>
  <c r="N1280" i="1"/>
  <c r="AA1279" i="1"/>
  <c r="T1279" i="1"/>
  <c r="P1279" i="1"/>
  <c r="O1279" i="1"/>
  <c r="N1279" i="1"/>
  <c r="AA1278" i="1"/>
  <c r="T1278" i="1"/>
  <c r="P1278" i="1"/>
  <c r="O1278" i="1"/>
  <c r="N1278" i="1"/>
  <c r="AA1277" i="1"/>
  <c r="T1277" i="1"/>
  <c r="P1277" i="1"/>
  <c r="O1277" i="1"/>
  <c r="N1277" i="1"/>
  <c r="AA1276" i="1"/>
  <c r="T1276" i="1"/>
  <c r="P1276" i="1"/>
  <c r="O1276" i="1"/>
  <c r="N1276" i="1"/>
  <c r="AA1275" i="1"/>
  <c r="T1275" i="1"/>
  <c r="P1275" i="1"/>
  <c r="O1275" i="1"/>
  <c r="N1275" i="1"/>
  <c r="AA1274" i="1"/>
  <c r="T1274" i="1"/>
  <c r="P1274" i="1"/>
  <c r="O1274" i="1"/>
  <c r="N1274" i="1"/>
  <c r="AA1273" i="1"/>
  <c r="T1273" i="1"/>
  <c r="P1273" i="1"/>
  <c r="O1273" i="1"/>
  <c r="N1273" i="1"/>
  <c r="AA1270" i="1"/>
  <c r="T1270" i="1"/>
  <c r="P1270" i="1"/>
  <c r="O1270" i="1"/>
  <c r="N1270" i="1"/>
  <c r="AA1269" i="1"/>
  <c r="T1269" i="1"/>
  <c r="P1269" i="1"/>
  <c r="O1269" i="1"/>
  <c r="N1269" i="1"/>
  <c r="AA1268" i="1"/>
  <c r="T1268" i="1"/>
  <c r="P1268" i="1"/>
  <c r="O1268" i="1"/>
  <c r="N1268" i="1"/>
  <c r="AA1267" i="1"/>
  <c r="T1267" i="1"/>
  <c r="P1267" i="1"/>
  <c r="O1267" i="1"/>
  <c r="N1267" i="1"/>
  <c r="AA1266" i="1"/>
  <c r="T1266" i="1"/>
  <c r="P1266" i="1"/>
  <c r="O1266" i="1"/>
  <c r="N1266" i="1"/>
  <c r="AA1265" i="1"/>
  <c r="T1265" i="1"/>
  <c r="P1265" i="1"/>
  <c r="O1265" i="1"/>
  <c r="N1265" i="1"/>
  <c r="AA1264" i="1"/>
  <c r="T1264" i="1"/>
  <c r="P1264" i="1"/>
  <c r="O1264" i="1"/>
  <c r="N1264" i="1"/>
  <c r="AA1263" i="1"/>
  <c r="T1263" i="1"/>
  <c r="P1263" i="1"/>
  <c r="O1263" i="1"/>
  <c r="N1263" i="1"/>
  <c r="AA1262" i="1"/>
  <c r="T1262" i="1"/>
  <c r="P1262" i="1"/>
  <c r="O1262" i="1"/>
  <c r="N1262" i="1"/>
  <c r="AA1261" i="1"/>
  <c r="T1261" i="1"/>
  <c r="P1261" i="1"/>
  <c r="O1261" i="1"/>
  <c r="N1261" i="1"/>
  <c r="AA1260" i="1"/>
  <c r="T1260" i="1"/>
  <c r="P1260" i="1"/>
  <c r="O1260" i="1"/>
  <c r="N1260" i="1"/>
  <c r="AA1259" i="1"/>
  <c r="T1259" i="1"/>
  <c r="P1259" i="1"/>
  <c r="O1259" i="1"/>
  <c r="N1259" i="1"/>
  <c r="AA1258" i="1"/>
  <c r="T1258" i="1"/>
  <c r="P1258" i="1"/>
  <c r="O1258" i="1"/>
  <c r="N1258" i="1"/>
  <c r="AA1257" i="1"/>
  <c r="T1257" i="1"/>
  <c r="P1257" i="1"/>
  <c r="O1257" i="1"/>
  <c r="N1257" i="1"/>
  <c r="AA1256" i="1"/>
  <c r="T1256" i="1"/>
  <c r="P1256" i="1"/>
  <c r="O1256" i="1"/>
  <c r="N1256" i="1"/>
  <c r="AA1255" i="1"/>
  <c r="T1255" i="1"/>
  <c r="P1255" i="1"/>
  <c r="O1255" i="1"/>
  <c r="N1255" i="1"/>
  <c r="AA1253" i="1"/>
  <c r="T1253" i="1"/>
  <c r="P1253" i="1"/>
  <c r="O1253" i="1"/>
  <c r="N1253" i="1"/>
  <c r="AA1252" i="1"/>
  <c r="T1252" i="1"/>
  <c r="P1252" i="1"/>
  <c r="O1252" i="1"/>
  <c r="N1252" i="1"/>
  <c r="AA1251" i="1"/>
  <c r="T1251" i="1"/>
  <c r="P1251" i="1"/>
  <c r="O1251" i="1"/>
  <c r="N1251" i="1"/>
  <c r="AA1250" i="1"/>
  <c r="T1250" i="1"/>
  <c r="P1250" i="1"/>
  <c r="O1250" i="1"/>
  <c r="N1250" i="1"/>
  <c r="AA1249" i="1"/>
  <c r="T1249" i="1"/>
  <c r="P1249" i="1"/>
  <c r="O1249" i="1"/>
  <c r="N1249" i="1"/>
  <c r="AA1248" i="1"/>
  <c r="T1248" i="1"/>
  <c r="P1248" i="1"/>
  <c r="O1248" i="1"/>
  <c r="N1248" i="1"/>
  <c r="AA1246" i="1"/>
  <c r="T1246" i="1"/>
  <c r="P1246" i="1"/>
  <c r="O1246" i="1"/>
  <c r="N1246" i="1"/>
  <c r="AA1244" i="1"/>
  <c r="T1244" i="1"/>
  <c r="P1244" i="1"/>
  <c r="O1244" i="1"/>
  <c r="N1244" i="1"/>
  <c r="AA1243" i="1"/>
  <c r="T1243" i="1"/>
  <c r="P1243" i="1"/>
  <c r="O1243" i="1"/>
  <c r="N1243" i="1"/>
  <c r="AA1242" i="1"/>
  <c r="T1242" i="1"/>
  <c r="P1242" i="1"/>
  <c r="O1242" i="1"/>
  <c r="N1242" i="1"/>
  <c r="AA1241" i="1"/>
  <c r="T1241" i="1"/>
  <c r="P1241" i="1"/>
  <c r="O1241" i="1"/>
  <c r="N1241" i="1"/>
  <c r="AA1240" i="1"/>
  <c r="T1240" i="1"/>
  <c r="P1240" i="1"/>
  <c r="O1240" i="1"/>
  <c r="N1240" i="1"/>
  <c r="AA1239" i="1"/>
  <c r="T1239" i="1"/>
  <c r="P1239" i="1"/>
  <c r="O1239" i="1"/>
  <c r="N1239" i="1"/>
  <c r="AA1238" i="1"/>
  <c r="T1238" i="1"/>
  <c r="P1238" i="1"/>
  <c r="O1238" i="1"/>
  <c r="N1238" i="1"/>
  <c r="AA1237" i="1"/>
  <c r="T1237" i="1"/>
  <c r="P1237" i="1"/>
  <c r="O1237" i="1"/>
  <c r="N1237" i="1"/>
  <c r="AA1236" i="1"/>
  <c r="T1236" i="1"/>
  <c r="P1236" i="1"/>
  <c r="O1236" i="1"/>
  <c r="N1236" i="1"/>
  <c r="AA1235" i="1"/>
  <c r="T1235" i="1"/>
  <c r="P1235" i="1"/>
  <c r="O1235" i="1"/>
  <c r="N1235" i="1"/>
  <c r="AA1233" i="1"/>
  <c r="T1233" i="1"/>
  <c r="P1233" i="1"/>
  <c r="O1233" i="1"/>
  <c r="N1233" i="1"/>
  <c r="AA1232" i="1"/>
  <c r="T1232" i="1"/>
  <c r="P1232" i="1"/>
  <c r="O1232" i="1"/>
  <c r="N1232" i="1"/>
  <c r="AA1231" i="1"/>
  <c r="T1231" i="1"/>
  <c r="P1231" i="1"/>
  <c r="O1231" i="1"/>
  <c r="N1231" i="1"/>
  <c r="AA1230" i="1"/>
  <c r="T1230" i="1"/>
  <c r="P1230" i="1"/>
  <c r="O1230" i="1"/>
  <c r="N1230" i="1"/>
  <c r="AA1227" i="1"/>
  <c r="T1227" i="1"/>
  <c r="P1227" i="1"/>
  <c r="O1227" i="1"/>
  <c r="N1227" i="1"/>
  <c r="AA1226" i="1"/>
  <c r="T1226" i="1"/>
  <c r="P1226" i="1"/>
  <c r="O1226" i="1"/>
  <c r="N1226" i="1"/>
  <c r="AA1225" i="1"/>
  <c r="T1225" i="1"/>
  <c r="P1225" i="1"/>
  <c r="O1225" i="1"/>
  <c r="N1225" i="1"/>
  <c r="AA1224" i="1"/>
  <c r="T1224" i="1"/>
  <c r="P1224" i="1"/>
  <c r="O1224" i="1"/>
  <c r="N1224" i="1"/>
  <c r="AA1223" i="1"/>
  <c r="T1223" i="1"/>
  <c r="P1223" i="1"/>
  <c r="O1223" i="1"/>
  <c r="N1223" i="1"/>
  <c r="AA1221" i="1"/>
  <c r="T1221" i="1"/>
  <c r="P1221" i="1"/>
  <c r="O1221" i="1"/>
  <c r="N1221" i="1"/>
  <c r="AA1220" i="1"/>
  <c r="T1220" i="1"/>
  <c r="P1220" i="1"/>
  <c r="O1220" i="1"/>
  <c r="N1220" i="1"/>
  <c r="AA1216" i="1"/>
  <c r="T1216" i="1"/>
  <c r="P1216" i="1"/>
  <c r="O1216" i="1"/>
  <c r="N1216" i="1"/>
  <c r="AA1214" i="1"/>
  <c r="T1214" i="1"/>
  <c r="P1214" i="1"/>
  <c r="O1214" i="1"/>
  <c r="N1214" i="1"/>
  <c r="AA1213" i="1"/>
  <c r="T1213" i="1"/>
  <c r="P1213" i="1"/>
  <c r="O1213" i="1"/>
  <c r="N1213" i="1"/>
  <c r="AA1212" i="1"/>
  <c r="T1212" i="1"/>
  <c r="P1212" i="1"/>
  <c r="O1212" i="1"/>
  <c r="N1212" i="1"/>
  <c r="AA1211" i="1"/>
  <c r="T1211" i="1"/>
  <c r="P1211" i="1"/>
  <c r="O1211" i="1"/>
  <c r="N1211" i="1"/>
  <c r="AA1208" i="1"/>
  <c r="T1208" i="1"/>
  <c r="P1208" i="1"/>
  <c r="O1208" i="1"/>
  <c r="N1208" i="1"/>
  <c r="AA1207" i="1"/>
  <c r="T1207" i="1"/>
  <c r="P1207" i="1"/>
  <c r="O1207" i="1"/>
  <c r="N1207" i="1"/>
  <c r="AA1206" i="1"/>
  <c r="T1206" i="1"/>
  <c r="P1206" i="1"/>
  <c r="O1206" i="1"/>
  <c r="N1206" i="1"/>
  <c r="AA1205" i="1"/>
  <c r="T1205" i="1"/>
  <c r="P1205" i="1"/>
  <c r="O1205" i="1"/>
  <c r="N1205" i="1"/>
  <c r="AA1204" i="1"/>
  <c r="T1204" i="1"/>
  <c r="P1204" i="1"/>
  <c r="O1204" i="1"/>
  <c r="N1204" i="1"/>
  <c r="AA1203" i="1"/>
  <c r="T1203" i="1"/>
  <c r="P1203" i="1"/>
  <c r="O1203" i="1"/>
  <c r="N1203" i="1"/>
  <c r="AA1202" i="1"/>
  <c r="T1202" i="1"/>
  <c r="P1202" i="1"/>
  <c r="O1202" i="1"/>
  <c r="N1202" i="1"/>
  <c r="AA1201" i="1"/>
  <c r="T1201" i="1"/>
  <c r="P1201" i="1"/>
  <c r="O1201" i="1"/>
  <c r="N1201" i="1"/>
  <c r="AA1200" i="1"/>
  <c r="T1200" i="1"/>
  <c r="P1200" i="1"/>
  <c r="O1200" i="1"/>
  <c r="N1200" i="1"/>
  <c r="AA1198" i="1"/>
  <c r="T1198" i="1"/>
  <c r="P1198" i="1"/>
  <c r="O1198" i="1"/>
  <c r="N1198" i="1"/>
  <c r="AA1197" i="1"/>
  <c r="T1197" i="1"/>
  <c r="P1197" i="1"/>
  <c r="O1197" i="1"/>
  <c r="N1197" i="1"/>
  <c r="AA1196" i="1"/>
  <c r="T1196" i="1"/>
  <c r="P1196" i="1"/>
  <c r="O1196" i="1"/>
  <c r="N1196" i="1"/>
  <c r="AA1194" i="1"/>
  <c r="T1194" i="1"/>
  <c r="P1194" i="1"/>
  <c r="O1194" i="1"/>
  <c r="N1194" i="1"/>
  <c r="AA1193" i="1"/>
  <c r="T1193" i="1"/>
  <c r="P1193" i="1"/>
  <c r="O1193" i="1"/>
  <c r="N1193" i="1"/>
  <c r="AA1192" i="1"/>
  <c r="T1192" i="1"/>
  <c r="P1192" i="1"/>
  <c r="O1192" i="1"/>
  <c r="N1192" i="1"/>
  <c r="AA1191" i="1"/>
  <c r="T1191" i="1"/>
  <c r="P1191" i="1"/>
  <c r="O1191" i="1"/>
  <c r="N1191" i="1"/>
  <c r="AA1190" i="1"/>
  <c r="T1190" i="1"/>
  <c r="P1190" i="1"/>
  <c r="O1190" i="1"/>
  <c r="N1190" i="1"/>
  <c r="AA1189" i="1"/>
  <c r="T1189" i="1"/>
  <c r="P1189" i="1"/>
  <c r="O1189" i="1"/>
  <c r="N1189" i="1"/>
  <c r="AA1188" i="1"/>
  <c r="T1188" i="1"/>
  <c r="P1188" i="1"/>
  <c r="O1188" i="1"/>
  <c r="N1188" i="1"/>
  <c r="AA1186" i="1"/>
  <c r="T1186" i="1"/>
  <c r="P1186" i="1"/>
  <c r="O1186" i="1"/>
  <c r="N1186" i="1"/>
  <c r="AA1185" i="1"/>
  <c r="T1185" i="1"/>
  <c r="P1185" i="1"/>
  <c r="O1185" i="1"/>
  <c r="N1185" i="1"/>
  <c r="AA1184" i="1"/>
  <c r="T1184" i="1"/>
  <c r="P1184" i="1"/>
  <c r="O1184" i="1"/>
  <c r="N1184" i="1"/>
  <c r="AA1183" i="1"/>
  <c r="T1183" i="1"/>
  <c r="P1183" i="1"/>
  <c r="O1183" i="1"/>
  <c r="N1183" i="1"/>
  <c r="AA1182" i="1"/>
  <c r="T1182" i="1"/>
  <c r="P1182" i="1"/>
  <c r="O1182" i="1"/>
  <c r="N1182" i="1"/>
  <c r="AA1181" i="1"/>
  <c r="T1181" i="1"/>
  <c r="P1181" i="1"/>
  <c r="O1181" i="1"/>
  <c r="N1181" i="1"/>
  <c r="AA1180" i="1"/>
  <c r="T1180" i="1"/>
  <c r="P1180" i="1"/>
  <c r="O1180" i="1"/>
  <c r="N1180" i="1"/>
  <c r="AA1179" i="1"/>
  <c r="T1179" i="1"/>
  <c r="P1179" i="1"/>
  <c r="O1179" i="1"/>
  <c r="N1179" i="1"/>
  <c r="AA1178" i="1"/>
  <c r="T1178" i="1"/>
  <c r="P1178" i="1"/>
  <c r="O1178" i="1"/>
  <c r="N1178" i="1"/>
  <c r="AA1177" i="1"/>
  <c r="T1177" i="1"/>
  <c r="P1177" i="1"/>
  <c r="O1177" i="1"/>
  <c r="N1177" i="1"/>
  <c r="AA1176" i="1"/>
  <c r="T1176" i="1"/>
  <c r="P1176" i="1"/>
  <c r="O1176" i="1"/>
  <c r="N1176" i="1"/>
  <c r="AA1175" i="1"/>
  <c r="T1175" i="1"/>
  <c r="P1175" i="1"/>
  <c r="O1175" i="1"/>
  <c r="N1175" i="1"/>
  <c r="AA1174" i="1"/>
  <c r="T1174" i="1"/>
  <c r="P1174" i="1"/>
  <c r="O1174" i="1"/>
  <c r="N1174" i="1"/>
  <c r="AA1173" i="1"/>
  <c r="T1173" i="1"/>
  <c r="P1173" i="1"/>
  <c r="O1173" i="1"/>
  <c r="N1173" i="1"/>
  <c r="AA1172" i="1"/>
  <c r="T1172" i="1"/>
  <c r="P1172" i="1"/>
  <c r="O1172" i="1"/>
  <c r="N1172" i="1"/>
  <c r="AA1171" i="1"/>
  <c r="T1171" i="1"/>
  <c r="P1171" i="1"/>
  <c r="O1171" i="1"/>
  <c r="N1171" i="1"/>
  <c r="AA1170" i="1"/>
  <c r="T1170" i="1"/>
  <c r="P1170" i="1"/>
  <c r="O1170" i="1"/>
  <c r="N1170" i="1"/>
  <c r="AA1169" i="1"/>
  <c r="T1169" i="1"/>
  <c r="P1169" i="1"/>
  <c r="O1169" i="1"/>
  <c r="N1169" i="1"/>
  <c r="AA1168" i="1"/>
  <c r="T1168" i="1"/>
  <c r="P1168" i="1"/>
  <c r="O1168" i="1"/>
  <c r="N1168" i="1"/>
  <c r="AA1167" i="1"/>
  <c r="T1167" i="1"/>
  <c r="P1167" i="1"/>
  <c r="O1167" i="1"/>
  <c r="N1167" i="1"/>
  <c r="AA1166" i="1"/>
  <c r="T1166" i="1"/>
  <c r="P1166" i="1"/>
  <c r="O1166" i="1"/>
  <c r="N1166" i="1"/>
  <c r="AA1165" i="1"/>
  <c r="T1165" i="1"/>
  <c r="P1165" i="1"/>
  <c r="O1165" i="1"/>
  <c r="N1165" i="1"/>
  <c r="AA1164" i="1"/>
  <c r="T1164" i="1"/>
  <c r="P1164" i="1"/>
  <c r="O1164" i="1"/>
  <c r="N1164" i="1"/>
  <c r="AA1163" i="1"/>
  <c r="T1163" i="1"/>
  <c r="P1163" i="1"/>
  <c r="O1163" i="1"/>
  <c r="N1163" i="1"/>
  <c r="AA1162" i="1"/>
  <c r="T1162" i="1"/>
  <c r="P1162" i="1"/>
  <c r="O1162" i="1"/>
  <c r="N1162" i="1"/>
  <c r="AA1160" i="1"/>
  <c r="T1160" i="1"/>
  <c r="P1160" i="1"/>
  <c r="O1160" i="1"/>
  <c r="N1160" i="1"/>
  <c r="AA1159" i="1"/>
  <c r="T1159" i="1"/>
  <c r="P1159" i="1"/>
  <c r="O1159" i="1"/>
  <c r="N1159" i="1"/>
  <c r="AA1158" i="1"/>
  <c r="T1158" i="1"/>
  <c r="P1158" i="1"/>
  <c r="O1158" i="1"/>
  <c r="N1158" i="1"/>
  <c r="AA1155" i="1"/>
  <c r="T1155" i="1"/>
  <c r="P1155" i="1"/>
  <c r="O1155" i="1"/>
  <c r="N1155" i="1"/>
  <c r="AA1154" i="1"/>
  <c r="T1154" i="1"/>
  <c r="P1154" i="1"/>
  <c r="O1154" i="1"/>
  <c r="N1154" i="1"/>
  <c r="AA1153" i="1"/>
  <c r="T1153" i="1"/>
  <c r="P1153" i="1"/>
  <c r="O1153" i="1"/>
  <c r="N1153" i="1"/>
  <c r="AA1152" i="1"/>
  <c r="T1152" i="1"/>
  <c r="P1152" i="1"/>
  <c r="O1152" i="1"/>
  <c r="N1152" i="1"/>
  <c r="AA1151" i="1"/>
  <c r="T1151" i="1"/>
  <c r="P1151" i="1"/>
  <c r="O1151" i="1"/>
  <c r="N1151" i="1"/>
  <c r="AA1150" i="1"/>
  <c r="T1150" i="1"/>
  <c r="P1150" i="1"/>
  <c r="O1150" i="1"/>
  <c r="N1150" i="1"/>
  <c r="AA1149" i="1"/>
  <c r="T1149" i="1"/>
  <c r="P1149" i="1"/>
  <c r="O1149" i="1"/>
  <c r="N1149" i="1"/>
  <c r="AA1148" i="1"/>
  <c r="T1148" i="1"/>
  <c r="P1148" i="1"/>
  <c r="O1148" i="1"/>
  <c r="N1148" i="1"/>
  <c r="AA1147" i="1"/>
  <c r="T1147" i="1"/>
  <c r="P1147" i="1"/>
  <c r="O1147" i="1"/>
  <c r="N1147" i="1"/>
  <c r="AA1146" i="1"/>
  <c r="T1146" i="1"/>
  <c r="P1146" i="1"/>
  <c r="O1146" i="1"/>
  <c r="N1146" i="1"/>
  <c r="AA1145" i="1"/>
  <c r="T1145" i="1"/>
  <c r="P1145" i="1"/>
  <c r="O1145" i="1"/>
  <c r="N1145" i="1"/>
  <c r="AA1144" i="1"/>
  <c r="T1144" i="1"/>
  <c r="P1144" i="1"/>
  <c r="O1144" i="1"/>
  <c r="N1144" i="1"/>
  <c r="AA1143" i="1"/>
  <c r="T1143" i="1"/>
  <c r="P1143" i="1"/>
  <c r="O1143" i="1"/>
  <c r="N1143" i="1"/>
  <c r="AA1141" i="1"/>
  <c r="T1141" i="1"/>
  <c r="P1141" i="1"/>
  <c r="O1141" i="1"/>
  <c r="N1141" i="1"/>
  <c r="AA1140" i="1"/>
  <c r="T1140" i="1"/>
  <c r="P1140" i="1"/>
  <c r="O1140" i="1"/>
  <c r="N1140" i="1"/>
  <c r="AA1139" i="1"/>
  <c r="T1139" i="1"/>
  <c r="P1139" i="1"/>
  <c r="O1139" i="1"/>
  <c r="N1139" i="1"/>
  <c r="AA1138" i="1"/>
  <c r="T1138" i="1"/>
  <c r="P1138" i="1"/>
  <c r="O1138" i="1"/>
  <c r="N1138" i="1"/>
  <c r="AA1137" i="1"/>
  <c r="T1137" i="1"/>
  <c r="P1137" i="1"/>
  <c r="O1137" i="1"/>
  <c r="N1137" i="1"/>
  <c r="AA1136" i="1"/>
  <c r="T1136" i="1"/>
  <c r="P1136" i="1"/>
  <c r="O1136" i="1"/>
  <c r="N1136" i="1"/>
  <c r="AA1135" i="1"/>
  <c r="T1135" i="1"/>
  <c r="P1135" i="1"/>
  <c r="O1135" i="1"/>
  <c r="N1135" i="1"/>
  <c r="AA1134" i="1"/>
  <c r="T1134" i="1"/>
  <c r="P1134" i="1"/>
  <c r="O1134" i="1"/>
  <c r="N1134" i="1"/>
  <c r="AA1132" i="1"/>
  <c r="T1132" i="1"/>
  <c r="P1132" i="1"/>
  <c r="O1132" i="1"/>
  <c r="N1132" i="1"/>
  <c r="AA1131" i="1"/>
  <c r="T1131" i="1"/>
  <c r="P1131" i="1"/>
  <c r="O1131" i="1"/>
  <c r="N1131" i="1"/>
  <c r="AA1130" i="1"/>
  <c r="T1130" i="1"/>
  <c r="P1130" i="1"/>
  <c r="O1130" i="1"/>
  <c r="N1130" i="1"/>
  <c r="AA1129" i="1"/>
  <c r="T1129" i="1"/>
  <c r="P1129" i="1"/>
  <c r="O1129" i="1"/>
  <c r="N1129" i="1"/>
  <c r="AA1128" i="1"/>
  <c r="T1128" i="1"/>
  <c r="P1128" i="1"/>
  <c r="O1128" i="1"/>
  <c r="N1128" i="1"/>
  <c r="AA1127" i="1"/>
  <c r="T1127" i="1"/>
  <c r="P1127" i="1"/>
  <c r="O1127" i="1"/>
  <c r="N1127" i="1"/>
  <c r="AA1126" i="1"/>
  <c r="T1126" i="1"/>
  <c r="P1126" i="1"/>
  <c r="O1126" i="1"/>
  <c r="N1126" i="1"/>
  <c r="AA1125" i="1"/>
  <c r="T1125" i="1"/>
  <c r="P1125" i="1"/>
  <c r="O1125" i="1"/>
  <c r="N1125" i="1"/>
  <c r="AA1122" i="1"/>
  <c r="T1122" i="1"/>
  <c r="P1122" i="1"/>
  <c r="O1122" i="1"/>
  <c r="N1122" i="1"/>
  <c r="AA1121" i="1"/>
  <c r="T1121" i="1"/>
  <c r="P1121" i="1"/>
  <c r="O1121" i="1"/>
  <c r="N1121" i="1"/>
  <c r="AA1120" i="1"/>
  <c r="T1120" i="1"/>
  <c r="P1120" i="1"/>
  <c r="O1120" i="1"/>
  <c r="N1120" i="1"/>
  <c r="AA1119" i="1"/>
  <c r="T1119" i="1"/>
  <c r="P1119" i="1"/>
  <c r="O1119" i="1"/>
  <c r="N1119" i="1"/>
  <c r="AA1118" i="1"/>
  <c r="T1118" i="1"/>
  <c r="P1118" i="1"/>
  <c r="O1118" i="1"/>
  <c r="N1118" i="1"/>
  <c r="AA1117" i="1"/>
  <c r="T1117" i="1"/>
  <c r="P1117" i="1"/>
  <c r="O1117" i="1"/>
  <c r="N1117" i="1"/>
  <c r="AA1115" i="1"/>
  <c r="T1115" i="1"/>
  <c r="P1115" i="1"/>
  <c r="O1115" i="1"/>
  <c r="N1115" i="1"/>
  <c r="AA1113" i="1"/>
  <c r="T1113" i="1"/>
  <c r="P1113" i="1"/>
  <c r="O1113" i="1"/>
  <c r="N1113" i="1"/>
  <c r="AA1112" i="1"/>
  <c r="T1112" i="1"/>
  <c r="P1112" i="1"/>
  <c r="O1112" i="1"/>
  <c r="N1112" i="1"/>
  <c r="AA1111" i="1"/>
  <c r="T1111" i="1"/>
  <c r="P1111" i="1"/>
  <c r="O1111" i="1"/>
  <c r="N1111" i="1"/>
  <c r="AA1110" i="1"/>
  <c r="T1110" i="1"/>
  <c r="P1110" i="1"/>
  <c r="O1110" i="1"/>
  <c r="N1110" i="1"/>
  <c r="AA1109" i="1"/>
  <c r="T1109" i="1"/>
  <c r="P1109" i="1"/>
  <c r="O1109" i="1"/>
  <c r="N1109" i="1"/>
  <c r="AA1108" i="1"/>
  <c r="T1108" i="1"/>
  <c r="P1108" i="1"/>
  <c r="O1108" i="1"/>
  <c r="N1108" i="1"/>
  <c r="AA1107" i="1"/>
  <c r="T1107" i="1"/>
  <c r="P1107" i="1"/>
  <c r="O1107" i="1"/>
  <c r="N1107" i="1"/>
  <c r="AA1106" i="1"/>
  <c r="T1106" i="1"/>
  <c r="P1106" i="1"/>
  <c r="O1106" i="1"/>
  <c r="N1106" i="1"/>
  <c r="AA1105" i="1"/>
  <c r="T1105" i="1"/>
  <c r="P1105" i="1"/>
  <c r="O1105" i="1"/>
  <c r="N1105" i="1"/>
  <c r="AA1104" i="1"/>
  <c r="T1104" i="1"/>
  <c r="P1104" i="1"/>
  <c r="O1104" i="1"/>
  <c r="N1104" i="1"/>
  <c r="AA1103" i="1"/>
  <c r="T1103" i="1"/>
  <c r="P1103" i="1"/>
  <c r="O1103" i="1"/>
  <c r="N1103" i="1"/>
  <c r="AA1102" i="1"/>
  <c r="T1102" i="1"/>
  <c r="P1102" i="1"/>
  <c r="O1102" i="1"/>
  <c r="N1102" i="1"/>
  <c r="AA1101" i="1"/>
  <c r="T1101" i="1"/>
  <c r="P1101" i="1"/>
  <c r="O1101" i="1"/>
  <c r="N1101" i="1"/>
  <c r="AA1100" i="1"/>
  <c r="T1100" i="1"/>
  <c r="P1100" i="1"/>
  <c r="O1100" i="1"/>
  <c r="N1100" i="1"/>
  <c r="AA1099" i="1"/>
  <c r="T1099" i="1"/>
  <c r="P1099" i="1"/>
  <c r="O1099" i="1"/>
  <c r="N1099" i="1"/>
  <c r="AA1098" i="1"/>
  <c r="T1098" i="1"/>
  <c r="P1098" i="1"/>
  <c r="O1098" i="1"/>
  <c r="N1098" i="1"/>
  <c r="AA1097" i="1"/>
  <c r="T1097" i="1"/>
  <c r="P1097" i="1"/>
  <c r="O1097" i="1"/>
  <c r="N1097" i="1"/>
  <c r="AA1096" i="1"/>
  <c r="T1096" i="1"/>
  <c r="P1096" i="1"/>
  <c r="O1096" i="1"/>
  <c r="N1096" i="1"/>
  <c r="AA1094" i="1"/>
  <c r="T1094" i="1"/>
  <c r="P1094" i="1"/>
  <c r="O1094" i="1"/>
  <c r="N1094" i="1"/>
  <c r="AA1093" i="1"/>
  <c r="T1093" i="1"/>
  <c r="P1093" i="1"/>
  <c r="O1093" i="1"/>
  <c r="N1093" i="1"/>
  <c r="AA1091" i="1"/>
  <c r="T1091" i="1"/>
  <c r="P1091" i="1"/>
  <c r="O1091" i="1"/>
  <c r="N1091" i="1"/>
  <c r="AA1088" i="1"/>
  <c r="T1088" i="1"/>
  <c r="P1088" i="1"/>
  <c r="O1088" i="1"/>
  <c r="N1088" i="1"/>
  <c r="AA1087" i="1"/>
  <c r="T1087" i="1"/>
  <c r="P1087" i="1"/>
  <c r="O1087" i="1"/>
  <c r="N1087" i="1"/>
  <c r="AA1086" i="1"/>
  <c r="T1086" i="1"/>
  <c r="P1086" i="1"/>
  <c r="O1086" i="1"/>
  <c r="N1086" i="1"/>
  <c r="AA1085" i="1"/>
  <c r="T1085" i="1"/>
  <c r="P1085" i="1"/>
  <c r="O1085" i="1"/>
  <c r="N1085" i="1"/>
  <c r="AA1083" i="1"/>
  <c r="T1083" i="1"/>
  <c r="P1083" i="1"/>
  <c r="O1083" i="1"/>
  <c r="N1083" i="1"/>
  <c r="AA1081" i="1"/>
  <c r="T1081" i="1"/>
  <c r="P1081" i="1"/>
  <c r="O1081" i="1"/>
  <c r="N1081" i="1"/>
  <c r="AA1080" i="1"/>
  <c r="T1080" i="1"/>
  <c r="P1080" i="1"/>
  <c r="O1080" i="1"/>
  <c r="N1080" i="1"/>
  <c r="AA1079" i="1"/>
  <c r="T1079" i="1"/>
  <c r="P1079" i="1"/>
  <c r="O1079" i="1"/>
  <c r="N1079" i="1"/>
  <c r="AA1078" i="1"/>
  <c r="T1078" i="1"/>
  <c r="P1078" i="1"/>
  <c r="O1078" i="1"/>
  <c r="N1078" i="1"/>
  <c r="AA1076" i="1"/>
  <c r="T1076" i="1"/>
  <c r="P1076" i="1"/>
  <c r="O1076" i="1"/>
  <c r="N1076" i="1"/>
  <c r="AA1075" i="1"/>
  <c r="T1075" i="1"/>
  <c r="P1075" i="1"/>
  <c r="O1075" i="1"/>
  <c r="N1075" i="1"/>
  <c r="AA1074" i="1"/>
  <c r="T1074" i="1"/>
  <c r="P1074" i="1"/>
  <c r="O1074" i="1"/>
  <c r="N1074" i="1"/>
  <c r="AA1073" i="1"/>
  <c r="T1073" i="1"/>
  <c r="P1073" i="1"/>
  <c r="O1073" i="1"/>
  <c r="N1073" i="1"/>
  <c r="AA1071" i="1"/>
  <c r="T1071" i="1"/>
  <c r="P1071" i="1"/>
  <c r="O1071" i="1"/>
  <c r="N1071" i="1"/>
  <c r="AA1070" i="1"/>
  <c r="T1070" i="1"/>
  <c r="P1070" i="1"/>
  <c r="O1070" i="1"/>
  <c r="N1070" i="1"/>
  <c r="AA1069" i="1"/>
  <c r="T1069" i="1"/>
  <c r="P1069" i="1"/>
  <c r="O1069" i="1"/>
  <c r="N1069" i="1"/>
  <c r="AA1067" i="1"/>
  <c r="T1067" i="1"/>
  <c r="P1067" i="1"/>
  <c r="O1067" i="1"/>
  <c r="N1067" i="1"/>
  <c r="AA1066" i="1"/>
  <c r="T1066" i="1"/>
  <c r="P1066" i="1"/>
  <c r="O1066" i="1"/>
  <c r="N1066" i="1"/>
  <c r="AA1065" i="1"/>
  <c r="T1065" i="1"/>
  <c r="P1065" i="1"/>
  <c r="O1065" i="1"/>
  <c r="N1065" i="1"/>
  <c r="AA1064" i="1"/>
  <c r="T1064" i="1"/>
  <c r="P1064" i="1"/>
  <c r="O1064" i="1"/>
  <c r="N1064" i="1"/>
  <c r="AA1063" i="1"/>
  <c r="T1063" i="1"/>
  <c r="P1063" i="1"/>
  <c r="O1063" i="1"/>
  <c r="N1063" i="1"/>
  <c r="AA1062" i="1"/>
  <c r="T1062" i="1"/>
  <c r="P1062" i="1"/>
  <c r="O1062" i="1"/>
  <c r="N1062" i="1"/>
  <c r="AA1061" i="1"/>
  <c r="T1061" i="1"/>
  <c r="P1061" i="1"/>
  <c r="O1061" i="1"/>
  <c r="N1061" i="1"/>
  <c r="AA1060" i="1"/>
  <c r="T1060" i="1"/>
  <c r="P1060" i="1"/>
  <c r="O1060" i="1"/>
  <c r="N1060" i="1"/>
  <c r="AA1059" i="1"/>
  <c r="T1059" i="1"/>
  <c r="P1059" i="1"/>
  <c r="O1059" i="1"/>
  <c r="N1059" i="1"/>
  <c r="AA1058" i="1"/>
  <c r="T1058" i="1"/>
  <c r="P1058" i="1"/>
  <c r="O1058" i="1"/>
  <c r="N1058" i="1"/>
  <c r="AA1057" i="1"/>
  <c r="T1057" i="1"/>
  <c r="P1057" i="1"/>
  <c r="O1057" i="1"/>
  <c r="N1057" i="1"/>
  <c r="AA1056" i="1"/>
  <c r="T1056" i="1"/>
  <c r="P1056" i="1"/>
  <c r="O1056" i="1"/>
  <c r="N1056" i="1"/>
  <c r="AA1055" i="1"/>
  <c r="T1055" i="1"/>
  <c r="P1055" i="1"/>
  <c r="O1055" i="1"/>
  <c r="N1055" i="1"/>
  <c r="AA1054" i="1"/>
  <c r="T1054" i="1"/>
  <c r="P1054" i="1"/>
  <c r="O1054" i="1"/>
  <c r="N1054" i="1"/>
  <c r="AA1053" i="1"/>
  <c r="T1053" i="1"/>
  <c r="P1053" i="1"/>
  <c r="O1053" i="1"/>
  <c r="N1053" i="1"/>
  <c r="AA1052" i="1"/>
  <c r="T1052" i="1"/>
  <c r="P1052" i="1"/>
  <c r="O1052" i="1"/>
  <c r="N1052" i="1"/>
  <c r="AA1051" i="1"/>
  <c r="T1051" i="1"/>
  <c r="P1051" i="1"/>
  <c r="O1051" i="1"/>
  <c r="N1051" i="1"/>
  <c r="AA1050" i="1"/>
  <c r="T1050" i="1"/>
  <c r="P1050" i="1"/>
  <c r="O1050" i="1"/>
  <c r="N1050" i="1"/>
  <c r="AA1048" i="1"/>
  <c r="T1048" i="1"/>
  <c r="P1048" i="1"/>
  <c r="O1048" i="1"/>
  <c r="N1048" i="1"/>
  <c r="AA1047" i="1"/>
  <c r="T1047" i="1"/>
  <c r="P1047" i="1"/>
  <c r="O1047" i="1"/>
  <c r="N1047" i="1"/>
  <c r="AA1046" i="1"/>
  <c r="T1046" i="1"/>
  <c r="P1046" i="1"/>
  <c r="O1046" i="1"/>
  <c r="N1046" i="1"/>
  <c r="AA1045" i="1"/>
  <c r="T1045" i="1"/>
  <c r="P1045" i="1"/>
  <c r="O1045" i="1"/>
  <c r="N1045" i="1"/>
  <c r="AA1044" i="1"/>
  <c r="T1044" i="1"/>
  <c r="P1044" i="1"/>
  <c r="O1044" i="1"/>
  <c r="N1044" i="1"/>
  <c r="AA1043" i="1"/>
  <c r="T1043" i="1"/>
  <c r="P1043" i="1"/>
  <c r="O1043" i="1"/>
  <c r="N1043" i="1"/>
  <c r="AA1042" i="1"/>
  <c r="T1042" i="1"/>
  <c r="P1042" i="1"/>
  <c r="O1042" i="1"/>
  <c r="N1042" i="1"/>
  <c r="AA1041" i="1"/>
  <c r="T1041" i="1"/>
  <c r="P1041" i="1"/>
  <c r="O1041" i="1"/>
  <c r="N1041" i="1"/>
  <c r="AA1040" i="1"/>
  <c r="T1040" i="1"/>
  <c r="P1040" i="1"/>
  <c r="O1040" i="1"/>
  <c r="N1040" i="1"/>
  <c r="AA1039" i="1"/>
  <c r="T1039" i="1"/>
  <c r="P1039" i="1"/>
  <c r="O1039" i="1"/>
  <c r="N1039" i="1"/>
  <c r="AA1038" i="1"/>
  <c r="T1038" i="1"/>
  <c r="P1038" i="1"/>
  <c r="O1038" i="1"/>
  <c r="N1038" i="1"/>
  <c r="AA1037" i="1"/>
  <c r="T1037" i="1"/>
  <c r="P1037" i="1"/>
  <c r="O1037" i="1"/>
  <c r="N1037" i="1"/>
  <c r="AA1036" i="1"/>
  <c r="T1036" i="1"/>
  <c r="P1036" i="1"/>
  <c r="O1036" i="1"/>
  <c r="N1036" i="1"/>
  <c r="AA1035" i="1"/>
  <c r="T1035" i="1"/>
  <c r="P1035" i="1"/>
  <c r="O1035" i="1"/>
  <c r="N1035" i="1"/>
  <c r="AA1034" i="1"/>
  <c r="T1034" i="1"/>
  <c r="P1034" i="1"/>
  <c r="O1034" i="1"/>
  <c r="N1034" i="1"/>
  <c r="AA1033" i="1"/>
  <c r="T1033" i="1"/>
  <c r="P1033" i="1"/>
  <c r="O1033" i="1"/>
  <c r="N1033" i="1"/>
  <c r="AA1032" i="1"/>
  <c r="T1032" i="1"/>
  <c r="P1032" i="1"/>
  <c r="O1032" i="1"/>
  <c r="N1032" i="1"/>
  <c r="AA1031" i="1"/>
  <c r="T1031" i="1"/>
  <c r="P1031" i="1"/>
  <c r="O1031" i="1"/>
  <c r="N1031" i="1"/>
  <c r="AA1028" i="1"/>
  <c r="T1028" i="1"/>
  <c r="P1028" i="1"/>
  <c r="O1028" i="1"/>
  <c r="N1028" i="1"/>
  <c r="AA1026" i="1"/>
  <c r="T1026" i="1"/>
  <c r="P1026" i="1"/>
  <c r="O1026" i="1"/>
  <c r="N1026" i="1"/>
  <c r="AA1024" i="1"/>
  <c r="T1024" i="1"/>
  <c r="P1024" i="1"/>
  <c r="O1024" i="1"/>
  <c r="N1024" i="1"/>
  <c r="AA1023" i="1"/>
  <c r="T1023" i="1"/>
  <c r="P1023" i="1"/>
  <c r="O1023" i="1"/>
  <c r="N1023" i="1"/>
  <c r="AA1022" i="1"/>
  <c r="T1022" i="1"/>
  <c r="P1022" i="1"/>
  <c r="O1022" i="1"/>
  <c r="N1022" i="1"/>
  <c r="AA1021" i="1"/>
  <c r="T1021" i="1"/>
  <c r="P1021" i="1"/>
  <c r="O1021" i="1"/>
  <c r="N1021" i="1"/>
  <c r="AA1020" i="1"/>
  <c r="T1020" i="1"/>
  <c r="P1020" i="1"/>
  <c r="O1020" i="1"/>
  <c r="N1020" i="1"/>
  <c r="AA1019" i="1"/>
  <c r="T1019" i="1"/>
  <c r="P1019" i="1"/>
  <c r="O1019" i="1"/>
  <c r="N1019" i="1"/>
  <c r="AA1016" i="1"/>
  <c r="T1016" i="1"/>
  <c r="P1016" i="1"/>
  <c r="O1016" i="1"/>
  <c r="N1016" i="1"/>
  <c r="AA1015" i="1"/>
  <c r="T1015" i="1"/>
  <c r="P1015" i="1"/>
  <c r="O1015" i="1"/>
  <c r="N1015" i="1"/>
  <c r="AA1014" i="1"/>
  <c r="T1014" i="1"/>
  <c r="P1014" i="1"/>
  <c r="O1014" i="1"/>
  <c r="N1014" i="1"/>
  <c r="AA1013" i="1"/>
  <c r="T1013" i="1"/>
  <c r="P1013" i="1"/>
  <c r="O1013" i="1"/>
  <c r="N1013" i="1"/>
  <c r="AA1012" i="1"/>
  <c r="T1012" i="1"/>
  <c r="P1012" i="1"/>
  <c r="O1012" i="1"/>
  <c r="N1012" i="1"/>
  <c r="AA1010" i="1"/>
  <c r="T1010" i="1"/>
  <c r="P1010" i="1"/>
  <c r="O1010" i="1"/>
  <c r="N1010" i="1"/>
  <c r="AA1008" i="1"/>
  <c r="T1008" i="1"/>
  <c r="P1008" i="1"/>
  <c r="O1008" i="1"/>
  <c r="N1008" i="1"/>
  <c r="AA1007" i="1"/>
  <c r="T1007" i="1"/>
  <c r="P1007" i="1"/>
  <c r="O1007" i="1"/>
  <c r="N1007" i="1"/>
  <c r="AA1006" i="1"/>
  <c r="T1006" i="1"/>
  <c r="P1006" i="1"/>
  <c r="O1006" i="1"/>
  <c r="N1006" i="1"/>
  <c r="AA1005" i="1"/>
  <c r="T1005" i="1"/>
  <c r="P1005" i="1"/>
  <c r="O1005" i="1"/>
  <c r="N1005" i="1"/>
  <c r="AA1004" i="1"/>
  <c r="T1004" i="1"/>
  <c r="P1004" i="1"/>
  <c r="O1004" i="1"/>
  <c r="N1004" i="1"/>
  <c r="AA1003" i="1"/>
  <c r="T1003" i="1"/>
  <c r="P1003" i="1"/>
  <c r="O1003" i="1"/>
  <c r="N1003" i="1"/>
  <c r="AA1002" i="1"/>
  <c r="T1002" i="1"/>
  <c r="P1002" i="1"/>
  <c r="O1002" i="1"/>
  <c r="N1002" i="1"/>
  <c r="AA1001" i="1"/>
  <c r="T1001" i="1"/>
  <c r="P1001" i="1"/>
  <c r="O1001" i="1"/>
  <c r="N1001" i="1"/>
  <c r="AA1000" i="1"/>
  <c r="T1000" i="1"/>
  <c r="P1000" i="1"/>
  <c r="O1000" i="1"/>
  <c r="N1000" i="1"/>
  <c r="AA999" i="1"/>
  <c r="T999" i="1"/>
  <c r="P999" i="1"/>
  <c r="O999" i="1"/>
  <c r="N999" i="1"/>
  <c r="AA998" i="1"/>
  <c r="T998" i="1"/>
  <c r="P998" i="1"/>
  <c r="O998" i="1"/>
  <c r="N998" i="1"/>
  <c r="AA995" i="1"/>
  <c r="T995" i="1"/>
  <c r="P995" i="1"/>
  <c r="O995" i="1"/>
  <c r="N995" i="1"/>
  <c r="AA994" i="1"/>
  <c r="T994" i="1"/>
  <c r="P994" i="1"/>
  <c r="O994" i="1"/>
  <c r="N994" i="1"/>
  <c r="AA993" i="1"/>
  <c r="T993" i="1"/>
  <c r="P993" i="1"/>
  <c r="O993" i="1"/>
  <c r="N993" i="1"/>
  <c r="AA992" i="1"/>
  <c r="T992" i="1"/>
  <c r="P992" i="1"/>
  <c r="O992" i="1"/>
  <c r="N992" i="1"/>
  <c r="AA991" i="1"/>
  <c r="T991" i="1"/>
  <c r="P991" i="1"/>
  <c r="O991" i="1"/>
  <c r="N991" i="1"/>
  <c r="AA990" i="1"/>
  <c r="T990" i="1"/>
  <c r="P990" i="1"/>
  <c r="O990" i="1"/>
  <c r="N990" i="1"/>
  <c r="AA989" i="1"/>
  <c r="T989" i="1"/>
  <c r="P989" i="1"/>
  <c r="O989" i="1"/>
  <c r="N989" i="1"/>
  <c r="AA988" i="1"/>
  <c r="T988" i="1"/>
  <c r="P988" i="1"/>
  <c r="O988" i="1"/>
  <c r="N988" i="1"/>
  <c r="AA987" i="1"/>
  <c r="T987" i="1"/>
  <c r="P987" i="1"/>
  <c r="O987" i="1"/>
  <c r="N987" i="1"/>
  <c r="AA984" i="1"/>
  <c r="T984" i="1"/>
  <c r="P984" i="1"/>
  <c r="O984" i="1"/>
  <c r="N984" i="1"/>
  <c r="AA983" i="1"/>
  <c r="T983" i="1"/>
  <c r="P983" i="1"/>
  <c r="O983" i="1"/>
  <c r="N983" i="1"/>
  <c r="AA982" i="1"/>
  <c r="T982" i="1"/>
  <c r="P982" i="1"/>
  <c r="O982" i="1"/>
  <c r="N982" i="1"/>
  <c r="AA981" i="1"/>
  <c r="T981" i="1"/>
  <c r="P981" i="1"/>
  <c r="O981" i="1"/>
  <c r="N981" i="1"/>
  <c r="AA980" i="1"/>
  <c r="T980" i="1"/>
  <c r="P980" i="1"/>
  <c r="O980" i="1"/>
  <c r="N980" i="1"/>
  <c r="AA978" i="1"/>
  <c r="T978" i="1"/>
  <c r="P978" i="1"/>
  <c r="O978" i="1"/>
  <c r="N978" i="1"/>
  <c r="AA977" i="1"/>
  <c r="T977" i="1"/>
  <c r="P977" i="1"/>
  <c r="O977" i="1"/>
  <c r="N977" i="1"/>
  <c r="AA976" i="1"/>
  <c r="T976" i="1"/>
  <c r="P976" i="1"/>
  <c r="O976" i="1"/>
  <c r="N976" i="1"/>
  <c r="AA975" i="1"/>
  <c r="T975" i="1"/>
  <c r="P975" i="1"/>
  <c r="O975" i="1"/>
  <c r="N975" i="1"/>
  <c r="AA973" i="1"/>
  <c r="T973" i="1"/>
  <c r="P973" i="1"/>
  <c r="O973" i="1"/>
  <c r="N973" i="1"/>
  <c r="AA972" i="1"/>
  <c r="T972" i="1"/>
  <c r="P972" i="1"/>
  <c r="O972" i="1"/>
  <c r="N972" i="1"/>
  <c r="AA971" i="1"/>
  <c r="T971" i="1"/>
  <c r="P971" i="1"/>
  <c r="O971" i="1"/>
  <c r="N971" i="1"/>
  <c r="AA970" i="1"/>
  <c r="T970" i="1"/>
  <c r="P970" i="1"/>
  <c r="O970" i="1"/>
  <c r="N970" i="1"/>
  <c r="AA969" i="1"/>
  <c r="T969" i="1"/>
  <c r="P969" i="1"/>
  <c r="O969" i="1"/>
  <c r="N969" i="1"/>
  <c r="AA967" i="1"/>
  <c r="T967" i="1"/>
  <c r="P967" i="1"/>
  <c r="O967" i="1"/>
  <c r="N967" i="1"/>
  <c r="AA966" i="1"/>
  <c r="T966" i="1"/>
  <c r="P966" i="1"/>
  <c r="O966" i="1"/>
  <c r="N966" i="1"/>
  <c r="AA965" i="1"/>
  <c r="T965" i="1"/>
  <c r="P965" i="1"/>
  <c r="O965" i="1"/>
  <c r="N965" i="1"/>
  <c r="AA964" i="1"/>
  <c r="T964" i="1"/>
  <c r="P964" i="1"/>
  <c r="O964" i="1"/>
  <c r="N964" i="1"/>
  <c r="AA962" i="1"/>
  <c r="T962" i="1"/>
  <c r="P962" i="1"/>
  <c r="O962" i="1"/>
  <c r="N962" i="1"/>
  <c r="AA961" i="1"/>
  <c r="T961" i="1"/>
  <c r="P961" i="1"/>
  <c r="O961" i="1"/>
  <c r="N961" i="1"/>
  <c r="AA960" i="1"/>
  <c r="T960" i="1"/>
  <c r="P960" i="1"/>
  <c r="O960" i="1"/>
  <c r="N960" i="1"/>
  <c r="AA959" i="1"/>
  <c r="T959" i="1"/>
  <c r="P959" i="1"/>
  <c r="O959" i="1"/>
  <c r="N959" i="1"/>
  <c r="AA958" i="1"/>
  <c r="T958" i="1"/>
  <c r="P958" i="1"/>
  <c r="O958" i="1"/>
  <c r="N958" i="1"/>
  <c r="AA956" i="1"/>
  <c r="T956" i="1"/>
  <c r="P956" i="1"/>
  <c r="O956" i="1"/>
  <c r="N956" i="1"/>
  <c r="AA955" i="1"/>
  <c r="T955" i="1"/>
  <c r="P955" i="1"/>
  <c r="O955" i="1"/>
  <c r="N955" i="1"/>
  <c r="AA954" i="1"/>
  <c r="T954" i="1"/>
  <c r="P954" i="1"/>
  <c r="O954" i="1"/>
  <c r="N954" i="1"/>
  <c r="AA953" i="1"/>
  <c r="T953" i="1"/>
  <c r="P953" i="1"/>
  <c r="O953" i="1"/>
  <c r="N953" i="1"/>
  <c r="AA951" i="1"/>
  <c r="T951" i="1"/>
  <c r="P951" i="1"/>
  <c r="O951" i="1"/>
  <c r="N951" i="1"/>
  <c r="AA950" i="1"/>
  <c r="T950" i="1"/>
  <c r="P950" i="1"/>
  <c r="O950" i="1"/>
  <c r="N950" i="1"/>
  <c r="AA949" i="1"/>
  <c r="T949" i="1"/>
  <c r="P949" i="1"/>
  <c r="O949" i="1"/>
  <c r="N949" i="1"/>
  <c r="AA948" i="1"/>
  <c r="T948" i="1"/>
  <c r="P948" i="1"/>
  <c r="O948" i="1"/>
  <c r="N948" i="1"/>
  <c r="AA946" i="1"/>
  <c r="T946" i="1"/>
  <c r="P946" i="1"/>
  <c r="O946" i="1"/>
  <c r="N946" i="1"/>
  <c r="AA945" i="1"/>
  <c r="T945" i="1"/>
  <c r="P945" i="1"/>
  <c r="O945" i="1"/>
  <c r="N945" i="1"/>
  <c r="AA943" i="1"/>
  <c r="T943" i="1"/>
  <c r="P943" i="1"/>
  <c r="O943" i="1"/>
  <c r="N943" i="1"/>
  <c r="AA942" i="1"/>
  <c r="T942" i="1"/>
  <c r="P942" i="1"/>
  <c r="O942" i="1"/>
  <c r="N942" i="1"/>
  <c r="AA941" i="1"/>
  <c r="T941" i="1"/>
  <c r="P941" i="1"/>
  <c r="O941" i="1"/>
  <c r="N941" i="1"/>
  <c r="AA940" i="1"/>
  <c r="T940" i="1"/>
  <c r="P940" i="1"/>
  <c r="O940" i="1"/>
  <c r="N940" i="1"/>
  <c r="AA939" i="1"/>
  <c r="T939" i="1"/>
  <c r="P939" i="1"/>
  <c r="O939" i="1"/>
  <c r="N939" i="1"/>
  <c r="AA937" i="1"/>
  <c r="T937" i="1"/>
  <c r="P937" i="1"/>
  <c r="O937" i="1"/>
  <c r="N937" i="1"/>
  <c r="AA936" i="1"/>
  <c r="T936" i="1"/>
  <c r="P936" i="1"/>
  <c r="O936" i="1"/>
  <c r="N936" i="1"/>
  <c r="AA935" i="1"/>
  <c r="T935" i="1"/>
  <c r="P935" i="1"/>
  <c r="O935" i="1"/>
  <c r="N935" i="1"/>
  <c r="AA934" i="1"/>
  <c r="T934" i="1"/>
  <c r="P934" i="1"/>
  <c r="O934" i="1"/>
  <c r="N934" i="1"/>
  <c r="AA933" i="1"/>
  <c r="T933" i="1"/>
  <c r="P933" i="1"/>
  <c r="O933" i="1"/>
  <c r="N933" i="1"/>
  <c r="AA931" i="1"/>
  <c r="T931" i="1"/>
  <c r="P931" i="1"/>
  <c r="O931" i="1"/>
  <c r="N931" i="1"/>
  <c r="AA930" i="1"/>
  <c r="T930" i="1"/>
  <c r="P930" i="1"/>
  <c r="O930" i="1"/>
  <c r="N930" i="1"/>
  <c r="AA929" i="1"/>
  <c r="T929" i="1"/>
  <c r="P929" i="1"/>
  <c r="O929" i="1"/>
  <c r="N929" i="1"/>
  <c r="AA928" i="1"/>
  <c r="T928" i="1"/>
  <c r="P928" i="1"/>
  <c r="O928" i="1"/>
  <c r="N928" i="1"/>
  <c r="AA926" i="1"/>
  <c r="T926" i="1"/>
  <c r="P926" i="1"/>
  <c r="O926" i="1"/>
  <c r="N926" i="1"/>
  <c r="AA925" i="1"/>
  <c r="T925" i="1"/>
  <c r="P925" i="1"/>
  <c r="O925" i="1"/>
  <c r="N925" i="1"/>
  <c r="AA924" i="1"/>
  <c r="T924" i="1"/>
  <c r="P924" i="1"/>
  <c r="O924" i="1"/>
  <c r="N924" i="1"/>
  <c r="AA923" i="1"/>
  <c r="T923" i="1"/>
  <c r="P923" i="1"/>
  <c r="O923" i="1"/>
  <c r="N923" i="1"/>
  <c r="AA922" i="1"/>
  <c r="T922" i="1"/>
  <c r="P922" i="1"/>
  <c r="O922" i="1"/>
  <c r="N922" i="1"/>
  <c r="AA920" i="1"/>
  <c r="T920" i="1"/>
  <c r="P920" i="1"/>
  <c r="O920" i="1"/>
  <c r="N920" i="1"/>
  <c r="AA919" i="1"/>
  <c r="T919" i="1"/>
  <c r="P919" i="1"/>
  <c r="O919" i="1"/>
  <c r="N919" i="1"/>
  <c r="AA918" i="1"/>
  <c r="T918" i="1"/>
  <c r="P918" i="1"/>
  <c r="O918" i="1"/>
  <c r="N918" i="1"/>
  <c r="AA917" i="1"/>
  <c r="T917" i="1"/>
  <c r="P917" i="1"/>
  <c r="O917" i="1"/>
  <c r="N917" i="1"/>
  <c r="AA916" i="1"/>
  <c r="T916" i="1"/>
  <c r="P916" i="1"/>
  <c r="O916" i="1"/>
  <c r="N916" i="1"/>
  <c r="AA914" i="1"/>
  <c r="T914" i="1"/>
  <c r="P914" i="1"/>
  <c r="O914" i="1"/>
  <c r="N914" i="1"/>
  <c r="AA913" i="1"/>
  <c r="T913" i="1"/>
  <c r="P913" i="1"/>
  <c r="O913" i="1"/>
  <c r="N913" i="1"/>
  <c r="AA912" i="1"/>
  <c r="T912" i="1"/>
  <c r="P912" i="1"/>
  <c r="O912" i="1"/>
  <c r="N912" i="1"/>
  <c r="AA911" i="1"/>
  <c r="T911" i="1"/>
  <c r="P911" i="1"/>
  <c r="O911" i="1"/>
  <c r="N911" i="1"/>
  <c r="AA909" i="1"/>
  <c r="T909" i="1"/>
  <c r="P909" i="1"/>
  <c r="O909" i="1"/>
  <c r="N909" i="1"/>
  <c r="AA908" i="1"/>
  <c r="T908" i="1"/>
  <c r="P908" i="1"/>
  <c r="O908" i="1"/>
  <c r="N908" i="1"/>
  <c r="AA907" i="1"/>
  <c r="T907" i="1"/>
  <c r="P907" i="1"/>
  <c r="O907" i="1"/>
  <c r="N907" i="1"/>
  <c r="AA906" i="1"/>
  <c r="T906" i="1"/>
  <c r="P906" i="1"/>
  <c r="O906" i="1"/>
  <c r="N906" i="1"/>
  <c r="AA905" i="1"/>
  <c r="T905" i="1"/>
  <c r="P905" i="1"/>
  <c r="O905" i="1"/>
  <c r="N905" i="1"/>
  <c r="AA903" i="1"/>
  <c r="T903" i="1"/>
  <c r="P903" i="1"/>
  <c r="O903" i="1"/>
  <c r="N903" i="1"/>
  <c r="AA902" i="1"/>
  <c r="T902" i="1"/>
  <c r="P902" i="1"/>
  <c r="O902" i="1"/>
  <c r="N902" i="1"/>
  <c r="AA901" i="1"/>
  <c r="T901" i="1"/>
  <c r="P901" i="1"/>
  <c r="O901" i="1"/>
  <c r="N901" i="1"/>
  <c r="AA900" i="1"/>
  <c r="T900" i="1"/>
  <c r="P900" i="1"/>
  <c r="O900" i="1"/>
  <c r="N900" i="1"/>
  <c r="AA898" i="1"/>
  <c r="T898" i="1"/>
  <c r="P898" i="1"/>
  <c r="O898" i="1"/>
  <c r="N898" i="1"/>
  <c r="AA897" i="1"/>
  <c r="T897" i="1"/>
  <c r="P897" i="1"/>
  <c r="O897" i="1"/>
  <c r="N897" i="1"/>
  <c r="AA896" i="1"/>
  <c r="T896" i="1"/>
  <c r="P896" i="1"/>
  <c r="O896" i="1"/>
  <c r="N896" i="1"/>
  <c r="AA895" i="1"/>
  <c r="T895" i="1"/>
  <c r="P895" i="1"/>
  <c r="O895" i="1"/>
  <c r="N895" i="1"/>
  <c r="AA894" i="1"/>
  <c r="T894" i="1"/>
  <c r="P894" i="1"/>
  <c r="O894" i="1"/>
  <c r="N894" i="1"/>
  <c r="AA892" i="1"/>
  <c r="T892" i="1"/>
  <c r="P892" i="1"/>
  <c r="O892" i="1"/>
  <c r="N892" i="1"/>
  <c r="AA891" i="1"/>
  <c r="T891" i="1"/>
  <c r="P891" i="1"/>
  <c r="O891" i="1"/>
  <c r="N891" i="1"/>
  <c r="AA890" i="1"/>
  <c r="T890" i="1"/>
  <c r="P890" i="1"/>
  <c r="O890" i="1"/>
  <c r="N890" i="1"/>
  <c r="AA889" i="1"/>
  <c r="T889" i="1"/>
  <c r="P889" i="1"/>
  <c r="O889" i="1"/>
  <c r="N889" i="1"/>
  <c r="AA887" i="1"/>
  <c r="T887" i="1"/>
  <c r="P887" i="1"/>
  <c r="O887" i="1"/>
  <c r="N887" i="1"/>
  <c r="AA886" i="1"/>
  <c r="T886" i="1"/>
  <c r="P886" i="1"/>
  <c r="O886" i="1"/>
  <c r="N886" i="1"/>
  <c r="AA885" i="1"/>
  <c r="T885" i="1"/>
  <c r="P885" i="1"/>
  <c r="O885" i="1"/>
  <c r="N885" i="1"/>
  <c r="AA883" i="1"/>
  <c r="T883" i="1"/>
  <c r="P883" i="1"/>
  <c r="O883" i="1"/>
  <c r="N883" i="1"/>
  <c r="AA882" i="1"/>
  <c r="T882" i="1"/>
  <c r="P882" i="1"/>
  <c r="O882" i="1"/>
  <c r="N882" i="1"/>
  <c r="AA881" i="1"/>
  <c r="T881" i="1"/>
  <c r="P881" i="1"/>
  <c r="O881" i="1"/>
  <c r="N881" i="1"/>
  <c r="AA880" i="1"/>
  <c r="T880" i="1"/>
  <c r="P880" i="1"/>
  <c r="O880" i="1"/>
  <c r="N880" i="1"/>
  <c r="AA878" i="1"/>
  <c r="T878" i="1"/>
  <c r="P878" i="1"/>
  <c r="O878" i="1"/>
  <c r="N878" i="1"/>
  <c r="AA877" i="1"/>
  <c r="T877" i="1"/>
  <c r="P877" i="1"/>
  <c r="O877" i="1"/>
  <c r="N877" i="1"/>
  <c r="AA876" i="1"/>
  <c r="T876" i="1"/>
  <c r="P876" i="1"/>
  <c r="O876" i="1"/>
  <c r="N876" i="1"/>
  <c r="AA875" i="1"/>
  <c r="T875" i="1"/>
  <c r="P875" i="1"/>
  <c r="O875" i="1"/>
  <c r="N875" i="1"/>
  <c r="AA872" i="1"/>
  <c r="T872" i="1"/>
  <c r="P872" i="1"/>
  <c r="O872" i="1"/>
  <c r="N872" i="1"/>
  <c r="AA871" i="1"/>
  <c r="T871" i="1"/>
  <c r="P871" i="1"/>
  <c r="O871" i="1"/>
  <c r="N871" i="1"/>
  <c r="AA870" i="1"/>
  <c r="T870" i="1"/>
  <c r="P870" i="1"/>
  <c r="O870" i="1"/>
  <c r="N870" i="1"/>
  <c r="AA869" i="1"/>
  <c r="T869" i="1"/>
  <c r="P869" i="1"/>
  <c r="O869" i="1"/>
  <c r="N869" i="1"/>
  <c r="AA868" i="1"/>
  <c r="T868" i="1"/>
  <c r="P868" i="1"/>
  <c r="O868" i="1"/>
  <c r="N868" i="1"/>
  <c r="AA866" i="1"/>
  <c r="T866" i="1"/>
  <c r="P866" i="1"/>
  <c r="O866" i="1"/>
  <c r="N866" i="1"/>
  <c r="AA865" i="1"/>
  <c r="T865" i="1"/>
  <c r="P865" i="1"/>
  <c r="O865" i="1"/>
  <c r="N865" i="1"/>
  <c r="AA864" i="1"/>
  <c r="T864" i="1"/>
  <c r="P864" i="1"/>
  <c r="O864" i="1"/>
  <c r="N864" i="1"/>
  <c r="AA863" i="1"/>
  <c r="T863" i="1"/>
  <c r="P863" i="1"/>
  <c r="O863" i="1"/>
  <c r="N863" i="1"/>
  <c r="AA862" i="1"/>
  <c r="T862" i="1"/>
  <c r="P862" i="1"/>
  <c r="O862" i="1"/>
  <c r="N862" i="1"/>
  <c r="AA860" i="1"/>
  <c r="T860" i="1"/>
  <c r="P860" i="1"/>
  <c r="O860" i="1"/>
  <c r="N860" i="1"/>
  <c r="AA859" i="1"/>
  <c r="T859" i="1"/>
  <c r="P859" i="1"/>
  <c r="O859" i="1"/>
  <c r="N859" i="1"/>
  <c r="AA858" i="1"/>
  <c r="T858" i="1"/>
  <c r="P858" i="1"/>
  <c r="O858" i="1"/>
  <c r="N858" i="1"/>
  <c r="AA857" i="1"/>
  <c r="T857" i="1"/>
  <c r="P857" i="1"/>
  <c r="O857" i="1"/>
  <c r="N857" i="1"/>
  <c r="AA855" i="1"/>
  <c r="T855" i="1"/>
  <c r="P855" i="1"/>
  <c r="O855" i="1"/>
  <c r="N855" i="1"/>
  <c r="AA854" i="1"/>
  <c r="T854" i="1"/>
  <c r="P854" i="1"/>
  <c r="O854" i="1"/>
  <c r="N854" i="1"/>
  <c r="AA853" i="1"/>
  <c r="T853" i="1"/>
  <c r="P853" i="1"/>
  <c r="O853" i="1"/>
  <c r="N853" i="1"/>
  <c r="AA852" i="1"/>
  <c r="T852" i="1"/>
  <c r="P852" i="1"/>
  <c r="O852" i="1"/>
  <c r="N852" i="1"/>
  <c r="AA851" i="1"/>
  <c r="T851" i="1"/>
  <c r="P851" i="1"/>
  <c r="O851" i="1"/>
  <c r="N851" i="1"/>
  <c r="AA849" i="1"/>
  <c r="T849" i="1"/>
  <c r="P849" i="1"/>
  <c r="O849" i="1"/>
  <c r="N849" i="1"/>
  <c r="AA848" i="1"/>
  <c r="T848" i="1"/>
  <c r="P848" i="1"/>
  <c r="O848" i="1"/>
  <c r="N848" i="1"/>
  <c r="AA847" i="1"/>
  <c r="T847" i="1"/>
  <c r="P847" i="1"/>
  <c r="O847" i="1"/>
  <c r="N847" i="1"/>
  <c r="AA846" i="1"/>
  <c r="T846" i="1"/>
  <c r="P846" i="1"/>
  <c r="O846" i="1"/>
  <c r="N846" i="1"/>
  <c r="AA844" i="1"/>
  <c r="T844" i="1"/>
  <c r="P844" i="1"/>
  <c r="O844" i="1"/>
  <c r="N844" i="1"/>
  <c r="AA843" i="1"/>
  <c r="T843" i="1"/>
  <c r="P843" i="1"/>
  <c r="O843" i="1"/>
  <c r="N843" i="1"/>
  <c r="AA842" i="1"/>
  <c r="T842" i="1"/>
  <c r="P842" i="1"/>
  <c r="O842" i="1"/>
  <c r="N842" i="1"/>
  <c r="AA841" i="1"/>
  <c r="T841" i="1"/>
  <c r="P841" i="1"/>
  <c r="O841" i="1"/>
  <c r="N841" i="1"/>
  <c r="AA839" i="1"/>
  <c r="T839" i="1"/>
  <c r="P839" i="1"/>
  <c r="O839" i="1"/>
  <c r="N839" i="1"/>
  <c r="AA838" i="1"/>
  <c r="T838" i="1"/>
  <c r="P838" i="1"/>
  <c r="O838" i="1"/>
  <c r="N838" i="1"/>
  <c r="AA837" i="1"/>
  <c r="T837" i="1"/>
  <c r="P837" i="1"/>
  <c r="O837" i="1"/>
  <c r="N837" i="1"/>
  <c r="AA836" i="1"/>
  <c r="T836" i="1"/>
  <c r="P836" i="1"/>
  <c r="O836" i="1"/>
  <c r="N836" i="1"/>
  <c r="AA835" i="1"/>
  <c r="T835" i="1"/>
  <c r="P835" i="1"/>
  <c r="O835" i="1"/>
  <c r="N835" i="1"/>
  <c r="AA830" i="1"/>
  <c r="T830" i="1"/>
  <c r="P830" i="1"/>
  <c r="O830" i="1"/>
  <c r="N830" i="1"/>
  <c r="AA829" i="1"/>
  <c r="T829" i="1"/>
  <c r="P829" i="1"/>
  <c r="O829" i="1"/>
  <c r="N829" i="1"/>
  <c r="AA828" i="1"/>
  <c r="T828" i="1"/>
  <c r="P828" i="1"/>
  <c r="O828" i="1"/>
  <c r="N828" i="1"/>
  <c r="AA827" i="1"/>
  <c r="T827" i="1"/>
  <c r="P827" i="1"/>
  <c r="O827" i="1"/>
  <c r="N827" i="1"/>
  <c r="AA826" i="1"/>
  <c r="T826" i="1"/>
  <c r="P826" i="1"/>
  <c r="O826" i="1"/>
  <c r="N826" i="1"/>
  <c r="AA825" i="1"/>
  <c r="T825" i="1"/>
  <c r="P825" i="1"/>
  <c r="O825" i="1"/>
  <c r="N825" i="1"/>
  <c r="AA824" i="1"/>
  <c r="T824" i="1"/>
  <c r="P824" i="1"/>
  <c r="O824" i="1"/>
  <c r="N824" i="1"/>
  <c r="AA822" i="1"/>
  <c r="T822" i="1"/>
  <c r="P822" i="1"/>
  <c r="O822" i="1"/>
  <c r="N822" i="1"/>
  <c r="AA820" i="1"/>
  <c r="T820" i="1"/>
  <c r="P820" i="1"/>
  <c r="O820" i="1"/>
  <c r="N820" i="1"/>
  <c r="AA819" i="1"/>
  <c r="T819" i="1"/>
  <c r="P819" i="1"/>
  <c r="O819" i="1"/>
  <c r="N819" i="1"/>
  <c r="AA818" i="1"/>
  <c r="T818" i="1"/>
  <c r="P818" i="1"/>
  <c r="O818" i="1"/>
  <c r="N818" i="1"/>
  <c r="AA817" i="1"/>
  <c r="T817" i="1"/>
  <c r="P817" i="1"/>
  <c r="O817" i="1"/>
  <c r="N817" i="1"/>
  <c r="AA816" i="1"/>
  <c r="T816" i="1"/>
  <c r="P816" i="1"/>
  <c r="O816" i="1"/>
  <c r="N816" i="1"/>
  <c r="AA815" i="1"/>
  <c r="T815" i="1"/>
  <c r="P815" i="1"/>
  <c r="O815" i="1"/>
  <c r="N815" i="1"/>
  <c r="AA814" i="1"/>
  <c r="T814" i="1"/>
  <c r="P814" i="1"/>
  <c r="O814" i="1"/>
  <c r="N814" i="1"/>
  <c r="AA813" i="1"/>
  <c r="T813" i="1"/>
  <c r="P813" i="1"/>
  <c r="O813" i="1"/>
  <c r="N813" i="1"/>
  <c r="AA812" i="1"/>
  <c r="T812" i="1"/>
  <c r="P812" i="1"/>
  <c r="O812" i="1"/>
  <c r="N812" i="1"/>
  <c r="AA811" i="1"/>
  <c r="T811" i="1"/>
  <c r="P811" i="1"/>
  <c r="O811" i="1"/>
  <c r="N811" i="1"/>
  <c r="AA810" i="1"/>
  <c r="T810" i="1"/>
  <c r="P810" i="1"/>
  <c r="O810" i="1"/>
  <c r="N810" i="1"/>
  <c r="AA809" i="1"/>
  <c r="T809" i="1"/>
  <c r="P809" i="1"/>
  <c r="O809" i="1"/>
  <c r="N809" i="1"/>
  <c r="AA808" i="1"/>
  <c r="T808" i="1"/>
  <c r="P808" i="1"/>
  <c r="O808" i="1"/>
  <c r="N808" i="1"/>
  <c r="AA807" i="1"/>
  <c r="T807" i="1"/>
  <c r="P807" i="1"/>
  <c r="O807" i="1"/>
  <c r="N807" i="1"/>
  <c r="AA806" i="1"/>
  <c r="T806" i="1"/>
  <c r="P806" i="1"/>
  <c r="O806" i="1"/>
  <c r="N806" i="1"/>
  <c r="AA805" i="1"/>
  <c r="T805" i="1"/>
  <c r="P805" i="1"/>
  <c r="O805" i="1"/>
  <c r="N805" i="1"/>
  <c r="AA804" i="1"/>
  <c r="T804" i="1"/>
  <c r="P804" i="1"/>
  <c r="O804" i="1"/>
  <c r="N804" i="1"/>
  <c r="AA803" i="1"/>
  <c r="T803" i="1"/>
  <c r="P803" i="1"/>
  <c r="O803" i="1"/>
  <c r="N803" i="1"/>
  <c r="AA802" i="1"/>
  <c r="T802" i="1"/>
  <c r="P802" i="1"/>
  <c r="O802" i="1"/>
  <c r="N802" i="1"/>
  <c r="AA800" i="1"/>
  <c r="T800" i="1"/>
  <c r="P800" i="1"/>
  <c r="O800" i="1"/>
  <c r="N800" i="1"/>
  <c r="AA799" i="1"/>
  <c r="T799" i="1"/>
  <c r="P799" i="1"/>
  <c r="O799" i="1"/>
  <c r="N799" i="1"/>
  <c r="AA798" i="1"/>
  <c r="T798" i="1"/>
  <c r="P798" i="1"/>
  <c r="O798" i="1"/>
  <c r="N798" i="1"/>
  <c r="AA797" i="1"/>
  <c r="T797" i="1"/>
  <c r="P797" i="1"/>
  <c r="O797" i="1"/>
  <c r="N797" i="1"/>
  <c r="AA796" i="1"/>
  <c r="T796" i="1"/>
  <c r="P796" i="1"/>
  <c r="O796" i="1"/>
  <c r="N796" i="1"/>
  <c r="AA795" i="1"/>
  <c r="T795" i="1"/>
  <c r="P795" i="1"/>
  <c r="O795" i="1"/>
  <c r="N795" i="1"/>
  <c r="AA794" i="1"/>
  <c r="T794" i="1"/>
  <c r="P794" i="1"/>
  <c r="O794" i="1"/>
  <c r="N794" i="1"/>
  <c r="AA793" i="1"/>
  <c r="T793" i="1"/>
  <c r="P793" i="1"/>
  <c r="O793" i="1"/>
  <c r="N793" i="1"/>
  <c r="AA792" i="1"/>
  <c r="T792" i="1"/>
  <c r="P792" i="1"/>
  <c r="O792" i="1"/>
  <c r="N792" i="1"/>
  <c r="AA791" i="1"/>
  <c r="T791" i="1"/>
  <c r="P791" i="1"/>
  <c r="O791" i="1"/>
  <c r="N791" i="1"/>
  <c r="AA790" i="1"/>
  <c r="T790" i="1"/>
  <c r="P790" i="1"/>
  <c r="O790" i="1"/>
  <c r="N790" i="1"/>
  <c r="AA789" i="1"/>
  <c r="T789" i="1"/>
  <c r="P789" i="1"/>
  <c r="O789" i="1"/>
  <c r="N789" i="1"/>
  <c r="AA788" i="1"/>
  <c r="T788" i="1"/>
  <c r="P788" i="1"/>
  <c r="O788" i="1"/>
  <c r="N788" i="1"/>
  <c r="AA787" i="1"/>
  <c r="T787" i="1"/>
  <c r="P787" i="1"/>
  <c r="O787" i="1"/>
  <c r="N787" i="1"/>
  <c r="AA786" i="1"/>
  <c r="T786" i="1"/>
  <c r="P786" i="1"/>
  <c r="O786" i="1"/>
  <c r="N786" i="1"/>
  <c r="AA785" i="1"/>
  <c r="T785" i="1"/>
  <c r="P785" i="1"/>
  <c r="O785" i="1"/>
  <c r="N785" i="1"/>
  <c r="AA784" i="1"/>
  <c r="T784" i="1"/>
  <c r="P784" i="1"/>
  <c r="O784" i="1"/>
  <c r="N784" i="1"/>
  <c r="AA782" i="1"/>
  <c r="T782" i="1"/>
  <c r="P782" i="1"/>
  <c r="O782" i="1"/>
  <c r="N782" i="1"/>
  <c r="AA781" i="1"/>
  <c r="T781" i="1"/>
  <c r="P781" i="1"/>
  <c r="O781" i="1"/>
  <c r="N781" i="1"/>
  <c r="AA780" i="1"/>
  <c r="T780" i="1"/>
  <c r="P780" i="1"/>
  <c r="O780" i="1"/>
  <c r="N780" i="1"/>
  <c r="AA777" i="1"/>
  <c r="T777" i="1"/>
  <c r="P777" i="1"/>
  <c r="O777" i="1"/>
  <c r="N777" i="1"/>
  <c r="AA776" i="1"/>
  <c r="T776" i="1"/>
  <c r="P776" i="1"/>
  <c r="O776" i="1"/>
  <c r="N776" i="1"/>
  <c r="AA775" i="1"/>
  <c r="T775" i="1"/>
  <c r="P775" i="1"/>
  <c r="O775" i="1"/>
  <c r="N775" i="1"/>
  <c r="AA774" i="1"/>
  <c r="T774" i="1"/>
  <c r="P774" i="1"/>
  <c r="O774" i="1"/>
  <c r="N774" i="1"/>
  <c r="AA773" i="1"/>
  <c r="T773" i="1"/>
  <c r="P773" i="1"/>
  <c r="O773" i="1"/>
  <c r="N773" i="1"/>
  <c r="AA772" i="1"/>
  <c r="T772" i="1"/>
  <c r="P772" i="1"/>
  <c r="O772" i="1"/>
  <c r="N772" i="1"/>
  <c r="AA771" i="1"/>
  <c r="T771" i="1"/>
  <c r="P771" i="1"/>
  <c r="O771" i="1"/>
  <c r="N771" i="1"/>
  <c r="AA770" i="1"/>
  <c r="T770" i="1"/>
  <c r="P770" i="1"/>
  <c r="O770" i="1"/>
  <c r="N770" i="1"/>
  <c r="AA769" i="1"/>
  <c r="T769" i="1"/>
  <c r="P769" i="1"/>
  <c r="O769" i="1"/>
  <c r="N769" i="1"/>
  <c r="AA768" i="1"/>
  <c r="T768" i="1"/>
  <c r="P768" i="1"/>
  <c r="O768" i="1"/>
  <c r="N768" i="1"/>
  <c r="AA767" i="1"/>
  <c r="T767" i="1"/>
  <c r="P767" i="1"/>
  <c r="O767" i="1"/>
  <c r="N767" i="1"/>
  <c r="AA766" i="1"/>
  <c r="T766" i="1"/>
  <c r="P766" i="1"/>
  <c r="O766" i="1"/>
  <c r="N766" i="1"/>
  <c r="AA765" i="1"/>
  <c r="T765" i="1"/>
  <c r="P765" i="1"/>
  <c r="O765" i="1"/>
  <c r="N765" i="1"/>
  <c r="AA764" i="1"/>
  <c r="T764" i="1"/>
  <c r="P764" i="1"/>
  <c r="O764" i="1"/>
  <c r="N764" i="1"/>
  <c r="AA763" i="1"/>
  <c r="T763" i="1"/>
  <c r="P763" i="1"/>
  <c r="O763" i="1"/>
  <c r="N763" i="1"/>
  <c r="AA761" i="1"/>
  <c r="T761" i="1"/>
  <c r="P761" i="1"/>
  <c r="O761" i="1"/>
  <c r="N761" i="1"/>
  <c r="AA760" i="1"/>
  <c r="T760" i="1"/>
  <c r="P760" i="1"/>
  <c r="O760" i="1"/>
  <c r="N760" i="1"/>
  <c r="AA759" i="1"/>
  <c r="T759" i="1"/>
  <c r="P759" i="1"/>
  <c r="O759" i="1"/>
  <c r="N759" i="1"/>
  <c r="AA758" i="1"/>
  <c r="T758" i="1"/>
  <c r="P758" i="1"/>
  <c r="O758" i="1"/>
  <c r="N758" i="1"/>
  <c r="AA757" i="1"/>
  <c r="T757" i="1"/>
  <c r="P757" i="1"/>
  <c r="O757" i="1"/>
  <c r="N757" i="1"/>
  <c r="AA756" i="1"/>
  <c r="T756" i="1"/>
  <c r="P756" i="1"/>
  <c r="O756" i="1"/>
  <c r="N756" i="1"/>
  <c r="AA755" i="1"/>
  <c r="T755" i="1"/>
  <c r="P755" i="1"/>
  <c r="O755" i="1"/>
  <c r="N755" i="1"/>
  <c r="AA754" i="1"/>
  <c r="T754" i="1"/>
  <c r="P754" i="1"/>
  <c r="O754" i="1"/>
  <c r="N754" i="1"/>
  <c r="AA751" i="1"/>
  <c r="T751" i="1"/>
  <c r="P751" i="1"/>
  <c r="O751" i="1"/>
  <c r="N751" i="1"/>
  <c r="AA750" i="1"/>
  <c r="T750" i="1"/>
  <c r="P750" i="1"/>
  <c r="O750" i="1"/>
  <c r="N750" i="1"/>
  <c r="AA749" i="1"/>
  <c r="T749" i="1"/>
  <c r="P749" i="1"/>
  <c r="O749" i="1"/>
  <c r="N749" i="1"/>
  <c r="AA748" i="1"/>
  <c r="T748" i="1"/>
  <c r="P748" i="1"/>
  <c r="O748" i="1"/>
  <c r="N748" i="1"/>
  <c r="AA746" i="1"/>
  <c r="T746" i="1"/>
  <c r="P746" i="1"/>
  <c r="O746" i="1"/>
  <c r="N746" i="1"/>
  <c r="AA745" i="1"/>
  <c r="T745" i="1"/>
  <c r="P745" i="1"/>
  <c r="O745" i="1"/>
  <c r="N745" i="1"/>
  <c r="AA744" i="1"/>
  <c r="T744" i="1"/>
  <c r="P744" i="1"/>
  <c r="O744" i="1"/>
  <c r="N744" i="1"/>
  <c r="AA743" i="1"/>
  <c r="T743" i="1"/>
  <c r="P743" i="1"/>
  <c r="O743" i="1"/>
  <c r="N743" i="1"/>
  <c r="AA742" i="1"/>
  <c r="T742" i="1"/>
  <c r="P742" i="1"/>
  <c r="O742" i="1"/>
  <c r="N742" i="1"/>
  <c r="AA741" i="1"/>
  <c r="T741" i="1"/>
  <c r="P741" i="1"/>
  <c r="O741" i="1"/>
  <c r="N741" i="1"/>
  <c r="AA740" i="1"/>
  <c r="T740" i="1"/>
  <c r="P740" i="1"/>
  <c r="O740" i="1"/>
  <c r="N740" i="1"/>
  <c r="AA739" i="1"/>
  <c r="T739" i="1"/>
  <c r="P739" i="1"/>
  <c r="O739" i="1"/>
  <c r="N739" i="1"/>
  <c r="AA738" i="1"/>
  <c r="T738" i="1"/>
  <c r="P738" i="1"/>
  <c r="O738" i="1"/>
  <c r="N738" i="1"/>
  <c r="AA737" i="1"/>
  <c r="T737" i="1"/>
  <c r="P737" i="1"/>
  <c r="O737" i="1"/>
  <c r="N737" i="1"/>
  <c r="AA736" i="1"/>
  <c r="T736" i="1"/>
  <c r="P736" i="1"/>
  <c r="O736" i="1"/>
  <c r="N736" i="1"/>
  <c r="AA735" i="1"/>
  <c r="T735" i="1"/>
  <c r="P735" i="1"/>
  <c r="O735" i="1"/>
  <c r="N735" i="1"/>
  <c r="AA733" i="1"/>
  <c r="T733" i="1"/>
  <c r="P733" i="1"/>
  <c r="O733" i="1"/>
  <c r="N733" i="1"/>
  <c r="AA732" i="1"/>
  <c r="T732" i="1"/>
  <c r="P732" i="1"/>
  <c r="O732" i="1"/>
  <c r="N732" i="1"/>
  <c r="AA730" i="1"/>
  <c r="T730" i="1"/>
  <c r="P730" i="1"/>
  <c r="O730" i="1"/>
  <c r="N730" i="1"/>
  <c r="AA727" i="1"/>
  <c r="T727" i="1"/>
  <c r="P727" i="1"/>
  <c r="O727" i="1"/>
  <c r="N727" i="1"/>
  <c r="AA726" i="1"/>
  <c r="T726" i="1"/>
  <c r="P726" i="1"/>
  <c r="O726" i="1"/>
  <c r="N726" i="1"/>
  <c r="AA725" i="1"/>
  <c r="T725" i="1"/>
  <c r="P725" i="1"/>
  <c r="O725" i="1"/>
  <c r="N725" i="1"/>
  <c r="AA724" i="1"/>
  <c r="T724" i="1"/>
  <c r="P724" i="1"/>
  <c r="O724" i="1"/>
  <c r="N724" i="1"/>
  <c r="AA723" i="1"/>
  <c r="T723" i="1"/>
  <c r="P723" i="1"/>
  <c r="O723" i="1"/>
  <c r="N723" i="1"/>
  <c r="AA720" i="1"/>
  <c r="T720" i="1"/>
  <c r="P720" i="1"/>
  <c r="O720" i="1"/>
  <c r="N720" i="1"/>
  <c r="AA719" i="1"/>
  <c r="T719" i="1"/>
  <c r="P719" i="1"/>
  <c r="O719" i="1"/>
  <c r="N719" i="1"/>
  <c r="AA717" i="1"/>
  <c r="T717" i="1"/>
  <c r="P717" i="1"/>
  <c r="O717" i="1"/>
  <c r="N717" i="1"/>
  <c r="AA715" i="1"/>
  <c r="T715" i="1"/>
  <c r="P715" i="1"/>
  <c r="O715" i="1"/>
  <c r="N715" i="1"/>
  <c r="AA714" i="1"/>
  <c r="T714" i="1"/>
  <c r="P714" i="1"/>
  <c r="O714" i="1"/>
  <c r="N714" i="1"/>
  <c r="AA713" i="1"/>
  <c r="T713" i="1"/>
  <c r="P713" i="1"/>
  <c r="O713" i="1"/>
  <c r="N713" i="1"/>
  <c r="AA709" i="1"/>
  <c r="T709" i="1"/>
  <c r="P709" i="1"/>
  <c r="O709" i="1"/>
  <c r="N709" i="1"/>
  <c r="AA708" i="1"/>
  <c r="T708" i="1"/>
  <c r="P708" i="1"/>
  <c r="O708" i="1"/>
  <c r="N708" i="1"/>
  <c r="AA707" i="1"/>
  <c r="T707" i="1"/>
  <c r="P707" i="1"/>
  <c r="O707" i="1"/>
  <c r="N707" i="1"/>
  <c r="AA706" i="1"/>
  <c r="T706" i="1"/>
  <c r="P706" i="1"/>
  <c r="O706" i="1"/>
  <c r="N706" i="1"/>
  <c r="AA705" i="1"/>
  <c r="T705" i="1"/>
  <c r="P705" i="1"/>
  <c r="O705" i="1"/>
  <c r="N705" i="1"/>
  <c r="AA704" i="1"/>
  <c r="T704" i="1"/>
  <c r="P704" i="1"/>
  <c r="O704" i="1"/>
  <c r="N704" i="1"/>
  <c r="AA703" i="1"/>
  <c r="T703" i="1"/>
  <c r="P703" i="1"/>
  <c r="O703" i="1"/>
  <c r="N703" i="1"/>
  <c r="AA702" i="1"/>
  <c r="T702" i="1"/>
  <c r="P702" i="1"/>
  <c r="O702" i="1"/>
  <c r="N702" i="1"/>
  <c r="AA701" i="1"/>
  <c r="T701" i="1"/>
  <c r="P701" i="1"/>
  <c r="O701" i="1"/>
  <c r="N701" i="1"/>
  <c r="AA700" i="1"/>
  <c r="T700" i="1"/>
  <c r="P700" i="1"/>
  <c r="O700" i="1"/>
  <c r="N700" i="1"/>
  <c r="AA699" i="1"/>
  <c r="T699" i="1"/>
  <c r="P699" i="1"/>
  <c r="O699" i="1"/>
  <c r="N699" i="1"/>
  <c r="AA698" i="1"/>
  <c r="T698" i="1"/>
  <c r="P698" i="1"/>
  <c r="O698" i="1"/>
  <c r="N698" i="1"/>
  <c r="AA697" i="1"/>
  <c r="T697" i="1"/>
  <c r="P697" i="1"/>
  <c r="O697" i="1"/>
  <c r="N697" i="1"/>
  <c r="AA696" i="1"/>
  <c r="T696" i="1"/>
  <c r="P696" i="1"/>
  <c r="O696" i="1"/>
  <c r="N696" i="1"/>
  <c r="AA695" i="1"/>
  <c r="T695" i="1"/>
  <c r="P695" i="1"/>
  <c r="O695" i="1"/>
  <c r="N695" i="1"/>
  <c r="AA694" i="1"/>
  <c r="T694" i="1"/>
  <c r="P694" i="1"/>
  <c r="O694" i="1"/>
  <c r="N694" i="1"/>
  <c r="AA693" i="1"/>
  <c r="T693" i="1"/>
  <c r="P693" i="1"/>
  <c r="O693" i="1"/>
  <c r="N693" i="1"/>
  <c r="AA692" i="1"/>
  <c r="T692" i="1"/>
  <c r="P692" i="1"/>
  <c r="O692" i="1"/>
  <c r="N692" i="1"/>
  <c r="AA691" i="1"/>
  <c r="T691" i="1"/>
  <c r="P691" i="1"/>
  <c r="O691" i="1"/>
  <c r="N691" i="1"/>
  <c r="AA690" i="1"/>
  <c r="T690" i="1"/>
  <c r="P690" i="1"/>
  <c r="O690" i="1"/>
  <c r="N690" i="1"/>
  <c r="AA689" i="1"/>
  <c r="T689" i="1"/>
  <c r="P689" i="1"/>
  <c r="O689" i="1"/>
  <c r="N689" i="1"/>
  <c r="AA688" i="1"/>
  <c r="T688" i="1"/>
  <c r="P688" i="1"/>
  <c r="O688" i="1"/>
  <c r="N688" i="1"/>
  <c r="AA686" i="1"/>
  <c r="T686" i="1"/>
  <c r="N686" i="1"/>
  <c r="AA684" i="1"/>
  <c r="T684" i="1"/>
  <c r="P684" i="1"/>
  <c r="O684" i="1"/>
  <c r="N684" i="1"/>
  <c r="AA682" i="1"/>
  <c r="T682" i="1"/>
  <c r="P682" i="1"/>
  <c r="O682" i="1"/>
  <c r="N682" i="1"/>
  <c r="AA681" i="1"/>
  <c r="T681" i="1"/>
  <c r="P681" i="1"/>
  <c r="O681" i="1"/>
  <c r="N681" i="1"/>
  <c r="AA680" i="1"/>
  <c r="T680" i="1"/>
  <c r="P680" i="1"/>
  <c r="O680" i="1"/>
  <c r="N680" i="1"/>
  <c r="AA679" i="1"/>
  <c r="T679" i="1"/>
  <c r="P679" i="1"/>
  <c r="O679" i="1"/>
  <c r="N679" i="1"/>
  <c r="AA678" i="1"/>
  <c r="T678" i="1"/>
  <c r="P678" i="1"/>
  <c r="O678" i="1"/>
  <c r="N678" i="1"/>
  <c r="AA677" i="1"/>
  <c r="T677" i="1"/>
  <c r="P677" i="1"/>
  <c r="O677" i="1"/>
  <c r="N677" i="1"/>
  <c r="AA676" i="1"/>
  <c r="T676" i="1"/>
  <c r="P676" i="1"/>
  <c r="O676" i="1"/>
  <c r="N676" i="1"/>
  <c r="AA674" i="1"/>
  <c r="T674" i="1"/>
  <c r="P674" i="1"/>
  <c r="O674" i="1"/>
  <c r="N674" i="1"/>
  <c r="AA673" i="1"/>
  <c r="T673" i="1"/>
  <c r="P673" i="1"/>
  <c r="O673" i="1"/>
  <c r="N673" i="1"/>
  <c r="AA672" i="1"/>
  <c r="T672" i="1"/>
  <c r="P672" i="1"/>
  <c r="O672" i="1"/>
  <c r="N672" i="1"/>
  <c r="AA671" i="1"/>
  <c r="T671" i="1"/>
  <c r="P671" i="1"/>
  <c r="O671" i="1"/>
  <c r="N671" i="1"/>
  <c r="AA670" i="1"/>
  <c r="T670" i="1"/>
  <c r="P670" i="1"/>
  <c r="O670" i="1"/>
  <c r="N670" i="1"/>
  <c r="AA669" i="1"/>
  <c r="T669" i="1"/>
  <c r="P669" i="1"/>
  <c r="O669" i="1"/>
  <c r="N669" i="1"/>
  <c r="AA666" i="1"/>
  <c r="T666" i="1"/>
  <c r="P666" i="1"/>
  <c r="O666" i="1"/>
  <c r="N666" i="1"/>
  <c r="AA665" i="1"/>
  <c r="T665" i="1"/>
  <c r="P665" i="1"/>
  <c r="O665" i="1"/>
  <c r="N665" i="1"/>
  <c r="AA664" i="1"/>
  <c r="T664" i="1"/>
  <c r="P664" i="1"/>
  <c r="O664" i="1"/>
  <c r="N664" i="1"/>
  <c r="AA663" i="1"/>
  <c r="T663" i="1"/>
  <c r="P663" i="1"/>
  <c r="O663" i="1"/>
  <c r="N663" i="1"/>
  <c r="AA662" i="1"/>
  <c r="T662" i="1"/>
  <c r="P662" i="1"/>
  <c r="O662" i="1"/>
  <c r="N662" i="1"/>
  <c r="AA661" i="1"/>
  <c r="T661" i="1"/>
  <c r="P661" i="1"/>
  <c r="O661" i="1"/>
  <c r="N661" i="1"/>
  <c r="AA656" i="1"/>
  <c r="T656" i="1"/>
  <c r="P656" i="1"/>
  <c r="O656" i="1"/>
  <c r="N656" i="1"/>
  <c r="AA654" i="1"/>
  <c r="T654" i="1"/>
  <c r="P654" i="1"/>
  <c r="O654" i="1"/>
  <c r="N654" i="1"/>
  <c r="AA653" i="1"/>
  <c r="T653" i="1"/>
  <c r="P653" i="1"/>
  <c r="O653" i="1"/>
  <c r="N653" i="1"/>
  <c r="AA652" i="1"/>
  <c r="T652" i="1"/>
  <c r="P652" i="1"/>
  <c r="O652" i="1"/>
  <c r="N652" i="1"/>
  <c r="AA650" i="1"/>
  <c r="T650" i="1"/>
  <c r="P650" i="1"/>
  <c r="O650" i="1"/>
  <c r="N650" i="1"/>
  <c r="AA649" i="1"/>
  <c r="T649" i="1"/>
  <c r="P649" i="1"/>
  <c r="O649" i="1"/>
  <c r="N649" i="1"/>
  <c r="AA648" i="1"/>
  <c r="T648" i="1"/>
  <c r="P648" i="1"/>
  <c r="O648" i="1"/>
  <c r="N648" i="1"/>
  <c r="AA647" i="1"/>
  <c r="T647" i="1"/>
  <c r="P647" i="1"/>
  <c r="O647" i="1"/>
  <c r="N647" i="1"/>
  <c r="AA643" i="1"/>
  <c r="T643" i="1"/>
  <c r="P643" i="1"/>
  <c r="O643" i="1"/>
  <c r="N643" i="1"/>
  <c r="AA641" i="1"/>
  <c r="T641" i="1"/>
  <c r="P641" i="1"/>
  <c r="O641" i="1"/>
  <c r="N641" i="1"/>
  <c r="AA640" i="1"/>
  <c r="T640" i="1"/>
  <c r="P640" i="1"/>
  <c r="O640" i="1"/>
  <c r="N640" i="1"/>
  <c r="AA639" i="1"/>
  <c r="T639" i="1"/>
  <c r="P639" i="1"/>
  <c r="O639" i="1"/>
  <c r="N639" i="1"/>
  <c r="AA638" i="1"/>
  <c r="T638" i="1"/>
  <c r="P638" i="1"/>
  <c r="O638" i="1"/>
  <c r="N638" i="1"/>
  <c r="AA636" i="1"/>
  <c r="T636" i="1"/>
  <c r="P636" i="1"/>
  <c r="O636" i="1"/>
  <c r="N636" i="1"/>
  <c r="AA635" i="1"/>
  <c r="T635" i="1"/>
  <c r="P635" i="1"/>
  <c r="O635" i="1"/>
  <c r="N635" i="1"/>
  <c r="AA634" i="1"/>
  <c r="T634" i="1"/>
  <c r="P634" i="1"/>
  <c r="O634" i="1"/>
  <c r="N634" i="1"/>
  <c r="AA633" i="1"/>
  <c r="T633" i="1"/>
  <c r="P633" i="1"/>
  <c r="O633" i="1"/>
  <c r="N633" i="1"/>
  <c r="AA631" i="1"/>
  <c r="T631" i="1"/>
  <c r="P631" i="1"/>
  <c r="O631" i="1"/>
  <c r="N631" i="1"/>
  <c r="AA629" i="1"/>
  <c r="T629" i="1"/>
  <c r="P629" i="1"/>
  <c r="O629" i="1"/>
  <c r="N629" i="1"/>
  <c r="AA627" i="1"/>
  <c r="T627" i="1"/>
  <c r="P627" i="1"/>
  <c r="O627" i="1"/>
  <c r="N627" i="1"/>
  <c r="AA626" i="1"/>
  <c r="T626" i="1"/>
  <c r="P626" i="1"/>
  <c r="O626" i="1"/>
  <c r="N626" i="1"/>
  <c r="AA625" i="1"/>
  <c r="T625" i="1"/>
  <c r="P625" i="1"/>
  <c r="O625" i="1"/>
  <c r="N625" i="1"/>
  <c r="AA623" i="1"/>
  <c r="T623" i="1"/>
  <c r="P623" i="1"/>
  <c r="O623" i="1"/>
  <c r="N623" i="1"/>
  <c r="AA622" i="1"/>
  <c r="T622" i="1"/>
  <c r="P622" i="1"/>
  <c r="O622" i="1"/>
  <c r="N622" i="1"/>
  <c r="AA621" i="1"/>
  <c r="T621" i="1"/>
  <c r="P621" i="1"/>
  <c r="O621" i="1"/>
  <c r="N621" i="1"/>
  <c r="AA620" i="1"/>
  <c r="T620" i="1"/>
  <c r="P620" i="1"/>
  <c r="O620" i="1"/>
  <c r="N620" i="1"/>
  <c r="AA618" i="1"/>
  <c r="T618" i="1"/>
  <c r="P618" i="1"/>
  <c r="O618" i="1"/>
  <c r="N618" i="1"/>
  <c r="AA617" i="1"/>
  <c r="T617" i="1"/>
  <c r="P617" i="1"/>
  <c r="O617" i="1"/>
  <c r="N617" i="1"/>
  <c r="AA616" i="1"/>
  <c r="T616" i="1"/>
  <c r="P616" i="1"/>
  <c r="O616" i="1"/>
  <c r="N616" i="1"/>
  <c r="AA615" i="1"/>
  <c r="T615" i="1"/>
  <c r="P615" i="1"/>
  <c r="O615" i="1"/>
  <c r="N615" i="1"/>
  <c r="AA613" i="1"/>
  <c r="T613" i="1"/>
  <c r="P613" i="1"/>
  <c r="O613" i="1"/>
  <c r="N613" i="1"/>
  <c r="AA612" i="1"/>
  <c r="T612" i="1"/>
  <c r="P612" i="1"/>
  <c r="O612" i="1"/>
  <c r="N612" i="1"/>
  <c r="AA611" i="1"/>
  <c r="T611" i="1"/>
  <c r="P611" i="1"/>
  <c r="O611" i="1"/>
  <c r="N611" i="1"/>
  <c r="AA609" i="1"/>
  <c r="T609" i="1"/>
  <c r="P609" i="1"/>
  <c r="O609" i="1"/>
  <c r="N609" i="1"/>
  <c r="AA608" i="1"/>
  <c r="T608" i="1"/>
  <c r="P608" i="1"/>
  <c r="O608" i="1"/>
  <c r="N608" i="1"/>
  <c r="AA606" i="1"/>
  <c r="T606" i="1"/>
  <c r="P606" i="1"/>
  <c r="O606" i="1"/>
  <c r="N606" i="1"/>
  <c r="AA605" i="1"/>
  <c r="T605" i="1"/>
  <c r="P605" i="1"/>
  <c r="O605" i="1"/>
  <c r="N605" i="1"/>
  <c r="AA604" i="1"/>
  <c r="T604" i="1"/>
  <c r="P604" i="1"/>
  <c r="O604" i="1"/>
  <c r="N604" i="1"/>
  <c r="AA603" i="1"/>
  <c r="T603" i="1"/>
  <c r="P603" i="1"/>
  <c r="O603" i="1"/>
  <c r="N603" i="1"/>
  <c r="AA602" i="1"/>
  <c r="T602" i="1"/>
  <c r="P602" i="1"/>
  <c r="O602" i="1"/>
  <c r="N602" i="1"/>
  <c r="AA600" i="1"/>
  <c r="T600" i="1"/>
  <c r="P600" i="1"/>
  <c r="O600" i="1"/>
  <c r="N600" i="1"/>
  <c r="AA599" i="1"/>
  <c r="T599" i="1"/>
  <c r="P599" i="1"/>
  <c r="O599" i="1"/>
  <c r="N599" i="1"/>
  <c r="AA598" i="1"/>
  <c r="T598" i="1"/>
  <c r="P598" i="1"/>
  <c r="O598" i="1"/>
  <c r="N598" i="1"/>
  <c r="AA597" i="1"/>
  <c r="T597" i="1"/>
  <c r="P597" i="1"/>
  <c r="O597" i="1"/>
  <c r="N597" i="1"/>
  <c r="AA595" i="1"/>
  <c r="T595" i="1"/>
  <c r="P595" i="1"/>
  <c r="O595" i="1"/>
  <c r="N595" i="1"/>
  <c r="AA593" i="1"/>
  <c r="T593" i="1"/>
  <c r="P593" i="1"/>
  <c r="O593" i="1"/>
  <c r="N593" i="1"/>
  <c r="AA592" i="1"/>
  <c r="T592" i="1"/>
  <c r="P592" i="1"/>
  <c r="O592" i="1"/>
  <c r="N592" i="1"/>
  <c r="AA591" i="1"/>
  <c r="T591" i="1"/>
  <c r="P591" i="1"/>
  <c r="O591" i="1"/>
  <c r="N591" i="1"/>
  <c r="AA590" i="1"/>
  <c r="T590" i="1"/>
  <c r="P590" i="1"/>
  <c r="O590" i="1"/>
  <c r="N590" i="1"/>
  <c r="AA588" i="1"/>
  <c r="T588" i="1"/>
  <c r="P588" i="1"/>
  <c r="O588" i="1"/>
  <c r="N588" i="1"/>
  <c r="AA587" i="1"/>
  <c r="T587" i="1"/>
  <c r="P587" i="1"/>
  <c r="O587" i="1"/>
  <c r="N587" i="1"/>
  <c r="AA586" i="1"/>
  <c r="T586" i="1"/>
  <c r="P586" i="1"/>
  <c r="O586" i="1"/>
  <c r="N586" i="1"/>
  <c r="AA583" i="1"/>
  <c r="T583" i="1"/>
  <c r="P583" i="1"/>
  <c r="O583" i="1"/>
  <c r="N583" i="1"/>
  <c r="AA582" i="1"/>
  <c r="T582" i="1"/>
  <c r="P582" i="1"/>
  <c r="O582" i="1"/>
  <c r="N582" i="1"/>
  <c r="AA581" i="1"/>
  <c r="T581" i="1"/>
  <c r="P581" i="1"/>
  <c r="O581" i="1"/>
  <c r="N581" i="1"/>
  <c r="AA580" i="1"/>
  <c r="T580" i="1"/>
  <c r="P580" i="1"/>
  <c r="O580" i="1"/>
  <c r="N580" i="1"/>
  <c r="AA579" i="1"/>
  <c r="T579" i="1"/>
  <c r="P579" i="1"/>
  <c r="O579" i="1"/>
  <c r="N579" i="1"/>
  <c r="AA575" i="1"/>
  <c r="T575" i="1"/>
  <c r="P575" i="1"/>
  <c r="O575" i="1"/>
  <c r="N575" i="1"/>
  <c r="AA574" i="1"/>
  <c r="T574" i="1"/>
  <c r="P574" i="1"/>
  <c r="O574" i="1"/>
  <c r="N574" i="1"/>
  <c r="AA573" i="1"/>
  <c r="T573" i="1"/>
  <c r="P573" i="1"/>
  <c r="O573" i="1"/>
  <c r="N573" i="1"/>
  <c r="AA572" i="1"/>
  <c r="T572" i="1"/>
  <c r="P572" i="1"/>
  <c r="O572" i="1"/>
  <c r="N572" i="1"/>
  <c r="AA571" i="1"/>
  <c r="T571" i="1"/>
  <c r="P571" i="1"/>
  <c r="O571" i="1"/>
  <c r="N571" i="1"/>
  <c r="AA570" i="1"/>
  <c r="T570" i="1"/>
  <c r="P570" i="1"/>
  <c r="O570" i="1"/>
  <c r="N570" i="1"/>
  <c r="AA569" i="1"/>
  <c r="T569" i="1"/>
  <c r="P569" i="1"/>
  <c r="O569" i="1"/>
  <c r="N569" i="1"/>
  <c r="AA568" i="1"/>
  <c r="T568" i="1"/>
  <c r="P568" i="1"/>
  <c r="O568" i="1"/>
  <c r="N568" i="1"/>
  <c r="AA567" i="1"/>
  <c r="T567" i="1"/>
  <c r="P567" i="1"/>
  <c r="O567" i="1"/>
  <c r="N567" i="1"/>
  <c r="AA565" i="1"/>
  <c r="T565" i="1"/>
  <c r="P565" i="1"/>
  <c r="O565" i="1"/>
  <c r="N565" i="1"/>
  <c r="AA564" i="1"/>
  <c r="T564" i="1"/>
  <c r="P564" i="1"/>
  <c r="O564" i="1"/>
  <c r="N564" i="1"/>
  <c r="AA563" i="1"/>
  <c r="T563" i="1"/>
  <c r="P563" i="1"/>
  <c r="O563" i="1"/>
  <c r="N563" i="1"/>
  <c r="AA562" i="1"/>
  <c r="T562" i="1"/>
  <c r="P562" i="1"/>
  <c r="O562" i="1"/>
  <c r="N562" i="1"/>
  <c r="AA561" i="1"/>
  <c r="T561" i="1"/>
  <c r="P561" i="1"/>
  <c r="O561" i="1"/>
  <c r="N561" i="1"/>
  <c r="AA560" i="1"/>
  <c r="T560" i="1"/>
  <c r="P560" i="1"/>
  <c r="O560" i="1"/>
  <c r="N560" i="1"/>
  <c r="AA559" i="1"/>
  <c r="T559" i="1"/>
  <c r="P559" i="1"/>
  <c r="O559" i="1"/>
  <c r="N559" i="1"/>
  <c r="AA558" i="1"/>
  <c r="T558" i="1"/>
  <c r="P558" i="1"/>
  <c r="O558" i="1"/>
  <c r="N558" i="1"/>
  <c r="AA557" i="1"/>
  <c r="T557" i="1"/>
  <c r="P557" i="1"/>
  <c r="O557" i="1"/>
  <c r="N557" i="1"/>
  <c r="AA556" i="1"/>
  <c r="T556" i="1"/>
  <c r="P556" i="1"/>
  <c r="O556" i="1"/>
  <c r="N556" i="1"/>
  <c r="AA555" i="1"/>
  <c r="T555" i="1"/>
  <c r="P555" i="1"/>
  <c r="O555" i="1"/>
  <c r="N555" i="1"/>
  <c r="AA554" i="1"/>
  <c r="T554" i="1"/>
  <c r="P554" i="1"/>
  <c r="O554" i="1"/>
  <c r="N554" i="1"/>
  <c r="AA553" i="1"/>
  <c r="T553" i="1"/>
  <c r="P553" i="1"/>
  <c r="O553" i="1"/>
  <c r="N553" i="1"/>
  <c r="AA552" i="1"/>
  <c r="T552" i="1"/>
  <c r="P552" i="1"/>
  <c r="O552" i="1"/>
  <c r="N552" i="1"/>
  <c r="AA551" i="1"/>
  <c r="T551" i="1"/>
  <c r="P551" i="1"/>
  <c r="O551" i="1"/>
  <c r="N551" i="1"/>
  <c r="AA549" i="1"/>
  <c r="T549" i="1"/>
  <c r="P549" i="1"/>
  <c r="O549" i="1"/>
  <c r="N549" i="1"/>
  <c r="AA548" i="1"/>
  <c r="T548" i="1"/>
  <c r="P548" i="1"/>
  <c r="O548" i="1"/>
  <c r="N548" i="1"/>
  <c r="AA546" i="1"/>
  <c r="T546" i="1"/>
  <c r="P546" i="1"/>
  <c r="O546" i="1"/>
  <c r="N546" i="1"/>
  <c r="AA545" i="1"/>
  <c r="T545" i="1"/>
  <c r="P545" i="1"/>
  <c r="O545" i="1"/>
  <c r="N545" i="1"/>
  <c r="AA544" i="1"/>
  <c r="T544" i="1"/>
  <c r="P544" i="1"/>
  <c r="O544" i="1"/>
  <c r="N544" i="1"/>
  <c r="AA543" i="1"/>
  <c r="T543" i="1"/>
  <c r="P543" i="1"/>
  <c r="O543" i="1"/>
  <c r="N543" i="1"/>
  <c r="AA542" i="1"/>
  <c r="T542" i="1"/>
  <c r="P542" i="1"/>
  <c r="O542" i="1"/>
  <c r="N542" i="1"/>
  <c r="AA541" i="1"/>
  <c r="T541" i="1"/>
  <c r="P541" i="1"/>
  <c r="O541" i="1"/>
  <c r="N541" i="1"/>
  <c r="AA540" i="1"/>
  <c r="T540" i="1"/>
  <c r="P540" i="1"/>
  <c r="O540" i="1"/>
  <c r="N540" i="1"/>
  <c r="AA539" i="1"/>
  <c r="T539" i="1"/>
  <c r="P539" i="1"/>
  <c r="O539" i="1"/>
  <c r="N539" i="1"/>
  <c r="AA538" i="1"/>
  <c r="T538" i="1"/>
  <c r="P538" i="1"/>
  <c r="O538" i="1"/>
  <c r="N538" i="1"/>
  <c r="AA536" i="1"/>
  <c r="T536" i="1"/>
  <c r="P536" i="1"/>
  <c r="O536" i="1"/>
  <c r="N536" i="1"/>
  <c r="AA535" i="1"/>
  <c r="T535" i="1"/>
  <c r="P535" i="1"/>
  <c r="O535" i="1"/>
  <c r="N535" i="1"/>
  <c r="AA534" i="1"/>
  <c r="T534" i="1"/>
  <c r="P534" i="1"/>
  <c r="O534" i="1"/>
  <c r="N534" i="1"/>
  <c r="AA532" i="1"/>
  <c r="T532" i="1"/>
  <c r="P532" i="1"/>
  <c r="O532" i="1"/>
  <c r="N532" i="1"/>
  <c r="AA531" i="1"/>
  <c r="T531" i="1"/>
  <c r="P531" i="1"/>
  <c r="O531" i="1"/>
  <c r="N531" i="1"/>
  <c r="AA530" i="1"/>
  <c r="T530" i="1"/>
  <c r="P530" i="1"/>
  <c r="O530" i="1"/>
  <c r="N530" i="1"/>
  <c r="AA529" i="1"/>
  <c r="T529" i="1"/>
  <c r="P529" i="1"/>
  <c r="O529" i="1"/>
  <c r="N529" i="1"/>
  <c r="AA528" i="1"/>
  <c r="T528" i="1"/>
  <c r="P528" i="1"/>
  <c r="O528" i="1"/>
  <c r="N528" i="1"/>
  <c r="AA526" i="1"/>
  <c r="T526" i="1"/>
  <c r="P526" i="1"/>
  <c r="O526" i="1"/>
  <c r="N526" i="1"/>
  <c r="AA524" i="1"/>
  <c r="T524" i="1"/>
  <c r="P524" i="1"/>
  <c r="O524" i="1"/>
  <c r="N524" i="1"/>
  <c r="AA521" i="1"/>
  <c r="T521" i="1"/>
  <c r="P521" i="1"/>
  <c r="O521" i="1"/>
  <c r="N521" i="1"/>
  <c r="AA520" i="1"/>
  <c r="T520" i="1"/>
  <c r="P520" i="1"/>
  <c r="O520" i="1"/>
  <c r="N520" i="1"/>
  <c r="AA519" i="1"/>
  <c r="T519" i="1"/>
  <c r="P519" i="1"/>
  <c r="O519" i="1"/>
  <c r="N519" i="1"/>
  <c r="AA518" i="1"/>
  <c r="T518" i="1"/>
  <c r="P518" i="1"/>
  <c r="O518" i="1"/>
  <c r="N518" i="1"/>
  <c r="AA517" i="1"/>
  <c r="T517" i="1"/>
  <c r="P517" i="1"/>
  <c r="O517" i="1"/>
  <c r="N517" i="1"/>
  <c r="AA516" i="1"/>
  <c r="T516" i="1"/>
  <c r="P516" i="1"/>
  <c r="O516" i="1"/>
  <c r="N516" i="1"/>
  <c r="AA515" i="1"/>
  <c r="T515" i="1"/>
  <c r="P515" i="1"/>
  <c r="O515" i="1"/>
  <c r="N515" i="1"/>
  <c r="AA514" i="1"/>
  <c r="T514" i="1"/>
  <c r="P514" i="1"/>
  <c r="O514" i="1"/>
  <c r="N514" i="1"/>
  <c r="AA512" i="1"/>
  <c r="T512" i="1"/>
  <c r="P512" i="1"/>
  <c r="O512" i="1"/>
  <c r="N512" i="1"/>
  <c r="AA511" i="1"/>
  <c r="T511" i="1"/>
  <c r="P511" i="1"/>
  <c r="O511" i="1"/>
  <c r="N511" i="1"/>
  <c r="AA510" i="1"/>
  <c r="T510" i="1"/>
  <c r="P510" i="1"/>
  <c r="O510" i="1"/>
  <c r="N510" i="1"/>
  <c r="AA509" i="1"/>
  <c r="T509" i="1"/>
  <c r="P509" i="1"/>
  <c r="O509" i="1"/>
  <c r="N509" i="1"/>
  <c r="AA508" i="1"/>
  <c r="T508" i="1"/>
  <c r="P508" i="1"/>
  <c r="O508" i="1"/>
  <c r="N508" i="1"/>
  <c r="AA507" i="1"/>
  <c r="T507" i="1"/>
  <c r="P507" i="1"/>
  <c r="O507" i="1"/>
  <c r="N507" i="1"/>
  <c r="AA505" i="1"/>
  <c r="T505" i="1"/>
  <c r="P505" i="1"/>
  <c r="O505" i="1"/>
  <c r="N505" i="1"/>
  <c r="AA504" i="1"/>
  <c r="T504" i="1"/>
  <c r="P504" i="1"/>
  <c r="O504" i="1"/>
  <c r="N504" i="1"/>
  <c r="AA501" i="1"/>
  <c r="T501" i="1"/>
  <c r="P501" i="1"/>
  <c r="O501" i="1"/>
  <c r="N501" i="1"/>
  <c r="AA499" i="1"/>
  <c r="T499" i="1"/>
  <c r="P499" i="1"/>
  <c r="O499" i="1"/>
  <c r="N499" i="1"/>
  <c r="AA498" i="1"/>
  <c r="T498" i="1"/>
  <c r="P498" i="1"/>
  <c r="O498" i="1"/>
  <c r="N498" i="1"/>
  <c r="AA496" i="1"/>
  <c r="T496" i="1"/>
  <c r="P496" i="1"/>
  <c r="O496" i="1"/>
  <c r="N496" i="1"/>
  <c r="AA494" i="1"/>
  <c r="T494" i="1"/>
  <c r="P494" i="1"/>
  <c r="O494" i="1"/>
  <c r="N494" i="1"/>
  <c r="AA493" i="1"/>
  <c r="T493" i="1"/>
  <c r="P493" i="1"/>
  <c r="O493" i="1"/>
  <c r="N493" i="1"/>
  <c r="AA490" i="1"/>
  <c r="T490" i="1"/>
  <c r="P490" i="1"/>
  <c r="O490" i="1"/>
  <c r="N490" i="1"/>
  <c r="AA489" i="1"/>
  <c r="T489" i="1"/>
  <c r="P489" i="1"/>
  <c r="O489" i="1"/>
  <c r="N489" i="1"/>
  <c r="AA488" i="1"/>
  <c r="T488" i="1"/>
  <c r="P488" i="1"/>
  <c r="O488" i="1"/>
  <c r="N488" i="1"/>
  <c r="AA487" i="1"/>
  <c r="T487" i="1"/>
  <c r="P487" i="1"/>
  <c r="O487" i="1"/>
  <c r="N487" i="1"/>
  <c r="AA486" i="1"/>
  <c r="T486" i="1"/>
  <c r="P486" i="1"/>
  <c r="O486" i="1"/>
  <c r="N486" i="1"/>
  <c r="AA485" i="1"/>
  <c r="T485" i="1"/>
  <c r="P485" i="1"/>
  <c r="O485" i="1"/>
  <c r="N485" i="1"/>
  <c r="AA484" i="1"/>
  <c r="T484" i="1"/>
  <c r="P484" i="1"/>
  <c r="O484" i="1"/>
  <c r="N484" i="1"/>
  <c r="AA483" i="1"/>
  <c r="T483" i="1"/>
  <c r="P483" i="1"/>
  <c r="O483" i="1"/>
  <c r="N483" i="1"/>
  <c r="AA481" i="1"/>
  <c r="T481" i="1"/>
  <c r="P481" i="1"/>
  <c r="O481" i="1"/>
  <c r="N481" i="1"/>
  <c r="AA479" i="1"/>
  <c r="T479" i="1"/>
  <c r="P479" i="1"/>
  <c r="O479" i="1"/>
  <c r="N479" i="1"/>
  <c r="AA478" i="1"/>
  <c r="T478" i="1"/>
  <c r="P478" i="1"/>
  <c r="O478" i="1"/>
  <c r="N478" i="1"/>
  <c r="AA475" i="1"/>
  <c r="T475" i="1"/>
  <c r="P475" i="1"/>
  <c r="O475" i="1"/>
  <c r="N475" i="1"/>
  <c r="AA474" i="1"/>
  <c r="T474" i="1"/>
  <c r="P474" i="1"/>
  <c r="O474" i="1"/>
  <c r="N474" i="1"/>
  <c r="AA473" i="1"/>
  <c r="T473" i="1"/>
  <c r="P473" i="1"/>
  <c r="O473" i="1"/>
  <c r="N473" i="1"/>
  <c r="AA471" i="1"/>
  <c r="T471" i="1"/>
  <c r="P471" i="1"/>
  <c r="O471" i="1"/>
  <c r="N471" i="1"/>
  <c r="AA469" i="1"/>
  <c r="T469" i="1"/>
  <c r="P469" i="1"/>
  <c r="O469" i="1"/>
  <c r="N469" i="1"/>
  <c r="AA467" i="1"/>
  <c r="T467" i="1"/>
  <c r="P467" i="1"/>
  <c r="O467" i="1"/>
  <c r="N467" i="1"/>
  <c r="AA466" i="1"/>
  <c r="T466" i="1"/>
  <c r="P466" i="1"/>
  <c r="O466" i="1"/>
  <c r="N466" i="1"/>
  <c r="AA465" i="1"/>
  <c r="T465" i="1"/>
  <c r="P465" i="1"/>
  <c r="O465" i="1"/>
  <c r="N465" i="1"/>
  <c r="AA464" i="1"/>
  <c r="T464" i="1"/>
  <c r="P464" i="1"/>
  <c r="O464" i="1"/>
  <c r="N464" i="1"/>
  <c r="AA463" i="1"/>
  <c r="T463" i="1"/>
  <c r="P463" i="1"/>
  <c r="O463" i="1"/>
  <c r="N463" i="1"/>
  <c r="AA461" i="1"/>
  <c r="T461" i="1"/>
  <c r="P461" i="1"/>
  <c r="O461" i="1"/>
  <c r="N461" i="1"/>
  <c r="AA460" i="1"/>
  <c r="T460" i="1"/>
  <c r="P460" i="1"/>
  <c r="O460" i="1"/>
  <c r="N460" i="1"/>
  <c r="AA459" i="1"/>
  <c r="T459" i="1"/>
  <c r="P459" i="1"/>
  <c r="O459" i="1"/>
  <c r="N459" i="1"/>
  <c r="AA458" i="1"/>
  <c r="T458" i="1"/>
  <c r="P458" i="1"/>
  <c r="O458" i="1"/>
  <c r="N458" i="1"/>
  <c r="AA456" i="1"/>
  <c r="T456" i="1"/>
  <c r="P456" i="1"/>
  <c r="O456" i="1"/>
  <c r="N456" i="1"/>
  <c r="AA455" i="1"/>
  <c r="T455" i="1"/>
  <c r="P455" i="1"/>
  <c r="O455" i="1"/>
  <c r="N455" i="1"/>
  <c r="AA452" i="1"/>
  <c r="T452" i="1"/>
  <c r="P452" i="1"/>
  <c r="O452" i="1"/>
  <c r="N452" i="1"/>
  <c r="AA451" i="1"/>
  <c r="T451" i="1"/>
  <c r="P451" i="1"/>
  <c r="O451" i="1"/>
  <c r="N451" i="1"/>
  <c r="AA450" i="1"/>
  <c r="T450" i="1"/>
  <c r="P450" i="1"/>
  <c r="O450" i="1"/>
  <c r="N450" i="1"/>
  <c r="AA449" i="1"/>
  <c r="T449" i="1"/>
  <c r="P449" i="1"/>
  <c r="O449" i="1"/>
  <c r="N449" i="1"/>
  <c r="AA448" i="1"/>
  <c r="T448" i="1"/>
  <c r="P448" i="1"/>
  <c r="O448" i="1"/>
  <c r="N448" i="1"/>
  <c r="AA447" i="1"/>
  <c r="T447" i="1"/>
  <c r="P447" i="1"/>
  <c r="O447" i="1"/>
  <c r="N447" i="1"/>
  <c r="AA446" i="1"/>
  <c r="T446" i="1"/>
  <c r="P446" i="1"/>
  <c r="O446" i="1"/>
  <c r="N446" i="1"/>
  <c r="AA443" i="1"/>
  <c r="T443" i="1"/>
  <c r="P443" i="1"/>
  <c r="O443" i="1"/>
  <c r="N443" i="1"/>
  <c r="AA442" i="1"/>
  <c r="T442" i="1"/>
  <c r="P442" i="1"/>
  <c r="O442" i="1"/>
  <c r="N442" i="1"/>
  <c r="AA441" i="1"/>
  <c r="T441" i="1"/>
  <c r="P441" i="1"/>
  <c r="O441" i="1"/>
  <c r="N441" i="1"/>
  <c r="AA439" i="1"/>
  <c r="T439" i="1"/>
  <c r="P439" i="1"/>
  <c r="O439" i="1"/>
  <c r="N439" i="1"/>
  <c r="AA438" i="1"/>
  <c r="T438" i="1"/>
  <c r="P438" i="1"/>
  <c r="O438" i="1"/>
  <c r="N438" i="1"/>
  <c r="AA437" i="1"/>
  <c r="T437" i="1"/>
  <c r="P437" i="1"/>
  <c r="O437" i="1"/>
  <c r="N437" i="1"/>
  <c r="AA436" i="1"/>
  <c r="T436" i="1"/>
  <c r="P436" i="1"/>
  <c r="O436" i="1"/>
  <c r="N436" i="1"/>
  <c r="AA435" i="1"/>
  <c r="T435" i="1"/>
  <c r="P435" i="1"/>
  <c r="O435" i="1"/>
  <c r="N435" i="1"/>
  <c r="AA434" i="1"/>
  <c r="T434" i="1"/>
  <c r="P434" i="1"/>
  <c r="O434" i="1"/>
  <c r="N434" i="1"/>
  <c r="AA433" i="1"/>
  <c r="T433" i="1"/>
  <c r="P433" i="1"/>
  <c r="O433" i="1"/>
  <c r="N433" i="1"/>
  <c r="AA432" i="1"/>
  <c r="T432" i="1"/>
  <c r="P432" i="1"/>
  <c r="O432" i="1"/>
  <c r="N432" i="1"/>
  <c r="AA431" i="1"/>
  <c r="T431" i="1"/>
  <c r="P431" i="1"/>
  <c r="O431" i="1"/>
  <c r="N431" i="1"/>
  <c r="AA430" i="1"/>
  <c r="T430" i="1"/>
  <c r="P430" i="1"/>
  <c r="O430" i="1"/>
  <c r="N430" i="1"/>
  <c r="AA429" i="1"/>
  <c r="T429" i="1"/>
  <c r="P429" i="1"/>
  <c r="O429" i="1"/>
  <c r="N429" i="1"/>
  <c r="AA428" i="1"/>
  <c r="T428" i="1"/>
  <c r="P428" i="1"/>
  <c r="O428" i="1"/>
  <c r="N428" i="1"/>
  <c r="AA427" i="1"/>
  <c r="T427" i="1"/>
  <c r="P427" i="1"/>
  <c r="O427" i="1"/>
  <c r="N427" i="1"/>
  <c r="AA426" i="1"/>
  <c r="T426" i="1"/>
  <c r="P426" i="1"/>
  <c r="O426" i="1"/>
  <c r="N426" i="1"/>
  <c r="AA425" i="1"/>
  <c r="T425" i="1"/>
  <c r="P425" i="1"/>
  <c r="O425" i="1"/>
  <c r="N425" i="1"/>
  <c r="AA424" i="1"/>
  <c r="T424" i="1"/>
  <c r="P424" i="1"/>
  <c r="O424" i="1"/>
  <c r="N424" i="1"/>
  <c r="AA423" i="1"/>
  <c r="T423" i="1"/>
  <c r="P423" i="1"/>
  <c r="O423" i="1"/>
  <c r="N423" i="1"/>
  <c r="AA422" i="1"/>
  <c r="T422" i="1"/>
  <c r="P422" i="1"/>
  <c r="O422" i="1"/>
  <c r="N422" i="1"/>
  <c r="AA421" i="1"/>
  <c r="T421" i="1"/>
  <c r="P421" i="1"/>
  <c r="O421" i="1"/>
  <c r="N421" i="1"/>
  <c r="AA420" i="1"/>
  <c r="T420" i="1"/>
  <c r="P420" i="1"/>
  <c r="O420" i="1"/>
  <c r="N420" i="1"/>
  <c r="AA419" i="1"/>
  <c r="T419" i="1"/>
  <c r="P419" i="1"/>
  <c r="O419" i="1"/>
  <c r="N419" i="1"/>
  <c r="AA416" i="1"/>
  <c r="T416" i="1"/>
  <c r="P416" i="1"/>
  <c r="O416" i="1"/>
  <c r="N416" i="1"/>
  <c r="AA415" i="1"/>
  <c r="T415" i="1"/>
  <c r="P415" i="1"/>
  <c r="O415" i="1"/>
  <c r="N415" i="1"/>
  <c r="AA413" i="1"/>
  <c r="T413" i="1"/>
  <c r="P413" i="1"/>
  <c r="O413" i="1"/>
  <c r="N413" i="1"/>
  <c r="AA412" i="1"/>
  <c r="T412" i="1"/>
  <c r="P412" i="1"/>
  <c r="O412" i="1"/>
  <c r="N412" i="1"/>
  <c r="AA411" i="1"/>
  <c r="T411" i="1"/>
  <c r="P411" i="1"/>
  <c r="O411" i="1"/>
  <c r="N411" i="1"/>
  <c r="AA410" i="1"/>
  <c r="T410" i="1"/>
  <c r="P410" i="1"/>
  <c r="O410" i="1"/>
  <c r="N410" i="1"/>
  <c r="AA409" i="1"/>
  <c r="T409" i="1"/>
  <c r="P409" i="1"/>
  <c r="O409" i="1"/>
  <c r="N409" i="1"/>
  <c r="AA408" i="1"/>
  <c r="T408" i="1"/>
  <c r="P408" i="1"/>
  <c r="O408" i="1"/>
  <c r="N408" i="1"/>
  <c r="AA407" i="1"/>
  <c r="T407" i="1"/>
  <c r="P407" i="1"/>
  <c r="O407" i="1"/>
  <c r="N407" i="1"/>
  <c r="AA405" i="1"/>
  <c r="T405" i="1"/>
  <c r="P405" i="1"/>
  <c r="O405" i="1"/>
  <c r="N405" i="1"/>
  <c r="AA404" i="1"/>
  <c r="T404" i="1"/>
  <c r="P404" i="1"/>
  <c r="O404" i="1"/>
  <c r="N404" i="1"/>
  <c r="AA402" i="1"/>
  <c r="T402" i="1"/>
  <c r="P402" i="1"/>
  <c r="O402" i="1"/>
  <c r="N402" i="1"/>
  <c r="AA401" i="1"/>
  <c r="T401" i="1"/>
  <c r="P401" i="1"/>
  <c r="O401" i="1"/>
  <c r="N401" i="1"/>
  <c r="AA400" i="1"/>
  <c r="T400" i="1"/>
  <c r="P400" i="1"/>
  <c r="O400" i="1"/>
  <c r="N400" i="1"/>
  <c r="AA398" i="1"/>
  <c r="T398" i="1"/>
  <c r="P398" i="1"/>
  <c r="O398" i="1"/>
  <c r="N398" i="1"/>
  <c r="AA397" i="1"/>
  <c r="T397" i="1"/>
  <c r="P397" i="1"/>
  <c r="O397" i="1"/>
  <c r="N397" i="1"/>
  <c r="AA395" i="1"/>
  <c r="T395" i="1"/>
  <c r="P395" i="1"/>
  <c r="O395" i="1"/>
  <c r="N395" i="1"/>
  <c r="AA394" i="1"/>
  <c r="T394" i="1"/>
  <c r="P394" i="1"/>
  <c r="O394" i="1"/>
  <c r="N394" i="1"/>
  <c r="AA393" i="1"/>
  <c r="T393" i="1"/>
  <c r="P393" i="1"/>
  <c r="O393" i="1"/>
  <c r="N393" i="1"/>
  <c r="AA392" i="1"/>
  <c r="T392" i="1"/>
  <c r="P392" i="1"/>
  <c r="O392" i="1"/>
  <c r="N392" i="1"/>
  <c r="AA390" i="1"/>
  <c r="T390" i="1"/>
  <c r="P390" i="1"/>
  <c r="O390" i="1"/>
  <c r="N390" i="1"/>
  <c r="AA389" i="1"/>
  <c r="T389" i="1"/>
  <c r="P389" i="1"/>
  <c r="O389" i="1"/>
  <c r="N389" i="1"/>
  <c r="AA387" i="1"/>
  <c r="T387" i="1"/>
  <c r="P387" i="1"/>
  <c r="O387" i="1"/>
  <c r="N387" i="1"/>
  <c r="AA386" i="1"/>
  <c r="T386" i="1"/>
  <c r="P386" i="1"/>
  <c r="O386" i="1"/>
  <c r="N386" i="1"/>
  <c r="AA383" i="1"/>
  <c r="T383" i="1"/>
  <c r="P383" i="1"/>
  <c r="O383" i="1"/>
  <c r="N383" i="1"/>
  <c r="AA382" i="1"/>
  <c r="T382" i="1"/>
  <c r="P382" i="1"/>
  <c r="O382" i="1"/>
  <c r="N382" i="1"/>
  <c r="AA381" i="1"/>
  <c r="T381" i="1"/>
  <c r="P381" i="1"/>
  <c r="O381" i="1"/>
  <c r="N381" i="1"/>
  <c r="AA380" i="1"/>
  <c r="T380" i="1"/>
  <c r="P380" i="1"/>
  <c r="O380" i="1"/>
  <c r="N380" i="1"/>
  <c r="AA379" i="1"/>
  <c r="T379" i="1"/>
  <c r="P379" i="1"/>
  <c r="O379" i="1"/>
  <c r="N379" i="1"/>
  <c r="AA378" i="1"/>
  <c r="T378" i="1"/>
  <c r="P378" i="1"/>
  <c r="O378" i="1"/>
  <c r="N378" i="1"/>
  <c r="AA377" i="1"/>
  <c r="T377" i="1"/>
  <c r="P377" i="1"/>
  <c r="O377" i="1"/>
  <c r="N377" i="1"/>
  <c r="AA376" i="1"/>
  <c r="T376" i="1"/>
  <c r="P376" i="1"/>
  <c r="O376" i="1"/>
  <c r="N376" i="1"/>
  <c r="AA374" i="1"/>
  <c r="T374" i="1"/>
  <c r="P374" i="1"/>
  <c r="O374" i="1"/>
  <c r="N374" i="1"/>
  <c r="AA373" i="1"/>
  <c r="T373" i="1"/>
  <c r="P373" i="1"/>
  <c r="O373" i="1"/>
  <c r="N373" i="1"/>
  <c r="AA372" i="1"/>
  <c r="T372" i="1"/>
  <c r="P372" i="1"/>
  <c r="O372" i="1"/>
  <c r="N372" i="1"/>
  <c r="AA371" i="1"/>
  <c r="T371" i="1"/>
  <c r="P371" i="1"/>
  <c r="O371" i="1"/>
  <c r="N371" i="1"/>
  <c r="AA370" i="1"/>
  <c r="T370" i="1"/>
  <c r="P370" i="1"/>
  <c r="O370" i="1"/>
  <c r="N370" i="1"/>
  <c r="AA369" i="1"/>
  <c r="T369" i="1"/>
  <c r="P369" i="1"/>
  <c r="O369" i="1"/>
  <c r="N369" i="1"/>
  <c r="AA368" i="1"/>
  <c r="T368" i="1"/>
  <c r="P368" i="1"/>
  <c r="O368" i="1"/>
  <c r="N368" i="1"/>
  <c r="AA367" i="1"/>
  <c r="T367" i="1"/>
  <c r="P367" i="1"/>
  <c r="O367" i="1"/>
  <c r="N367" i="1"/>
  <c r="AA366" i="1"/>
  <c r="T366" i="1"/>
  <c r="P366" i="1"/>
  <c r="O366" i="1"/>
  <c r="N366" i="1"/>
  <c r="AA365" i="1"/>
  <c r="T365" i="1"/>
  <c r="P365" i="1"/>
  <c r="O365" i="1"/>
  <c r="N365" i="1"/>
  <c r="AA364" i="1"/>
  <c r="T364" i="1"/>
  <c r="P364" i="1"/>
  <c r="O364" i="1"/>
  <c r="N364" i="1"/>
  <c r="AA362" i="1"/>
  <c r="T362" i="1"/>
  <c r="P362" i="1"/>
  <c r="O362" i="1"/>
  <c r="N362" i="1"/>
  <c r="AA361" i="1"/>
  <c r="T361" i="1"/>
  <c r="P361" i="1"/>
  <c r="O361" i="1"/>
  <c r="N361" i="1"/>
  <c r="AA360" i="1"/>
  <c r="T360" i="1"/>
  <c r="P360" i="1"/>
  <c r="O360" i="1"/>
  <c r="N360" i="1"/>
  <c r="AA359" i="1"/>
  <c r="T359" i="1"/>
  <c r="P359" i="1"/>
  <c r="O359" i="1"/>
  <c r="N359" i="1"/>
  <c r="AA358" i="1"/>
  <c r="T358" i="1"/>
  <c r="P358" i="1"/>
  <c r="O358" i="1"/>
  <c r="N358" i="1"/>
  <c r="AA357" i="1"/>
  <c r="T357" i="1"/>
  <c r="P357" i="1"/>
  <c r="O357" i="1"/>
  <c r="N357" i="1"/>
  <c r="AA356" i="1"/>
  <c r="T356" i="1"/>
  <c r="P356" i="1"/>
  <c r="O356" i="1"/>
  <c r="N356" i="1"/>
  <c r="AA355" i="1"/>
  <c r="T355" i="1"/>
  <c r="P355" i="1"/>
  <c r="O355" i="1"/>
  <c r="N355" i="1"/>
  <c r="AA354" i="1"/>
  <c r="T354" i="1"/>
  <c r="P354" i="1"/>
  <c r="O354" i="1"/>
  <c r="N354" i="1"/>
  <c r="AA351" i="1"/>
  <c r="T351" i="1"/>
  <c r="P351" i="1"/>
  <c r="O351" i="1"/>
  <c r="N351" i="1"/>
  <c r="AA350" i="1"/>
  <c r="T350" i="1"/>
  <c r="P350" i="1"/>
  <c r="O350" i="1"/>
  <c r="N350" i="1"/>
  <c r="AA349" i="1"/>
  <c r="T349" i="1"/>
  <c r="P349" i="1"/>
  <c r="O349" i="1"/>
  <c r="N349" i="1"/>
  <c r="AA348" i="1"/>
  <c r="T348" i="1"/>
  <c r="P348" i="1"/>
  <c r="O348" i="1"/>
  <c r="N348" i="1"/>
  <c r="AA347" i="1"/>
  <c r="T347" i="1"/>
  <c r="P347" i="1"/>
  <c r="O347" i="1"/>
  <c r="N347" i="1"/>
  <c r="AA346" i="1"/>
  <c r="T346" i="1"/>
  <c r="P346" i="1"/>
  <c r="O346" i="1"/>
  <c r="N346" i="1"/>
  <c r="AA344" i="1"/>
  <c r="T344" i="1"/>
  <c r="P344" i="1"/>
  <c r="O344" i="1"/>
  <c r="N344" i="1"/>
  <c r="AA343" i="1"/>
  <c r="T343" i="1"/>
  <c r="P343" i="1"/>
  <c r="O343" i="1"/>
  <c r="N343" i="1"/>
  <c r="AA342" i="1"/>
  <c r="T342" i="1"/>
  <c r="P342" i="1"/>
  <c r="O342" i="1"/>
  <c r="N342" i="1"/>
  <c r="AA341" i="1"/>
  <c r="T341" i="1"/>
  <c r="P341" i="1"/>
  <c r="O341" i="1"/>
  <c r="N341" i="1"/>
  <c r="AA340" i="1"/>
  <c r="T340" i="1"/>
  <c r="P340" i="1"/>
  <c r="O340" i="1"/>
  <c r="N340" i="1"/>
  <c r="AA339" i="1"/>
  <c r="T339" i="1"/>
  <c r="P339" i="1"/>
  <c r="O339" i="1"/>
  <c r="N339" i="1"/>
  <c r="AA337" i="1"/>
  <c r="T337" i="1"/>
  <c r="P337" i="1"/>
  <c r="O337" i="1"/>
  <c r="N337" i="1"/>
  <c r="AA336" i="1"/>
  <c r="T336" i="1"/>
  <c r="P336" i="1"/>
  <c r="O336" i="1"/>
  <c r="N336" i="1"/>
  <c r="AA335" i="1"/>
  <c r="T335" i="1"/>
  <c r="P335" i="1"/>
  <c r="O335" i="1"/>
  <c r="N335" i="1"/>
  <c r="AA334" i="1"/>
  <c r="T334" i="1"/>
  <c r="P334" i="1"/>
  <c r="O334" i="1"/>
  <c r="N334" i="1"/>
  <c r="AA333" i="1"/>
  <c r="T333" i="1"/>
  <c r="P333" i="1"/>
  <c r="O333" i="1"/>
  <c r="N333" i="1"/>
  <c r="AA332" i="1"/>
  <c r="T332" i="1"/>
  <c r="P332" i="1"/>
  <c r="O332" i="1"/>
  <c r="N332" i="1"/>
  <c r="AA331" i="1"/>
  <c r="T331" i="1"/>
  <c r="P331" i="1"/>
  <c r="O331" i="1"/>
  <c r="N331" i="1"/>
  <c r="AA330" i="1"/>
  <c r="T330" i="1"/>
  <c r="P330" i="1"/>
  <c r="O330" i="1"/>
  <c r="N330" i="1"/>
  <c r="AA329" i="1"/>
  <c r="T329" i="1"/>
  <c r="P329" i="1"/>
  <c r="O329" i="1"/>
  <c r="N329" i="1"/>
  <c r="AA328" i="1"/>
  <c r="T328" i="1"/>
  <c r="P328" i="1"/>
  <c r="O328" i="1"/>
  <c r="N328" i="1"/>
  <c r="AA327" i="1"/>
  <c r="T327" i="1"/>
  <c r="P327" i="1"/>
  <c r="O327" i="1"/>
  <c r="N327" i="1"/>
  <c r="AA326" i="1"/>
  <c r="T326" i="1"/>
  <c r="P326" i="1"/>
  <c r="O326" i="1"/>
  <c r="N326" i="1"/>
  <c r="AA325" i="1"/>
  <c r="T325" i="1"/>
  <c r="P325" i="1"/>
  <c r="O325" i="1"/>
  <c r="N325" i="1"/>
  <c r="AA324" i="1"/>
  <c r="T324" i="1"/>
  <c r="P324" i="1"/>
  <c r="O324" i="1"/>
  <c r="N324" i="1"/>
  <c r="AA323" i="1"/>
  <c r="T323" i="1"/>
  <c r="P323" i="1"/>
  <c r="O323" i="1"/>
  <c r="N323" i="1"/>
  <c r="AA322" i="1"/>
  <c r="T322" i="1"/>
  <c r="P322" i="1"/>
  <c r="O322" i="1"/>
  <c r="N322" i="1"/>
  <c r="AA321" i="1"/>
  <c r="T321" i="1"/>
  <c r="P321" i="1"/>
  <c r="O321" i="1"/>
  <c r="N321" i="1"/>
  <c r="AA320" i="1"/>
  <c r="T320" i="1"/>
  <c r="P320" i="1"/>
  <c r="O320" i="1"/>
  <c r="N320" i="1"/>
  <c r="AA318" i="1"/>
  <c r="T318" i="1"/>
  <c r="P318" i="1"/>
  <c r="O318" i="1"/>
  <c r="N318" i="1"/>
  <c r="AA317" i="1"/>
  <c r="T317" i="1"/>
  <c r="P317" i="1"/>
  <c r="O317" i="1"/>
  <c r="N317" i="1"/>
  <c r="AA316" i="1"/>
  <c r="T316" i="1"/>
  <c r="P316" i="1"/>
  <c r="O316" i="1"/>
  <c r="N316" i="1"/>
  <c r="AA315" i="1"/>
  <c r="T315" i="1"/>
  <c r="P315" i="1"/>
  <c r="O315" i="1"/>
  <c r="N315" i="1"/>
  <c r="AA314" i="1"/>
  <c r="T314" i="1"/>
  <c r="P314" i="1"/>
  <c r="O314" i="1"/>
  <c r="N314" i="1"/>
  <c r="AA313" i="1"/>
  <c r="T313" i="1"/>
  <c r="P313" i="1"/>
  <c r="O313" i="1"/>
  <c r="N313" i="1"/>
  <c r="AA312" i="1"/>
  <c r="T312" i="1"/>
  <c r="P312" i="1"/>
  <c r="O312" i="1"/>
  <c r="N312" i="1"/>
  <c r="AA311" i="1"/>
  <c r="T311" i="1"/>
  <c r="P311" i="1"/>
  <c r="O311" i="1"/>
  <c r="N311" i="1"/>
  <c r="AA309" i="1"/>
  <c r="T309" i="1"/>
  <c r="P309" i="1"/>
  <c r="O309" i="1"/>
  <c r="N309" i="1"/>
  <c r="AA308" i="1"/>
  <c r="T308" i="1"/>
  <c r="P308" i="1"/>
  <c r="O308" i="1"/>
  <c r="N308" i="1"/>
  <c r="AA307" i="1"/>
  <c r="T307" i="1"/>
  <c r="P307" i="1"/>
  <c r="O307" i="1"/>
  <c r="N307" i="1"/>
  <c r="AA306" i="1"/>
  <c r="T306" i="1"/>
  <c r="P306" i="1"/>
  <c r="O306" i="1"/>
  <c r="N306" i="1"/>
  <c r="AA301" i="1"/>
  <c r="T301" i="1"/>
  <c r="P301" i="1"/>
  <c r="O301" i="1"/>
  <c r="N301" i="1"/>
  <c r="AA300" i="1"/>
  <c r="T300" i="1"/>
  <c r="P300" i="1"/>
  <c r="O300" i="1"/>
  <c r="N300" i="1"/>
  <c r="AA299" i="1"/>
  <c r="T299" i="1"/>
  <c r="P299" i="1"/>
  <c r="O299" i="1"/>
  <c r="N299" i="1"/>
  <c r="AA298" i="1"/>
  <c r="T298" i="1"/>
  <c r="P298" i="1"/>
  <c r="O298" i="1"/>
  <c r="N298" i="1"/>
  <c r="AA297" i="1"/>
  <c r="T297" i="1"/>
  <c r="P297" i="1"/>
  <c r="O297" i="1"/>
  <c r="N297" i="1"/>
  <c r="AA296" i="1"/>
  <c r="T296" i="1"/>
  <c r="P296" i="1"/>
  <c r="O296" i="1"/>
  <c r="N296" i="1"/>
  <c r="AA295" i="1"/>
  <c r="T295" i="1"/>
  <c r="P295" i="1"/>
  <c r="O295" i="1"/>
  <c r="N295" i="1"/>
  <c r="AA294" i="1"/>
  <c r="T294" i="1"/>
  <c r="P294" i="1"/>
  <c r="O294" i="1"/>
  <c r="N294" i="1"/>
  <c r="AA292" i="1"/>
  <c r="T292" i="1"/>
  <c r="P292" i="1"/>
  <c r="O292" i="1"/>
  <c r="N292" i="1"/>
  <c r="AA291" i="1"/>
  <c r="T291" i="1"/>
  <c r="P291" i="1"/>
  <c r="O291" i="1"/>
  <c r="N291" i="1"/>
  <c r="AA290" i="1"/>
  <c r="T290" i="1"/>
  <c r="P290" i="1"/>
  <c r="O290" i="1"/>
  <c r="N290" i="1"/>
  <c r="AA289" i="1"/>
  <c r="T289" i="1"/>
  <c r="P289" i="1"/>
  <c r="O289" i="1"/>
  <c r="N289" i="1"/>
  <c r="AA288" i="1"/>
  <c r="T288" i="1"/>
  <c r="P288" i="1"/>
  <c r="O288" i="1"/>
  <c r="N288" i="1"/>
  <c r="AA283" i="1"/>
  <c r="T283" i="1"/>
  <c r="P283" i="1"/>
  <c r="O283" i="1"/>
  <c r="N283" i="1"/>
  <c r="AA282" i="1"/>
  <c r="T282" i="1"/>
  <c r="P282" i="1"/>
  <c r="O282" i="1"/>
  <c r="N282" i="1"/>
  <c r="AA281" i="1"/>
  <c r="T281" i="1"/>
  <c r="P281" i="1"/>
  <c r="O281" i="1"/>
  <c r="N281" i="1"/>
  <c r="AA280" i="1"/>
  <c r="T280" i="1"/>
  <c r="P280" i="1"/>
  <c r="O280" i="1"/>
  <c r="N280" i="1"/>
  <c r="AA279" i="1"/>
  <c r="T279" i="1"/>
  <c r="P279" i="1"/>
  <c r="O279" i="1"/>
  <c r="N279" i="1"/>
  <c r="AA277" i="1"/>
  <c r="T277" i="1"/>
  <c r="P277" i="1"/>
  <c r="O277" i="1"/>
  <c r="N277" i="1"/>
  <c r="AA276" i="1"/>
  <c r="T276" i="1"/>
  <c r="P276" i="1"/>
  <c r="O276" i="1"/>
  <c r="N276" i="1"/>
  <c r="AA275" i="1"/>
  <c r="T275" i="1"/>
  <c r="P275" i="1"/>
  <c r="O275" i="1"/>
  <c r="N275" i="1"/>
  <c r="AA274" i="1"/>
  <c r="T274" i="1"/>
  <c r="P274" i="1"/>
  <c r="O274" i="1"/>
  <c r="N274" i="1"/>
  <c r="AA273" i="1"/>
  <c r="T273" i="1"/>
  <c r="P273" i="1"/>
  <c r="O273" i="1"/>
  <c r="N273" i="1"/>
  <c r="AA270" i="1"/>
  <c r="T270" i="1"/>
  <c r="P270" i="1"/>
  <c r="O270" i="1"/>
  <c r="N270" i="1"/>
  <c r="AA269" i="1"/>
  <c r="T269" i="1"/>
  <c r="P269" i="1"/>
  <c r="O269" i="1"/>
  <c r="N269" i="1"/>
  <c r="AA268" i="1"/>
  <c r="T268" i="1"/>
  <c r="P268" i="1"/>
  <c r="O268" i="1"/>
  <c r="N268" i="1"/>
  <c r="AA267" i="1"/>
  <c r="T267" i="1"/>
  <c r="P267" i="1"/>
  <c r="O267" i="1"/>
  <c r="N267" i="1"/>
  <c r="AA266" i="1"/>
  <c r="T266" i="1"/>
  <c r="P266" i="1"/>
  <c r="O266" i="1"/>
  <c r="N266" i="1"/>
  <c r="AA265" i="1"/>
  <c r="T265" i="1"/>
  <c r="P265" i="1"/>
  <c r="O265" i="1"/>
  <c r="N265" i="1"/>
  <c r="AA263" i="1"/>
  <c r="T263" i="1"/>
  <c r="P263" i="1"/>
  <c r="O263" i="1"/>
  <c r="N263" i="1"/>
  <c r="AA262" i="1"/>
  <c r="T262" i="1"/>
  <c r="P262" i="1"/>
  <c r="O262" i="1"/>
  <c r="N262" i="1"/>
  <c r="AA261" i="1"/>
  <c r="T261" i="1"/>
  <c r="P261" i="1"/>
  <c r="O261" i="1"/>
  <c r="N261" i="1"/>
  <c r="AA260" i="1"/>
  <c r="T260" i="1"/>
  <c r="P260" i="1"/>
  <c r="O260" i="1"/>
  <c r="N260" i="1"/>
  <c r="AA259" i="1"/>
  <c r="T259" i="1"/>
  <c r="P259" i="1"/>
  <c r="O259" i="1"/>
  <c r="N259" i="1"/>
  <c r="AA258" i="1"/>
  <c r="T258" i="1"/>
  <c r="P258" i="1"/>
  <c r="O258" i="1"/>
  <c r="N258" i="1"/>
  <c r="AA257" i="1"/>
  <c r="T257" i="1"/>
  <c r="P257" i="1"/>
  <c r="O257" i="1"/>
  <c r="N257" i="1"/>
  <c r="AA253" i="1"/>
  <c r="T253" i="1"/>
  <c r="P253" i="1"/>
  <c r="O253" i="1"/>
  <c r="N253" i="1"/>
  <c r="AA252" i="1"/>
  <c r="T252" i="1"/>
  <c r="P252" i="1"/>
  <c r="O252" i="1"/>
  <c r="N252" i="1"/>
  <c r="AA251" i="1"/>
  <c r="T251" i="1"/>
  <c r="P251" i="1"/>
  <c r="O251" i="1"/>
  <c r="N251" i="1"/>
  <c r="AA249" i="1"/>
  <c r="T249" i="1"/>
  <c r="P249" i="1"/>
  <c r="O249" i="1"/>
  <c r="N249" i="1"/>
  <c r="AA248" i="1"/>
  <c r="T248" i="1"/>
  <c r="P248" i="1"/>
  <c r="O248" i="1"/>
  <c r="N248" i="1"/>
  <c r="AA246" i="1"/>
  <c r="T246" i="1"/>
  <c r="P246" i="1"/>
  <c r="O246" i="1"/>
  <c r="N246" i="1"/>
  <c r="AA245" i="1"/>
  <c r="T245" i="1"/>
  <c r="P245" i="1"/>
  <c r="O245" i="1"/>
  <c r="N245" i="1"/>
  <c r="AA244" i="1"/>
  <c r="T244" i="1"/>
  <c r="P244" i="1"/>
  <c r="O244" i="1"/>
  <c r="N244" i="1"/>
  <c r="AA243" i="1"/>
  <c r="T243" i="1"/>
  <c r="P243" i="1"/>
  <c r="O243" i="1"/>
  <c r="N243" i="1"/>
  <c r="AA242" i="1"/>
  <c r="T242" i="1"/>
  <c r="P242" i="1"/>
  <c r="O242" i="1"/>
  <c r="N242" i="1"/>
  <c r="AA241" i="1"/>
  <c r="T241" i="1"/>
  <c r="P241" i="1"/>
  <c r="O241" i="1"/>
  <c r="N241" i="1"/>
  <c r="AA240" i="1"/>
  <c r="T240" i="1"/>
  <c r="P240" i="1"/>
  <c r="O240" i="1"/>
  <c r="N240" i="1"/>
  <c r="AA238" i="1"/>
  <c r="T238" i="1"/>
  <c r="P238" i="1"/>
  <c r="O238" i="1"/>
  <c r="N238" i="1"/>
  <c r="AA234" i="1"/>
  <c r="T234" i="1"/>
  <c r="N234" i="1"/>
  <c r="AA228" i="1"/>
  <c r="T228" i="1"/>
  <c r="P228" i="1"/>
  <c r="O228" i="1"/>
  <c r="N228" i="1"/>
  <c r="AA227" i="1"/>
  <c r="T227" i="1"/>
  <c r="P227" i="1"/>
  <c r="O227" i="1"/>
  <c r="N227" i="1"/>
  <c r="AA225" i="1"/>
  <c r="T225" i="1"/>
  <c r="N225" i="1"/>
  <c r="AA223" i="1"/>
  <c r="T223" i="1"/>
  <c r="P223" i="1"/>
  <c r="O223" i="1"/>
  <c r="N223" i="1"/>
  <c r="AA222" i="1"/>
  <c r="T222" i="1"/>
  <c r="P222" i="1"/>
  <c r="O222" i="1"/>
  <c r="N222" i="1"/>
  <c r="AA221" i="1"/>
  <c r="T221" i="1"/>
  <c r="P221" i="1"/>
  <c r="O221" i="1"/>
  <c r="N221" i="1"/>
  <c r="AA220" i="1"/>
  <c r="T220" i="1"/>
  <c r="P220" i="1"/>
  <c r="O220" i="1"/>
  <c r="N220" i="1"/>
  <c r="AA219" i="1"/>
  <c r="T219" i="1"/>
  <c r="P219" i="1"/>
  <c r="O219" i="1"/>
  <c r="N219" i="1"/>
  <c r="AA218" i="1"/>
  <c r="T218" i="1"/>
  <c r="P218" i="1"/>
  <c r="O218" i="1"/>
  <c r="N218" i="1"/>
  <c r="AA217" i="1"/>
  <c r="T217" i="1"/>
  <c r="P217" i="1"/>
  <c r="O217" i="1"/>
  <c r="N217" i="1"/>
  <c r="AA216" i="1"/>
  <c r="T216" i="1"/>
  <c r="P216" i="1"/>
  <c r="O216" i="1"/>
  <c r="N216" i="1"/>
  <c r="AA215" i="1"/>
  <c r="T215" i="1"/>
  <c r="P215" i="1"/>
  <c r="O215" i="1"/>
  <c r="N215" i="1"/>
  <c r="AA212" i="1"/>
  <c r="T212" i="1"/>
  <c r="P212" i="1"/>
  <c r="O212" i="1"/>
  <c r="N212" i="1"/>
  <c r="AA210" i="1"/>
  <c r="T210" i="1"/>
  <c r="P210" i="1"/>
  <c r="O210" i="1"/>
  <c r="N210" i="1"/>
  <c r="AA209" i="1"/>
  <c r="T209" i="1"/>
  <c r="P209" i="1"/>
  <c r="O209" i="1"/>
  <c r="N209" i="1"/>
  <c r="AA206" i="1"/>
  <c r="T206" i="1"/>
  <c r="N206" i="1"/>
  <c r="AA202" i="1"/>
  <c r="T202" i="1"/>
  <c r="N202" i="1"/>
  <c r="AA197" i="1"/>
  <c r="T197" i="1"/>
  <c r="N197" i="1"/>
  <c r="AA193" i="1"/>
  <c r="T193" i="1"/>
  <c r="P193" i="1"/>
  <c r="O193" i="1"/>
  <c r="N193" i="1"/>
  <c r="AA190" i="1"/>
  <c r="T190" i="1"/>
  <c r="P190" i="1"/>
  <c r="O190" i="1"/>
  <c r="N190" i="1"/>
  <c r="AA186" i="1"/>
  <c r="T186" i="1"/>
  <c r="P186" i="1"/>
  <c r="O186" i="1"/>
  <c r="N186" i="1"/>
  <c r="AA184" i="1"/>
  <c r="T184" i="1"/>
  <c r="P184" i="1"/>
  <c r="O184" i="1"/>
  <c r="N184" i="1"/>
  <c r="AA181" i="1"/>
  <c r="T181" i="1"/>
  <c r="P181" i="1"/>
  <c r="O181" i="1"/>
  <c r="N181" i="1"/>
  <c r="AA179" i="1"/>
  <c r="T179" i="1"/>
  <c r="N179" i="1"/>
  <c r="AA177" i="1"/>
  <c r="T177" i="1"/>
  <c r="P177" i="1"/>
  <c r="O177" i="1"/>
  <c r="N177" i="1"/>
  <c r="AA176" i="1"/>
  <c r="T176" i="1"/>
  <c r="P176" i="1"/>
  <c r="O176" i="1"/>
  <c r="N176" i="1"/>
  <c r="AA175" i="1"/>
  <c r="T175" i="1"/>
  <c r="P175" i="1"/>
  <c r="O175" i="1"/>
  <c r="N175" i="1"/>
  <c r="AA172" i="1"/>
  <c r="T172" i="1"/>
  <c r="P172" i="1"/>
  <c r="O172" i="1"/>
  <c r="N172" i="1"/>
  <c r="AA169" i="1"/>
  <c r="T169" i="1"/>
  <c r="P169" i="1"/>
  <c r="O169" i="1"/>
  <c r="N169" i="1"/>
  <c r="AA166" i="1"/>
  <c r="T166" i="1"/>
  <c r="P166" i="1"/>
  <c r="O166" i="1"/>
  <c r="N166" i="1"/>
  <c r="AA164" i="1"/>
  <c r="T164" i="1"/>
  <c r="N164" i="1"/>
  <c r="AA162" i="1"/>
  <c r="T162" i="1"/>
  <c r="P162" i="1"/>
  <c r="O162" i="1"/>
  <c r="N162" i="1"/>
  <c r="AA161" i="1"/>
  <c r="T161" i="1"/>
  <c r="P161" i="1"/>
  <c r="O161" i="1"/>
  <c r="N161" i="1"/>
  <c r="AA160" i="1"/>
  <c r="T160" i="1"/>
  <c r="P160" i="1"/>
  <c r="O160" i="1"/>
  <c r="N160" i="1"/>
  <c r="AA159" i="1"/>
  <c r="T159" i="1"/>
  <c r="P159" i="1"/>
  <c r="O159" i="1"/>
  <c r="N159" i="1"/>
  <c r="AA156" i="1"/>
  <c r="T156" i="1"/>
  <c r="P156" i="1"/>
  <c r="O156" i="1"/>
  <c r="N156" i="1"/>
  <c r="AA154" i="1"/>
  <c r="T154" i="1"/>
  <c r="P154" i="1"/>
  <c r="O154" i="1"/>
  <c r="N154" i="1"/>
  <c r="AA151" i="1"/>
  <c r="T151" i="1"/>
  <c r="P151" i="1"/>
  <c r="O151" i="1"/>
  <c r="N151" i="1"/>
  <c r="AA150" i="1"/>
  <c r="T150" i="1"/>
  <c r="P150" i="1"/>
  <c r="O150" i="1"/>
  <c r="N150" i="1"/>
  <c r="AA148" i="1"/>
  <c r="T148" i="1"/>
  <c r="P148" i="1"/>
  <c r="O148" i="1"/>
  <c r="N148" i="1"/>
  <c r="AA145" i="1"/>
  <c r="T145" i="1"/>
  <c r="P145" i="1"/>
  <c r="O145" i="1"/>
  <c r="N145" i="1"/>
  <c r="AA144" i="1"/>
  <c r="T144" i="1"/>
  <c r="P144" i="1"/>
  <c r="O144" i="1"/>
  <c r="N144" i="1"/>
  <c r="AA142" i="1"/>
  <c r="T142" i="1"/>
  <c r="P142" i="1"/>
  <c r="O142" i="1"/>
  <c r="N142" i="1"/>
  <c r="AA141" i="1"/>
  <c r="T141" i="1"/>
  <c r="P141" i="1"/>
  <c r="O141" i="1"/>
  <c r="N141" i="1"/>
  <c r="AA140" i="1"/>
  <c r="T140" i="1"/>
  <c r="P140" i="1"/>
  <c r="O140" i="1"/>
  <c r="N140" i="1"/>
  <c r="AA137" i="1"/>
  <c r="T137" i="1"/>
  <c r="P137" i="1"/>
  <c r="O137" i="1"/>
  <c r="N137" i="1"/>
  <c r="AA132" i="1"/>
  <c r="T132" i="1"/>
  <c r="P132" i="1"/>
  <c r="O132" i="1"/>
  <c r="N132" i="1"/>
  <c r="AA130" i="1"/>
  <c r="T130" i="1"/>
  <c r="P130" i="1"/>
  <c r="O130" i="1"/>
  <c r="N130" i="1"/>
  <c r="AA129" i="1"/>
  <c r="T129" i="1"/>
  <c r="P129" i="1"/>
  <c r="O129" i="1"/>
  <c r="N129" i="1"/>
  <c r="AA127" i="1"/>
  <c r="T127" i="1"/>
  <c r="P127" i="1"/>
  <c r="O127" i="1"/>
  <c r="N127" i="1"/>
  <c r="AA125" i="1"/>
  <c r="T125" i="1"/>
  <c r="P125" i="1"/>
  <c r="O125" i="1"/>
  <c r="N125" i="1"/>
  <c r="AA122" i="1"/>
  <c r="T122" i="1"/>
  <c r="P122" i="1"/>
  <c r="O122" i="1"/>
  <c r="N122" i="1"/>
  <c r="AA120" i="1"/>
  <c r="T120" i="1"/>
  <c r="P120" i="1"/>
  <c r="O120" i="1"/>
  <c r="N120" i="1"/>
  <c r="AA117" i="1"/>
  <c r="T117" i="1"/>
  <c r="P117" i="1"/>
  <c r="O117" i="1"/>
  <c r="N117" i="1"/>
  <c r="AA116" i="1"/>
  <c r="T116" i="1"/>
  <c r="P116" i="1"/>
  <c r="O116" i="1"/>
  <c r="N116" i="1"/>
  <c r="AA114" i="1"/>
  <c r="T114" i="1"/>
  <c r="P114" i="1"/>
  <c r="O114" i="1"/>
  <c r="N114" i="1"/>
  <c r="AA111" i="1"/>
  <c r="T111" i="1"/>
  <c r="P111" i="1"/>
  <c r="O111" i="1"/>
  <c r="N111" i="1"/>
  <c r="AA106" i="1"/>
  <c r="T106" i="1"/>
  <c r="P106" i="1"/>
  <c r="O106" i="1"/>
  <c r="N106" i="1"/>
  <c r="AA105" i="1"/>
  <c r="T105" i="1"/>
  <c r="P105" i="1"/>
  <c r="O105" i="1"/>
  <c r="N105" i="1"/>
  <c r="AA103" i="1"/>
  <c r="T103" i="1"/>
  <c r="P103" i="1"/>
  <c r="O103" i="1"/>
  <c r="N103" i="1"/>
  <c r="AA102" i="1"/>
  <c r="T102" i="1"/>
  <c r="P102" i="1"/>
  <c r="O102" i="1"/>
  <c r="N102" i="1"/>
  <c r="AA101" i="1"/>
  <c r="T101" i="1"/>
  <c r="P101" i="1"/>
  <c r="O101" i="1"/>
  <c r="N101" i="1"/>
  <c r="AA100" i="1"/>
  <c r="T100" i="1"/>
  <c r="P100" i="1"/>
  <c r="O100" i="1"/>
  <c r="N100" i="1"/>
  <c r="AA99" i="1"/>
  <c r="T99" i="1"/>
  <c r="P99" i="1"/>
  <c r="O99" i="1"/>
  <c r="N99" i="1"/>
  <c r="AA98" i="1"/>
  <c r="T98" i="1"/>
  <c r="P98" i="1"/>
  <c r="O98" i="1"/>
  <c r="N98" i="1"/>
  <c r="AA97" i="1"/>
  <c r="T97" i="1"/>
  <c r="P97" i="1"/>
  <c r="O97" i="1"/>
  <c r="N97" i="1"/>
  <c r="AA96" i="1"/>
  <c r="T96" i="1"/>
  <c r="P96" i="1"/>
  <c r="O96" i="1"/>
  <c r="N96" i="1"/>
  <c r="AA94" i="1"/>
  <c r="T94" i="1"/>
  <c r="P94" i="1"/>
  <c r="O94" i="1"/>
  <c r="N94" i="1"/>
  <c r="AA93" i="1"/>
  <c r="T93" i="1"/>
  <c r="P93" i="1"/>
  <c r="O93" i="1"/>
  <c r="N93" i="1"/>
  <c r="AA92" i="1"/>
  <c r="T92" i="1"/>
  <c r="P92" i="1"/>
  <c r="O92" i="1"/>
  <c r="N92" i="1"/>
  <c r="AA91" i="1"/>
  <c r="T91" i="1"/>
  <c r="P91" i="1"/>
  <c r="O91" i="1"/>
  <c r="N91" i="1"/>
  <c r="AA90" i="1"/>
  <c r="T90" i="1"/>
  <c r="P90" i="1"/>
  <c r="O90" i="1"/>
  <c r="N90" i="1"/>
  <c r="AA89" i="1"/>
  <c r="T89" i="1"/>
  <c r="P89" i="1"/>
  <c r="O89" i="1"/>
  <c r="N89" i="1"/>
  <c r="AA88" i="1"/>
  <c r="T88" i="1"/>
  <c r="P88" i="1"/>
  <c r="O88" i="1"/>
  <c r="N88" i="1"/>
  <c r="AA83" i="1"/>
  <c r="T83" i="1"/>
  <c r="P83" i="1"/>
  <c r="O83" i="1"/>
  <c r="N83" i="1"/>
  <c r="AA82" i="1"/>
  <c r="T82" i="1"/>
  <c r="P82" i="1"/>
  <c r="O82" i="1"/>
  <c r="N82" i="1"/>
  <c r="AA81" i="1"/>
  <c r="T81" i="1"/>
  <c r="P81" i="1"/>
  <c r="O81" i="1"/>
  <c r="N81" i="1"/>
  <c r="AA80" i="1"/>
  <c r="T80" i="1"/>
  <c r="P80" i="1"/>
  <c r="O80" i="1"/>
  <c r="N80" i="1"/>
  <c r="AA79" i="1"/>
  <c r="T79" i="1"/>
  <c r="P79" i="1"/>
  <c r="O79" i="1"/>
  <c r="N79" i="1"/>
  <c r="AA78" i="1"/>
  <c r="T78" i="1"/>
  <c r="P78" i="1"/>
  <c r="O78" i="1"/>
  <c r="N78" i="1"/>
  <c r="AA77" i="1"/>
  <c r="T77" i="1"/>
  <c r="P77" i="1"/>
  <c r="O77" i="1"/>
  <c r="N77" i="1"/>
  <c r="AA76" i="1"/>
  <c r="T76" i="1"/>
  <c r="P76" i="1"/>
  <c r="O76" i="1"/>
  <c r="N76" i="1"/>
  <c r="AA75" i="1"/>
  <c r="T75" i="1"/>
  <c r="P75" i="1"/>
  <c r="O75" i="1"/>
  <c r="N75" i="1"/>
  <c r="AA74" i="1"/>
  <c r="T74" i="1"/>
  <c r="P74" i="1"/>
  <c r="O74" i="1"/>
  <c r="N74" i="1"/>
  <c r="AA73" i="1"/>
  <c r="T73" i="1"/>
  <c r="P73" i="1"/>
  <c r="O73" i="1"/>
  <c r="N73" i="1"/>
  <c r="AA72" i="1"/>
  <c r="T72" i="1"/>
  <c r="P72" i="1"/>
  <c r="O72" i="1"/>
  <c r="N72" i="1"/>
  <c r="AA71" i="1"/>
  <c r="T71" i="1"/>
  <c r="P71" i="1"/>
  <c r="O71" i="1"/>
  <c r="N71" i="1"/>
  <c r="AA70" i="1"/>
  <c r="T70" i="1"/>
  <c r="P70" i="1"/>
  <c r="O70" i="1"/>
  <c r="N70" i="1"/>
  <c r="AA69" i="1"/>
  <c r="T69" i="1"/>
  <c r="P69" i="1"/>
  <c r="O69" i="1"/>
  <c r="N69" i="1"/>
  <c r="AA68" i="1"/>
  <c r="T68" i="1"/>
  <c r="P68" i="1"/>
  <c r="O68" i="1"/>
  <c r="N68" i="1"/>
  <c r="AA67" i="1"/>
  <c r="T67" i="1"/>
  <c r="P67" i="1"/>
  <c r="O67" i="1"/>
  <c r="N67" i="1"/>
  <c r="AA66" i="1"/>
  <c r="T66" i="1"/>
  <c r="P66" i="1"/>
  <c r="O66" i="1"/>
  <c r="N66" i="1"/>
  <c r="AA65" i="1"/>
  <c r="T65" i="1"/>
  <c r="P65" i="1"/>
  <c r="O65" i="1"/>
  <c r="N65" i="1"/>
  <c r="AA63" i="1"/>
  <c r="T63" i="1"/>
  <c r="P63" i="1"/>
  <c r="O63" i="1"/>
  <c r="N63" i="1"/>
  <c r="AA62" i="1"/>
  <c r="T62" i="1"/>
  <c r="P62" i="1"/>
  <c r="O62" i="1"/>
  <c r="N62" i="1"/>
  <c r="AA60" i="1"/>
  <c r="T60" i="1"/>
  <c r="P60" i="1"/>
  <c r="O60" i="1"/>
  <c r="N60" i="1"/>
  <c r="AA57" i="1"/>
  <c r="T57" i="1"/>
  <c r="P57" i="1"/>
  <c r="O57" i="1"/>
  <c r="N57" i="1"/>
  <c r="AA56" i="1"/>
  <c r="T56" i="1"/>
  <c r="P56" i="1"/>
  <c r="O56" i="1"/>
  <c r="N56" i="1"/>
  <c r="AA55" i="1"/>
  <c r="T55" i="1"/>
  <c r="P55" i="1"/>
  <c r="O55" i="1"/>
  <c r="N55" i="1"/>
  <c r="AA54" i="1"/>
  <c r="T54" i="1"/>
  <c r="P54" i="1"/>
  <c r="O54" i="1"/>
  <c r="N54" i="1"/>
  <c r="AA53" i="1"/>
  <c r="T53" i="1"/>
  <c r="P53" i="1"/>
  <c r="O53" i="1"/>
  <c r="N53" i="1"/>
  <c r="AA51" i="1"/>
  <c r="T51" i="1"/>
  <c r="P51" i="1"/>
  <c r="O51" i="1"/>
  <c r="N51" i="1"/>
  <c r="AA50" i="1"/>
  <c r="T50" i="1"/>
  <c r="P50" i="1"/>
  <c r="O50" i="1"/>
  <c r="N50" i="1"/>
  <c r="AA48" i="1"/>
  <c r="T48" i="1"/>
  <c r="P48" i="1"/>
  <c r="O48" i="1"/>
  <c r="N48" i="1"/>
  <c r="AA47" i="1"/>
  <c r="T47" i="1"/>
  <c r="P47" i="1"/>
  <c r="O47" i="1"/>
  <c r="N47" i="1"/>
  <c r="AA46" i="1"/>
  <c r="T46" i="1"/>
  <c r="P46" i="1"/>
  <c r="O46" i="1"/>
  <c r="N46" i="1"/>
  <c r="AA45" i="1"/>
  <c r="T45" i="1"/>
  <c r="P45" i="1"/>
  <c r="O45" i="1"/>
  <c r="N45" i="1"/>
  <c r="AA44" i="1"/>
  <c r="T44" i="1"/>
  <c r="P44" i="1"/>
  <c r="O44" i="1"/>
  <c r="N44" i="1"/>
  <c r="AA42" i="1"/>
  <c r="T42" i="1"/>
  <c r="P42" i="1"/>
  <c r="O42" i="1"/>
  <c r="N42" i="1"/>
  <c r="AA41" i="1"/>
  <c r="T41" i="1"/>
  <c r="P41" i="1"/>
  <c r="O41" i="1"/>
  <c r="N41" i="1"/>
  <c r="AA40" i="1"/>
  <c r="T40" i="1"/>
  <c r="P40" i="1"/>
  <c r="O40" i="1"/>
  <c r="N40" i="1"/>
  <c r="AA38" i="1"/>
  <c r="T38" i="1"/>
  <c r="P38" i="1"/>
  <c r="O38" i="1"/>
  <c r="N38" i="1"/>
  <c r="AA37" i="1"/>
  <c r="T37" i="1"/>
  <c r="P37" i="1"/>
  <c r="O37" i="1"/>
  <c r="N37" i="1"/>
  <c r="AA36" i="1"/>
  <c r="T36" i="1"/>
  <c r="P36" i="1"/>
  <c r="O36" i="1"/>
  <c r="N36" i="1"/>
  <c r="AA35" i="1"/>
  <c r="T35" i="1"/>
  <c r="P35" i="1"/>
  <c r="O35" i="1"/>
  <c r="N35" i="1"/>
  <c r="AA34" i="1"/>
  <c r="T34" i="1"/>
  <c r="P34" i="1"/>
  <c r="O34" i="1"/>
  <c r="N34" i="1"/>
  <c r="AA33" i="1"/>
  <c r="T33" i="1"/>
  <c r="P33" i="1"/>
  <c r="O33" i="1"/>
  <c r="N33" i="1"/>
  <c r="AA32" i="1"/>
  <c r="T32" i="1"/>
  <c r="P32" i="1"/>
  <c r="O32" i="1"/>
  <c r="N32" i="1"/>
  <c r="AA30" i="1"/>
  <c r="T30" i="1"/>
  <c r="P30" i="1"/>
  <c r="O30" i="1"/>
  <c r="N30" i="1"/>
  <c r="AA29" i="1"/>
  <c r="T29" i="1"/>
  <c r="P29" i="1"/>
  <c r="O29" i="1"/>
  <c r="N29" i="1"/>
  <c r="AA28" i="1"/>
  <c r="T28" i="1"/>
  <c r="P28" i="1"/>
  <c r="O28" i="1"/>
  <c r="N28" i="1"/>
  <c r="AA27" i="1"/>
  <c r="T27" i="1"/>
  <c r="P27" i="1"/>
  <c r="O27" i="1"/>
  <c r="N27" i="1"/>
  <c r="AA26" i="1"/>
  <c r="T26" i="1"/>
  <c r="P26" i="1"/>
  <c r="O26" i="1"/>
  <c r="N26" i="1"/>
  <c r="AA25" i="1"/>
  <c r="T25" i="1"/>
  <c r="P25" i="1"/>
  <c r="O25" i="1"/>
  <c r="N25" i="1"/>
  <c r="AA21" i="1"/>
  <c r="T21" i="1"/>
  <c r="P21" i="1"/>
  <c r="O21" i="1"/>
  <c r="N21" i="1"/>
  <c r="AA20" i="1"/>
  <c r="T20" i="1"/>
  <c r="P20" i="1"/>
  <c r="O20" i="1"/>
  <c r="N20" i="1"/>
  <c r="AA18" i="1"/>
  <c r="T18" i="1"/>
  <c r="P18" i="1"/>
  <c r="O18" i="1"/>
  <c r="N18" i="1"/>
  <c r="AA15" i="1"/>
  <c r="T15" i="1"/>
  <c r="P15" i="1"/>
  <c r="O15" i="1"/>
  <c r="N15" i="1"/>
  <c r="AA14" i="1"/>
  <c r="T14" i="1"/>
  <c r="P14" i="1"/>
  <c r="O14" i="1"/>
  <c r="N14" i="1"/>
  <c r="AA13" i="1"/>
  <c r="T13" i="1"/>
  <c r="P13" i="1"/>
  <c r="O13" i="1"/>
  <c r="N13" i="1"/>
  <c r="AA11" i="1"/>
  <c r="T11" i="1"/>
  <c r="P11" i="1"/>
  <c r="O11" i="1"/>
  <c r="N11" i="1"/>
  <c r="P4" i="1" l="1"/>
  <c r="O4" i="1"/>
  <c r="N4" i="1"/>
</calcChain>
</file>

<file path=xl/sharedStrings.xml><?xml version="1.0" encoding="utf-8"?>
<sst xmlns="http://schemas.openxmlformats.org/spreadsheetml/2006/main" count="51001" uniqueCount="22724">
  <si>
    <t>Прайс-лист</t>
  </si>
  <si>
    <t>21.09.2026</t>
  </si>
  <si>
    <t>ООО "МИЛЕНД"</t>
  </si>
  <si>
    <t>Номер</t>
  </si>
  <si>
    <t>Код</t>
  </si>
  <si>
    <t>Наименование</t>
  </si>
  <si>
    <t>Артикул</t>
  </si>
  <si>
    <t>Общее
кол-во</t>
  </si>
  <si>
    <t>Изображение</t>
  </si>
  <si>
    <t>Минимальный Заказ</t>
  </si>
  <si>
    <t>Цена</t>
  </si>
  <si>
    <t>ЗАКАЗ</t>
  </si>
  <si>
    <t>Сумма заказа</t>
  </si>
  <si>
    <t>Масса</t>
  </si>
  <si>
    <t>Объем</t>
  </si>
  <si>
    <t>Новинка</t>
  </si>
  <si>
    <t>Штрихкод</t>
  </si>
  <si>
    <t>Статус печати</t>
  </si>
  <si>
    <t>Картинка на сайте</t>
  </si>
  <si>
    <t>КодОКП</t>
  </si>
  <si>
    <t>КодОКПД2</t>
  </si>
  <si>
    <t>КодТНВЭД</t>
  </si>
  <si>
    <t>Маркировка "Честный Знак"</t>
  </si>
  <si>
    <t>Подлежит маркировке Честный знак</t>
  </si>
  <si>
    <t>ПП_GTIN</t>
  </si>
  <si>
    <t>Ссылка на сайт</t>
  </si>
  <si>
    <t>Страна происхождения</t>
  </si>
  <si>
    <t>Формат (строкой)</t>
  </si>
  <si>
    <t>ШК (справочно)</t>
  </si>
  <si>
    <t>05. ГК Проф-Пресс ООО "Миленд"  ТОВАРЫ ДЛЯ ПРАЗДНИКА</t>
  </si>
  <si>
    <t>00 НОВЫЙ ГОД. СУВЕНИРЫ, УПАКОВКА, ПОСУДА 2027</t>
  </si>
  <si>
    <t>01 СИМВОЛ ГОДА 2027</t>
  </si>
  <si>
    <t>Брелоки из полирезины</t>
  </si>
  <si>
    <t>272638</t>
  </si>
  <si>
    <t>Брелок из полирезины  "Символ 2027-Овца"  4х4,5 см 12 шт в ш/б (4 диз.по 3 шт.) (собс.разр) Т-2148</t>
  </si>
  <si>
    <t>Т-2148</t>
  </si>
  <si>
    <t>МНОГО</t>
  </si>
  <si>
    <t>НОВИНКА</t>
  </si>
  <si>
    <t>4680942621196</t>
  </si>
  <si>
    <t>32.13.10.190</t>
  </si>
  <si>
    <t>7117900000</t>
  </si>
  <si>
    <t>Не подлежит маркировке ЧЗ</t>
  </si>
  <si>
    <t>КИТАЙ</t>
  </si>
  <si>
    <t>Календари</t>
  </si>
  <si>
    <t>272004</t>
  </si>
  <si>
    <t>Календарь карманный 65х95 мм "Новогодние Козочки/Барашки " кр.20 шт "Собственная разработка" КК-1782</t>
  </si>
  <si>
    <t>КК-1782</t>
  </si>
  <si>
    <t>4680942617823</t>
  </si>
  <si>
    <t>58.19.13.120</t>
  </si>
  <si>
    <t>4910000000</t>
  </si>
  <si>
    <t>РОССИЯ</t>
  </si>
  <si>
    <t>271895</t>
  </si>
  <si>
    <t>Календарь-трансформер Символ Года 2027 "Времена года" (собс.разр) КУБ-7986</t>
  </si>
  <si>
    <t>КУБ-7986</t>
  </si>
  <si>
    <t>4640520779862</t>
  </si>
  <si>
    <t>271894</t>
  </si>
  <si>
    <t>Календарь-трансформер Символ Года 2027 "Гороскопы" (собс.разр) КУБ-7985</t>
  </si>
  <si>
    <t>КУБ-7985</t>
  </si>
  <si>
    <t>4640520779855</t>
  </si>
  <si>
    <t>Магниты</t>
  </si>
  <si>
    <t>Виниловые магниты</t>
  </si>
  <si>
    <t>267320</t>
  </si>
  <si>
    <t>Виниловый магнит 65,5х77 мм "Новогодние козочки/ барашки " кр.10 шт, НУ-7768</t>
  </si>
  <si>
    <t>НУ-7768</t>
  </si>
  <si>
    <t>4640520776755</t>
  </si>
  <si>
    <t>Полирезиновые</t>
  </si>
  <si>
    <t>272655</t>
  </si>
  <si>
    <t>Магниты из полирезины Символ достатка, 7 см, 12 шт в кор (4 диз. по 3 шт.) соб.раз ННУ-2113</t>
  </si>
  <si>
    <t>ННУ-2113</t>
  </si>
  <si>
    <t>4680942621134</t>
  </si>
  <si>
    <t>3926400000</t>
  </si>
  <si>
    <t>272662</t>
  </si>
  <si>
    <t>Магниты из полирезины Символ удачи, 7 см, 12 шт в кор (4 диз. по 3 шт.) соб.раз ННУ-2114</t>
  </si>
  <si>
    <t>ННУ-2114</t>
  </si>
  <si>
    <t>4680942621141</t>
  </si>
  <si>
    <t>Новогодний декор</t>
  </si>
  <si>
    <t>Декоративные фигуры</t>
  </si>
  <si>
    <t>Немузыкальные</t>
  </si>
  <si>
    <t>269110</t>
  </si>
  <si>
    <t>Новогодняя фигура "Барашек в пиджаке", 36 см, НФ-0116</t>
  </si>
  <si>
    <t>НФ-0116</t>
  </si>
  <si>
    <t>4680942601167</t>
  </si>
  <si>
    <t>9505109000</t>
  </si>
  <si>
    <t>269111</t>
  </si>
  <si>
    <t>Новогодняя фигура "Овечка в пиджаке", 36 см, НФ-0117</t>
  </si>
  <si>
    <t>НФ-0117</t>
  </si>
  <si>
    <t>4680942601174</t>
  </si>
  <si>
    <t>269072</t>
  </si>
  <si>
    <t>Новогодняя фигура "Овечка в шпагате", 20 см, НФ-0096</t>
  </si>
  <si>
    <t>НФ-0096</t>
  </si>
  <si>
    <t>4680942600962</t>
  </si>
  <si>
    <t>269109</t>
  </si>
  <si>
    <t>Новогодняя фигура "Стильная овечка", 33 см, НФ-0115</t>
  </si>
  <si>
    <t>НФ-0115</t>
  </si>
  <si>
    <t>4680942601150</t>
  </si>
  <si>
    <t>269108</t>
  </si>
  <si>
    <t>Новогодняя фигура "Стильный барашек", 33 см, НФ-0114</t>
  </si>
  <si>
    <t>НФ-0114</t>
  </si>
  <si>
    <t>4680942601143</t>
  </si>
  <si>
    <t>269079</t>
  </si>
  <si>
    <t>Новогодняя фигура "Счастливая овечка", 30 см, НФ-0099</t>
  </si>
  <si>
    <t>НФ-0099</t>
  </si>
  <si>
    <t>4680942600993</t>
  </si>
  <si>
    <t>Статуэтки из полирезины</t>
  </si>
  <si>
    <t>272630</t>
  </si>
  <si>
    <t>Статуэтка — фигурка из полирезины новогодняя Баран с монетами, 8 см, соб.раз Т-2143</t>
  </si>
  <si>
    <t>Т-2143</t>
  </si>
  <si>
    <t>4680942621295</t>
  </si>
  <si>
    <t>272629</t>
  </si>
  <si>
    <t>Статуэтка — фигурка из полирезины новогодняя Баран с подковой, 7,5 см, соб.раз Т-2142</t>
  </si>
  <si>
    <t>Т-2142</t>
  </si>
  <si>
    <t>4680942621288</t>
  </si>
  <si>
    <t>272634</t>
  </si>
  <si>
    <t>Статуэтка — фигурка из полирезины новогодняя Забавные овечки, 8 см, соб.раз Т-2147</t>
  </si>
  <si>
    <t>Т-2147</t>
  </si>
  <si>
    <t>4680942621332</t>
  </si>
  <si>
    <t>272627</t>
  </si>
  <si>
    <t>Статуэтка — фигурка из полирезины новогодняя Козёл с мешком, 6 см, соб.раз Т-2141</t>
  </si>
  <si>
    <t>Т-2141</t>
  </si>
  <si>
    <t>4680942621271</t>
  </si>
  <si>
    <t>272623</t>
  </si>
  <si>
    <t>Статуэтка — фигурка из полирезины новогодняя Козёл с сундуком, 7 см, соб.разТ-2140</t>
  </si>
  <si>
    <t>Т-2140</t>
  </si>
  <si>
    <t>4680942621264</t>
  </si>
  <si>
    <t>272633</t>
  </si>
  <si>
    <t>Статуэтка — фигурка из полирезины новогодняя Овечка в сундуке, 6 см, соб.раз Т-2146</t>
  </si>
  <si>
    <t>Т-2146</t>
  </si>
  <si>
    <t>4680942621325</t>
  </si>
  <si>
    <t>272631</t>
  </si>
  <si>
    <t>Статуэтка — фигурка из полирезины новогодняя Овечка с подарками, 7 см, соб.раз Т-2144</t>
  </si>
  <si>
    <t>Т-2144</t>
  </si>
  <si>
    <t>4680942621301</t>
  </si>
  <si>
    <t>Интерьерные наклейки</t>
  </si>
  <si>
    <t>271488</t>
  </si>
  <si>
    <t>Новогоднее оконное украшение с раскраской "Козлик с ёлочкой", 30*40см, соб/разраб. НУ-6382</t>
  </si>
  <si>
    <t>НУ-6382</t>
  </si>
  <si>
    <t>4680942615799</t>
  </si>
  <si>
    <t>271485</t>
  </si>
  <si>
    <t>Новогоднее оконное украшение с раскраской "Козлик с подарками", 30*40см, соб/разраб. НУ-6380</t>
  </si>
  <si>
    <t>НУ-6380</t>
  </si>
  <si>
    <t>4680942615775</t>
  </si>
  <si>
    <t>271487</t>
  </si>
  <si>
    <t>Новогоднее оконное украшение с раскраской "Овечка снегурочка", 30*40см, соб/разраб. НУ-6381</t>
  </si>
  <si>
    <t>НУ-6381</t>
  </si>
  <si>
    <t>4680942615782</t>
  </si>
  <si>
    <t>Интерьерные наклейки светящиеся</t>
  </si>
  <si>
    <t>271481</t>
  </si>
  <si>
    <t>Наклейки оформительские, светящиеся в темноте, с раскраской из ПВХ "Волшебный козел" 21*30см НУ-6377</t>
  </si>
  <si>
    <t>НУ-6377</t>
  </si>
  <si>
    <t>4680942615744</t>
  </si>
  <si>
    <t>271478</t>
  </si>
  <si>
    <t>Наклейки оформительские,светящиеся в темноте,с раскраской из ПВХ "Новогодний козлик" 15*21см НУ-6375</t>
  </si>
  <si>
    <t>НУ-6375</t>
  </si>
  <si>
    <t>4680942615720</t>
  </si>
  <si>
    <t>271479</t>
  </si>
  <si>
    <t>Наклейки оформительские,светящиеся в темноте,с раскраской из ПВХ "Новогодняя козочка"15*21см НУ-6376</t>
  </si>
  <si>
    <t>НУ-6376</t>
  </si>
  <si>
    <t>4680942615737</t>
  </si>
  <si>
    <t>271482</t>
  </si>
  <si>
    <t>Наклейки оформительские,светящиеся в темноте,с раскраской из ПВХ "Сказочный козлик" 21*30см НУ-6378</t>
  </si>
  <si>
    <t>НУ-6378</t>
  </si>
  <si>
    <t>4680942615751</t>
  </si>
  <si>
    <t>271483</t>
  </si>
  <si>
    <t>Наклейки оформительские,светящиеся в темноте,с раскраской из ПВХ"Новогодний козленок"30*42см НУ-6379</t>
  </si>
  <si>
    <t>НУ-6379</t>
  </si>
  <si>
    <t>4680942615768</t>
  </si>
  <si>
    <t>Светильники</t>
  </si>
  <si>
    <t>266876</t>
  </si>
  <si>
    <t>Светильник декоративный "Милая овечка", белый, пластик на батарейках 3*LR44, 9х9 см СВП-0203</t>
  </si>
  <si>
    <t>СВП-0203</t>
  </si>
  <si>
    <t>4640520775024</t>
  </si>
  <si>
    <t>9405210012</t>
  </si>
  <si>
    <t>Да</t>
  </si>
  <si>
    <t>Подлежит как Радиоэлектроника с 1 мая 2026</t>
  </si>
  <si>
    <t>04640520775024</t>
  </si>
  <si>
    <t>266882</t>
  </si>
  <si>
    <t>Светильник декоративный "Милый барашек", белый,пластик, на батарейках 3*LR44, 10х7,5 см СВП-0208</t>
  </si>
  <si>
    <t>СВП-0208</t>
  </si>
  <si>
    <t>4640520775079</t>
  </si>
  <si>
    <t>04640520775079</t>
  </si>
  <si>
    <t>Снежные шары</t>
  </si>
  <si>
    <t>272704</t>
  </si>
  <si>
    <t>Новогодний сувенир Снежный шар Барашек с ёлочкой, 4,5 см, соб.раз НСШ-2104</t>
  </si>
  <si>
    <t>НСШ-2104</t>
  </si>
  <si>
    <t>4680942621042</t>
  </si>
  <si>
    <t>7013990000</t>
  </si>
  <si>
    <t>272702</t>
  </si>
  <si>
    <t>Новогодний сувенир Снежный шар Барашек с подарком, 4,5 см, соб.раз НСШ-2103</t>
  </si>
  <si>
    <t>НСШ-2103</t>
  </si>
  <si>
    <t>4680942621035</t>
  </si>
  <si>
    <t>272701</t>
  </si>
  <si>
    <t>Новогодний сувенир Снежный шар Новогодний барашек, 4,5 см, соб.раз НСШ-2102</t>
  </si>
  <si>
    <t>НСШ-2102</t>
  </si>
  <si>
    <t>4680942621028</t>
  </si>
  <si>
    <t>272697</t>
  </si>
  <si>
    <t>Новогодний сувенир Снежный шар Овечка с ёлкой, 6,5 см, соб.раз НСШ-2099</t>
  </si>
  <si>
    <t>НСШ-2099</t>
  </si>
  <si>
    <t>4680942620991</t>
  </si>
  <si>
    <t>272696</t>
  </si>
  <si>
    <t>Новогодний сувенир Снежный шар Символ года, 6,5 см, соб.раз НСШ-2098</t>
  </si>
  <si>
    <t>НСШ-2098</t>
  </si>
  <si>
    <t>4680942620984</t>
  </si>
  <si>
    <t>Товары с предсказаниями</t>
  </si>
  <si>
    <t>Капсулы с предсказаниями, фантами, пожеланиями</t>
  </si>
  <si>
    <t>270433</t>
  </si>
  <si>
    <t>Новогодние витамины СИМВОЛ года КОЗА в капсулах (3 в 1) НЖ-0716</t>
  </si>
  <si>
    <t>НЖ-0716</t>
  </si>
  <si>
    <t>4680942607169</t>
  </si>
  <si>
    <t>32.99.51.119</t>
  </si>
  <si>
    <t>Коробочки с предсказаниями</t>
  </si>
  <si>
    <t>270130</t>
  </si>
  <si>
    <t>Коробочка с предсказ."Предсказания от Барашка, которые ты заслужил""Собств. раз." (20 свит) КП-0724</t>
  </si>
  <si>
    <t>КП-0724</t>
  </si>
  <si>
    <t>4680942607244</t>
  </si>
  <si>
    <t>270129</t>
  </si>
  <si>
    <t>Коробочка с предсказаниями "Предсказания от Барашка" "Собств. раз." (20 свитков) КП-0723</t>
  </si>
  <si>
    <t>КП-0723</t>
  </si>
  <si>
    <t>4680942607237</t>
  </si>
  <si>
    <t>Подвески с предсказанием под скретч слоем</t>
  </si>
  <si>
    <t>267203</t>
  </si>
  <si>
    <t>Подвеска с предсказ. под скретч слоем(100х80мм) "Козочки и овечки",соб.разр,18 шт в ш/б, НУ-7690</t>
  </si>
  <si>
    <t>НУ-7690</t>
  </si>
  <si>
    <t>267208</t>
  </si>
  <si>
    <t>Подвеска с предсказанием под скретч слоем Девочка с овечкой, 100х80мм, собст.разр., НУ-7695</t>
  </si>
  <si>
    <t>НУ-7695</t>
  </si>
  <si>
    <t>4640520776427</t>
  </si>
  <si>
    <t>267204</t>
  </si>
  <si>
    <t>Подвеска с предсказанием под скретч слоем Козочка на подушке, 100х80мм, собст.разр., НУ-7691</t>
  </si>
  <si>
    <t>НУ-7691</t>
  </si>
  <si>
    <t>4640520776380</t>
  </si>
  <si>
    <t>267209</t>
  </si>
  <si>
    <t>Подвеска с предсказанием под скретч слоем Козочка с венком, 100х80мм, собст.разр., НУ-7696</t>
  </si>
  <si>
    <t>НУ-7696</t>
  </si>
  <si>
    <t>4640520776434</t>
  </si>
  <si>
    <t>267206</t>
  </si>
  <si>
    <t>Подвеска с предсказанием под скретч слоем Козочка с подарком, 100х80мм, собст.разр., НУ-7693</t>
  </si>
  <si>
    <t>НУ-7693</t>
  </si>
  <si>
    <t>4640520776403</t>
  </si>
  <si>
    <t>267207</t>
  </si>
  <si>
    <t>Подвеска с предсказанием под скретч слоем Козочки в шапках, 100х80мм, собст.разр., НУ-7694</t>
  </si>
  <si>
    <t>НУ-7694</t>
  </si>
  <si>
    <t>4640520776410</t>
  </si>
  <si>
    <t>267210</t>
  </si>
  <si>
    <t>Подвеска с предсказанием под скретч слоем Овечка в костюме, 100х80мм, собст.разр., НУ-7697</t>
  </si>
  <si>
    <t>НУ-7697</t>
  </si>
  <si>
    <t>4640520776441</t>
  </si>
  <si>
    <t>267205</t>
  </si>
  <si>
    <t>Подвеска с предсказанием под скретч слоем Овечка в шапке, 100х80мм, собст.разр., НУ-7692</t>
  </si>
  <si>
    <t>НУ-7692</t>
  </si>
  <si>
    <t>4640520776397</t>
  </si>
  <si>
    <t>267220</t>
  </si>
  <si>
    <t>Подвеска с предсказанием под скретч слоем Овечка и подарок, 100х80мм, собст.разр., НУ-7766</t>
  </si>
  <si>
    <t>НУ-7766</t>
  </si>
  <si>
    <t>4640520776540</t>
  </si>
  <si>
    <t>267213</t>
  </si>
  <si>
    <t>Подвеска с предсказанием под скретч слоем Овечка и снежок, 100х80мм, собст.разр., НУ-7700</t>
  </si>
  <si>
    <t>НУ-7700</t>
  </si>
  <si>
    <t>4640520776472</t>
  </si>
  <si>
    <t>267221</t>
  </si>
  <si>
    <t>Подвеска с предсказанием под скретч слоем Овечка на льду, 100х80мм, собст.разр., НУ-7767</t>
  </si>
  <si>
    <t>НУ-7767</t>
  </si>
  <si>
    <t>4640520776557</t>
  </si>
  <si>
    <t>267219</t>
  </si>
  <si>
    <t>Подвеска с предсказанием под скретч слоем Овечка с бантиком, 100х80мм, собст.разр., НУ-7765</t>
  </si>
  <si>
    <t>НУ-7765</t>
  </si>
  <si>
    <t>4640520776533</t>
  </si>
  <si>
    <t>267212</t>
  </si>
  <si>
    <t>Подвеска с предсказанием под скретч слоем Овечка с гитарой, 100х80мм, собст.разр., НУ-7699</t>
  </si>
  <si>
    <t>НУ-7699</t>
  </si>
  <si>
    <t>4640520776465</t>
  </si>
  <si>
    <t>267218</t>
  </si>
  <si>
    <t>Подвеска с предсказанием под скретч слоем Овечка с елкой, 100х80мм, собст.разр., НУ-7764</t>
  </si>
  <si>
    <t>НУ-7764</t>
  </si>
  <si>
    <t>4640520776526</t>
  </si>
  <si>
    <t>267214</t>
  </si>
  <si>
    <t>Подвеска с предсказанием под скретч слоем Овечка с подарками, 100х80мм, собст.разр., НУ-7701</t>
  </si>
  <si>
    <t>НУ-7701</t>
  </si>
  <si>
    <t>4640520776489</t>
  </si>
  <si>
    <t>267216</t>
  </si>
  <si>
    <t>Подвеска с предсказанием под скретч слоем Овечка с фонарем, 100х80мм, собст.разр., НУ-7703</t>
  </si>
  <si>
    <t>НУ-7703</t>
  </si>
  <si>
    <t>4640520776502</t>
  </si>
  <si>
    <t>267215</t>
  </si>
  <si>
    <t>Подвеска с предсказанием под скретч слоем Овечка со звездой, 100х80мм, собст.разр., НУ-7702</t>
  </si>
  <si>
    <t>НУ-7702</t>
  </si>
  <si>
    <t>4640520776496</t>
  </si>
  <si>
    <t>267211</t>
  </si>
  <si>
    <t>Подвеска с предсказанием под скретч слоем Овечка у елки, 100х80мм, собст.разр., НУ-7698</t>
  </si>
  <si>
    <t>НУ-7698</t>
  </si>
  <si>
    <t>4640520776458</t>
  </si>
  <si>
    <t>267217</t>
  </si>
  <si>
    <t>Подвеска с предсказанием под скретч слоем Овечки и снеговик, 100х80мм, собст.разр., НУ-7704</t>
  </si>
  <si>
    <t>НУ-7704</t>
  </si>
  <si>
    <t>4640520776519</t>
  </si>
  <si>
    <t>Украшения на елку</t>
  </si>
  <si>
    <t>Подвески</t>
  </si>
  <si>
    <t>Подвески из дерева</t>
  </si>
  <si>
    <t>Двухслойные</t>
  </si>
  <si>
    <t>272482</t>
  </si>
  <si>
    <t>Набор двухслойн. подвесок из дерева "Счастливый символ года" соб.разр. 6шт НУ-2052</t>
  </si>
  <si>
    <t>НУ-2052</t>
  </si>
  <si>
    <t>4680942619810</t>
  </si>
  <si>
    <t>4420100000</t>
  </si>
  <si>
    <t>272508</t>
  </si>
  <si>
    <t>Новогодняя ёлочная подвеска из дерева двухслойн "Баран Богатства" 9 см(собс.разр.) НУ-2064</t>
  </si>
  <si>
    <t>НУ-2064</t>
  </si>
  <si>
    <t>4680942619933</t>
  </si>
  <si>
    <t>Нет</t>
  </si>
  <si>
    <t>272526</t>
  </si>
  <si>
    <t>Новогодняя ёлочная подвеска из дерева двухслойн "Баран Достатка" 9 см(собс.разр.) НУ-2068</t>
  </si>
  <si>
    <t>НУ-2068</t>
  </si>
  <si>
    <t>4680942619971</t>
  </si>
  <si>
    <t>272509</t>
  </si>
  <si>
    <t>Новогодняя ёлочная подвеска из дерева двухслойн "Баран Удачи" 9 см(собс.разр.) НУ-2065</t>
  </si>
  <si>
    <t>НУ-2065</t>
  </si>
  <si>
    <t>4680942619940</t>
  </si>
  <si>
    <t>272515</t>
  </si>
  <si>
    <t>Новогодняя ёлочная подвеска из дерева двухслойн "Баран Успехов" 9 см(собс.разр.) НУ-2067</t>
  </si>
  <si>
    <t>НУ-2067</t>
  </si>
  <si>
    <t>4680942619964</t>
  </si>
  <si>
    <t>272510</t>
  </si>
  <si>
    <t>Новогодняя ёлочная подвеска из дерева двухслойн "Козочка Любви" 9 см(собс.разр.) НУ-2066</t>
  </si>
  <si>
    <t>НУ-2066</t>
  </si>
  <si>
    <t>4680942619957</t>
  </si>
  <si>
    <t>272507</t>
  </si>
  <si>
    <t>Новогодняя ёлочная подвеска из дерева двухслойн "Овца Удачи" 9 см(собс.разр.) НУ-2063</t>
  </si>
  <si>
    <t>НУ-2063</t>
  </si>
  <si>
    <t>4680942619926</t>
  </si>
  <si>
    <t>Двухсторонние</t>
  </si>
  <si>
    <t>275619</t>
  </si>
  <si>
    <t>Набор новогодних ёлочных подвесок "Добрый символ года"6шт.Модель из дерева. 2-х стор.соб.раз. 127172</t>
  </si>
  <si>
    <t>127172</t>
  </si>
  <si>
    <t>4680788242388</t>
  </si>
  <si>
    <t>275613</t>
  </si>
  <si>
    <t>Новогодняя ёлочная подвеска "Баран с подарками"10см.Модель из дерева. 2-х стор. (соб.раз.) 127166</t>
  </si>
  <si>
    <t>127166</t>
  </si>
  <si>
    <t>4680788242326</t>
  </si>
  <si>
    <t>275614</t>
  </si>
  <si>
    <t>Новогодняя ёлочная подвеска "Козочка с шариком" 9см.Модель из дерева. 2-х стор. (соб.раз.) 127167</t>
  </si>
  <si>
    <t>127167</t>
  </si>
  <si>
    <t>4680788242333</t>
  </si>
  <si>
    <t>275618</t>
  </si>
  <si>
    <t>Новогодняя ёлочная подвеска "Овечка и монетки"9см.Модель из дерева. 2-х стор.(соб.раз.) 127171</t>
  </si>
  <si>
    <t>127171</t>
  </si>
  <si>
    <t>4680788242371</t>
  </si>
  <si>
    <t>275615</t>
  </si>
  <si>
    <t>Новогодняя ёлочная подвеска "Овечка и снежинка" 9см.Модель из дерева. 2-х стор. (соб.раз.) 127168</t>
  </si>
  <si>
    <t>127168</t>
  </si>
  <si>
    <t>4680788242340</t>
  </si>
  <si>
    <t>275616</t>
  </si>
  <si>
    <t>Новогодняя ёлочная подвеска "Овечка с подарками" 9см.Модель из дерева. 2-х стор.(соб.раз.) 127169</t>
  </si>
  <si>
    <t>127169</t>
  </si>
  <si>
    <t>4680788242357</t>
  </si>
  <si>
    <t>275612</t>
  </si>
  <si>
    <t>Новогодняя ёлочная подвеска "Овечка снегурочка"10см.Модель из дерева. 2-х стор. (соб.раз.) 127165</t>
  </si>
  <si>
    <t>127165</t>
  </si>
  <si>
    <t>4680788242302</t>
  </si>
  <si>
    <t>275610</t>
  </si>
  <si>
    <t>Новогодняя ёлочная подвеска"Баран с мандаринами" 10см.Модель из дерева. 2-х стор. (соб.раз.) 127163</t>
  </si>
  <si>
    <t>127163</t>
  </si>
  <si>
    <t>4680788242289</t>
  </si>
  <si>
    <t>Подвески из полирезины</t>
  </si>
  <si>
    <t>272611</t>
  </si>
  <si>
    <t>Новогоднее украшение Полирезиновая подвеска Барашек в шарфике, 6,5 см, соб.раз НУП-2060</t>
  </si>
  <si>
    <t>НУП-2060</t>
  </si>
  <si>
    <t>4680942620601</t>
  </si>
  <si>
    <t>272608</t>
  </si>
  <si>
    <t>Новогоднее украшение Полирезиновая подвеска Милый барашек, 7 см, соб.раз НУП-2059</t>
  </si>
  <si>
    <t>НУП-2059</t>
  </si>
  <si>
    <t>4680942620595</t>
  </si>
  <si>
    <t>Упаковка</t>
  </si>
  <si>
    <t>Пакеты бумажные</t>
  </si>
  <si>
    <t>Размер L</t>
  </si>
  <si>
    <t>Dream Cards</t>
  </si>
  <si>
    <t>271114</t>
  </si>
  <si>
    <t>Dream cards Пакет подар. с мат.лам и тис.фол 26,4х32х13,6см Золотистый баран, 190г соб.раз ППК-0903</t>
  </si>
  <si>
    <t>ППК-0903</t>
  </si>
  <si>
    <t>4680942610732</t>
  </si>
  <si>
    <t>4819400000</t>
  </si>
  <si>
    <t>Размер XL</t>
  </si>
  <si>
    <t>271117</t>
  </si>
  <si>
    <t>Dream cards Пакет подар. с мат.лам и тис.фол 32,4х44,5х10,2см Сказочный козёл 190г соб.раз. ППК-0906</t>
  </si>
  <si>
    <t>ППК-0906</t>
  </si>
  <si>
    <t>4680942610763</t>
  </si>
  <si>
    <t>Глянцевая ламинация</t>
  </si>
  <si>
    <t>271119</t>
  </si>
  <si>
    <t>Пакет подарочный с глянц.ламин. 32,4х44,5х10,2 см (XL) Новогодний баран, 157г соб.раз. ППК-0908</t>
  </si>
  <si>
    <t>ППК-0908</t>
  </si>
  <si>
    <t>4680942610787</t>
  </si>
  <si>
    <t>271118</t>
  </si>
  <si>
    <t>Пакет подарочный с глянц.ламин. 32,4х44,5х10,2 см (XL) Семейная прогулка, 157г соб.раз. ППК-0907</t>
  </si>
  <si>
    <t>ППК-0907</t>
  </si>
  <si>
    <t>4680942610770</t>
  </si>
  <si>
    <t>Размер М</t>
  </si>
  <si>
    <t>271111</t>
  </si>
  <si>
    <t>Dream cards Пакет подар. с мат.лам и тис.фол 18х23х10см M, Золотистый козёл, 190г собс.раз ППК-0900</t>
  </si>
  <si>
    <t>ППК-0900</t>
  </si>
  <si>
    <t>4680942610701</t>
  </si>
  <si>
    <t>271113</t>
  </si>
  <si>
    <t>Пакет подарочный с глянц.лам. 18х23х10см (M) Любопытная козочка, 157г соб.раз. ППК-0902</t>
  </si>
  <si>
    <t>ППК-0902</t>
  </si>
  <si>
    <t>4680942610725</t>
  </si>
  <si>
    <t>Пакеты полиэтиленовые</t>
  </si>
  <si>
    <t>Пакеты с вырубной ручкой</t>
  </si>
  <si>
    <t>275981</t>
  </si>
  <si>
    <t>Пакет вырубной Коза-чудесница 31х40/30мкм н00313703</t>
  </si>
  <si>
    <t>н00313703</t>
  </si>
  <si>
    <t>4630201703774</t>
  </si>
  <si>
    <t>3923210000</t>
  </si>
  <si>
    <t>Пакеты с петлевой ручкой</t>
  </si>
  <si>
    <t>275997</t>
  </si>
  <si>
    <t>Пакет петлевой  Зимний вальс 42x38/35 мкм н00313932</t>
  </si>
  <si>
    <t>н00313932</t>
  </si>
  <si>
    <t>4630201703828</t>
  </si>
  <si>
    <t>Подарочные коробки</t>
  </si>
  <si>
    <t>270787</t>
  </si>
  <si>
    <t>Набор квадратных коробок 3в1 Козочки с подарками (19,5х19,5х11-15,5х15,5х9) "Соб.разраб" КОР-1016</t>
  </si>
  <si>
    <t>КОР-1016</t>
  </si>
  <si>
    <t>4680942610169</t>
  </si>
  <si>
    <t>270806</t>
  </si>
  <si>
    <t>Набор прямоугольных коробок 10в1 Козочки с подарками (30,5х20х13-12х6,5х4 см) "Соб. раз."КОР-1035</t>
  </si>
  <si>
    <t>КОР-1035</t>
  </si>
  <si>
    <t>4680942610541</t>
  </si>
  <si>
    <t>Упаковочная бумага</t>
  </si>
  <si>
    <t>270549</t>
  </si>
  <si>
    <t>Упаковочная бумага Символ года Барашки, в ассортименте (70х100см, 1л, 5 дизайнов в шоубоксе) УБ-0988</t>
  </si>
  <si>
    <t>УБ-0988</t>
  </si>
  <si>
    <t>4680942609880</t>
  </si>
  <si>
    <t>02 ЛИЦЕНЗИОННАЯ ПРОДУКЦИЯ</t>
  </si>
  <si>
    <t xml:space="preserve"> СОЮЗМУЛЬТФИЛЬМ</t>
  </si>
  <si>
    <t>1 ВИННИ-ПУХ</t>
  </si>
  <si>
    <t>254425</t>
  </si>
  <si>
    <t>Новогоднее оконное украш. с раскраской"Веселые друзья"30х40см ЛИЦЕНЗИЯ/Винни-Пух(соб. разр.) НУ-2957</t>
  </si>
  <si>
    <t>НУ-2957</t>
  </si>
  <si>
    <t>4640306929573</t>
  </si>
  <si>
    <t>НЕПЕЧАТНАЯ</t>
  </si>
  <si>
    <t>Подвесные украшения</t>
  </si>
  <si>
    <t>Деревянные</t>
  </si>
  <si>
    <t>275629</t>
  </si>
  <si>
    <t>Набор новог. ёлочных подвесок"Мишка и друзья".Модель из дерева.6шт 2х стр. ЛИЦЕНЗИЯ/Винни-Пух 127181</t>
  </si>
  <si>
    <t>127181</t>
  </si>
  <si>
    <t>4680788242470</t>
  </si>
  <si>
    <t>254622</t>
  </si>
  <si>
    <t>Набор новогод.дерев.ёлоч.подвес.односл."Мишка и друзья"ЛИЦЕНЗИЯ/Винни-Пух,7-11см,6шт(Cоб.раз)НУ-2963</t>
  </si>
  <si>
    <t>НУ-2963</t>
  </si>
  <si>
    <t>4640306929634</t>
  </si>
  <si>
    <t>256537</t>
  </si>
  <si>
    <t>Набор флажков "Приключения мишки" 11*7см,10шт, 2м бечев. Модель из дерева,ЛИЦЕНЗИЯ/Винни-Пух МД00089</t>
  </si>
  <si>
    <t>МД00089</t>
  </si>
  <si>
    <t>4630166469401</t>
  </si>
  <si>
    <t>256421</t>
  </si>
  <si>
    <t>Новогодний cнежный шар. Медвежонок в колпаке, d=6,5 см (соб.раз)ЛИЦЕНЗИЯ/Винни-Пух НУ-7127</t>
  </si>
  <si>
    <t>НУ-7127</t>
  </si>
  <si>
    <t>4630493771277</t>
  </si>
  <si>
    <t>256422</t>
  </si>
  <si>
    <t>Новогодний cнежный шар. Поросёнок с подарком, d=6,5 см (соб.раз)ЛИЦЕНЗИЯ/Винни-Пух НУ-7128</t>
  </si>
  <si>
    <t>НУ-7128</t>
  </si>
  <si>
    <t>4630493771284</t>
  </si>
  <si>
    <t>3 НУ, ПОГОДИ!</t>
  </si>
  <si>
    <t>254413</t>
  </si>
  <si>
    <t>Новогоднее оконное украшение "Маскарад" 25х25 см (собств. разр) ЛИЦЕНЗИЯ/Ну-Погоди! НУ-2933</t>
  </si>
  <si>
    <t>НУ-2933</t>
  </si>
  <si>
    <t>4640306929337</t>
  </si>
  <si>
    <t>253995</t>
  </si>
  <si>
    <t>Магнит из полирезины Волк в шубе, 8,5 см (собств. разр) ЛИЦЕНЗИЯ/Ну-Погоди! Т-2760</t>
  </si>
  <si>
    <t>Т-2760</t>
  </si>
  <si>
    <t>4640306927968</t>
  </si>
  <si>
    <t>253996</t>
  </si>
  <si>
    <t>Магнит из полирезины Заяц в шубе, 7 см (собств. разр) ЛИЦЕНЗИЯ/Ну-Погоди! Т-2761</t>
  </si>
  <si>
    <t>Т-2761</t>
  </si>
  <si>
    <t>4640306927975</t>
  </si>
  <si>
    <t>Печатная продукция</t>
  </si>
  <si>
    <t>Адвент-календарь</t>
  </si>
  <si>
    <t>254270</t>
  </si>
  <si>
    <t>НГ Адвент-календарь "Волк и заяц!" ЛИЦЕНЗИЯ/ Ну погоди! АК-6862</t>
  </si>
  <si>
    <t>АК-6862</t>
  </si>
  <si>
    <t>4670159268628</t>
  </si>
  <si>
    <t>Подлежит маркировке ЧЗ Игрушки с 1 декабря 2025</t>
  </si>
  <si>
    <t>04670159268628</t>
  </si>
  <si>
    <t>Квест по поиску подарка</t>
  </si>
  <si>
    <t>254275</t>
  </si>
  <si>
    <t>НГ Квест по поиску подарка с наклейками "Волк и заяц!" ЛИЦЕНЗИЯ/ Ну погоди! ИКВ-6860</t>
  </si>
  <si>
    <t>ИКВ-6860</t>
  </si>
  <si>
    <t>4670159268604</t>
  </si>
  <si>
    <t>04670159268604</t>
  </si>
  <si>
    <t>256536</t>
  </si>
  <si>
    <t>Набор флажков "Заяц, Волк", 11*7см, 10шт, 2м бечевки. Модель из дерева,ЛИЦЕНЗИЯ/Ну-Погоди! МД00088</t>
  </si>
  <si>
    <t>МД00088</t>
  </si>
  <si>
    <t>4630166469395</t>
  </si>
  <si>
    <t>275630</t>
  </si>
  <si>
    <t>Новогодняя ёлочная подвеска "Волк".Модель из дерева.10см 2х стр. ЛИЦЕНЗИЯ/Ну-Погоди 127182</t>
  </si>
  <si>
    <t>127182</t>
  </si>
  <si>
    <t>4680788242487</t>
  </si>
  <si>
    <t>275632</t>
  </si>
  <si>
    <t>Новогодняя ёлочная подвеска "Заяц Волк".Модель из дерева.2шт 2х стр. ЛИЦЕНЗИЯ/Ну-Погоди 127184</t>
  </si>
  <si>
    <t>127184</t>
  </si>
  <si>
    <t>4680788242500</t>
  </si>
  <si>
    <t>275631</t>
  </si>
  <si>
    <t>Новогодняя ёлочная подвеска "Заяц".Модель из дерева. 8см 2х стр. ЛИЦЕНЗИЯ/Ну-Погоди 127183</t>
  </si>
  <si>
    <t>127183</t>
  </si>
  <si>
    <t>4680788242494</t>
  </si>
  <si>
    <t>Деревянные на прищепке</t>
  </si>
  <si>
    <t>272415</t>
  </si>
  <si>
    <t>Набор дер. ёлочных украшений с прищепкой "Заяц и Волк" 5 шт ЛИЦЕНЗИЯ/Ну-Погоди! НУ-1868</t>
  </si>
  <si>
    <t>НУ-1868</t>
  </si>
  <si>
    <t>4680942618684</t>
  </si>
  <si>
    <t>256418</t>
  </si>
  <si>
    <t>Новогодний cнежный шар. Заяц в шубе, d=6,5 см (соб.раз) ЛИЦЕНЗИЯ/Ну-Погоди! НУ-7124</t>
  </si>
  <si>
    <t>НУ-7124</t>
  </si>
  <si>
    <t>4630493771246</t>
  </si>
  <si>
    <t>4 ПРОСТОКВАШИНО</t>
  </si>
  <si>
    <t>254418</t>
  </si>
  <si>
    <t>Новог. оконное украш. с раскраской "Новогодний котик"30х40см(соб.раз.)ЛИЦЕНЗИЯ/Простоквашино НУ-2937</t>
  </si>
  <si>
    <t>НУ-2937</t>
  </si>
  <si>
    <t>4640306929375</t>
  </si>
  <si>
    <t>254273</t>
  </si>
  <si>
    <t>НГ Адвент-календарь "Весёлая деревня" ЛИЦЕНЗИЯ/ Простоквашино АК-6861</t>
  </si>
  <si>
    <t>АК-6861</t>
  </si>
  <si>
    <t>4670159268611</t>
  </si>
  <si>
    <t>04670159268611</t>
  </si>
  <si>
    <t>275634</t>
  </si>
  <si>
    <t>Набор новог. ёлоч. подвес."Веселая деревня".Модель из дерева.6шт2х стр.ЛИЦЕНЗИЯ/Простоквашино 127186</t>
  </si>
  <si>
    <t>127186</t>
  </si>
  <si>
    <t>4680788242531</t>
  </si>
  <si>
    <t>256535</t>
  </si>
  <si>
    <t>Набор флажков "Веселая деревня" 11*7см 10шт,2м бечев.Модель из дерева ЛИЦЕНЗИЯ/Простоквашино МД00087</t>
  </si>
  <si>
    <t>МД00087</t>
  </si>
  <si>
    <t>4630166469388</t>
  </si>
  <si>
    <t>275633</t>
  </si>
  <si>
    <t>Новогодняя ёлочная подвеска "Полосатый кот"Модель из дерева.8см 2х стр.ЛИЦЕНЗИЯ/Простоквашино 127185</t>
  </si>
  <si>
    <t>127185</t>
  </si>
  <si>
    <t>4680788242524</t>
  </si>
  <si>
    <t>272414</t>
  </si>
  <si>
    <t>Набор дер. ёлочных украш. с прищепкой "Веселая деревня" 5 шт ЛИЦЕНЗИЯ/Простоквашино НУ-1867</t>
  </si>
  <si>
    <t>НУ-1867</t>
  </si>
  <si>
    <t>4680942618677</t>
  </si>
  <si>
    <t>253992</t>
  </si>
  <si>
    <t>Подвеска из полирезины  Новогодний почтальон, 8 см (соб.раз.) ЛИЦЕНЗИЯ/Простоквашино Т-2757</t>
  </si>
  <si>
    <t>Т-2757</t>
  </si>
  <si>
    <t>4640306927937</t>
  </si>
  <si>
    <t>Стеклянные шары</t>
  </si>
  <si>
    <t>"8см"</t>
  </si>
  <si>
    <t>254252</t>
  </si>
  <si>
    <t>Новог. украш. Елочный стеклянный шар "Новогодний кот", 8см, соб.разб. ЛИЦЕНЗИЯ/Простоквашино НУ-2931</t>
  </si>
  <si>
    <t>НУ-2931</t>
  </si>
  <si>
    <t>4640306929313</t>
  </si>
  <si>
    <t>9505101000</t>
  </si>
  <si>
    <t>Шары папье-маше</t>
  </si>
  <si>
    <t>274372</t>
  </si>
  <si>
    <t>Набор ёлочных шаров 14 шт "Весёлые друзья", 8 см, (собств. разр) ЛИЦЕНЗИЯ/Простоквашино ШЁН-2903</t>
  </si>
  <si>
    <t>ШЁН-2903</t>
  </si>
  <si>
    <t>4680942629031</t>
  </si>
  <si>
    <t>5 УМКА</t>
  </si>
  <si>
    <t>253987</t>
  </si>
  <si>
    <t>Подвеска из полирезины Медвежонок в ушанке, 7,5 см (собств.раз.) ЛИЦЕНЗИЯ/Умка Т-2752</t>
  </si>
  <si>
    <t>Т-2752</t>
  </si>
  <si>
    <t>4640306927883</t>
  </si>
  <si>
    <t>7 ЭКСКЛЮЗИВНАЯ КОЛЛЕКЦИЯ СОЮЗМУЛЬТФИЛЬМ</t>
  </si>
  <si>
    <t>274373</t>
  </si>
  <si>
    <t>Набор ёлочных шаров 14 шт "Герои мультфильмов", 8 см, (собств. разр) ЛИЦЕНЗИЯ ШЁН-2904</t>
  </si>
  <si>
    <t>ШЁН-2904</t>
  </si>
  <si>
    <t>4680942629048</t>
  </si>
  <si>
    <t>ВОЛШЕБНИК ИЗУМРУДНОГО ГОРОДА</t>
  </si>
  <si>
    <t>278137</t>
  </si>
  <si>
    <t>Набор дер. ёлочных украшений с прищепкой "Герои" 5шт ЛИЦЕНЗИЯ/Волшебник изумрудного города НУП-5120</t>
  </si>
  <si>
    <t>НУП-5120</t>
  </si>
  <si>
    <t>4680942651209</t>
  </si>
  <si>
    <t>Маша и Медведь</t>
  </si>
  <si>
    <t>280264</t>
  </si>
  <si>
    <t>Набор дер. ёлочных украшений с прищепкой "Новогодние друзья" 5 шт ЛИЦЕНЗИЯ/Маша и Медведь НУП-6051</t>
  </si>
  <si>
    <t>НУП-6051</t>
  </si>
  <si>
    <t>4680942660515</t>
  </si>
  <si>
    <t>МИ-МИ-МИшки</t>
  </si>
  <si>
    <t>279637</t>
  </si>
  <si>
    <t>Набор дер. ёлочных украшений с прищепкой "Милые друзья" 5 шт ЛИЦЕНЗИЯ/Ми-Ми-Мишки! НУ-5730</t>
  </si>
  <si>
    <t>НУ-5730</t>
  </si>
  <si>
    <t>4680942657300</t>
  </si>
  <si>
    <t>ТРИ КОТА</t>
  </si>
  <si>
    <t>267495</t>
  </si>
  <si>
    <t>Новогоднее окон укр  с раскраской "Коты у ёлки" 30х40 см(собств.разработка)ЛИЦЕНЗИЯ/Три кота НУ-7775</t>
  </si>
  <si>
    <t>НУ-7775</t>
  </si>
  <si>
    <t>4640520777318</t>
  </si>
  <si>
    <t>267494</t>
  </si>
  <si>
    <t>Новогоднее оконное украш. "Коты с подарками" 25х25 см (собств. разработка) ЛИЦЕНЗИЯ/Три кота НУ-7774</t>
  </si>
  <si>
    <t>НУ-7774</t>
  </si>
  <si>
    <t>4640520777301</t>
  </si>
  <si>
    <t>272644</t>
  </si>
  <si>
    <t>Магниты из полирезины "Дружные котята" 12шт 3диз.4шт в кор, соб.раз, ЛИЦЕНЗИЯ/Три кота ННУ-2118</t>
  </si>
  <si>
    <t>ННУ-2118</t>
  </si>
  <si>
    <t>4680942621189</t>
  </si>
  <si>
    <t>275628</t>
  </si>
  <si>
    <t>Набор новогод. ёлочных подвесок"Добрые котики".Модель из дерева.3шт 2х стр. ЛИЦЕНЗИЯ/Три кота 127180</t>
  </si>
  <si>
    <t>127180</t>
  </si>
  <si>
    <t>4680788242463</t>
  </si>
  <si>
    <t>275627</t>
  </si>
  <si>
    <t>Набор новогод. ёлочных подвесок"Милые котята".Модель из дерева. 6шт 2х стр. ЛИЦЕНЗИЯ/Три кота 127179</t>
  </si>
  <si>
    <t>127179</t>
  </si>
  <si>
    <t>4680788242456</t>
  </si>
  <si>
    <t>275762</t>
  </si>
  <si>
    <t>Набор флажков "Новогодние котята" 11*7см,10шт, 2м бечев. Модель из дерева,ЛИЦЕНЗИЯ/Три-Кота 127205</t>
  </si>
  <si>
    <t>127205</t>
  </si>
  <si>
    <t>4680788242319</t>
  </si>
  <si>
    <t>275626</t>
  </si>
  <si>
    <t>Новогодняя ёлочная подвеска "Котенок и подарки" Модель из дерева. 2-х стор ЛИЦЕНЗИЯ/Три кота 127178</t>
  </si>
  <si>
    <t>127178</t>
  </si>
  <si>
    <t>4680788242449</t>
  </si>
  <si>
    <t>275622</t>
  </si>
  <si>
    <t>Новогодняя ёлочная подвеска "Котик и Снеговик" Модель из дерева. 2-х стор ЛИЦЕНЗИЯ/Три кота 127175</t>
  </si>
  <si>
    <t>127175</t>
  </si>
  <si>
    <t>4680788242418</t>
  </si>
  <si>
    <t>275620</t>
  </si>
  <si>
    <t>Новогодняя ёлочная подвеска "Котик с подарком" Модель из дерева. 2-х стор ЛИЦЕНЗИЯ/Три кота 127173</t>
  </si>
  <si>
    <t>127173</t>
  </si>
  <si>
    <t>4680788242395</t>
  </si>
  <si>
    <t>275621</t>
  </si>
  <si>
    <t>Новогодняя ёлочная подвеска "Кошечка с ёлочкой" Модель из дерева. 2-х стор ЛИЦЕНЗИЯ/Три кота 127174</t>
  </si>
  <si>
    <t>127174</t>
  </si>
  <si>
    <t>4680788242401</t>
  </si>
  <si>
    <t>275625</t>
  </si>
  <si>
    <t>Новогодняя ёлочная подвеска "Кошечка с подарками"Модель из дерева. 2-х стор ЛИЦЕНЗИЯ/Три кота 127177</t>
  </si>
  <si>
    <t>127177</t>
  </si>
  <si>
    <t>4680788242432</t>
  </si>
  <si>
    <t>275623</t>
  </si>
  <si>
    <t>Новогодняя ёлочная подвеска "Уютный котик"Модель из дерева. 2-х стор ЛИЦЕНЗИЯ/Три кота 127176</t>
  </si>
  <si>
    <t>127176</t>
  </si>
  <si>
    <t>4680788242425</t>
  </si>
  <si>
    <t>272418</t>
  </si>
  <si>
    <t>Набор дер. ёлочных украшений с прищепкой 5 шт "Дружные котики" ЛИЦЕНЗИЯ/Три Кота НУ-1871</t>
  </si>
  <si>
    <t>НУ-1871</t>
  </si>
  <si>
    <t>4680942618714</t>
  </si>
  <si>
    <t>272615</t>
  </si>
  <si>
    <t>Полирезиновая подвеска Компот с кружкой , 6,5х3,8 см соб.разб. ЛИЦЕНЗИЯ/Три кота НУП-2063</t>
  </si>
  <si>
    <t>НУП-2063</t>
  </si>
  <si>
    <t>4680942620632</t>
  </si>
  <si>
    <t>272618</t>
  </si>
  <si>
    <t>Полирезиновая подвеска Коржик с подарком, 6х2,9 см, соб.разб. ЛИЦЕНЗИЯ/Три кота НУП-2064</t>
  </si>
  <si>
    <t>НУП-2064</t>
  </si>
  <si>
    <t>4680942620649</t>
  </si>
  <si>
    <t>ЧЕБУРАШКА</t>
  </si>
  <si>
    <t>ЧЕБУРАШКА (МУЛЬТСЕРИАЛ)</t>
  </si>
  <si>
    <t>279633</t>
  </si>
  <si>
    <t>Набор дер. ёлочных украшений с прищепкой "Веселая компания" 5 шт ЛИЦЕНЗИЯ/Чебурашка! НУ-5729</t>
  </si>
  <si>
    <t>НУ-5729</t>
  </si>
  <si>
    <t>4680942657294</t>
  </si>
  <si>
    <t>ЧЕБУРАШКА (ФИЛЬМ)</t>
  </si>
  <si>
    <t>Винил</t>
  </si>
  <si>
    <t>237458</t>
  </si>
  <si>
    <t>Виниловый магнит круглый 67 мм "Новогодний Чебурашка" кр.8 шт, ЛИЦЕНЗИЯ/Чебурашка Т-1246</t>
  </si>
  <si>
    <t>Т-1246</t>
  </si>
  <si>
    <t>4670159212461</t>
  </si>
  <si>
    <t>22.29.26.190</t>
  </si>
  <si>
    <t>Полирезина</t>
  </si>
  <si>
    <t>234983</t>
  </si>
  <si>
    <t>Магнит из полирезины  Озорной Чебурашка, 7 см ЛИЦЕНЗИЯ/Чебурашка Т-9966</t>
  </si>
  <si>
    <t>Т-9966</t>
  </si>
  <si>
    <t>4670159199540</t>
  </si>
  <si>
    <t>7 см</t>
  </si>
  <si>
    <t>234984</t>
  </si>
  <si>
    <t>Магнит из полирезины  Чебурашка с подарочком, 7 см ЛИЦЕНЗИЯ/Чебурашка Т-9967</t>
  </si>
  <si>
    <t>Т-9967</t>
  </si>
  <si>
    <t>4670159199557</t>
  </si>
  <si>
    <t>234986</t>
  </si>
  <si>
    <t>Магнит из полирезины  Чебурашка с шариком, 7 см ЛИЦЕНЗИЯ/Чебурашка Т-9969</t>
  </si>
  <si>
    <t>Т-9969</t>
  </si>
  <si>
    <t>4670159199571</t>
  </si>
  <si>
    <t>234985</t>
  </si>
  <si>
    <t>Магнит из полирезины  Чебурашка со снежком, 7 см ЛИЦЕНЗИЯ/Чебурашка Т-9968</t>
  </si>
  <si>
    <t>Т-9968</t>
  </si>
  <si>
    <t>4670159199564</t>
  </si>
  <si>
    <t>252854</t>
  </si>
  <si>
    <t>Магнит из полирезины Чебурашка в шапке, 7 см ЛИЦЕНЗИЯ/Чебурашка Т-2781</t>
  </si>
  <si>
    <t>Т-2781</t>
  </si>
  <si>
    <t>4640306927821</t>
  </si>
  <si>
    <t>234979</t>
  </si>
  <si>
    <t>Магнит из полирезины Чебурашка в шлеме, 7 см ЛИЦЕНЗИЯ/Чебурашка Т-9962</t>
  </si>
  <si>
    <t>Т-9962</t>
  </si>
  <si>
    <t>4670159199502</t>
  </si>
  <si>
    <t>252853</t>
  </si>
  <si>
    <t>Магнит из полирезины Чебурашка с леденцом, 7 см ЛИЦЕНЗИЯ/Чебурашка Т-2780</t>
  </si>
  <si>
    <t>Т-2780</t>
  </si>
  <si>
    <t>4640306927814</t>
  </si>
  <si>
    <t>237437</t>
  </si>
  <si>
    <t>Адвент-календарь с крафт-пакетами "Чебурашка и Новый год",  ЛИЦЕНЗИЯ/Чебурашка АК-9102</t>
  </si>
  <si>
    <t>АК-9102</t>
  </si>
  <si>
    <t>4670159211020</t>
  </si>
  <si>
    <t>04670159211020</t>
  </si>
  <si>
    <t>237438</t>
  </si>
  <si>
    <t>Новог пазл с пожел("Новогодние пожелания от Чебурашки") 24 эл.(10шт в ш/б)ЛИЦЕНЗИЯ/Чебурашка ИН-9101</t>
  </si>
  <si>
    <t>ИН-9101</t>
  </si>
  <si>
    <t>4670159211013</t>
  </si>
  <si>
    <t>32.40.32.190</t>
  </si>
  <si>
    <t>9503006900</t>
  </si>
  <si>
    <t>04670159211013</t>
  </si>
  <si>
    <t>261122</t>
  </si>
  <si>
    <t>Снежный шар "Чебурашка с подарками", 10 см, (Собс.разр) ЛИЦЕНЗИЯ/Чебурашка, Т-7808</t>
  </si>
  <si>
    <t>Т-7808</t>
  </si>
  <si>
    <t>4630493778085</t>
  </si>
  <si>
    <t>Эксперимент по 31 августа 2026 Товары для дома</t>
  </si>
  <si>
    <t>261120</t>
  </si>
  <si>
    <t>Снежный шар "Чебурашка с шаром", 6,5 см (Собс.разр) ЛИЦЕНЗИЯ/Чебурашка, Т-7806</t>
  </si>
  <si>
    <t>Т-7806</t>
  </si>
  <si>
    <t>4630493778061</t>
  </si>
  <si>
    <t>261121</t>
  </si>
  <si>
    <t>Снежный шар. "Чебурашка со снежком", 6,5см (собс.разр.) ЛИЦЕНЗИЯ/Чебурашка Т-7807</t>
  </si>
  <si>
    <t>Т-7807</t>
  </si>
  <si>
    <t>4630493778078</t>
  </si>
  <si>
    <t>236249</t>
  </si>
  <si>
    <t>Набор новогод. двухслой. ёлоч. подвес. из дерева"Чебурашка"6шт. Cоб.раз. ЛИЦЕНЗИЯ/Чебурашка НДУ-0606</t>
  </si>
  <si>
    <t>НДУ-0606</t>
  </si>
  <si>
    <t>4670159206064</t>
  </si>
  <si>
    <t>32.99.51.112</t>
  </si>
  <si>
    <t>236247</t>
  </si>
  <si>
    <t>Новог. ёлоч. подвес.из дерева двухс."Чебурашка в шарфике"9х7,5см Cоб.раз.ЛИЦЕНЗИЯ/Чебурашка НДУ-0605</t>
  </si>
  <si>
    <t>НДУ-0605</t>
  </si>
  <si>
    <t>4670159206057</t>
  </si>
  <si>
    <t>236242</t>
  </si>
  <si>
    <t>Новог. ёлоч.подвес.из дерева двух."Чебурашка и снеговик"9х6,5см Cоб.раз. ЛИЦЕНЗИЯ/Чебурашка НДУ-0602</t>
  </si>
  <si>
    <t>НДУ-0602</t>
  </si>
  <si>
    <t>4670159206026</t>
  </si>
  <si>
    <t>236244</t>
  </si>
  <si>
    <t>Новог. ёлоч.подвес.из дерева двухс."Чебурашка с подарком"9х7,5см Cоб.раз.ЛИЦЕНЗИЯ/Чебурашка НДУ-0603</t>
  </si>
  <si>
    <t>НДУ-0603</t>
  </si>
  <si>
    <t>4670159206033</t>
  </si>
  <si>
    <t>236241</t>
  </si>
  <si>
    <t>Новог.ёлоч. подвес из дерева двухсл. "Чебурашка с шариком"9х7см Cоб.раз. ЛИЦЕНЗИЯ/Чебурашка НДУ-0601</t>
  </si>
  <si>
    <t>НДУ-0601</t>
  </si>
  <si>
    <t>4670159206019</t>
  </si>
  <si>
    <t>236246</t>
  </si>
  <si>
    <t>Новогод. ёлоч. подвес. из дерева двухс. "Чебурашка и апельсины" Cоб.раз. ЛИЦЕНЗИЯ/Чебурашка НДУ-0604</t>
  </si>
  <si>
    <t>НДУ-0604</t>
  </si>
  <si>
    <t>4670159206040</t>
  </si>
  <si>
    <t>236239</t>
  </si>
  <si>
    <t>Новогод.ёлоч.подвес.из дерева двухс."Чебурашка в шапке"9х7,5см Cобс.раз. ЛИЦЕНЗИЯ/Чебурашка НДУ-0600</t>
  </si>
  <si>
    <t>НДУ-0600</t>
  </si>
  <si>
    <t>4670159206002</t>
  </si>
  <si>
    <t>234987</t>
  </si>
  <si>
    <t>Подвеска из полирезины Озорной Чебурашка, 7,5 *8 см ЛИЦЕНЗИЯ/Чебурашка Т-9970</t>
  </si>
  <si>
    <t>Т-9970</t>
  </si>
  <si>
    <t>4670159199588</t>
  </si>
  <si>
    <t>7,5*8 см</t>
  </si>
  <si>
    <t>252851</t>
  </si>
  <si>
    <t>Подвеска из полирезины Чебурашка в  шапке, 8 см ЛИЦЕНЗИЯ/Чебурашка Т-2778</t>
  </si>
  <si>
    <t>Т-2778</t>
  </si>
  <si>
    <t>4640306927791</t>
  </si>
  <si>
    <t>234988</t>
  </si>
  <si>
    <t>Подвеска из полирезины Чебурашка в  шарфике, 7,5 *8 см ЛИЦЕНЗИЯ/Чебурашка Т-9971</t>
  </si>
  <si>
    <t>Т-9971</t>
  </si>
  <si>
    <t>4670159199595</t>
  </si>
  <si>
    <t>252852</t>
  </si>
  <si>
    <t>Подвеска из полирезины Чебурашка с леденцом, 8 см ЛИЦЕНЗИЯ/Чебурашка Т-2779</t>
  </si>
  <si>
    <t>Т-2779</t>
  </si>
  <si>
    <t>4640306927807</t>
  </si>
  <si>
    <t>234989</t>
  </si>
  <si>
    <t>Подвеска из полирезины Чебурашка с подарочком, 7,5 *8 см ЛИЦЕНЗИЯ/Чебурашка Т-9972</t>
  </si>
  <si>
    <t>Т-9972</t>
  </si>
  <si>
    <t>4670159199601</t>
  </si>
  <si>
    <t>234990</t>
  </si>
  <si>
    <t>Подвеска из полирезины Чебурашка с шариком, 7,5 *8 см ЛИЦЕНЗИЯ/Чебурашка Т-9973</t>
  </si>
  <si>
    <t>Т-9973</t>
  </si>
  <si>
    <t>4670159199618</t>
  </si>
  <si>
    <t>Стеклянные ёлочные шары</t>
  </si>
  <si>
    <t>Стеклянные ёлочные шары 6 см</t>
  </si>
  <si>
    <t>235711</t>
  </si>
  <si>
    <t>Елочный стеклянный шар "Веселый Чебурашка", 6 см (соб.раз) ЛИЦЕНЗИЯ/Чебурашка НУ-0342</t>
  </si>
  <si>
    <t>НУ-0342</t>
  </si>
  <si>
    <t>4670159203421</t>
  </si>
  <si>
    <t>6см</t>
  </si>
  <si>
    <t>235712</t>
  </si>
  <si>
    <t>Елочный стеклянный шар "Чебурашка и апельсин", 6 см (собств.разраб.) ЛИЦЕНЗИЯ/Чебурашка НУ-0343</t>
  </si>
  <si>
    <t>НУ-0343</t>
  </si>
  <si>
    <t>4670159203438</t>
  </si>
  <si>
    <t>235709</t>
  </si>
  <si>
    <t>Елочный стеклянный шар "Чебурашка и звездочка", 6 см (собств.разраб.) ЛИЦЕНЗИЯ/Чебурашка НУ-0340</t>
  </si>
  <si>
    <t>НУ-0340</t>
  </si>
  <si>
    <t>4670159203407</t>
  </si>
  <si>
    <t>235710</t>
  </si>
  <si>
    <t>Елочный стеклянный шар "Чебурашка и подарки", 6 см (собств.разраб.) ЛИЦЕНЗИЯ/Чебурашка НУ-0341</t>
  </si>
  <si>
    <t>НУ-0341</t>
  </si>
  <si>
    <t>4670159203414</t>
  </si>
  <si>
    <t>246237</t>
  </si>
  <si>
    <t>Набор ёлочных стеклянных шаров "Чебурашка", 6 см, 4 шт, ЛИЦЕНЗИЯ/Чебурашка НУ-2147</t>
  </si>
  <si>
    <t>НУ-2147</t>
  </si>
  <si>
    <t>4640306921492</t>
  </si>
  <si>
    <t>Стеклянные ёлочные шары 8 см</t>
  </si>
  <si>
    <t>235707</t>
  </si>
  <si>
    <t>Елочный стеклянный шар "Чебурашка и апельсины", 8 см (собств.разраб.) ЛИЦЕНЗИЯ/Чебурашка НУ-0339</t>
  </si>
  <si>
    <t>НУ-0339</t>
  </si>
  <si>
    <t>4670159203391</t>
  </si>
  <si>
    <t>8см</t>
  </si>
  <si>
    <t>235706</t>
  </si>
  <si>
    <t>Елочный стеклянный шар "Чебурашка и клюшка", 8 см (собств.разраб.) ЛИЦЕНЗИЯ/Чебурашка НУ-0338</t>
  </si>
  <si>
    <t>НУ-0338</t>
  </si>
  <si>
    <t>4670159203384</t>
  </si>
  <si>
    <t>235702</t>
  </si>
  <si>
    <t>Елочный стеклянный шар "Чебурашка и снеговик", 8 см (собств.разраб.) ЛИЦЕНЗИЯ/Чебурашка НУ-0336</t>
  </si>
  <si>
    <t>НУ-0336</t>
  </si>
  <si>
    <t>4670159203360</t>
  </si>
  <si>
    <t>235704</t>
  </si>
  <si>
    <t>Елочный стеклянный шар "Чебурашка и шарик", 8 см (собств.разраб.) ЛИЦЕНЗИЯ/Чебурашка НУ-0337</t>
  </si>
  <si>
    <t>НУ-0337</t>
  </si>
  <si>
    <t>4670159203377</t>
  </si>
  <si>
    <t>246236</t>
  </si>
  <si>
    <t>Набор ёлочных стеклянных шаров "Чебурашка", 8 см, 4шт, ЛИЦЕНЗИЯ/Чебурашка НУ-2146</t>
  </si>
  <si>
    <t>НУ-2146</t>
  </si>
  <si>
    <t>4640306921485</t>
  </si>
  <si>
    <t>03 СУВЕНИРЫ, ПОДАРКИ, ДЕКОР</t>
  </si>
  <si>
    <t>01 Гирлянды</t>
  </si>
  <si>
    <t>Гирлянды из ёлки</t>
  </si>
  <si>
    <t>Литые</t>
  </si>
  <si>
    <t>200650</t>
  </si>
  <si>
    <t>Ёлочная гирлянда "Сваг", без украшений, 100*12*38 см,155 веток, литая НУ-1948</t>
  </si>
  <si>
    <t>НУ-1948</t>
  </si>
  <si>
    <t>4670159019985</t>
  </si>
  <si>
    <t>100*12*38 см</t>
  </si>
  <si>
    <t>200652</t>
  </si>
  <si>
    <t>Ёлочная гирлянда "Сваг", заснеженная с ягодами, 113*18*35 см,155 веток, литая НУ-2030</t>
  </si>
  <si>
    <t>НУ-2030</t>
  </si>
  <si>
    <t>4670159020004</t>
  </si>
  <si>
    <t>113*18*35 см</t>
  </si>
  <si>
    <t>200651</t>
  </si>
  <si>
    <t>Ёлочная гирлянда "Сваг", заснеженная, 108*18*35 см,155 веток, литая НУ-1949</t>
  </si>
  <si>
    <t>НУ-1949</t>
  </si>
  <si>
    <t>4670159019992</t>
  </si>
  <si>
    <t>108*18*35 см</t>
  </si>
  <si>
    <t>200653</t>
  </si>
  <si>
    <t>Ёлочная гирлянда без украшений Классика, 18*10*200 см,195 веток. НУ-2031</t>
  </si>
  <si>
    <t>НУ-2031</t>
  </si>
  <si>
    <t>4670159020011</t>
  </si>
  <si>
    <t>18*10*200 см</t>
  </si>
  <si>
    <t>200654</t>
  </si>
  <si>
    <t>Ёлочная гирлянда без украшений Классика, заснеженная, 20*20*200 см,284 ветки. НУ-2032</t>
  </si>
  <si>
    <t>НУ-2032</t>
  </si>
  <si>
    <t>4670159020028</t>
  </si>
  <si>
    <t>20*20*200 см</t>
  </si>
  <si>
    <t>ПВХ</t>
  </si>
  <si>
    <t>203376</t>
  </si>
  <si>
    <t>Ёлочная гирлянда "Зимняя сказка", 150см, 155 веток. НУ-1967</t>
  </si>
  <si>
    <t>НУ-1967</t>
  </si>
  <si>
    <t>4670159019671</t>
  </si>
  <si>
    <t>187674</t>
  </si>
  <si>
    <t>Ёлочная гирлянда без украшений 250 см 180 веток НГУ-5546</t>
  </si>
  <si>
    <t>НГУ-5546</t>
  </si>
  <si>
    <t>4620129755467</t>
  </si>
  <si>
    <t>250 см 180 веток</t>
  </si>
  <si>
    <t>187676</t>
  </si>
  <si>
    <t>Ёлочная гирлянда без украшений 250 см 220 веток НГУ-5547</t>
  </si>
  <si>
    <t>НГУ-5547</t>
  </si>
  <si>
    <t>4620129755474</t>
  </si>
  <si>
    <t>250 см 220 веток</t>
  </si>
  <si>
    <t>187683</t>
  </si>
  <si>
    <t>Ёлочная гирлянда без украшений 3 м, 300 веток. НГУ-5550</t>
  </si>
  <si>
    <t>НГУ-5550</t>
  </si>
  <si>
    <t>4620129755504</t>
  </si>
  <si>
    <t>3 м</t>
  </si>
  <si>
    <t>187689</t>
  </si>
  <si>
    <t>Ёлочная гирлянда с шишками 3 м, 300 веток. НГУ-5553</t>
  </si>
  <si>
    <t>НГУ-5553</t>
  </si>
  <si>
    <t>4620129755535</t>
  </si>
  <si>
    <t>187684</t>
  </si>
  <si>
    <t>Ёлочная гирлянда с шишками и красными ягодами 3 м, 300 веток. НГУ-5551</t>
  </si>
  <si>
    <t>НГУ-5551</t>
  </si>
  <si>
    <t>4620129755511</t>
  </si>
  <si>
    <t>187691</t>
  </si>
  <si>
    <t>Ёлочная гирлянда с шишками, заснеженная 3 м,280 веток. НГУ-5554</t>
  </si>
  <si>
    <t>НГУ-5554</t>
  </si>
  <si>
    <t>4620129755542</t>
  </si>
  <si>
    <t>187686</t>
  </si>
  <si>
    <t>Ёлочная гирлянда шишками и красными ягодами, пышная 3 м,300 веток. НГУ-5552</t>
  </si>
  <si>
    <t>НГУ-5552</t>
  </si>
  <si>
    <t>4620129755528</t>
  </si>
  <si>
    <t>Электрические гирлянды</t>
  </si>
  <si>
    <t>1 MiLED (СТМ )</t>
  </si>
  <si>
    <t>Для помещений</t>
  </si>
  <si>
    <t>Занавесы</t>
  </si>
  <si>
    <t>232637</t>
  </si>
  <si>
    <t>MILED Гирлянда Занавес. 2*1,5 м 80 ламп, тёплый белый свет, 8 режимов ГЗ-0035</t>
  </si>
  <si>
    <t>ГЗ-0035</t>
  </si>
  <si>
    <t>4670159184898</t>
  </si>
  <si>
    <t>27.40.32.000</t>
  </si>
  <si>
    <t>9405310000</t>
  </si>
  <si>
    <t>04670159184898</t>
  </si>
  <si>
    <t>2*1,5 м</t>
  </si>
  <si>
    <t>232638</t>
  </si>
  <si>
    <t>MILED Гирлянда Занавес. 2*1,5 м 80 ламп, холодный белый свет, 8 режимов ГЗ-0036</t>
  </si>
  <si>
    <t>ГЗ-0036</t>
  </si>
  <si>
    <t>4670159184904</t>
  </si>
  <si>
    <t>04670159184904</t>
  </si>
  <si>
    <t>232678</t>
  </si>
  <si>
    <t>MILED Гирлянда Занавес. 3*2,7 м 210 ламп, разноцветный свет, 8 режимов ГЗ-0045</t>
  </si>
  <si>
    <t>ГЗ-0045</t>
  </si>
  <si>
    <t>4670159187721</t>
  </si>
  <si>
    <t>04670159187721</t>
  </si>
  <si>
    <t>3*2,7 м</t>
  </si>
  <si>
    <t>232644</t>
  </si>
  <si>
    <t>MILED Гирлянда Занавес. 3*2,7 м 210 ламп, тёплый белый свет, 8 режимов ГЗ-0039</t>
  </si>
  <si>
    <t>ГЗ-0039</t>
  </si>
  <si>
    <t>4670159184935</t>
  </si>
  <si>
    <t>04670159184935</t>
  </si>
  <si>
    <t>Метражные</t>
  </si>
  <si>
    <t>232631</t>
  </si>
  <si>
    <t>MILED Гирлянда метражная. 10 м 100 ламп, разноцветный свет, 8 режимов НУ-9781</t>
  </si>
  <si>
    <t>НУ-9781</t>
  </si>
  <si>
    <t>4670159184843</t>
  </si>
  <si>
    <t>04670159184843</t>
  </si>
  <si>
    <t>10 м</t>
  </si>
  <si>
    <t>232632</t>
  </si>
  <si>
    <t>MILED Гирлянда метражная. 10 м 100 ламп, синий свет, 8 режимов НУ-9782</t>
  </si>
  <si>
    <t>НУ-9782</t>
  </si>
  <si>
    <t>4670159184850</t>
  </si>
  <si>
    <t>04670159184850</t>
  </si>
  <si>
    <t>232628</t>
  </si>
  <si>
    <t>MILED Гирлянда метражная. 10 м 100 ламп, тёплый белый свет, 8 режимов НУ-9790</t>
  </si>
  <si>
    <t>НУ-9790</t>
  </si>
  <si>
    <t>4670159184829</t>
  </si>
  <si>
    <t>04670159184829</t>
  </si>
  <si>
    <t>232630</t>
  </si>
  <si>
    <t>MILED Гирлянда метражная. 10 м 100 ламп, холодный белый свет, 8 режимов НУ-9780</t>
  </si>
  <si>
    <t>НУ-9780</t>
  </si>
  <si>
    <t>4670159184836</t>
  </si>
  <si>
    <t>04670159184836</t>
  </si>
  <si>
    <t>232636</t>
  </si>
  <si>
    <t>MILED Гирлянда метражная. 25 м 250 ламп, разноцветный свет, 8 режимов НУ-9785</t>
  </si>
  <si>
    <t>НУ-9785</t>
  </si>
  <si>
    <t>4670159184881</t>
  </si>
  <si>
    <t>04670159184881</t>
  </si>
  <si>
    <t>25 м</t>
  </si>
  <si>
    <t>232633</t>
  </si>
  <si>
    <t>MILED Гирлянда метражная. 25 м 250 ламп, тёплый белый свет, 8 режимов НУ-9783</t>
  </si>
  <si>
    <t>НУ-9783</t>
  </si>
  <si>
    <t>4670159184867</t>
  </si>
  <si>
    <t>04670159184867</t>
  </si>
  <si>
    <t>232635</t>
  </si>
  <si>
    <t>MILED Гирлянда метражная. 25 м 250 ламп, холодный белый свет, 8 режимов НУ-9784</t>
  </si>
  <si>
    <t>НУ-9784</t>
  </si>
  <si>
    <t>4670159184874</t>
  </si>
  <si>
    <t>257570</t>
  </si>
  <si>
    <t>MILED Светодиодная "Умная" лента, 10м, 100 ламп RGB, IP44,16млн цветов, пульт,Bluetooth,APP, НУ-9799</t>
  </si>
  <si>
    <t>НУ-9799</t>
  </si>
  <si>
    <t>4630493773646</t>
  </si>
  <si>
    <t>04630493773646</t>
  </si>
  <si>
    <t>Проволоки</t>
  </si>
  <si>
    <t>257478</t>
  </si>
  <si>
    <t>MILED гирлянда роса "Хвойная лапа", 10м, 300ламп,8 реж, зелёный провод, хол.белый свет,220V, ГП-0007</t>
  </si>
  <si>
    <t>ГП-0007</t>
  </si>
  <si>
    <t>4630493773592</t>
  </si>
  <si>
    <t>04630493773592</t>
  </si>
  <si>
    <t>232705</t>
  </si>
  <si>
    <t>MILED Гирлянда-проволока. 10 м 100 ламп, 8 режимов, разноцветный свет, USB 5V НУ-3024</t>
  </si>
  <si>
    <t>НУ-3024</t>
  </si>
  <si>
    <t>4670159185055</t>
  </si>
  <si>
    <t>04670159185055</t>
  </si>
  <si>
    <t>232702</t>
  </si>
  <si>
    <t>MILED Гирлянда-проволока. 10 м 100 ламп, 8 режимов, тёплый белый свет, USB 5V НУ-3022</t>
  </si>
  <si>
    <t>НУ-3022</t>
  </si>
  <si>
    <t>4670159185031</t>
  </si>
  <si>
    <t>04670159185031</t>
  </si>
  <si>
    <t>232704</t>
  </si>
  <si>
    <t>MILED Гирлянда-проволока. 10 м 100 ламп, 8 режимов, холодный белый свет, USB 5V НУ-3023</t>
  </si>
  <si>
    <t>НУ-3023</t>
  </si>
  <si>
    <t>4670159185048</t>
  </si>
  <si>
    <t>04670159185048</t>
  </si>
  <si>
    <t>232716</t>
  </si>
  <si>
    <t>MILED Гирлянда-проволока. 100 м 1000 ламп, 8 режимов, пульт, тёплый белый свет, 220V НУ-3030</t>
  </si>
  <si>
    <t>НУ-3030</t>
  </si>
  <si>
    <t>4670159185116</t>
  </si>
  <si>
    <t>100 м</t>
  </si>
  <si>
    <t>232718</t>
  </si>
  <si>
    <t>MILED Гирлянда-проволока. 100 м 1000 ламп, 8 режимов, пульт, холодный белый свет, 220V НУ-3031</t>
  </si>
  <si>
    <t>НУ-3031</t>
  </si>
  <si>
    <t>4670159185123</t>
  </si>
  <si>
    <t>04670159185123</t>
  </si>
  <si>
    <t>232711</t>
  </si>
  <si>
    <t>MILED Гирлянда-проволока. 20 м 200 ламп, 8 режимов, пульт, разноцветный свет, USB 5V НУ-3027</t>
  </si>
  <si>
    <t>НУ-3027</t>
  </si>
  <si>
    <t>4670159185086</t>
  </si>
  <si>
    <t>04670159185086</t>
  </si>
  <si>
    <t xml:space="preserve"> 20 м</t>
  </si>
  <si>
    <t>232707</t>
  </si>
  <si>
    <t>MILED Гирлянда-проволока. 20 м 200 ламп, 8 режимов, пульт, тёплый белый свет, USB 5V НУ-3025</t>
  </si>
  <si>
    <t>НУ-3025</t>
  </si>
  <si>
    <t>4670159185062</t>
  </si>
  <si>
    <t>04670159185062</t>
  </si>
  <si>
    <t>232709</t>
  </si>
  <si>
    <t>MILED Гирлянда-проволока. 20 м 200 ламп, 8 режимов, пульт, холодный белый свет, USB 5V НУ-3026</t>
  </si>
  <si>
    <t>НУ-3026</t>
  </si>
  <si>
    <t>4670159185079</t>
  </si>
  <si>
    <t>04670159185079</t>
  </si>
  <si>
    <t>232719</t>
  </si>
  <si>
    <t>MILED Гирлянда-проволока. 200 м 2000 ламп, 8 режимов, пульт, тёплый белый свет, 220V НУ-3032</t>
  </si>
  <si>
    <t>НУ-3032</t>
  </si>
  <si>
    <t>4670159185130</t>
  </si>
  <si>
    <t>04670159185130</t>
  </si>
  <si>
    <t>200 м</t>
  </si>
  <si>
    <t>232722</t>
  </si>
  <si>
    <t>MILED Гирлянда-проволока. 3*3 м 300 ламп, тёплый белый свет, 220 V НУ-3035</t>
  </si>
  <si>
    <t>НУ-3035</t>
  </si>
  <si>
    <t>4670159185161</t>
  </si>
  <si>
    <t>04670159185161</t>
  </si>
  <si>
    <t>3*3 м</t>
  </si>
  <si>
    <t>232720</t>
  </si>
  <si>
    <t>MILED Гирлянда-проволока. 3*3 м 300 ламп, тёплый белый свет, USB 5V НУ-3033</t>
  </si>
  <si>
    <t>НУ-3033</t>
  </si>
  <si>
    <t>4670159185147</t>
  </si>
  <si>
    <t>04670159185147</t>
  </si>
  <si>
    <t>232721</t>
  </si>
  <si>
    <t>MILED Гирлянда-проволока. 3*3 м 300 ламп, холодный белый свет, USB 5V НУ-3034</t>
  </si>
  <si>
    <t>НУ-3034</t>
  </si>
  <si>
    <t>4670159185154</t>
  </si>
  <si>
    <t>04670159185154</t>
  </si>
  <si>
    <t>232700</t>
  </si>
  <si>
    <t>MILED Гирлянда-проволока. 5 м 50 ламп, разноцветный свет, USB 5V НУ-3021</t>
  </si>
  <si>
    <t>НУ-3021</t>
  </si>
  <si>
    <t>4670159185024</t>
  </si>
  <si>
    <t>04670159185024</t>
  </si>
  <si>
    <t>5 м</t>
  </si>
  <si>
    <t>232697</t>
  </si>
  <si>
    <t>MILED Гирлянда-проволока. 5 м 50 ламп, тёплый белый свет, USB 5V НУ-3019</t>
  </si>
  <si>
    <t>НУ-3019</t>
  </si>
  <si>
    <t>4670159185000</t>
  </si>
  <si>
    <t>04670159185000</t>
  </si>
  <si>
    <t>232699</t>
  </si>
  <si>
    <t>MILED Гирлянда-проволока. 5 м 50 ламп, холодный белый свет, USB 5V НУ-3020</t>
  </si>
  <si>
    <t>НУ-3020</t>
  </si>
  <si>
    <t>4670159185017</t>
  </si>
  <si>
    <t>04670159185017</t>
  </si>
  <si>
    <t>232715</t>
  </si>
  <si>
    <t>MILED Гирлянда-проволока. 50 м 500 ламп, 8 режимов, пульт, холодный белый свет, 220V НУ-3029</t>
  </si>
  <si>
    <t>НУ-3029</t>
  </si>
  <si>
    <t>4670159185109</t>
  </si>
  <si>
    <t>04670159185109</t>
  </si>
  <si>
    <t>50 м</t>
  </si>
  <si>
    <t>232713</t>
  </si>
  <si>
    <t>Гирлянда-проволока. 50м 500 ламп,8реж., пульт, тёплый белый свет, 220V НУ-3028</t>
  </si>
  <si>
    <t>НУ-3028</t>
  </si>
  <si>
    <t>4670159185093</t>
  </si>
  <si>
    <t>Шторы</t>
  </si>
  <si>
    <t>232687</t>
  </si>
  <si>
    <t>MILED Гирлянда светодиодная. Штора. С фигур. 2,5*1 м , 92 ламп, , 8 реж., тепл. бел. свет ГШ-0024</t>
  </si>
  <si>
    <t>ГШ-0024</t>
  </si>
  <si>
    <t>4670159184966</t>
  </si>
  <si>
    <t>04670159184966</t>
  </si>
  <si>
    <t xml:space="preserve"> 3*1 м </t>
  </si>
  <si>
    <t>232688</t>
  </si>
  <si>
    <t>MILED Гирлянда светодиодная. Штора. С фигур. 2,5*1 м , 92 ламп, , 8 режим., холод. бел. свет ГШ-0025</t>
  </si>
  <si>
    <t>ГШ-0025</t>
  </si>
  <si>
    <t>4670159184973</t>
  </si>
  <si>
    <t>04670159184973</t>
  </si>
  <si>
    <t>237435</t>
  </si>
  <si>
    <t>MILED Гирлянда светодиодная. Штора. С фигур. 2,5*1 м , 92 ламп, 8 режим., разноцветный свет  ГШ-0028</t>
  </si>
  <si>
    <t>ГШ-0028</t>
  </si>
  <si>
    <t>4670159206958</t>
  </si>
  <si>
    <t>04670159206958</t>
  </si>
  <si>
    <t>2,5*1 м</t>
  </si>
  <si>
    <t>237436</t>
  </si>
  <si>
    <t>MILED Гирлянда Штора. "Звездное небо" 2,5*1м 92 лампы,8реж., разноцветный свет ГШ-0029</t>
  </si>
  <si>
    <t>ГШ-0029</t>
  </si>
  <si>
    <t>4670159206965</t>
  </si>
  <si>
    <t>04670159206965</t>
  </si>
  <si>
    <t>232690</t>
  </si>
  <si>
    <t>MILED Гирлянда Штора. "Звездное небо" 2,5*1м 92 лампы,8реж., тёплый белый свет ГШ-0026</t>
  </si>
  <si>
    <t>ГШ-0026</t>
  </si>
  <si>
    <t>4670159184980</t>
  </si>
  <si>
    <t>04670159184980</t>
  </si>
  <si>
    <t>232693</t>
  </si>
  <si>
    <t>MILED Гирлянда Штора. "Звездное небо" 2,5*1м 92 лампы,8реж., холодный белый свет ГШ-0027</t>
  </si>
  <si>
    <t>ГШ-0027</t>
  </si>
  <si>
    <t>4670159184997</t>
  </si>
  <si>
    <t>04670159184997</t>
  </si>
  <si>
    <t>С насадками</t>
  </si>
  <si>
    <t>275951</t>
  </si>
  <si>
    <t>MILED Гирлянда с насадками "Сосульки", 7 блоков 21,5см, разноцв. 1,5м+2м, 8 реж. соб.раз. ГН-0041</t>
  </si>
  <si>
    <t>ГН-0041</t>
  </si>
  <si>
    <t>4680942640999</t>
  </si>
  <si>
    <t>04680942640999</t>
  </si>
  <si>
    <t>275952</t>
  </si>
  <si>
    <t>MILED Гирлянда с насадками "Сосульки", 7 блоков 21,5см, синий 1,5м+2м, 220В, 8 реж. соб.раз ГН-0042</t>
  </si>
  <si>
    <t>ГН-0042</t>
  </si>
  <si>
    <t>4680942641002</t>
  </si>
  <si>
    <t>04680942641002</t>
  </si>
  <si>
    <t>275950</t>
  </si>
  <si>
    <t>MILED Гирлянда с насадками "Сосульки", 7 блоков 21,5см, хол.бел, 1,5м+2м, 8 реж, соб.раз.ГН-0040</t>
  </si>
  <si>
    <t>ГН-0040</t>
  </si>
  <si>
    <t>4680942640982</t>
  </si>
  <si>
    <t>04680942640982</t>
  </si>
  <si>
    <t>275954</t>
  </si>
  <si>
    <t>MILED Гирлянда с насадками "Сосульки", 9 блоков, 21,5см, разноцвет.,  2м+2м, 8 реж. соб.раз. ГН-0044</t>
  </si>
  <si>
    <t>ГН-0044</t>
  </si>
  <si>
    <t>4680942641026</t>
  </si>
  <si>
    <t>04680942641026</t>
  </si>
  <si>
    <t>275955</t>
  </si>
  <si>
    <t>MILED Гирлянда с насадками "Сосульки", 9 блоков, 21,5см, синий,  2м+2м, 220В, 8 реж. соб.раз ГН-0045</t>
  </si>
  <si>
    <t>ГН-0045</t>
  </si>
  <si>
    <t>4680942641033</t>
  </si>
  <si>
    <t>04680942641033</t>
  </si>
  <si>
    <t>275953</t>
  </si>
  <si>
    <t>MILED Гирлянда с насадками "Сосульки", 9 блоков, 21,5см, хол. белый,  2м+2м, 8 реж. соб.раз. ГН-0043</t>
  </si>
  <si>
    <t>ГН-0043</t>
  </si>
  <si>
    <t>4680942641019</t>
  </si>
  <si>
    <t>04680942641019</t>
  </si>
  <si>
    <t>Уличные</t>
  </si>
  <si>
    <t>Бахрома</t>
  </si>
  <si>
    <t>232745</t>
  </si>
  <si>
    <t>MILED Гирлянда Уличная. 12 м, 240 ламп, разноцветный свет НГУ-0086</t>
  </si>
  <si>
    <t>НГУ-0086</t>
  </si>
  <si>
    <t>4670159185277</t>
  </si>
  <si>
    <t>12 м</t>
  </si>
  <si>
    <t>232743</t>
  </si>
  <si>
    <t>MILED Гирлянда Уличная. 12 м, 240 ламп, тёплый белый свет НГУ-0084</t>
  </si>
  <si>
    <t>НГУ-0084</t>
  </si>
  <si>
    <t>4670159185253</t>
  </si>
  <si>
    <t>04670159185253</t>
  </si>
  <si>
    <t>232744</t>
  </si>
  <si>
    <t>MILED Гирлянда Уличная. 12 м, 240 ламп, холодный белый свет НГУ-0085</t>
  </si>
  <si>
    <t>НГУ-0085</t>
  </si>
  <si>
    <t>4670159185260</t>
  </si>
  <si>
    <t>04670159185260</t>
  </si>
  <si>
    <t>232742</t>
  </si>
  <si>
    <t>MILED Гирлянда Уличная. 25 м, 120 линий, 600 ламп, тёплый белый свет НГУ-0083</t>
  </si>
  <si>
    <t>НГУ-0083</t>
  </si>
  <si>
    <t>4670159185246</t>
  </si>
  <si>
    <t>232741</t>
  </si>
  <si>
    <t>MILED Гирлянда Уличная. 4*0,7 м, 108 ламп, разноцветный свет, 8 режимов НГУ-0082</t>
  </si>
  <si>
    <t>НГУ-0082</t>
  </si>
  <si>
    <t>4670159185239</t>
  </si>
  <si>
    <t>04670159185239</t>
  </si>
  <si>
    <t>4*0,7 м</t>
  </si>
  <si>
    <t>232738</t>
  </si>
  <si>
    <t>MILED Гирлянда Уличная. 4*0,7 м, 108 ламп, тёплый белый свет, 1 режимов НГУ-0080</t>
  </si>
  <si>
    <t>НГУ-0080</t>
  </si>
  <si>
    <t>4670159185215</t>
  </si>
  <si>
    <t>04670159185215</t>
  </si>
  <si>
    <t>232739</t>
  </si>
  <si>
    <t>MILED Гирлянда Уличная. 4*0,7 м, 108 ламп, холодный белый свет, 1 режим НГУ-0081</t>
  </si>
  <si>
    <t>НГУ-0081</t>
  </si>
  <si>
    <t>4670159185222</t>
  </si>
  <si>
    <t>04670159185222</t>
  </si>
  <si>
    <t>232732</t>
  </si>
  <si>
    <t>MILED Гирлянда Уличная. 4*0,7 м, 72 лампы, тёплый белый свет, 8 режимов НГУ-0077</t>
  </si>
  <si>
    <t>НГУ-0077</t>
  </si>
  <si>
    <t>4670159185185</t>
  </si>
  <si>
    <t>04670159185185</t>
  </si>
  <si>
    <t>232734</t>
  </si>
  <si>
    <t>MILED Гирлянда Уличная. 4*0,7 м, 72 лампы, холодный белый свет, 8 режимов НГУ-0078</t>
  </si>
  <si>
    <t>НГУ-0078</t>
  </si>
  <si>
    <t>4670159185192</t>
  </si>
  <si>
    <t>04670159185192</t>
  </si>
  <si>
    <t>Пластиковые</t>
  </si>
  <si>
    <t>235793</t>
  </si>
  <si>
    <t>MiLED Гирлянда с насадками"Метеоритный дождь"8шт.,30см,мульти свет,220В,3м тип пит:от сети ГН-0015</t>
  </si>
  <si>
    <t>ГН-0015</t>
  </si>
  <si>
    <t>4670159198901</t>
  </si>
  <si>
    <t>04670159198901</t>
  </si>
  <si>
    <t>30CM,8PCS, 3м</t>
  </si>
  <si>
    <t>235791</t>
  </si>
  <si>
    <t>MiLED Гирлянда с насадками"Метеоритный дождь"8шт.30см, хол.бел.свет,3м,220В,тип пит:от сети ГН-0013</t>
  </si>
  <si>
    <t>ГН-0013</t>
  </si>
  <si>
    <t>4670159198888</t>
  </si>
  <si>
    <t>04670159198888</t>
  </si>
  <si>
    <t>50CM,8PCS, 3м</t>
  </si>
  <si>
    <t>235797</t>
  </si>
  <si>
    <t>MiLED Гирлянда с насадками"Метеоритный дождь"8шт.50см, мульти свет,220В,3м тип пит:от сети ГН-0019</t>
  </si>
  <si>
    <t>ГН-0019</t>
  </si>
  <si>
    <t>4670159198949</t>
  </si>
  <si>
    <t>04670159198949</t>
  </si>
  <si>
    <t>235785</t>
  </si>
  <si>
    <t>MiLED Гирлянда с насадками"Морозные сосульки"8шт.30см, синий свет,220В,2,5м,тип пит:от сети ГН-0008</t>
  </si>
  <si>
    <t>ГН-0008</t>
  </si>
  <si>
    <t>4670159198833</t>
  </si>
  <si>
    <t>04670159198833</t>
  </si>
  <si>
    <t>235783</t>
  </si>
  <si>
    <t>MiLED Гирлянда с насадками"Морозные сосульки"8шт.30см, теп.бел.свет,220В,3м,тип пит:от сети ГН-0006</t>
  </si>
  <si>
    <t>ГН-0006</t>
  </si>
  <si>
    <t>4670159198819</t>
  </si>
  <si>
    <t>04670159198819</t>
  </si>
  <si>
    <t>235784</t>
  </si>
  <si>
    <t>MiLED Гирлянда с насадками"Морозные сосульки"8шт.30см,мул. свет,220В,3м,тип пит:от сети ГН-0007</t>
  </si>
  <si>
    <t>ГН-0007</t>
  </si>
  <si>
    <t>4670159198826</t>
  </si>
  <si>
    <t>04670159198826</t>
  </si>
  <si>
    <t>235782</t>
  </si>
  <si>
    <t>MiLED Гирлянда с насадками"Морозные сосульки"8шт.30см.хол.бел.свет,3м,220В,тип пит:от сети ГН-0005</t>
  </si>
  <si>
    <t>ГН-0005</t>
  </si>
  <si>
    <t>4670159198802</t>
  </si>
  <si>
    <t>04670159198802</t>
  </si>
  <si>
    <t>235789</t>
  </si>
  <si>
    <t>MiLED Гирлянда с насадками"Морозные сосульки"8шт.50см, мульти свет,220В,3м тип пит:от сети ГН-0011</t>
  </si>
  <si>
    <t>ГН-0011</t>
  </si>
  <si>
    <t>4670159198864</t>
  </si>
  <si>
    <t>04670159198864</t>
  </si>
  <si>
    <t>235790</t>
  </si>
  <si>
    <t>MiLED Гирлянда с насадками"Морозные сосульки"8шт.50см, синий свет,220В,3м тип пит:от сети ГН-0012</t>
  </si>
  <si>
    <t>ГН-0012</t>
  </si>
  <si>
    <t>4670159198871</t>
  </si>
  <si>
    <t>04670159198871</t>
  </si>
  <si>
    <t>235788</t>
  </si>
  <si>
    <t>MiLED Гирлянда с насадками"Морозные сосульки"8шт.50см, тёпл.бел.свет,220В,3м тип пит:от сети ГН-0010</t>
  </si>
  <si>
    <t>ГН-0010</t>
  </si>
  <si>
    <t>4670159198857</t>
  </si>
  <si>
    <t>04670159198857</t>
  </si>
  <si>
    <t>235786</t>
  </si>
  <si>
    <t>MiLED Гирлянда с насадками"Морозные сосульки"8шт.50см, хол.бел.свет,3м 220В,тип пит:от сети ГН-0009</t>
  </si>
  <si>
    <t>ГН-0009</t>
  </si>
  <si>
    <t>4670159198840</t>
  </si>
  <si>
    <t>04670159198840</t>
  </si>
  <si>
    <t>232751</t>
  </si>
  <si>
    <t>MILED Гирлянда-проволока. 10 м 100 ламп,8 режимов, разноцветный свет, от сети НУ-3039</t>
  </si>
  <si>
    <t>НУ-3039</t>
  </si>
  <si>
    <t>4670159185307</t>
  </si>
  <si>
    <t>04670159185307</t>
  </si>
  <si>
    <t>232748</t>
  </si>
  <si>
    <t>MILED Гирлянда-проволока. 10 м 100 ламп,8 режимов, тёплый белый свет, от сети НУ-3037</t>
  </si>
  <si>
    <t>НУ-3037</t>
  </si>
  <si>
    <t>4670159185284</t>
  </si>
  <si>
    <t>04670159185284</t>
  </si>
  <si>
    <t>232749</t>
  </si>
  <si>
    <t>MILED Гирлянда-проволока. 10 м 100 ламп,8 режимов, холодный белый свет, от сети НУ-3038</t>
  </si>
  <si>
    <t>НУ-3038</t>
  </si>
  <si>
    <t>4670159185291</t>
  </si>
  <si>
    <t>04670159185291</t>
  </si>
  <si>
    <t>232760</t>
  </si>
  <si>
    <t>MILED Гирлянда-проволока. 50 м 500 ламп, разноцветный свет, 220 V НУ-3042</t>
  </si>
  <si>
    <t>НУ-3042</t>
  </si>
  <si>
    <t>4670159185338</t>
  </si>
  <si>
    <t>232756</t>
  </si>
  <si>
    <t>MILED Гирлянда-проволока. 50 м 500 ламп, холодный белый свет, 220 V НУ-3041</t>
  </si>
  <si>
    <t>НУ-3041</t>
  </si>
  <si>
    <t>4670159185321</t>
  </si>
  <si>
    <t>04670159185321</t>
  </si>
  <si>
    <t>232762</t>
  </si>
  <si>
    <t>MILED Гирлянда-проволока. 80 м 500 ламп, тёплый белый свет, 220 V НУ-3043</t>
  </si>
  <si>
    <t>НУ-3043</t>
  </si>
  <si>
    <t>4670159185345</t>
  </si>
  <si>
    <t>04670159185345</t>
  </si>
  <si>
    <t>80 м</t>
  </si>
  <si>
    <t>232764</t>
  </si>
  <si>
    <t>MILED Гирлянда-проволока. 80 м 800 ламп, разноцветный свет, 220 V НУ-3045</t>
  </si>
  <si>
    <t>НУ-3045</t>
  </si>
  <si>
    <t>4670159185369</t>
  </si>
  <si>
    <t>04670159185369</t>
  </si>
  <si>
    <t>232763</t>
  </si>
  <si>
    <t>MILED Гирлянда-проволока. 80 м 800 ламп, холодный белый свет, 220 V НУ-3044</t>
  </si>
  <si>
    <t>НУ-3044</t>
  </si>
  <si>
    <t>4670159185352</t>
  </si>
  <si>
    <t>04670159185352</t>
  </si>
  <si>
    <t>2 Для помещений</t>
  </si>
  <si>
    <t>Гирлянда Бахрома</t>
  </si>
  <si>
    <t>172658</t>
  </si>
  <si>
    <t>Гирлянда Штора. Бахрома (Звёзды) 2,5 м, прозрачная нить, тёпл.бел. свет, 138 ламп, 8 реж. ГШ-0003</t>
  </si>
  <si>
    <t>ГШ-0003</t>
  </si>
  <si>
    <t>4610144857819</t>
  </si>
  <si>
    <t>04610144857819</t>
  </si>
  <si>
    <t>РАСПРОДАЖА</t>
  </si>
  <si>
    <t>172659</t>
  </si>
  <si>
    <t>Гирлянда Штора. Бахрома (Звёзды) 2,5 м, прозрачная нить, холод. бел.свет, 138 ламп, 8 реж  ГШ-0004</t>
  </si>
  <si>
    <t>ГШ-0004</t>
  </si>
  <si>
    <t>4610144857826</t>
  </si>
  <si>
    <t>04610144857826</t>
  </si>
  <si>
    <t>Гирлянда Занавес</t>
  </si>
  <si>
    <t>213743</t>
  </si>
  <si>
    <t>Гирлянда Занавес 2*2 м 100 ламп, разноцветные, 8 режимов.ГЗ-0032</t>
  </si>
  <si>
    <t>ГЗ-0032</t>
  </si>
  <si>
    <t>4670159087076</t>
  </si>
  <si>
    <t>04670159087076</t>
  </si>
  <si>
    <t>213741</t>
  </si>
  <si>
    <t>Гирлянда Занавес 2*2 м 100 ламп, тёплый белый свет, 8 режимов.ГЗ-0030</t>
  </si>
  <si>
    <t>ГЗ-0030</t>
  </si>
  <si>
    <t>4670159087052</t>
  </si>
  <si>
    <t>04670159087052</t>
  </si>
  <si>
    <t>Гирлянда Сетка</t>
  </si>
  <si>
    <t>165085</t>
  </si>
  <si>
    <t>Гирлянда Сетка 3х2м, прозр.нить, 192 теплых белых лампы, 8 реж. Для использования в доме НУ-3636</t>
  </si>
  <si>
    <t>НУ-3636</t>
  </si>
  <si>
    <t>4610144816366</t>
  </si>
  <si>
    <t>04610144816366</t>
  </si>
  <si>
    <t>173531</t>
  </si>
  <si>
    <t>Гирлянда. Сетка 3х2 м, прозрачная нить,192 лампы, синих ламп, 8 режимов  ГС-0004</t>
  </si>
  <si>
    <t>ГС-0004</t>
  </si>
  <si>
    <t>4610144856140</t>
  </si>
  <si>
    <t>04610144856140</t>
  </si>
  <si>
    <t>173529</t>
  </si>
  <si>
    <t>Гирлянда. Сетка 3х2 м, прозрачная нить,192 лампы, тёплый белый свет, 8 режимов  ГС-0002</t>
  </si>
  <si>
    <t>ГС-0002</t>
  </si>
  <si>
    <t>4610144856126</t>
  </si>
  <si>
    <t>04610144856126</t>
  </si>
  <si>
    <t>173528</t>
  </si>
  <si>
    <t>Гирлянда. Сетка 3х2 м, прозрачная нить,192 лампы, холодный белый свет, 8 режимов ГС-0001</t>
  </si>
  <si>
    <t>ГС-0001</t>
  </si>
  <si>
    <t>4610144856119</t>
  </si>
  <si>
    <t>04610144856119</t>
  </si>
  <si>
    <t>Гирлянда Штора</t>
  </si>
  <si>
    <t>213747</t>
  </si>
  <si>
    <t>"Гирлянда Штора."Сказочный лес"4шт-10см,4шт-20см,длина 2,5м,92 ламп,холод.белый свет.8 режим.ГШ-0021</t>
  </si>
  <si>
    <t>ГШ-0021</t>
  </si>
  <si>
    <t>4670159087113</t>
  </si>
  <si>
    <t>04670159087113</t>
  </si>
  <si>
    <t>188425</t>
  </si>
  <si>
    <t>Гирлянда Штора 3 м, длины 40 см и 65 см, тёмная нить, 140 разноцветных ламп, 8 режимов ГШ-0012</t>
  </si>
  <si>
    <t>ГШ-0012</t>
  </si>
  <si>
    <t>4620129753616</t>
  </si>
  <si>
    <t>04620129753616</t>
  </si>
  <si>
    <t>Гирлянды метражные</t>
  </si>
  <si>
    <t>173541</t>
  </si>
  <si>
    <t>Гирлянда метражная 10 м, тёмная нить, 100  ламп, разноцветный свет. НУ-9702</t>
  </si>
  <si>
    <t>НУ-9702</t>
  </si>
  <si>
    <t>4610144871600</t>
  </si>
  <si>
    <t>04610144871600</t>
  </si>
  <si>
    <t>ЛИКВИДАЦИЯ ОСТАТКОВ</t>
  </si>
  <si>
    <t>173539</t>
  </si>
  <si>
    <t>Гирлянда метражная 10 м, тёмная нить, 100  ламп, холодный белый свет. НУ-9700</t>
  </si>
  <si>
    <t>НУ-9700</t>
  </si>
  <si>
    <t>4610144871587</t>
  </si>
  <si>
    <t>04610144871587</t>
  </si>
  <si>
    <t>194344</t>
  </si>
  <si>
    <t>Гирлянда светодиодная. Метражная 10 м, 100 ламп, теплый белый свет, 8 режимов НУ-9728</t>
  </si>
  <si>
    <t>НУ-9728</t>
  </si>
  <si>
    <t>4620129785174</t>
  </si>
  <si>
    <t>04620129785174</t>
  </si>
  <si>
    <t>Гирлянды с насадками</t>
  </si>
  <si>
    <t>171756</t>
  </si>
  <si>
    <t>Гирлянда с насадками Звездочки 1,6 м 10 фигур работает от батареек 2*АА ГН-0031</t>
  </si>
  <si>
    <t>ГН-0031</t>
  </si>
  <si>
    <t>4610144857857</t>
  </si>
  <si>
    <t>04610144857857</t>
  </si>
  <si>
    <t>1,6 м</t>
  </si>
  <si>
    <t>173537</t>
  </si>
  <si>
    <t>Гирлянда с насадками Светящиеся прищепки, 150 см, 10 прищепок ГН-0028</t>
  </si>
  <si>
    <t>ГН-0028</t>
  </si>
  <si>
    <t>4610144861519</t>
  </si>
  <si>
    <t>04610144861519</t>
  </si>
  <si>
    <t>Гирлянды-проволоки</t>
  </si>
  <si>
    <t>196748</t>
  </si>
  <si>
    <t>Гирлянда светодиодная. Проволока 10 м, 100 разноцветных ламп НУ-3008</t>
  </si>
  <si>
    <t>НУ-3008</t>
  </si>
  <si>
    <t>4620129781145</t>
  </si>
  <si>
    <t>04620129781145</t>
  </si>
  <si>
    <t>213758</t>
  </si>
  <si>
    <t>Гирлянда-проволока 10 м 100 ламп, разноцветные, USB 5V, с пультом управления.НУ-3018</t>
  </si>
  <si>
    <t>НУ-3018</t>
  </si>
  <si>
    <t>4670159087205</t>
  </si>
  <si>
    <t>04670159087205</t>
  </si>
  <si>
    <t>213755</t>
  </si>
  <si>
    <t>Гирлянда-проволока 10 м 100 ламп, тёплый белый свет, USB 5V, с пультом управления.НУ-3016</t>
  </si>
  <si>
    <t>НУ-3016</t>
  </si>
  <si>
    <t>4670159087182</t>
  </si>
  <si>
    <t>04670159087182</t>
  </si>
  <si>
    <t>240494</t>
  </si>
  <si>
    <t>Гирлянда-проволока 50 м 500 ламп, разноцветный свет, 220V НУ-3055</t>
  </si>
  <si>
    <t>НУ-3055</t>
  </si>
  <si>
    <t>4670159201052</t>
  </si>
  <si>
    <t>240492</t>
  </si>
  <si>
    <t>Гирлянда-проволока 50 м 500 ламп, тёплый белый свет, 220V НУ-3053</t>
  </si>
  <si>
    <t>НУ-3053</t>
  </si>
  <si>
    <t>4670159201038</t>
  </si>
  <si>
    <t>04670159201038</t>
  </si>
  <si>
    <t>240493</t>
  </si>
  <si>
    <t>Гирлянда-проволока 50 м 500 ламп, холод.бел. свет, 220V НУ-3054</t>
  </si>
  <si>
    <t>НУ-3054</t>
  </si>
  <si>
    <t>4670159201045</t>
  </si>
  <si>
    <t>165109</t>
  </si>
  <si>
    <t>Новогоднее украшение Гирлянда-проволока 1,9 м, 20 фиолетовых ламп, на батарейках 2*CR2032 НУ-3650</t>
  </si>
  <si>
    <t>НУ-3650</t>
  </si>
  <si>
    <t>4610144816502</t>
  </si>
  <si>
    <t>04610144816502</t>
  </si>
  <si>
    <t>Другие</t>
  </si>
  <si>
    <t>237146</t>
  </si>
  <si>
    <t>Гирлянда метражная с верхушкой "Елка"  9м, 100 ламп, разноцветная, 8 режимов, от сети 220В ГМВ-0003</t>
  </si>
  <si>
    <t>ГМВ-0003</t>
  </si>
  <si>
    <t>4670159207924</t>
  </si>
  <si>
    <t>04670159207924</t>
  </si>
  <si>
    <t>251760</t>
  </si>
  <si>
    <t>Светодиодная гирлянда "Веточки" 3 шт.в комплекте, 70 см, от батареек (6*АА, не в комплекте) ГСВ-2677</t>
  </si>
  <si>
    <t>ГСВ-2677</t>
  </si>
  <si>
    <t>4640306926770</t>
  </si>
  <si>
    <t>04640306926770</t>
  </si>
  <si>
    <t>3 Универсальные</t>
  </si>
  <si>
    <t>212361</t>
  </si>
  <si>
    <t>Гирлянда  "Закат".  Уличная 15м, 50 ламп, мульти свет, режим питания: от сети 220В НГУ-0066</t>
  </si>
  <si>
    <t>НГУ-0066</t>
  </si>
  <si>
    <t>4670159087441</t>
  </si>
  <si>
    <t>04670159087441</t>
  </si>
  <si>
    <t>15M/50L</t>
  </si>
  <si>
    <t>212358</t>
  </si>
  <si>
    <t>Гирлянда  "Закат".  Уличная 5м, 25 ламп, мульти свет, режим питания: от сети 220В НГУ-0063</t>
  </si>
  <si>
    <t>НГУ-0063</t>
  </si>
  <si>
    <t>4670159087410</t>
  </si>
  <si>
    <t>04670159087410</t>
  </si>
  <si>
    <t>5M/25L</t>
  </si>
  <si>
    <t>212359</t>
  </si>
  <si>
    <t>Гирлянда  "Закат".  Уличная 7,5м, 25 ламп, мульти свет, режим питания: от сети 220В НГУ-0064</t>
  </si>
  <si>
    <t>НГУ-0064</t>
  </si>
  <si>
    <t>4670159087427</t>
  </si>
  <si>
    <t>04670159087427</t>
  </si>
  <si>
    <t>7.5M/25L</t>
  </si>
  <si>
    <t>212366</t>
  </si>
  <si>
    <t>Гирлянда  "Яркий свет".  Уличная 5м, 25 ламп, мульти свет, режим питания: от сети 220В НГУ-0071</t>
  </si>
  <si>
    <t>НГУ-0071</t>
  </si>
  <si>
    <t>4670159087496</t>
  </si>
  <si>
    <t>04670159087496</t>
  </si>
  <si>
    <t>212368</t>
  </si>
  <si>
    <t>Гирлянда  "Яркий свет".  Уличная 7,5м, 25 ламп, мульти свет, режим питания: от сети 220В НГУ-0072</t>
  </si>
  <si>
    <t>НГУ-0072</t>
  </si>
  <si>
    <t>4670159087502</t>
  </si>
  <si>
    <t>04670159087502</t>
  </si>
  <si>
    <t>212363</t>
  </si>
  <si>
    <t>Гирлянда  "Яркий свет".  Уличная 7,5м, 25 ламп, теплый свет, режим питания: от сети 220В НГУ-0068</t>
  </si>
  <si>
    <t>НГУ-0068</t>
  </si>
  <si>
    <t>4670159087465</t>
  </si>
  <si>
    <t>04670159087465</t>
  </si>
  <si>
    <t>212339</t>
  </si>
  <si>
    <t>Гирлянда  Уличная 10м, 20 ламп, мульти свет, режим питания: от сети 220В НУ-9750</t>
  </si>
  <si>
    <t>НУ-9750</t>
  </si>
  <si>
    <t>4670159087274</t>
  </si>
  <si>
    <t>04670159087274</t>
  </si>
  <si>
    <t>10M/20L</t>
  </si>
  <si>
    <t>212337</t>
  </si>
  <si>
    <t>Гирлянда  Уличная 5м, 25 ламп, мульти свет, режим питания: от сети 220В НУ-9748</t>
  </si>
  <si>
    <t>НУ-9748</t>
  </si>
  <si>
    <t>4670159087250</t>
  </si>
  <si>
    <t>04670159087250</t>
  </si>
  <si>
    <t>212338</t>
  </si>
  <si>
    <t>Гирлянда  Уличная 7,5м, 25 ламп, мульти свет, режим питания: от сети 220В НУ-9749</t>
  </si>
  <si>
    <t>НУ-9749</t>
  </si>
  <si>
    <t>4670159087267</t>
  </si>
  <si>
    <t>04670159087267</t>
  </si>
  <si>
    <t>212342</t>
  </si>
  <si>
    <t>Гирлянда "Звездная пыль". Уличная 5м, 25 ламп, мульти свет, режим питания: от сети 220В НУ-9751</t>
  </si>
  <si>
    <t>НУ-9751</t>
  </si>
  <si>
    <t>4670159087281</t>
  </si>
  <si>
    <t>04670159087281</t>
  </si>
  <si>
    <t>212382</t>
  </si>
  <si>
    <t>Гирлянда "Звездный свет". Уличная 15м, 50 ламп, теплый свет, режим питания: от сети 220В НУ-9771</t>
  </si>
  <si>
    <t>НУ-9771</t>
  </si>
  <si>
    <t>4670159087601</t>
  </si>
  <si>
    <t>04670159087601</t>
  </si>
  <si>
    <t>212378</t>
  </si>
  <si>
    <t>Гирлянда "Звездный свет". Уличная 5м, 25ламп, теплый свет, режим питания: от сети 220В НУ-9768</t>
  </si>
  <si>
    <t>НУ-9768</t>
  </si>
  <si>
    <t>4670159087571</t>
  </si>
  <si>
    <t>04670159087571</t>
  </si>
  <si>
    <t>212346</t>
  </si>
  <si>
    <t>Гирлянда "Капля". Уличная 7,5м, 25 ламп, теплый свет, режим питания: от сети 220В НУ-9755</t>
  </si>
  <si>
    <t>НУ-9755</t>
  </si>
  <si>
    <t>4670159087328</t>
  </si>
  <si>
    <t>04670159087328</t>
  </si>
  <si>
    <t>212334</t>
  </si>
  <si>
    <t>Гирлянда "Праздничная". Уличная 5м, 25 ламп, теплый свет, режим питания: от сети 220В НУ-9745</t>
  </si>
  <si>
    <t>НУ-9745</t>
  </si>
  <si>
    <t>4670159087229</t>
  </si>
  <si>
    <t>04670159087229</t>
  </si>
  <si>
    <t>212335</t>
  </si>
  <si>
    <t>Гирлянда "Праздничная". Уличная 7,5м, 25 ламп, теплый свет, режим питания: от сети 220В НУ-9746</t>
  </si>
  <si>
    <t>НУ-9746</t>
  </si>
  <si>
    <t>4670159087236</t>
  </si>
  <si>
    <t>04670159087236</t>
  </si>
  <si>
    <t>212391</t>
  </si>
  <si>
    <t>Гирлянда "Рябь". Уличная 10м, 20ламп, теплый свет, режим питания: от сети 220В НУ-9777</t>
  </si>
  <si>
    <t>НУ-9777</t>
  </si>
  <si>
    <t>4670159087663</t>
  </si>
  <si>
    <t>04670159087663</t>
  </si>
  <si>
    <t>212389</t>
  </si>
  <si>
    <t>Гирлянда "Рябь". Уличная 5м, 25ламп, теплый свет, режим питания: от сети 220В НУ-9775</t>
  </si>
  <si>
    <t>НУ-9775</t>
  </si>
  <si>
    <t>4670159087649</t>
  </si>
  <si>
    <t>04670159087649</t>
  </si>
  <si>
    <t>212390</t>
  </si>
  <si>
    <t>Гирлянда "Рябь". Уличная 7,5м, 25ламп, теплый свет, режим питания: от сети 220В НУ-9776</t>
  </si>
  <si>
    <t>НУ-9776</t>
  </si>
  <si>
    <t>4670159087656</t>
  </si>
  <si>
    <t>04670159087656</t>
  </si>
  <si>
    <t>212357</t>
  </si>
  <si>
    <t>Гирлянда "Уютный вечер". Уличная 15м, 50ламп, мульти свет, режим питания: от сети 220В НУ-9763</t>
  </si>
  <si>
    <t>НУ-9763</t>
  </si>
  <si>
    <t>4670159087403</t>
  </si>
  <si>
    <t>04670159087403</t>
  </si>
  <si>
    <t>194804</t>
  </si>
  <si>
    <t>Гирлянда светодиодная. Уличная "Ретро", 15 м, 50 ламп, теплый свет НГУ-0050</t>
  </si>
  <si>
    <t>НГУ-0050</t>
  </si>
  <si>
    <t>4620129786829</t>
  </si>
  <si>
    <t>04620129786829</t>
  </si>
  <si>
    <t>15 м 50 ламп</t>
  </si>
  <si>
    <t>194802</t>
  </si>
  <si>
    <t>Гирлянда светодиодная. Уличная "Ретро", 7,5 м, 25 ламп, теплый свет НГУ-0048</t>
  </si>
  <si>
    <t>НГУ-0048</t>
  </si>
  <si>
    <t>4620129786805</t>
  </si>
  <si>
    <t>04620129786805</t>
  </si>
  <si>
    <t>7,5 м 25 ламп</t>
  </si>
  <si>
    <t>164800</t>
  </si>
  <si>
    <t>Гирлянда Дюралайт, 8 м, прозрачный, 80 теплых белых ламп, на батарейках 3*AA  НУ-3672</t>
  </si>
  <si>
    <t>НУ-3672</t>
  </si>
  <si>
    <t>4610144816724</t>
  </si>
  <si>
    <t>04610144816724</t>
  </si>
  <si>
    <t>165122</t>
  </si>
  <si>
    <t>Гирлянда с нас.Звездочки,прозр.нить,4м, LED-40,1режим,разноцветные. Для исп. в доме и на ул. НУ-3662</t>
  </si>
  <si>
    <t>НУ-3662</t>
  </si>
  <si>
    <t>4610144816625</t>
  </si>
  <si>
    <t>04610144816625</t>
  </si>
  <si>
    <t>165126</t>
  </si>
  <si>
    <t>Гирлянда с нас.Шарики рельефные,прозр.нить,4м, LED-40,1реж,разноцвет. Для исп.в доме и на ул.НУ-3664</t>
  </si>
  <si>
    <t>НУ-3664</t>
  </si>
  <si>
    <t>4610144816649</t>
  </si>
  <si>
    <t>04610144816649</t>
  </si>
  <si>
    <t>Аксессуары для электрических гирлянд</t>
  </si>
  <si>
    <t>226678</t>
  </si>
  <si>
    <t>Держатели для проводов/гирлянд пластик (наб. 10 шт) с липким слоем, разноцвет, 2*2*0,6см, ПДП-6176</t>
  </si>
  <si>
    <t>ПДП-6176</t>
  </si>
  <si>
    <t>4670159161769</t>
  </si>
  <si>
    <t>22.23.19.190</t>
  </si>
  <si>
    <t>3925901000</t>
  </si>
  <si>
    <t>2*2*0,6 см</t>
  </si>
  <si>
    <t>213753</t>
  </si>
  <si>
    <t>Набор аксесуаров для гирлянд: удлинитель  5 метров  + 9 крючков.НУ-8717</t>
  </si>
  <si>
    <t>НУ-8717</t>
  </si>
  <si>
    <t>4670159087175</t>
  </si>
  <si>
    <t>27.32.13.199</t>
  </si>
  <si>
    <t>8544429009</t>
  </si>
  <si>
    <t>187395</t>
  </si>
  <si>
    <t>Набор самоклеящихся крючков (для гирлянд), 18 шт. НУ-5504</t>
  </si>
  <si>
    <t>НУ-5504</t>
  </si>
  <si>
    <t>4620129745048</t>
  </si>
  <si>
    <t>1,6*1,6 см</t>
  </si>
  <si>
    <t>203558</t>
  </si>
  <si>
    <t>Набор самоклеящихся крючков (для гирлянд), 72 шт. НУ-2261</t>
  </si>
  <si>
    <t>НУ-2261</t>
  </si>
  <si>
    <t>4670159022619</t>
  </si>
  <si>
    <t>203559</t>
  </si>
  <si>
    <t>Набор самоклеящихся крючков (для гирлянд), 90 шт. НУ-2262</t>
  </si>
  <si>
    <t>НУ-2262</t>
  </si>
  <si>
    <t>4670159022626</t>
  </si>
  <si>
    <t>165099</t>
  </si>
  <si>
    <t>Удлинитель для гирлянды, 3 м, прозрачная нить НУ-3646</t>
  </si>
  <si>
    <t>НУ-3646</t>
  </si>
  <si>
    <t>4610144816465</t>
  </si>
  <si>
    <t>165100</t>
  </si>
  <si>
    <t>Удлинитель для гирлянды, 5 м, прозрачная нить НУ-3647</t>
  </si>
  <si>
    <t>НУ-3647</t>
  </si>
  <si>
    <t>4610144816472</t>
  </si>
  <si>
    <t>02 Товары с предсказаниями</t>
  </si>
  <si>
    <t xml:space="preserve"> 1 Капсулы с предсказаниями, фантами, пожеланиями</t>
  </si>
  <si>
    <t>197319</t>
  </si>
  <si>
    <t>Новогодние витамины в капсулах с предсказаниями, фантами, пожеланиями НЖ-0238</t>
  </si>
  <si>
    <t>НЖ-0238</t>
  </si>
  <si>
    <t>4670159002383</t>
  </si>
  <si>
    <t>270432</t>
  </si>
  <si>
    <t>Новогодние МУЛЬТИвитамины "Огонёк" в капсулах (3 в 1) нж-0715</t>
  </si>
  <si>
    <t>НЖ-0715</t>
  </si>
  <si>
    <t>4680942607152</t>
  </si>
  <si>
    <t>2 Коробочки с предсказаниями  "Собственная разработка"</t>
  </si>
  <si>
    <t>227274</t>
  </si>
  <si>
    <t>Коробочка с предсказаниями  "20 "плохих" предсказаний" "Собственная разработка" КП-6393</t>
  </si>
  <si>
    <t>КП-6393</t>
  </si>
  <si>
    <t>4670159163930</t>
  </si>
  <si>
    <t>227273</t>
  </si>
  <si>
    <t>Коробочка с предсказаниями  "20 предсказаний гадалки" "Собственная разработка" КП-6392</t>
  </si>
  <si>
    <t>КП-6392</t>
  </si>
  <si>
    <t>4670159163923</t>
  </si>
  <si>
    <t>227272</t>
  </si>
  <si>
    <t>Коробочка с предсказаниями  "20 традиционных предсказаний" "Собственная разработка" КП-6391</t>
  </si>
  <si>
    <t>КП-6391</t>
  </si>
  <si>
    <t>4670159163916</t>
  </si>
  <si>
    <t>227271</t>
  </si>
  <si>
    <t>Коробочка с предсказаниями  "Чем заняться на новогодние праздники" "Собственная разработка" КП-6390</t>
  </si>
  <si>
    <t>КП-6390</t>
  </si>
  <si>
    <t>4670159163909</t>
  </si>
  <si>
    <t>3 Подвеска с предсказанием под скретч-слоем</t>
  </si>
  <si>
    <t>226016</t>
  </si>
  <si>
    <t>Подвеска с предсказ. под скретч слоем(100х80мм)"Ёлочный шарик", соб.разраб,18 шт в ш/б НУ-5972</t>
  </si>
  <si>
    <t>НУ-5972</t>
  </si>
  <si>
    <t>4670159159728</t>
  </si>
  <si>
    <t>271892</t>
  </si>
  <si>
    <t>Подвеска с предсказ. под скретч слоем(100х80мм)"Ёлочный шарик",ретро, соб.разраб,18 шт в ш/б НУ-1747</t>
  </si>
  <si>
    <t>НУ-1747</t>
  </si>
  <si>
    <t>4680942617472</t>
  </si>
  <si>
    <t>226015</t>
  </si>
  <si>
    <t>Подвеска с предсказ. под скретч слоем(100х85мм)"Снежный шар", собст.разраб,15 шт в ш/б НУ-5971</t>
  </si>
  <si>
    <t>НУ-5971</t>
  </si>
  <si>
    <t>4670159159711</t>
  </si>
  <si>
    <t>226017</t>
  </si>
  <si>
    <t>Подвеска с предсказ. под скретч слоем(100х90мм)"Ёлочки", собст.разраб, 20 шт в ш/б НУ-5973</t>
  </si>
  <si>
    <t>НУ-5973</t>
  </si>
  <si>
    <t>4670159159735</t>
  </si>
  <si>
    <t>210729</t>
  </si>
  <si>
    <t>Подвески с предсказ. под скретч слоем(95х85мм)"Новый Год", собств.разраб.,15 шт,шоубокс НУ-7834</t>
  </si>
  <si>
    <t>НУ-7834</t>
  </si>
  <si>
    <t>4670159078340</t>
  </si>
  <si>
    <t>4 Пазлы с предсказаниями "Собственная разработка"</t>
  </si>
  <si>
    <t>191567</t>
  </si>
  <si>
    <t>Новогодний пазл с предсказаниями 24 элемента (10 шт в шоубоксе)  ИН-4009</t>
  </si>
  <si>
    <t>ИН-4009</t>
  </si>
  <si>
    <t>4610144840095</t>
  </si>
  <si>
    <t>04610144840095</t>
  </si>
  <si>
    <t>5 Свитки в мешочках с предсказаниями и фантами "Собственная разработка"</t>
  </si>
  <si>
    <t>191293</t>
  </si>
  <si>
    <t>Свитки в мешочках ДЛЯ ВСЕЙ СЕМЬИ Предсказания(в стихах)(мешок 24х18см,20 свитков)собст.разр. НЖ-7046</t>
  </si>
  <si>
    <t>НЖ-7046</t>
  </si>
  <si>
    <t>4620129770460</t>
  </si>
  <si>
    <t>6 Шары с предсказаниями пластиковые "Собственная разработка"</t>
  </si>
  <si>
    <t>227381</t>
  </si>
  <si>
    <t>Шар со свитками-предсказаниями 30 предсказаний гадалки(30шт), 8см (Собс. разр.) ШС-6384</t>
  </si>
  <si>
    <t>ШС-6384</t>
  </si>
  <si>
    <t>4670159163848</t>
  </si>
  <si>
    <t>8 см</t>
  </si>
  <si>
    <t>227382</t>
  </si>
  <si>
    <t>Шар со свитками-предсказаниями 30 предсказаний для компании друзей(30 шт), 8см (Собс. разр.) ШС-6385</t>
  </si>
  <si>
    <t>ШС-6385</t>
  </si>
  <si>
    <t>4670159163855</t>
  </si>
  <si>
    <t>227384</t>
  </si>
  <si>
    <t>Шар со свитками-предсказаниями Чем заняться на новогодние праздники(30шт), 8см (Собс. разр.) ШС-6387</t>
  </si>
  <si>
    <t>ШС-6387</t>
  </si>
  <si>
    <t>4670159163879</t>
  </si>
  <si>
    <t>7 Металлические украшения с предсказаниями "Собственная разработка"</t>
  </si>
  <si>
    <t>Шары</t>
  </si>
  <si>
    <t>227257</t>
  </si>
  <si>
    <t>Новогод. подвес.украш. метал.шар с предск. (5шт)"Внучка Деда Мороза", 6,8см (Собс. разраб) НУ-6317</t>
  </si>
  <si>
    <t>НУ-6317</t>
  </si>
  <si>
    <t>4670159163541</t>
  </si>
  <si>
    <t>6,8 см</t>
  </si>
  <si>
    <t>227260</t>
  </si>
  <si>
    <t>Новогод. подвес.украш. метал.шар с предск. (5шт)"Зимние олени", 6,8см (Собс. разраб) НУ-6320</t>
  </si>
  <si>
    <t>НУ-6320</t>
  </si>
  <si>
    <t>4670159163572</t>
  </si>
  <si>
    <t>9 Новогодняя лотерея "Собственная разработка"</t>
  </si>
  <si>
    <t>249779</t>
  </si>
  <si>
    <t>Новогодняя лотерея 12 листов со скретч слоем 1 НЛ-5962</t>
  </si>
  <si>
    <t>НЛ-5962</t>
  </si>
  <si>
    <t>4670159259626</t>
  </si>
  <si>
    <t>Свечи ароматические с пожеланиями</t>
  </si>
  <si>
    <t>203532</t>
  </si>
  <si>
    <t>Свеча аромат.  с дерев. фитилём  "Запах кондитерской" с пожеланием 6.5*6 см (собств. разраб) УД-3923</t>
  </si>
  <si>
    <t>УД-3923</t>
  </si>
  <si>
    <t>4670159039235</t>
  </si>
  <si>
    <t>3406000000</t>
  </si>
  <si>
    <t>6.5*6 см</t>
  </si>
  <si>
    <t>203535</t>
  </si>
  <si>
    <t>Свеча аромат. с дерев. фитилём  "Ваниль и кокос"  с пожеланием  .6.5*6 см (собств. разраб) УД-3924</t>
  </si>
  <si>
    <t>УД-3924</t>
  </si>
  <si>
    <t>4670159039242</t>
  </si>
  <si>
    <t>203537</t>
  </si>
  <si>
    <t>Свеча аромат. с дерев. фитилём "Сандал. дерево и мускус" с пожел. 6.5*6см (собств. разраб) УД-3925</t>
  </si>
  <si>
    <t>УД-3925</t>
  </si>
  <si>
    <t>4670159039259</t>
  </si>
  <si>
    <t>203545</t>
  </si>
  <si>
    <t>Свеча аромат. с дерев. фитилём "Сосна, кедр и бергамот"с пожеланием 6.5*6 см(собств. разраб) УД-3930</t>
  </si>
  <si>
    <t>УД-3930</t>
  </si>
  <si>
    <t>4670159039303</t>
  </si>
  <si>
    <t>203541</t>
  </si>
  <si>
    <t>Свеча аромат. с деревянным фитилём  "Ваниль" с пожеланием    6.5*6 см .(собств. разраб) УД-3928</t>
  </si>
  <si>
    <t>УД-3928</t>
  </si>
  <si>
    <t>4670159039280</t>
  </si>
  <si>
    <t>203540</t>
  </si>
  <si>
    <t>Свеча аромат. с деревянным фитилём  "Жасмин" с пожеланием 6.5*6 см (собств. разраб) УД-3927</t>
  </si>
  <si>
    <t>УД-3927</t>
  </si>
  <si>
    <t>4670159039273</t>
  </si>
  <si>
    <t>203538</t>
  </si>
  <si>
    <t>Свеча аромат. с деревянным фитилём  "Хлопок"  с пожеланием   6.5*6 см (собств. разраб) УД-3926</t>
  </si>
  <si>
    <t>УД-3926</t>
  </si>
  <si>
    <t>4670159039266</t>
  </si>
  <si>
    <t>203544</t>
  </si>
  <si>
    <t>Свеча аромат. с деревянным фитилём  "Цитрусовая цедра"с пожеланием 6.5*6 см (собств. разраб) УД-3929</t>
  </si>
  <si>
    <t>УД-3929</t>
  </si>
  <si>
    <t>4670159039297</t>
  </si>
  <si>
    <t>03 Печатная продукция "Собственная разработка"</t>
  </si>
  <si>
    <t>Адвент- календари "Собственная разработка"</t>
  </si>
  <si>
    <t>190399</t>
  </si>
  <si>
    <t>Адвент- календарь, набор складных коробок "Новогодние домики" (12 шт.) КНГ-7004</t>
  </si>
  <si>
    <t>КНГ-7004</t>
  </si>
  <si>
    <t>4620129770040</t>
  </si>
  <si>
    <t>4819200000</t>
  </si>
  <si>
    <t>236601</t>
  </si>
  <si>
    <t>Адвент- календарь, набор складных коробок "Снежная деревня" (12 шт.) КНГ-0132</t>
  </si>
  <si>
    <t>КНГ-0132</t>
  </si>
  <si>
    <t>4670159201328</t>
  </si>
  <si>
    <t>239579</t>
  </si>
  <si>
    <t>Виниловый магнит 65,5х77 мм "С Новым годом" кр.10 шт НУ-1994</t>
  </si>
  <si>
    <t>НУ-1994</t>
  </si>
  <si>
    <t>4670159219668</t>
  </si>
  <si>
    <t>23.44.12.190</t>
  </si>
  <si>
    <t>8505199000</t>
  </si>
  <si>
    <t>Гирлянда-флажки "Собственная разработка"</t>
  </si>
  <si>
    <t>249670</t>
  </si>
  <si>
    <t>Гирлянда-флажки картон. двустор. "Ретро с Новым годом!"11,3х7,5см, 32шт,4м бечевка соб.разр. ГФ-5883</t>
  </si>
  <si>
    <t>ГФ-5883</t>
  </si>
  <si>
    <t>4670159258834</t>
  </si>
  <si>
    <t>58.19.19.190</t>
  </si>
  <si>
    <t>4911990000</t>
  </si>
  <si>
    <t>269993</t>
  </si>
  <si>
    <t>Гирлянда-флажки картон. двустор. "С Новым годом!"11,3х7,5см, 32шт,4м бечевка соб.разр. арт. ГФ-0717</t>
  </si>
  <si>
    <t>ГФ-0717</t>
  </si>
  <si>
    <t>4680942607176</t>
  </si>
  <si>
    <t>249928</t>
  </si>
  <si>
    <t>Календарь карманный 65х95 мм "Ретро" кр.20 шт (Собственная разработка) КК-5967</t>
  </si>
  <si>
    <t>КК-5967</t>
  </si>
  <si>
    <t>4670159259671</t>
  </si>
  <si>
    <t>Конверты для денег  "Собственная разработка"</t>
  </si>
  <si>
    <t>1 Optima уф-лак</t>
  </si>
  <si>
    <t>270163</t>
  </si>
  <si>
    <t>Optima Конверт для денег С Новым годом! Дед мороз и  Внучка. УФ-лак 1-04-0634</t>
  </si>
  <si>
    <t>1-04-0634</t>
  </si>
  <si>
    <t>4680942608180</t>
  </si>
  <si>
    <t>164х85 мм</t>
  </si>
  <si>
    <t>270162</t>
  </si>
  <si>
    <t>Optima Конверт для денег Сказочных моментов. Олень УФ-лак 1-04-0633</t>
  </si>
  <si>
    <t>1-04-0633</t>
  </si>
  <si>
    <t>4680942608173</t>
  </si>
  <si>
    <t>2 Стандарт (без обработки)</t>
  </si>
  <si>
    <t>270135</t>
  </si>
  <si>
    <t>Конверт для денег Подарок от Деда Мороза 1-05-0330</t>
  </si>
  <si>
    <t>1-05-0330</t>
  </si>
  <si>
    <t>4680942607312</t>
  </si>
  <si>
    <t>270136</t>
  </si>
  <si>
    <t>Конверт для денег С Новым годом! Елка 1-05-0331</t>
  </si>
  <si>
    <t>1-05-0331</t>
  </si>
  <si>
    <t>4680942607329</t>
  </si>
  <si>
    <t>270134</t>
  </si>
  <si>
    <t>Конверт для денег С Новым годом! Котик 1-05-0329</t>
  </si>
  <si>
    <t>1-05-0329</t>
  </si>
  <si>
    <t>4680942607305</t>
  </si>
  <si>
    <t>270133</t>
  </si>
  <si>
    <t>Конверт для денег С Новым годом! Снегири 1-05-0328</t>
  </si>
  <si>
    <t>1-05-0328</t>
  </si>
  <si>
    <t>4680942607299</t>
  </si>
  <si>
    <t>270131</t>
  </si>
  <si>
    <t>Конверт для денег Счастливого нового года! Дед Мороз 1-05-0326</t>
  </si>
  <si>
    <t>1-05-0326</t>
  </si>
  <si>
    <t>4680942607275</t>
  </si>
  <si>
    <t>270132</t>
  </si>
  <si>
    <t>Конверт для денег Счастливого нового года! Поезд 1-05-0327</t>
  </si>
  <si>
    <t>1-05-0327</t>
  </si>
  <si>
    <t>4680942607282</t>
  </si>
  <si>
    <t>3 Стандарт (5+0 (золото))</t>
  </si>
  <si>
    <t>270149</t>
  </si>
  <si>
    <t>Конверт для денег  Волшебству быть! (5+0 (золото)) ЗСС-0775</t>
  </si>
  <si>
    <t>ЗСС-0775</t>
  </si>
  <si>
    <t>4680942607756</t>
  </si>
  <si>
    <t>270147</t>
  </si>
  <si>
    <t>Конверт для денег  С Новым годом! Внучка ДМ (5+0 (золото)) ЗСС-0773</t>
  </si>
  <si>
    <t>ЗСС-0773</t>
  </si>
  <si>
    <t>4680942607732</t>
  </si>
  <si>
    <t>270146</t>
  </si>
  <si>
    <t>Конверт для денег  С Новым годом! Дед Мороз  (5+0 (золото)) ЗСС-0772</t>
  </si>
  <si>
    <t>ЗСС-0772</t>
  </si>
  <si>
    <t>4680942607725</t>
  </si>
  <si>
    <t>270154</t>
  </si>
  <si>
    <t>Конверт для денег  С Новым годом! Елочки (5+0 (золото)) ЗСС-0780</t>
  </si>
  <si>
    <t>ЗСС-0780</t>
  </si>
  <si>
    <t>4680942607800</t>
  </si>
  <si>
    <t>270151</t>
  </si>
  <si>
    <t>Конверт для денег  С Новым годом! Медвежонок (5+0 (золото)) ЗСС-0777</t>
  </si>
  <si>
    <t>ЗСС-0777</t>
  </si>
  <si>
    <t>4680942607770</t>
  </si>
  <si>
    <t>270153</t>
  </si>
  <si>
    <t>Конверт для денег На веселье. Елка  (5+0 (золото)) ЗСС-0779</t>
  </si>
  <si>
    <t>ЗСС-0779</t>
  </si>
  <si>
    <t>4680942607794</t>
  </si>
  <si>
    <t>270150</t>
  </si>
  <si>
    <t>Конверт для денег С Новым годом! Еловые веточки (5+0 (золото)) ЗСС-0776</t>
  </si>
  <si>
    <t>ЗСС-0776</t>
  </si>
  <si>
    <t>4680942607763</t>
  </si>
  <si>
    <t>270155</t>
  </si>
  <si>
    <t>Конверт для денег С Новым годом! Шар (5+0 (золото)) ЗСС-0781</t>
  </si>
  <si>
    <t>ЗСС-0781</t>
  </si>
  <si>
    <t>4680942607817</t>
  </si>
  <si>
    <t>5 Soft Touch</t>
  </si>
  <si>
    <t xml:space="preserve"> Стандарт</t>
  </si>
  <si>
    <t>206247</t>
  </si>
  <si>
    <t>Конверт для денег Soft Touch  Без текста (Зимний вечер) КСТ-5329</t>
  </si>
  <si>
    <t>КСТ-5329</t>
  </si>
  <si>
    <t>4670159053293</t>
  </si>
  <si>
    <t>6 Dream Cards (холодная фольга+твин лак)</t>
  </si>
  <si>
    <t>206310</t>
  </si>
  <si>
    <t>Dream Cards Конверт для денег   "С Новым годом. Абстактные елочки" (хол.фольга+ твин лак)  ФХЛ-00050</t>
  </si>
  <si>
    <t>ФХЛ-00050</t>
  </si>
  <si>
    <t>466530672064700050</t>
  </si>
  <si>
    <t>7 Dream Cards (фольга)</t>
  </si>
  <si>
    <t>267637</t>
  </si>
  <si>
    <t>Dream Cards Конверт для денег С Новым годом! 4+0, фольга , (Часы), КОН-7748</t>
  </si>
  <si>
    <t>КОН-7748</t>
  </si>
  <si>
    <t>4640520777486</t>
  </si>
  <si>
    <t>267633</t>
  </si>
  <si>
    <t>Dream Cards Конверт для денег С Новым годом! 4+0, фольга, (Дед Мороз собирает подарки), КОН-7744</t>
  </si>
  <si>
    <t>КОН-7744</t>
  </si>
  <si>
    <t>4640520777448</t>
  </si>
  <si>
    <t>267634</t>
  </si>
  <si>
    <t>Dream Cards Конверт для денег С Новым годом! 4+0, фольга, (Елочка), КОН-7745</t>
  </si>
  <si>
    <t>КОН-7745</t>
  </si>
  <si>
    <t>4640520777455</t>
  </si>
  <si>
    <t>267635</t>
  </si>
  <si>
    <t>Dream Cards Конверт для денег С Новым годом! 4+0, фольга, (Зимнее волшебство), КОН-7746</t>
  </si>
  <si>
    <t>КОН-7746</t>
  </si>
  <si>
    <t>4640520777462</t>
  </si>
  <si>
    <t>267636</t>
  </si>
  <si>
    <t>Dream Cards Конверт для денег С Новым годом! 4+0, фольга, (Новогодний венок), КОН-7747</t>
  </si>
  <si>
    <t>КОН-7747</t>
  </si>
  <si>
    <t>4640520777479</t>
  </si>
  <si>
    <t>Мини-открытки</t>
  </si>
  <si>
    <t>246147</t>
  </si>
  <si>
    <t>Набор новогодних мини-открыток "С Новым Годом №2" (40 шт) собств.разраб О-4685</t>
  </si>
  <si>
    <t>О-4685</t>
  </si>
  <si>
    <t>4670159246855</t>
  </si>
  <si>
    <t>58.19.11.100</t>
  </si>
  <si>
    <t>4909000000</t>
  </si>
  <si>
    <t>269702</t>
  </si>
  <si>
    <t>Набор новогодних мини-открыток "С Новым Годом №3" (40 шт) собств.разраб НМО-0705</t>
  </si>
  <si>
    <t>НМО-0705</t>
  </si>
  <si>
    <t>4680942607053</t>
  </si>
  <si>
    <t>227340</t>
  </si>
  <si>
    <t>Набор новогодних мини-открыток "С Новым годом" (30 шт) 70*100 мм  НМО-6484</t>
  </si>
  <si>
    <t>НМО-6484</t>
  </si>
  <si>
    <t>4670159164845</t>
  </si>
  <si>
    <t>Новогодние квесты "Собственная разработка"</t>
  </si>
  <si>
    <t>228300</t>
  </si>
  <si>
    <t>Игра-квест с наклейками "ЗИМНИЕ ЧУДЕСА ПРИРОДЫ" ИКВ-7068</t>
  </si>
  <si>
    <t>ИКВ-7068</t>
  </si>
  <si>
    <t>4670159170686</t>
  </si>
  <si>
    <t>04670159170686</t>
  </si>
  <si>
    <t>270421</t>
  </si>
  <si>
    <t>Квест по поиску подарка (детский) "Дети ждут подарков!" ИКВ-7481</t>
  </si>
  <si>
    <t>ИКВ-7481</t>
  </si>
  <si>
    <t>4640520774812</t>
  </si>
  <si>
    <t>32.40.42.192</t>
  </si>
  <si>
    <t>9504908009</t>
  </si>
  <si>
    <t>04640520774812</t>
  </si>
  <si>
    <t>270429</t>
  </si>
  <si>
    <t>Квест по поиску подарка (детский) "Зимние забавы" ИКВ-7483</t>
  </si>
  <si>
    <t>ИКВ-7483</t>
  </si>
  <si>
    <t>4640520774836</t>
  </si>
  <si>
    <t>04640520774836</t>
  </si>
  <si>
    <t>270428</t>
  </si>
  <si>
    <t>Квест по поиску подарка (детский) "Космический Новый Год", ИКВ-7482</t>
  </si>
  <si>
    <t>ИКВ-7482</t>
  </si>
  <si>
    <t>4640520774829</t>
  </si>
  <si>
    <t>04640520774829</t>
  </si>
  <si>
    <t>270178</t>
  </si>
  <si>
    <t>Квест по поиску подарка (детский) "Снежный английский" ИКВ-7480</t>
  </si>
  <si>
    <t>ИКВ-7480</t>
  </si>
  <si>
    <t>4640520774805</t>
  </si>
  <si>
    <t>04640520774805</t>
  </si>
  <si>
    <t>228173</t>
  </si>
  <si>
    <t>Новогодний квест по поиску подарка "Happy New Year" ИКВ-5954</t>
  </si>
  <si>
    <t>ИКВ-5954</t>
  </si>
  <si>
    <t>4670159159544</t>
  </si>
  <si>
    <t>04670159159544</t>
  </si>
  <si>
    <t>228175</t>
  </si>
  <si>
    <t>Новогодний квест по поиску подарка "Вкусный Новый год" ИКВ-5956</t>
  </si>
  <si>
    <t>ИКВ-5956</t>
  </si>
  <si>
    <t>4670159159568</t>
  </si>
  <si>
    <t>04670159159568</t>
  </si>
  <si>
    <t>228174</t>
  </si>
  <si>
    <t>Новогодний квест по поиску подарка (взрослый 1) ИКВ-5955</t>
  </si>
  <si>
    <t>ИКВ-5955</t>
  </si>
  <si>
    <t>4670159159551</t>
  </si>
  <si>
    <t>04670159159551</t>
  </si>
  <si>
    <t>273758</t>
  </si>
  <si>
    <t>Новогодний квест по поиску подарка (детский) "Новогодняя сказка" ИКВ-2578</t>
  </si>
  <si>
    <t>ИКВ-2578</t>
  </si>
  <si>
    <t>4680942625781</t>
  </si>
  <si>
    <t>04680942625781</t>
  </si>
  <si>
    <t>Новогодние стикербуки "Собственная разработка"</t>
  </si>
  <si>
    <t>205728</t>
  </si>
  <si>
    <t>Стикербук  "Мой Уютный Новый год"  (А6, 16 л.) Собственная разработка СБ-5057</t>
  </si>
  <si>
    <t>СБ-5057</t>
  </si>
  <si>
    <t>4670159050575</t>
  </si>
  <si>
    <t>249654</t>
  </si>
  <si>
    <t>Стикербук "Мои зимние зверята" (А6, 16 л.) Собственная разработка СБ-5841</t>
  </si>
  <si>
    <t>СБ-5841</t>
  </si>
  <si>
    <t>4670159258414</t>
  </si>
  <si>
    <t>Письма Деду Морозу "Собственная разработка"</t>
  </si>
  <si>
    <t>267610</t>
  </si>
  <si>
    <t>Письмо Деду Морозу "Дед Мороз и Внучка дарят подарки" (уф-лак) "Собственная разработка", ПД-7787</t>
  </si>
  <si>
    <t>ПД-7787</t>
  </si>
  <si>
    <t>4640520777875</t>
  </si>
  <si>
    <t>267611</t>
  </si>
  <si>
    <t>Письмо Деду Морозу "Дед Мороз и Внучка на утреннике" (уф-лак) "Собственная разработка", ПД-7788</t>
  </si>
  <si>
    <t>ПД-7788</t>
  </si>
  <si>
    <t>4640520777882</t>
  </si>
  <si>
    <t>249877</t>
  </si>
  <si>
    <t>Письмо Деду Морозу "Дед Мороз и Снегурочка готовят подарки"(уф-лак) "Собственная разработка" ПД-5978</t>
  </si>
  <si>
    <t>ПД-5978</t>
  </si>
  <si>
    <t>4670159259787</t>
  </si>
  <si>
    <t>226325</t>
  </si>
  <si>
    <t>Письмо Деду Морозу "Дети играют в снегу" (уф-лак) "Собственная разработка" ПД-6035</t>
  </si>
  <si>
    <t>ПД-6035</t>
  </si>
  <si>
    <t>4670159160359</t>
  </si>
  <si>
    <t>267613</t>
  </si>
  <si>
    <t>Письмо Деду Морозу "Новогодняя сказка у ёлки" (уф-лак) "Собственная разработка", ПД-7789</t>
  </si>
  <si>
    <t>ПД-7789</t>
  </si>
  <si>
    <t>4640520777899</t>
  </si>
  <si>
    <t>206063</t>
  </si>
  <si>
    <t>Письмо Деду Морозу "Олень" (уф-лак) "Собственная разработка" ПД-5239</t>
  </si>
  <si>
    <t>ПД-5239</t>
  </si>
  <si>
    <t>4670159052395</t>
  </si>
  <si>
    <t>267606</t>
  </si>
  <si>
    <t>Письмо Деду Морозу «Дед Мороз и весёлый оркестр лесных друзей» (уф-лак) Собст. разработка, ПД-7786</t>
  </si>
  <si>
    <t>ПД-7786</t>
  </si>
  <si>
    <t>4640520777868</t>
  </si>
  <si>
    <t>267593</t>
  </si>
  <si>
    <t>Письмо Деду Морозу «Дед мороз и лесные друзья у ёлки» (уф-лак) Собст. разработка, ПД-7780</t>
  </si>
  <si>
    <t>ПД-7780</t>
  </si>
  <si>
    <t>4640520777806</t>
  </si>
  <si>
    <t>267595</t>
  </si>
  <si>
    <t>Письмо Деду Морозу «Дед Мороз на тройке» (уф-лак) Собст. разработка, ПД-7781</t>
  </si>
  <si>
    <t>ПД-7781</t>
  </si>
  <si>
    <t>4640520777813</t>
  </si>
  <si>
    <t>267604</t>
  </si>
  <si>
    <t>Письмо Деду Морозу «Дед мороз раздает угощения» (уф-лак) Собст. разработка, ПД-7785</t>
  </si>
  <si>
    <t>ПД-7785</t>
  </si>
  <si>
    <t>4640520777851</t>
  </si>
  <si>
    <t>267603</t>
  </si>
  <si>
    <t>Письмо Деду Морозу «Дед мороз читает письма» (уф-лак) Собст. разработка, ПД-7784</t>
  </si>
  <si>
    <t>ПД-7784</t>
  </si>
  <si>
    <t>4640520777844</t>
  </si>
  <si>
    <t>267588</t>
  </si>
  <si>
    <t>Письмо Деду Морозу «Дед мороз, елка, подарки и весёлые зверята» (уф-лак) Собст. разработка, ПД-7779</t>
  </si>
  <si>
    <t>ПД-7779</t>
  </si>
  <si>
    <t>4640520777790</t>
  </si>
  <si>
    <t>267599</t>
  </si>
  <si>
    <t>Письмо Деду Морозу «Лесные зверята приглашают на праздник» (уф-лак) Собст. разработка, ПД-7782</t>
  </si>
  <si>
    <t>ПД-7782</t>
  </si>
  <si>
    <t>4640520777820</t>
  </si>
  <si>
    <t>267614</t>
  </si>
  <si>
    <t>Письмо от Деда Мороза «Дед Мороз разбирает почту» (уф-лак) Собст. разработка, ПД-7790</t>
  </si>
  <si>
    <t>ПД-7790</t>
  </si>
  <si>
    <t>4640520777905</t>
  </si>
  <si>
    <t>267601</t>
  </si>
  <si>
    <t>Письмо от Деда Мороза «Дед Мороз спешит с подарками» (уф-лак) Собст. разработка, ПД-7783</t>
  </si>
  <si>
    <t>ПД-7783</t>
  </si>
  <si>
    <t>4640520777837</t>
  </si>
  <si>
    <t>Подарочные наборы "Собственная разработка"</t>
  </si>
  <si>
    <t>271843</t>
  </si>
  <si>
    <t>Подар.набор Письмо ДМ+письмо от ДМ+кор. д/ конфет "Дед Мороз и Внучка на утреннике" Соб.раз ПД-1724</t>
  </si>
  <si>
    <t>ПД-1724</t>
  </si>
  <si>
    <t>4680942617335</t>
  </si>
  <si>
    <t>17.21.14.120</t>
  </si>
  <si>
    <t>252296</t>
  </si>
  <si>
    <t>Подар.набор Письмо ДМ+письмо от ДМ+кор. для конфет "Дед Мороз и звери на катке" Собств.раз ПД-6261</t>
  </si>
  <si>
    <t>ПД-6261</t>
  </si>
  <si>
    <t>4670159262619</t>
  </si>
  <si>
    <t>271842</t>
  </si>
  <si>
    <t>Подар.набор Письмо ДМ+письмо от ДМ+кор. для конфет "Дед Мороз и оркестр друзей" Соб.раз ПД-1723</t>
  </si>
  <si>
    <t>ПД-1723</t>
  </si>
  <si>
    <t>4680942617328</t>
  </si>
  <si>
    <t>271840</t>
  </si>
  <si>
    <t>Подар.набор Письмо ДМ+письмо от ДМ+кор. для конфет "Новогодняя сказка у ёлки" Собств.раз ПД-1722</t>
  </si>
  <si>
    <t>ПД-1722</t>
  </si>
  <si>
    <t>4680942617311</t>
  </si>
  <si>
    <t>252297</t>
  </si>
  <si>
    <t>Подар.набор Письмо ДМ+письмо от ДМ+кор. для конфет "Песни и пляски у елки" Собств.разраб ПД-6262</t>
  </si>
  <si>
    <t>ПД-6262</t>
  </si>
  <si>
    <t>4670159262626</t>
  </si>
  <si>
    <t>252298</t>
  </si>
  <si>
    <t>Подар.набор Письмо ДМ+письмо от ДМ+кор. для конфет "Чаепитие в лесу" Собств.разраб ПД-6263</t>
  </si>
  <si>
    <t>ПД-6263</t>
  </si>
  <si>
    <t>4670159262633</t>
  </si>
  <si>
    <t>252299</t>
  </si>
  <si>
    <t>Подар.набор Письмо ДМ+письмо от ДМ+кор.для конфет "Дед Мороз собирает подарки" Собств.раз ПД-6264</t>
  </si>
  <si>
    <t>ПД-6264</t>
  </si>
  <si>
    <t>4670159262640</t>
  </si>
  <si>
    <t>271844</t>
  </si>
  <si>
    <t>Подар.набор Письмо ДМ+письмо от ДМ+кор.для конфет "ДМ, елка, подарки и зверята" Соб.раз ПД-1725</t>
  </si>
  <si>
    <t>ПД-1725</t>
  </si>
  <si>
    <t>4680942617342</t>
  </si>
  <si>
    <t>230704</t>
  </si>
  <si>
    <t>Подар.набор Письмо ДМ+письмо от ДМ+кор.для конфет"Пингвины в Новый год" Собст.разр. ПД-7942</t>
  </si>
  <si>
    <t>ПД-7942</t>
  </si>
  <si>
    <t>4670159179429</t>
  </si>
  <si>
    <t>04 Украшения для ёлки</t>
  </si>
  <si>
    <t>01 Подвесные украшения на елку</t>
  </si>
  <si>
    <t>00 Фарфоровые</t>
  </si>
  <si>
    <t>251216</t>
  </si>
  <si>
    <t>Новогоднее украшение Набор подвесок 2 шт "Дедушки Морозы в санях" 6*5*8см фарфор, бело-синий НУ-2650</t>
  </si>
  <si>
    <t>НУ-2650</t>
  </si>
  <si>
    <t>4640306926190</t>
  </si>
  <si>
    <t>251225</t>
  </si>
  <si>
    <t>Новогоднее украшение Подвеска LED"Снеговик в шляпе" 8.7х5.2х4.2см, 2*LR44 фарфор, бело-синий НУ-2655</t>
  </si>
  <si>
    <t>НУ-2655</t>
  </si>
  <si>
    <t>4640306926244</t>
  </si>
  <si>
    <t>251221</t>
  </si>
  <si>
    <t>Новогоднее украшение. Набор подвесок 2 шт. "Волшебные олени" 10х7х3см, фарфор, бело-синий НУ-2652</t>
  </si>
  <si>
    <t>НУ-2652</t>
  </si>
  <si>
    <t>4640306926213</t>
  </si>
  <si>
    <t>251214</t>
  </si>
  <si>
    <t>Новогоднее украшение. Набор подвесок 3 шт. "Дедушки Морозы" 8.2х3,7х3.5см фарфор, бело-золот НУ-2649</t>
  </si>
  <si>
    <t>НУ-2649</t>
  </si>
  <si>
    <t>4640306926183</t>
  </si>
  <si>
    <t>251224</t>
  </si>
  <si>
    <t>Новогоднее украшение. Набор подвесок 3 шт. "Снеговички" 8.2х5х7см, фарфор, цветной НУ-2654</t>
  </si>
  <si>
    <t>НУ-2654</t>
  </si>
  <si>
    <t>4640306926237</t>
  </si>
  <si>
    <t>01 Полирезина</t>
  </si>
  <si>
    <t>01 КОЛЛЕКЦИЯ "В ГОСТЯХ У СКАЗКИ"</t>
  </si>
  <si>
    <t>272624</t>
  </si>
  <si>
    <t>Новогоднее украшение Полирезиновая подвеска Деревянный мальчик с монетами, 8 см, соб.раз НУП-2067</t>
  </si>
  <si>
    <t>НУП-2067</t>
  </si>
  <si>
    <t>4680942620670</t>
  </si>
  <si>
    <t>272622</t>
  </si>
  <si>
    <t>Новогоднее украшение Полирезиновая подвеска Забавный мальчик, 8 см, соб.раз НУП-2066</t>
  </si>
  <si>
    <t>НУП-2066</t>
  </si>
  <si>
    <t>4680942620663</t>
  </si>
  <si>
    <t>201813</t>
  </si>
  <si>
    <t>Полирезиновая подвеска Сказочный ключик, 7 см, собственная разработка НУ-1660</t>
  </si>
  <si>
    <t>НУ-1660</t>
  </si>
  <si>
    <t>4670159016304</t>
  </si>
  <si>
    <t>02 КОЛЛЕКЦИЯ "31 декабря"</t>
  </si>
  <si>
    <t>272595</t>
  </si>
  <si>
    <t>Новогоднее украшение Полирезиновая подвеска Снеговик с календарём, 7 см, соб.раз НУП-2049</t>
  </si>
  <si>
    <t>НУП-2049</t>
  </si>
  <si>
    <t>4680942620496</t>
  </si>
  <si>
    <t>251762</t>
  </si>
  <si>
    <t>Полирезиновая подвеска Ежонок с календарем 7*4,5см (собс.разр) НУ-2512</t>
  </si>
  <si>
    <t>НУ-2512</t>
  </si>
  <si>
    <t>4640306924998</t>
  </si>
  <si>
    <t>251759</t>
  </si>
  <si>
    <t>Полирезиновая подвеска Мишутка с календарем 7*4,5см (собс.разр) НУ-2510</t>
  </si>
  <si>
    <t>НУ-2510</t>
  </si>
  <si>
    <t>4640306924974</t>
  </si>
  <si>
    <t>251764</t>
  </si>
  <si>
    <t>Полирезиновая подвеска Снеговичок с календарем 7*4,5см (собс.разр) НУ-2514</t>
  </si>
  <si>
    <t>НУ-2514</t>
  </si>
  <si>
    <t>4640306925018</t>
  </si>
  <si>
    <t>03 КОЛЛЕКЦИЯ "НАСТОЯЩИЙ НОВЫЙ ГОД"</t>
  </si>
  <si>
    <t>272674</t>
  </si>
  <si>
    <t>Новогоднее украшение Полирезиновая подвеска Часы со снегирём, 5 см, соб.раз НУП-2095</t>
  </si>
  <si>
    <t>НУП-2095</t>
  </si>
  <si>
    <t>4680942620953</t>
  </si>
  <si>
    <t>04 КОЛЛЕКЦИЯ "ШКОЛА МАГИИ"</t>
  </si>
  <si>
    <t>272648</t>
  </si>
  <si>
    <t>Новогоднее украшение Полирезиновая подвеска Волшебный автобус, 6 см, соб.раз НУП-2075</t>
  </si>
  <si>
    <t>НУП-2075</t>
  </si>
  <si>
    <t>4680942620755</t>
  </si>
  <si>
    <t>272642</t>
  </si>
  <si>
    <t>Новогоднее украшение Полирезиновая подвеска Мячик с крылышками, 6 см, соб.раз НУП-2071</t>
  </si>
  <si>
    <t>НУП-2071</t>
  </si>
  <si>
    <t>4680942620717</t>
  </si>
  <si>
    <t>272654</t>
  </si>
  <si>
    <t>Новогоднее украшение Полирезиновая подвеска Палочка волшебника, 8 см, соб.раз НУП-2080</t>
  </si>
  <si>
    <t>НУП-2080</t>
  </si>
  <si>
    <t>4680942620809</t>
  </si>
  <si>
    <t>272650</t>
  </si>
  <si>
    <t>Новогоднее украшение Полирезиновая подвеска Полосатый носок, 8 см, соб.раз НУП-2077</t>
  </si>
  <si>
    <t>НУП-2077</t>
  </si>
  <si>
    <t>4680942620779</t>
  </si>
  <si>
    <t>05 КОЛЛЕКЦИЯ "ПРИМЫ БАЛЕРИНЫ"</t>
  </si>
  <si>
    <t>201796</t>
  </si>
  <si>
    <t>Полирезиновая подвеска Балерина Анастасия, 7 см, собственная разработка НУ-1618</t>
  </si>
  <si>
    <t>НУ-1618</t>
  </si>
  <si>
    <t>4670159016182</t>
  </si>
  <si>
    <t>201798</t>
  </si>
  <si>
    <t>Полирезиновая подвеска Балерина Анна, 7 см, собственная разработка НУ-1619</t>
  </si>
  <si>
    <t>НУ-1619</t>
  </si>
  <si>
    <t>4670159016199</t>
  </si>
  <si>
    <t>201799</t>
  </si>
  <si>
    <t>Полирезиновая подвеска Балерина Диана, 7 см, собственная разработка НУ-1620</t>
  </si>
  <si>
    <t>НУ-1620</t>
  </si>
  <si>
    <t>4670159016205</t>
  </si>
  <si>
    <t>201800</t>
  </si>
  <si>
    <t>Полирезиновая подвеска Балерина Майя, 7 см, собственная разработка НУ-1621</t>
  </si>
  <si>
    <t>НУ-1621</t>
  </si>
  <si>
    <t>4670159016212</t>
  </si>
  <si>
    <t>251767</t>
  </si>
  <si>
    <t>Полирезиновая подвеска Балерина Роза 8*3см (собс.разр) НУ-2516</t>
  </si>
  <si>
    <t>НУ-2516</t>
  </si>
  <si>
    <t>4640306925032</t>
  </si>
  <si>
    <t>06 КОЛЛЕКЦИЯ "СНЕГИРИ"</t>
  </si>
  <si>
    <t>251770</t>
  </si>
  <si>
    <t>Полирезиновая подвеска Снегирь с венком 7*7см (собс.разр) НУ-2519</t>
  </si>
  <si>
    <t>НУ-2519</t>
  </si>
  <si>
    <t>4640306925063</t>
  </si>
  <si>
    <t>251768</t>
  </si>
  <si>
    <t>Полирезиновая подвеска Снегирь с подарком 8*4,5см (собс.разр) НУ-2517</t>
  </si>
  <si>
    <t>НУ-2517</t>
  </si>
  <si>
    <t>4640306925049</t>
  </si>
  <si>
    <t>07 КОЛЛЕКЦИЯ "ОЗОРНЫЕ КОТЯТА"</t>
  </si>
  <si>
    <t>272598</t>
  </si>
  <si>
    <t>Новогоднее украшение Полирезиновая подвеска Котик в носке, 7 см, соб.раз НУП-2051</t>
  </si>
  <si>
    <t>НУП-2051</t>
  </si>
  <si>
    <t>4680942620519</t>
  </si>
  <si>
    <t>272599</t>
  </si>
  <si>
    <t>Новогоднее украшение Полирезиновая подвеска Котик с венком, 7 см, соб.раз НУП-2052</t>
  </si>
  <si>
    <t>НУП-2052</t>
  </si>
  <si>
    <t>4680942620526</t>
  </si>
  <si>
    <t>272602</t>
  </si>
  <si>
    <t>Новогоднее украшение Полирезиновая подвеска Котик с чашкой, 7 см, соб.раз НУП-2054</t>
  </si>
  <si>
    <t>НУП-2054</t>
  </si>
  <si>
    <t>4680942620540</t>
  </si>
  <si>
    <t>08 КОЛЛЕКЦИЯ "ЭЛЬФЫ"</t>
  </si>
  <si>
    <t>272657</t>
  </si>
  <si>
    <t>Новогоднее украшение Полирезиновая подвеска Эльф с дудкой, 8 см, соб.раз НУП-2081</t>
  </si>
  <si>
    <t>НУП-2081</t>
  </si>
  <si>
    <t>4680942620816</t>
  </si>
  <si>
    <t>272658</t>
  </si>
  <si>
    <t>Новогоднее украшение Полирезиновая подвеска Эльф с ёлкой, 8 см, соб.раз НУП-2082</t>
  </si>
  <si>
    <t>НУП-2082</t>
  </si>
  <si>
    <t>4680942620823</t>
  </si>
  <si>
    <t>272660</t>
  </si>
  <si>
    <t>Новогоднее украшение Полирезиновая подвеска Эльф с карамелькой, 7 см, соб.раз НУП-2084</t>
  </si>
  <si>
    <t>НУП-2084</t>
  </si>
  <si>
    <t>4680942620847</t>
  </si>
  <si>
    <t>272659</t>
  </si>
  <si>
    <t>Новогоднее украшение Полирезиновая подвеска Эльф с подарком, 8 см, соб.раз НУП-2083</t>
  </si>
  <si>
    <t>НУП-2083</t>
  </si>
  <si>
    <t>4680942620830</t>
  </si>
  <si>
    <t>09 КОЛЛЕКЦИЯ "АНГЕЛОЧКИ"</t>
  </si>
  <si>
    <t>272665</t>
  </si>
  <si>
    <t>Новогоднее украшение Полирезиновая подвеска Ангел на луне, 8 см, соб.раз НУП-2088</t>
  </si>
  <si>
    <t>НУП-2088</t>
  </si>
  <si>
    <t>4680942620885</t>
  </si>
  <si>
    <t>272664</t>
  </si>
  <si>
    <t>Новогоднее украшение Полирезиновая подвеска Ангел с лирой, 7 см, соб.раз НУП-2087</t>
  </si>
  <si>
    <t>НУП-2087</t>
  </si>
  <si>
    <t>4680942620878</t>
  </si>
  <si>
    <t>272661</t>
  </si>
  <si>
    <t>Новогоднее украшение Полирезиновая подвеска Ангелочек, 7 см, соб.раз НУП-2085</t>
  </si>
  <si>
    <t>НУП-2085</t>
  </si>
  <si>
    <t>4680942620854</t>
  </si>
  <si>
    <t>272663</t>
  </si>
  <si>
    <t>Новогоднее украшение Полирезиновая подвеска Милый ангел, 7 см, соб.раз НУП-2086</t>
  </si>
  <si>
    <t>НУП-2086</t>
  </si>
  <si>
    <t>4680942620861</t>
  </si>
  <si>
    <t>10 КОЛЛЕКЦИЯ "ФЕИ"</t>
  </si>
  <si>
    <t>272666</t>
  </si>
  <si>
    <t>Новогоднее украшение Полирезиновая подвеска Лесная фея, 7 см, соб.раз НУП-2089</t>
  </si>
  <si>
    <t>НУП-2089</t>
  </si>
  <si>
    <t>4680942620892</t>
  </si>
  <si>
    <t>272667</t>
  </si>
  <si>
    <t>Новогоднее украшение Полирезиновая подвеска Прекрасная фея, 7 см, соб.раз НУП-2090</t>
  </si>
  <si>
    <t>НУП-2090</t>
  </si>
  <si>
    <t>4680942620908</t>
  </si>
  <si>
    <t>272669</t>
  </si>
  <si>
    <t>Новогоднее украшение Полирезиновая подвеска Снежная фея, 8 см, соб.раз НУП-2091</t>
  </si>
  <si>
    <t>НУП-2091</t>
  </si>
  <si>
    <t>4680942620915</t>
  </si>
  <si>
    <t>11 КОЛЛЕКЦИЯ "ЩЕЛКУНЧИК"</t>
  </si>
  <si>
    <t>231899</t>
  </si>
  <si>
    <t>Полирезиновая подвеска Балерина с щелкунчиком, 5,5*10см (собств. разраб.) НУ-8540</t>
  </si>
  <si>
    <t>НУ-8540</t>
  </si>
  <si>
    <t>4670159182528</t>
  </si>
  <si>
    <t>5,5*10 см</t>
  </si>
  <si>
    <t>12 КОЛЛЕКЦИЯ "СКАЗОЧНЫЕ ГНОМЫ"</t>
  </si>
  <si>
    <t>201808</t>
  </si>
  <si>
    <t>Полирезиновая подвеска Гном с мешком и елкой, 7 см, собственная разработка НУ-1625</t>
  </si>
  <si>
    <t>НУ-1625</t>
  </si>
  <si>
    <t>4670159016250</t>
  </si>
  <si>
    <t>15 КОЛЛЕКЦИЯ "ПОДВЕСКИ-МЕДАЛЬОНЫ"</t>
  </si>
  <si>
    <t>236511</t>
  </si>
  <si>
    <t>Полирезиновая подвеска-медальон "Крысиный король", 8 см Т-0670</t>
  </si>
  <si>
    <t>Т-0670</t>
  </si>
  <si>
    <t>4670159206705</t>
  </si>
  <si>
    <t>8  см</t>
  </si>
  <si>
    <t>236512</t>
  </si>
  <si>
    <t>Полирезиновая подвеска-медальон "Мари с Щелкунчиком", 8 см Щелкунчик Т-0671</t>
  </si>
  <si>
    <t>Т-0671</t>
  </si>
  <si>
    <t>4670159206712</t>
  </si>
  <si>
    <t>236510</t>
  </si>
  <si>
    <t>Полирезиновая подвеска-медальон "Праздничная ёлочка", 8 см Т-0669</t>
  </si>
  <si>
    <t>Т-0669</t>
  </si>
  <si>
    <t>4670159206699</t>
  </si>
  <si>
    <t>236508</t>
  </si>
  <si>
    <t>Полирезиновая подвеска-медальон "Щелкунчик", 8 см Щелкунчик Т-0668</t>
  </si>
  <si>
    <t>Т-0668</t>
  </si>
  <si>
    <t>4670159206682</t>
  </si>
  <si>
    <t>16 КОЛЛЕКЦИЯ "ВОСТОЧНАЯ"</t>
  </si>
  <si>
    <t>227787</t>
  </si>
  <si>
    <t>Полирезиновая подвеска "Китайский фонарик необычный", 7,5 *7см (собс.разр) НУ-6890</t>
  </si>
  <si>
    <t>НУ-6890</t>
  </si>
  <si>
    <t>4670159168959</t>
  </si>
  <si>
    <t>7,5 *7 см</t>
  </si>
  <si>
    <t>227793</t>
  </si>
  <si>
    <t>Полирезиновая подвеска "Китайский фонарик праздничный", 10,5*7см (собс.разр) НУ-6893</t>
  </si>
  <si>
    <t>НУ-6893</t>
  </si>
  <si>
    <t>4670159168980</t>
  </si>
  <si>
    <t>10,5*7 см</t>
  </si>
  <si>
    <t>227791</t>
  </si>
  <si>
    <t>Полирезиновая подвеска "Китайский фонарик удивительный", 6*7см (собс.разр) НУ-6891</t>
  </si>
  <si>
    <t>НУ-6891</t>
  </si>
  <si>
    <t>4670159168966</t>
  </si>
  <si>
    <t>6*7 см</t>
  </si>
  <si>
    <t>227792</t>
  </si>
  <si>
    <t>Полирезиновая подвеска "Китайский фонарик яркий", 3,9*7см (собс.разр) НУ-6892</t>
  </si>
  <si>
    <t>НУ-6892</t>
  </si>
  <si>
    <t>4670159168973</t>
  </si>
  <si>
    <t>3,9*7 см</t>
  </si>
  <si>
    <t>18 Другие</t>
  </si>
  <si>
    <t>192016</t>
  </si>
  <si>
    <t>Новогоднее украшение Новогодний заяц, в ассортименте НПР-7401</t>
  </si>
  <si>
    <t>НПР-7401</t>
  </si>
  <si>
    <t>4620129774017</t>
  </si>
  <si>
    <t>4*4*7 см</t>
  </si>
  <si>
    <t>02 Стеклянные</t>
  </si>
  <si>
    <t>1 Стеклянные формовые (собственная разработка)</t>
  </si>
  <si>
    <t>2 Снежинки "Собственная разработка"</t>
  </si>
  <si>
    <t>204299</t>
  </si>
  <si>
    <t>Елочное украшение из стекла   "Красивая снежинка", 8 см (собственная разработка) ЕШ-4283</t>
  </si>
  <si>
    <t>ЕШ-4283</t>
  </si>
  <si>
    <t>4670159042839</t>
  </si>
  <si>
    <t>204297</t>
  </si>
  <si>
    <t>Елочное украшение из стекла   "Снежинка", 8 см (собственная разработка) ЕШ-4282</t>
  </si>
  <si>
    <t>ЕШ-4282</t>
  </si>
  <si>
    <t>4670159042822</t>
  </si>
  <si>
    <t>204303</t>
  </si>
  <si>
    <t>Елочное украшение из стекла   "Снежный вихрь", 8 см (собственная разработка) ЕШ-4285</t>
  </si>
  <si>
    <t>ЕШ-4285</t>
  </si>
  <si>
    <t>4670159042853</t>
  </si>
  <si>
    <t>204302</t>
  </si>
  <si>
    <t>Елочное украшение из стекла  "Снежный узор", 8 см (собственная разработка) ЕШ-4284</t>
  </si>
  <si>
    <t>ЕШ-4284</t>
  </si>
  <si>
    <t>4670159042846</t>
  </si>
  <si>
    <t>3 Домики "Собственная разработка"</t>
  </si>
  <si>
    <t>204294</t>
  </si>
  <si>
    <t>Елочное украшение из стекла   "Праздничный домик", 8 см (собственная разработка) ЕШ-4279</t>
  </si>
  <si>
    <t>ЕШ-4279</t>
  </si>
  <si>
    <t>4670159042792</t>
  </si>
  <si>
    <t>204295</t>
  </si>
  <si>
    <t>Елочное украшение из стекла   "Сладкий домик", 8 см (собственная разработка) ЕШ-4280</t>
  </si>
  <si>
    <t>ЕШ-4280</t>
  </si>
  <si>
    <t>4670159042808</t>
  </si>
  <si>
    <t>204296</t>
  </si>
  <si>
    <t>Елочное украшение из стекла   "Уютный домик", 8 см (собственная разработка) ЕШ-4281</t>
  </si>
  <si>
    <t>ЕШ-4281</t>
  </si>
  <si>
    <t>4670159042815</t>
  </si>
  <si>
    <t>4 Часики "Собственная разработка"</t>
  </si>
  <si>
    <t>204309</t>
  </si>
  <si>
    <t>Елочное украшение из стекла   "Часы с чудесами", 8 см (собственная разработка) ЕШ-4287</t>
  </si>
  <si>
    <t>ЕШ-4287</t>
  </si>
  <si>
    <t>4670159042877</t>
  </si>
  <si>
    <t>03 Деревянные</t>
  </si>
  <si>
    <t xml:space="preserve"> Деревянные "Собственная разработка"</t>
  </si>
  <si>
    <t>1 Деревянные подвески</t>
  </si>
  <si>
    <t>Наборы</t>
  </si>
  <si>
    <t>275921</t>
  </si>
  <si>
    <t>Деревянная подвеска 6 см ( 12шт в наборе). "Дед Мороз и Внучка" (собст. разраб.) НУП-4110</t>
  </si>
  <si>
    <t>НУП-4110</t>
  </si>
  <si>
    <t>4680942641101</t>
  </si>
  <si>
    <t>236035</t>
  </si>
  <si>
    <t>Набор двухслойных новогодних ёлочных подвесок из дерева "Русские сказки",6 шт.(Cобств.разр.) НУ-9490</t>
  </si>
  <si>
    <t>НУ-9490</t>
  </si>
  <si>
    <t>4670159194903</t>
  </si>
  <si>
    <t>275635</t>
  </si>
  <si>
    <t>Набор новог. ёлочных подвесок "Волшебный мир".Модель из дерева.6шт2х стр. 7-10см(Cоб.раз) 127187</t>
  </si>
  <si>
    <t>127187</t>
  </si>
  <si>
    <t>4680788242548</t>
  </si>
  <si>
    <t>253468</t>
  </si>
  <si>
    <t>Набор новогодних ёлочн. подвесок из дерева двухсл."Новогодние подковы" 6 шт. (Собс.разр) НУ-2804</t>
  </si>
  <si>
    <t>НУ-2804</t>
  </si>
  <si>
    <t>4640306928040</t>
  </si>
  <si>
    <t>275650</t>
  </si>
  <si>
    <t>Набор новогодних ёлочных подвесок "Назад в детство" .Модель из дерева.2х стр. 6шт(Cоб.раз) 127149</t>
  </si>
  <si>
    <t>127149</t>
  </si>
  <si>
    <t>4680788242661</t>
  </si>
  <si>
    <t>255171</t>
  </si>
  <si>
    <t>Набор новогодних ёлочных подвесок однослойных из дерева "Волшебный мир",7-10см,6 шт(Cоб.раз) НУ-3100</t>
  </si>
  <si>
    <t>НУ-3100</t>
  </si>
  <si>
    <t>4640306929962</t>
  </si>
  <si>
    <t>Штучные</t>
  </si>
  <si>
    <t>КОЛЛЕКЦИЯ "НАЗАД В ДЕТСТВО"</t>
  </si>
  <si>
    <t>275646</t>
  </si>
  <si>
    <t>Новогодняя ёлочная подвеска"Весы".Модель из дерева.2х стр.9 см(Cоб.раз) 127197</t>
  </si>
  <si>
    <t>127197</t>
  </si>
  <si>
    <t>4680788242647</t>
  </si>
  <si>
    <t>275645</t>
  </si>
  <si>
    <t>Новогодняя ёлочная подвеска"Кассета".Модель из дерева.2х стр.9 см(Cоб.раз) 127196</t>
  </si>
  <si>
    <t>127196</t>
  </si>
  <si>
    <t>4680788242630</t>
  </si>
  <si>
    <t>275649</t>
  </si>
  <si>
    <t>Новогодняя ёлочная подвеска"Ковер".Модель из дерева.2х стр.9 см(Cоб.раз) 127199</t>
  </si>
  <si>
    <t>127199</t>
  </si>
  <si>
    <t>4680788242678</t>
  </si>
  <si>
    <t>275648</t>
  </si>
  <si>
    <t>Новогодняя ёлочная подвеска"Печенье".Модель из дерева.2х стр.(Cоб.раз) 127198</t>
  </si>
  <si>
    <t>127198</t>
  </si>
  <si>
    <t>4680788242654</t>
  </si>
  <si>
    <t>275642</t>
  </si>
  <si>
    <t>Новогодняя ёлочная подвеска"Проездной", .Модель из дерева.2х стр.9 см(Cоб.раз) 127194</t>
  </si>
  <si>
    <t>127194</t>
  </si>
  <si>
    <t>4680788242616</t>
  </si>
  <si>
    <t>275644</t>
  </si>
  <si>
    <t>Новогодняя ёлочная подвеска"Телевизор".Модель из дерева.2х стр.9 см(Cоб.раз) 127195</t>
  </si>
  <si>
    <t>127195</t>
  </si>
  <si>
    <t>4680788242623</t>
  </si>
  <si>
    <t>КОЛЛЕКЦИЯ "ШКОЛА МАГИИ"</t>
  </si>
  <si>
    <t>255182</t>
  </si>
  <si>
    <t>Елочная подвеска однослойная из дерева "Золотой шар с крыльями", 8см, (Собств.разр.) НУ-3105</t>
  </si>
  <si>
    <t>НУ-3105</t>
  </si>
  <si>
    <t>4630493770010</t>
  </si>
  <si>
    <t>275636</t>
  </si>
  <si>
    <t>Новогодняя ёлочная подвеска "Волшебное зеркало".Модель из дерева. 2х стр.10 см(Cоб.раз) 127188</t>
  </si>
  <si>
    <t>127188</t>
  </si>
  <si>
    <t>4680788242555</t>
  </si>
  <si>
    <t>275637</t>
  </si>
  <si>
    <t>Новогодняя ёлочная подвеска "Золотой шар с крыльями".Модель из дерева.2х стр.8 см(Cоб.раз) 127189</t>
  </si>
  <si>
    <t>127189</t>
  </si>
  <si>
    <t>4680788242562</t>
  </si>
  <si>
    <t>275638</t>
  </si>
  <si>
    <t>Новогодняя ёлочная подвеска "Мандрагора".Модель из дерева.2х стр.9 см(Cоб.раз) 127190</t>
  </si>
  <si>
    <t>127190</t>
  </si>
  <si>
    <t>4680788242579</t>
  </si>
  <si>
    <t>275639</t>
  </si>
  <si>
    <t>Новогодняя ёлочная подвеска"Распределяющая шляпа".Модель из дерева.2х стр.7 см(Cоб.раз) 127191</t>
  </si>
  <si>
    <t>127191</t>
  </si>
  <si>
    <t>4680788242586</t>
  </si>
  <si>
    <t>275640</t>
  </si>
  <si>
    <t>Новогодняя ёлочная подвеска"Сова с письмом" .Модель из дерева.2х стр.9 см(Cоб.раз) 127192</t>
  </si>
  <si>
    <t>127192</t>
  </si>
  <si>
    <t>4680788242593</t>
  </si>
  <si>
    <t>275641</t>
  </si>
  <si>
    <t>Новогодняя ёлочная подвеска"Стопка книг".Модель из дерева.2х стр.8 см(Cоб.раз) 127193</t>
  </si>
  <si>
    <t>127193</t>
  </si>
  <si>
    <t>4680788242609</t>
  </si>
  <si>
    <t>2 Деревянные флажки</t>
  </si>
  <si>
    <t>239900</t>
  </si>
  <si>
    <t>Набор флажков "С Новым годом!", 11*7см, 10шт в ящике, 2м бечевки. Модель из дерева МД00026</t>
  </si>
  <si>
    <t>МД00026</t>
  </si>
  <si>
    <t>4630166466714</t>
  </si>
  <si>
    <t>11*7см</t>
  </si>
  <si>
    <t>3 Деревянные прищепки</t>
  </si>
  <si>
    <t>272417</t>
  </si>
  <si>
    <t>Набор новог. дер. ёлочных украшений с прищепкой "Магия" 5 шт НУ-1870</t>
  </si>
  <si>
    <t>НУ-1870</t>
  </si>
  <si>
    <t>4680942618707</t>
  </si>
  <si>
    <t>203457</t>
  </si>
  <si>
    <t xml:space="preserve"> Деревянная подвеска Зимняя опушка, 10 см, НУ-3895</t>
  </si>
  <si>
    <t>НУ-3895</t>
  </si>
  <si>
    <t>4670159038955</t>
  </si>
  <si>
    <t>203449</t>
  </si>
  <si>
    <t xml:space="preserve"> Деревянная подвеска с led-подсветкой Веселые колокольчики, 11 см, на батар  НУ-3892</t>
  </si>
  <si>
    <t>НУ-3892</t>
  </si>
  <si>
    <t>4670159038924</t>
  </si>
  <si>
    <t>258175</t>
  </si>
  <si>
    <t>Деревянная подвеска "Елка" белая, 10 см НУ-7501</t>
  </si>
  <si>
    <t>НУ-7501</t>
  </si>
  <si>
    <t>4630493776067</t>
  </si>
  <si>
    <t>258173</t>
  </si>
  <si>
    <t>Деревянная подвеска "Снежинка", белая, 10 см НУ-7500</t>
  </si>
  <si>
    <t>НУ-7500</t>
  </si>
  <si>
    <t>4630493776050</t>
  </si>
  <si>
    <t>227873</t>
  </si>
  <si>
    <t>Деревянная подвеска c led-подсветкой Сказочный домик , 14*12.5*2.5см, на батар. НУ-7021</t>
  </si>
  <si>
    <t>НУ-7021</t>
  </si>
  <si>
    <t>4670159169703</t>
  </si>
  <si>
    <t>14*12.5*2.5 см</t>
  </si>
  <si>
    <t>227875</t>
  </si>
  <si>
    <t>Деревянная подвеска Метель в лесу, 10см НУ-7023</t>
  </si>
  <si>
    <t>НУ-7023</t>
  </si>
  <si>
    <t>4670159169727</t>
  </si>
  <si>
    <t>10см</t>
  </si>
  <si>
    <t>203442</t>
  </si>
  <si>
    <t>Деревянная подвеска Полярная звездочка,10*22 см, НУ-3889</t>
  </si>
  <si>
    <t>НУ-3889</t>
  </si>
  <si>
    <t>4670159038894</t>
  </si>
  <si>
    <t>227877</t>
  </si>
  <si>
    <t>Деревянная подвеска с led-подсветкой "Необыкновенные огни", 9см, на батар. CR2032 НУ-7025</t>
  </si>
  <si>
    <t>НУ-7025</t>
  </si>
  <si>
    <t>4670159169741</t>
  </si>
  <si>
    <t>9см</t>
  </si>
  <si>
    <t>251501</t>
  </si>
  <si>
    <t>Деревянная подвеска с led-подсветкой "Чудесный домик", 7.5*9 см, батар. в компл. (AG10*3 шт) НУ-2638</t>
  </si>
  <si>
    <t>НУ-2638</t>
  </si>
  <si>
    <t>4640306926329</t>
  </si>
  <si>
    <t>227876</t>
  </si>
  <si>
    <t>Деревянная подвеска с led-подсветкой Сказочный колокольчик, 11см, на батар. НУ-7024</t>
  </si>
  <si>
    <t>НУ-7024</t>
  </si>
  <si>
    <t>4670159169734</t>
  </si>
  <si>
    <t>11см</t>
  </si>
  <si>
    <t>203447</t>
  </si>
  <si>
    <t>Деревянная подвеска с led-подсветкой Яркие огни, 9 см, на батар CR 2032  НУ-3891</t>
  </si>
  <si>
    <t>НУ-3891</t>
  </si>
  <si>
    <t>4670159038917</t>
  </si>
  <si>
    <t>231875</t>
  </si>
  <si>
    <t>Новогоднее украшение. Деревянная подвеска "Веселые медвежата",10*10см НУ-8216</t>
  </si>
  <si>
    <t>НУ-8216</t>
  </si>
  <si>
    <t>4670159182429</t>
  </si>
  <si>
    <t>10*10  см</t>
  </si>
  <si>
    <t>231876</t>
  </si>
  <si>
    <t>Новогоднее украшение. Деревянная подвеска "Веселый олененок",12*10см НУ-8217</t>
  </si>
  <si>
    <t>НУ-8217</t>
  </si>
  <si>
    <t>4670159182436</t>
  </si>
  <si>
    <t>12 *10 *0.5  см</t>
  </si>
  <si>
    <t>231872</t>
  </si>
  <si>
    <t>Новогоднее украшение. Деревянная подвеска "Гномик в машине",7*8см НУ-8214</t>
  </si>
  <si>
    <t>НУ-8214</t>
  </si>
  <si>
    <t>4670159182405</t>
  </si>
  <si>
    <t>7 *8 *0.5  см</t>
  </si>
  <si>
    <t>203444</t>
  </si>
  <si>
    <t>Новогоднее украшение. Деревянная подвеска "Праздничные коньки",8*6.5 см НУ-3915</t>
  </si>
  <si>
    <t>НУ-3915</t>
  </si>
  <si>
    <t>4670159039150</t>
  </si>
  <si>
    <t>203445</t>
  </si>
  <si>
    <t>Новогоднее украшение. Деревянная подвеска "Серебристая ель",12.5 см НУ-3916</t>
  </si>
  <si>
    <t>НУ-3916</t>
  </si>
  <si>
    <t>4670159039167</t>
  </si>
  <si>
    <t>203446</t>
  </si>
  <si>
    <t>Новогоднее украшение. Деревянная подвеска "Снежные санки",10см НУ-3917</t>
  </si>
  <si>
    <t>НУ-3917</t>
  </si>
  <si>
    <t>4670159039174</t>
  </si>
  <si>
    <t>233458</t>
  </si>
  <si>
    <t>Новогоднее украшение. Деревянная подвеска 6см ( 12шт в наборе). "Щелкунчики" НУ-8956</t>
  </si>
  <si>
    <t>НУ-8956</t>
  </si>
  <si>
    <t>4670159189848</t>
  </si>
  <si>
    <t>6 см</t>
  </si>
  <si>
    <t>102590</t>
  </si>
  <si>
    <t>Новогоднее украшение. Деревянная подвеска Звезда с лентами, 12х12 см НДУ-8386</t>
  </si>
  <si>
    <t>НДУ-8386</t>
  </si>
  <si>
    <t>4665306683867</t>
  </si>
  <si>
    <t>160363</t>
  </si>
  <si>
    <t>Новогоднее украшение. Ёлочная подвеска Снежинка, 15 см, в ассортименте НУ-5322</t>
  </si>
  <si>
    <t>НУ-5322</t>
  </si>
  <si>
    <t>4680088498225</t>
  </si>
  <si>
    <t>15*7CM</t>
  </si>
  <si>
    <t>226288</t>
  </si>
  <si>
    <t>Новогоднее украшение. Ёлочная подвеска Снежинка, 15 см, светло-коричневая НУ-5928</t>
  </si>
  <si>
    <t>НУ-5928</t>
  </si>
  <si>
    <t>4670159159285</t>
  </si>
  <si>
    <t>231877</t>
  </si>
  <si>
    <t>Новогоднее украшение. Набор деревянных подвесок "Праздник минимализма",6*5,5см, 12шт./сэт НУ-8218</t>
  </si>
  <si>
    <t>НУ-8218</t>
  </si>
  <si>
    <t>4670159182443</t>
  </si>
  <si>
    <t>6 *5.5  см ПВХ коробка12*12*1 см</t>
  </si>
  <si>
    <t>04 Пластиковые</t>
  </si>
  <si>
    <t xml:space="preserve"> 1 Формовой пластик (собственная разработка)</t>
  </si>
  <si>
    <t>1 КОЛЛЕКЦИЯ "РЕТРО"</t>
  </si>
  <si>
    <t>228120</t>
  </si>
  <si>
    <t>Новогоднее подвесное украшение из пластика "Белочка"(собств.разр.)4*6*8см НУ-6768</t>
  </si>
  <si>
    <t>НУ-6768</t>
  </si>
  <si>
    <t>4670159167556</t>
  </si>
  <si>
    <t>4*6*8 см</t>
  </si>
  <si>
    <t>228119</t>
  </si>
  <si>
    <t>Новогоднее подвесное украшение из пластика "Внучка Деда Мороза"(собст.разр.)5*7*10см НУ-6767</t>
  </si>
  <si>
    <t>НУ-6767</t>
  </si>
  <si>
    <t>4670159167549</t>
  </si>
  <si>
    <t>5*7*10 см</t>
  </si>
  <si>
    <t>228116</t>
  </si>
  <si>
    <t>Новогоднее подвесное украшение из пластика "Дети"(собств.разр.)2,5*10*8см НУ-6764</t>
  </si>
  <si>
    <t>НУ-6764</t>
  </si>
  <si>
    <t>4670159167518</t>
  </si>
  <si>
    <t>2,5*10*8 см</t>
  </si>
  <si>
    <t>3 КОЛЛЕКЦИЯ "СНЕГИРИ"</t>
  </si>
  <si>
    <t>228112</t>
  </si>
  <si>
    <t>Новогоднее подвесное украшение из пластика "Красногрудый снегирь"(собств.разр.) 8,8*5.5см НУ-6760</t>
  </si>
  <si>
    <t>НУ-6760</t>
  </si>
  <si>
    <t>4670159167471</t>
  </si>
  <si>
    <t>8,8*5.5 см</t>
  </si>
  <si>
    <t>6 Другое</t>
  </si>
  <si>
    <t>228121</t>
  </si>
  <si>
    <t>Новогоднее подвесное украшение из пластика "Зимнее мороженое"(собств.разр.)3,5*8см НУ-6769</t>
  </si>
  <si>
    <t>НУ-6769</t>
  </si>
  <si>
    <t>4670159167563</t>
  </si>
  <si>
    <t>3,5*8 см</t>
  </si>
  <si>
    <t>236788</t>
  </si>
  <si>
    <t>Новогоднее подвесное украшение из пластика (2 шт.) "Голубки" (собст. разр.) 7,5х10см НУ-0809</t>
  </si>
  <si>
    <t>НУ-0809</t>
  </si>
  <si>
    <t>4670159208099</t>
  </si>
  <si>
    <t>7,5х10 см</t>
  </si>
  <si>
    <t>2 Формовой пластик</t>
  </si>
  <si>
    <t>251154</t>
  </si>
  <si>
    <t>Набор ёлочных подвесок "Блестящие сапожки" 9.5*5*8см, 2 шт НУ-2612</t>
  </si>
  <si>
    <t>НУ-2612</t>
  </si>
  <si>
    <t>4640306925926</t>
  </si>
  <si>
    <t>274924</t>
  </si>
  <si>
    <t>Набор ёлочных подвесок "Звезды" 24 шт, 6 см, красный НУШ-3122</t>
  </si>
  <si>
    <t>НУШ-3122</t>
  </si>
  <si>
    <t>4680942631225</t>
  </si>
  <si>
    <t>251161</t>
  </si>
  <si>
    <t>Набор ёлочных подвесок "Золотистые кристаллики" 4*4*11см, 2 шт НУ-2619</t>
  </si>
  <si>
    <t>НУ-2619</t>
  </si>
  <si>
    <t>4640306925995</t>
  </si>
  <si>
    <t>106803</t>
  </si>
  <si>
    <t>Набор ёлочных подвесок Воздушные снежинки 11.5 см, 3 шт НУ-1117</t>
  </si>
  <si>
    <t>НУ-1117</t>
  </si>
  <si>
    <t>4665306711171</t>
  </si>
  <si>
    <t>251463</t>
  </si>
  <si>
    <t>Набор новогодних ёлочных подвесок "Красные мишки", 9х5 см, 3 шт, пластик НУ-2666</t>
  </si>
  <si>
    <t>НУ-2666</t>
  </si>
  <si>
    <t>4640306926497</t>
  </si>
  <si>
    <t>Балерины</t>
  </si>
  <si>
    <t>203006</t>
  </si>
  <si>
    <t>Новогоднее подвесное украшение "Балерина" 8*4*13,5см НУ-3382</t>
  </si>
  <si>
    <t>НУ-3382</t>
  </si>
  <si>
    <t>4670159033820</t>
  </si>
  <si>
    <t>Золотая коллекция</t>
  </si>
  <si>
    <t>203011</t>
  </si>
  <si>
    <t>Новогоднее подвесное украшение "Желудь "6*6*7,8см НУ-3385</t>
  </si>
  <si>
    <t>НУ-3385</t>
  </si>
  <si>
    <t>4670159033851</t>
  </si>
  <si>
    <t>203009</t>
  </si>
  <si>
    <t>Новогоднее подвесное украшение "Лесная шишка" 6,7*6,7*12см НУ-3384</t>
  </si>
  <si>
    <t>НУ-3384</t>
  </si>
  <si>
    <t>4670159033844</t>
  </si>
  <si>
    <t>Полноцветные</t>
  </si>
  <si>
    <t>202918</t>
  </si>
  <si>
    <t>Новогоднее подвесное украшение " Карамельный поезд", 9,3*5,4*9,2 см НУ-3361</t>
  </si>
  <si>
    <t>НУ-3361</t>
  </si>
  <si>
    <t>4670159033615</t>
  </si>
  <si>
    <t>202906</t>
  </si>
  <si>
    <t>Новогоднее подвесное украшение " Поезд желаний", 11,8*4,3*6,6см НУ-3351</t>
  </si>
  <si>
    <t>НУ-3351</t>
  </si>
  <si>
    <t>4670159033516</t>
  </si>
  <si>
    <t>202966</t>
  </si>
  <si>
    <t>Новогоднее подвесное украшение "Дедушка Мороз",8,3*5,9*10,8см НУ-3363</t>
  </si>
  <si>
    <t>НУ-3363</t>
  </si>
  <si>
    <t>4670159033639</t>
  </si>
  <si>
    <t>202985</t>
  </si>
  <si>
    <t>Новогоднее подвесное украшение "Звон праздника" 11*5,2*9,3см НУ-3373</t>
  </si>
  <si>
    <t>НУ-3373</t>
  </si>
  <si>
    <t>4670159033738</t>
  </si>
  <si>
    <t>202910</t>
  </si>
  <si>
    <t>Новогоднее подвесное украшение "Новогодний часовой", 5,7*3,7*12,9 см НУ-3355</t>
  </si>
  <si>
    <t>НУ-3355</t>
  </si>
  <si>
    <t>4670159033554</t>
  </si>
  <si>
    <t>202999</t>
  </si>
  <si>
    <t>Новогоднее подвесное украшение "Орех желаний" 7*7*9см НУ-3378</t>
  </si>
  <si>
    <t>НУ-3378</t>
  </si>
  <si>
    <t>4670159033783</t>
  </si>
  <si>
    <t>202980</t>
  </si>
  <si>
    <t>Новогоднее подвесное украшение "Полярный Мишка с подарком" 8,6*7*9,8см НУ-3370</t>
  </si>
  <si>
    <t>НУ-3370</t>
  </si>
  <si>
    <t>4670159033707</t>
  </si>
  <si>
    <t>202916</t>
  </si>
  <si>
    <t>Новогоднее подвесное украшение "Праздничный фонарь", 8*6,7*13,8 см НУ-3359</t>
  </si>
  <si>
    <t>НУ-3359</t>
  </si>
  <si>
    <t>4670159033592</t>
  </si>
  <si>
    <t>203020</t>
  </si>
  <si>
    <t>Новогоднее подвесное украшение "Сказочная белочка"8,5*4,5*9см НУ-3390</t>
  </si>
  <si>
    <t>НУ-3390</t>
  </si>
  <si>
    <t>4670159033905</t>
  </si>
  <si>
    <t>251321</t>
  </si>
  <si>
    <t>Новогоднее подвесное украшение "Снеговик" 5,7*5,1*10,3см НУ-2660</t>
  </si>
  <si>
    <t>НУ-2660</t>
  </si>
  <si>
    <t>4640306926435</t>
  </si>
  <si>
    <t>228123</t>
  </si>
  <si>
    <t>Новогоднее подвесное украшение из пластика "Главный подарок" 8*3см НУ-7026</t>
  </si>
  <si>
    <t>НУ-7026</t>
  </si>
  <si>
    <t>4670159169857</t>
  </si>
  <si>
    <t>8*3 см</t>
  </si>
  <si>
    <t>228115</t>
  </si>
  <si>
    <t>Новогоднее подвесное украшение из пластика "Шампань", 8*3см НУ-6763</t>
  </si>
  <si>
    <t>НУ-6763</t>
  </si>
  <si>
    <t>4670159167501</t>
  </si>
  <si>
    <t>Флокированные</t>
  </si>
  <si>
    <t>274750</t>
  </si>
  <si>
    <t>Подвесное украшение Блестящие колокольчики 8 см, красные НУ-2949</t>
  </si>
  <si>
    <t>НУ-2949</t>
  </si>
  <si>
    <t>4680942629499</t>
  </si>
  <si>
    <t>274752</t>
  </si>
  <si>
    <t>Подвесное украшение Звонкие колокольчики 15 см, 3 шара 8 см, 60х37см красные НУ-2951</t>
  </si>
  <si>
    <t>НУ-2951</t>
  </si>
  <si>
    <t>4680942629512</t>
  </si>
  <si>
    <t>274749</t>
  </si>
  <si>
    <t>Подвесное украшение Зимние колокольчики 12 см, 2 шара 6 см, 25х45 см красные НУ-2948</t>
  </si>
  <si>
    <t>НУ-2948</t>
  </si>
  <si>
    <t>4680942629482</t>
  </si>
  <si>
    <t>274748</t>
  </si>
  <si>
    <t>Подвесное украшение Чудесные колокольчики 2шт 10 см, 2 шара 6 см, 22х33 см красные НУ-2947</t>
  </si>
  <si>
    <t>НУ-2947</t>
  </si>
  <si>
    <t>4680942629475</t>
  </si>
  <si>
    <t>3 Пластик (+ глиттер, флок)</t>
  </si>
  <si>
    <t>064826</t>
  </si>
  <si>
    <t>Набор ёлочных подвесок "Новогдние олени" 9см 2 шт НУ-8335</t>
  </si>
  <si>
    <t>НУ-8335</t>
  </si>
  <si>
    <t>4665301783357</t>
  </si>
  <si>
    <t>9 см</t>
  </si>
  <si>
    <t>064810</t>
  </si>
  <si>
    <t>Набор ёлочных подвесок "Новогодние ёлочки" 9,5 см 4 шт НУ-8320</t>
  </si>
  <si>
    <t>НУ-8320</t>
  </si>
  <si>
    <t>4665301783203</t>
  </si>
  <si>
    <t>9,5 см</t>
  </si>
  <si>
    <t>064802</t>
  </si>
  <si>
    <t>Набор ёлочных подвесок "Сказочные снежинки" 10,5см 4 шт НУ-8312</t>
  </si>
  <si>
    <t>НУ-8312</t>
  </si>
  <si>
    <t>4665301783128</t>
  </si>
  <si>
    <t>10,5 см</t>
  </si>
  <si>
    <t>104442</t>
  </si>
  <si>
    <t>Набор ёлочных подвесок, 2 шт. Ледяные снежинки, 13 см НУ-0034</t>
  </si>
  <si>
    <t>НУ-0034</t>
  </si>
  <si>
    <t>4665306700342</t>
  </si>
  <si>
    <t>13 см</t>
  </si>
  <si>
    <t>203588</t>
  </si>
  <si>
    <t>Набор ёлочных подвесок, 2 шт. Яркие банты, 9 см  НУ-3825</t>
  </si>
  <si>
    <t>НУ-3825</t>
  </si>
  <si>
    <t>4670159038252</t>
  </si>
  <si>
    <t>203587</t>
  </si>
  <si>
    <t>Набор ёлочных подвесок, 2 шт. Яркие звёзды, 13 см НУ-3824</t>
  </si>
  <si>
    <t>НУ-3824</t>
  </si>
  <si>
    <t>4670159038245</t>
  </si>
  <si>
    <t>203589</t>
  </si>
  <si>
    <t>Набор ёлочных подвесок, 2 шт. Яркие шары, 8 см  НУ-3826</t>
  </si>
  <si>
    <t>НУ-3826</t>
  </si>
  <si>
    <t>4670159038269</t>
  </si>
  <si>
    <t>104444</t>
  </si>
  <si>
    <t>Набор ёлочных подвесок, 4 шт. Нарядные снежинки, 7 см НУ-0035</t>
  </si>
  <si>
    <t>НУ-0035</t>
  </si>
  <si>
    <t>4665306700359</t>
  </si>
  <si>
    <t>064805</t>
  </si>
  <si>
    <t>Набор ёлочных подвесок "Волшебные снежинки" 10,5см 4 шт НУ-8315</t>
  </si>
  <si>
    <t>НУ-8315</t>
  </si>
  <si>
    <t>4665301783159</t>
  </si>
  <si>
    <t>251325</t>
  </si>
  <si>
    <t>Новогоднее подвесное украшение "Бантик" 12*1.5*10см НУ-2664</t>
  </si>
  <si>
    <t>НУ-2664</t>
  </si>
  <si>
    <t>4640306926473</t>
  </si>
  <si>
    <t>203001</t>
  </si>
  <si>
    <t>Новогоднее подвесное украшение "Кленовый лист" 10,7*1,3*12,5см НУ-3379</t>
  </si>
  <si>
    <t>НУ-3379</t>
  </si>
  <si>
    <t>4670159033790</t>
  </si>
  <si>
    <t>193755</t>
  </si>
  <si>
    <t>Новогоднее подвесное украшение "Розовый бант" 12*1.5*10 см НУ-8227</t>
  </si>
  <si>
    <t>НУ-8227</t>
  </si>
  <si>
    <t>4620129782272</t>
  </si>
  <si>
    <t>12*1.5*10 см</t>
  </si>
  <si>
    <t>160575</t>
  </si>
  <si>
    <t>Новогоднее подвесное украшение Елка с шишкой в ассортименте 16 см НУ-5150</t>
  </si>
  <si>
    <t>НУ-5150</t>
  </si>
  <si>
    <t>4680088496504</t>
  </si>
  <si>
    <t>16x11 см</t>
  </si>
  <si>
    <t>251324</t>
  </si>
  <si>
    <t>Новогоднее подвесное украшение"Снежинка" 12*1*12см НУ-2663</t>
  </si>
  <si>
    <t>НУ-2663</t>
  </si>
  <si>
    <t>4640306926466</t>
  </si>
  <si>
    <t>255710</t>
  </si>
  <si>
    <t>Подвесное украшение "Ажурная звезда золотистая" 10.5*10.3*3 см НУ-7073</t>
  </si>
  <si>
    <t>НУ-7073</t>
  </si>
  <si>
    <t>4630493770553</t>
  </si>
  <si>
    <t>255709</t>
  </si>
  <si>
    <t>Подвесное украшение "Ажурная звезда" 10.5*10.3*3 см НУ-7072</t>
  </si>
  <si>
    <t>НУ-7072</t>
  </si>
  <si>
    <t>4630493770546</t>
  </si>
  <si>
    <t>255712</t>
  </si>
  <si>
    <t>Подвесное украшение "Жемчужная сосулька" 22.5*3.5 см НУ-7075</t>
  </si>
  <si>
    <t>НУ-7075</t>
  </si>
  <si>
    <t>4630493770577</t>
  </si>
  <si>
    <t>255711</t>
  </si>
  <si>
    <t>Подвесное украшение "Золотисая сосулька" 22.5*3.5 см НУ-7074</t>
  </si>
  <si>
    <t>НУ-7074</t>
  </si>
  <si>
    <t>4630493770560</t>
  </si>
  <si>
    <t>255708</t>
  </si>
  <si>
    <t>Подвесное украшение "Золотистый ключик" 15*7*1.3 см НУ-7071</t>
  </si>
  <si>
    <t>НУ-7071</t>
  </si>
  <si>
    <t>4630493770539</t>
  </si>
  <si>
    <t>255704</t>
  </si>
  <si>
    <t>Подвесное украшение "Серебряная звезда" 14*10 см НУ-7067</t>
  </si>
  <si>
    <t>НУ-7067</t>
  </si>
  <si>
    <t>4630493770492</t>
  </si>
  <si>
    <t>255705</t>
  </si>
  <si>
    <t>Подвесное украшение "Серебряный единорог" 12*9.5*2 см НУ-7068</t>
  </si>
  <si>
    <t>НУ-7068</t>
  </si>
  <si>
    <t>4630493770508</t>
  </si>
  <si>
    <t>255707</t>
  </si>
  <si>
    <t>Подвесное украшение "Серебряный ключик" 15*7*1.3 см НУ-7070</t>
  </si>
  <si>
    <t>НУ-7070</t>
  </si>
  <si>
    <t>4630493770522</t>
  </si>
  <si>
    <t>255703</t>
  </si>
  <si>
    <t>Подвесное украшение "Снежная сосулька" 16.5*6.5 см НУ-7066</t>
  </si>
  <si>
    <t>НУ-7066</t>
  </si>
  <si>
    <t>4630493770485</t>
  </si>
  <si>
    <t>05  Акриловые</t>
  </si>
  <si>
    <t>275430</t>
  </si>
  <si>
    <t>Новогоднее подвесное украшение из акрила "Сосульки", 2 шт, 17 см НУП-3660</t>
  </si>
  <si>
    <t>НУП-3660</t>
  </si>
  <si>
    <t>4680942636602</t>
  </si>
  <si>
    <t>234441</t>
  </si>
  <si>
    <t>Новогоднее подвесное украшение сосульки из акрила "Зимняя история" набор 24 шт, 13 см НУ-9901</t>
  </si>
  <si>
    <t>НУ-9901</t>
  </si>
  <si>
    <t>4670159197263</t>
  </si>
  <si>
    <t>234439</t>
  </si>
  <si>
    <t>Новогоднее подвесное украшение сосульки из акрила "Ледяная сказка" набор 12 шт, 13 см НУ-9900</t>
  </si>
  <si>
    <t>НУ-9900</t>
  </si>
  <si>
    <t>4670159197256</t>
  </si>
  <si>
    <t>275408</t>
  </si>
  <si>
    <t>Новогоднее подвесное украшение из акрила "Ангел", 14,5 см НУП-3638</t>
  </si>
  <si>
    <t>НУП-3638</t>
  </si>
  <si>
    <t>4680942636381</t>
  </si>
  <si>
    <t>275426</t>
  </si>
  <si>
    <t>Новогоднее подвесное украшение из акрила "Балерина", 16 см НУП-3656</t>
  </si>
  <si>
    <t>НУП-3656</t>
  </si>
  <si>
    <t>4680942636565</t>
  </si>
  <si>
    <t>275415</t>
  </si>
  <si>
    <t>Новогоднее подвесное украшение из акрила "Восхитительный узор", 14 см НУП-3645</t>
  </si>
  <si>
    <t>НУП-3645</t>
  </si>
  <si>
    <t>4680942636459</t>
  </si>
  <si>
    <t>275405</t>
  </si>
  <si>
    <t>Новогоднее подвесное украшение из акрила "Заветный ключ", 16 см НУП-3635</t>
  </si>
  <si>
    <t>НУП-3635</t>
  </si>
  <si>
    <t>4680942636350</t>
  </si>
  <si>
    <t>275427</t>
  </si>
  <si>
    <t>Новогоднее подвесное украшение из акрила "Изящная балерина", 13 см НУП-3657</t>
  </si>
  <si>
    <t>НУП-3657</t>
  </si>
  <si>
    <t>4680942636572</t>
  </si>
  <si>
    <t>211084</t>
  </si>
  <si>
    <t>Новогоднее подвесное украшение из акрила "Ключик счастья", золотистый, 15.5*7.5см НУ-7467</t>
  </si>
  <si>
    <t>НУ-7467</t>
  </si>
  <si>
    <t>4670159074670</t>
  </si>
  <si>
    <t>211088</t>
  </si>
  <si>
    <t>Новогоднее подвесное украшение из акрила "Ключик счастья", серебристый,15.5*7.5см НУ-7468</t>
  </si>
  <si>
    <t>НУ-7468</t>
  </si>
  <si>
    <t>4670159074687</t>
  </si>
  <si>
    <t>211094</t>
  </si>
  <si>
    <t>Новогоднее подвесное украшение из акрила "Королевская снежинка", 12.5*12.5см НУ-7469</t>
  </si>
  <si>
    <t>НУ-7469</t>
  </si>
  <si>
    <t>4670159074694</t>
  </si>
  <si>
    <t>275425</t>
  </si>
  <si>
    <t>Новогоднее подвесное украшение из акрила "Лесной олень", 13 см НУП-3655</t>
  </si>
  <si>
    <t>НУП-3655</t>
  </si>
  <si>
    <t>4680942636558</t>
  </si>
  <si>
    <t>275420</t>
  </si>
  <si>
    <t>Новогоднее подвесное украшение из акрила "Оленёнок", 9 см НУП-3650</t>
  </si>
  <si>
    <t>НУП-3650</t>
  </si>
  <si>
    <t>4680942636503</t>
  </si>
  <si>
    <t>275421</t>
  </si>
  <si>
    <t>Новогоднее подвесное украшение из акрила "Олень", 13 см НУП-3651</t>
  </si>
  <si>
    <t>НУП-3651</t>
  </si>
  <si>
    <t>4680942636510</t>
  </si>
  <si>
    <t>275411</t>
  </si>
  <si>
    <t>Новогоднее подвесное украшение из акрила "Прекрасная снежинка", 13 см НУП-3641</t>
  </si>
  <si>
    <t>НУП-3641</t>
  </si>
  <si>
    <t>4680942636411</t>
  </si>
  <si>
    <t>275410</t>
  </si>
  <si>
    <t>Новогоднее подвесное украшение из акрила "Прекрасный узор", 12 см НУП-3640</t>
  </si>
  <si>
    <t>НУП-3640</t>
  </si>
  <si>
    <t>4680942636404</t>
  </si>
  <si>
    <t>275406</t>
  </si>
  <si>
    <t>Новогоднее подвесное украшение из акрила "Саксофон", 12 см НУП-3636</t>
  </si>
  <si>
    <t>НУП-3636</t>
  </si>
  <si>
    <t>4680942636367</t>
  </si>
  <si>
    <t>275407</t>
  </si>
  <si>
    <t>Новогоднее подвесное украшение из акрила "Солдатик", 13 см НУП-3637</t>
  </si>
  <si>
    <t>НУП-3637</t>
  </si>
  <si>
    <t>4680942636374</t>
  </si>
  <si>
    <t>275404</t>
  </si>
  <si>
    <t>Новогоднее подвесное украшение из акрила "Стильный ключик", 16 см НУП-3634</t>
  </si>
  <si>
    <t>НУП-3634</t>
  </si>
  <si>
    <t>4680942636343</t>
  </si>
  <si>
    <t>211075</t>
  </si>
  <si>
    <t>Новогоднее подвесное украшение из акрила "Хранитель леса",11*11*15.5см НУ-7464</t>
  </si>
  <si>
    <t>НУ-7464</t>
  </si>
  <si>
    <t>4670159074649</t>
  </si>
  <si>
    <t>06 Зеркальные</t>
  </si>
  <si>
    <t>251199</t>
  </si>
  <si>
    <t>Набор Новогодних подвесных украшений из акрила "Милые лошадки", серебристые, 100*150 мм НУ-2100</t>
  </si>
  <si>
    <t>НУ-2100</t>
  </si>
  <si>
    <t>4640306921072</t>
  </si>
  <si>
    <t>251196</t>
  </si>
  <si>
    <t>Набор Новогодних подвесных украшений из акрила "Милые лошадки"(3 шт),золотистые, 100*150 мм НУ-2237</t>
  </si>
  <si>
    <t>НУ-2237</t>
  </si>
  <si>
    <t>4670159222965</t>
  </si>
  <si>
    <t>202562</t>
  </si>
  <si>
    <t>Набор подвесок из акрила "Благородные драконы" (собственная разработка), 3 шт, 10*10*0,3 см НУ-2440</t>
  </si>
  <si>
    <t>НУ-2440</t>
  </si>
  <si>
    <t>4670159024101</t>
  </si>
  <si>
    <t>10*10*0,3 см</t>
  </si>
  <si>
    <t>202551</t>
  </si>
  <si>
    <t>Новогоднее подвесное украшение из акрила "Аспид" (собственная разработка), 10*15 см НУ-2435</t>
  </si>
  <si>
    <t>НУ-2435</t>
  </si>
  <si>
    <t>4670159024057</t>
  </si>
  <si>
    <t>100*150 мм</t>
  </si>
  <si>
    <t>223955</t>
  </si>
  <si>
    <t>Новогоднее подвесное украшение из акрила "Волшебная змея",серебристый,собст.разр.150*105мм НУ-5412</t>
  </si>
  <si>
    <t>НУ-5412</t>
  </si>
  <si>
    <t>4670159149026</t>
  </si>
  <si>
    <t>150*105 мм</t>
  </si>
  <si>
    <t>202549</t>
  </si>
  <si>
    <t>Новогоднее подвесное украшение из акрила "Волшебный дракон" (собственная разработка),10*15см НУ-2434</t>
  </si>
  <si>
    <t>НУ-2434</t>
  </si>
  <si>
    <t>4670159024040</t>
  </si>
  <si>
    <t>202546</t>
  </si>
  <si>
    <t>Новогоднее подвесное украшение из акрила "Дракончик" (собственная разработка), 10*15 см НУ-2403</t>
  </si>
  <si>
    <t>НУ-2403</t>
  </si>
  <si>
    <t>4670159024033</t>
  </si>
  <si>
    <t>202560</t>
  </si>
  <si>
    <t>Новогоднее подвесное украшение из акрила "Драконье пламя" (собствен. разработка), 10*15 см НУ-2439</t>
  </si>
  <si>
    <t>НУ-2439</t>
  </si>
  <si>
    <t>4670159024095</t>
  </si>
  <si>
    <t>223960</t>
  </si>
  <si>
    <t>Новогоднее подвесное украшение из акрила "Зеркальная змея",серебристый, собс.разр.150*105мм НУ-5417</t>
  </si>
  <si>
    <t>НУ-5417</t>
  </si>
  <si>
    <t>4670159149071</t>
  </si>
  <si>
    <t>202543</t>
  </si>
  <si>
    <t>Новогоднее подвесное украшение из акрила "Зеркальный дракон" (собств. разработка), 10*15 см НУ-2401</t>
  </si>
  <si>
    <t>НУ-2401</t>
  </si>
  <si>
    <t>4670159024019</t>
  </si>
  <si>
    <t>223956</t>
  </si>
  <si>
    <t>Новогоднее подвесное украшение из акрила "Зимняя змея",серебристый,собст.разр.150*115мм НУ-5413</t>
  </si>
  <si>
    <t>НУ-5413</t>
  </si>
  <si>
    <t>4670159149033</t>
  </si>
  <si>
    <t>150*115 мм</t>
  </si>
  <si>
    <t>223958</t>
  </si>
  <si>
    <t>Новогоднее подвесное украшение из акрила "Мерцающая змея",золотистый,собст.разр.150*110мм НУ-5415</t>
  </si>
  <si>
    <t>НУ-5415</t>
  </si>
  <si>
    <t>4670159149057</t>
  </si>
  <si>
    <t>150*110 мм</t>
  </si>
  <si>
    <t>223962</t>
  </si>
  <si>
    <t>Новогоднее подвесное украшение из акрила "Мудрая змея",серебристый,собст.разр.150*65мм НУ-5419</t>
  </si>
  <si>
    <t>НУ-5419</t>
  </si>
  <si>
    <t>4670159149095</t>
  </si>
  <si>
    <t>150*65 мм</t>
  </si>
  <si>
    <t>202552</t>
  </si>
  <si>
    <t>Новогоднее подвесное украшение из акрила "Новогодний дракончик"(собств.разраб.), 10*15 см НУ-2436</t>
  </si>
  <si>
    <t>НУ-2436</t>
  </si>
  <si>
    <t>4670159024064</t>
  </si>
  <si>
    <t>223957</t>
  </si>
  <si>
    <t>Новогоднее подвесное украшение из акрила "Новогодняя змея",золотистый,собст.разр.150*100мм НУ-5414</t>
  </si>
  <si>
    <t>НУ-5414</t>
  </si>
  <si>
    <t>4670159149040</t>
  </si>
  <si>
    <t>150*100 мм</t>
  </si>
  <si>
    <t>223959</t>
  </si>
  <si>
    <t>Новогоднее подвесное украшение из акрила "Сверкающая змея",золотистый,собст.разр.150*100мм НУ-5416</t>
  </si>
  <si>
    <t>НУ-5416</t>
  </si>
  <si>
    <t>4670159149064</t>
  </si>
  <si>
    <t>251195</t>
  </si>
  <si>
    <t>Новогоднее подвесное украшение из акрила "Сверкающая лошадка", серебристый, 100*150 мм НУ-2236</t>
  </si>
  <si>
    <t>НУ-2236</t>
  </si>
  <si>
    <t>4670159222958</t>
  </si>
  <si>
    <t>223953</t>
  </si>
  <si>
    <t>Новогоднее подвесное украшение из акрила "Сказочная змея",золотистый,собст.разр.150*105мм НУ-5410</t>
  </si>
  <si>
    <t>НУ-5410</t>
  </si>
  <si>
    <t>4670159149002</t>
  </si>
  <si>
    <t>223954</t>
  </si>
  <si>
    <t>Новогоднее подвесное украшение из акрила "Чудесная змея",серебристый,собст.разр.150*120мм НУ-5411</t>
  </si>
  <si>
    <t>НУ-5411</t>
  </si>
  <si>
    <t>4670159149019</t>
  </si>
  <si>
    <t>150*120 мм</t>
  </si>
  <si>
    <t>07 Текстильные</t>
  </si>
  <si>
    <t>160657</t>
  </si>
  <si>
    <t>Новогоднее подвесное украшение Сердце с мехом, бежевое 12 см  НУ-5076</t>
  </si>
  <si>
    <t>НУ-5076</t>
  </si>
  <si>
    <t>4680088495767</t>
  </si>
  <si>
    <t>12 см</t>
  </si>
  <si>
    <t>08 Металлические</t>
  </si>
  <si>
    <t>275471</t>
  </si>
  <si>
    <t>Новогоднее подвесное украшение из металла "Ёлка", 17 см НУП-3697</t>
  </si>
  <si>
    <t>НУП-3697</t>
  </si>
  <si>
    <t>4680942636978</t>
  </si>
  <si>
    <t>275469</t>
  </si>
  <si>
    <t>Новогоднее подвесное украшение из металла "Ёлочка", 18 см НУП-3695</t>
  </si>
  <si>
    <t>НУП-3695</t>
  </si>
  <si>
    <t>4680942636954</t>
  </si>
  <si>
    <t>275470</t>
  </si>
  <si>
    <t>Новогоднее подвесное украшение из металла "Звезда", 16 см НУП-3696</t>
  </si>
  <si>
    <t>НУП-3696</t>
  </si>
  <si>
    <t>4680942636961</t>
  </si>
  <si>
    <t>275468</t>
  </si>
  <si>
    <t>Новогоднее подвесное украшение из металла "Звездочка", 16 см НУП-3694</t>
  </si>
  <si>
    <t>НУП-3694</t>
  </si>
  <si>
    <t>4680942636947</t>
  </si>
  <si>
    <t>275473</t>
  </si>
  <si>
    <t>Новогоднее подвесное украшение из металла "Изящная снежинка", 17 см НУП-3699</t>
  </si>
  <si>
    <t>НУП-3699</t>
  </si>
  <si>
    <t>4680942636992</t>
  </si>
  <si>
    <t>275474</t>
  </si>
  <si>
    <t>Новогоднее подвесное украшение из металла "Новогодняя звёздочка", 16 см НУП-3700</t>
  </si>
  <si>
    <t>НУП-3700</t>
  </si>
  <si>
    <t>4680942637005</t>
  </si>
  <si>
    <t>275472</t>
  </si>
  <si>
    <t>Новогоднее подвесное украшение из металла "Снежинка", 18 см НУП-3698</t>
  </si>
  <si>
    <t>НУП-3698</t>
  </si>
  <si>
    <t>4680942636985</t>
  </si>
  <si>
    <t>02 Ёлочные шары</t>
  </si>
  <si>
    <t>1 Шары стеклянные "Собственная разработка"</t>
  </si>
  <si>
    <t>Шары стеклянные "Собственная разработка" 6см</t>
  </si>
  <si>
    <t>КОЛЛЕКЦИЯ " ЗИМА"</t>
  </si>
  <si>
    <t>227748</t>
  </si>
  <si>
    <t>Новогоднее украшение. Елочный стеклянный шар  "Ледяная пушинка",6см, зеленый (соб.разб.) НУ-7686</t>
  </si>
  <si>
    <t>НУ-7686</t>
  </si>
  <si>
    <t>4670159168478</t>
  </si>
  <si>
    <t>227750</t>
  </si>
  <si>
    <t>Новогоднее украшение. Елочный стеклянный шар  "Ледяная пушинка",6см, золотистый (соб.разб.) НУ-7687</t>
  </si>
  <si>
    <t>НУ-7687</t>
  </si>
  <si>
    <t>4670159168485</t>
  </si>
  <si>
    <t>227743</t>
  </si>
  <si>
    <t>Новогоднее украшение. Елочный стеклянный шар  "Ледяная пушинка",6см, красный (соб.разб.) НУ-7684</t>
  </si>
  <si>
    <t>НУ-7684</t>
  </si>
  <si>
    <t>4670159168454</t>
  </si>
  <si>
    <t>227747</t>
  </si>
  <si>
    <t>Новогоднее украшение. Елочный стеклянный шар  "Ледяная пушинка",6см, синий (соб.разб.) НУ-7685</t>
  </si>
  <si>
    <t>НУ-7685</t>
  </si>
  <si>
    <t>4670159168461</t>
  </si>
  <si>
    <t>246257</t>
  </si>
  <si>
    <t>Новогоднее украшение. Набор ёлочных стеклянных шаров  КОЛЛЕКЦИЯ " ЗИМА", 4 шт НУ-2166</t>
  </si>
  <si>
    <t>НУ-2166</t>
  </si>
  <si>
    <t>4640306921683</t>
  </si>
  <si>
    <t>КОЛЛЕКЦИЯ "ЗИМНИЕ ЩЕНКИ"</t>
  </si>
  <si>
    <t>227723</t>
  </si>
  <si>
    <t>Новогоднее украшение. Елочный стеклянный шар  "Милый бигль",6см (соб.разб.) НУ-7669</t>
  </si>
  <si>
    <t>НУ-7669</t>
  </si>
  <si>
    <t>4670159168300</t>
  </si>
  <si>
    <t>227722</t>
  </si>
  <si>
    <t>Новогоднее украшение. Елочный стеклянный шар  "Милый бульдог",6см (соб.разб.) НУ-7668</t>
  </si>
  <si>
    <t>НУ-7668</t>
  </si>
  <si>
    <t>4670159168294</t>
  </si>
  <si>
    <t>227725</t>
  </si>
  <si>
    <t>Новогоднее украшение. Елочный стеклянный шар  "Милый песик",6см (соб.разб.) НУ-7671</t>
  </si>
  <si>
    <t>НУ-7671</t>
  </si>
  <si>
    <t>4670159168324</t>
  </si>
  <si>
    <t>227724</t>
  </si>
  <si>
    <t>Новогоднее украшение. Елочный стеклянный шар  "Милый чау-чау",6см (соб.разб.) НУ-7670</t>
  </si>
  <si>
    <t>НУ-7670</t>
  </si>
  <si>
    <t>4670159168317</t>
  </si>
  <si>
    <t>КОЛЛЕКЦИЯ "КОТЯТА"</t>
  </si>
  <si>
    <t>227733</t>
  </si>
  <si>
    <t>Новогоднее украшение. Елочный стеклянный шар  "Котик в свитерке",6см (соб.разб.) НУ-7677</t>
  </si>
  <si>
    <t>НУ-7677</t>
  </si>
  <si>
    <t>4670159168386</t>
  </si>
  <si>
    <t>227734</t>
  </si>
  <si>
    <t>Новогоднее украшение. Елочный стеклянный шар  "Котик в шапочке",6см (соб.разб.) НУ-7678</t>
  </si>
  <si>
    <t>НУ-7678</t>
  </si>
  <si>
    <t>4670159168393</t>
  </si>
  <si>
    <t>227735</t>
  </si>
  <si>
    <t>Новогоднее украшение. Елочный стеклянный шар  "Котик в шарфике",6см (соб.разб.) НУ-7679</t>
  </si>
  <si>
    <t>НУ-7679</t>
  </si>
  <si>
    <t>4670159168409</t>
  </si>
  <si>
    <t>227732</t>
  </si>
  <si>
    <t>Новогоднее украшение. Елочный стеклянный шар  "Серый котик",6см (соб.разб.) НУ-7676</t>
  </si>
  <si>
    <t>НУ-7676</t>
  </si>
  <si>
    <t>4670159168379</t>
  </si>
  <si>
    <t>КОЛЛЕКЦИЯ "МРАМОРНАЯ" 6см</t>
  </si>
  <si>
    <t>227713</t>
  </si>
  <si>
    <t>Новогоднее украшение. Елочный стеклянный шар  "Бирюзовый мрамор",6см (соб.разб.) НУ-7662</t>
  </si>
  <si>
    <t>НУ-7662</t>
  </si>
  <si>
    <t>4670159168232</t>
  </si>
  <si>
    <t>227712</t>
  </si>
  <si>
    <t>Новогоднее украшение. Елочный стеклянный шар  "Красный мрамор",6см (соб.разб.) НУ-7661</t>
  </si>
  <si>
    <t>НУ-7661</t>
  </si>
  <si>
    <t>4670159168225</t>
  </si>
  <si>
    <t>227710</t>
  </si>
  <si>
    <t>Новогоднее украшение. Елочный стеклянный шар  "Розовый мрамор",6см (соб.разб.) НУ-7660</t>
  </si>
  <si>
    <t>НУ-7660</t>
  </si>
  <si>
    <t>4670159168218</t>
  </si>
  <si>
    <t>227715</t>
  </si>
  <si>
    <t>Новогоднее украшение. Елочный стеклянный шар  "Синий мрамор",6см (соб.разб.) НУ-7663</t>
  </si>
  <si>
    <t>НУ-7663</t>
  </si>
  <si>
    <t>4670159168249</t>
  </si>
  <si>
    <t>246246</t>
  </si>
  <si>
    <t>Новогоднее украшение. Набор ёлочных стеклянных шаров  КОЛЛЕКЦИЯ "МРАМОРНАЯ", 4 шт НУ-2156</t>
  </si>
  <si>
    <t>НУ-2156</t>
  </si>
  <si>
    <t>4640306921584</t>
  </si>
  <si>
    <t>КОЛЛЕКЦИЯ "НОВОГОДНИЕ ПЕРСОНАЖИ"</t>
  </si>
  <si>
    <t>227727</t>
  </si>
  <si>
    <t>Новогоднее украшение. Елочный стеклянный шар  "Веселая белка",6см (соб.разб.) НУ-7672</t>
  </si>
  <si>
    <t>НУ-7672</t>
  </si>
  <si>
    <t>4670159168331</t>
  </si>
  <si>
    <t>227729</t>
  </si>
  <si>
    <t>Новогоднее украшение. Елочный стеклянный шар  "Зимний дедушка",6см (соб.разб.) НУ-7675</t>
  </si>
  <si>
    <t>НУ-7675</t>
  </si>
  <si>
    <t>4670159168362</t>
  </si>
  <si>
    <t>227730</t>
  </si>
  <si>
    <t>Новогоднее украшение. Елочный стеклянный шар  "Зимняя красавица",6см (соб.разб.) НУ-7673</t>
  </si>
  <si>
    <t>НУ-7673</t>
  </si>
  <si>
    <t>4670159168348</t>
  </si>
  <si>
    <t>227728</t>
  </si>
  <si>
    <t>Новогоднее украшение. Елочный стеклянный шар  "Яркая ёлочка",6см (соб.разб.) НУ-7674</t>
  </si>
  <si>
    <t>НУ-7674</t>
  </si>
  <si>
    <t>4670159168355</t>
  </si>
  <si>
    <t>КОЛЛЕКЦИЯ "СМАЙЛЫ"</t>
  </si>
  <si>
    <t>228660</t>
  </si>
  <si>
    <t>Новогоднее украшение. Елочный стеклянный шар  "Веселый смайлик", 6см (соб.разб.) НУ-7195</t>
  </si>
  <si>
    <t>НУ-7195</t>
  </si>
  <si>
    <t>4670159171959</t>
  </si>
  <si>
    <t>228661</t>
  </si>
  <si>
    <t>Новогоднее украшение. Елочный стеклянный шар  "Влюбленный смайлик", 6см (соб.разб.) НУ-7196</t>
  </si>
  <si>
    <t>НУ-7196</t>
  </si>
  <si>
    <t>4670159171966</t>
  </si>
  <si>
    <t>228664</t>
  </si>
  <si>
    <t>Новогоднее украшение. Елочный стеклянный шар  "Крутой смайлик", 6см (соб.разб.) НУ-7198</t>
  </si>
  <si>
    <t>НУ-7198</t>
  </si>
  <si>
    <t>4670159171980</t>
  </si>
  <si>
    <t>228662</t>
  </si>
  <si>
    <t>Новогоднее украшение. Елочный стеклянный шар  "Подмигивающий смайлик", 6см (соб.разб.) НУ-7197</t>
  </si>
  <si>
    <t>НУ-7197</t>
  </si>
  <si>
    <t>4670159171973</t>
  </si>
  <si>
    <t>246243</t>
  </si>
  <si>
    <t>Новогоднее украшение. Набор ёлочных стеклянных шаров  КОЛЛЕКЦИЯ "СМАЙЛЫ", 4 шт НУ-2153</t>
  </si>
  <si>
    <t>НУ-2153</t>
  </si>
  <si>
    <t>4640306921553</t>
  </si>
  <si>
    <t>КОЛЛЕКЦИЯ "ХРУСТАЛЬНЫЕ СНЕГИРИ"</t>
  </si>
  <si>
    <t>232201</t>
  </si>
  <si>
    <t>Новогоднее украшение. Елочный стеклянный шар "Морозный снегирь", 6см, (соб.разб.) НУ-8600</t>
  </si>
  <si>
    <t>НУ-8600</t>
  </si>
  <si>
    <t>4670159184157</t>
  </si>
  <si>
    <t>232205</t>
  </si>
  <si>
    <t>Новогоднее украшение. Елочный стеклянный шар "Пламенный снегирь", 6см, (соб.разб.) НУ-8603</t>
  </si>
  <si>
    <t>НУ-8603</t>
  </si>
  <si>
    <t>4670159184188</t>
  </si>
  <si>
    <t>232202</t>
  </si>
  <si>
    <t>Новогоднее украшение. Елочный стеклянный шар "Пушистый снегирь", 6см, (соб.разб.) НУ-8601</t>
  </si>
  <si>
    <t>НУ-8601</t>
  </si>
  <si>
    <t>4670159184164</t>
  </si>
  <si>
    <t>232204</t>
  </si>
  <si>
    <t>Новогоднее украшение. Елочный стеклянный шар "Яркий снегирь", 6см, (соб.разб.) НУ-8602</t>
  </si>
  <si>
    <t>НУ-8602</t>
  </si>
  <si>
    <t>4670159184171</t>
  </si>
  <si>
    <t>246239</t>
  </si>
  <si>
    <t>Новогоднее украшение. Набор ёлочных стеклянных шаров КОЛЛЕКЦИЯ "ХРУСТАЛЬНЫЕ СНЕГИРИ",  4 шт НУ-2149</t>
  </si>
  <si>
    <t>НУ-2149</t>
  </si>
  <si>
    <t>4640306921515</t>
  </si>
  <si>
    <t>Шары стеклянные "Собственная разработка" 8см</t>
  </si>
  <si>
    <t>КОЛЛЕКЦИЯ "АСТРОЛОГИЯ"</t>
  </si>
  <si>
    <t>227692</t>
  </si>
  <si>
    <t>Новогоднее украшение. Елочный стеклянный шар  "Лунная богиня",8см (соб.разб.) НУ-7649</t>
  </si>
  <si>
    <t>НУ-7649</t>
  </si>
  <si>
    <t>4670159168102</t>
  </si>
  <si>
    <t>227694</t>
  </si>
  <si>
    <t>Новогоднее украшение. Елочный стеклянный шар  "Лунный месяц",8см (соб.разб.) НУ-7650</t>
  </si>
  <si>
    <t>НУ-7650</t>
  </si>
  <si>
    <t>4670159168119</t>
  </si>
  <si>
    <t>227690</t>
  </si>
  <si>
    <t>Новогоднее украшение. Елочный стеклянный шар  "Поцелуй луны",8см (соб.разб.) НУ-7648</t>
  </si>
  <si>
    <t>НУ-7648</t>
  </si>
  <si>
    <t>4670159168096</t>
  </si>
  <si>
    <t>227696</t>
  </si>
  <si>
    <t>Новогоднее украшение. Елочный стеклянный шар  "Солнцестояние",8см (соб.разб.) НУ-7651</t>
  </si>
  <si>
    <t>НУ-7651</t>
  </si>
  <si>
    <t>4670159168126</t>
  </si>
  <si>
    <t>КОЛЛЕКЦИЯ "ВИНТАЖ"</t>
  </si>
  <si>
    <t>227679</t>
  </si>
  <si>
    <t>Новогоднее украшение. Елочный стеклянный шар  "Винтажный енотик",8см (соб.разб.) НУ-7639</t>
  </si>
  <si>
    <t>НУ-7639</t>
  </si>
  <si>
    <t>4670159168003</t>
  </si>
  <si>
    <t>227678</t>
  </si>
  <si>
    <t>Новогоднее украшение. Елочный стеклянный шар  "Винтажный зайка",8см (соб.разб.) НУ-7638</t>
  </si>
  <si>
    <t>НУ-7638</t>
  </si>
  <si>
    <t>4670159167990</t>
  </si>
  <si>
    <t>227676</t>
  </si>
  <si>
    <t>Новогоднее украшение. Елочный стеклянный шар  "Винтажный мишка",8см (соб.разб.) НУ-7637</t>
  </si>
  <si>
    <t>НУ-7637</t>
  </si>
  <si>
    <t>4670159167983</t>
  </si>
  <si>
    <t>246255</t>
  </si>
  <si>
    <t>Новогоднее украшение. Набор ёлочных стеклянных шаров  КОЛЛЕКЦИЯ "ВИНТАЖ", 4 шт НУ-2164</t>
  </si>
  <si>
    <t>НУ-2164</t>
  </si>
  <si>
    <t>4640306921669</t>
  </si>
  <si>
    <t>КОЛЛЕКЦИЯ "ВОСТОЧНАЯ ЗМЕЯ"</t>
  </si>
  <si>
    <t>227646</t>
  </si>
  <si>
    <t>Новогоднее украшение. Елочный стеклянный шар  "Благородная змея",8см (соб.разб.) НУ-7612</t>
  </si>
  <si>
    <t>НУ-7612</t>
  </si>
  <si>
    <t>4670159167730</t>
  </si>
  <si>
    <t>230595</t>
  </si>
  <si>
    <t>Новогоднее украшение. Елочный стеклянный шар  "Желтая змея", 8см  (соб.разб.) НУ-9149</t>
  </si>
  <si>
    <t>НУ-9149</t>
  </si>
  <si>
    <t>4670159179177</t>
  </si>
  <si>
    <t>227649</t>
  </si>
  <si>
    <t>Новогоднее украшение. Елочный стеклянный шар  "Мудрая змея",8см (соб.разб.) НУ-7615</t>
  </si>
  <si>
    <t>НУ-7615</t>
  </si>
  <si>
    <t>4670159167761</t>
  </si>
  <si>
    <t>КОЛЛЕКЦИЯ "ДЕДЫ МОРОЗЫ"</t>
  </si>
  <si>
    <t>230600</t>
  </si>
  <si>
    <t>Новогоднее украшение. Елочный стеклянный шар  " Дед Мороз с  внучкой", 8см (соб.разб.) НУ-9153</t>
  </si>
  <si>
    <t>НУ-9153</t>
  </si>
  <si>
    <t>4670159179214</t>
  </si>
  <si>
    <t>230599</t>
  </si>
  <si>
    <t>Новогоднее украшение. Елочный стеклянный шар  " Дед Мороз со снегирем", 8см (соб.разб.) НУ-9152</t>
  </si>
  <si>
    <t>НУ-9152</t>
  </si>
  <si>
    <t>4670159179207</t>
  </si>
  <si>
    <t>230597</t>
  </si>
  <si>
    <t>Новогоднее украшение. Елочный стеклянный шар  "Дедушка с подарками", 8см (соб.разб.) НУ-9150</t>
  </si>
  <si>
    <t>НУ-9150</t>
  </si>
  <si>
    <t>4670159179184</t>
  </si>
  <si>
    <t>230598</t>
  </si>
  <si>
    <t>Новогоднее украшение. Елочный стеклянный шар  "Новогодний Дед Мороз", 8см (соб.разб.) НУ-9151</t>
  </si>
  <si>
    <t>НУ-9151</t>
  </si>
  <si>
    <t>4670159179191</t>
  </si>
  <si>
    <t>КОЛЛЕКЦИЯ "ЗВЕРЯТА С ПОДАРКАМИ"</t>
  </si>
  <si>
    <t>227671</t>
  </si>
  <si>
    <t>Новогоднее украшение. Елочный стеклянный шар  "Новогодний бельчонок",8см (соб.разб.) НУ-7633</t>
  </si>
  <si>
    <t>НУ-7633</t>
  </si>
  <si>
    <t>4670159167945</t>
  </si>
  <si>
    <t>227672</t>
  </si>
  <si>
    <t>Новогоднее украшение. Елочный стеклянный шар  "Новогодний зайчонок",8см (соб.разб.) НУ-7634</t>
  </si>
  <si>
    <t>НУ-7634</t>
  </si>
  <si>
    <t>4670159167952</t>
  </si>
  <si>
    <t>227673</t>
  </si>
  <si>
    <t>Новогоднее украшение. Елочный стеклянный шар  "Новогодний лисенок",8см (соб.разб.) НУ-7635</t>
  </si>
  <si>
    <t>НУ-7635</t>
  </si>
  <si>
    <t>4670159167969</t>
  </si>
  <si>
    <t>227669</t>
  </si>
  <si>
    <t>Новогоднее украшение. Елочный стеклянный шар  "Новогодний сурок",8см (соб.разб.) НУ-7632</t>
  </si>
  <si>
    <t>НУ-7632</t>
  </si>
  <si>
    <t>4670159167938</t>
  </si>
  <si>
    <t>246254</t>
  </si>
  <si>
    <t>Новогоднее украшение. Набор ёлочных стеклянных шаров  КОЛЛЕКЦИЯ "ЗВЕРЯТА С ПОДАРКАМИ", 4 шт НУ-2163</t>
  </si>
  <si>
    <t>НУ-2163</t>
  </si>
  <si>
    <t>4640306921652</t>
  </si>
  <si>
    <t>КОЛЛЕКЦИЯ "ЗИМНИЙ ВЕЧЕР"</t>
  </si>
  <si>
    <t>227689</t>
  </si>
  <si>
    <t>Новогоднее украшение. Елочный стеклянный шар  "Домик в лесу",8см (соб.разб.) НУ-7647</t>
  </si>
  <si>
    <t>НУ-7647</t>
  </si>
  <si>
    <t>4670159168089</t>
  </si>
  <si>
    <t>227686</t>
  </si>
  <si>
    <t>Новогоднее украшение. Елочный стеклянный шар  "Домик в снегу",8см (соб.разб.) НУ-7644</t>
  </si>
  <si>
    <t>НУ-7644</t>
  </si>
  <si>
    <t>4670159168058</t>
  </si>
  <si>
    <t>227688</t>
  </si>
  <si>
    <t>Новогоднее украшение. Елочный стеклянный шар  "Зимний домик",8см (соб.разб.) НУ-7646</t>
  </si>
  <si>
    <t>НУ-7646</t>
  </si>
  <si>
    <t>4670159168072</t>
  </si>
  <si>
    <t>227687</t>
  </si>
  <si>
    <t>Новогоднее украшение. Елочный стеклянный шар  "Уютный домик",8см (соб.разб.) НУ-7645</t>
  </si>
  <si>
    <t>НУ-7645</t>
  </si>
  <si>
    <t>4670159168065</t>
  </si>
  <si>
    <t>КОЛЛЕКЦИЯ "ЗОЛОТОЙ МИНИМАЛИЗМ"</t>
  </si>
  <si>
    <t>227652</t>
  </si>
  <si>
    <t>Новогоднее украшение. Елочный стеклянный шар  "Золотистая опушка",8см (соб.разб.) НУ-7618</t>
  </si>
  <si>
    <t>НУ-7618</t>
  </si>
  <si>
    <t>4670159167792</t>
  </si>
  <si>
    <t>227653</t>
  </si>
  <si>
    <t>Новогоднее украшение. Елочный стеклянный шар  "Золотистые колокольчики",8см (соб.разб.) НУ-7619</t>
  </si>
  <si>
    <t>НУ-7619</t>
  </si>
  <si>
    <t>4670159167808</t>
  </si>
  <si>
    <t>227651</t>
  </si>
  <si>
    <t>Новогоднее украшение. Елочный стеклянный шар  "Золотистые сани",8см (соб.разб.) НУ-7616</t>
  </si>
  <si>
    <t>НУ-7616</t>
  </si>
  <si>
    <t>4670159167778</t>
  </si>
  <si>
    <t>227757</t>
  </si>
  <si>
    <t>Новогоднее украшение. Елочный стеклянный шар  "Золотистый олень",8см (соб.разб.) НУ-7617</t>
  </si>
  <si>
    <t>НУ-7617</t>
  </si>
  <si>
    <t>4670159167785</t>
  </si>
  <si>
    <t>246253</t>
  </si>
  <si>
    <t>Новогоднее украшение. Набор ёлочных стеклянных шаров  КОЛЛЕКЦИЯ "ЗОЛОТОЙ МИНИМАЛИЗМ", 4 шт НУ-2162</t>
  </si>
  <si>
    <t>НУ-2162</t>
  </si>
  <si>
    <t>4640306921645</t>
  </si>
  <si>
    <t>КОЛЛЕКЦИЯ "ЗОЛОТОЙ ШТРИХ"</t>
  </si>
  <si>
    <t>204273</t>
  </si>
  <si>
    <t>Елочный стеклянный шар  "Волшебный олень", 8 см (собственная разработка) ЕШ-4265</t>
  </si>
  <si>
    <t>ЕШ-4265</t>
  </si>
  <si>
    <t>4670159042655</t>
  </si>
  <si>
    <t>204272</t>
  </si>
  <si>
    <t>Елочный стеклянный шар  "Елочка желаний", 8 см (собственная разработка) ЕШ-4264</t>
  </si>
  <si>
    <t>ЕШ-4264</t>
  </si>
  <si>
    <t>4670159042648</t>
  </si>
  <si>
    <t>204269</t>
  </si>
  <si>
    <t>Елочный стеклянный шар  "Зимний снеговичок", 8 см (собственная разработка) ЕШ-4262</t>
  </si>
  <si>
    <t>ЕШ-4262</t>
  </si>
  <si>
    <t>4670159042624</t>
  </si>
  <si>
    <t>204270</t>
  </si>
  <si>
    <t>Елочный стеклянный шар  "Праздничный Дед Мороз", 8 см (собственная разработка) ЕШ-4263</t>
  </si>
  <si>
    <t>ЕШ-4263</t>
  </si>
  <si>
    <t>4670159042631</t>
  </si>
  <si>
    <t>КОЛЛЕКЦИЯ "ИЕРОГЛИФЫ"</t>
  </si>
  <si>
    <t>227683</t>
  </si>
  <si>
    <t>Новогоднее украшение. Елочный стеклянный шар  "Здоровья",8см (соб.разб.) НУ-7642</t>
  </si>
  <si>
    <t>НУ-7642</t>
  </si>
  <si>
    <t>4670159168034</t>
  </si>
  <si>
    <t>227681</t>
  </si>
  <si>
    <t>Новогоднее украшение. Елочный стеклянный шар  "Любви",8см (соб.разб.) НУ-7640</t>
  </si>
  <si>
    <t>НУ-7640</t>
  </si>
  <si>
    <t>4670159168010</t>
  </si>
  <si>
    <t>227682</t>
  </si>
  <si>
    <t>Новогоднее украшение. Елочный стеклянный шар  "Счастья",8см (соб.разб.) НУ-7641</t>
  </si>
  <si>
    <t>НУ-7641</t>
  </si>
  <si>
    <t>4670159168027</t>
  </si>
  <si>
    <t>227684</t>
  </si>
  <si>
    <t>Новогоднее украшение. Елочный стеклянный шар  "Удачи",8см (соб.разб.) НУ-7643</t>
  </si>
  <si>
    <t>НУ-7643</t>
  </si>
  <si>
    <t>4670159168041</t>
  </si>
  <si>
    <t>246252</t>
  </si>
  <si>
    <t>Новогоднее украшение. Набор ёлочных стеклянных шаров  КОЛЛЕКЦИЯ "ИЕРОГЛИФЫ", 4 шт НУ-2161</t>
  </si>
  <si>
    <t>НУ-2161</t>
  </si>
  <si>
    <t>4640306921638</t>
  </si>
  <si>
    <t>КОЛЛЕКЦИЯ "ИЗУМРУДНАЯ"</t>
  </si>
  <si>
    <t>228654</t>
  </si>
  <si>
    <t>Новогоднее украшение. Елочный стеклянный шар  "Дровосек", 8см (соб.разб.) НУ-7199</t>
  </si>
  <si>
    <t>НУ-7199</t>
  </si>
  <si>
    <t>4670159171997</t>
  </si>
  <si>
    <t>228655</t>
  </si>
  <si>
    <t>Новогоднее украшение. Елочный стеклянный шар  "Лев", 8см (соб.разб.) НУ-7200</t>
  </si>
  <si>
    <t>НУ-7200</t>
  </si>
  <si>
    <t>4670159172000</t>
  </si>
  <si>
    <t>228657</t>
  </si>
  <si>
    <t>Новогоднее украшение. Елочный стеклянный шар  "Милая девочка", 8см (соб.разб.) НУ-7202</t>
  </si>
  <si>
    <t>НУ-7202</t>
  </si>
  <si>
    <t>4670159172024</t>
  </si>
  <si>
    <t>228656</t>
  </si>
  <si>
    <t>Новогоднее украшение. Елочный стеклянный шар  "Пугало", 8см (соб.разб.) НУ-7201</t>
  </si>
  <si>
    <t>НУ-7201</t>
  </si>
  <si>
    <t>4670159172017</t>
  </si>
  <si>
    <t>246250</t>
  </si>
  <si>
    <t>Новогоднее украшение. Набор ёлочных стеклянных шаров  КОЛЛЕКЦИЯ "ИЗУМРУДНАЯ", 4 шт НУ-2160</t>
  </si>
  <si>
    <t>НУ-2160</t>
  </si>
  <si>
    <t>4640306921621</t>
  </si>
  <si>
    <t>КОЛЛЕКЦИЯ "КЛАССИКА"</t>
  </si>
  <si>
    <t>227639</t>
  </si>
  <si>
    <t>Новогоднее украшение. Елочный стеклянный шар  "Белочка и зайка",8см (соб.разб.) НУ-7609</t>
  </si>
  <si>
    <t>НУ-7609</t>
  </si>
  <si>
    <t>4670159167709</t>
  </si>
  <si>
    <t>227641</t>
  </si>
  <si>
    <t>Новогоднее украшение. Елочный стеклянный шар  "Белочка у ёлочки",8см (соб.разб.) НУ-7610</t>
  </si>
  <si>
    <t>НУ-7610</t>
  </si>
  <si>
    <t>4670159167716</t>
  </si>
  <si>
    <t>227637</t>
  </si>
  <si>
    <t>Новогоднее украшение. Елочный стеклянный шар  "Медвежонок в шапочке",8см (соб.разб.) НУ-7608</t>
  </si>
  <si>
    <t>НУ-7608</t>
  </si>
  <si>
    <t>4670159167693</t>
  </si>
  <si>
    <t>227642</t>
  </si>
  <si>
    <t>Новогоднее украшение. Елочный стеклянный шар  "Праздничная ёлочка",8см (соб.разб.) НУ-7611</t>
  </si>
  <si>
    <t>НУ-7611</t>
  </si>
  <si>
    <t>4670159167723</t>
  </si>
  <si>
    <t>КОЛЛЕКЦИЯ "КУРАНТЫ"</t>
  </si>
  <si>
    <t>227661</t>
  </si>
  <si>
    <t>Новогоднее украшение. Елочный стеклянный шар  "Бой курантов",8см (соб.разб.) НУ-7625</t>
  </si>
  <si>
    <t>НУ-7625</t>
  </si>
  <si>
    <t>4670159167860</t>
  </si>
  <si>
    <t>227663</t>
  </si>
  <si>
    <t>Новогоднее украшение. Елочный стеклянный шар  "Время чудес",8см (соб.разб.) НУ-7627</t>
  </si>
  <si>
    <t>НУ-7627</t>
  </si>
  <si>
    <t>4670159167884</t>
  </si>
  <si>
    <t>227662</t>
  </si>
  <si>
    <t>Новогоднее украшение. Елочный стеклянный шар  "Праздничные куранты",8см (соб.разб.) НУ-7626</t>
  </si>
  <si>
    <t>НУ-7626</t>
  </si>
  <si>
    <t>4670159167877</t>
  </si>
  <si>
    <t>227660</t>
  </si>
  <si>
    <t>Новогоднее украшение. Елочный стеклянный шар  "Пять минут",8см (соб.разб.) НУ-7624</t>
  </si>
  <si>
    <t>НУ-7624</t>
  </si>
  <si>
    <t>4670159167853</t>
  </si>
  <si>
    <t>246248</t>
  </si>
  <si>
    <t>Новогоднее украшение. Набор ёлочных стеклянных шаров  КОЛЛЕКЦИЯ "КУРАНТЫ", 4 шт НУ-2158</t>
  </si>
  <si>
    <t>НУ-2158</t>
  </si>
  <si>
    <t>4640306921607</t>
  </si>
  <si>
    <t>КОЛЛЕКЦИЯ "ЛЕСНЫЕ ЗВЕРЯТА"</t>
  </si>
  <si>
    <t>227665</t>
  </si>
  <si>
    <t>Новогоднее украшение. Елочный стеклянный шар  "Белочка с шишкой",8см (соб.разб.) НУ-7628</t>
  </si>
  <si>
    <t>НУ-7628</t>
  </si>
  <si>
    <t>4670159167891</t>
  </si>
  <si>
    <t>227666</t>
  </si>
  <si>
    <t>Новогоднее украшение. Елочный стеклянный шар  "Зайки на опушке",8см (соб.разб.) НУ-7629</t>
  </si>
  <si>
    <t>НУ-7629</t>
  </si>
  <si>
    <t>4670159167907</t>
  </si>
  <si>
    <t>227668</t>
  </si>
  <si>
    <t>Новогоднее украшение. Елочный стеклянный шар  "Лесной житель",8см (соб.разб.) НУ-7631</t>
  </si>
  <si>
    <t>НУ-7631</t>
  </si>
  <si>
    <t>4670159167921</t>
  </si>
  <si>
    <t>227667</t>
  </si>
  <si>
    <t>Новогоднее украшение. Елочный стеклянный шар  "Румяный снегирь",8см (соб.разб.) НУ-7630</t>
  </si>
  <si>
    <t>НУ-7630</t>
  </si>
  <si>
    <t>4670159167914</t>
  </si>
  <si>
    <t>246247</t>
  </si>
  <si>
    <t>Новогоднее украшение. Набор ёлочных стеклянных шаров  КОЛЛЕКЦИЯ "ЛЕСНЫЕ ЗВЕРЯТА", 4 шт НУ-2157</t>
  </si>
  <si>
    <t>НУ-2157</t>
  </si>
  <si>
    <t>4640306921591</t>
  </si>
  <si>
    <t>КОЛЛЕКЦИЯ "МАГИЧЕСКАЯ"</t>
  </si>
  <si>
    <t>204221</t>
  </si>
  <si>
    <t>Елочный стеклянный шар  "Котик-чародей", 8 см (собственная разработка) ЕШ-4240</t>
  </si>
  <si>
    <t>ЕШ-4240</t>
  </si>
  <si>
    <t>4670159042402</t>
  </si>
  <si>
    <t>204220</t>
  </si>
  <si>
    <t>Елочный стеклянный шар  "Мудрая сова", 8 см (собственная разработка) ЕШ-4239</t>
  </si>
  <si>
    <t>ЕШ-4239</t>
  </si>
  <si>
    <t>4670159042396</t>
  </si>
  <si>
    <t>КОЛЛЕКЦИЯ "МРАМОРНАЯ" 8см</t>
  </si>
  <si>
    <t>204258</t>
  </si>
  <si>
    <t>Елочный стеклянный шар  "Абстрактность", 8 см (собственная разработка) ЕШ-4253</t>
  </si>
  <si>
    <t>ЕШ-4253</t>
  </si>
  <si>
    <t>4670159042532</t>
  </si>
  <si>
    <t>204255</t>
  </si>
  <si>
    <t>Елочный стеклянный шар  "Зеленый мрамор", 8 см (собственная разработка) ЕШ-4251</t>
  </si>
  <si>
    <t>ЕШ-4251</t>
  </si>
  <si>
    <t>4670159042518</t>
  </si>
  <si>
    <t>204256</t>
  </si>
  <si>
    <t>Елочный стеклянный шар  "Нежность", 8 см (собственная разработка) ЕШ-4252</t>
  </si>
  <si>
    <t>ЕШ-4252</t>
  </si>
  <si>
    <t>4670159042525</t>
  </si>
  <si>
    <t>204231</t>
  </si>
  <si>
    <t>Елочный стеклянный шар  "Синий мрамор", 8 см (собственная разработка) ЕШ-4250</t>
  </si>
  <si>
    <t>ЕШ-4250</t>
  </si>
  <si>
    <t>4670159042501</t>
  </si>
  <si>
    <t>КОЛЛЕКЦИЯ "ПОЛЯРНЫЕ МЕДВЕДИ"</t>
  </si>
  <si>
    <t>227709</t>
  </si>
  <si>
    <t>Новогоднее украшение. Елочный стеклянный шар  "Мишка и пингвин",8см (соб.разб.) НУ-7659</t>
  </si>
  <si>
    <t>НУ-7659</t>
  </si>
  <si>
    <t>4670159168201</t>
  </si>
  <si>
    <t>227706</t>
  </si>
  <si>
    <t>Новогоднее украшение. Елочный стеклянный шар  "Мишка на лыжах",8см (соб.разб.) НУ-7657</t>
  </si>
  <si>
    <t>НУ-7657</t>
  </si>
  <si>
    <t>4670159168188</t>
  </si>
  <si>
    <t>227708</t>
  </si>
  <si>
    <t>Новогоднее украшение. Елочный стеклянный шар  "Мишка на рыбалке",8см (соб.разб.) НУ-7658</t>
  </si>
  <si>
    <t>НУ-7658</t>
  </si>
  <si>
    <t>4670159168195</t>
  </si>
  <si>
    <t>227705</t>
  </si>
  <si>
    <t>Новогоднее украшение. Елочный стеклянный шар  "Папа мишка",8см (соб.разб.) НУ-7656</t>
  </si>
  <si>
    <t>НУ-7656</t>
  </si>
  <si>
    <t>4670159168171</t>
  </si>
  <si>
    <t>КОЛЛЕКЦИЯ "СИЯЮЩИЕ  УЗОРЫ"</t>
  </si>
  <si>
    <t>227628</t>
  </si>
  <si>
    <t>Новогоднее украшение. Елочный стеклянный шар  "Сияющий узор",8см, синий (соб.разб.) НУ-7600</t>
  </si>
  <si>
    <t>НУ-7600</t>
  </si>
  <si>
    <t>4670159167617</t>
  </si>
  <si>
    <t>227631</t>
  </si>
  <si>
    <t>Новогоднее украшение. Елочный стеклянный шар  "Сияющий узор",8см,белый (соб.разб.) НУ-7603</t>
  </si>
  <si>
    <t>НУ-7603</t>
  </si>
  <si>
    <t>4670159167648</t>
  </si>
  <si>
    <t>227630</t>
  </si>
  <si>
    <t>Новогоднее украшение. Елочный стеклянный шар  "Сияющий узор",8см,голубой (соб.разб.) НУ-7602</t>
  </si>
  <si>
    <t>НУ-7602</t>
  </si>
  <si>
    <t>4670159167631</t>
  </si>
  <si>
    <t>227629</t>
  </si>
  <si>
    <t>Новогоднее украшение. Елочный стеклянный шар  "Сияющий узор",8см,красный (соб.разб.) НУ-7601</t>
  </si>
  <si>
    <t>НУ-7601</t>
  </si>
  <si>
    <t>4670159167624</t>
  </si>
  <si>
    <t>246244</t>
  </si>
  <si>
    <t>Новогоднее украшение. Набор ёлочных стеклянных шаров  КОЛЛЕКЦИЯ "СИЯЮЩИЕ  УЗОРЫ", 3 шт НУ-2154</t>
  </si>
  <si>
    <t>НУ-2154</t>
  </si>
  <si>
    <t>4640306921560</t>
  </si>
  <si>
    <t>КОЛЛЕКЦИЯ "СНЕГИРИ"</t>
  </si>
  <si>
    <t>227634</t>
  </si>
  <si>
    <t>Новогоднее украшение. Елочный стеклянный шар  "Зимний снегирь",8см (соб.разб.) НУ-7605</t>
  </si>
  <si>
    <t>НУ-7605</t>
  </si>
  <si>
    <t>4670159167662</t>
  </si>
  <si>
    <t>227635</t>
  </si>
  <si>
    <t>Новогоднее украшение. Елочный стеклянный шар  "Снегири на ёлочке",8см (соб.разб.) НУ-7606</t>
  </si>
  <si>
    <t>НУ-7606</t>
  </si>
  <si>
    <t>4670159167679</t>
  </si>
  <si>
    <t>227633</t>
  </si>
  <si>
    <t>Новогоднее украшение. Елочный стеклянный шар  "Снегирь на веточке",8см (соб.разб.) НУ-7604</t>
  </si>
  <si>
    <t>НУ-7604</t>
  </si>
  <si>
    <t>4670159167655</t>
  </si>
  <si>
    <t>227636</t>
  </si>
  <si>
    <t>Новогоднее украшение. Елочный стеклянный шар  "Снегирь с бантиком",8см (соб.разб.) НУ-7607</t>
  </si>
  <si>
    <t>НУ-7607</t>
  </si>
  <si>
    <t>4670159167686</t>
  </si>
  <si>
    <t>КОЛЛЕКЦИЯ "СНЕЖИНКИ"</t>
  </si>
  <si>
    <t>227657</t>
  </si>
  <si>
    <t>Новогоднее украшение. Елочный стеклянный шар  "Вихрь снежинок",8см (соб.разб.) НУ-7622</t>
  </si>
  <si>
    <t>НУ-7622</t>
  </si>
  <si>
    <t>4670159167839</t>
  </si>
  <si>
    <t>227654</t>
  </si>
  <si>
    <t>Новогоднее украшение. Елочный стеклянный шар  "Зимние узоры",8см (соб.разб.) НУ-7620</t>
  </si>
  <si>
    <t>НУ-7620</t>
  </si>
  <si>
    <t>4670159167815</t>
  </si>
  <si>
    <t>227656</t>
  </si>
  <si>
    <t>Новогоднее украшение. Елочный стеклянный шар  "Красивые снежинки",8см (соб.разб.) НУ-7621</t>
  </si>
  <si>
    <t>НУ-7621</t>
  </si>
  <si>
    <t>4670159167822</t>
  </si>
  <si>
    <t>227658</t>
  </si>
  <si>
    <t>Новогоднее украшение. Елочный стеклянный шар  "Ледяные узоры",8см (соб.разб.) НУ-7623</t>
  </si>
  <si>
    <t>НУ-7623</t>
  </si>
  <si>
    <t>4670159167846</t>
  </si>
  <si>
    <t>246241</t>
  </si>
  <si>
    <t>Новогоднее украшение. Набор ёлочных стеклянных шаров  КОЛЛЕКЦИЯ "СНЕЖИНКИ", 4 шт НУ-2151</t>
  </si>
  <si>
    <t>НУ-2151</t>
  </si>
  <si>
    <t>4640306921539</t>
  </si>
  <si>
    <t>КОЛЛЕКЦИЯ "ТАИНСТВЕННАЯ"</t>
  </si>
  <si>
    <t>227702</t>
  </si>
  <si>
    <t>Новогоднее украшение. Елочный стеклянный шар  "Волшебная  искра",8см (соб.разб.) НУ-7655</t>
  </si>
  <si>
    <t>НУ-7655</t>
  </si>
  <si>
    <t>4670159168164</t>
  </si>
  <si>
    <t>227700</t>
  </si>
  <si>
    <t>Новогоднее украшение. Елочный стеклянный шар  "Волшебный мотылёк",8см (соб.разб.) НУ-7653</t>
  </si>
  <si>
    <t>НУ-7653</t>
  </si>
  <si>
    <t>4670159168140</t>
  </si>
  <si>
    <t>227701</t>
  </si>
  <si>
    <t>Новогоднее украшение. Елочный стеклянный шар  "Волшебный филин",8см (соб.разб.) НУ-7654</t>
  </si>
  <si>
    <t>НУ-7654</t>
  </si>
  <si>
    <t>4670159168157</t>
  </si>
  <si>
    <t>227698</t>
  </si>
  <si>
    <t>Новогоднее украшение. Елочный стеклянный шар  "Волшебный фонарь",8см (соб.разб.) НУ-7652</t>
  </si>
  <si>
    <t>НУ-7652</t>
  </si>
  <si>
    <t>4670159168133</t>
  </si>
  <si>
    <t>КОЛЛЕКЦИЯ "ЩЕЛКУНЧИК"</t>
  </si>
  <si>
    <t>232279</t>
  </si>
  <si>
    <t>Новог. украш. Елочный стеклян.шар "Сказочное приключение" 8см (соб.разб.) Щелкунчик НУ-8000</t>
  </si>
  <si>
    <t>НУ-8000</t>
  </si>
  <si>
    <t>4670159184454</t>
  </si>
  <si>
    <t>232282</t>
  </si>
  <si>
    <t>Новогоднее украшение. Елочный стеклянный шар "Мари", 8см(соб.разб.) НУ-8003</t>
  </si>
  <si>
    <t>НУ-8003</t>
  </si>
  <si>
    <t>4670159184485</t>
  </si>
  <si>
    <t>232281</t>
  </si>
  <si>
    <t>Новогоднее украшение. Елочный стеклянный шар "Щелкунчик", 8см (соб.разб.) Щелкунчик НУ-8002</t>
  </si>
  <si>
    <t>НУ-8002</t>
  </si>
  <si>
    <t>4670159184478</t>
  </si>
  <si>
    <t>246238</t>
  </si>
  <si>
    <t>Новогоднее украшение. Набор ёлочных стеклянных шаров КОЛЛЕКЦИЯ "ЩЕЛКУНЧИК",  3 шт НУ-2148</t>
  </si>
  <si>
    <t>НУ-2148</t>
  </si>
  <si>
    <t>4640306921508</t>
  </si>
  <si>
    <t>232280</t>
  </si>
  <si>
    <t>Новогоднее украшение.Елочный стеклянный шар "Волшебный танец"8см(соб.раз.) Щелкунчик НУ-8001</t>
  </si>
  <si>
    <t>НУ-8001</t>
  </si>
  <si>
    <t>4670159184461</t>
  </si>
  <si>
    <t>2 Шары пластиковые</t>
  </si>
  <si>
    <t>1 Шары ( d-3см )</t>
  </si>
  <si>
    <t>187060</t>
  </si>
  <si>
    <t>Набор ёлочных шаров 24 шт Новогоднее настроение, 3 см, золотой НУ-5615</t>
  </si>
  <si>
    <t>НУ-5615</t>
  </si>
  <si>
    <t>4620129751155</t>
  </si>
  <si>
    <t>3 cm 24 шт</t>
  </si>
  <si>
    <t>187061</t>
  </si>
  <si>
    <t>Набор ёлочных шаров 24 шт Новогоднее настроение, 3 см, розовый НУ-5616</t>
  </si>
  <si>
    <t>НУ-5616</t>
  </si>
  <si>
    <t>4620129751162</t>
  </si>
  <si>
    <t>187059</t>
  </si>
  <si>
    <t>Набор ёлочных шаров 24 шт Новогоднее настроение, 3 см, серебряный НУ-5614</t>
  </si>
  <si>
    <t>НУ-5614</t>
  </si>
  <si>
    <t>4620129751148</t>
  </si>
  <si>
    <t>187058</t>
  </si>
  <si>
    <t>Набор ёлочных шаров 54 шт Волшебство, 3 см, голубой, серебряный НУ-5613</t>
  </si>
  <si>
    <t>НУ-5613</t>
  </si>
  <si>
    <t>4620129751131</t>
  </si>
  <si>
    <t>3 см 64 шт</t>
  </si>
  <si>
    <t>187055</t>
  </si>
  <si>
    <t>Набор ёлочных шаров 64 шт Волшебство, 3 см, красный, зеленый, золотой НУ-5612</t>
  </si>
  <si>
    <t>НУ-5612</t>
  </si>
  <si>
    <t>4620129751124</t>
  </si>
  <si>
    <t>187054</t>
  </si>
  <si>
    <t>Набор ёлочных шаров 64 шт Волшебство, 3 см, модные оттенки НУ-5611</t>
  </si>
  <si>
    <t>НУ-5611</t>
  </si>
  <si>
    <t>4620129751117</t>
  </si>
  <si>
    <t>176782</t>
  </si>
  <si>
    <t>Набор новогодних украшений Белый дискошар, 3 см 6 шт НУ-2488</t>
  </si>
  <si>
    <t>НУ-2488</t>
  </si>
  <si>
    <t>4610144814881</t>
  </si>
  <si>
    <t>3 см</t>
  </si>
  <si>
    <t>163919</t>
  </si>
  <si>
    <t>Новогоднее украшение. Набор белых ёлочных шаров 3 см 12 шт НУ-5357</t>
  </si>
  <si>
    <t>НУ-5357</t>
  </si>
  <si>
    <t>4680088498577</t>
  </si>
  <si>
    <t>163916</t>
  </si>
  <si>
    <t>Новогоднее украшение. Набор синих ёлочных шаров 3 см 12 шт НУ-5356</t>
  </si>
  <si>
    <t>НУ-5356</t>
  </si>
  <si>
    <t>4680088498560</t>
  </si>
  <si>
    <t>2 Шары ( d-4см )</t>
  </si>
  <si>
    <t>1 Наборы 12 шт</t>
  </si>
  <si>
    <t>103692</t>
  </si>
  <si>
    <t xml:space="preserve"> Набор ёлочных шаров 12 шт Красивый домик,4 см, золотой НУ-0460</t>
  </si>
  <si>
    <t>НУ-0460</t>
  </si>
  <si>
    <t>4665306704609</t>
  </si>
  <si>
    <t>21 cм 4 cм шар</t>
  </si>
  <si>
    <t>187105</t>
  </si>
  <si>
    <t>Набор ёлочных шаров 12 шт Новогодняя нежность, 4 см НУ-5634</t>
  </si>
  <si>
    <t>НУ-5634</t>
  </si>
  <si>
    <t>4620129751346</t>
  </si>
  <si>
    <t>4 см 12 шт</t>
  </si>
  <si>
    <t>187075</t>
  </si>
  <si>
    <t>Набор ёлочных шаров 12 шт Чудеса, 4 см, золотой НУ-5621</t>
  </si>
  <si>
    <t>НУ-5621</t>
  </si>
  <si>
    <t>4620129751216</t>
  </si>
  <si>
    <t>187102</t>
  </si>
  <si>
    <t>Набор ёлочных шаров 12 шт Чудеса, 4 см, нежные оттенки НУ-5633</t>
  </si>
  <si>
    <t>НУ-5633</t>
  </si>
  <si>
    <t>4620129751339</t>
  </si>
  <si>
    <t>187082</t>
  </si>
  <si>
    <t>Набор ёлочных шаров 12 шт Чудеса, 4 см, серебряный с узором НУ-5623</t>
  </si>
  <si>
    <t>НУ-5623</t>
  </si>
  <si>
    <t>4620129751230</t>
  </si>
  <si>
    <t>187093</t>
  </si>
  <si>
    <t>Набор ёлочных шаров 12 шт Чудеса, 4 см, черный с узором НУ-5629</t>
  </si>
  <si>
    <t>НУ-5629</t>
  </si>
  <si>
    <t>4620129751292</t>
  </si>
  <si>
    <t>082753</t>
  </si>
  <si>
    <t>Набор красно-золотых новогодних украшений, 4 см. Новогодний домик, 12 шт. НУ-4413</t>
  </si>
  <si>
    <t>НУ-4413</t>
  </si>
  <si>
    <t>4665303244139</t>
  </si>
  <si>
    <t>21 см (4 см шары)</t>
  </si>
  <si>
    <t>163924</t>
  </si>
  <si>
    <t>Новогоднее украшение. Набор белых ёлочных шаров 4 см 12 шт НУ-5359</t>
  </si>
  <si>
    <t>НУ-5359</t>
  </si>
  <si>
    <t>4680088498591</t>
  </si>
  <si>
    <t>4 см</t>
  </si>
  <si>
    <t>203582</t>
  </si>
  <si>
    <t>Новогоднее украшение. Набор красных ёлочных шаров 4 см 12 шт  НУ-3603</t>
  </si>
  <si>
    <t>НУ-3603</t>
  </si>
  <si>
    <t>4670159036036</t>
  </si>
  <si>
    <t>203583</t>
  </si>
  <si>
    <t>Новогоднее украшение. Набор серебрянных ёлочных шаров 4 см 12 шт  НУ-3604</t>
  </si>
  <si>
    <t>НУ-3604</t>
  </si>
  <si>
    <t>4670159036043</t>
  </si>
  <si>
    <t>163922</t>
  </si>
  <si>
    <t>Новогоднее украшение. Набор синих ёлочных шаров 4 см 12 шт НУ-5358</t>
  </si>
  <si>
    <t>НУ-5358</t>
  </si>
  <si>
    <t>4680088498584</t>
  </si>
  <si>
    <t>2 Наборы 20 шт</t>
  </si>
  <si>
    <t>103700</t>
  </si>
  <si>
    <t xml:space="preserve"> Набор ёлочных шаров 20 шт Весёлый праздник!,4 см, синий НУ-0468</t>
  </si>
  <si>
    <t>НУ-0468</t>
  </si>
  <si>
    <t>4665306704685</t>
  </si>
  <si>
    <t>20 cm 4 cm шар</t>
  </si>
  <si>
    <t>203523</t>
  </si>
  <si>
    <t>Набор ёлочных шаров 24 шт Новогоднее настроение, 4 см, красный  (мат, глянец, глиттер) НУ-3433</t>
  </si>
  <si>
    <t>НУ-3433</t>
  </si>
  <si>
    <t>4670159024330</t>
  </si>
  <si>
    <t>4 см 24 шт</t>
  </si>
  <si>
    <t>187072</t>
  </si>
  <si>
    <t>Набор ёлочных шаров 24 шт Новогоднее настроение, 4 см, розовый НУ-5620</t>
  </si>
  <si>
    <t>НУ-5620</t>
  </si>
  <si>
    <t>4620129751209</t>
  </si>
  <si>
    <t>203527</t>
  </si>
  <si>
    <t>Набор ёлочных шаров 24 шт Новогоднее настроение, 4 см, синий (мат, глянец, глиттер) НУ-3434</t>
  </si>
  <si>
    <t>НУ-3434</t>
  </si>
  <si>
    <t>4670159024347</t>
  </si>
  <si>
    <t>203536</t>
  </si>
  <si>
    <t>Набор ёлочных шаров 25 шт Новогоднее настроение, 4 см,золот/крас(мат, гл., глит, мороз.узор) НУ-3436</t>
  </si>
  <si>
    <t>НУ-3436</t>
  </si>
  <si>
    <t>4670159024361</t>
  </si>
  <si>
    <t>4 см 25 шт</t>
  </si>
  <si>
    <t>203539</t>
  </si>
  <si>
    <t>Набор ёлочных шаров 25 шт Новогоднее настроение, 4 см,сереб/син (мат,гл, глит,.морозн.узор) НУ-3437</t>
  </si>
  <si>
    <t>НУ-3437</t>
  </si>
  <si>
    <t>4670159024378</t>
  </si>
  <si>
    <t>3 Шары ( d-5cм )</t>
  </si>
  <si>
    <t>1 Наборы 24 шт</t>
  </si>
  <si>
    <t>187133</t>
  </si>
  <si>
    <t>Набор ёлочных шаров 24 шт Новогоднее настроение, 5 см, золотой НУ-5640</t>
  </si>
  <si>
    <t>НУ-5640</t>
  </si>
  <si>
    <t>4620129751407</t>
  </si>
  <si>
    <t>5 cm 24 шт</t>
  </si>
  <si>
    <t>203542</t>
  </si>
  <si>
    <t>Набор ёлочных шаров 24 шт Новогоднее настроение, 5 см, красный НУ-3438</t>
  </si>
  <si>
    <t>НУ-3438</t>
  </si>
  <si>
    <t>4670159024385</t>
  </si>
  <si>
    <t>5 см 24 шт</t>
  </si>
  <si>
    <t>187110</t>
  </si>
  <si>
    <t>Набор ёлочных шаров 24 шт Новогоднее настроение, 5 см, насыщенный розовый НУ-5635</t>
  </si>
  <si>
    <t>НУ-5635</t>
  </si>
  <si>
    <t>4620129751353</t>
  </si>
  <si>
    <t>187116</t>
  </si>
  <si>
    <t>Набор ёлочных шаров 24 шт Новогоднее настроение, 5 см, серебряный НУ-5638</t>
  </si>
  <si>
    <t>НУ-5638</t>
  </si>
  <si>
    <t>4620129751384</t>
  </si>
  <si>
    <t>187130</t>
  </si>
  <si>
    <t>Набор ёлочных шаров 24 шт Новогоднее настроение, 5 см, синий НУ-5639</t>
  </si>
  <si>
    <t>НУ-5639</t>
  </si>
  <si>
    <t>4620129751391</t>
  </si>
  <si>
    <t>187115</t>
  </si>
  <si>
    <t>Набор ёлочных шаров 24 шт Новогоднее настроение, 5 см, фиолетовый НУ-5637</t>
  </si>
  <si>
    <t>НУ-5637</t>
  </si>
  <si>
    <t>4620129751377</t>
  </si>
  <si>
    <t>2 Другие</t>
  </si>
  <si>
    <t>186960</t>
  </si>
  <si>
    <t>Набор ёлочных шаров 18 шт Сюрприз, 5 см, золотой НУ-6069</t>
  </si>
  <si>
    <t>НУ-6069</t>
  </si>
  <si>
    <t>4620129750691</t>
  </si>
  <si>
    <t>5 см 18 шт</t>
  </si>
  <si>
    <t>Наборы 12 шт</t>
  </si>
  <si>
    <t>213267</t>
  </si>
  <si>
    <t>Набор ёлочных шаров 12 шт 5см в асс-те НУ-8798</t>
  </si>
  <si>
    <t>НУ-8798</t>
  </si>
  <si>
    <t>4670159087984</t>
  </si>
  <si>
    <t>4 Шары ( d-6см )</t>
  </si>
  <si>
    <t>1 Наборы 6 шт</t>
  </si>
  <si>
    <t>046769</t>
  </si>
  <si>
    <t>Набор новогодних  красных ёлочных шаров "Шёлк, бархат, люрекс" 6 см  (6 шт.) НУ-6958</t>
  </si>
  <si>
    <t>НУ-6958</t>
  </si>
  <si>
    <t>4665299569582</t>
  </si>
  <si>
    <t>диаметр 6 см</t>
  </si>
  <si>
    <t>046765</t>
  </si>
  <si>
    <t>Набор новогодних  красных матовых шаров с узором "Снежинка" 6 см (6 шт.) НУ-6954</t>
  </si>
  <si>
    <t>НУ-6954</t>
  </si>
  <si>
    <t>4665299569544</t>
  </si>
  <si>
    <t>275583</t>
  </si>
  <si>
    <t>Набор новогодних елочных шаров "Золотой подарок", 6 см, 6 шт, матовый, золотой ШЕН-4036</t>
  </si>
  <si>
    <t>ШЕН-4036</t>
  </si>
  <si>
    <t>4680942640364</t>
  </si>
  <si>
    <t>251465</t>
  </si>
  <si>
    <t>Набор новогодних елочных шаров "Красные звёзды", 6 см, 6 шт, пластик НУ-2667</t>
  </si>
  <si>
    <t>НУ-2667</t>
  </si>
  <si>
    <t>4640306926503</t>
  </si>
  <si>
    <t>275581</t>
  </si>
  <si>
    <t>Набор новогодних елочных шаров "Красный закат", 6 см, 6 шт, глянец, красный ШЕН-4034</t>
  </si>
  <si>
    <t>ШЕН-4034</t>
  </si>
  <si>
    <t>4680942640340</t>
  </si>
  <si>
    <t>275577</t>
  </si>
  <si>
    <t>Набор новогодних елочных шаров "Лунный свет", 6 см, 6 шт, матовый, серебряный ШЕН-4030</t>
  </si>
  <si>
    <t>ШЕН-4030</t>
  </si>
  <si>
    <t>4680942640302</t>
  </si>
  <si>
    <t>275578</t>
  </si>
  <si>
    <t>Набор новогодних елочных шаров "Шелковое серебро", 6 см, 6 шт, глянец, серебряный ШЕН-4031</t>
  </si>
  <si>
    <t>ШЕН-4031</t>
  </si>
  <si>
    <t>4680942640319</t>
  </si>
  <si>
    <t>046803</t>
  </si>
  <si>
    <t>Набор новогодних золотых ёлочных шаров "Шёлк, бархат, люрекс" 6 см  (6 шт.) НУ-6990</t>
  </si>
  <si>
    <t>НУ-6990</t>
  </si>
  <si>
    <t>4665299569902</t>
  </si>
  <si>
    <t>046792</t>
  </si>
  <si>
    <t>Набор новогодних красных, золотых, серебряных шаров "Шёлк, бархат и люрекс" 6 см (6 шт.) НУ-6979</t>
  </si>
  <si>
    <t>НУ-6979</t>
  </si>
  <si>
    <t>4665299569797</t>
  </si>
  <si>
    <t>046755</t>
  </si>
  <si>
    <t>Набор новогодних матовых ёлочных шаров "Красный бархат" 6 см (6 шт.) НУ-6949</t>
  </si>
  <si>
    <t>НУ-6949</t>
  </si>
  <si>
    <t>4665299569490</t>
  </si>
  <si>
    <t>046799</t>
  </si>
  <si>
    <t>Набор новогодних матовых ёлочных шаров "Серебряный бархат" 6 см (6 шт.) НУ-6986</t>
  </si>
  <si>
    <t>НУ-6986</t>
  </si>
  <si>
    <t>4665299569865</t>
  </si>
  <si>
    <t>046814</t>
  </si>
  <si>
    <t>Набор новогодних матовых ёлочных шаров "Синий бархат" 6 см  (6 шт.) НУ-6997</t>
  </si>
  <si>
    <t>НУ-6997</t>
  </si>
  <si>
    <t>4665299569971</t>
  </si>
  <si>
    <t>046796</t>
  </si>
  <si>
    <t>Набор новогодних матовых ёлочных шаров синий/серебро "Серебряный бархат" 6 см (6 шт.) НУ-6983</t>
  </si>
  <si>
    <t>НУ-6983</t>
  </si>
  <si>
    <t>4665299569834</t>
  </si>
  <si>
    <t>046800</t>
  </si>
  <si>
    <t>Набор новогодних матовых ёлочных шаров"Золотой бархат" 6 см (6 шт.) НУ-6987</t>
  </si>
  <si>
    <t>НУ-6987</t>
  </si>
  <si>
    <t>4665299569872</t>
  </si>
  <si>
    <t>200524</t>
  </si>
  <si>
    <t>Новогоднее украшение Набор золотых дискошаров  6 см 6 шт НШ-1433</t>
  </si>
  <si>
    <t>НШ-1433</t>
  </si>
  <si>
    <t>4670159014331</t>
  </si>
  <si>
    <t>6 см 6 шт</t>
  </si>
  <si>
    <t>163945</t>
  </si>
  <si>
    <t>Новогоднее украшение Набор серебряных дискошаров 6 см 6 шт НУ-2491</t>
  </si>
  <si>
    <t>НУ-2491</t>
  </si>
  <si>
    <t>4610144814911</t>
  </si>
  <si>
    <t>163936</t>
  </si>
  <si>
    <t>Новогоднее украшение. Набор серебряных спиральных шаров 6 см 6 шт НУ-5364</t>
  </si>
  <si>
    <t>НУ-5364</t>
  </si>
  <si>
    <t>4680088498645</t>
  </si>
  <si>
    <t>200464</t>
  </si>
  <si>
    <t>Новогоднее украшение.Набор  ёлочных шаров 6см. Брызги шампанского Шампань, 6 шт НШ-1400</t>
  </si>
  <si>
    <t>НШ-1400</t>
  </si>
  <si>
    <t>4670159014003</t>
  </si>
  <si>
    <t>2 Наборы 12 шт</t>
  </si>
  <si>
    <t>258181</t>
  </si>
  <si>
    <t xml:space="preserve"> Набор бордовых ёлочных шаров "Бархатный узор", 6 см, 12 шт НУ-7504</t>
  </si>
  <si>
    <t>НУ-7504</t>
  </si>
  <si>
    <t>4630493776098</t>
  </si>
  <si>
    <t>258182</t>
  </si>
  <si>
    <t xml:space="preserve"> Набор красных и белых  ёлочных шаров "Рождество", 6 см, 12 шт НУ-7505</t>
  </si>
  <si>
    <t>НУ-7505</t>
  </si>
  <si>
    <t>4630493776104</t>
  </si>
  <si>
    <t>187145</t>
  </si>
  <si>
    <t>Набор ёлочных шаров 12 шт Чудеса, 6 см, золотой НУ-4186</t>
  </si>
  <si>
    <t>НУ-4186</t>
  </si>
  <si>
    <t>4620129749879</t>
  </si>
  <si>
    <t>6 см 12 шт</t>
  </si>
  <si>
    <t>187149</t>
  </si>
  <si>
    <t>Набор ёлочных шаров 12 шт Чудеса, 6 см, красный НУ-4188</t>
  </si>
  <si>
    <t>НУ-4188</t>
  </si>
  <si>
    <t>4620129749893</t>
  </si>
  <si>
    <t>187151</t>
  </si>
  <si>
    <t>Набор ёлочных шаров 12 шт Чудеса, 6 см, нежные оттенки НУ-4189</t>
  </si>
  <si>
    <t>НУ-4189</t>
  </si>
  <si>
    <t>4620129749909</t>
  </si>
  <si>
    <t>187148</t>
  </si>
  <si>
    <t>Набор ёлочных шаров 12 шт Чудеса, 6 см, серебряный с узором НУ-4187</t>
  </si>
  <si>
    <t>НУ-4187</t>
  </si>
  <si>
    <t>4620129749886</t>
  </si>
  <si>
    <t>082751</t>
  </si>
  <si>
    <t>Набор золотых новогодних украшений, 4 см Новогодний домик, 12 шт. НУ-4412</t>
  </si>
  <si>
    <t>НУ-4412</t>
  </si>
  <si>
    <t>4665303244122</t>
  </si>
  <si>
    <t>082745</t>
  </si>
  <si>
    <t>Набор красных новогодних украшений, 6 см Снеговик, 12 шт. НУ-4407</t>
  </si>
  <si>
    <t>НУ-4407</t>
  </si>
  <si>
    <t>4665303244078</t>
  </si>
  <si>
    <t>24 см (6 см шары)</t>
  </si>
  <si>
    <t>251507</t>
  </si>
  <si>
    <t>Набор новогодних елочных шаров "Изумрудный узор", 6 см, 12 шт, пластик НУ-2681</t>
  </si>
  <si>
    <t>НУ-2681</t>
  </si>
  <si>
    <t>4640306926640</t>
  </si>
  <si>
    <t>200398</t>
  </si>
  <si>
    <t>Новогоднее украшение Набор ёлочных шаров "Метель" 12 шт 6 см, голубой НШ-1521</t>
  </si>
  <si>
    <t>НШ-1521</t>
  </si>
  <si>
    <t>4670159015215</t>
  </si>
  <si>
    <t>6 см/12 шт</t>
  </si>
  <si>
    <t>200399</t>
  </si>
  <si>
    <t>Новогоднее украшение Набор ёлочных шаров "Метель" 12 шт 6 см, серебристый НШ-1522</t>
  </si>
  <si>
    <t>НШ-1522</t>
  </si>
  <si>
    <t>4670159015222</t>
  </si>
  <si>
    <t>200395</t>
  </si>
  <si>
    <t>Новогоднее украшение Набор ёлочных шаров "Мечта" 12 шт 6 см, золотистый НШ-1513</t>
  </si>
  <si>
    <t>НШ-1513</t>
  </si>
  <si>
    <t>4670159015130</t>
  </si>
  <si>
    <t>200396</t>
  </si>
  <si>
    <t>Новогоднее украшение Набор ёлочных шаров "Мечта" 12 шт 6 см, красный НШ-1514</t>
  </si>
  <si>
    <t>НШ-1514</t>
  </si>
  <si>
    <t>4670159015147</t>
  </si>
  <si>
    <t>200397</t>
  </si>
  <si>
    <t>Новогоднее украшение Набор ёлочных шаров "Мечта" 12 шт 6 см, серебристо-розовый НШ-1515</t>
  </si>
  <si>
    <t>НШ-1515</t>
  </si>
  <si>
    <t>4670159015154</t>
  </si>
  <si>
    <t>200393</t>
  </si>
  <si>
    <t>Новогоднее украшение Набор ёлочных шаров "Ожидание" 12 шт 6 см, голубой НШ-1511</t>
  </si>
  <si>
    <t>НШ-1511</t>
  </si>
  <si>
    <t>4670159015116</t>
  </si>
  <si>
    <t>200390</t>
  </si>
  <si>
    <t>Новогоднее украшение Набор ёлочных шаров "Ожидание" 12 шт 6 см, красный НШ-1508</t>
  </si>
  <si>
    <t>НШ-1508</t>
  </si>
  <si>
    <t>4670159015086</t>
  </si>
  <si>
    <t>200392</t>
  </si>
  <si>
    <t>Новогоднее украшение Набор ёлочных шаров "Ожидание" 12 шт 6 см, розовый НШ-1510</t>
  </si>
  <si>
    <t>НШ-1510</t>
  </si>
  <si>
    <t>4670159015109</t>
  </si>
  <si>
    <t>200394</t>
  </si>
  <si>
    <t>Новогоднее украшение Набор ёлочных шаров "Ожидание" 12 шт 6 см, серебристый НШ-1512</t>
  </si>
  <si>
    <t>НШ-1512</t>
  </si>
  <si>
    <t>4670159015123</t>
  </si>
  <si>
    <t>4 Наборы 20 шт</t>
  </si>
  <si>
    <t>200371</t>
  </si>
  <si>
    <t>Новогоднее украшение Набор ёлочных шаров "Голубая лагуна" 20 шт, 6 см НШ-1490</t>
  </si>
  <si>
    <t>НШ-1490</t>
  </si>
  <si>
    <t>4670159014904</t>
  </si>
  <si>
    <t>6 см/20 шт</t>
  </si>
  <si>
    <t>200373</t>
  </si>
  <si>
    <t>Новогоднее украшение Набор ёлочных шаров "Роскошь" 20 шт, 6 см, серебристый НШ-1492</t>
  </si>
  <si>
    <t>НШ-1492</t>
  </si>
  <si>
    <t>4670159014928</t>
  </si>
  <si>
    <t>274908</t>
  </si>
  <si>
    <t>Новогоднее украшение. Набор ёлочных шаров "Красная сказка" 20 шт, 6 см, красный НУШ-3112</t>
  </si>
  <si>
    <t>НУШ-3112</t>
  </si>
  <si>
    <t>4680942631126</t>
  </si>
  <si>
    <t>5 Наборы 25 шт</t>
  </si>
  <si>
    <t>187159</t>
  </si>
  <si>
    <t>Набор ёлочных шаров 25 шт Мечта, 6 см, красный, черный, белый НУ-4193</t>
  </si>
  <si>
    <t>НУ-4193</t>
  </si>
  <si>
    <t>4620129749947</t>
  </si>
  <si>
    <t>6 см 25 шт</t>
  </si>
  <si>
    <t>187162</t>
  </si>
  <si>
    <t>Набор ёлочных шаров 25 шт Мечта, 6 см, оттенки синего НУ-4195</t>
  </si>
  <si>
    <t>НУ-4195</t>
  </si>
  <si>
    <t>4620129749961</t>
  </si>
  <si>
    <t>187155</t>
  </si>
  <si>
    <t>Набор ёлочных шаров 25 шт Мечта, 6 см, розовый, серебряный НУ-4191</t>
  </si>
  <si>
    <t>НУ-4191</t>
  </si>
  <si>
    <t>4620129749923</t>
  </si>
  <si>
    <t>274914</t>
  </si>
  <si>
    <t>Новогоднее украшение. Набор  ёлочных шаров "Бордовые линии" 24 шт 6 см, бордовый НУШ-3117</t>
  </si>
  <si>
    <t>НУШ-3117</t>
  </si>
  <si>
    <t>4680942631171</t>
  </si>
  <si>
    <t>6 Наборы 30 шт</t>
  </si>
  <si>
    <t>187350</t>
  </si>
  <si>
    <t>Набор ёлочных шаров 30 шт Праздник в бирюзовых оттенках, 6 см НУ-4206</t>
  </si>
  <si>
    <t>НУ-4206</t>
  </si>
  <si>
    <t>4620129750073</t>
  </si>
  <si>
    <t>6 см 30 шт</t>
  </si>
  <si>
    <t>187346</t>
  </si>
  <si>
    <t>Набор ёлочных шаров 30 шт Праздник в голубых оттенках, 6 см НУ-4203</t>
  </si>
  <si>
    <t>НУ-4203</t>
  </si>
  <si>
    <t>4620129750042</t>
  </si>
  <si>
    <t>187349</t>
  </si>
  <si>
    <t>Набор ёлочных шаров 30 шт Праздник в золотых блестках, 6 см НУ-4205</t>
  </si>
  <si>
    <t>НУ-4205</t>
  </si>
  <si>
    <t>4620129750066</t>
  </si>
  <si>
    <t>187339</t>
  </si>
  <si>
    <t>Набор ёлочных шаров 30 шт Праздник в модных оттенках, 6 см НУ-4202</t>
  </si>
  <si>
    <t>НУ-4202</t>
  </si>
  <si>
    <t>4620129750035</t>
  </si>
  <si>
    <t>7 Наборы 36 шт</t>
  </si>
  <si>
    <t>187169</t>
  </si>
  <si>
    <t>Набор ёлочных шаров 36 шт Фейерверк, 6 см, золотой НУ-4199</t>
  </si>
  <si>
    <t>НУ-4199</t>
  </si>
  <si>
    <t>4620129750004</t>
  </si>
  <si>
    <t>6 см 36 шт</t>
  </si>
  <si>
    <t>5 Шары ( d-7см)</t>
  </si>
  <si>
    <t>200374</t>
  </si>
  <si>
    <t>Новогоднее украшение Набор ёлочных шаров "Триумф" 12 шт, 7 см, золотистый НШ-1493</t>
  </si>
  <si>
    <t>НШ-1493</t>
  </si>
  <si>
    <t>4670159014935</t>
  </si>
  <si>
    <t>7 см/12 шт</t>
  </si>
  <si>
    <t>200376</t>
  </si>
  <si>
    <t>Новогоднее украшение Набор ёлочных шаров "Триумф" 12 шт, 7 см, красный НШ-1495</t>
  </si>
  <si>
    <t>НШ-1495</t>
  </si>
  <si>
    <t>4670159014959</t>
  </si>
  <si>
    <t>200375</t>
  </si>
  <si>
    <t>Новогоднее украшение Набор ёлочных шаров "Триумф" 12 шт, 7 см, серебристый НШ-1494</t>
  </si>
  <si>
    <t>НШ-1494</t>
  </si>
  <si>
    <t>4670159014942</t>
  </si>
  <si>
    <t>200377</t>
  </si>
  <si>
    <t>Новогоднее украшение Набор ёлочных шаров "Триумф" 12 шт, 7 см, синий НШ-1496</t>
  </si>
  <si>
    <t>НШ-1496</t>
  </si>
  <si>
    <t>4670159014966</t>
  </si>
  <si>
    <t>6 Шары ( d-8см )</t>
  </si>
  <si>
    <t>1 Наборы 3 шт</t>
  </si>
  <si>
    <t>274936</t>
  </si>
  <si>
    <t>Новогоднее украшение. Набор ёлочных шаров "Перламутр" 3 шт 8 см, красный НУШ-3133</t>
  </si>
  <si>
    <t>НУШ-3133</t>
  </si>
  <si>
    <t>4680942631331</t>
  </si>
  <si>
    <t>2 Наборы 4 шт</t>
  </si>
  <si>
    <t>187177</t>
  </si>
  <si>
    <t>Набор ёлочных шаров 4 шт  Перламутровый узор, 8 см НУ-5643</t>
  </si>
  <si>
    <t>НУ-5643</t>
  </si>
  <si>
    <t>4620129751438</t>
  </si>
  <si>
    <t>8 см 4 шт</t>
  </si>
  <si>
    <t>046781</t>
  </si>
  <si>
    <t>Набор новогодних матовых ёлочных шаров "Красный бархат"8 см (4 шт.) НУ-6970</t>
  </si>
  <si>
    <t>НУ-6970</t>
  </si>
  <si>
    <t>4665299569704</t>
  </si>
  <si>
    <t>диаметр 8 см</t>
  </si>
  <si>
    <t>3 Наборы 6 шт</t>
  </si>
  <si>
    <t>251474</t>
  </si>
  <si>
    <t>Набор новогодних елочных шаров "Зимний узор", 8 см, 6 шт, пластик НУ-2687</t>
  </si>
  <si>
    <t>НУ-2687</t>
  </si>
  <si>
    <t>4640306926589</t>
  </si>
  <si>
    <t>251506</t>
  </si>
  <si>
    <t>Набор новогодних елочных шаров "Золотистые звезды", 8 см, 6 шт, пластик НУ-2680</t>
  </si>
  <si>
    <t>НУ-2680</t>
  </si>
  <si>
    <t>4640306926633</t>
  </si>
  <si>
    <t>251473</t>
  </si>
  <si>
    <t>Набор новогодних елочных шаров "Золотистые ромбики", 8 см, 6 шт, пластик НУ-2686</t>
  </si>
  <si>
    <t>НУ-2686</t>
  </si>
  <si>
    <t>4640306926572</t>
  </si>
  <si>
    <t>275566</t>
  </si>
  <si>
    <t>Набор новогодних елочных шаров "Классика", 8 см, 6 шт, матовый, красный ШЕН-4020</t>
  </si>
  <si>
    <t>ШЕН-4020</t>
  </si>
  <si>
    <t>4680942640203</t>
  </si>
  <si>
    <t>275563</t>
  </si>
  <si>
    <t>Набор новогодних елочных шаров "Мороз", 8 см, 6 шт, матовый, серебряный ШЕН-4017</t>
  </si>
  <si>
    <t>ШЕН-4017</t>
  </si>
  <si>
    <t>4680942640173</t>
  </si>
  <si>
    <t>275572</t>
  </si>
  <si>
    <t>Набор новогодних елочных шаров "Снежный", 8 см, 6 шт, матовый, белый ШЕН-4025</t>
  </si>
  <si>
    <t>ШЕН-4025</t>
  </si>
  <si>
    <t>4680942640258</t>
  </si>
  <si>
    <t>275571</t>
  </si>
  <si>
    <t>Набор новогодних елочных шаров "Торжество", 8 см, 6 шт, глянец, золотой ШЕН-4024</t>
  </si>
  <si>
    <t>ШЕН-4024</t>
  </si>
  <si>
    <t>4680942640241</t>
  </si>
  <si>
    <t>275564</t>
  </si>
  <si>
    <t>Набор новогодних елочных шаров "Хрусталь", 8 см, 6 шт, глянец, серебряный ШЕН-4018</t>
  </si>
  <si>
    <t>ШЕН-4018</t>
  </si>
  <si>
    <t>4680942640180</t>
  </si>
  <si>
    <t>275565</t>
  </si>
  <si>
    <t>Набор новогодних елочных шаров "Элегантный", 8 см, 6 шт, присыпка, красный ШЕН-4019</t>
  </si>
  <si>
    <t>ШЕН-4019</t>
  </si>
  <si>
    <t>4680942640197</t>
  </si>
  <si>
    <t>046812</t>
  </si>
  <si>
    <t>Набор новогодних золотых ёлочных шаров "Шёлк, бархат, люрекс" 8 см  (6 шт.) НУ-6995</t>
  </si>
  <si>
    <t>НУ-6995</t>
  </si>
  <si>
    <t>4665299569957</t>
  </si>
  <si>
    <t>200473</t>
  </si>
  <si>
    <t>Набор новогодних красных ёлочных шаров "Шёлк, бархат, люрекс" 8 см (6 шт.) НШ-1406</t>
  </si>
  <si>
    <t>НШ-1406</t>
  </si>
  <si>
    <t>4670159014065</t>
  </si>
  <si>
    <t>8 см 6 шт</t>
  </si>
  <si>
    <t>200479</t>
  </si>
  <si>
    <t>Набор новогодних серебряных ёлочных шаров "Шёлк, бархат, люрекс" 8 см (6 шт.) НШ-1407</t>
  </si>
  <si>
    <t>НШ-1407</t>
  </si>
  <si>
    <t>4670159014072</t>
  </si>
  <si>
    <t>046819</t>
  </si>
  <si>
    <t>Набор новогодних синих ёлочных шаров "Шёлк, бархат, люрекс" 8 см (6 шт.) НУ-7002</t>
  </si>
  <si>
    <t>НУ-7002</t>
  </si>
  <si>
    <t>4665299570021</t>
  </si>
  <si>
    <t>200525</t>
  </si>
  <si>
    <t>Новогоднее украшение Набор золотых дискошаров  8 см 6 шт НШ-1434</t>
  </si>
  <si>
    <t>НШ-1434</t>
  </si>
  <si>
    <t>4670159014348</t>
  </si>
  <si>
    <t>8 см * 6 шт</t>
  </si>
  <si>
    <t>274910</t>
  </si>
  <si>
    <t>Новогоднее украшение. Набор ёлочных шаров "Волшебство" 6 шт, 8 см, красный НУШ-3113</t>
  </si>
  <si>
    <t>НУШ-3113</t>
  </si>
  <si>
    <t>4680942631133</t>
  </si>
  <si>
    <t>274940</t>
  </si>
  <si>
    <t>Новогоднее украшение. Набор ёлочных шаров "Зимний узор" 6 шт 8 см, красный НУШ-3137</t>
  </si>
  <si>
    <t>НУШ-3137</t>
  </si>
  <si>
    <t>4680942631379</t>
  </si>
  <si>
    <t>274920</t>
  </si>
  <si>
    <t>Новогоднее украшение. Набор ёлочных шаров "Снежинки" 6 шт 8 см, красный НУШ-3121</t>
  </si>
  <si>
    <t>НУШ-3121</t>
  </si>
  <si>
    <t>4680942631218</t>
  </si>
  <si>
    <t>163989</t>
  </si>
  <si>
    <t>Новогоднее украшение. Набор серебряных дискошаров 8 см 6 шт НУ-2493</t>
  </si>
  <si>
    <t>НУ-2493</t>
  </si>
  <si>
    <t>4610144814935</t>
  </si>
  <si>
    <t>4 Наборы 9 шт</t>
  </si>
  <si>
    <t>251467</t>
  </si>
  <si>
    <t>Набор новогодних елочных шаров "Золотистый узор", 8 см, 9 шт, пластик НУ-2668</t>
  </si>
  <si>
    <t>НУ-2668</t>
  </si>
  <si>
    <t>4640306926510</t>
  </si>
  <si>
    <t>5 Другие</t>
  </si>
  <si>
    <t>203557</t>
  </si>
  <si>
    <t>Новогоднее украшение. Елочный шар "Жемчужина", 8см НУ-3441</t>
  </si>
  <si>
    <t>НУ-3441</t>
  </si>
  <si>
    <t>4670159024415</t>
  </si>
  <si>
    <t>203563</t>
  </si>
  <si>
    <t>Новогоднее украшение. Елочный шар "Закат", 8см НУ-3444</t>
  </si>
  <si>
    <t>НУ-3444</t>
  </si>
  <si>
    <t>4670159024446</t>
  </si>
  <si>
    <t>203567</t>
  </si>
  <si>
    <t>Новогоднее украшение. Елочный шар "Иней", 8см НУ-3446</t>
  </si>
  <si>
    <t>НУ-3446</t>
  </si>
  <si>
    <t>4670159024460</t>
  </si>
  <si>
    <t>203561</t>
  </si>
  <si>
    <t>Новогоднее украшение. Елочный шар "Лазурь", 8см  НУ-3442</t>
  </si>
  <si>
    <t>НУ-3442</t>
  </si>
  <si>
    <t>4670159024422</t>
  </si>
  <si>
    <t>203562</t>
  </si>
  <si>
    <t>Новогоднее украшение. Елочный шар "Сияние", 8см НУ-3443</t>
  </si>
  <si>
    <t>НУ-3443</t>
  </si>
  <si>
    <t>4670159024439</t>
  </si>
  <si>
    <t>203580</t>
  </si>
  <si>
    <t>Новогоднее украшение.Набор елочных шаров 3 шт. "Россыпь" 8см НУ-3458</t>
  </si>
  <si>
    <t>НУ-3458</t>
  </si>
  <si>
    <t>4670159024583</t>
  </si>
  <si>
    <t>7 Шары ( d-10см )</t>
  </si>
  <si>
    <t>1 Наборы 2 шт</t>
  </si>
  <si>
    <t>103728</t>
  </si>
  <si>
    <t xml:space="preserve">  Набор ёлочных шаров 2 шт Праздничное настроение, d 10 см, d 10 см,золотой НУ-0497</t>
  </si>
  <si>
    <t>НУ-0497</t>
  </si>
  <si>
    <t>4665306704975</t>
  </si>
  <si>
    <t>d 10 cm</t>
  </si>
  <si>
    <t>103727</t>
  </si>
  <si>
    <t xml:space="preserve">  Набор ёлочных шаров 2 шт Праздничное настроение, d 10 см,красный НУ-0496</t>
  </si>
  <si>
    <t>НУ-0496</t>
  </si>
  <si>
    <t>4665306704968</t>
  </si>
  <si>
    <t>103730</t>
  </si>
  <si>
    <t xml:space="preserve">  Набор ёлочных шаров 2 шт Праздничное настроение, d 10 см,серебряный НУ-0498</t>
  </si>
  <si>
    <t>НУ-0498</t>
  </si>
  <si>
    <t>4665306704982</t>
  </si>
  <si>
    <t>103732</t>
  </si>
  <si>
    <t xml:space="preserve">  Набор ёлочных шаров 2 шт Праздничное настроение, d 10 см,синий НУ-0499</t>
  </si>
  <si>
    <t>НУ-0499</t>
  </si>
  <si>
    <t>4665306704999</t>
  </si>
  <si>
    <t>187315</t>
  </si>
  <si>
    <t>Набор ёлочных шаров 2 шт Весёлых праздников!, d 10 см, золотой НУ-4160</t>
  </si>
  <si>
    <t>НУ-4160</t>
  </si>
  <si>
    <t>4620129749602</t>
  </si>
  <si>
    <t>10 см 2 шт</t>
  </si>
  <si>
    <t>103725</t>
  </si>
  <si>
    <t>Набор ёлочных шаров 2 шт Весёлых праздников!, d 10 см, серебряный НУ-0494</t>
  </si>
  <si>
    <t>НУ-0494</t>
  </si>
  <si>
    <t>4665306704944</t>
  </si>
  <si>
    <t>187317</t>
  </si>
  <si>
    <t>Набор ёлочных шаров 2 шт Весёлых праздников!, d 10 см, синий НУ-4162</t>
  </si>
  <si>
    <t>НУ-4162</t>
  </si>
  <si>
    <t>4620129749633</t>
  </si>
  <si>
    <t>103723</t>
  </si>
  <si>
    <t>Набор ёлочных шаров 2 шт Весёлых праздников!, d 10 см,красный НУ-0492</t>
  </si>
  <si>
    <t>НУ-0492</t>
  </si>
  <si>
    <t>4665306704920</t>
  </si>
  <si>
    <t>2 Наборы 6 шт</t>
  </si>
  <si>
    <t>275597</t>
  </si>
  <si>
    <t>Набор новогодних елочных шаров "Белая искра", 10 см, 6 шт, матовый, белый ШЕН-4050</t>
  </si>
  <si>
    <t>ШЕН-4050</t>
  </si>
  <si>
    <t>4680942640500</t>
  </si>
  <si>
    <t>275592</t>
  </si>
  <si>
    <t>Набор новогодних елочных шаров "Гранат",10 см, 6 шт, матовый, красный ШЕН-4045</t>
  </si>
  <si>
    <t>ШЕН-4045</t>
  </si>
  <si>
    <t>4680942640456</t>
  </si>
  <si>
    <t>275590</t>
  </si>
  <si>
    <t>Набор новогодних елочных шаров "Зимняя сказка", 10 см, 6 шт, глянец, серебряный ШЕН-4043</t>
  </si>
  <si>
    <t>ШЕН-4043</t>
  </si>
  <si>
    <t>4680942640432</t>
  </si>
  <si>
    <t>275595</t>
  </si>
  <si>
    <t>Набор новогодних елочных шаров "Золотой луч",10 см, 6 шт, матовый, золотой ШЕН-4048</t>
  </si>
  <si>
    <t>ШЕН-4048</t>
  </si>
  <si>
    <t>4680942640487</t>
  </si>
  <si>
    <t>275586</t>
  </si>
  <si>
    <t>Набор новогодних елочных шаров "Золотой подарок",10 см, 6 шт, матовый, синий ШЕН-4039</t>
  </si>
  <si>
    <t>ШЕН-4039</t>
  </si>
  <si>
    <t>4680942640395</t>
  </si>
  <si>
    <t>275589</t>
  </si>
  <si>
    <t>Набор новогодних елочных шаров "Иней",10 см, 6 шт, матовый, серебряный ШЕН-4042</t>
  </si>
  <si>
    <t>ШЕН-4042</t>
  </si>
  <si>
    <t>4680942640425</t>
  </si>
  <si>
    <t>275593</t>
  </si>
  <si>
    <t>Набор новогодних елочных шаров "Красный металлик", 10 см, 6 шт, глянец, красный ШЕН-4046</t>
  </si>
  <si>
    <t>ШЕН-4046</t>
  </si>
  <si>
    <t>4680942640463</t>
  </si>
  <si>
    <t>274943</t>
  </si>
  <si>
    <t>Новогоднее украшение. Набор ёлочных шаров "Новогоднее настроение" 6 шт 10 см, красный НУШ-3140</t>
  </si>
  <si>
    <t>НУШ-3140</t>
  </si>
  <si>
    <t>4680942631409</t>
  </si>
  <si>
    <t>275450</t>
  </si>
  <si>
    <t>Новогоднее подвесное украшение из акрила "Перламутровое чудо", 10 см НУП-3680</t>
  </si>
  <si>
    <t>НУП-3680</t>
  </si>
  <si>
    <t>4680942636800</t>
  </si>
  <si>
    <t>275449</t>
  </si>
  <si>
    <t>Новогоднее подвесное украшение из акрила "Перламутровый шар со стразами", 10 см НУП-3679</t>
  </si>
  <si>
    <t>НУП-3679</t>
  </si>
  <si>
    <t>4680942636794</t>
  </si>
  <si>
    <t>275448</t>
  </si>
  <si>
    <t>Новогоднее подвесное украшение из акрила "Перламутровый шар", 10 см НУП-3678</t>
  </si>
  <si>
    <t>НУП-3678</t>
  </si>
  <si>
    <t>4680942636787</t>
  </si>
  <si>
    <t>269843</t>
  </si>
  <si>
    <t>Новогоднее украшение. Ёлочный шар "Волшебство", золотистый,  10х10 см НУ-0666</t>
  </si>
  <si>
    <t>НУ-0666</t>
  </si>
  <si>
    <t>4680942606858</t>
  </si>
  <si>
    <t>269836</t>
  </si>
  <si>
    <t>Новогоднее украшение. Ёлочный шар "Жемчужная нежность", 10х10 см НУ-0661</t>
  </si>
  <si>
    <t>НУ-0661</t>
  </si>
  <si>
    <t>4680942606803</t>
  </si>
  <si>
    <t>269838</t>
  </si>
  <si>
    <t>Новогоднее украшение. Ёлочный шар "Морозное чудо", 10х10 см НУ-0662</t>
  </si>
  <si>
    <t>НУ-0662</t>
  </si>
  <si>
    <t>4680942606810</t>
  </si>
  <si>
    <t>269835</t>
  </si>
  <si>
    <t>Новогоднее украшение. Ёлочный шар "Нежность", 10х10 см НУ-0660</t>
  </si>
  <si>
    <t>НУ-0660</t>
  </si>
  <si>
    <t>4680942606797</t>
  </si>
  <si>
    <t>269840</t>
  </si>
  <si>
    <t>Новогоднее украшение. Ёлочный шар "Новогоднее чудо", зелёно-красный, 10х10 см НУ-0663</t>
  </si>
  <si>
    <t>НУ-0663</t>
  </si>
  <si>
    <t>4680942606827</t>
  </si>
  <si>
    <t>269842</t>
  </si>
  <si>
    <t>Новогоднее украшение. Ёлочный шар "Новогоднее чудо", красно-зелёный, 10х10 см НУ-0665</t>
  </si>
  <si>
    <t>НУ-0665</t>
  </si>
  <si>
    <t>4680942606841</t>
  </si>
  <si>
    <t>269832</t>
  </si>
  <si>
    <t>Новогоднее украшение. Ёлочный шар "Розовая нежность", 10х10 см НУ-0658</t>
  </si>
  <si>
    <t>НУ-0658</t>
  </si>
  <si>
    <t>4680942606773</t>
  </si>
  <si>
    <t>269833</t>
  </si>
  <si>
    <t>Новогоднее украшение. Ёлочный шар "Роскошь", 10х10 см НУ-0659</t>
  </si>
  <si>
    <t>НУ-0659</t>
  </si>
  <si>
    <t>4680942606780</t>
  </si>
  <si>
    <t>269841</t>
  </si>
  <si>
    <t>Новогоднее украшение. Ёлочный шар "Сиреневая нежность", 10х10 см НУ-0664</t>
  </si>
  <si>
    <t>НУ-0664</t>
  </si>
  <si>
    <t>4680942606834</t>
  </si>
  <si>
    <t>269844</t>
  </si>
  <si>
    <t>Новогоднее украшение. Ёлочный шар "Сказка", золотисто-белый, 10х10 см НУ-0667</t>
  </si>
  <si>
    <t>НУ-0667</t>
  </si>
  <si>
    <t>4680942606865</t>
  </si>
  <si>
    <t>8 Шары (d-9см )</t>
  </si>
  <si>
    <t>251469</t>
  </si>
  <si>
    <t>Набор новогодних елочных  шаров "Винтажные узоры", 9,5 см, 6 шт, пластик НУ-2676</t>
  </si>
  <si>
    <t>НУ-2676</t>
  </si>
  <si>
    <t>4640306926534</t>
  </si>
  <si>
    <t>251471</t>
  </si>
  <si>
    <t>Набор новогодних елочных  шаров "Золотистые полоски", 9,5 см, 6 шт, пластик НУ-2672</t>
  </si>
  <si>
    <t>НУ-2672</t>
  </si>
  <si>
    <t>4640306926558</t>
  </si>
  <si>
    <t>251472</t>
  </si>
  <si>
    <t>Набор новогодних елочных шаров "Золотистый винтаж", 9,5 см, 6 шт, пластик НУ-2685</t>
  </si>
  <si>
    <t>НУ-2685</t>
  </si>
  <si>
    <t>4640306926565</t>
  </si>
  <si>
    <t>9 Большие шары</t>
  </si>
  <si>
    <t>275546</t>
  </si>
  <si>
    <t>Ёлочный шар 15 см, Алмазная роса, матовый, серебряный ШЕН-4000</t>
  </si>
  <si>
    <t>ШЕН-4000</t>
  </si>
  <si>
    <t>4680942640005</t>
  </si>
  <si>
    <t>275553</t>
  </si>
  <si>
    <t>Ёлочный шар 15 см, Блеск волшебства, присыпка, золотой ШЕН-4007</t>
  </si>
  <si>
    <t>ШЕН-4007</t>
  </si>
  <si>
    <t>4680942640074</t>
  </si>
  <si>
    <t>187319</t>
  </si>
  <si>
    <t>Ёлочный шар 15 см, Весёлых праздников!, золотой НУ-4164</t>
  </si>
  <si>
    <t>НУ-4164</t>
  </si>
  <si>
    <t>15 см</t>
  </si>
  <si>
    <t>4620129749657</t>
  </si>
  <si>
    <t>187323</t>
  </si>
  <si>
    <t>Ёлочный шар 15 см, Весёлых праздников!, синий НУ-4168</t>
  </si>
  <si>
    <t>НУ-4168</t>
  </si>
  <si>
    <t>4620129749695</t>
  </si>
  <si>
    <t>275550</t>
  </si>
  <si>
    <t>Ёлочный шар 15 см, Зимняя роза, присыпка, красный ШЕН-4004</t>
  </si>
  <si>
    <t>ШЕН-4004</t>
  </si>
  <si>
    <t>4680942640043</t>
  </si>
  <si>
    <t>275552</t>
  </si>
  <si>
    <t>Ёлочный шар 15 см, Карнавальная ночь, глянцевый, красный ШЕН-4006</t>
  </si>
  <si>
    <t>ШЕН-4006</t>
  </si>
  <si>
    <t>4680942640067</t>
  </si>
  <si>
    <t>275547</t>
  </si>
  <si>
    <t>Ёлочный шар 15 см, Лунный свет, глянцевый, серебряный ШЕН-4001</t>
  </si>
  <si>
    <t>ШЕН-4001</t>
  </si>
  <si>
    <t>4680942640012</t>
  </si>
  <si>
    <t>275554</t>
  </si>
  <si>
    <t>Ёлочный шар 15 см, Новогодний блеск, матовый, золотой ШЕН-4008</t>
  </si>
  <si>
    <t>ШЕН-4008</t>
  </si>
  <si>
    <t>4680942640081</t>
  </si>
  <si>
    <t>275545</t>
  </si>
  <si>
    <t>Ёлочный шар 15 см, Первый снег, присыпка, серебряный ШЕН-3999</t>
  </si>
  <si>
    <t>ШЕН-3999</t>
  </si>
  <si>
    <t>4680942639993</t>
  </si>
  <si>
    <t>275551</t>
  </si>
  <si>
    <t>Ёлочный шар 15 см, Праздничная искра, матовый, красный ШЕН-4005</t>
  </si>
  <si>
    <t>ШЕН-4005</t>
  </si>
  <si>
    <t>4680942640050</t>
  </si>
  <si>
    <t>187322</t>
  </si>
  <si>
    <t>Ёлочный шар 15 см, Праздничное настроение, синий НУ-4167</t>
  </si>
  <si>
    <t>НУ-4167</t>
  </si>
  <si>
    <t>4620129749688</t>
  </si>
  <si>
    <t>275543</t>
  </si>
  <si>
    <t>Ёлочный шар 15 см, Праздничный звон, матовый, синий ШЕН-3997</t>
  </si>
  <si>
    <t>ШЕН-3997</t>
  </si>
  <si>
    <t>4680942639979</t>
  </si>
  <si>
    <t>275526</t>
  </si>
  <si>
    <t>Ёлочный шар 20 см, Веселое настроение, глянцевый, шампань ШЕН-3980</t>
  </si>
  <si>
    <t>ШЕН-3980</t>
  </si>
  <si>
    <t>4680942639801</t>
  </si>
  <si>
    <t>275531</t>
  </si>
  <si>
    <t>Ёлочный шар 20 см, Волшебное серебро, матовый, серебряный ШЕН-3985</t>
  </si>
  <si>
    <t>ШЕН-3985</t>
  </si>
  <si>
    <t>4680942639856</t>
  </si>
  <si>
    <t>275537</t>
  </si>
  <si>
    <t>Ёлочный шар 20 см, Мерцание, глянцевый, красный ШЕН-3991</t>
  </si>
  <si>
    <t>ШЕН-3991</t>
  </si>
  <si>
    <t>4680942639917</t>
  </si>
  <si>
    <t>275535</t>
  </si>
  <si>
    <t>Ёлочный шар 20 см, Ностальгия, присыпка, красный ШЕН-3989</t>
  </si>
  <si>
    <t>ШЕН-3989</t>
  </si>
  <si>
    <t>4680942639894</t>
  </si>
  <si>
    <t>275540</t>
  </si>
  <si>
    <t>Ёлочный шар 20 см, Огонек зимы, глянцевый, золотой ШЕН-3994</t>
  </si>
  <si>
    <t>ШЕН-3994</t>
  </si>
  <si>
    <t>4680942639948</t>
  </si>
  <si>
    <t>275539</t>
  </si>
  <si>
    <t>Ёлочный шар 20 см, Праздничная классика, матовый, золотой ШЕН-3993</t>
  </si>
  <si>
    <t>ШЕН-3993</t>
  </si>
  <si>
    <t>4680942639931</t>
  </si>
  <si>
    <t>103740</t>
  </si>
  <si>
    <t>Ёлочный шар 20 см, Праздничное настроение ,серебряный НУ-0505</t>
  </si>
  <si>
    <t>НУ-0505</t>
  </si>
  <si>
    <t>d 20 cm</t>
  </si>
  <si>
    <t>4665306705057</t>
  </si>
  <si>
    <t>103736</t>
  </si>
  <si>
    <t>Ёлочный шар 20 см, Праздничное настроение, красный НУ-0503</t>
  </si>
  <si>
    <t>НУ-0503</t>
  </si>
  <si>
    <t>4665306705033</t>
  </si>
  <si>
    <t>275530</t>
  </si>
  <si>
    <t>Ёлочный шар 20 см, Серебро зимы, присыпка, серебряный ШЕН-3984</t>
  </si>
  <si>
    <t>ШЕН-3984</t>
  </si>
  <si>
    <t>4680942639849</t>
  </si>
  <si>
    <t>275532</t>
  </si>
  <si>
    <t>Ёлочный шар 20 см, Сияние, глянцевый, серебряный ШЕН-3986</t>
  </si>
  <si>
    <t>ШЕН-3986</t>
  </si>
  <si>
    <t>4680942639863</t>
  </si>
  <si>
    <t>275536</t>
  </si>
  <si>
    <t>Ёлочный шар 20 см, Уют, матовый, красный ШЕН-3990</t>
  </si>
  <si>
    <t>ШЕН-3990</t>
  </si>
  <si>
    <t>4680942639900</t>
  </si>
  <si>
    <t>200504</t>
  </si>
  <si>
    <t>Ёлочный шар 25 см, Праздничное настроение,серебряный глянец НШ-1412</t>
  </si>
  <si>
    <t>НШ-1412</t>
  </si>
  <si>
    <t>4670159014126</t>
  </si>
  <si>
    <t>25 см 1 шт</t>
  </si>
  <si>
    <t>200508</t>
  </si>
  <si>
    <t>Ёлочный шар 25 см, Праздничное настроение,синий глянец НШ-1414</t>
  </si>
  <si>
    <t>НШ-1414</t>
  </si>
  <si>
    <t>4670159014140</t>
  </si>
  <si>
    <t>Наборы ассорти</t>
  </si>
  <si>
    <t>251509</t>
  </si>
  <si>
    <t>Набор новогодних белых елочных шаров 8 шт d-6 см, 32 шт d-3 см, пластик НУ-2683</t>
  </si>
  <si>
    <t>НУ-2683</t>
  </si>
  <si>
    <t>4640306926664</t>
  </si>
  <si>
    <t>200380</t>
  </si>
  <si>
    <t>Новогоднее украш. Набор ёлочных шаров "Яркий праздник" 32 шт 3 см, 12 шт 6 см, красн, золот. НШ-1499</t>
  </si>
  <si>
    <t>НШ-1499</t>
  </si>
  <si>
    <t>4670159014997</t>
  </si>
  <si>
    <t>3 см/32 шт, 6 см/12 шт</t>
  </si>
  <si>
    <t>200383</t>
  </si>
  <si>
    <t>Новогоднее украшение Набор ёлочных шаров "Красный шик" 28 шт 3 см, 2 шт 4.5 см, 12 шт 6 см НШ-1502</t>
  </si>
  <si>
    <t>НШ-1502</t>
  </si>
  <si>
    <t>4670159015024</t>
  </si>
  <si>
    <t>3 см/28 шт, 4.5 см/2 шт, 6 см/12 шт</t>
  </si>
  <si>
    <t>200382</t>
  </si>
  <si>
    <t>Новогоднее украшение Набор ёлочных шаров "Синий шик" 28 шт 3 см, 2 шт 4.5 см, 12 шт 6 см НШ-1501</t>
  </si>
  <si>
    <t>НШ-1501</t>
  </si>
  <si>
    <t>4670159015017</t>
  </si>
  <si>
    <t>203586</t>
  </si>
  <si>
    <t>Новогоднее украшение. Набор ёлочных шаров 21 шт (20 шаров 6 см и верхушка), золотой  НУ-3607</t>
  </si>
  <si>
    <t>НУ-3607</t>
  </si>
  <si>
    <t>4670159036074</t>
  </si>
  <si>
    <t>203585</t>
  </si>
  <si>
    <t>Новогоднее украшение. Набор ёлочных шаров 21 шт (20 шаров 6 см и верхушка), красный  НУ-3606</t>
  </si>
  <si>
    <t>НУ-3606</t>
  </si>
  <si>
    <t>4670159036067</t>
  </si>
  <si>
    <t>203584</t>
  </si>
  <si>
    <t>Новогоднее украшение. Набор ёлочных шаров 21 шт (20 шаров 6 см и верхушка), серебряный НУ-3605</t>
  </si>
  <si>
    <t>НУ-3605</t>
  </si>
  <si>
    <t>4670159036050</t>
  </si>
  <si>
    <t>Шары (d-12 см)</t>
  </si>
  <si>
    <t>275600</t>
  </si>
  <si>
    <t>Ёлочный шар 12 см, Волшебный шар, глянцевый, красный ШЕН-4053</t>
  </si>
  <si>
    <t>ШЕН-4053</t>
  </si>
  <si>
    <t>4680942640531</t>
  </si>
  <si>
    <t>275557</t>
  </si>
  <si>
    <t>Ёлочный шар 12 см, Зимняя фантазия, матовый, серебряный ШЕН-4011</t>
  </si>
  <si>
    <t>ШЕН-4011</t>
  </si>
  <si>
    <t>4680942640111</t>
  </si>
  <si>
    <t>275558</t>
  </si>
  <si>
    <t>Ёлочный шар 12 см, Иней, глянцевый, серебряный ШЕН-4012</t>
  </si>
  <si>
    <t>ШЕН-4012</t>
  </si>
  <si>
    <t>4680942640128</t>
  </si>
  <si>
    <t>3 Шары с подсветкой</t>
  </si>
  <si>
    <t>236552</t>
  </si>
  <si>
    <t>Елочный стеклянный шар с подсветкой "Новогоднее свечение", батар. 2*АА(не в компл.), 10 см НУ-0674</t>
  </si>
  <si>
    <t>НУ-0674</t>
  </si>
  <si>
    <t>4670159206743</t>
  </si>
  <si>
    <t>10 см</t>
  </si>
  <si>
    <t>202536</t>
  </si>
  <si>
    <t>Набор LED-шаров "Сказка" 3 шт, 8 см, на батарейках LR44 (в компл.) НУ-2921</t>
  </si>
  <si>
    <t>НУ-2921</t>
  </si>
  <si>
    <t>4670159029212</t>
  </si>
  <si>
    <t>202538</t>
  </si>
  <si>
    <t>Набор LED-шаров "Снегопад" 3 шт, 8 см, на батарейках LR44 (в компл.) НУ-2923</t>
  </si>
  <si>
    <t>НУ-2923</t>
  </si>
  <si>
    <t>4670159029236</t>
  </si>
  <si>
    <t>202537</t>
  </si>
  <si>
    <t>Набор LED-шаров "Снежный лес" 3 шт, 8 см, на батарейках LR44 (в компл.) НУ-2922</t>
  </si>
  <si>
    <t>НУ-2922</t>
  </si>
  <si>
    <t>4670159029229</t>
  </si>
  <si>
    <t>187190</t>
  </si>
  <si>
    <t>Набор ёлочных украшений Шары с подсветкой 2 шт Золотая метель, 10 см НУ-5655</t>
  </si>
  <si>
    <t>НУ-5655</t>
  </si>
  <si>
    <t>4620129751551</t>
  </si>
  <si>
    <t>187361</t>
  </si>
  <si>
    <t>Набор ёлочных украшений Шары с подсветкой 3 шт Серебряная вьюга, 8 см НУ-4214</t>
  </si>
  <si>
    <t>НУ-4214</t>
  </si>
  <si>
    <t>4620129750158</t>
  </si>
  <si>
    <t>8 см 3 шт</t>
  </si>
  <si>
    <t>203572</t>
  </si>
  <si>
    <t>Новогоднее украшение. Елочный шар led-подсветкой "Звездопад", 8см НУ-3451</t>
  </si>
  <si>
    <t>НУ-3451</t>
  </si>
  <si>
    <t>4670159024514</t>
  </si>
  <si>
    <t>203578</t>
  </si>
  <si>
    <t>Новогоднее украшение. Елочный шар led-подсветкой "Зимняя ягодка" 8см, с декором НУ-3456</t>
  </si>
  <si>
    <t>НУ-3456</t>
  </si>
  <si>
    <t>4670159024569</t>
  </si>
  <si>
    <t>203571</t>
  </si>
  <si>
    <t>Новогоднее украшение. Елочный шар с led-подсветкой "Конффи", 8см НУ-3450</t>
  </si>
  <si>
    <t>НУ-3450</t>
  </si>
  <si>
    <t>4670159024507</t>
  </si>
  <si>
    <t>4 Шары папье-маше</t>
  </si>
  <si>
    <t>Наборы "Собственная разработка"</t>
  </si>
  <si>
    <t>189988</t>
  </si>
  <si>
    <t>Набор елоч. шар. Новог. настроен, 3шт.,7,5см,с лент,в прозр. короб. "Собственная разработка" НУ-6640</t>
  </si>
  <si>
    <t>НУ-6640</t>
  </si>
  <si>
    <t>4620129766401</t>
  </si>
  <si>
    <t>7,5 см</t>
  </si>
  <si>
    <t>274374</t>
  </si>
  <si>
    <t>Набор ёлочных шаров 14 шт "Новогоднее чудо", 8 см, (собств. разр) ШЁН-2905</t>
  </si>
  <si>
    <t>ШЁН-2905</t>
  </si>
  <si>
    <t>4680942629055</t>
  </si>
  <si>
    <t>274376</t>
  </si>
  <si>
    <t>Набор ёлочных шаров 14 шт "Снегири", 8 см, (собств. разр) ШЁН-2906</t>
  </si>
  <si>
    <t>ШЁН-2906</t>
  </si>
  <si>
    <t>4680942629062</t>
  </si>
  <si>
    <t>274377</t>
  </si>
  <si>
    <t>Набор ёлочных шаров 14 шт "Школа магии", 8 см, (собств. разр) ШЁН-2907</t>
  </si>
  <si>
    <t>ШЁН-2907</t>
  </si>
  <si>
    <t>4680942629079</t>
  </si>
  <si>
    <t>Шар 1 шт 7,5 см "Собственная разработка"</t>
  </si>
  <si>
    <t>189979</t>
  </si>
  <si>
    <t>Ёлочный шар Славный кролик, 7,5 см, с лентой, в подарочной коробке "Собственная разработка"  НУ-6631</t>
  </si>
  <si>
    <t>НУ-6631</t>
  </si>
  <si>
    <t>4620129766319</t>
  </si>
  <si>
    <t>7,5см</t>
  </si>
  <si>
    <t>03 Интерактивные украшения</t>
  </si>
  <si>
    <t>Поезда</t>
  </si>
  <si>
    <t xml:space="preserve"> Поезда новогодние Собственная разработка</t>
  </si>
  <si>
    <t>259280</t>
  </si>
  <si>
    <t>Новогодний музык. поезд Деда Мороза под ёлку со светом d=90см, LED, 2*АА (не комп) (соб.раз) НУ-6470</t>
  </si>
  <si>
    <t>НУ-6470</t>
  </si>
  <si>
    <t>4630493776470</t>
  </si>
  <si>
    <t>9503003000</t>
  </si>
  <si>
    <t>04630493776470</t>
  </si>
  <si>
    <t>259281</t>
  </si>
  <si>
    <t>Новогодний музык.поезд Деда Мороза с крепл.на ёлку со свет.,d=75см,LED,2*АА(не комп)(соб.раз)НУ-6471</t>
  </si>
  <si>
    <t>НУ-6471</t>
  </si>
  <si>
    <t>4630493776487</t>
  </si>
  <si>
    <t>Поезда новогодние</t>
  </si>
  <si>
    <t>231804</t>
  </si>
  <si>
    <t>Игровой набор Железная дорога "Новогодний подарок" 68*87см, LED, 2*АА(не комп.) пластик НУ-8023</t>
  </si>
  <si>
    <t>НУ-8023</t>
  </si>
  <si>
    <t>4670159180050</t>
  </si>
  <si>
    <t>04670159180050</t>
  </si>
  <si>
    <t>231817</t>
  </si>
  <si>
    <t>Игровой набор муз. железная дорога "Новогоднее чудо" d=90см, 4*АА(не комп.) пластик, лампа НУ-8033</t>
  </si>
  <si>
    <t>НУ-8033</t>
  </si>
  <si>
    <t>4670159180159</t>
  </si>
  <si>
    <t>04670159180159</t>
  </si>
  <si>
    <t>231820</t>
  </si>
  <si>
    <t>Игровой набор муз. железная дорога "Праздничный день" d=90см, 2*АА (не комп.) LED, пластик НУ-8036</t>
  </si>
  <si>
    <t>НУ-8036</t>
  </si>
  <si>
    <t>4670159180180</t>
  </si>
  <si>
    <t>04670159180180</t>
  </si>
  <si>
    <t>231816</t>
  </si>
  <si>
    <t>Игровой набор муз. железная дорога "Рождественское чудо" d=90см, 4*АА(не комп.) пластик НУ-8032</t>
  </si>
  <si>
    <t>НУ-8032</t>
  </si>
  <si>
    <t>4670159180142</t>
  </si>
  <si>
    <t>04670159180142</t>
  </si>
  <si>
    <t>231819</t>
  </si>
  <si>
    <t>Игровой набор муз. железная дорога "Чудесные приключения" d=90см,4*АА(не комп.),LED,пластик НУ-8035</t>
  </si>
  <si>
    <t>НУ-8035</t>
  </si>
  <si>
    <t>4670159180173</t>
  </si>
  <si>
    <t>04670159180173</t>
  </si>
  <si>
    <t>04 Верхушки на елку</t>
  </si>
  <si>
    <t xml:space="preserve"> Верхушки ёлочные интерактивные</t>
  </si>
  <si>
    <t>231807</t>
  </si>
  <si>
    <t>Верхушка на елку (с проекцией) "Чудесная звездочка" LED, подключение USB, пластик НВУ-0015</t>
  </si>
  <si>
    <t>НВУ-0015</t>
  </si>
  <si>
    <t>4670159180081</t>
  </si>
  <si>
    <t>04670159180081</t>
  </si>
  <si>
    <t>231808</t>
  </si>
  <si>
    <t>Верхушка на елку (с проекцией) "Чудесная снежинка" LED, подключение USB, пластик НВУ-0016</t>
  </si>
  <si>
    <t>НВУ-0016</t>
  </si>
  <si>
    <t>4670159180098</t>
  </si>
  <si>
    <t>04670159180098</t>
  </si>
  <si>
    <t>231809</t>
  </si>
  <si>
    <t>Ёлочное украшение. Музыкальная верхушка на ёлку "Волшебные сани" LED, USB, пластик НУ-8028</t>
  </si>
  <si>
    <t>НУ-8028</t>
  </si>
  <si>
    <t>4670159180104</t>
  </si>
  <si>
    <t>231815</t>
  </si>
  <si>
    <t>Ёлочное украшение. Музыкальная верхушка на ёлку "Волшебный самолет" LED, USB, пластик НУ-8031</t>
  </si>
  <si>
    <t>НУ-8031</t>
  </si>
  <si>
    <t>4670159180135</t>
  </si>
  <si>
    <t>LED подсветка</t>
  </si>
  <si>
    <t>102563</t>
  </si>
  <si>
    <t xml:space="preserve"> Верхушка на ёлку.Белая Звезда,15х15см,10 LED,1режим,мульти НЛ-8340</t>
  </si>
  <si>
    <t>НЛ-8340</t>
  </si>
  <si>
    <t>4665306683409</t>
  </si>
  <si>
    <t>202443</t>
  </si>
  <si>
    <t>Верхушка на ёлку "Сияние", 17 см, 10 LED, 2 режима,теплый  желтый свет, от сети. НВУ-0014</t>
  </si>
  <si>
    <t>НВУ-0014</t>
  </si>
  <si>
    <t>4670159032175</t>
  </si>
  <si>
    <t>17 см</t>
  </si>
  <si>
    <t>186903</t>
  </si>
  <si>
    <t>Верхушка на ёлку. Белая звезда, 15х15см, 10 LED, 1 режим, мульти НВУ-0001</t>
  </si>
  <si>
    <t>НВУ-0001</t>
  </si>
  <si>
    <t>4620129754538</t>
  </si>
  <si>
    <t>04620129754538</t>
  </si>
  <si>
    <t>15*15 см</t>
  </si>
  <si>
    <t>186904</t>
  </si>
  <si>
    <t>Верхушка на ёлку. Белая звезда, 19х19см, 15 LED, 1 режим, мульти НВУ-0002</t>
  </si>
  <si>
    <t>НВУ-0002</t>
  </si>
  <si>
    <t>4620129754545</t>
  </si>
  <si>
    <t>04620129754545</t>
  </si>
  <si>
    <t>19*19 см</t>
  </si>
  <si>
    <t>186905</t>
  </si>
  <si>
    <t>Верхушка на ёлку. Белая Звезда, 22х22см, 20 LED, 1 режим, мульти НВУ-0003</t>
  </si>
  <si>
    <t>НВУ-0003</t>
  </si>
  <si>
    <t>4620129754552</t>
  </si>
  <si>
    <t>04620129754552</t>
  </si>
  <si>
    <t>22*22 см</t>
  </si>
  <si>
    <t>186906</t>
  </si>
  <si>
    <t>Верхушка на ёлку. Звезда с золотом, 15х15см, 10 LED, 1 режим, мульти НВУ-0004</t>
  </si>
  <si>
    <t>НВУ-0004</t>
  </si>
  <si>
    <t>4620129754569</t>
  </si>
  <si>
    <t>04620129754569</t>
  </si>
  <si>
    <t>186909</t>
  </si>
  <si>
    <t>Верхушка на ёлку. Красная Звезда, 15х15 см, 10 LED, 1 режим, красный НВУ-0007</t>
  </si>
  <si>
    <t>НВУ-0007</t>
  </si>
  <si>
    <t>4620129754590</t>
  </si>
  <si>
    <t>04620129754590</t>
  </si>
  <si>
    <t>186910</t>
  </si>
  <si>
    <t>Верхушка на ёлку. Красная Звезда, 19х19 см, 15 LED, 1 режим, красный НВУ-0008</t>
  </si>
  <si>
    <t>НВУ-0008</t>
  </si>
  <si>
    <t>4620129754606</t>
  </si>
  <si>
    <t xml:space="preserve"> 0462012975460</t>
  </si>
  <si>
    <t>186911</t>
  </si>
  <si>
    <t>Верхушка на ёлку. Красная звезда, 22х22 см, 20 LED, 1 режим, красный НВУ-0009</t>
  </si>
  <si>
    <t>НВУ-0009</t>
  </si>
  <si>
    <t>4620129754613</t>
  </si>
  <si>
    <t>04620129754613</t>
  </si>
  <si>
    <t>213767</t>
  </si>
  <si>
    <t>Звезда ЛЕД 10, 15*15 см, пакет, проволд 1,5 метра, прозрачная.НВУ-0018</t>
  </si>
  <si>
    <t>НВУ-0018</t>
  </si>
  <si>
    <t>4670159087045</t>
  </si>
  <si>
    <t>04670159087045</t>
  </si>
  <si>
    <t>082736</t>
  </si>
  <si>
    <t>Новогоднее украшение Верхушка на ёлку Звезда, золотая, 23 см НУ-4399</t>
  </si>
  <si>
    <t>НУ-4399</t>
  </si>
  <si>
    <t>4665303243996</t>
  </si>
  <si>
    <t>23</t>
  </si>
  <si>
    <t>05 Дождик</t>
  </si>
  <si>
    <t>134619</t>
  </si>
  <si>
    <t>Дождик матовый красный, длина 1 м,ширина 18 см НУ-1473</t>
  </si>
  <si>
    <t>НУ-1473</t>
  </si>
  <si>
    <t>4665307414736</t>
  </si>
  <si>
    <t>186891</t>
  </si>
  <si>
    <t>Дождик на ёлку "Волшебство" 1,5 м* 10 см, золотой НУ-5497</t>
  </si>
  <si>
    <t>НУ-5497</t>
  </si>
  <si>
    <t>4620129744973</t>
  </si>
  <si>
    <t>1,5 м* 10 см</t>
  </si>
  <si>
    <t>186888</t>
  </si>
  <si>
    <t>Дождик на ёлку "Волшебство" 1,5 м* 10 см, красный НУ-5494</t>
  </si>
  <si>
    <t>НУ-5494</t>
  </si>
  <si>
    <t>4620129744942</t>
  </si>
  <si>
    <t>186892</t>
  </si>
  <si>
    <t>Дождик на ёлку "Волшебство" 1,5 м* 10 см, розовое золото НУ-5498</t>
  </si>
  <si>
    <t>НУ-5498</t>
  </si>
  <si>
    <t>4620129744980</t>
  </si>
  <si>
    <t>186889</t>
  </si>
  <si>
    <t>Дождик на ёлку "Волшебство" 1,5 м* 10 см, синий НУ-5495</t>
  </si>
  <si>
    <t>НУ-5495</t>
  </si>
  <si>
    <t>4620129744959</t>
  </si>
  <si>
    <t>186887</t>
  </si>
  <si>
    <t>Дождик на ёлку Волшебство 1,5 м* 10 см, зелёный НУ-5493</t>
  </si>
  <si>
    <t>НУ-5493</t>
  </si>
  <si>
    <t>4620129744935</t>
  </si>
  <si>
    <t>06 Мишура</t>
  </si>
  <si>
    <t>186850</t>
  </si>
  <si>
    <t>Мишура  Новогодняя, длина 2 м, диаметр 7 см ,синяя Ну-5478</t>
  </si>
  <si>
    <t>Ну-5478</t>
  </si>
  <si>
    <t>4620129744782</t>
  </si>
  <si>
    <t>2 м, 7 см</t>
  </si>
  <si>
    <t>186769</t>
  </si>
  <si>
    <t>Мишура белая Новогодняя, длина 2 м, диаметр 7 см НУ-5461</t>
  </si>
  <si>
    <t>НУ-5461</t>
  </si>
  <si>
    <t>4620129744614</t>
  </si>
  <si>
    <t>186869</t>
  </si>
  <si>
    <t>Мишура блестящая Новогодняя, длина 2 м, диаметр 10 см НУ-5492</t>
  </si>
  <si>
    <t>НУ-5492</t>
  </si>
  <si>
    <t>4620129744928</t>
  </si>
  <si>
    <t>2 м, 10 см</t>
  </si>
  <si>
    <t>186796</t>
  </si>
  <si>
    <t>Мишура жёлтая Новогодняя, длина 2 м, диаметр 5 см НУ-5470</t>
  </si>
  <si>
    <t>НУ-5470</t>
  </si>
  <si>
    <t>4620129744706</t>
  </si>
  <si>
    <t>2 м, 5 см</t>
  </si>
  <si>
    <t>186781</t>
  </si>
  <si>
    <t>Мишура зелёная Новогодняя, длина 2 м, диаметр 10 см НУ-5465</t>
  </si>
  <si>
    <t>НУ-5465</t>
  </si>
  <si>
    <t>4620129744652</t>
  </si>
  <si>
    <t>186779</t>
  </si>
  <si>
    <t>Мишура зелёная Новогодняя, длина 2 м, диаметр 7 см НУ-5464</t>
  </si>
  <si>
    <t>НУ-5464</t>
  </si>
  <si>
    <t>4620129744645</t>
  </si>
  <si>
    <t>186840</t>
  </si>
  <si>
    <t>Мишура золотая матовая Новогодняя, длина 2 м, диаметр 10 см НУ-5475</t>
  </si>
  <si>
    <t>НУ-5475</t>
  </si>
  <si>
    <t>4620129744751</t>
  </si>
  <si>
    <t>186836</t>
  </si>
  <si>
    <t>Мишура золотая матовая Новогодняя, длина 2 м, диаметр 7 см НУ-5474</t>
  </si>
  <si>
    <t>НУ-5474</t>
  </si>
  <si>
    <t>4620129744744</t>
  </si>
  <si>
    <t>213526</t>
  </si>
  <si>
    <t>Мишура золотистая "Праздничные брызги", длина 2 м,диаметр 4 см НУ-6198</t>
  </si>
  <si>
    <t>НУ-6198</t>
  </si>
  <si>
    <t>4670159060987</t>
  </si>
  <si>
    <t>186852</t>
  </si>
  <si>
    <t>Мишура красная Новогодняя, длина 2 м, диаметр 10 см НУ-5479</t>
  </si>
  <si>
    <t>НУ-5479</t>
  </si>
  <si>
    <t>4620129744799</t>
  </si>
  <si>
    <t>186855</t>
  </si>
  <si>
    <t>Мишура серебряная Новогодняя, длина 2 м, диаметр 2 см НУ-5481</t>
  </si>
  <si>
    <t>НУ-5481</t>
  </si>
  <si>
    <t>4620129744812</t>
  </si>
  <si>
    <t>2 м, 2 см</t>
  </si>
  <si>
    <t>186856</t>
  </si>
  <si>
    <t>Мишура серебряная Новогодняя, длина 2 м, диаметр 5 см НУ-5482</t>
  </si>
  <si>
    <t>НУ-5482</t>
  </si>
  <si>
    <t>4620129744829</t>
  </si>
  <si>
    <t>186863</t>
  </si>
  <si>
    <t>Мишура синяя Новогодняя, длина 2 м, диаметр 5 см НУ-5487</t>
  </si>
  <si>
    <t>НУ-5487</t>
  </si>
  <si>
    <t>4620129744874</t>
  </si>
  <si>
    <t>186864</t>
  </si>
  <si>
    <t>Мишура синяя Новогодняя, длина 2 м, диаметр 7 см НУ-5488</t>
  </si>
  <si>
    <t>НУ-5488</t>
  </si>
  <si>
    <t>4620129744881</t>
  </si>
  <si>
    <t>07 Бусы на ёлку</t>
  </si>
  <si>
    <t>В пакете</t>
  </si>
  <si>
    <t>104519</t>
  </si>
  <si>
    <t>Бусы на ёлку Волшебный праздник,  d 1,4 см, длина 1,8 м, золотые НУ-0064</t>
  </si>
  <si>
    <t>НУ-0064</t>
  </si>
  <si>
    <t>4665306700649</t>
  </si>
  <si>
    <t>1,8 м</t>
  </si>
  <si>
    <t>104521</t>
  </si>
  <si>
    <t>Бусы на ёлку Волшебный праздник,  d 1,4 см, длина 1,8 м, красные НУ-0065</t>
  </si>
  <si>
    <t>НУ-0065</t>
  </si>
  <si>
    <t>4665306700656</t>
  </si>
  <si>
    <t>104507</t>
  </si>
  <si>
    <t>Бусы на ёлку Волшебный праздник,  d 1,4 см, длина 1,8 м, серебряные НУ-0059</t>
  </si>
  <si>
    <t>НУ-0059</t>
  </si>
  <si>
    <t>4665306700595</t>
  </si>
  <si>
    <t>104516</t>
  </si>
  <si>
    <t>Бусы на ёлку Волшебный праздник,  d 1,4 см, длина 1,8 м, синие НУ-0063</t>
  </si>
  <si>
    <t>НУ-0063</t>
  </si>
  <si>
    <t>4665306700632</t>
  </si>
  <si>
    <t>187375</t>
  </si>
  <si>
    <t>Бусы на ёлку Волшебный праздник, d 1,4 см, длина 1,8 м,  золотистые НУ-4229</t>
  </si>
  <si>
    <t>НУ-4229</t>
  </si>
  <si>
    <t>4620129750301</t>
  </si>
  <si>
    <t>104494</t>
  </si>
  <si>
    <t>Бусы на ёлку Яркий праздник,  d 1 см, длина 1,8 м, зелёные НУ-0054</t>
  </si>
  <si>
    <t>НУ-0054</t>
  </si>
  <si>
    <t>4665306700540</t>
  </si>
  <si>
    <t>104502</t>
  </si>
  <si>
    <t>Бусы на ёлку Яркий праздник,  d 1 см, длина 1,8 м, золотистые НУ-0057</t>
  </si>
  <si>
    <t>НУ-0057</t>
  </si>
  <si>
    <t>4665306700571</t>
  </si>
  <si>
    <t>104491</t>
  </si>
  <si>
    <t>Бусы на ёлку Яркий праздник,  d 1 см, длина 1,8 м, золотые НУ-0053</t>
  </si>
  <si>
    <t>НУ-0053</t>
  </si>
  <si>
    <t>4665306700533</t>
  </si>
  <si>
    <t>104487</t>
  </si>
  <si>
    <t>Бусы на ёлку Яркий праздник,  d 1 см, длина 1,8 м, красные НУ-0052</t>
  </si>
  <si>
    <t>НУ-0052</t>
  </si>
  <si>
    <t>4665306700526</t>
  </si>
  <si>
    <t>104499</t>
  </si>
  <si>
    <t>Бусы на ёлку Яркий праздник,  d 1 см, длина 1,8 м, серебряные НУ-0056</t>
  </si>
  <si>
    <t>НУ-0056</t>
  </si>
  <si>
    <t>4665306700564</t>
  </si>
  <si>
    <t>104498</t>
  </si>
  <si>
    <t>Бусы на ёлку Яркий праздник,  d 1 см, длина 1,8 м, синие НУ-0055</t>
  </si>
  <si>
    <t>НУ-0055</t>
  </si>
  <si>
    <t>4665306700557</t>
  </si>
  <si>
    <t>187380</t>
  </si>
  <si>
    <t>Новогоднее украшение бусы на ёлку зелёные "Новогодние шарики" НУ-4233</t>
  </si>
  <si>
    <t>НУ-4233</t>
  </si>
  <si>
    <t>4620129750349</t>
  </si>
  <si>
    <t>2,7 м</t>
  </si>
  <si>
    <t>187378</t>
  </si>
  <si>
    <t>Новогоднее украшение бусы на ёлку золотые "Колокольчики" НУ-4231</t>
  </si>
  <si>
    <t>НУ-4231</t>
  </si>
  <si>
    <t>4620129750325</t>
  </si>
  <si>
    <t>187379</t>
  </si>
  <si>
    <t>Новогоднее украшение бусы на ёлку золотые "Новогодние шарики" 2,7 м. НУ-4232</t>
  </si>
  <si>
    <t>НУ-4232</t>
  </si>
  <si>
    <t>4620129750332</t>
  </si>
  <si>
    <t>046674</t>
  </si>
  <si>
    <t>Новогоднее украшение бусы на ёлку золотые "Снежинки" НУ-6752</t>
  </si>
  <si>
    <t>НУ-6752</t>
  </si>
  <si>
    <t>4665299567526</t>
  </si>
  <si>
    <t>длина 2,7 м</t>
  </si>
  <si>
    <t>046666</t>
  </si>
  <si>
    <t>Новогоднее украшение бусы на ёлку золотые "Яркие звезды" НУ-6744</t>
  </si>
  <si>
    <t>НУ-6744</t>
  </si>
  <si>
    <t>4665299567441</t>
  </si>
  <si>
    <t>046665</t>
  </si>
  <si>
    <t>Новогоднее украшение бусы на ёлку красные "Колокольчики" НУ-6743</t>
  </si>
  <si>
    <t>НУ-6743</t>
  </si>
  <si>
    <t>4665299567434</t>
  </si>
  <si>
    <t>046660</t>
  </si>
  <si>
    <t>Новогоднее украшение бусы на ёлку красные "Новогодние шарики " 2,7 м.НУ-6738</t>
  </si>
  <si>
    <t>НУ-6738</t>
  </si>
  <si>
    <t>4665299567380</t>
  </si>
  <si>
    <t>046664</t>
  </si>
  <si>
    <t>Новогоднее украшение бусы на ёлку серебряные  "Колокольчики" НУ-6742</t>
  </si>
  <si>
    <t>НУ-6742</t>
  </si>
  <si>
    <t>4665299567427</t>
  </si>
  <si>
    <t>046658</t>
  </si>
  <si>
    <t>Новогоднее украшение бусы на ёлку серебряные "Новогодние шарики" 2,7 м. НУ-6736</t>
  </si>
  <si>
    <t>НУ-6736</t>
  </si>
  <si>
    <t>4665299567366</t>
  </si>
  <si>
    <t>046667</t>
  </si>
  <si>
    <t>Новогоднее украшение бусы на ёлку серебряные "Яркие звезды" НУ-6745</t>
  </si>
  <si>
    <t>НУ-6745</t>
  </si>
  <si>
    <t>4665299567458</t>
  </si>
  <si>
    <t>046661</t>
  </si>
  <si>
    <t>Новогоднее украшение бусы на ёлку синие "Новогодние шарики" 2,7 м. НУ-6739</t>
  </si>
  <si>
    <t>НУ-6739</t>
  </si>
  <si>
    <t>4665299567397</t>
  </si>
  <si>
    <t>046675</t>
  </si>
  <si>
    <t>Новогоднее украшение бусы на ёлку синие "Снежинки" НУ-6753</t>
  </si>
  <si>
    <t>НУ-6753</t>
  </si>
  <si>
    <t>4665299567533</t>
  </si>
  <si>
    <t>046668</t>
  </si>
  <si>
    <t>Новогоднее украшение бусы на ёлку синие "Яркие звезды" НУ-6746</t>
  </si>
  <si>
    <t>НУ-6746</t>
  </si>
  <si>
    <t>4665299567465</t>
  </si>
  <si>
    <t>На катушке</t>
  </si>
  <si>
    <t>203239</t>
  </si>
  <si>
    <t>Новогоднее украшение бусы на ёлку жемчужные "Новогоднее чудо", 10 м,  8+3 мм, НУ-3426</t>
  </si>
  <si>
    <t>НУ-3426</t>
  </si>
  <si>
    <t>4670159034261</t>
  </si>
  <si>
    <t>203225</t>
  </si>
  <si>
    <t>Новогоднее украшение бусы на ёлку золотистые  "Сказочный праздник", 10 м, 6 мм, НУ-3412</t>
  </si>
  <si>
    <t>НУ-3412</t>
  </si>
  <si>
    <t>4670159034124</t>
  </si>
  <si>
    <t>203233</t>
  </si>
  <si>
    <t>Новогоднее украшение бусы на ёлку золотистые "Волшебство" , 10 м, 10 мм, НУ-3420</t>
  </si>
  <si>
    <t>НУ-3420</t>
  </si>
  <si>
    <t>4670159034209</t>
  </si>
  <si>
    <t>203237</t>
  </si>
  <si>
    <t>Новогоднее украшение бусы на ёлку золотистые "Новогоднее чудо", 10 м,  8+3 мм, НУ-3424</t>
  </si>
  <si>
    <t>НУ-3424</t>
  </si>
  <si>
    <t>4670159034247</t>
  </si>
  <si>
    <t>203221</t>
  </si>
  <si>
    <t>Новогоднее украшение бусы на ёлку золотистые "Роскошь", 10 м, 4 мм, НУ-3408</t>
  </si>
  <si>
    <t>НУ-3408</t>
  </si>
  <si>
    <t>4670159034087</t>
  </si>
  <si>
    <t>203217</t>
  </si>
  <si>
    <t>Новогоднее украшение бусы на ёлку золотистые "Торжество",10 м, 8 мм, НУ-3404</t>
  </si>
  <si>
    <t>НУ-3404</t>
  </si>
  <si>
    <t>4670159034049</t>
  </si>
  <si>
    <t>203229</t>
  </si>
  <si>
    <t>Новогоднее украшение бусы на ёлку золотистые "Чудеса" , 10 м, 8 мм, НУ-3416</t>
  </si>
  <si>
    <t>НУ-3416</t>
  </si>
  <si>
    <t>4670159034162</t>
  </si>
  <si>
    <t>203218</t>
  </si>
  <si>
    <t>Новогоднее украшение бусы на ёлку красные  "Торжество", 10 м, 8 мм, НУ-3405</t>
  </si>
  <si>
    <t>НУ-3405</t>
  </si>
  <si>
    <t>4670159034056</t>
  </si>
  <si>
    <t>203234</t>
  </si>
  <si>
    <t>Новогоднее украшение бусы на ёлку красные "Волшебство", 10 м, 10 мм, НУ-3421</t>
  </si>
  <si>
    <t>НУ-3421</t>
  </si>
  <si>
    <t>4670159034216</t>
  </si>
  <si>
    <t>203222</t>
  </si>
  <si>
    <t>Новогоднее украшение бусы на ёлку красные "Роскошь", 10 м, 4 мм, НУ-3409</t>
  </si>
  <si>
    <t>НУ-3409</t>
  </si>
  <si>
    <t>4670159034094</t>
  </si>
  <si>
    <t>203226</t>
  </si>
  <si>
    <t>Новогоднее украшение бусы на ёлку красные "Сказочный праздник", 10 м, 6 мм, НУ-3413</t>
  </si>
  <si>
    <t>НУ-3413</t>
  </si>
  <si>
    <t>4670159034131</t>
  </si>
  <si>
    <t>203230</t>
  </si>
  <si>
    <t>Новогоднее украшение бусы на ёлку красные "Чудеса", 10 м, 8 мм, НУ-3417</t>
  </si>
  <si>
    <t>НУ-3417</t>
  </si>
  <si>
    <t>4670159034179</t>
  </si>
  <si>
    <t>203235</t>
  </si>
  <si>
    <t>Новогоднее украшение бусы на ёлку серебристые "Волшебство", 10 м, 10 мм, НУ-3422</t>
  </si>
  <si>
    <t>НУ-3422</t>
  </si>
  <si>
    <t>4670159034223</t>
  </si>
  <si>
    <t>203238</t>
  </si>
  <si>
    <t>Новогоднее украшение бусы на ёлку серебристые "Новогоднее чудо", 10 м,  8+3 мм, НУ-3425</t>
  </si>
  <si>
    <t>НУ-3425</t>
  </si>
  <si>
    <t>4670159034254</t>
  </si>
  <si>
    <t>203223</t>
  </si>
  <si>
    <t>Новогоднее украшение бусы на ёлку серебристые "Роскошь" , 10 м, 4 мм, НУ-3410</t>
  </si>
  <si>
    <t>НУ-3410</t>
  </si>
  <si>
    <t>4670159034100</t>
  </si>
  <si>
    <t>203227</t>
  </si>
  <si>
    <t>Новогоднее украшение бусы на ёлку серебристые "Сказочный праздник", 10 м, 6 мм, НУ-3414</t>
  </si>
  <si>
    <t>НУ-3414</t>
  </si>
  <si>
    <t>4670159034148</t>
  </si>
  <si>
    <t>203231</t>
  </si>
  <si>
    <t>Новогоднее украшение бусы на ёлку серебристые "Чудеса", 10 м, 8 мм, НУ-3418</t>
  </si>
  <si>
    <t>НУ-3418</t>
  </si>
  <si>
    <t>4670159034186</t>
  </si>
  <si>
    <t>203219</t>
  </si>
  <si>
    <t>Новогоднее украшение бусы на ёлку серебряные "Торжество", 10 м,  8 мм, НУ-3406</t>
  </si>
  <si>
    <t>НУ-3406</t>
  </si>
  <si>
    <t>4670159034063</t>
  </si>
  <si>
    <t>203236</t>
  </si>
  <si>
    <t>Новогоднее украшение бусы на ёлку синие "Волшебство", 10 м, 10 мм, НУ-3423</t>
  </si>
  <si>
    <t>НУ-3423</t>
  </si>
  <si>
    <t>4670159034230</t>
  </si>
  <si>
    <t>203224</t>
  </si>
  <si>
    <t>Новогоднее украшение бусы на ёлку синие "Роскошь", 10 м, 4 мм, НУ-3411</t>
  </si>
  <si>
    <t>НУ-3411</t>
  </si>
  <si>
    <t>4670159034117</t>
  </si>
  <si>
    <t>203228</t>
  </si>
  <si>
    <t>Новогоднее украшение бусы на ёлку синие "Сказочный праздник" , 10 м, 6 мм, НУ-3415</t>
  </si>
  <si>
    <t>НУ-3415</t>
  </si>
  <si>
    <t>4670159034155</t>
  </si>
  <si>
    <t>203220</t>
  </si>
  <si>
    <t>Новогоднее украшение бусы на ёлку синие "Торжество", 10 м, 8 мм, НУ-3407</t>
  </si>
  <si>
    <t>НУ-3407</t>
  </si>
  <si>
    <t>4670159034070</t>
  </si>
  <si>
    <t>203232</t>
  </si>
  <si>
    <t>Новогоднее украшение бусы на ёлку синие "Чудеса", 10 м, 8 мм, НУ-3419</t>
  </si>
  <si>
    <t>НУ-3419</t>
  </si>
  <si>
    <t>4670159034193</t>
  </si>
  <si>
    <t>08 Декоративная лента</t>
  </si>
  <si>
    <t>206408</t>
  </si>
  <si>
    <t>Новогодняя лента. "Рождественские оленята",2.5см*270см ЛП-5339</t>
  </si>
  <si>
    <t>ЛП-5339</t>
  </si>
  <si>
    <t>4670159053392</t>
  </si>
  <si>
    <t>13.96.17.114</t>
  </si>
  <si>
    <t>5806321000</t>
  </si>
  <si>
    <t>09 Ёлочные банты</t>
  </si>
  <si>
    <t>1 Ёлочные банты (штуки)</t>
  </si>
  <si>
    <t>163888</t>
  </si>
  <si>
    <t>Новогоднее украшение. Ёлочный бант Новогодний, бежевый 27 см НУ-2112</t>
  </si>
  <si>
    <t>НУ-2112</t>
  </si>
  <si>
    <t>4610144812122</t>
  </si>
  <si>
    <t>20*27 см</t>
  </si>
  <si>
    <t>163884</t>
  </si>
  <si>
    <t>Новогоднее украшение. Ёлочный бант Новогодний, в ассортименте  23 см НУ-2109</t>
  </si>
  <si>
    <t>НУ-2109</t>
  </si>
  <si>
    <t>4610144812092</t>
  </si>
  <si>
    <t>16*23 см</t>
  </si>
  <si>
    <t>163880</t>
  </si>
  <si>
    <t>Новогоднее украшение. Ёлочный бант Новогодний, золотой 38 см НУ-2107</t>
  </si>
  <si>
    <t>НУ-2107</t>
  </si>
  <si>
    <t>4610144812078</t>
  </si>
  <si>
    <t>28*38 см</t>
  </si>
  <si>
    <t>163896</t>
  </si>
  <si>
    <t>Новогоднее украшение. Ёлочный бант Рождественский, 12 см НУ-2117</t>
  </si>
  <si>
    <t>НУ-2117</t>
  </si>
  <si>
    <t>4610144812177</t>
  </si>
  <si>
    <t>10*12 см</t>
  </si>
  <si>
    <t>163895</t>
  </si>
  <si>
    <t>Новогоднее украшение. Ёлочный бант Рождественский, 20 см в ассортименте НУ-2116</t>
  </si>
  <si>
    <t>НУ-2116</t>
  </si>
  <si>
    <t>4610144812160</t>
  </si>
  <si>
    <t>14*20 см</t>
  </si>
  <si>
    <t>2 Ёлочные банты (наборы)</t>
  </si>
  <si>
    <t>201318</t>
  </si>
  <si>
    <t>Новогоднее украшение. Набор ёлочных бантов, 2 шт "Веселые снеговички (бежевые)", 13*13 см НУ-2291</t>
  </si>
  <si>
    <t>НУ-2291</t>
  </si>
  <si>
    <t>4670159022916</t>
  </si>
  <si>
    <t>13*13 см</t>
  </si>
  <si>
    <t>201317</t>
  </si>
  <si>
    <t>Новогоднее украшение. Набор ёлочных бантов, 2 шт "Веселые снеговички (красные)", 13*13 см НУ-2290</t>
  </si>
  <si>
    <t>НУ-2290</t>
  </si>
  <si>
    <t>4670159022909</t>
  </si>
  <si>
    <t>201316</t>
  </si>
  <si>
    <t>Новогоднее украшение. Набор ёлочных бантов, 2 шт "Дух рождества (бежевые)", 14*15 см НУ-2289</t>
  </si>
  <si>
    <t>НУ-2289</t>
  </si>
  <si>
    <t>4670159022893</t>
  </si>
  <si>
    <t>14*15 см</t>
  </si>
  <si>
    <t>201315</t>
  </si>
  <si>
    <t>Новогоднее украшение. Набор ёлочных бантов, 2 шт "Дух рождества (красные)", 14*15 см НУ-2288</t>
  </si>
  <si>
    <t>НУ-2288</t>
  </si>
  <si>
    <t>4670159022886</t>
  </si>
  <si>
    <t>284795</t>
  </si>
  <si>
    <t>Новогоднее украшение. Набор ёлочных бантов, 2 шт "Новогодние узоры (красные)", 14*15 см НУ-5431</t>
  </si>
  <si>
    <t>НУ-5431</t>
  </si>
  <si>
    <t>4680942674994</t>
  </si>
  <si>
    <t>284820</t>
  </si>
  <si>
    <t>Новогоднее украшение. Набор ёлочных бантов, 2 шт "Снегопад (красные)", 14*15 см НУ-5433</t>
  </si>
  <si>
    <t>НУ-5433</t>
  </si>
  <si>
    <t>4680942675038</t>
  </si>
  <si>
    <t>284796</t>
  </si>
  <si>
    <t>Новогоднее украшение. Набор ёлочных бантов, 2 шт "Снежинки (серые)" 13*13 см НУ-5432</t>
  </si>
  <si>
    <t>НУ-5432</t>
  </si>
  <si>
    <t>4680942675007</t>
  </si>
  <si>
    <t>201309</t>
  </si>
  <si>
    <t>Новогоднее украшение. Набор ёлочных бантов, 3 шт "Золотистая россыпь", 11*13 см НУ-2285</t>
  </si>
  <si>
    <t>НУ-2285</t>
  </si>
  <si>
    <t>4670159022855</t>
  </si>
  <si>
    <t>11*13 см</t>
  </si>
  <si>
    <t>201314</t>
  </si>
  <si>
    <t>Новогоднее украшение. Набор ёлочных бантов, 3 шт "Клетка", 11*11 см НУ-2287</t>
  </si>
  <si>
    <t>НУ-2287</t>
  </si>
  <si>
    <t>4670159022879</t>
  </si>
  <si>
    <t>11*11 см</t>
  </si>
  <si>
    <t>163899</t>
  </si>
  <si>
    <t>Новогоднее украшение.Набор ёлочных бантов  Яркий праздник, в ассортименте 12 см НУ-2119</t>
  </si>
  <si>
    <t>НУ-2119</t>
  </si>
  <si>
    <t>4610144812191</t>
  </si>
  <si>
    <t>10 Крючки для украшений</t>
  </si>
  <si>
    <t>234896</t>
  </si>
  <si>
    <t>Набор металлических крючков (для ёлочных  украшений), 100 шт, зеленые, 3*1,2см НУ-9919</t>
  </si>
  <si>
    <t>НУ-9919</t>
  </si>
  <si>
    <t>4670159199199</t>
  </si>
  <si>
    <t>25.99.12.119</t>
  </si>
  <si>
    <t>7326909807</t>
  </si>
  <si>
    <t>3*1,2cм</t>
  </si>
  <si>
    <t>234895</t>
  </si>
  <si>
    <t>Набор металлических крючков (для ёлочных  украшений), 100 шт, серебристые, 3*1,2см НУ-9918</t>
  </si>
  <si>
    <t>НУ-9918</t>
  </si>
  <si>
    <t>4670159199182</t>
  </si>
  <si>
    <t>207514</t>
  </si>
  <si>
    <t>Набор металлических крючков (для ёлочных  украшений), 150 шт, серебристые, 4см. НУ-6178</t>
  </si>
  <si>
    <t>НУ-6178</t>
  </si>
  <si>
    <t>4670159061786</t>
  </si>
  <si>
    <t>207509</t>
  </si>
  <si>
    <t>Набор металлических крючков (для ёлочных  украшений), 20 шт, зеленые,5*2.5см НУ-6173</t>
  </si>
  <si>
    <t>НУ-6173</t>
  </si>
  <si>
    <t>4670159061731</t>
  </si>
  <si>
    <t>207510</t>
  </si>
  <si>
    <t>Набор металлических крючков (для ёлочных  украшений), 20 шт, золотистые,5*2.5см НУ-6174</t>
  </si>
  <si>
    <t>НУ-6174</t>
  </si>
  <si>
    <t>4670159061748</t>
  </si>
  <si>
    <t>207508</t>
  </si>
  <si>
    <t>Набор металлических крючков (для ёлочных  украшений), 20 шт, серебристые, 5*2.5см НУ-6172</t>
  </si>
  <si>
    <t>НУ-6172</t>
  </si>
  <si>
    <t>4670159061724</t>
  </si>
  <si>
    <t>207512</t>
  </si>
  <si>
    <t>Набор металлических крючков (для ёлочных  украшений), 40 шт, зеленые, 5*2.5см НУ-6176</t>
  </si>
  <si>
    <t>НУ-6176</t>
  </si>
  <si>
    <t>4670159061762</t>
  </si>
  <si>
    <t>207513</t>
  </si>
  <si>
    <t>Набор металлических крючков (для ёлочных  украшений), 40 шт, золотистые,5*2.5см НУ-6177</t>
  </si>
  <si>
    <t>НУ-6177</t>
  </si>
  <si>
    <t>4670159061779</t>
  </si>
  <si>
    <t>207511</t>
  </si>
  <si>
    <t>Набор металлических крючков (для ёлочных  украшений), 40 шт, серебристые,5*2.5см НУ-6175</t>
  </si>
  <si>
    <t>НУ-6175</t>
  </si>
  <si>
    <t>4670159061755</t>
  </si>
  <si>
    <t>234890</t>
  </si>
  <si>
    <t>Набор металлических крючков (для ёлочных  украшений), 50 шт, зеленые, 3*1,2см НУ-9913</t>
  </si>
  <si>
    <t>НУ-9913</t>
  </si>
  <si>
    <t>4670159199137</t>
  </si>
  <si>
    <t>234891</t>
  </si>
  <si>
    <t>Набор металлических крючков (для ёлочных  украшений), 50 шт, золотистые, 3*1,2cм НУ-9914</t>
  </si>
  <si>
    <t>НУ-9914</t>
  </si>
  <si>
    <t>4670159199144</t>
  </si>
  <si>
    <t>234889</t>
  </si>
  <si>
    <t>Набор металлических крючков (для ёлочных  украшений), 50 шт, серебристые, 3*1,2см НУ-9912</t>
  </si>
  <si>
    <t>НУ-9912</t>
  </si>
  <si>
    <t>4670159199120</t>
  </si>
  <si>
    <t>234893</t>
  </si>
  <si>
    <t>Набор металлических крючков (для ёлочных  украшений), 80 шт, зеленые, 3*1,2см НУ-9916</t>
  </si>
  <si>
    <t>НУ-9916</t>
  </si>
  <si>
    <t>4670159199168</t>
  </si>
  <si>
    <t>234894</t>
  </si>
  <si>
    <t>Набор металлических крючков (для ёлочных  украшений), 80 шт, золотистые, 3*1,2см НУ-9917</t>
  </si>
  <si>
    <t>НУ-9917</t>
  </si>
  <si>
    <t>4670159199175</t>
  </si>
  <si>
    <t>234892</t>
  </si>
  <si>
    <t>Набор металлических крючков (для ёлочных  украшений), 80 шт, серебристые, 3*1,2см НУ-9915</t>
  </si>
  <si>
    <t>НУ-9915</t>
  </si>
  <si>
    <t>4670159199151</t>
  </si>
  <si>
    <t>05 Напольные и декоративные ёлочки</t>
  </si>
  <si>
    <t>2 Декоративные ёлочки</t>
  </si>
  <si>
    <t>Без света</t>
  </si>
  <si>
    <t>227608</t>
  </si>
  <si>
    <t>Декоративная ёлка  "Зимняя красавица", 40 см, золотистая НУ-6732</t>
  </si>
  <si>
    <t>НУ-6732</t>
  </si>
  <si>
    <t>4670159167327</t>
  </si>
  <si>
    <t>40 см</t>
  </si>
  <si>
    <t>275455</t>
  </si>
  <si>
    <t>Декоративная ёлка  "Изящная ёлочка", 20 см. Т-3685</t>
  </si>
  <si>
    <t>Т-3685</t>
  </si>
  <si>
    <t>4680942636855</t>
  </si>
  <si>
    <t>203364</t>
  </si>
  <si>
    <t>Декоративная ёлка  "Снежная сказка", 40 см. НУ-1972</t>
  </si>
  <si>
    <t>НУ-1972</t>
  </si>
  <si>
    <t>4670159019725</t>
  </si>
  <si>
    <t>203367</t>
  </si>
  <si>
    <t>Декоративная ёлка  "Яркие краски", 50 см. НУ-1975</t>
  </si>
  <si>
    <t>НУ-1975</t>
  </si>
  <si>
    <t>4670159019756</t>
  </si>
  <si>
    <t>257775</t>
  </si>
  <si>
    <t>Декоративная ёлка "Зимний букет" 10*17 см, НУ-7493</t>
  </si>
  <si>
    <t>НУ-7493</t>
  </si>
  <si>
    <t>4630493774155</t>
  </si>
  <si>
    <t>257767</t>
  </si>
  <si>
    <t>Декоративная ёлка "Снежная краса" 14*28 см, НУ-7485</t>
  </si>
  <si>
    <t>НУ-7485</t>
  </si>
  <si>
    <t>4630493774070</t>
  </si>
  <si>
    <t>257771</t>
  </si>
  <si>
    <t>Декоративная ёлка "Снежная краса" 20*40 см, НУ-7489</t>
  </si>
  <si>
    <t>НУ-7489</t>
  </si>
  <si>
    <t>4630493774117</t>
  </si>
  <si>
    <t>203366</t>
  </si>
  <si>
    <t>Декоративная ёлка в горшочке  "Хвойная ель", 40 см. НУ-1974</t>
  </si>
  <si>
    <t>НУ-1974</t>
  </si>
  <si>
    <t>4670159019749</t>
  </si>
  <si>
    <t>187208</t>
  </si>
  <si>
    <t>Декоративная ёлка с золотистыми цветами на подставке, 20 см НУ-5664</t>
  </si>
  <si>
    <t>НУ-5664</t>
  </si>
  <si>
    <t>4620129751643</t>
  </si>
  <si>
    <t>20 см</t>
  </si>
  <si>
    <t>187209</t>
  </si>
  <si>
    <t>Декоративная ёлка с красным декором на подставке, 20 см НУ-5665</t>
  </si>
  <si>
    <t>НУ-5665</t>
  </si>
  <si>
    <t>4620129751650</t>
  </si>
  <si>
    <t>082721</t>
  </si>
  <si>
    <t>Декоративная ёлка с серебряным декором в горшке, 23 см Т-4388</t>
  </si>
  <si>
    <t>Т-4388</t>
  </si>
  <si>
    <t>4665303243880</t>
  </si>
  <si>
    <t>Со светом</t>
  </si>
  <si>
    <t>227143</t>
  </si>
  <si>
    <t>Декоративная ёлка  "Торжество" с LED подсвет. на бат. (AG 3) (не в комп.), 8*23 см, желтая НУ-6335</t>
  </si>
  <si>
    <t>НУ-6335</t>
  </si>
  <si>
    <t>4670159163350</t>
  </si>
  <si>
    <t>8*23 см</t>
  </si>
  <si>
    <t>203362</t>
  </si>
  <si>
    <t>Декоративная ёлка  с подсветкой "Зимнее сияние",  на батарейках  (не в комплекте), 35см. НУ-1966</t>
  </si>
  <si>
    <t>НУ-1966</t>
  </si>
  <si>
    <t>4670159019664</t>
  </si>
  <si>
    <t>203358</t>
  </si>
  <si>
    <t>Декоративная ёлка  с подсветкой "Зимний лес" на батарейках  (не в комплекте), 9*26 см. НУ-1962</t>
  </si>
  <si>
    <t>НУ-1962</t>
  </si>
  <si>
    <t>4670159019626</t>
  </si>
  <si>
    <t>203360</t>
  </si>
  <si>
    <t>Декоративная ёлка с подсветкой  "Праздник"на батарейках  (не в комплекте), 18 см. НУ-1964</t>
  </si>
  <si>
    <t>НУ-1964</t>
  </si>
  <si>
    <t>4670159019640</t>
  </si>
  <si>
    <t>257766</t>
  </si>
  <si>
    <t>Световой прибор. Елка декоративная. Нарядная красавица 34 см работает от батареек 3AA  СВП-0077</t>
  </si>
  <si>
    <t>СВП-0077</t>
  </si>
  <si>
    <t>4630493774933</t>
  </si>
  <si>
    <t>3 Деревянные ёлочки</t>
  </si>
  <si>
    <t>233662</t>
  </si>
  <si>
    <t>Набор новогодняя фигура деревянная  с подвесками 14шт "Праздничная елочка", 21.5*16см НУ-9076</t>
  </si>
  <si>
    <t>НУ-9076</t>
  </si>
  <si>
    <t>4670159190769</t>
  </si>
  <si>
    <t>21.5*16 см</t>
  </si>
  <si>
    <t>233654</t>
  </si>
  <si>
    <t>Набор новогодняя фигура деревянная  с подвесками 24шт "Сказочная елочка", 29*20см НУ-9065</t>
  </si>
  <si>
    <t>НУ-9065</t>
  </si>
  <si>
    <t>4670159190653</t>
  </si>
  <si>
    <t>29*20 см</t>
  </si>
  <si>
    <t>233656</t>
  </si>
  <si>
    <t>Набор новогодняя фигура деревянная фигурками 15шт "Волшебная елочка", 29*20см НУ-9067</t>
  </si>
  <si>
    <t>НУ-9067</t>
  </si>
  <si>
    <t>4670159190677</t>
  </si>
  <si>
    <t>29*22 см</t>
  </si>
  <si>
    <t>4 Металлические елочки</t>
  </si>
  <si>
    <t>255714</t>
  </si>
  <si>
    <t>Декоративная фигура "Елка золотистая" 19.5*6.5см  НУ-7076</t>
  </si>
  <si>
    <t>НУ-7076</t>
  </si>
  <si>
    <t>4630493770584</t>
  </si>
  <si>
    <t>255715</t>
  </si>
  <si>
    <t>Декоративная фигура "Елочка золотистая" 16*6 см НУ-7077</t>
  </si>
  <si>
    <t>НУ-7077</t>
  </si>
  <si>
    <t>4630493770591</t>
  </si>
  <si>
    <t>255716</t>
  </si>
  <si>
    <t>Декоративная фигура "Елочка спиралью" 20*6.5 см НУ-7078</t>
  </si>
  <si>
    <t>НУ-7078</t>
  </si>
  <si>
    <t>4630493770607</t>
  </si>
  <si>
    <t>5 Искусственные напольные ёлки</t>
  </si>
  <si>
    <t>252734</t>
  </si>
  <si>
    <t>Елка искусственная новогодняя двухцветная 180 см ПВХ напольная НУ-2777</t>
  </si>
  <si>
    <t>НУ-2777</t>
  </si>
  <si>
    <t>4640306927784</t>
  </si>
  <si>
    <t>176425</t>
  </si>
  <si>
    <t>Ель искусственная 150 см, 80 веток, зеленая с белым напылением НУ-7936</t>
  </si>
  <si>
    <t>НУ-7936</t>
  </si>
  <si>
    <t>187613</t>
  </si>
  <si>
    <t>Ель искусственная зеленая 180 см 270 веток НУ-5589</t>
  </si>
  <si>
    <t>НУ-5589</t>
  </si>
  <si>
    <t>32.99.51.111</t>
  </si>
  <si>
    <t>180 см 270 веток</t>
  </si>
  <si>
    <t>187614</t>
  </si>
  <si>
    <t>Ель искусственная зеленая 210 см 400 веток НУ-5590</t>
  </si>
  <si>
    <t>НУ-5590</t>
  </si>
  <si>
    <t>210 см 400 веток</t>
  </si>
  <si>
    <t>187551</t>
  </si>
  <si>
    <t>Сосна искусственная зелёная пушистая 180 см 230 веток НУ-6600</t>
  </si>
  <si>
    <t>НУ-6600</t>
  </si>
  <si>
    <t>4620129756006</t>
  </si>
  <si>
    <t>180 см 230 веток</t>
  </si>
  <si>
    <t>187553</t>
  </si>
  <si>
    <t>Сосна искусственная зелёная пушистая 210 см 330 веток НУ-6601</t>
  </si>
  <si>
    <t>НУ-6601</t>
  </si>
  <si>
    <t>210 см 330 веток</t>
  </si>
  <si>
    <t>187637</t>
  </si>
  <si>
    <t>Сосна искусственная с заснеженными кончиками 210 см 300 веток НУ-6605</t>
  </si>
  <si>
    <t>НУ-6605</t>
  </si>
  <si>
    <t>4620129756051</t>
  </si>
  <si>
    <t>210 см 300 веток</t>
  </si>
  <si>
    <t>155288</t>
  </si>
  <si>
    <t>Сосна искусственная с шишками и ягодами 210 см 650 веток НУ-7729</t>
  </si>
  <si>
    <t>НУ-7729</t>
  </si>
  <si>
    <t>&lt;&gt;</t>
  </si>
  <si>
    <t>6 Коврики и корзины под елку</t>
  </si>
  <si>
    <t>227762</t>
  </si>
  <si>
    <t>Коврик под ёлку "Белоснежность", 60 см НУ-6772</t>
  </si>
  <si>
    <t>НУ-6772</t>
  </si>
  <si>
    <t>4670159167594</t>
  </si>
  <si>
    <t>13.92.16.119</t>
  </si>
  <si>
    <t>6304930000</t>
  </si>
  <si>
    <t>60см</t>
  </si>
  <si>
    <t>227767</t>
  </si>
  <si>
    <t>Коврик под ёлку "Нежные снежинки", 70 см НУ-6773</t>
  </si>
  <si>
    <t>НУ-6773</t>
  </si>
  <si>
    <t>4670159167600</t>
  </si>
  <si>
    <t>70см</t>
  </si>
  <si>
    <t>201228</t>
  </si>
  <si>
    <t>Коврик под ёлку "Сочельник", 90 см НУ-2136</t>
  </si>
  <si>
    <t>НУ-2136</t>
  </si>
  <si>
    <t>4670159021360</t>
  </si>
  <si>
    <t>90 см</t>
  </si>
  <si>
    <t>279552</t>
  </si>
  <si>
    <t>Корзина под елку Зимняя до 180см (д-58см, в-24см), спанбонд, белый НУ-5421</t>
  </si>
  <si>
    <t>НУ-5421</t>
  </si>
  <si>
    <t>4680942654491</t>
  </si>
  <si>
    <t>279553</t>
  </si>
  <si>
    <t>Корзина под елку Новогодняя 210-230см (д-74см, в-25см), спанбонд, белый НУ-5422</t>
  </si>
  <si>
    <t>НУ-5422</t>
  </si>
  <si>
    <t>4680942654507</t>
  </si>
  <si>
    <t>7 Аксессуары для елки</t>
  </si>
  <si>
    <t>279554</t>
  </si>
  <si>
    <t>Чехол для елки 120х40х40 см, спанбонд, черный НУ-5423</t>
  </si>
  <si>
    <t>НУ-5423</t>
  </si>
  <si>
    <t>4680942654514</t>
  </si>
  <si>
    <t>06 Фигуры под елку</t>
  </si>
  <si>
    <t>1 Музыкальные</t>
  </si>
  <si>
    <t>1 Снегурочка</t>
  </si>
  <si>
    <t>30 см</t>
  </si>
  <si>
    <t>228012</t>
  </si>
  <si>
    <t>Сувенир музыкальный Внучка Деда Мороза в бело-золотистой шубе,с мелодией, 30см "собс.разр." Т-6010</t>
  </si>
  <si>
    <t>Т-6010</t>
  </si>
  <si>
    <t>4670159160106</t>
  </si>
  <si>
    <t>275370</t>
  </si>
  <si>
    <t>Сувенир музыкальный Внучка Деда Мороза в бело-серебристой шубе, с мелодией, 30 см, собс.разр. Т-3582</t>
  </si>
  <si>
    <t>Т-3582</t>
  </si>
  <si>
    <t>4680942635827</t>
  </si>
  <si>
    <t>228015</t>
  </si>
  <si>
    <t>Сувенир музыкальный Внучка Деда Мороза в бело-серебристой шубе,с мелодией, 30см "собс.разр." Т-6012</t>
  </si>
  <si>
    <t>Т-6012</t>
  </si>
  <si>
    <t>4670159160120</t>
  </si>
  <si>
    <t>187293</t>
  </si>
  <si>
    <t>Сувенир музыкальный Внучка деда мороза в белой шубе с поясом, с мелодией, 30 см Т-5557</t>
  </si>
  <si>
    <t>Т-5557</t>
  </si>
  <si>
    <t>4620129745574</t>
  </si>
  <si>
    <t>275371</t>
  </si>
  <si>
    <t>Сувенир музыкальный Внучка Деда Мороза в белой шубе, с мелодией, 30 см, собс.разр.Т-3583</t>
  </si>
  <si>
    <t>Т-3583</t>
  </si>
  <si>
    <t>4680942635834</t>
  </si>
  <si>
    <t>228009</t>
  </si>
  <si>
    <t>Сувенир музыкальный Внучка Деда Мороза в голубой шубе с муфтой,с мелодией, 30см "собс.разр." Т-6008</t>
  </si>
  <si>
    <t>Т-6008</t>
  </si>
  <si>
    <t>4670159160083</t>
  </si>
  <si>
    <t>187287</t>
  </si>
  <si>
    <t>Сувенир музыкальный Внучка деда мороза в голубой шубе, с мелодией, 30 см Т-5551</t>
  </si>
  <si>
    <t>Т-5551</t>
  </si>
  <si>
    <t>4620129745512</t>
  </si>
  <si>
    <t>187291</t>
  </si>
  <si>
    <t>Сувенир музыкальный Внучка деда мороза в синей шубе с поясом, с мелодией, 30 см Т-5555</t>
  </si>
  <si>
    <t>Т-5555</t>
  </si>
  <si>
    <t>4620129745550</t>
  </si>
  <si>
    <t>228005</t>
  </si>
  <si>
    <t>Сувенир музыкальный Внучка Деда Мороза в темно-синей шубе,с мелодией, 30см "собс.разр." Т-6006</t>
  </si>
  <si>
    <t>Т-6006</t>
  </si>
  <si>
    <t>4670159160069</t>
  </si>
  <si>
    <t>228013</t>
  </si>
  <si>
    <t>Сувенир музыкальный Внучка Деда Мороза в бело-золотистой шубе,с мелодией, 40см "собс.разр." Т-6011</t>
  </si>
  <si>
    <t>Т-6011</t>
  </si>
  <si>
    <t>4670159160113</t>
  </si>
  <si>
    <t>275374</t>
  </si>
  <si>
    <t>Сувенир музыкальный Внучка Деда Мороза в бело-серебристой шубе, с мелодией, 40 см, собс.разр.Т-3586</t>
  </si>
  <si>
    <t>Т-3586</t>
  </si>
  <si>
    <t>4680942635865</t>
  </si>
  <si>
    <t>228017</t>
  </si>
  <si>
    <t>Сувенир музыкальный Внучка Деда Мороза в бело-серебристой шубе,с мелодией, 40см "собс.разр." Т-6013</t>
  </si>
  <si>
    <t>Т-6013</t>
  </si>
  <si>
    <t>4670159160137</t>
  </si>
  <si>
    <t>187292</t>
  </si>
  <si>
    <t>Сувенир музыкальный Внучка деда мороза в белой шубе с поясом, с мелодией, 40 см Т-5556</t>
  </si>
  <si>
    <t>Т-5556</t>
  </si>
  <si>
    <t>4620129745567</t>
  </si>
  <si>
    <t>275373</t>
  </si>
  <si>
    <t>Сувенир музыкальный Внучка Деда Мороза в белой шубе, с мелодией, 40 см, собс.разр.Т-3585</t>
  </si>
  <si>
    <t>Т-3585</t>
  </si>
  <si>
    <t>4680942635858</t>
  </si>
  <si>
    <t>228010</t>
  </si>
  <si>
    <t>Сувенир музыкальный Внучка Деда Мороза в голубой шубе с муфтой,с мелодией, 40см "собс.разр." Т-6009</t>
  </si>
  <si>
    <t>Т-6009</t>
  </si>
  <si>
    <t>4670159160090</t>
  </si>
  <si>
    <t>154266</t>
  </si>
  <si>
    <t>Сувенир музыкальный Внучка деда мороза в голубой шубе, с мелодией, 40 см Т-6821</t>
  </si>
  <si>
    <t>Т-6821</t>
  </si>
  <si>
    <t>4680088468211</t>
  </si>
  <si>
    <t>187290</t>
  </si>
  <si>
    <t>Сувенир музыкальный Внучка деда мороза в синей шубе с поясом, с мелодией, 40 см Т-5554</t>
  </si>
  <si>
    <t>Т-5554</t>
  </si>
  <si>
    <t>4620129745543</t>
  </si>
  <si>
    <t>228007</t>
  </si>
  <si>
    <t>Сувенир музыкальный Внучка Деда Мороза в темно-синей шубе,с мелодией, 40см "собс.разр." Т-6007</t>
  </si>
  <si>
    <t>Т-6007</t>
  </si>
  <si>
    <t>4670159160076</t>
  </si>
  <si>
    <t>2 Дед Мороз</t>
  </si>
  <si>
    <t>275384</t>
  </si>
  <si>
    <t>Дед Мороз в красной шубе с золотистым узором, с мешком подарков, с мелодией, 30см, собс.разр Т-3593</t>
  </si>
  <si>
    <t>Т-3593</t>
  </si>
  <si>
    <t>4680942635933</t>
  </si>
  <si>
    <t>228018</t>
  </si>
  <si>
    <t>Сувенир музыкальный Дед Мороз в бело-золотой шубе,с мелодией, 30см "собс.разр." Т-6014</t>
  </si>
  <si>
    <t>Т-6014</t>
  </si>
  <si>
    <t>4670159160144</t>
  </si>
  <si>
    <t>228021</t>
  </si>
  <si>
    <t>Сувенир музыкальный Дед Мороз в бело-серебристой шубе,с мелодией, 30см "собс.разр." Т-6016</t>
  </si>
  <si>
    <t>Т-6016</t>
  </si>
  <si>
    <t>4670159160168</t>
  </si>
  <si>
    <t>187286</t>
  </si>
  <si>
    <t>Сувенир музыкальный Дед Мороз в золотой шубе, с мелодией, 30 см Т-5550</t>
  </si>
  <si>
    <t>Т-5550</t>
  </si>
  <si>
    <t>4620129745505</t>
  </si>
  <si>
    <t>203614</t>
  </si>
  <si>
    <t>Сувенир музыкальный Дед Мороз в красной богатой шубе, с мешком подарков,30 см собств.раз Т-3627</t>
  </si>
  <si>
    <t>Т-3627</t>
  </si>
  <si>
    <t>4670159036678</t>
  </si>
  <si>
    <t>187289</t>
  </si>
  <si>
    <t>Сувенир музыкальный Дед Мороз в красной шубе с с пайетками, с мелодией, 30 см Т-5553</t>
  </si>
  <si>
    <t>Т-5553</t>
  </si>
  <si>
    <t>4620129745536</t>
  </si>
  <si>
    <t>187285</t>
  </si>
  <si>
    <t>Сувенир музыкальный Дед Мороз в красной шубе, с мешком подарков, с мелодией, 30 см Т-5549</t>
  </si>
  <si>
    <t>Т-5549</t>
  </si>
  <si>
    <t>4620129745499</t>
  </si>
  <si>
    <t>187284</t>
  </si>
  <si>
    <t>Сувенир музыкальный Дед Мороз в синей шубе, с мешком подарков, с мелодией, 30 см Т-5548</t>
  </si>
  <si>
    <t>Т-5548</t>
  </si>
  <si>
    <t>4620129745482</t>
  </si>
  <si>
    <t>275386</t>
  </si>
  <si>
    <t>Дед Мороз в красной шубе с золотистым узором, с мешком подарков, с мелодией, 40см, собс.разр. Т-3595</t>
  </si>
  <si>
    <t>Т-3595</t>
  </si>
  <si>
    <t>4680942635957</t>
  </si>
  <si>
    <t>275390</t>
  </si>
  <si>
    <t>Дед Мороз в красной шубе с золотистым узором, с мешком подарков, с мелодией, 40см, собс.разр. Т-3597</t>
  </si>
  <si>
    <t>Т-3597</t>
  </si>
  <si>
    <t>4680942635971</t>
  </si>
  <si>
    <t>154264</t>
  </si>
  <si>
    <t>Сувенир  музыкальный Дед Мороз в золотой шубе, с мелодией, 40 см Т-6820</t>
  </si>
  <si>
    <t>Т-6820</t>
  </si>
  <si>
    <t>4680088468204</t>
  </si>
  <si>
    <t>228019</t>
  </si>
  <si>
    <t>Сувенир музыкальный Дед Мороз в бело-золотой шубе,с мелодией, 40см "собс.разр." Т-6015</t>
  </si>
  <si>
    <t>Т-6015</t>
  </si>
  <si>
    <t>4670159160151</t>
  </si>
  <si>
    <t>228022</t>
  </si>
  <si>
    <t>Сувенир музыкальный Дед Мороз в бело-серебристой шубе,с мелодией, 40см "собс.разр." Т-6017</t>
  </si>
  <si>
    <t>Т-6017</t>
  </si>
  <si>
    <t>4670159160175</t>
  </si>
  <si>
    <t>203616</t>
  </si>
  <si>
    <t>Сувенир музыкальный Дед Мороз в красной богатой шубе, с мешком подарков, 40см собств.разраб Т-3628</t>
  </si>
  <si>
    <t>Т-3628</t>
  </si>
  <si>
    <t>4670159036685</t>
  </si>
  <si>
    <t>187288</t>
  </si>
  <si>
    <t>Сувенир музыкальный Дед Мороз в красной шубе с с пайетками, с мелодией, 40 см Т-5552</t>
  </si>
  <si>
    <t>Т-5552</t>
  </si>
  <si>
    <t>4620129745529</t>
  </si>
  <si>
    <t>154263</t>
  </si>
  <si>
    <t>Сувенир музыкальный Дед Мороз в красной шубе, с мешком подарков, с мелодией, 40 см Т-6819</t>
  </si>
  <si>
    <t>Т-6819</t>
  </si>
  <si>
    <t>4680088468198</t>
  </si>
  <si>
    <t>154262</t>
  </si>
  <si>
    <t>Сувенир музыкальный Дед Мороз в синей шубе, с мешком подарков, с мелодией, 40 см Т-6818</t>
  </si>
  <si>
    <t>Т-6818</t>
  </si>
  <si>
    <t>4680088468181</t>
  </si>
  <si>
    <t>228027</t>
  </si>
  <si>
    <t>Сувенир музыкальный Дед Мороз в красной шубе,2 песни,2 стих.,90см, собс.разр.,чип на 4произв. Т-6021</t>
  </si>
  <si>
    <t>Т-6021</t>
  </si>
  <si>
    <t>4670159160212</t>
  </si>
  <si>
    <t>3 Набор ДМ и Снегурочка</t>
  </si>
  <si>
    <t>275395</t>
  </si>
  <si>
    <t>Сувениры музыкальные в наборе. 2 шт. Дед Мороз и Внучка, 30+30 см, собс.разр.Т-3601</t>
  </si>
  <si>
    <t>Т-3601</t>
  </si>
  <si>
    <t>4680942636015</t>
  </si>
  <si>
    <t>4 Санта</t>
  </si>
  <si>
    <t>234867</t>
  </si>
  <si>
    <t>Сувенир Музыкальный "Веселый Дед Мороз с подарочком", бело-золотистый, 35см Т-9685</t>
  </si>
  <si>
    <t>Т-9685</t>
  </si>
  <si>
    <t>4670159196853</t>
  </si>
  <si>
    <t>35 см</t>
  </si>
  <si>
    <t>2 Немузыкальные</t>
  </si>
  <si>
    <t xml:space="preserve"> 30 см</t>
  </si>
  <si>
    <t>227222</t>
  </si>
  <si>
    <t>Сувенир Внучка Деда Мороза в бело-золотистой шубке, 30 см, собственная разраб. Т-6351</t>
  </si>
  <si>
    <t>Т-6351</t>
  </si>
  <si>
    <t>4670159163725</t>
  </si>
  <si>
    <t>227221</t>
  </si>
  <si>
    <t>Сувенир Внучка Деда Мороза в богатой синей шубке, 30 см, собственная разраб. Т-6350</t>
  </si>
  <si>
    <t>Т-6350</t>
  </si>
  <si>
    <t>4670159163718</t>
  </si>
  <si>
    <t>203638</t>
  </si>
  <si>
    <t>Сувенир Внучка Деда Мороза в голубой шубке, 30 см, собственная разработка Т-3618</t>
  </si>
  <si>
    <t>Т-3618</t>
  </si>
  <si>
    <t>4670159036180</t>
  </si>
  <si>
    <t xml:space="preserve"> 40 см</t>
  </si>
  <si>
    <t>203635</t>
  </si>
  <si>
    <t>Сувенир Внучка Деда Мороза в белой шубке, 40 см, собственная разработка Т-3616</t>
  </si>
  <si>
    <t>Т-3616</t>
  </si>
  <si>
    <t>4670159036166</t>
  </si>
  <si>
    <t>227224</t>
  </si>
  <si>
    <t>Сувенир Внучка Деда Мороза в богатой синей шубке, 40 см, собственная разраб. Т-6353</t>
  </si>
  <si>
    <t>Т-6353</t>
  </si>
  <si>
    <t>4670159163749</t>
  </si>
  <si>
    <t>203639</t>
  </si>
  <si>
    <t>Сувенир Внучка Деда Мороза в голубой шубке, 40 см, собственная разработка Т-3619</t>
  </si>
  <si>
    <t>Т-3619</t>
  </si>
  <si>
    <t>4670159036197</t>
  </si>
  <si>
    <t xml:space="preserve"> 55 см</t>
  </si>
  <si>
    <t>227227</t>
  </si>
  <si>
    <t>Сувенир Внучка Деда Мороза в богатой синей шубке, 55 см, собственная разраб. Т-6355</t>
  </si>
  <si>
    <t>Т-6355</t>
  </si>
  <si>
    <t>4670159163763</t>
  </si>
  <si>
    <t>55 см</t>
  </si>
  <si>
    <t>203640</t>
  </si>
  <si>
    <t>Сувенир Внучка Деда Мороза в голубой шубке, 55 см Т-3620</t>
  </si>
  <si>
    <t>Т-3620</t>
  </si>
  <si>
    <t>4670159036203</t>
  </si>
  <si>
    <t xml:space="preserve"> 74 см</t>
  </si>
  <si>
    <t>227228</t>
  </si>
  <si>
    <t>Сувенир Внучка Деда Мороза в богатой синей шубке, 74 см, собственная разраб. Т-6356</t>
  </si>
  <si>
    <t>Т-6356</t>
  </si>
  <si>
    <t>4670159163770</t>
  </si>
  <si>
    <t>74 см</t>
  </si>
  <si>
    <t>203641</t>
  </si>
  <si>
    <t>Сувенир Внучка Деда Мороза в голубой шубке, 74 см Т-3621</t>
  </si>
  <si>
    <t>Т-3621</t>
  </si>
  <si>
    <t>4670159036210</t>
  </si>
  <si>
    <t>227208</t>
  </si>
  <si>
    <t>Сувенир Дед Мороз в бело-серебристой шубе с посохом, собственная разработка, 30 см Т-6345</t>
  </si>
  <si>
    <t>Т-6345</t>
  </si>
  <si>
    <t>4670159163664</t>
  </si>
  <si>
    <t>227206</t>
  </si>
  <si>
    <t>Сувенир Дед Мороз в богатой синей шубе с посохом, собственная разработка, 30 см Т-6344</t>
  </si>
  <si>
    <t>Т-6344</t>
  </si>
  <si>
    <t>4670159163657</t>
  </si>
  <si>
    <t>186916</t>
  </si>
  <si>
    <t>Сувенир Дед Мороз в красной шубе винтаж, 30 см Т-5511</t>
  </si>
  <si>
    <t>Т-5511</t>
  </si>
  <si>
    <t>4620129745116</t>
  </si>
  <si>
    <t>30cm</t>
  </si>
  <si>
    <t>228000</t>
  </si>
  <si>
    <t>Сувенир Дед Мороз в красной шубе с мешком подарков, 30см "собс.разр." Т-6585</t>
  </si>
  <si>
    <t>Т-6585</t>
  </si>
  <si>
    <t>4670159165859</t>
  </si>
  <si>
    <t>227997</t>
  </si>
  <si>
    <t>Сувенир Дед Мороз в красной шубе с пайетками и белым мехом, 30см "собс.разр." Т-6583</t>
  </si>
  <si>
    <t>Т-6583</t>
  </si>
  <si>
    <t>4670159165835</t>
  </si>
  <si>
    <t xml:space="preserve"> 45 см</t>
  </si>
  <si>
    <t>227211</t>
  </si>
  <si>
    <t>Сувенир Дед Мороз в бело-золотистой шубе с мешком, собственная разработка, 45 см Т-6358</t>
  </si>
  <si>
    <t>Т-6358</t>
  </si>
  <si>
    <t>4670159163794</t>
  </si>
  <si>
    <t>45 см</t>
  </si>
  <si>
    <t>227212</t>
  </si>
  <si>
    <t>Сувенир Дед Мороз в бело-серебристой шубе с посохом, собственная разработка, 45 см Т-6359</t>
  </si>
  <si>
    <t>Т-6359</t>
  </si>
  <si>
    <t>4670159163800</t>
  </si>
  <si>
    <t>186920</t>
  </si>
  <si>
    <t>Сувенир Дед Мороз в голубой шубе с посохом, 45 см Т-5515</t>
  </si>
  <si>
    <t>Т-5515</t>
  </si>
  <si>
    <t>4620129745154</t>
  </si>
  <si>
    <t>45cm</t>
  </si>
  <si>
    <t>203642</t>
  </si>
  <si>
    <t>Сувенир Дед Мороз в красной богатой шубе, 45 см, собственная разработка Т-3622</t>
  </si>
  <si>
    <t>Т-3622</t>
  </si>
  <si>
    <t>4670159036227</t>
  </si>
  <si>
    <t>227213</t>
  </si>
  <si>
    <t>Сувенир Дед Мороз в красной шубе с посохом, собственная разработка, 45 см Т-6360</t>
  </si>
  <si>
    <t>Т-6360</t>
  </si>
  <si>
    <t>4670159163817</t>
  </si>
  <si>
    <t xml:space="preserve"> 60 см</t>
  </si>
  <si>
    <t>227204</t>
  </si>
  <si>
    <t>Сувенир Дед Мороз в бело-золотистой шубе с мешком, собственная разработка, 60 см Т-6342</t>
  </si>
  <si>
    <t>Т-6342</t>
  </si>
  <si>
    <t>4670159163633</t>
  </si>
  <si>
    <t>60 см</t>
  </si>
  <si>
    <t>203643</t>
  </si>
  <si>
    <t>Сувенир Дед Мороз в красной богатой шубе, 60 см, собственная разработка Т-3623</t>
  </si>
  <si>
    <t>Т-3623</t>
  </si>
  <si>
    <t>4670159036234</t>
  </si>
  <si>
    <t>186918</t>
  </si>
  <si>
    <t>Сувенир Дед Мороз в красной шубе с посохом, 60 см Т-5513</t>
  </si>
  <si>
    <t>Т-5513</t>
  </si>
  <si>
    <t>4620129745130</t>
  </si>
  <si>
    <t>60cm</t>
  </si>
  <si>
    <t>186919</t>
  </si>
  <si>
    <t>Сувенир Дед Мороз в синей шубе с посохом, 60 см Т-5514</t>
  </si>
  <si>
    <t>Т-5514</t>
  </si>
  <si>
    <t>4620129745147</t>
  </si>
  <si>
    <t xml:space="preserve"> 79 см</t>
  </si>
  <si>
    <t>203644</t>
  </si>
  <si>
    <t>Сувенир Дед Мороз в красной богатой шубе, 79 см, собственная разработка Т-3624</t>
  </si>
  <si>
    <t>Т-3624</t>
  </si>
  <si>
    <t>4670159036241</t>
  </si>
  <si>
    <t>186917</t>
  </si>
  <si>
    <t>Сувенир Дед Мороз в красной шубе винтаж, 79 см Т-5512</t>
  </si>
  <si>
    <t>Т-5512</t>
  </si>
  <si>
    <t>4620129745123</t>
  </si>
  <si>
    <t>79cm</t>
  </si>
  <si>
    <t>186921</t>
  </si>
  <si>
    <t>Сувенир Дед Мороз в серой блестящей шубе с посохом, 79 см Т-5516</t>
  </si>
  <si>
    <t>Т-5516</t>
  </si>
  <si>
    <t>4620129745161</t>
  </si>
  <si>
    <t>110 см</t>
  </si>
  <si>
    <t>227216</t>
  </si>
  <si>
    <t>Сувенир Дед Мороз в богатой синей шубе с посохом, собственная разработка, 110 см Т-6349</t>
  </si>
  <si>
    <t>Т-6349</t>
  </si>
  <si>
    <t>4670159163701</t>
  </si>
  <si>
    <t>227215</t>
  </si>
  <si>
    <t>Сувенир Дед Мороз в красной шубе, с посохом, собственная разработка, 110 см Т-6348</t>
  </si>
  <si>
    <t>Т-6348</t>
  </si>
  <si>
    <t>4670159163695</t>
  </si>
  <si>
    <t>120 см</t>
  </si>
  <si>
    <t>228030</t>
  </si>
  <si>
    <t>Сувенир Дед Мороз в красной шубке, 120 см "собс.разр." Т-6022</t>
  </si>
  <si>
    <t>Т-6022</t>
  </si>
  <si>
    <t>4670159160229</t>
  </si>
  <si>
    <t>130 см</t>
  </si>
  <si>
    <t>227219</t>
  </si>
  <si>
    <t>Сувенир Дед Мороз в красной шубе с посохом, собственная разработка, 130 см Т-6340</t>
  </si>
  <si>
    <t>Т-6340</t>
  </si>
  <si>
    <t>4670159163619</t>
  </si>
  <si>
    <t>3 Наборы (Дед Мороз и Снегурочка)</t>
  </si>
  <si>
    <t>271980</t>
  </si>
  <si>
    <t>Набор Сувениров Дед Мороз 45 см и Внучка 40 см НУ-1752</t>
  </si>
  <si>
    <t>НУ-1752</t>
  </si>
  <si>
    <t>4680942617526</t>
  </si>
  <si>
    <t>227061</t>
  </si>
  <si>
    <t>Сувенир Дед Мороз в белой шубе с серым мехом и лыжами, 35см НУ-6276</t>
  </si>
  <si>
    <t>НУ-6276</t>
  </si>
  <si>
    <t>4670159162766</t>
  </si>
  <si>
    <t>227062</t>
  </si>
  <si>
    <t>Сувенир Дед Мороз в красной шубе с белым мехом и подарками, 35см НУ-6277</t>
  </si>
  <si>
    <t>НУ-6277</t>
  </si>
  <si>
    <t>4670159162773</t>
  </si>
  <si>
    <t>227057</t>
  </si>
  <si>
    <t>Сувенир Дед Мороз в красной шубе с белым мехом и фонарём, 35см НУ-6272</t>
  </si>
  <si>
    <t>НУ-6272</t>
  </si>
  <si>
    <t>4670159162728</t>
  </si>
  <si>
    <t>186913</t>
  </si>
  <si>
    <t>Сувенир Дед Мороз в красной шубе, с санками, 30 см Т-5508</t>
  </si>
  <si>
    <t>Т-5508</t>
  </si>
  <si>
    <t>4620129745086</t>
  </si>
  <si>
    <t>227058</t>
  </si>
  <si>
    <t>Сувенир Дед Мороз в серой шубе с белым мехом и лыжами, 35см НУ-6273</t>
  </si>
  <si>
    <t>НУ-6273</t>
  </si>
  <si>
    <t>4670159162735</t>
  </si>
  <si>
    <t>227060</t>
  </si>
  <si>
    <t>Сувенир Дед Мороз в серой шубе с белым мехом и лыжами, 35см НУ-6275</t>
  </si>
  <si>
    <t>НУ-6275</t>
  </si>
  <si>
    <t>4670159162759</t>
  </si>
  <si>
    <t>154699</t>
  </si>
  <si>
    <t>Сувенир Дед Мороз в красной шубе с пушистым мехом, с лыжами, 45 см Т-9555</t>
  </si>
  <si>
    <t>Т-9555</t>
  </si>
  <si>
    <t>4680088485553</t>
  </si>
  <si>
    <t>186914</t>
  </si>
  <si>
    <t>Сувенир Дед Мороз в красной шубе, с санками, 45 см Т-5509</t>
  </si>
  <si>
    <t>Т-5509</t>
  </si>
  <si>
    <t>4620129745093</t>
  </si>
  <si>
    <t>186923</t>
  </si>
  <si>
    <t>Сувенир Дед Мороз в красной шубе, с лыжами и мешком, 60 см Т-5518</t>
  </si>
  <si>
    <t>Т-5518</t>
  </si>
  <si>
    <t>4620129745185</t>
  </si>
  <si>
    <t>154684</t>
  </si>
  <si>
    <t>Сувенир Дед Мороз в красной шубе, с лыжами, 60 см Т-9551</t>
  </si>
  <si>
    <t>Т-9551</t>
  </si>
  <si>
    <t>4680088485515</t>
  </si>
  <si>
    <t>154697</t>
  </si>
  <si>
    <t>Сувенир Дед Мороз в красной шубе, с хворостом, 60 см Т-9554</t>
  </si>
  <si>
    <t>Т-9554</t>
  </si>
  <si>
    <t>4680088485546</t>
  </si>
  <si>
    <t>154686</t>
  </si>
  <si>
    <t>Сувенир Дед Мороз в серой шубе, с фонариком, 60 см Т-9553</t>
  </si>
  <si>
    <t>Т-9553</t>
  </si>
  <si>
    <t>4680088485539</t>
  </si>
  <si>
    <t>154702</t>
  </si>
  <si>
    <t>Сувенир Дед Мороз в красной шубе с пушистым мехом, с лыжами, 79 см Т-9557</t>
  </si>
  <si>
    <t>Т-9557</t>
  </si>
  <si>
    <t>4680088485577</t>
  </si>
  <si>
    <t>79 см</t>
  </si>
  <si>
    <t>186924</t>
  </si>
  <si>
    <t>Сувенир Дед Мороз в красной шубе, с мешком и подарком, 79 см Т-5519</t>
  </si>
  <si>
    <t>Т-5519</t>
  </si>
  <si>
    <t>4620129745192</t>
  </si>
  <si>
    <t>186915</t>
  </si>
  <si>
    <t>Сувенир Дед Мороз в красной шубе, с санками, 79 см Т-5510</t>
  </si>
  <si>
    <t>Т-5510</t>
  </si>
  <si>
    <t>4620129745109</t>
  </si>
  <si>
    <t>5 Светящиеся</t>
  </si>
  <si>
    <t>1 Дед Мороз</t>
  </si>
  <si>
    <t>256350</t>
  </si>
  <si>
    <t>Фигура декоративная с подсветкой Дед Мороз в красной шубе, батар. 3шт*CR2032, 30 см Т-7089</t>
  </si>
  <si>
    <t>Т-7089</t>
  </si>
  <si>
    <t>4630493770898</t>
  </si>
  <si>
    <t>256353</t>
  </si>
  <si>
    <t>Фигура декоративная с подсветкой Дед Мороз в красной шубе, батар. 3шт*CR2032, 40 см Т-7090</t>
  </si>
  <si>
    <t>Т-7090</t>
  </si>
  <si>
    <t>4630493770904</t>
  </si>
  <si>
    <t>256354</t>
  </si>
  <si>
    <t>Фигура декоративная с подсветкой Дед Мороз в серебряной шубе, батар. 3шт*CR2032(Соб.раз)30 см Т-7091</t>
  </si>
  <si>
    <t>Т-7091</t>
  </si>
  <si>
    <t>4630493770911</t>
  </si>
  <si>
    <t>256356</t>
  </si>
  <si>
    <t>Фигура декоративная с подсветкой Дед Мороз в серебряной шубе, батар. 3шт*CR2032(соб.раз)40 см Т-7092</t>
  </si>
  <si>
    <t>Т-7092</t>
  </si>
  <si>
    <t>4630493770928</t>
  </si>
  <si>
    <t>2 Снегурочка</t>
  </si>
  <si>
    <t>256361</t>
  </si>
  <si>
    <t>Фигура декор. с подсветкой Внучка деда мороза в голубой шубке, батар.3шт*CR2032(соб.раз)40 см Т-7096</t>
  </si>
  <si>
    <t>Т-7096</t>
  </si>
  <si>
    <t>4630493770966</t>
  </si>
  <si>
    <t>256360</t>
  </si>
  <si>
    <t>Фигура декор. с подсветкой Внучка деда мороза в голубой шубке,батар.3шт*CR2032(Соб.раз)30 см Т-7095</t>
  </si>
  <si>
    <t>Т-7095</t>
  </si>
  <si>
    <t>4630493770959</t>
  </si>
  <si>
    <t>256362</t>
  </si>
  <si>
    <t>Фигура декор.с подсветкой Внучка деда мороза в серебряной шубе,батар.3шт*CR2032(соб.раз)30 см Т-7097</t>
  </si>
  <si>
    <t>Т-7097</t>
  </si>
  <si>
    <t>4630493770973</t>
  </si>
  <si>
    <t>256363</t>
  </si>
  <si>
    <t>Фигура декор.с подсветкой Внучка деда мороза в серебряной шубе,батар.3шт*CR2032(соб.раз)40 см Т-7098</t>
  </si>
  <si>
    <t>Т-7098</t>
  </si>
  <si>
    <t>4630493770980</t>
  </si>
  <si>
    <t>3 Санта</t>
  </si>
  <si>
    <t>256357</t>
  </si>
  <si>
    <t>Фигура декоративная с подсветкой Санта с санями, батар.3шт*CR2032, 30 см Т-7093</t>
  </si>
  <si>
    <t>Т-7093</t>
  </si>
  <si>
    <t>4630493770935</t>
  </si>
  <si>
    <t>256358</t>
  </si>
  <si>
    <t>Фигура декоративная с подсветкой Санта с санями, батар.3шт*CR2032, 40 см Т-7094</t>
  </si>
  <si>
    <t>Т-7094</t>
  </si>
  <si>
    <t>4630493770942</t>
  </si>
  <si>
    <t>4 Гномы</t>
  </si>
  <si>
    <t>229517</t>
  </si>
  <si>
    <t>Светящиеся фигуры Милые гномики, набор 2шт, 30см, на батарейках 3*ААА(в комплект не входят) НУ-7521</t>
  </si>
  <si>
    <t>НУ-7521</t>
  </si>
  <si>
    <t>4670159174226</t>
  </si>
  <si>
    <t>229518</t>
  </si>
  <si>
    <t>Светящиеся фигуры Цветное трио, набор 3шт, 20,5*6,3см, на батарейках 3*LR41(в комплекте) НУ-7522</t>
  </si>
  <si>
    <t>НУ-7522</t>
  </si>
  <si>
    <t>4670159174233</t>
  </si>
  <si>
    <t>6 Другие</t>
  </si>
  <si>
    <t>Быки</t>
  </si>
  <si>
    <t>269095</t>
  </si>
  <si>
    <t>Новогодняя фигура "Нежный бычок", 20 см, НФ-0105</t>
  </si>
  <si>
    <t>НФ-0105</t>
  </si>
  <si>
    <t>4680942601051</t>
  </si>
  <si>
    <t>Ежики</t>
  </si>
  <si>
    <t>269115</t>
  </si>
  <si>
    <t>Новогодняя фигура "Новогодний ёжик", 32 см, НФ-0121</t>
  </si>
  <si>
    <t>НФ-0121</t>
  </si>
  <si>
    <t>4680942601211</t>
  </si>
  <si>
    <t>Зайчики</t>
  </si>
  <si>
    <t>269099</t>
  </si>
  <si>
    <t>Декоративная фигура "Зайка с морковкой", 46 см, НФ-0108</t>
  </si>
  <si>
    <t>НФ-0108</t>
  </si>
  <si>
    <t>4680942601082</t>
  </si>
  <si>
    <t>269100</t>
  </si>
  <si>
    <t>Декоративная фигура "Зайка с цветочком", 46 см, НФ-0109</t>
  </si>
  <si>
    <t>НФ-0109</t>
  </si>
  <si>
    <t>4680942601099</t>
  </si>
  <si>
    <t>269098</t>
  </si>
  <si>
    <t>Декоративная фигура "Милая зайка", 45 см, НФ-0107</t>
  </si>
  <si>
    <t>НФ-0107</t>
  </si>
  <si>
    <t>4680942601075</t>
  </si>
  <si>
    <t>269097</t>
  </si>
  <si>
    <t>Декоративная фигура "Стильный заяц", 45 см, НФ-0106</t>
  </si>
  <si>
    <t>НФ-0106</t>
  </si>
  <si>
    <t>4680942601068</t>
  </si>
  <si>
    <t>Лисы</t>
  </si>
  <si>
    <t>269104</t>
  </si>
  <si>
    <t>Новогодняя фигура "Добрая лисичка", 59 см, НФ-0112</t>
  </si>
  <si>
    <t>НФ-0112</t>
  </si>
  <si>
    <t>4680942601129</t>
  </si>
  <si>
    <t>269106</t>
  </si>
  <si>
    <t>Новогодняя фигура "Добрый лис", 59 см, НФ-0113</t>
  </si>
  <si>
    <t>НФ-0113</t>
  </si>
  <si>
    <t>4680942601136</t>
  </si>
  <si>
    <t>269102</t>
  </si>
  <si>
    <t>Новогодняя фигура "Милая лисичка", 26 см, НФ-0110</t>
  </si>
  <si>
    <t>НФ-0110</t>
  </si>
  <si>
    <t>4680942601105</t>
  </si>
  <si>
    <t>269103</t>
  </si>
  <si>
    <t>Новогодняя фигура "Милый лис", 26 см, НФ-0111</t>
  </si>
  <si>
    <t>НФ-0111</t>
  </si>
  <si>
    <t>4680942601112</t>
  </si>
  <si>
    <t>Олени</t>
  </si>
  <si>
    <t>269112</t>
  </si>
  <si>
    <t>Новогодняя фигура "Белоснежный олень", 61 см, НФ-0118</t>
  </si>
  <si>
    <t>НФ-0118</t>
  </si>
  <si>
    <t>4680942601181</t>
  </si>
  <si>
    <t>228297</t>
  </si>
  <si>
    <t>Новогодняя фигура "Зимний олененок в шубе", 55см НУ-0083</t>
  </si>
  <si>
    <t>НУ-0083</t>
  </si>
  <si>
    <t>4670159100836</t>
  </si>
  <si>
    <t>55см</t>
  </si>
  <si>
    <t>269081</t>
  </si>
  <si>
    <t>Новогодняя фигура "Зимний олень в колпаке", 73 см, НФ-0100</t>
  </si>
  <si>
    <t>НФ-0100</t>
  </si>
  <si>
    <t>4680942601006</t>
  </si>
  <si>
    <t>269122</t>
  </si>
  <si>
    <t>Новогодняя фигура "Милый олень в шарфике", 68.5 см, НФ-0126</t>
  </si>
  <si>
    <t>НФ-0126</t>
  </si>
  <si>
    <t>4680942601266</t>
  </si>
  <si>
    <t>269121</t>
  </si>
  <si>
    <t>Новогодняя фигура "Милый олень", 48 см, НФ-0125</t>
  </si>
  <si>
    <t>НФ-0125</t>
  </si>
  <si>
    <t>4680942601259</t>
  </si>
  <si>
    <t>269086</t>
  </si>
  <si>
    <t>Новогодняя фигура "Олененок в колпаке", 74 см, НФ-0102</t>
  </si>
  <si>
    <t>НФ-0102</t>
  </si>
  <si>
    <t>4680942601020</t>
  </si>
  <si>
    <t>269084</t>
  </si>
  <si>
    <t>Новогодняя фигура "Олень в колпаке", 74 см, НФ-0101</t>
  </si>
  <si>
    <t>НФ-0101</t>
  </si>
  <si>
    <t>4680942601013</t>
  </si>
  <si>
    <t>269120</t>
  </si>
  <si>
    <t>Новогодняя фигура "Рождественский олень в юбке", 63,5 см, НФ-0124</t>
  </si>
  <si>
    <t>НФ-0124</t>
  </si>
  <si>
    <t>4680942601242</t>
  </si>
  <si>
    <t>269113</t>
  </si>
  <si>
    <t>Новогодняя фигура "Рождественский олень", 36 см, НФ-0119</t>
  </si>
  <si>
    <t>НФ-0119</t>
  </si>
  <si>
    <t>4680942601198</t>
  </si>
  <si>
    <t>228295</t>
  </si>
  <si>
    <t>Новогодняя фигура "Снежный олененок", 45см НУ-0081</t>
  </si>
  <si>
    <t>НУ-0081</t>
  </si>
  <si>
    <t>4670159100812</t>
  </si>
  <si>
    <t>45см</t>
  </si>
  <si>
    <t>269119</t>
  </si>
  <si>
    <t>Новогодняя фигура "Счастливый олень", 76 см, НФ-0123</t>
  </si>
  <si>
    <t>НФ-0123</t>
  </si>
  <si>
    <t>4680942601235</t>
  </si>
  <si>
    <t>228294</t>
  </si>
  <si>
    <t>Новогодняя фигура "Уютный олененок", 58см НУ-0080</t>
  </si>
  <si>
    <t>НУ-0080</t>
  </si>
  <si>
    <t>4670159100805</t>
  </si>
  <si>
    <t>58см</t>
  </si>
  <si>
    <t>228293</t>
  </si>
  <si>
    <t>Новогодняя фигура c  выдвижными ногами "Новогодний олень в свитере", 65-80см НУ-0079</t>
  </si>
  <si>
    <t>НУ-0079</t>
  </si>
  <si>
    <t>4670159100799</t>
  </si>
  <si>
    <t>65-80см</t>
  </si>
  <si>
    <t>269092</t>
  </si>
  <si>
    <t>Новогодняя фигура на телескопических ногах "Олененок в меховой шубе", 62/92 см, НФ-0104</t>
  </si>
  <si>
    <t>НФ-0104</t>
  </si>
  <si>
    <t>4680942601044</t>
  </si>
  <si>
    <t>269088</t>
  </si>
  <si>
    <t>Новогодняя фигура на телескопических ногах "Олень в меховой шубе", 62/92 см, НФ-0103</t>
  </si>
  <si>
    <t>НФ-0103</t>
  </si>
  <si>
    <t>4680942601037</t>
  </si>
  <si>
    <t>Снеговики</t>
  </si>
  <si>
    <t>234878</t>
  </si>
  <si>
    <t>Новогодняя фигура Сувенир "Прелестный Снеговичок в шляпе мишки", 30см Т-9700</t>
  </si>
  <si>
    <t>Т-9700</t>
  </si>
  <si>
    <t>4670159197003</t>
  </si>
  <si>
    <t>234877</t>
  </si>
  <si>
    <t>Новогодняя фигура Сувенир "Прелестный Снеговичок в шляпе олененка", 30см Т-9699</t>
  </si>
  <si>
    <t>Т-9699</t>
  </si>
  <si>
    <t>4670159196990</t>
  </si>
  <si>
    <t>234876</t>
  </si>
  <si>
    <t>Новогодняя фигура Сувенир "Снеговичок в юбочке", голубой, 40см Т-9698</t>
  </si>
  <si>
    <t>Т-9698</t>
  </si>
  <si>
    <t>4670159196983</t>
  </si>
  <si>
    <t>Совы</t>
  </si>
  <si>
    <t>269117</t>
  </si>
  <si>
    <t>Новогодняя фигура "Сова в шапке", 46 см, НФ-0122</t>
  </si>
  <si>
    <t>НФ-0122</t>
  </si>
  <si>
    <t>4680942601228</t>
  </si>
  <si>
    <t>Щелкунчик</t>
  </si>
  <si>
    <t>234883</t>
  </si>
  <si>
    <t>Новогодняя фигура Сувенир "Очаровательный щелкунчик в золотистом костюме", 44см Т-9712</t>
  </si>
  <si>
    <t>Т-9712</t>
  </si>
  <si>
    <t>4670159197126</t>
  </si>
  <si>
    <t>44 см</t>
  </si>
  <si>
    <t>234882</t>
  </si>
  <si>
    <t>Новогодняя фигура Сувенир "Смелый щелкунчик в золотистом костюме", 44см Т-9711</t>
  </si>
  <si>
    <t>Т-9711</t>
  </si>
  <si>
    <t>4670159197119</t>
  </si>
  <si>
    <t>234887</t>
  </si>
  <si>
    <t>Новогодняя фигура Сувенир "Смелый щелкунчик в красном костюме", 44см Т-9715</t>
  </si>
  <si>
    <t>Т-9715</t>
  </si>
  <si>
    <t>4670159197157</t>
  </si>
  <si>
    <t>234888</t>
  </si>
  <si>
    <t>Новогодняя фигура Сувенир "Храбрый щелкунчик в красном костюме", 28см Т-9716</t>
  </si>
  <si>
    <t>Т-9716</t>
  </si>
  <si>
    <t>4670159197164</t>
  </si>
  <si>
    <t>28 см</t>
  </si>
  <si>
    <t>Эльфы</t>
  </si>
  <si>
    <t>269114</t>
  </si>
  <si>
    <t>Новогодняя фигура "Розовая девочка", 43 см, НФ-0120</t>
  </si>
  <si>
    <t>НФ-0120</t>
  </si>
  <si>
    <t>4680942601204</t>
  </si>
  <si>
    <t>234861</t>
  </si>
  <si>
    <t>Новогодняя фигура Сувенир "Непоседливый эльф", бело-золотистый, 60см Т-9677</t>
  </si>
  <si>
    <t>Т-9677</t>
  </si>
  <si>
    <t>4670159196778</t>
  </si>
  <si>
    <t>234865</t>
  </si>
  <si>
    <t>Новогодняя фигура Сувенир "Шутливый эльф", бело-золотисты, 60см Т-9680</t>
  </si>
  <si>
    <t>Т-9680</t>
  </si>
  <si>
    <t>4670159196808</t>
  </si>
  <si>
    <t>228781</t>
  </si>
  <si>
    <t>Сувенир Эльф в белом костюме, 50см Т-7064</t>
  </si>
  <si>
    <t>Т-7064</t>
  </si>
  <si>
    <t>4670159170648</t>
  </si>
  <si>
    <t>50 см</t>
  </si>
  <si>
    <t>228780</t>
  </si>
  <si>
    <t>Сувенир Эльф в золотом костюме, 50см Т-7063</t>
  </si>
  <si>
    <t>Т-7063</t>
  </si>
  <si>
    <t>4670159170631</t>
  </si>
  <si>
    <t>269826</t>
  </si>
  <si>
    <t>Фигура декоративная. Эльф волшебник в зелёно-красном костюме, 44 см НУ-0654</t>
  </si>
  <si>
    <t>НУ-0654</t>
  </si>
  <si>
    <t>4680942606735</t>
  </si>
  <si>
    <t>269830</t>
  </si>
  <si>
    <t>Фигура декоративная. Эльф волшебник в красно-белом костюме, 44 см НУ-0656</t>
  </si>
  <si>
    <t>НУ-0656</t>
  </si>
  <si>
    <t>4680942606759</t>
  </si>
  <si>
    <t>269819</t>
  </si>
  <si>
    <t>Фигура декоративная. Эльф волшебник в красно-зелёном костюме, 72 см НУ-0650</t>
  </si>
  <si>
    <t>НУ-0650</t>
  </si>
  <si>
    <t>4680942606698</t>
  </si>
  <si>
    <t>269828</t>
  </si>
  <si>
    <t>Фигура декоративная. Эльф волшебница в зелёно-красном костюме, 44 см НУ-0655</t>
  </si>
  <si>
    <t>НУ-0655</t>
  </si>
  <si>
    <t>4680942606742</t>
  </si>
  <si>
    <t>269831</t>
  </si>
  <si>
    <t>Фигура декоративная. Эльф волшебница в красно-белом костюме, 44 см НУ-0657</t>
  </si>
  <si>
    <t>НУ-0657</t>
  </si>
  <si>
    <t>4680942606766</t>
  </si>
  <si>
    <t>269821</t>
  </si>
  <si>
    <t>Фигура декоративная. Эльф волшебница в красно-зелёном костюме, 72 см НУ-0651</t>
  </si>
  <si>
    <t>НУ-0651</t>
  </si>
  <si>
    <t>4680942606704</t>
  </si>
  <si>
    <t>07 Новогодний декор</t>
  </si>
  <si>
    <t>01 Новогодние фигурки</t>
  </si>
  <si>
    <t>2 Статуэтки из полирезины</t>
  </si>
  <si>
    <t>1 Статуэтки из полирезины собственная разработка</t>
  </si>
  <si>
    <t>1 Механические</t>
  </si>
  <si>
    <t>255916</t>
  </si>
  <si>
    <t>Статуэтка из полирезины "Ёлочка с Дедом Морозом" механическая с музыкой 12*12*16см (соб.раз) НУ-7083</t>
  </si>
  <si>
    <t>НУ-7083</t>
  </si>
  <si>
    <t>4630493770652</t>
  </si>
  <si>
    <t>2 Немеханические</t>
  </si>
  <si>
    <t>275108</t>
  </si>
  <si>
    <t>Статуэтка - фигурка из полирезины "Дед Мороз в красной шубе" 26 см Т-3058</t>
  </si>
  <si>
    <t>Т-3058</t>
  </si>
  <si>
    <t>4680942630259</t>
  </si>
  <si>
    <t>227869</t>
  </si>
  <si>
    <t>Фигурка из полирез новогодняя Дед Мороз в красной шубке с мешочком, 26см (собс.разр) НУ-7003</t>
  </si>
  <si>
    <t>НУ-7003</t>
  </si>
  <si>
    <t>4670159169475</t>
  </si>
  <si>
    <t>26 см</t>
  </si>
  <si>
    <t>3 Деревянные фигурки</t>
  </si>
  <si>
    <t>233661</t>
  </si>
  <si>
    <t>Набор новогодних фигур деревянных 4шт "Четыре гномика", 21*4.5*11см НУ-9072</t>
  </si>
  <si>
    <t>НУ-9072</t>
  </si>
  <si>
    <t>4670159190721</t>
  </si>
  <si>
    <t xml:space="preserve">  21*4.5*11 см</t>
  </si>
  <si>
    <t>5 Пластиковые фигуры</t>
  </si>
  <si>
    <t>234849</t>
  </si>
  <si>
    <t>Новогодняя фигура пластиковая "Щелкунчик в накидке и кивере", зелено-красный, 38см Т-9670</t>
  </si>
  <si>
    <t>Т-9670</t>
  </si>
  <si>
    <t>4670159196709</t>
  </si>
  <si>
    <t>38 см</t>
  </si>
  <si>
    <t>6 Статуэтки из акрила</t>
  </si>
  <si>
    <t>275152</t>
  </si>
  <si>
    <t>Сувенир интерактивный  "Дед Мороз", 10х5х4 см Т-3358</t>
  </si>
  <si>
    <t>Т-3358</t>
  </si>
  <si>
    <t>4680942632932</t>
  </si>
  <si>
    <t>257878</t>
  </si>
  <si>
    <t>Сувенир интерактивный "Дед Мороз и снеговик", 15х5,2х5,2 см, Т-7428</t>
  </si>
  <si>
    <t>Т-7428</t>
  </si>
  <si>
    <t>4630493774285</t>
  </si>
  <si>
    <t>275151</t>
  </si>
  <si>
    <t>Сувенир интерактивный "Ёлка и Дед Мороз", 10х5х4 см Т-3357</t>
  </si>
  <si>
    <t>Т-3357</t>
  </si>
  <si>
    <t>4680942632925</t>
  </si>
  <si>
    <t>275153</t>
  </si>
  <si>
    <t>Сувенир интерактивный "Новогоднее веселье", 10х5х4 см Т-3359</t>
  </si>
  <si>
    <t>Т-3359</t>
  </si>
  <si>
    <t>4680942632949</t>
  </si>
  <si>
    <t>275150</t>
  </si>
  <si>
    <t>Сувенир интерактивный "Снеговик и Дед Мороз", 10х5х4 см Т-3356</t>
  </si>
  <si>
    <t>Т-3356</t>
  </si>
  <si>
    <t>4680942632918</t>
  </si>
  <si>
    <t>257877</t>
  </si>
  <si>
    <t>Сувенир интерактивный "Снежный день", 15х5,2х5,2 см, Т-7427</t>
  </si>
  <si>
    <t>Т-7427</t>
  </si>
  <si>
    <t>4630493774278</t>
  </si>
  <si>
    <t>275148</t>
  </si>
  <si>
    <t>Сувенир интерактивный Часы-антистресс. "Дед Мороз и ёлка", 16,8х5,8х2,5 см Т-3354</t>
  </si>
  <si>
    <t>Т-3354</t>
  </si>
  <si>
    <t>4680942632895</t>
  </si>
  <si>
    <t>275147</t>
  </si>
  <si>
    <t>Сувенир интерактивный Часы-антистресс. "Дед Мороз и снеговик" 17х5,5х5,5 см Т-3353</t>
  </si>
  <si>
    <t>Т-3353</t>
  </si>
  <si>
    <t>4680942632888</t>
  </si>
  <si>
    <t>02 Декоративные светящиеся фигуры</t>
  </si>
  <si>
    <t>1 Светодиодные фигуры из пластика</t>
  </si>
  <si>
    <t>Движущиеся и музыкальные</t>
  </si>
  <si>
    <t>233448</t>
  </si>
  <si>
    <t>Светильник новогодний музыкальный "Белый камин" 18*10*26, USB, 3*АА не в комплекте СВП-0017</t>
  </si>
  <si>
    <t>СВП-0017</t>
  </si>
  <si>
    <t>4670159189909</t>
  </si>
  <si>
    <t>27.40.22.130</t>
  </si>
  <si>
    <t>04670159189909</t>
  </si>
  <si>
    <t>203318</t>
  </si>
  <si>
    <t>Светильник новогодний музыкальный "Волшебный поезд", 24.5*11*22.5 см, тип питания: USB СВП-0001</t>
  </si>
  <si>
    <t>СВП-0001</t>
  </si>
  <si>
    <t>4670159033936</t>
  </si>
  <si>
    <t>04670159033936</t>
  </si>
  <si>
    <t>233446</t>
  </si>
  <si>
    <t>Светильник новогодний музыкальный "Гномики" 10*10*16, USB, 3*АА не в комплекте СВП-0015</t>
  </si>
  <si>
    <t>СВП-0015</t>
  </si>
  <si>
    <t>4670159189886</t>
  </si>
  <si>
    <t>04670159189886</t>
  </si>
  <si>
    <t>233445</t>
  </si>
  <si>
    <t>Светильник новогодний музыкальный "Дедушка с внучкой" 13*7.5*21, USB, 3*АА не в комплекте СВП-0014</t>
  </si>
  <si>
    <t>СВП-0014</t>
  </si>
  <si>
    <t>4670159189879</t>
  </si>
  <si>
    <t>04670159189879</t>
  </si>
  <si>
    <t>233451</t>
  </si>
  <si>
    <t>Светильник новогодний музыкальный "Подарочек" 12.4*6.8*20, USB, 3*АА не в комплекте СВП-0020</t>
  </si>
  <si>
    <t>СВП-0020</t>
  </si>
  <si>
    <t>4670159189930</t>
  </si>
  <si>
    <t>04670159189930</t>
  </si>
  <si>
    <t>233444</t>
  </si>
  <si>
    <t>Светильник новогодний музыкальный "Снежная Елка" 13.6*13.6*25.7, USB, 3*АА не в комплекте СВП-0013</t>
  </si>
  <si>
    <t>СВП-0013</t>
  </si>
  <si>
    <t>4670159189862</t>
  </si>
  <si>
    <t>04670159189862</t>
  </si>
  <si>
    <t>233452</t>
  </si>
  <si>
    <t>Светильник новогодний музыкальный "Сюрприз"  12.4*6.8*20, USB, 3*АА не в комплекте СВП-0021</t>
  </si>
  <si>
    <t>СВП-0021</t>
  </si>
  <si>
    <t>4670159189947</t>
  </si>
  <si>
    <t>04670159189947</t>
  </si>
  <si>
    <t>233447</t>
  </si>
  <si>
    <t>Светильник новогодний музыкальный "Щелкунчик у елки" 10*10*16, USB, 3*АА не в комплекте СВП-0016</t>
  </si>
  <si>
    <t>СВП-0016</t>
  </si>
  <si>
    <t>4670159189893</t>
  </si>
  <si>
    <t>203321</t>
  </si>
  <si>
    <t>Светильник новогодний музыкальный"Волшебный фонарь", 10.5*10.5*28.5 см, тип питания: USB СВП-0003</t>
  </si>
  <si>
    <t>СВП-0003</t>
  </si>
  <si>
    <t>4670159033950</t>
  </si>
  <si>
    <t>203319</t>
  </si>
  <si>
    <t>Светильник новогодний музыкальный"Сказочный фонарь", 14,5*11,8*27 см,  тип питания: USB СВП-0002</t>
  </si>
  <si>
    <t>СВП-0002</t>
  </si>
  <si>
    <t>4670159033943</t>
  </si>
  <si>
    <t>04670159033943</t>
  </si>
  <si>
    <t>203322</t>
  </si>
  <si>
    <t>Светильник новогодний музыкальный"Снежный камин", 16.6*8.8*25 см, тип питания: USB СВП-0004</t>
  </si>
  <si>
    <t>СВП-0004</t>
  </si>
  <si>
    <t>4670159033967</t>
  </si>
  <si>
    <t>Светящиеся</t>
  </si>
  <si>
    <t>226278</t>
  </si>
  <si>
    <t>Подсвечник новогодний  Ёлочка, 15х5,4 см Т-5961</t>
  </si>
  <si>
    <t>Т-5961</t>
  </si>
  <si>
    <t>4670159159476</t>
  </si>
  <si>
    <t>9505900000</t>
  </si>
  <si>
    <t>4620129716314</t>
  </si>
  <si>
    <t>226273</t>
  </si>
  <si>
    <t>Подсвечник новогодний  Санта, 10*8.6*4.2 см Т-5959</t>
  </si>
  <si>
    <t>Т-5959</t>
  </si>
  <si>
    <t>4670159159452</t>
  </si>
  <si>
    <t>4620129716338</t>
  </si>
  <si>
    <t>226274</t>
  </si>
  <si>
    <t>Подсвечник новогодний  Снеговик, 10*8.6*4.2 см Т-5960</t>
  </si>
  <si>
    <t>Т-5960</t>
  </si>
  <si>
    <t>4670159159469</t>
  </si>
  <si>
    <t>257928</t>
  </si>
  <si>
    <t>Подсвечник новогодний Горка, белый, 2AA+USB, 50*7*31 см, СВП-0082</t>
  </si>
  <si>
    <t>СВП-0082</t>
  </si>
  <si>
    <t>4630493775213</t>
  </si>
  <si>
    <t>04630493775213</t>
  </si>
  <si>
    <t>257937</t>
  </si>
  <si>
    <t>Подсвечник новогодний Горка, золотистый, 3ААА, 16*13 см, СВП-0084</t>
  </si>
  <si>
    <t>СВП-0084</t>
  </si>
  <si>
    <t>4630493775237</t>
  </si>
  <si>
    <t>04630493775237</t>
  </si>
  <si>
    <t>253016</t>
  </si>
  <si>
    <t>Световой прибор "Рождественские огни",7*7*15, на батарейках  AG13*3 СВП-0064</t>
  </si>
  <si>
    <t>СВП-0064</t>
  </si>
  <si>
    <t>4640306927838</t>
  </si>
  <si>
    <t>04640306927838</t>
  </si>
  <si>
    <t>2 Светодиодные фигуры из полистоуна</t>
  </si>
  <si>
    <t>Светящиеся и музыкальные</t>
  </si>
  <si>
    <t>257922</t>
  </si>
  <si>
    <t>Новогодняя светящаяся фигура "Милый Олень" 17.5*12*22 см, работает от 3AAA+USB, СВП-0078</t>
  </si>
  <si>
    <t>СВП-0078</t>
  </si>
  <si>
    <t>4630493775176</t>
  </si>
  <si>
    <t>04630493775176</t>
  </si>
  <si>
    <t>257924</t>
  </si>
  <si>
    <t>Новогодняя светящаяся фигура "Милый Пингвин" 15*12*22 см, работает от 3AAA+USB, СВП-0079</t>
  </si>
  <si>
    <t>СВП-0079</t>
  </si>
  <si>
    <t>4630493775183</t>
  </si>
  <si>
    <t>04630493775183</t>
  </si>
  <si>
    <t>257925</t>
  </si>
  <si>
    <t>Новогодняя светящаяся фигура "Санта" 16.5*12*22 см, работает от 3AAA+USB, СВП-0080</t>
  </si>
  <si>
    <t>СВП-0080</t>
  </si>
  <si>
    <t>4630493775190</t>
  </si>
  <si>
    <t>04630493775190</t>
  </si>
  <si>
    <t>249089</t>
  </si>
  <si>
    <t>Фигура новогодняя "Елка из Кошек" 14×13.5×19 (LED, 3 AA не в комп.) Т-2466</t>
  </si>
  <si>
    <t>Т-2466</t>
  </si>
  <si>
    <t>4640306924578</t>
  </si>
  <si>
    <t>Светящиеся, музыкальные и движущиеся</t>
  </si>
  <si>
    <t>249087</t>
  </si>
  <si>
    <t>Музыкальная фигура из полирезины подвиж., Шар "Большая Елка" 11×11×19, заводной механизм Т-2465</t>
  </si>
  <si>
    <t>Т-2465</t>
  </si>
  <si>
    <t>4640306924561</t>
  </si>
  <si>
    <t>23.13.13.142</t>
  </si>
  <si>
    <t>4 Картины с подсветкой</t>
  </si>
  <si>
    <t>254069</t>
  </si>
  <si>
    <t>Светодиод. светильник Картина "Дед Мороз и Внучка"(2 смен.кар.)65 LED 16.5*21*4.5см(соб.раз) СН-2843</t>
  </si>
  <si>
    <t>СН-2843</t>
  </si>
  <si>
    <t>4640306928439</t>
  </si>
  <si>
    <t>9405210032</t>
  </si>
  <si>
    <t>04640306928439</t>
  </si>
  <si>
    <t>254067</t>
  </si>
  <si>
    <t>Светодиодный светильник Картина "Дедушка Мороз"(2 смен. карт.)65 LED 16.5*21*4.5см (соб.раз.)СН-2842</t>
  </si>
  <si>
    <t>СН-2842</t>
  </si>
  <si>
    <t>4640306928422</t>
  </si>
  <si>
    <t>04640306928422</t>
  </si>
  <si>
    <t>254073</t>
  </si>
  <si>
    <t>Светодиодный светильник Картина "Зверята в лесу" (2 смен.карт.)65 LED 16.5*21*4.5см(соб.раз) СН-2846</t>
  </si>
  <si>
    <t>СН-2846</t>
  </si>
  <si>
    <t>4640306928460</t>
  </si>
  <si>
    <t>04640306928460</t>
  </si>
  <si>
    <t>254072</t>
  </si>
  <si>
    <t>Светодиодный светильник Картина "Зимние зверята"(2 смен.карт.)65 LED 16.5*21*4.5см (соб.раз) СН-2845</t>
  </si>
  <si>
    <t>СН-2845</t>
  </si>
  <si>
    <t>4640306928453</t>
  </si>
  <si>
    <t>04640306928453</t>
  </si>
  <si>
    <t>225449</t>
  </si>
  <si>
    <t>Светодиодный светильник. Картина "Зимний пейзаж",(2 смен.карт.в наб.),65 LED,16.5*21*4.5 см,СН-4217</t>
  </si>
  <si>
    <t>СН-4217</t>
  </si>
  <si>
    <t>4670159142171</t>
  </si>
  <si>
    <t>04670159142171</t>
  </si>
  <si>
    <t>16.5*21*4.5 см</t>
  </si>
  <si>
    <t>5 Каркасные</t>
  </si>
  <si>
    <t>186942</t>
  </si>
  <si>
    <t>Набор светящихся фигур Три подарка, красная блестящая лента, 16 см, 21 см, 26 см Т-5530</t>
  </si>
  <si>
    <t>Т-5530</t>
  </si>
  <si>
    <t>4620129745307</t>
  </si>
  <si>
    <t>16*16*16, 21*21*21, 26*26*26</t>
  </si>
  <si>
    <t>186943</t>
  </si>
  <si>
    <t>Набор светящихся фигур Три подарка, снежинки на красной ленте, 16 см, 21 см, 26 см Т-5531</t>
  </si>
  <si>
    <t>Т-5531</t>
  </si>
  <si>
    <t>4620129745314</t>
  </si>
  <si>
    <t>03  Снежные шары</t>
  </si>
  <si>
    <t>1 Снежные шары (собст. разр.)</t>
  </si>
  <si>
    <t>275100</t>
  </si>
  <si>
    <t>Новогодний сувенир Снежный шар "Балерина" 6,5 см НСШ-3014</t>
  </si>
  <si>
    <t>НСШ-3014</t>
  </si>
  <si>
    <t>4680942630143</t>
  </si>
  <si>
    <t>275098</t>
  </si>
  <si>
    <t>Новогодний сувенир Снежный шар "Волшебная лошадка" 6,5 см НСШ-3012</t>
  </si>
  <si>
    <t>НСШ-3012</t>
  </si>
  <si>
    <t>4680942630129</t>
  </si>
  <si>
    <t>275101</t>
  </si>
  <si>
    <t>Новогодний сувенир Снежный шар "Волшебная шляпа" 6,5 см НСШ-3015</t>
  </si>
  <si>
    <t>НСШ-3015</t>
  </si>
  <si>
    <t>4680942630150</t>
  </si>
  <si>
    <t>275102</t>
  </si>
  <si>
    <t>Новогодний сувенир Снежный шар "Сова с письмом" 6,5 см НСШ-3016</t>
  </si>
  <si>
    <t>НСШ-3016</t>
  </si>
  <si>
    <t>4680942630167</t>
  </si>
  <si>
    <t>251915</t>
  </si>
  <si>
    <t>Новогодний сувенир Снежный шар Внучка деда мороза 6,5 см d=6,5см (собс.разр) НУ-2531</t>
  </si>
  <si>
    <t>НУ-2531</t>
  </si>
  <si>
    <t>4665308887591</t>
  </si>
  <si>
    <t>251916</t>
  </si>
  <si>
    <t>Новогодний сувенир Снежный шар Дед Мороз и снеговик 6,5 см d=6,5см (собс.разр) НУ-2532</t>
  </si>
  <si>
    <t>НУ-2532</t>
  </si>
  <si>
    <t>4665308887607</t>
  </si>
  <si>
    <t>272692</t>
  </si>
  <si>
    <t>Новогодний сувенир Снежный шар Дед Мороз с ёлкой, 10 см, соб.раз НСШ-2096</t>
  </si>
  <si>
    <t>НСШ-2096</t>
  </si>
  <si>
    <t>4680942620960</t>
  </si>
  <si>
    <t>251917</t>
  </si>
  <si>
    <t>Новогодний сувенир Снежный шар Дедушка Мороз 6,5 см d=6,5см (собс.разр) НУ-2533</t>
  </si>
  <si>
    <t>НУ-2533</t>
  </si>
  <si>
    <t>4665308887614</t>
  </si>
  <si>
    <t>251918</t>
  </si>
  <si>
    <t>Новогодний сувенир Снежный шар Дедушка Мороз и внучка 6,5 см d=6,5см (собс.разр) НУ-2534</t>
  </si>
  <si>
    <t>НУ-2534</t>
  </si>
  <si>
    <t>4665308887621</t>
  </si>
  <si>
    <t>272695</t>
  </si>
  <si>
    <t>Новогодний сувенир Снежный шар Мистический замок, 10 см, соб.раз НСШ-2097</t>
  </si>
  <si>
    <t>НСШ-2097</t>
  </si>
  <si>
    <t>4680942620977</t>
  </si>
  <si>
    <t>272700</t>
  </si>
  <si>
    <t>Новогодний сувенир Снежный шар Снеговик с ёлкой, 6,5 см, соб.раз НСШ-2101</t>
  </si>
  <si>
    <t>НСШ-2101</t>
  </si>
  <si>
    <t>4680942621011</t>
  </si>
  <si>
    <t>275107</t>
  </si>
  <si>
    <t>Новогодний сувенир Снежный шар"Внучка Деда Мороза" 6,5 см НСШ-3021</t>
  </si>
  <si>
    <t>НСШ-3021</t>
  </si>
  <si>
    <t>4680942630211</t>
  </si>
  <si>
    <t>275099</t>
  </si>
  <si>
    <t>Новогодний сувенирСнежный шар "Пара снегирей"" 6,5 см" НСШ-3013</t>
  </si>
  <si>
    <t>НСШ-3013</t>
  </si>
  <si>
    <t>4680942630136</t>
  </si>
  <si>
    <t>2 Снежные шары</t>
  </si>
  <si>
    <t>249081</t>
  </si>
  <si>
    <t>Новогод. снеж. шар с подсв. полирез.муз."Снежная деревня" 11.5×11.5×15(LED, 3*LR44 не в компл)Т-2460</t>
  </si>
  <si>
    <t>Т-2460</t>
  </si>
  <si>
    <t>4640306924516</t>
  </si>
  <si>
    <t>233809</t>
  </si>
  <si>
    <t>Новогодний снежный шар с подсветкой "Дед Мороз и мальчик", AG3, 4,5 см СВФ-9088</t>
  </si>
  <si>
    <t>СВФ-9088</t>
  </si>
  <si>
    <t>4670159190882</t>
  </si>
  <si>
    <t>4,5 см</t>
  </si>
  <si>
    <t>233813</t>
  </si>
  <si>
    <t>Новогодний снежный шар с подсветкой "Дед Мороз и мальчик", AG3, 6,5 см СВФ-9092</t>
  </si>
  <si>
    <t>СВФ-9092</t>
  </si>
  <si>
    <t>4670159190929</t>
  </si>
  <si>
    <t>6,5 см</t>
  </si>
  <si>
    <t>233801</t>
  </si>
  <si>
    <t>Новогодний снежный шар с подсветкой "Дед Мороз с мешочком", AG3, 6,5 см СВФ-9082</t>
  </si>
  <si>
    <t>СВФ-9082</t>
  </si>
  <si>
    <t>4670159190820</t>
  </si>
  <si>
    <t>233795</t>
  </si>
  <si>
    <t>Новогодний снежный шар с подсветкой "Дед Мороз с подарками", AG3, 4,5 см СВФ-9080</t>
  </si>
  <si>
    <t>СВФ-9080</t>
  </si>
  <si>
    <t>4670159190806</t>
  </si>
  <si>
    <t>233849</t>
  </si>
  <si>
    <t>Новогодний снежный шар с подсветкой "Дед Мороз с поделочкой", AG3,4,5см СВФ-9116</t>
  </si>
  <si>
    <t>СВФ-9116</t>
  </si>
  <si>
    <t>4670159191162</t>
  </si>
  <si>
    <t>233831</t>
  </si>
  <si>
    <t>Новогодний снежный шар с подсветкой "Солдатик на лошадке",AG3, 4,5см СВФ-9104</t>
  </si>
  <si>
    <t>СВФ-9104</t>
  </si>
  <si>
    <t>4670159191049</t>
  </si>
  <si>
    <t>233830</t>
  </si>
  <si>
    <t>Новогодний снежный шар с подсветкой "Солдатик с мишкой",AG3, 4,5см СВФ-9103</t>
  </si>
  <si>
    <t>СВФ-9103</t>
  </si>
  <si>
    <t>4670159191032</t>
  </si>
  <si>
    <t>233832</t>
  </si>
  <si>
    <t>Новогодний снежный шар с подсветкой "Солдатик",AG3, 6,5см СВФ-9105</t>
  </si>
  <si>
    <t>СВФ-9105</t>
  </si>
  <si>
    <t>4670159191056</t>
  </si>
  <si>
    <t>247780</t>
  </si>
  <si>
    <t>Новогодний снежный шар с подсветкой Волшебная метель, 13*5*8.5см,D6,5см, батар3*AG3(компл) СВШ-2244</t>
  </si>
  <si>
    <t>СВШ-2244</t>
  </si>
  <si>
    <t>4640306922444</t>
  </si>
  <si>
    <t>247769</t>
  </si>
  <si>
    <t>Новогодний снежный шар с подсветкой Волшебный праздник,9*5.5*5.5см,D4,5см,батар3*AG3(компл) СВШ-2233</t>
  </si>
  <si>
    <t>СВШ-2233</t>
  </si>
  <si>
    <t>4640306922338</t>
  </si>
  <si>
    <t>247782</t>
  </si>
  <si>
    <t>Новогодний снежный шар с подсветкой Канун праздника, 22*13см, D10см, с музыкой, раб. от USB СВШ-2246</t>
  </si>
  <si>
    <t>СВШ-2246</t>
  </si>
  <si>
    <t>4640306922468</t>
  </si>
  <si>
    <t>04640306922468</t>
  </si>
  <si>
    <t>247783</t>
  </si>
  <si>
    <t>Новогодний снежный шар с подсветкой Праздничный день, 22*13см, D10см, с музыкой, раб.от USB СВШ-2247</t>
  </si>
  <si>
    <t>СВШ-2247</t>
  </si>
  <si>
    <t>4640306922475</t>
  </si>
  <si>
    <t>04640306922475</t>
  </si>
  <si>
    <t>249084</t>
  </si>
  <si>
    <t>Новогодний снежный шар,подв. полирез.муз "Елочка и поезд" 11.5×11.5×15(LED, 3*LR44 не в комп.)Т-2463</t>
  </si>
  <si>
    <t>Т-2463</t>
  </si>
  <si>
    <t>4640306924547</t>
  </si>
  <si>
    <t>247762</t>
  </si>
  <si>
    <t>Новогодний сувенир снежный шар Новогодний паровозик, 8*6*4см, D4,5см СВШ-2226</t>
  </si>
  <si>
    <t>СВШ-2226</t>
  </si>
  <si>
    <t>4640306922260</t>
  </si>
  <si>
    <t>247763</t>
  </si>
  <si>
    <t>Новогодний сувенир снежный шар Праздничный паровозик, 8*6*4см, D4,5см СВШ-2227</t>
  </si>
  <si>
    <t>СВШ-2227</t>
  </si>
  <si>
    <t>4640306922277</t>
  </si>
  <si>
    <t>04  Украшения на окна, стены и двери</t>
  </si>
  <si>
    <t>3 Светодиодные фигуры</t>
  </si>
  <si>
    <t>233480</t>
  </si>
  <si>
    <t>Световая фигура "Фигурная снежинка", 40 см, LED, тип питания: от сети, металл, пластик СВФ-0008</t>
  </si>
  <si>
    <t>СВФ-0008</t>
  </si>
  <si>
    <t>4670159190233</t>
  </si>
  <si>
    <t>04670159190233</t>
  </si>
  <si>
    <t>4 Интерьерные наклейки</t>
  </si>
  <si>
    <t>1 Интерьерные наклейки (собственная разработка)</t>
  </si>
  <si>
    <t>14х25см</t>
  </si>
  <si>
    <t>271587</t>
  </si>
  <si>
    <t>Новогоднее оконное украшение "Зайчик", 14*25см, соб.разраб. НУ-6163</t>
  </si>
  <si>
    <t>НУ-6163</t>
  </si>
  <si>
    <t>4680942615423</t>
  </si>
  <si>
    <t>228063</t>
  </si>
  <si>
    <t>Новогоднее оконное украшение "Зимний пейзаж", 25*14,4см (собст. разраб.) НУ-7032</t>
  </si>
  <si>
    <t>НУ-7032</t>
  </si>
  <si>
    <t>4670159169949</t>
  </si>
  <si>
    <t>25*14,4см</t>
  </si>
  <si>
    <t>271590</t>
  </si>
  <si>
    <t>Новогоднее оконное украшение "Котята", 14*25см, соб.разраб. НУ-6166</t>
  </si>
  <si>
    <t>НУ-6166</t>
  </si>
  <si>
    <t>4680942615454</t>
  </si>
  <si>
    <t>228064</t>
  </si>
  <si>
    <t>Новогоднее оконное украшение "Ледяные узоры", 25*14,4см (собст. разраб.) НУ-7033</t>
  </si>
  <si>
    <t>НУ-7033</t>
  </si>
  <si>
    <t>4670159169956</t>
  </si>
  <si>
    <t>271589</t>
  </si>
  <si>
    <t>Новогоднее оконное украшение "Лесные зверушки", 14*25см, соб.разраб. НУ-6165</t>
  </si>
  <si>
    <t>НУ-6165</t>
  </si>
  <si>
    <t>4680942615447</t>
  </si>
  <si>
    <t>228062</t>
  </si>
  <si>
    <t>Новогоднее оконное украшение "Морозные узоры", 25*14,4см (собст. разраб.) НУ-7031</t>
  </si>
  <si>
    <t>НУ-7031</t>
  </si>
  <si>
    <t>4670159169932</t>
  </si>
  <si>
    <t>228065</t>
  </si>
  <si>
    <t>Новогоднее оконное украшение "Морозный салют", 25*14,4см (собст. разраб.) НУ-7034</t>
  </si>
  <si>
    <t>НУ-7034</t>
  </si>
  <si>
    <t>4670159169963</t>
  </si>
  <si>
    <t>271588</t>
  </si>
  <si>
    <t>Новогоднее оконное украшение "Морозный узор", 14*25см, соб.разраб. НУ-6164</t>
  </si>
  <si>
    <t>НУ-6164</t>
  </si>
  <si>
    <t>4680942615430</t>
  </si>
  <si>
    <t>251257</t>
  </si>
  <si>
    <t>Новогоднее оконное украшение "Новогодняя ёлка", 25х14 см (собств. разработка) НН-2089</t>
  </si>
  <si>
    <t>НН-2089</t>
  </si>
  <si>
    <t>4640306920891</t>
  </si>
  <si>
    <t>251256</t>
  </si>
  <si>
    <t>Новогоднее оконное украшение "Снегири и олень", 25х14 см (собств. разработка) НН-2088</t>
  </si>
  <si>
    <t>НН-2088</t>
  </si>
  <si>
    <t>4640306920884</t>
  </si>
  <si>
    <t>251259</t>
  </si>
  <si>
    <t>Новогоднее оконное украшение "Шишки и иголки", 25х14 см (собств. разработка) НН-2090</t>
  </si>
  <si>
    <t>НН-2090</t>
  </si>
  <si>
    <t>4640306920907</t>
  </si>
  <si>
    <t>251260</t>
  </si>
  <si>
    <t>Новогоднее оконное украшение "Щелкунчик", 25х14 см (собств. разработка) Щелкунчик НН-2091</t>
  </si>
  <si>
    <t>НН-2091</t>
  </si>
  <si>
    <t>4640306920914</t>
  </si>
  <si>
    <t>18х18см</t>
  </si>
  <si>
    <t>271591</t>
  </si>
  <si>
    <t>Новогоднее оконное украшение "Зимние котики", 18*18см, соб.разраб. НУ-6167</t>
  </si>
  <si>
    <t>НУ-6167</t>
  </si>
  <si>
    <t>4680942615461</t>
  </si>
  <si>
    <t>271594</t>
  </si>
  <si>
    <t>Новогоднее оконное украшение "Милые зверята", 18*18см, соб.разраб. НУ-6370</t>
  </si>
  <si>
    <t>НУ-6370</t>
  </si>
  <si>
    <t>4680942615492</t>
  </si>
  <si>
    <t>251254</t>
  </si>
  <si>
    <t>Новогоднее оконное украшение "Морозные снежинки", 18х18 см (собств. разработка) НН-2086</t>
  </si>
  <si>
    <t>НН-2086</t>
  </si>
  <si>
    <t>4640306920860</t>
  </si>
  <si>
    <t>228061</t>
  </si>
  <si>
    <t>Новогоднее оконное украшение "Новогоднее настроение", 18*18см (собст. разраб.) НУ-7030</t>
  </si>
  <si>
    <t>НУ-7030</t>
  </si>
  <si>
    <t>4670159169925</t>
  </si>
  <si>
    <t>18*18см</t>
  </si>
  <si>
    <t>251252</t>
  </si>
  <si>
    <t>Новогоднее оконное украшение "Новогоднее настроение", 18х18 см (собств. разработка) НН-2084</t>
  </si>
  <si>
    <t>НН-2084</t>
  </si>
  <si>
    <t>4640306920846</t>
  </si>
  <si>
    <t>228059</t>
  </si>
  <si>
    <t>Новогоднее оконное украшение "Новогоднее счастье", 18*18см (собст. разраб.) НУ-7029</t>
  </si>
  <si>
    <t>НУ-7029</t>
  </si>
  <si>
    <t>4670159169918</t>
  </si>
  <si>
    <t>271593</t>
  </si>
  <si>
    <t>Новогоднее оконное украшение "Праздник", 18*18см, соб.разраб. НУ-6169</t>
  </si>
  <si>
    <t>НУ-6169</t>
  </si>
  <si>
    <t>4680942615485</t>
  </si>
  <si>
    <t>251253</t>
  </si>
  <si>
    <t>Новогоднее оконное украшение "Снежинки на окнах", 18х18 см (собств. разработка) НН-2085</t>
  </si>
  <si>
    <t>НН-2085</t>
  </si>
  <si>
    <t>4640306920853</t>
  </si>
  <si>
    <t>271592</t>
  </si>
  <si>
    <t>Новогоднее оконное украшение "Снежинки", 18*18см, соб.разраб. НУ-6168</t>
  </si>
  <si>
    <t>НУ-6168</t>
  </si>
  <si>
    <t>4680942615478</t>
  </si>
  <si>
    <t>228056</t>
  </si>
  <si>
    <t>Новогоднее оконное украшение "Снежная метель", 18*18см (собст. разраб.) НУ-7027</t>
  </si>
  <si>
    <t>НУ-7027</t>
  </si>
  <si>
    <t>4670159169895</t>
  </si>
  <si>
    <t>251255</t>
  </si>
  <si>
    <t>Новогоднее оконное украшение "Уютный зимний вечер", 18х18 см (собств. разработка) НН-2087</t>
  </si>
  <si>
    <t>НН-2087</t>
  </si>
  <si>
    <t>4640306920877</t>
  </si>
  <si>
    <t>25х25см</t>
  </si>
  <si>
    <t>251264</t>
  </si>
  <si>
    <t>Новогоднее оконное украшение  "Новогодняя ёлка", 25х25 см (собств. разработка) НН-2095</t>
  </si>
  <si>
    <t>НН-2095</t>
  </si>
  <si>
    <t>4640306920952</t>
  </si>
  <si>
    <t>228069</t>
  </si>
  <si>
    <t>Новогоднее оконное украшение "Волшебные оленята", 25*25см (собст. разраб.) НУ-7037</t>
  </si>
  <si>
    <t>НУ-7037</t>
  </si>
  <si>
    <t>4670159169994</t>
  </si>
  <si>
    <t>25*25см</t>
  </si>
  <si>
    <t>228070</t>
  </si>
  <si>
    <t>Новогоднее оконное украшение "Волшебный декор", 25*25см (собст. разраб.) НУ-7038</t>
  </si>
  <si>
    <t>НУ-7038</t>
  </si>
  <si>
    <t>4670159170006</t>
  </si>
  <si>
    <t>271598</t>
  </si>
  <si>
    <t>Новогоднее оконное украшение "Волшебство", 25*25см, соб.разраб. НУ-6374</t>
  </si>
  <si>
    <t>НУ-6374</t>
  </si>
  <si>
    <t>4680942615539</t>
  </si>
  <si>
    <t>228067</t>
  </si>
  <si>
    <t>Новогоднее оконное украшение "Зимний уют", 25*25см (собст. разраб.) НУ-7035</t>
  </si>
  <si>
    <t>НУ-7035</t>
  </si>
  <si>
    <t>4670159169970</t>
  </si>
  <si>
    <t>271596</t>
  </si>
  <si>
    <t>Новогоднее оконное украшение "Морозные снежинки", 25*25см, соб.разраб. НУ-6372</t>
  </si>
  <si>
    <t>НУ-6372</t>
  </si>
  <si>
    <t>4680942615515</t>
  </si>
  <si>
    <t>251261</t>
  </si>
  <si>
    <t>Новогоднее оконное украшение "Новогодние котики", 25х25 см (собств. разработка) НН-2092</t>
  </si>
  <si>
    <t>НН-2092</t>
  </si>
  <si>
    <t>4640306920921</t>
  </si>
  <si>
    <t>228068</t>
  </si>
  <si>
    <t>Новогоднее оконное украшение "Сказочное торжество", 25*25см (собст. разраб.) НУ-7036</t>
  </si>
  <si>
    <t>НУ-7036</t>
  </si>
  <si>
    <t>4670159169987</t>
  </si>
  <si>
    <t>251262</t>
  </si>
  <si>
    <t>Новогоднее оконное украшение "Снегирь и снежинки", 25х25 см (собств. разработка) НН-2093</t>
  </si>
  <si>
    <t>НН-2093</t>
  </si>
  <si>
    <t>4640306920938</t>
  </si>
  <si>
    <t>271595</t>
  </si>
  <si>
    <t>Новогоднее оконное украшение "Снегирь на венке", 25*25см, соб.разраб. НУ-6371</t>
  </si>
  <si>
    <t>НУ-6371</t>
  </si>
  <si>
    <t>4680942615508</t>
  </si>
  <si>
    <t>271597</t>
  </si>
  <si>
    <t>Новогоднее оконное украшение "Счастливые зверята", 25*25см, соб.разраб. НУ-6373</t>
  </si>
  <si>
    <t>НУ-6373</t>
  </si>
  <si>
    <t>4680942615522</t>
  </si>
  <si>
    <t>30х40см</t>
  </si>
  <si>
    <t>193592</t>
  </si>
  <si>
    <t>Интерьерная наклейка  " Новогодний Дедушка Мороз", 30*40см НУ-6881</t>
  </si>
  <si>
    <t>НУ-6881</t>
  </si>
  <si>
    <t>4620129768818</t>
  </si>
  <si>
    <t>30х40 см</t>
  </si>
  <si>
    <t>193595</t>
  </si>
  <si>
    <t>Интерьерная наклейка  "Еловый венок", 30*40см НУ-6884</t>
  </si>
  <si>
    <t>НУ-6884</t>
  </si>
  <si>
    <t>4620129768849</t>
  </si>
  <si>
    <t>254422</t>
  </si>
  <si>
    <t>Новогоднее оконное украшение  с раскраской "Тройка" 30х40 см (собств. разработка) НУ-2934</t>
  </si>
  <si>
    <t>НУ-2934</t>
  </si>
  <si>
    <t>4640306929344</t>
  </si>
  <si>
    <t>251271</t>
  </si>
  <si>
    <t>Новогоднее оконное украшение  с раскраской. "Милые животные", 30х40 см (собств. разработка) НН-2099</t>
  </si>
  <si>
    <t>НН-2099</t>
  </si>
  <si>
    <t>4640306920990</t>
  </si>
  <si>
    <t>228079</t>
  </si>
  <si>
    <t>Новогоднее оконное украшение "Атмосфера праздника", 30*40см,с раскраск.(собст. разраб.) НУ-7043</t>
  </si>
  <si>
    <t>НУ-7043</t>
  </si>
  <si>
    <t>4670159170051</t>
  </si>
  <si>
    <t>30*40см</t>
  </si>
  <si>
    <t>271583</t>
  </si>
  <si>
    <t>Новогоднее оконное украшение "Волшебные олени", 30*42см, соб.разраб. НУ-6159</t>
  </si>
  <si>
    <t>НУ-6159</t>
  </si>
  <si>
    <t>4680942615386</t>
  </si>
  <si>
    <t>228075</t>
  </si>
  <si>
    <t>Новогоднее оконное украшение "Волшебный Дедушка Мороз", 30*40см,с раскраск.(собст. разраб.) НУ-7041</t>
  </si>
  <si>
    <t>НУ-7041</t>
  </si>
  <si>
    <t>4670159170037</t>
  </si>
  <si>
    <t>228077</t>
  </si>
  <si>
    <t>Новогоднее оконное украшение "Зимний снеговичок", 30*40см,с раскраск.(собст. разраб.) НУ-7042</t>
  </si>
  <si>
    <t>НУ-7042</t>
  </si>
  <si>
    <t>4670159170044</t>
  </si>
  <si>
    <t>228071</t>
  </si>
  <si>
    <t>Новогоднее оконное украшение "Зимняя принцесса", 30*40см,с раскраск.(собст. разраб.) НУ-7039</t>
  </si>
  <si>
    <t>НУ-7039</t>
  </si>
  <si>
    <t>4670159170013</t>
  </si>
  <si>
    <t>271584</t>
  </si>
  <si>
    <t>Новогоднее оконное украшение "Новогоднее настроение", 30*42см, соб.разраб. НУ-6160</t>
  </si>
  <si>
    <t>НУ-6160</t>
  </si>
  <si>
    <t>4680942615393</t>
  </si>
  <si>
    <t>271581</t>
  </si>
  <si>
    <t>Новогоднее оконное украшение "Новогоднее счастье", 30*42см, соб.разраб. НУ-6157</t>
  </si>
  <si>
    <t>НУ-6157</t>
  </si>
  <si>
    <t>4680942615362</t>
  </si>
  <si>
    <t>271582</t>
  </si>
  <si>
    <t>Новогоднее оконное украшение "Новогоднее чудо", 30*42см, соб.разраб. НУ-6158</t>
  </si>
  <si>
    <t>НУ-6158</t>
  </si>
  <si>
    <t>4680942615379</t>
  </si>
  <si>
    <t>271586</t>
  </si>
  <si>
    <t>Новогоднее оконное украшение "Новогодняя сказка", 30*42см, соб.разраб. НУ-6162</t>
  </si>
  <si>
    <t>НУ-6162</t>
  </si>
  <si>
    <t>4680942615416</t>
  </si>
  <si>
    <t>228073</t>
  </si>
  <si>
    <t>Новогоднее оконное украшение "Праздничный канун", 30*40см,с раскраск.(собст. разраб.) НУ-7040</t>
  </si>
  <si>
    <t>НУ-7040</t>
  </si>
  <si>
    <t>4670159170020</t>
  </si>
  <si>
    <t>271585</t>
  </si>
  <si>
    <t>Новогоднее оконное украшение "Сказочные друзья", 30*42см, соб.разраб. НУ-6161</t>
  </si>
  <si>
    <t>НУ-6161</t>
  </si>
  <si>
    <t>4680942615409</t>
  </si>
  <si>
    <t>251272</t>
  </si>
  <si>
    <t>Новогоднее оконное украшение с раскраской "Новогодний венок", 30х40 см (собств. разработка) НН-2100</t>
  </si>
  <si>
    <t>НН-2100</t>
  </si>
  <si>
    <t>4640306921003</t>
  </si>
  <si>
    <t>251268</t>
  </si>
  <si>
    <t>Новогоднее оконное украшение с раскраской "Снегири и пряничные домики" 30х40см(собств разр.) НН-2098</t>
  </si>
  <si>
    <t>НН-2098</t>
  </si>
  <si>
    <t>4640306920983</t>
  </si>
  <si>
    <t>251267</t>
  </si>
  <si>
    <t>Новогоднее оконное украшение с раскраской. "Снегурочка", 30х40 см (собств. разработка) НН-2097</t>
  </si>
  <si>
    <t>НН-2097</t>
  </si>
  <si>
    <t>4640306920976</t>
  </si>
  <si>
    <t>2 Интерьерные наклейки</t>
  </si>
  <si>
    <t>155254</t>
  </si>
  <si>
    <t>Интерьерная наклейка "Новогодняя ёлочка" 18*18 см НУ-8897</t>
  </si>
  <si>
    <t>НУ-8897</t>
  </si>
  <si>
    <t>4680088488974</t>
  </si>
  <si>
    <t>18x18см</t>
  </si>
  <si>
    <t>155173</t>
  </si>
  <si>
    <t>Интерьерная наклейка "Дед Мороз с подарками" 25*25см НУ-9238</t>
  </si>
  <si>
    <t>НУ-9238</t>
  </si>
  <si>
    <t>4680088482385</t>
  </si>
  <si>
    <t>25*25 см</t>
  </si>
  <si>
    <t>155186</t>
  </si>
  <si>
    <t>Интерьерная наклейка "Набор Северные олени" 25x14.4см НУ-9251</t>
  </si>
  <si>
    <t>НУ-9251</t>
  </si>
  <si>
    <t>4680088482514</t>
  </si>
  <si>
    <t>25x14.4см</t>
  </si>
  <si>
    <t>5 Силиконовые наклейки "Собственная разработка"</t>
  </si>
  <si>
    <t>15х15см</t>
  </si>
  <si>
    <t>251424</t>
  </si>
  <si>
    <t>Силиконовая новогодняя наклейка "Краснощекий снегирь" собств.разр., 15*15 см НУ-9590</t>
  </si>
  <si>
    <t>НУ-9590</t>
  </si>
  <si>
    <t>4670159225904</t>
  </si>
  <si>
    <t>189860</t>
  </si>
  <si>
    <t>Силиконовая новогодняя наклейка Белочка 15*15 см "Собственная разработка" НУ-6614</t>
  </si>
  <si>
    <t>НУ-6614</t>
  </si>
  <si>
    <t>4620129766142</t>
  </si>
  <si>
    <t>189858</t>
  </si>
  <si>
    <t>Силиконовая новогодняя наклейка Зайчик с конфеткой 15*15 см "Собственная разработка"  НУ-6612</t>
  </si>
  <si>
    <t>НУ-6612</t>
  </si>
  <si>
    <t>4620129766128</t>
  </si>
  <si>
    <t>189857</t>
  </si>
  <si>
    <t>Силиконовая новогодняя наклейка Новогодний оленёнок 15*15 см "Собственная разработка" НУ-6611</t>
  </si>
  <si>
    <t>НУ-6611</t>
  </si>
  <si>
    <t>4620129766111</t>
  </si>
  <si>
    <t>20х25см</t>
  </si>
  <si>
    <t>251428</t>
  </si>
  <si>
    <t>Силиконовая новогодняя наклейка "Белый мишка" собств.разр., 20*25 см НУ-9593</t>
  </si>
  <si>
    <t>НУ-9593</t>
  </si>
  <si>
    <t>4670159225935</t>
  </si>
  <si>
    <t>227980</t>
  </si>
  <si>
    <t>Силиконовая новогодняя наклейка "Ёлочка с подарками" 20*25см(собс.разраб) НУ-7013</t>
  </si>
  <si>
    <t>НУ-7013</t>
  </si>
  <si>
    <t>4670159169581</t>
  </si>
  <si>
    <t>20*25 см</t>
  </si>
  <si>
    <t>251429</t>
  </si>
  <si>
    <t>Силиконовая новогодняя наклейка "Новогодний пингвин" собств.разр., 20*25 см НУ-9594</t>
  </si>
  <si>
    <t>НУ-9594</t>
  </si>
  <si>
    <t>4670159225942</t>
  </si>
  <si>
    <t>227982</t>
  </si>
  <si>
    <t>Силиконовая новогодняя наклейка "Ёловый венок" 25*25см(собс.разраб) НУ-7015</t>
  </si>
  <si>
    <t>НУ-7015</t>
  </si>
  <si>
    <t>4670159169604</t>
  </si>
  <si>
    <t>251431</t>
  </si>
  <si>
    <t>Силиконовая новогодняя наклейка "Зайчик у ёлки" собств.разр., 25*25 см НУ-9596</t>
  </si>
  <si>
    <t>НУ-9596</t>
  </si>
  <si>
    <t>4670159225966</t>
  </si>
  <si>
    <t>227983</t>
  </si>
  <si>
    <t>Силиконовая новогодняя наклейка "Зимние колокольчики" 25*25см(собств.разраб) НУ-7016</t>
  </si>
  <si>
    <t>НУ-7016</t>
  </si>
  <si>
    <t>4670159169611</t>
  </si>
  <si>
    <t>251433</t>
  </si>
  <si>
    <t>Силиконовая новогодняя наклейка "Праздничный венок" собств.разр., 25*25 см НУ-9598</t>
  </si>
  <si>
    <t>НУ-9598</t>
  </si>
  <si>
    <t>4670159225980</t>
  </si>
  <si>
    <t>251432</t>
  </si>
  <si>
    <t>Силиконовая новогодняя наклейка "Снежные лисята" собств.разр., 25*25 см НУ-9597</t>
  </si>
  <si>
    <t>НУ-9597</t>
  </si>
  <si>
    <t>4670159225973</t>
  </si>
  <si>
    <t>251430</t>
  </si>
  <si>
    <t>Силиконовая новогодняя наклейка "Совёнок с подарками" собств.разр., 25*25 см НУ-9595</t>
  </si>
  <si>
    <t>НУ-9595</t>
  </si>
  <si>
    <t>4670159225959</t>
  </si>
  <si>
    <t>189865</t>
  </si>
  <si>
    <t>Силиконовая новогодняя наклейка Добрый зайчик 25*25 см  "Собственная разработка" НУ-6619</t>
  </si>
  <si>
    <t>НУ-6619</t>
  </si>
  <si>
    <t>4620129766197</t>
  </si>
  <si>
    <t>189864</t>
  </si>
  <si>
    <t>Силиконовая новогодняя наклейка Сладкий домик 25*25 см "Собственная разработка" НУ-6618</t>
  </si>
  <si>
    <t>НУ-6618</t>
  </si>
  <si>
    <t>4620129766180</t>
  </si>
  <si>
    <t>25х33см</t>
  </si>
  <si>
    <t>227987</t>
  </si>
  <si>
    <t>Силиконовая новогодняя наклейка "Внучка Дедушки Мороза с друзьями" 25*33см(собс.разраб) НУ-7020</t>
  </si>
  <si>
    <t>НУ-7020</t>
  </si>
  <si>
    <t>4670159169659</t>
  </si>
  <si>
    <t>25*33см</t>
  </si>
  <si>
    <t>251434</t>
  </si>
  <si>
    <t>Силиконовая новогодняя наклейка "Дед Мороз красный нос" собств.разр., 25*33 см НУ-9599</t>
  </si>
  <si>
    <t>НУ-9599</t>
  </si>
  <si>
    <t>4670159225997</t>
  </si>
  <si>
    <t>228287</t>
  </si>
  <si>
    <t>Силиконовая новогодняя наклейка "Зайка у ёлочки" 25*33см(собс.разраб) НУ-7060</t>
  </si>
  <si>
    <t>НУ-7060</t>
  </si>
  <si>
    <t>4670159170600</t>
  </si>
  <si>
    <t>189873</t>
  </si>
  <si>
    <t>Силиконовая новогодняя наклейка Европейские зайчики 25*33 см "Собственная разработка"  НУ-6627</t>
  </si>
  <si>
    <t>НУ-6627</t>
  </si>
  <si>
    <t>4620129766272</t>
  </si>
  <si>
    <t>25*33 см</t>
  </si>
  <si>
    <t>6 Оформительские плакаты</t>
  </si>
  <si>
    <t>104267</t>
  </si>
  <si>
    <t>Оформительский плакат на скотче Милый Санта,45 см,глиттер НУ-0857</t>
  </si>
  <si>
    <t>НУ-0857</t>
  </si>
  <si>
    <t>4665306708577</t>
  </si>
  <si>
    <t>40х31,5 см</t>
  </si>
  <si>
    <t>064683</t>
  </si>
  <si>
    <t>Оформительский плакат на скотче Новогодняя упряжка, 45 см, глиттер НУ-8256</t>
  </si>
  <si>
    <t>НУ-8256</t>
  </si>
  <si>
    <t>4665301782565</t>
  </si>
  <si>
    <t>05 Новогодние венки</t>
  </si>
  <si>
    <t>276580</t>
  </si>
  <si>
    <t>Новогодний венок  "Яркий праздник", пластик, ПВХ, 20 см НУП-4308</t>
  </si>
  <si>
    <t>НУП-4308</t>
  </si>
  <si>
    <t>4680942643082</t>
  </si>
  <si>
    <t>201752</t>
  </si>
  <si>
    <t>Новогодний венок "Ноель", 45см НУ-2382</t>
  </si>
  <si>
    <t>НУ-2382</t>
  </si>
  <si>
    <t>4670159023821</t>
  </si>
  <si>
    <t>45  СМ</t>
  </si>
  <si>
    <t>203564</t>
  </si>
  <si>
    <t>Новогодний венок "Яркие краски", 30см НУ-2385</t>
  </si>
  <si>
    <t>НУ-2385</t>
  </si>
  <si>
    <t>4670159023852</t>
  </si>
  <si>
    <t>ПВХ + Литые</t>
  </si>
  <si>
    <t>203379</t>
  </si>
  <si>
    <t>Новогодний венок  " Зимний праздник", 50 см. НУ-1970</t>
  </si>
  <si>
    <t>НУ-1970</t>
  </si>
  <si>
    <t>4670159019701</t>
  </si>
  <si>
    <t>276584</t>
  </si>
  <si>
    <t>Новогодний венок  "Чудо", пластик, ПВХ, 50 см НУП-4312</t>
  </si>
  <si>
    <t>НУП-4312</t>
  </si>
  <si>
    <t>4680942643129</t>
  </si>
  <si>
    <t>276583</t>
  </si>
  <si>
    <t>Новогодний венок "Литая ель", пластик, ПВХ, 45 см НУП-4311</t>
  </si>
  <si>
    <t>НУП-4311</t>
  </si>
  <si>
    <t>4680942643112</t>
  </si>
  <si>
    <t>276586</t>
  </si>
  <si>
    <t>Новогодний венок "Огонёчки" с подсв. на батар. 2*AA (не в комплекте),пластик,ПВХ, LED, 30см НУП-4314</t>
  </si>
  <si>
    <t>НУП-4314</t>
  </si>
  <si>
    <t>4680942643143</t>
  </si>
  <si>
    <t>276582</t>
  </si>
  <si>
    <t>Новогодний венок "Огоньки" с подсв. на батар. 2*AA (не в комплекте),пластик, ПВХ, LED, 45см НУП-4310</t>
  </si>
  <si>
    <t>НУП-4310</t>
  </si>
  <si>
    <t>4680942643105</t>
  </si>
  <si>
    <t>06 Декоративные ветки</t>
  </si>
  <si>
    <t>097697</t>
  </si>
  <si>
    <t>Декоративная ветка Время чудес НУ-2414</t>
  </si>
  <si>
    <t>НУ-2414</t>
  </si>
  <si>
    <t>4665305424140</t>
  </si>
  <si>
    <t>276592</t>
  </si>
  <si>
    <t>Декоративная ветка Ёлочка, пластик, ПВХ, 40 см НУП-4319</t>
  </si>
  <si>
    <t>НУП-4319</t>
  </si>
  <si>
    <t>4680942643198</t>
  </si>
  <si>
    <t>186894</t>
  </si>
  <si>
    <t>Декоративная ветка Новогоднее настроение, 14 см НУ-6098</t>
  </si>
  <si>
    <t>НУ-6098</t>
  </si>
  <si>
    <t>4620129750981</t>
  </si>
  <si>
    <t>14 см</t>
  </si>
  <si>
    <t>186895</t>
  </si>
  <si>
    <t>Декоративная ветка Новогодние чудеса, 14 см НУ-6099</t>
  </si>
  <si>
    <t>НУ-6099</t>
  </si>
  <si>
    <t>4620129750998</t>
  </si>
  <si>
    <t>097696</t>
  </si>
  <si>
    <t>Декоративная ветка Праздник на пороге НУ-2413</t>
  </si>
  <si>
    <t>НУ-2413</t>
  </si>
  <si>
    <t>4665305424133</t>
  </si>
  <si>
    <t>276587</t>
  </si>
  <si>
    <t>Декоративная ветка Прекрасный день, пластик, ПВХ, 30 см НУП-4315</t>
  </si>
  <si>
    <t>НУП-4315</t>
  </si>
  <si>
    <t>4680942643150</t>
  </si>
  <si>
    <t>276588</t>
  </si>
  <si>
    <t>Декоративная ветка Пушистая красавица, пластик, ПВХ, 46 см НУП-4316</t>
  </si>
  <si>
    <t>НУП-4316</t>
  </si>
  <si>
    <t>4680942643167</t>
  </si>
  <si>
    <t>08 Наборы новогодних прищепок</t>
  </si>
  <si>
    <t>211143</t>
  </si>
  <si>
    <t>Набор новогодних деревянных прищепок "Маленькая елочка", 6шт, 2.5см НУ-7474</t>
  </si>
  <si>
    <t>НУ-7474</t>
  </si>
  <si>
    <t>4670159074748</t>
  </si>
  <si>
    <t>211144</t>
  </si>
  <si>
    <t>Набор новогодних деревянных прищепок "Снегопад", 6шт, 2.5см НУ-7475</t>
  </si>
  <si>
    <t>НУ-7475</t>
  </si>
  <si>
    <t>4670159074755</t>
  </si>
  <si>
    <t>Керамические</t>
  </si>
  <si>
    <t>211139</t>
  </si>
  <si>
    <t>Набор новогодних прищепок  из дерева с декором из керамики "Яркие подарочки", 8шт, 2.5см НУ-7473</t>
  </si>
  <si>
    <t>НУ-7473</t>
  </si>
  <si>
    <t>4670159074731</t>
  </si>
  <si>
    <t>211135</t>
  </si>
  <si>
    <t>Набор новогодних прищепок  из дерева с декором из керамики "Яркие снежинки", 8шт, 2.5см  НУ-7471</t>
  </si>
  <si>
    <t>НУ-7471</t>
  </si>
  <si>
    <t>4670159074717</t>
  </si>
  <si>
    <t>211134</t>
  </si>
  <si>
    <t>Набор новогодних прищепок  из дерева с декором из керамики"Праздничная елочка",8шт,2.5см НУ-7470</t>
  </si>
  <si>
    <t>НУ-7470</t>
  </si>
  <si>
    <t>4670159074700</t>
  </si>
  <si>
    <t>211137</t>
  </si>
  <si>
    <t>Набор новогодних прищепок  из дерева с декором из керамики"Яркие ёлочки", 8шт, 2.5см НУ-7472</t>
  </si>
  <si>
    <t>НУ-7472</t>
  </si>
  <si>
    <t>4670159074724</t>
  </si>
  <si>
    <t>10 Магниты</t>
  </si>
  <si>
    <t>227827</t>
  </si>
  <si>
    <t>Магнит из полирезины "Китайский фонарик яркий", 7*4см (собс.разр) НУ-6920</t>
  </si>
  <si>
    <t>НУ-6920</t>
  </si>
  <si>
    <t>4670159169253</t>
  </si>
  <si>
    <t>7*4 см</t>
  </si>
  <si>
    <t>11 Свечи декоративные</t>
  </si>
  <si>
    <t>207714</t>
  </si>
  <si>
    <t>Свеча декоративная "Милая ёлочка" с ароматом  морского помело,  6.5*3*8сm, зеленая.УД-6208</t>
  </si>
  <si>
    <t>УД-6208</t>
  </si>
  <si>
    <t>4670159062080</t>
  </si>
  <si>
    <t>12 Новогодние цветы</t>
  </si>
  <si>
    <t>1 Текстильные цветы</t>
  </si>
  <si>
    <t>1 Текстильные цветы (штучные)</t>
  </si>
  <si>
    <t>203656</t>
  </si>
  <si>
    <t>Новогоднее украшение. Рождественский цветок "Золотистый цвет"  24 см, золотистый НУ-3994</t>
  </si>
  <si>
    <t>НУ-3994</t>
  </si>
  <si>
    <t>4670159039945</t>
  </si>
  <si>
    <t>276606</t>
  </si>
  <si>
    <t>Новогоднее украшение. Рождественский цветок "Нежно розовый", 16 см, текстиль, розовый НУП-4326</t>
  </si>
  <si>
    <t>НУП-4326</t>
  </si>
  <si>
    <t>4680942643266</t>
  </si>
  <si>
    <t>276603</t>
  </si>
  <si>
    <t>Новогоднее украшение. Рождественский цветок "Прекрасный цветок", 16 см, текстиль, золотой НУП-4324</t>
  </si>
  <si>
    <t>НУП-4324</t>
  </si>
  <si>
    <t>4680942643242</t>
  </si>
  <si>
    <t>203652</t>
  </si>
  <si>
    <t>Новогоднее украшение. Рождественский цветок "Рубиновый цвет"  27см,красный НУ-3991</t>
  </si>
  <si>
    <t>НУ-3991</t>
  </si>
  <si>
    <t>4670159039914</t>
  </si>
  <si>
    <t>276613</t>
  </si>
  <si>
    <t>Новогоднее украшение. Рождественский цветок "Чудесный день", 23 см текстиль, серебро НУП-4330</t>
  </si>
  <si>
    <t>НУП-4330</t>
  </si>
  <si>
    <t>4680942643303</t>
  </si>
  <si>
    <t>276598</t>
  </si>
  <si>
    <t>Новогоднее украшение. Рождественский цветок "Ярко-красный", 16 см, текстиль, красный НУП-4322</t>
  </si>
  <si>
    <t>НУП-4322</t>
  </si>
  <si>
    <t>4680942643228</t>
  </si>
  <si>
    <t>2 Пластиковые цветы</t>
  </si>
  <si>
    <t>162128</t>
  </si>
  <si>
    <t>Набор новогодних золотых цветов 12,5 см 2 шт НУ-4956</t>
  </si>
  <si>
    <t>НУ-4956</t>
  </si>
  <si>
    <t>4680088494562</t>
  </si>
  <si>
    <t>12,5 см</t>
  </si>
  <si>
    <t>162129</t>
  </si>
  <si>
    <t>Набор новогодних синих цветов 12,5 см 2 шт НУ-4957</t>
  </si>
  <si>
    <t>НУ-4957</t>
  </si>
  <si>
    <t>4680088494579</t>
  </si>
  <si>
    <t>08 Карнавальная атрибутика</t>
  </si>
  <si>
    <t>Новогодние колпаки, шапочки, борода</t>
  </si>
  <si>
    <t>200628</t>
  </si>
  <si>
    <t>Колпак новогодний красный, Блестящие снежинки, 29*40 см НУ-1932</t>
  </si>
  <si>
    <t>НУ-1932</t>
  </si>
  <si>
    <t>4670159019824</t>
  </si>
  <si>
    <t>29*40 см</t>
  </si>
  <si>
    <t>200627</t>
  </si>
  <si>
    <t>Колпак новогодний красный, Чудесные снежинки, 29*40 см НУ-1931</t>
  </si>
  <si>
    <t>НУ-1931</t>
  </si>
  <si>
    <t>4670159019817</t>
  </si>
  <si>
    <t>200648</t>
  </si>
  <si>
    <t>Колпак новогодний с бородой Прекрасный праздник, красный 28*39 см  НУ-1947</t>
  </si>
  <si>
    <t>НУ-1947</t>
  </si>
  <si>
    <t>4670159019978</t>
  </si>
  <si>
    <t>28*39 см</t>
  </si>
  <si>
    <t>Новогодние носки</t>
  </si>
  <si>
    <t>251335</t>
  </si>
  <si>
    <t>Набор носков для подарков, 4 шт., 14*9 см НУ-2636</t>
  </si>
  <si>
    <t>НУ-2636</t>
  </si>
  <si>
    <t>4640306926305</t>
  </si>
  <si>
    <t>200643</t>
  </si>
  <si>
    <t>Носок для подарков Дедушка Мороз, красный, 17*34 см  НУ-1944</t>
  </si>
  <si>
    <t>НУ-1944</t>
  </si>
  <si>
    <t>4670159019947</t>
  </si>
  <si>
    <t>17*34 см</t>
  </si>
  <si>
    <t>Ободки и заколки новогодние</t>
  </si>
  <si>
    <t>209894</t>
  </si>
  <si>
    <t>Карнавальный набор 2 в 1 "Холодная фея" (палочка, ободок) КРК-7306</t>
  </si>
  <si>
    <t>КРК-7306</t>
  </si>
  <si>
    <t>4670159073062</t>
  </si>
  <si>
    <t>122396</t>
  </si>
  <si>
    <t>Карнавальный ободок Нежные снежинки КРК-5755</t>
  </si>
  <si>
    <t>КРК-5755</t>
  </si>
  <si>
    <t>4665307357552</t>
  </si>
  <si>
    <t>20х24</t>
  </si>
  <si>
    <t>163354</t>
  </si>
  <si>
    <t>Новогоднее украшение. Набор заколок для волос 2 шт.  Оленьи рожки, 8 см НУ-2461</t>
  </si>
  <si>
    <t>НУ-2461</t>
  </si>
  <si>
    <t>4610144814614</t>
  </si>
  <si>
    <t>5*8 см</t>
  </si>
  <si>
    <t>200634</t>
  </si>
  <si>
    <t>Новогоднее украшение. Набор заколок для волос 2 шт., Блестящие красные рожки, 7*8,5 см НУ-1938</t>
  </si>
  <si>
    <t>НУ-1938</t>
  </si>
  <si>
    <t>4670159019886</t>
  </si>
  <si>
    <t>7*8,5 см</t>
  </si>
  <si>
    <t>Очки новогодние</t>
  </si>
  <si>
    <t>235109</t>
  </si>
  <si>
    <t>Новогоднее украшение. Очки карнавальные Зеленые рожки, 14*12 см НУ-9998</t>
  </si>
  <si>
    <t>НУ-9998</t>
  </si>
  <si>
    <t>4670159199885</t>
  </si>
  <si>
    <t>14*12 см</t>
  </si>
  <si>
    <t>200636</t>
  </si>
  <si>
    <t>Новогоднее украшение. Очки карнавальные Золотистые рожки, 14*12 см НУ-1940</t>
  </si>
  <si>
    <t>НУ-1940</t>
  </si>
  <si>
    <t>4670159019909</t>
  </si>
  <si>
    <t>235110</t>
  </si>
  <si>
    <t>Новогоднее украшение. Очки карнавальные Красные рожки, 14*12 см НУ-9999</t>
  </si>
  <si>
    <t>НУ-9999</t>
  </si>
  <si>
    <t>4670159199892</t>
  </si>
  <si>
    <t>235111</t>
  </si>
  <si>
    <t>Новогоднее украшение. Очки карнавальные Серебристые рожки, 14*12 см НУ-9990</t>
  </si>
  <si>
    <t>НУ-9990</t>
  </si>
  <si>
    <t>4670159199908</t>
  </si>
  <si>
    <t>09 Хлопушки с конфетти</t>
  </si>
  <si>
    <t>Хлопушки  11,5 - 12 см.</t>
  </si>
  <si>
    <t>253722</t>
  </si>
  <si>
    <t>Хлопушка пружинная. Круглое конфетти (бумажное) 24 шт в ш/б 11,5 (собс.раз) см Х-2872</t>
  </si>
  <si>
    <t>Х-2872</t>
  </si>
  <si>
    <t>4640306928187</t>
  </si>
  <si>
    <t>32.99.51.190</t>
  </si>
  <si>
    <t>Хлопушки  15 см.</t>
  </si>
  <si>
    <t>253731</t>
  </si>
  <si>
    <t>Хлопушка пружинная. Серпантин (бумажный), 15 см, 24 шт в ш/б (собс.раз) Х-2877</t>
  </si>
  <si>
    <t>Х-2877</t>
  </si>
  <si>
    <t>4640306928231</t>
  </si>
  <si>
    <t>Хлопушки  20 см.</t>
  </si>
  <si>
    <t>253734</t>
  </si>
  <si>
    <t>Хлопушка пневматическая. Ассорти (фольгированное), 20 см 24 шт в ш/б (собс.раз) Х-2879</t>
  </si>
  <si>
    <t>Х-2879</t>
  </si>
  <si>
    <t>4640306928255</t>
  </si>
  <si>
    <t>хлопушка 20 см.</t>
  </si>
  <si>
    <t>Хлопушки  25 см.</t>
  </si>
  <si>
    <t>162185</t>
  </si>
  <si>
    <t>Хлопушка Праздничная. Конфетти круглое серебряное (фольгированное) 25 см Х-8921</t>
  </si>
  <si>
    <t>Х-8921</t>
  </si>
  <si>
    <t>4680088489216</t>
  </si>
  <si>
    <t>162188</t>
  </si>
  <si>
    <t>Хлопушка Праздничная. Конфетти серебряное (фольгированное) 25 см Х-8922</t>
  </si>
  <si>
    <t>Х-8922</t>
  </si>
  <si>
    <t>4680088489223</t>
  </si>
  <si>
    <t>Хлопушки  30 см.</t>
  </si>
  <si>
    <t>253743</t>
  </si>
  <si>
    <t>Хлопушка пневматическая. Звезды (фольг), 30 см 12 шт в ш/б (собс.раз) Х-2886</t>
  </si>
  <si>
    <t>Х-2886</t>
  </si>
  <si>
    <t>4640306928323</t>
  </si>
  <si>
    <t>253745</t>
  </si>
  <si>
    <t>Хлопушка пневматическая. Серпантин (фольг) и серпантин (бумаж), 30 см 12 шт в ш/б (собс.раз) Х-2887</t>
  </si>
  <si>
    <t>Х-2887</t>
  </si>
  <si>
    <t>4640306928330</t>
  </si>
  <si>
    <t>116874</t>
  </si>
  <si>
    <t>Хлопушка. Бабахалка. Доллары 30 см. Х-4401</t>
  </si>
  <si>
    <t>Х-4401</t>
  </si>
  <si>
    <t>4665307344019</t>
  </si>
  <si>
    <t>Хлопушки  40 см.</t>
  </si>
  <si>
    <t>253749</t>
  </si>
  <si>
    <t>Хлопушка пневматическая. Ассорти (фольг) и серпантин (бумаж), 40 см 12 шт в ш/б (собс.раз) Х-2888</t>
  </si>
  <si>
    <t>Х-2888</t>
  </si>
  <si>
    <t>4640306928347</t>
  </si>
  <si>
    <t>хлопушка 40 см.</t>
  </si>
  <si>
    <t>253751</t>
  </si>
  <si>
    <t>Хлопушка пневматическая. Ассорти (фольг) и серпантин (фольг), 40 см 12 шт в ш/б (собс.раз) Х-2889</t>
  </si>
  <si>
    <t>Х-2889</t>
  </si>
  <si>
    <t>4640306928354</t>
  </si>
  <si>
    <t>253754</t>
  </si>
  <si>
    <t>Хлопушка пневматическая. Доллары, 40 см 12 шт в ш/б (собс.раз) Х-2890</t>
  </si>
  <si>
    <t>Х-2890</t>
  </si>
  <si>
    <t>4640306928361</t>
  </si>
  <si>
    <t>253757</t>
  </si>
  <si>
    <t>Хлопушка пневматическая. Звезды (фольг) и серпантин (бумаж), 40 см 12 шт в ш/б (собс.раз) Х-2941</t>
  </si>
  <si>
    <t>Х-2941</t>
  </si>
  <si>
    <t>4640306928385</t>
  </si>
  <si>
    <t>253756</t>
  </si>
  <si>
    <t>Хлопушка пневматическая. Звезды (фольг), 40 см 12 шт в ш/б (собс.раз) Х-2940</t>
  </si>
  <si>
    <t>Х-2940</t>
  </si>
  <si>
    <t>4640306928378</t>
  </si>
  <si>
    <t>045590</t>
  </si>
  <si>
    <t>Хлопушка. Бабахалка. Доллары 40 см. Х-1524</t>
  </si>
  <si>
    <t>Х-1524</t>
  </si>
  <si>
    <t>4665295515248</t>
  </si>
  <si>
    <t>Хлопушки  50 см.</t>
  </si>
  <si>
    <t>253762</t>
  </si>
  <si>
    <t>Хлопушка пневматическая. Звезды (фольгированные), 50 см 12 шт в ш/б (собс.раз) Х-2944</t>
  </si>
  <si>
    <t>Х-2944</t>
  </si>
  <si>
    <t>4640306928415</t>
  </si>
  <si>
    <t>хлопушка 50 см.</t>
  </si>
  <si>
    <t>04 ПОДАРОЧНАЯ УПАКОВКА</t>
  </si>
  <si>
    <t xml:space="preserve"> 01 Подарочные пакеты</t>
  </si>
  <si>
    <t>01 Подарочные пакеты бумажные</t>
  </si>
  <si>
    <t>01 Под бутылку</t>
  </si>
  <si>
    <t>Dream cards Крафт</t>
  </si>
  <si>
    <t>271132</t>
  </si>
  <si>
    <t>Dream cards Пакет подар. бел. крафт бум, тис.фол 12х36х8,5см Подарок от ДМ, 190г соб.раз. ППК-0919</t>
  </si>
  <si>
    <t>ППК-0919</t>
  </si>
  <si>
    <t>4680942610893</t>
  </si>
  <si>
    <t>271133</t>
  </si>
  <si>
    <t>Dream cards Пакет подар. бел. крафт бум, тис.фол 12х36х8,5см Снежного счастья, 190г соб.раз ППК-0920</t>
  </si>
  <si>
    <t>ППК-0920</t>
  </si>
  <si>
    <t>4680942610909</t>
  </si>
  <si>
    <t>271131</t>
  </si>
  <si>
    <t>DС Пакет подар. бел. крафт бум тис.фол 12х36х8,5см Бутылочка для настроения, 190г соб.раз ППК-0918</t>
  </si>
  <si>
    <t>ППК-0918</t>
  </si>
  <si>
    <t>4680942610886</t>
  </si>
  <si>
    <t>Матовая ламинация (12x36x8,5 см)</t>
  </si>
  <si>
    <t>271126</t>
  </si>
  <si>
    <t>Пакет подарочный с мат.лам.  12х36х8,5 см (Bottle) Два бокала, 157г  соб.раз. ППК-0913</t>
  </si>
  <si>
    <t>ППК-0913</t>
  </si>
  <si>
    <t>4680942610831</t>
  </si>
  <si>
    <t>271123</t>
  </si>
  <si>
    <t>Пакет подарочный с мат.лам. 12х36х8,5 см (Bottle) Ёлочная композиция, 157г соб.раз. ППК-0910</t>
  </si>
  <si>
    <t>ППК-0910</t>
  </si>
  <si>
    <t>4680942610800</t>
  </si>
  <si>
    <t>247411</t>
  </si>
  <si>
    <t>Пакет подарочный с мат.лам. 12х36х8,5 см (Bottle) Золотистый, 157г  (собст.разр.) ППК-2269</t>
  </si>
  <si>
    <t>ППК-2269</t>
  </si>
  <si>
    <t>4640306922697</t>
  </si>
  <si>
    <t>17.21.12.000</t>
  </si>
  <si>
    <t>12x36x8,5 см</t>
  </si>
  <si>
    <t>271127</t>
  </si>
  <si>
    <t>Пакет подарочный с мат.лам. 12х36х8,5 см (Bottle) Неоновые шарики, 157г  соб.раз. ППК-0914</t>
  </si>
  <si>
    <t>ППК-0914</t>
  </si>
  <si>
    <t>4680942610848</t>
  </si>
  <si>
    <t>271125</t>
  </si>
  <si>
    <t>Пакет подарочный с мат.лам. 12х36х8,5 см (Bottle) Новогодний венок, 157г  соб.раз. ППК-0912</t>
  </si>
  <si>
    <t>ППК-0912</t>
  </si>
  <si>
    <t>4680942610824</t>
  </si>
  <si>
    <t>271124</t>
  </si>
  <si>
    <t>Пакет подарочный с мат.лам. 12х36х8,5 см (Bottle) Новогодняя композиция, 157г соб.раз. ППК-0911</t>
  </si>
  <si>
    <t>ППК-0911</t>
  </si>
  <si>
    <t>4680942610817</t>
  </si>
  <si>
    <t>271122</t>
  </si>
  <si>
    <t>Пакет подарочный с мат.лам. 12х36х8,5 см (Bottle) Роскошного Нового Года, 157г собст.разр. ППК-0909</t>
  </si>
  <si>
    <t>ППК-0909</t>
  </si>
  <si>
    <t>4680942610794</t>
  </si>
  <si>
    <t>247412</t>
  </si>
  <si>
    <t>Пакет подарочный с мат.лам. 12х36х8,5 см (Bottle) С Новым годом, 157г  (собст.разр.) ППК-2270</t>
  </si>
  <si>
    <t>ППК-2270</t>
  </si>
  <si>
    <t>4640306922703</t>
  </si>
  <si>
    <t>247407</t>
  </si>
  <si>
    <t>Пакет подарочный с мат.лам. 12х36х8,5 см (Bottle) С Новым годом, 157г (собст.разр.) ППК-2265</t>
  </si>
  <si>
    <t>ППК-2265</t>
  </si>
  <si>
    <t>4640306922659</t>
  </si>
  <si>
    <t>271129</t>
  </si>
  <si>
    <t>Пакет подарочный с мат.лам. 12х36х8,5 см (Bottle) Светящиеся снежинки, 157г  соб.раз. ППК-0916</t>
  </si>
  <si>
    <t>ППК-0916</t>
  </si>
  <si>
    <t>4680942610862</t>
  </si>
  <si>
    <t>02 Размер S</t>
  </si>
  <si>
    <t>OPTIMA</t>
  </si>
  <si>
    <t>271248</t>
  </si>
  <si>
    <t>Optima Пакет подарочный с глянц.ламин. 11,5х14,5х6 см (S) Еловые веточки, 128г соб.раз. ППК-0930</t>
  </si>
  <si>
    <t>ППК-0930</t>
  </si>
  <si>
    <t>4680942611005</t>
  </si>
  <si>
    <t>271246</t>
  </si>
  <si>
    <t>Optima Пакет подарочный с глянц.ламин. 11,5х14,5х6 см (S) Золотистые часы, 128г соб.раз. ППК-0928</t>
  </si>
  <si>
    <t>ППК-0928</t>
  </si>
  <si>
    <t>4680942610985</t>
  </si>
  <si>
    <t>271247</t>
  </si>
  <si>
    <t>Optima Пакет подарочный с глянц.ламин. 11,5х14,5х6 см (S) Конфетки, 128г соб.раз. ППК-0929</t>
  </si>
  <si>
    <t>ППК-0929</t>
  </si>
  <si>
    <t>4680942610992</t>
  </si>
  <si>
    <t>271243</t>
  </si>
  <si>
    <t>Optima Пакет подарочный с глянц.ламин. 11,5х14,5х6 см (S) Новогодний щенок, 128г  соб.раз. ППК-0926</t>
  </si>
  <si>
    <t>ППК-0926</t>
  </si>
  <si>
    <t>4680942610961</t>
  </si>
  <si>
    <t>271249</t>
  </si>
  <si>
    <t>Optima Пакет подарочный с глянц.ламин. 11,5х14,5х6 см (S) Снегири, 128г соб.раз. ППК-0931</t>
  </si>
  <si>
    <t>ППК-0931</t>
  </si>
  <si>
    <t>4680942611012</t>
  </si>
  <si>
    <t>271244</t>
  </si>
  <si>
    <t>Optima Пакет подарочный с глянц.ламин. 11,5х14,5х6 см (S) Спящий котик, 128г соб.раз. ППК-0927</t>
  </si>
  <si>
    <t>ППК-0927</t>
  </si>
  <si>
    <t>4680942610978</t>
  </si>
  <si>
    <t>Глянцевая ламинация  (12 х 15 х 6)</t>
  </si>
  <si>
    <t>261806</t>
  </si>
  <si>
    <t>Optima Пакет подарочный с глянц. лам. 11,5x14,5x6 см (S) Дорогие часы, 128 г ППК-7984</t>
  </si>
  <si>
    <t>ППК-7984</t>
  </si>
  <si>
    <t>4630493779846</t>
  </si>
  <si>
    <t>261815</t>
  </si>
  <si>
    <t>Optima Пакет подарочный с глянц. лам. 11,5х14,5х6 см (S) Галстук, 128г(собс. разр.) ППК-7992</t>
  </si>
  <si>
    <t>ППК-7992</t>
  </si>
  <si>
    <t>4630493779921</t>
  </si>
  <si>
    <t>261816</t>
  </si>
  <si>
    <t>Optima Пакет подарочный с глянц. лам. 11,5х14,5х6 см (S) Мужчина в синем галстуке, 128 г ППК-7993</t>
  </si>
  <si>
    <t>ППК-7993</t>
  </si>
  <si>
    <t>4630493779938</t>
  </si>
  <si>
    <t>258729</t>
  </si>
  <si>
    <t>Optima Пакет подарочный с глянц.лам. 18х23х8 см (M)   Дедушка Мороз, 128г ППК-7147</t>
  </si>
  <si>
    <t>ППК-7147</t>
  </si>
  <si>
    <t>4630493771475</t>
  </si>
  <si>
    <t>258730</t>
  </si>
  <si>
    <t>Optima Пакет подарочный с глянц.лам. 18х23х8 см (M)  Ёлка с подарками, 128г ППК-7150</t>
  </si>
  <si>
    <t>ППК-7150</t>
  </si>
  <si>
    <t>4630493771505</t>
  </si>
  <si>
    <t>269439</t>
  </si>
  <si>
    <t>Пакет подарочный с глянц.лам. 11,5x14,5x6см (S) Новогодний заяц, 128г (собс. разр.) ППК-7202 сп.30</t>
  </si>
  <si>
    <t>ППК-7202</t>
  </si>
  <si>
    <t>269434</t>
  </si>
  <si>
    <t>Пакет подарочный с глянц.лам.11,5x14,5x6 см (S) Пушистый кот, 128г (собс. разр.) ППК-7220,сп.30</t>
  </si>
  <si>
    <t>ППК-7220</t>
  </si>
  <si>
    <t>247413</t>
  </si>
  <si>
    <t>Пакет подарочный с глянц.ламин. 11,5х14,5х6 см (S) Белочка, 157г (собст.разр.) ППК-2271</t>
  </si>
  <si>
    <t>ППК-2271</t>
  </si>
  <si>
    <t>4640306922710</t>
  </si>
  <si>
    <t>(S standart) 11,5x14,5x6 cm</t>
  </si>
  <si>
    <t>271239</t>
  </si>
  <si>
    <t>Пакет подарочный с глянц.ламин. 11,5х14,5х6 см (S) Машинка с подарками, 157г соб.раз. ППК-0923</t>
  </si>
  <si>
    <t>ППК-0923</t>
  </si>
  <si>
    <t>4680942610930</t>
  </si>
  <si>
    <t>271240</t>
  </si>
  <si>
    <t>Пакет подарочный с глянц.ламин. 11,5х14,5х6 см (S) Новогодние украшения, 157г соб.раз. ППК-0924</t>
  </si>
  <si>
    <t>ППК-0924</t>
  </si>
  <si>
    <t>4680942610947</t>
  </si>
  <si>
    <t>271230</t>
  </si>
  <si>
    <t>Пакет подарочный с глянц.ламин. 11,5х14,5х6 см (S) Пингвинчик, 157г соб.раз. ППК-0921</t>
  </si>
  <si>
    <t>ППК-0921</t>
  </si>
  <si>
    <t>4680942610916</t>
  </si>
  <si>
    <t>271241</t>
  </si>
  <si>
    <t>Пакет подарочный с глянц.ламин. 11,5х14,5х6 см (S) Рыжий котёнок, 157г соб.раз. ППК-0925</t>
  </si>
  <si>
    <t>ППК-0925</t>
  </si>
  <si>
    <t>4680942610954</t>
  </si>
  <si>
    <t>258694</t>
  </si>
  <si>
    <t>Пакет подарочный с глянц.ламин.11,5x14,5x6 см (S)  Новогодний заяц, 128г ППК-7202</t>
  </si>
  <si>
    <t>4630493772021</t>
  </si>
  <si>
    <t>258692</t>
  </si>
  <si>
    <t>Пакет подарочный с глянц.ламин.11,5x14,5x6 см (S) Внучка, 128г ППК-7199</t>
  </si>
  <si>
    <t>ППК-7199</t>
  </si>
  <si>
    <t>4630493771994</t>
  </si>
  <si>
    <t>258686</t>
  </si>
  <si>
    <t>Пакет подарочный с глянц.ламин.11,5x14,5x6 см (S) Дед Мороз с подарками, 128г ППК-7192</t>
  </si>
  <si>
    <t>ППК-7192</t>
  </si>
  <si>
    <t>4630493771925</t>
  </si>
  <si>
    <t>258689</t>
  </si>
  <si>
    <t>Пакет подарочный с глянц.ламин.11,5x14,5x6 см (S) Дед Мороз, 128г ППК-7196</t>
  </si>
  <si>
    <t>ППК-7196</t>
  </si>
  <si>
    <t>4630493771963</t>
  </si>
  <si>
    <t>247417</t>
  </si>
  <si>
    <t>Пакет подарочный с глянц.ламин.11,5x14,5x6 см (S) Елочные шарики, 128г ППК-2273</t>
  </si>
  <si>
    <t>ППК-2273</t>
  </si>
  <si>
    <t>4640306922734</t>
  </si>
  <si>
    <t>258708</t>
  </si>
  <si>
    <t>Пакет подарочный с глянц.ламин.11,5x14,5x6 см (S) Исполнение желаний, 128г ППК-7217</t>
  </si>
  <si>
    <t>ППК-7217</t>
  </si>
  <si>
    <t>4630493772175</t>
  </si>
  <si>
    <t>258711</t>
  </si>
  <si>
    <t>Пакет подарочный с глянц.ламин.11,5x14,5x6 см (S) Пушистый кот, 128г ППК-7220</t>
  </si>
  <si>
    <t>4630493772205</t>
  </si>
  <si>
    <t>258717</t>
  </si>
  <si>
    <t>Пакет подарочный с глянц.ламин.11,5x14,5x6 см (S) Рождественская ёлка, 128г ППК-7229</t>
  </si>
  <si>
    <t>ППК-7229</t>
  </si>
  <si>
    <t>4630493772298</t>
  </si>
  <si>
    <t>258721</t>
  </si>
  <si>
    <t>Пакет подарочный с глянц.ламин.11,5x14,5x6 см (S) Рождество, 128г ППК-7237</t>
  </si>
  <si>
    <t>ППК-7237</t>
  </si>
  <si>
    <t>4630493772373</t>
  </si>
  <si>
    <t>258718</t>
  </si>
  <si>
    <t>Пакет подарочный с глянц.ламин.11,5x14,5x6 см (S) Сказка, 128г ППК-7231</t>
  </si>
  <si>
    <t>ППК-7231</t>
  </si>
  <si>
    <t>4630493772311</t>
  </si>
  <si>
    <t>258720</t>
  </si>
  <si>
    <t>Пакет подарочный с глянц.ламин.11,5x14,5x6 см (S) Стеклянный шар, 128г ППК-7235</t>
  </si>
  <si>
    <t>ППК-7235</t>
  </si>
  <si>
    <t>4630493772359</t>
  </si>
  <si>
    <t>258703</t>
  </si>
  <si>
    <t>Пакет подарочный с глянц.ламин.11,5x14,5x6 см (S) Щелкунчик у ёлки, 128г ППК-7210</t>
  </si>
  <si>
    <t>ППК-7210</t>
  </si>
  <si>
    <t>4630493772106</t>
  </si>
  <si>
    <t>258705</t>
  </si>
  <si>
    <t>Пакет подарочный с глянц.ламин.11,5x14,5x6 см (S) Щелкунчик, 128г ППК-7213</t>
  </si>
  <si>
    <t>ППК-7213</t>
  </si>
  <si>
    <t>4630493772137</t>
  </si>
  <si>
    <t>Крафт S</t>
  </si>
  <si>
    <t>231951</t>
  </si>
  <si>
    <t>Пакет подарочный из крафт-бумаги 16х18х7 см (craft S) Чудесные украшения,130 г(собс.раз.) ПКП-8291</t>
  </si>
  <si>
    <t>ПКП-8291</t>
  </si>
  <si>
    <t>4670159182917</t>
  </si>
  <si>
    <t>16х18х7 см (craft S)</t>
  </si>
  <si>
    <t>Лицензия</t>
  </si>
  <si>
    <t>Чебурашка</t>
  </si>
  <si>
    <t>236218</t>
  </si>
  <si>
    <t>Пакет подарочный с глянц.лам. 11,5x14,5x6см(S) "Чебурашка в колпаке"128г ЛИЦЕНЗИЯ/Чебурашка ПКП-0390</t>
  </si>
  <si>
    <t>ПКП-0390</t>
  </si>
  <si>
    <t>4670159204787</t>
  </si>
  <si>
    <t>236219</t>
  </si>
  <si>
    <t>Пакет подарочный с глянц.лам. 11,5x14,5x6см(S)"Чебурашка и снежинки"128г ЛИЦЕНЗИЯ/Чебурашка ПКП-0391</t>
  </si>
  <si>
    <t>ПКП-0391</t>
  </si>
  <si>
    <t>4670159204794</t>
  </si>
  <si>
    <t>236217</t>
  </si>
  <si>
    <t>Пакет подарочный с глянц.лам.11,5x14,5x6см(S) "Новогодний Чебурашка"128г ЛИЦЕНЗИЯ/Чебурашка ПКП-0389</t>
  </si>
  <si>
    <t>ПКП-0389</t>
  </si>
  <si>
    <t>4670159204770</t>
  </si>
  <si>
    <t>03 Размер MS</t>
  </si>
  <si>
    <t xml:space="preserve"> OPTIMA</t>
  </si>
  <si>
    <t>271261</t>
  </si>
  <si>
    <t>Optima Пакет подарочный с глянц.лам. 14х20х6,5 см (MS)  Заснеженные домики, 128г соб.раз. ППК-0936</t>
  </si>
  <si>
    <t>ППК-0936</t>
  </si>
  <si>
    <t>4680942611067</t>
  </si>
  <si>
    <t>271258</t>
  </si>
  <si>
    <t>Optima Пакет подарочный с глянц.лам. 14х20х6,5 см (MS) Зайка у ёлки, 128г соб.раз. ППК-0933</t>
  </si>
  <si>
    <t>ППК-0933</t>
  </si>
  <si>
    <t>4680942611036</t>
  </si>
  <si>
    <t>271262</t>
  </si>
  <si>
    <t>Optima Пакет подарочный с глянц.лам. 14х20х6,5 см (MS) Праздничный бант, 128г соб.раз. ППК-0937</t>
  </si>
  <si>
    <t>ППК-0937</t>
  </si>
  <si>
    <t>4680942611074</t>
  </si>
  <si>
    <t>247438</t>
  </si>
  <si>
    <t>Optima Пакет подарочный с глянц.лам. 14х20х6,5 см (MS) Синий с ёлкой, 128г(собс. разр.) ППК-2280</t>
  </si>
  <si>
    <t>ППК-2280</t>
  </si>
  <si>
    <t>4640306922802</t>
  </si>
  <si>
    <t>(MS optima) 14x20x6,5 cm</t>
  </si>
  <si>
    <t>271260</t>
  </si>
  <si>
    <t>Optima Пакет подарочный с глянц.лам. 14х20х6,5см (MS) Новогоднее настроение, 128г соб.разр ППК-0935</t>
  </si>
  <si>
    <t>ППК-0935</t>
  </si>
  <si>
    <t>4680942611050</t>
  </si>
  <si>
    <t>271259</t>
  </si>
  <si>
    <t>Optima Пакет подарочный с глянц.лам. 14х20х6,5см MS Дед Мороз на опушке, 128г (собс.разр.) ППК-0934</t>
  </si>
  <si>
    <t>ППК-0934</t>
  </si>
  <si>
    <t>4680942611043</t>
  </si>
  <si>
    <t>271257</t>
  </si>
  <si>
    <t>Optima Пакет подарочный с глянц.лам. 14х20х6,5см MS Новогоднее приключение, 128г соб.раз. ППК-0932</t>
  </si>
  <si>
    <t>ППК-0932</t>
  </si>
  <si>
    <t>4680942611029</t>
  </si>
  <si>
    <t>DREAM CARDS</t>
  </si>
  <si>
    <t>Dream cards матовая ламинация</t>
  </si>
  <si>
    <t>271298</t>
  </si>
  <si>
    <t>Dream cards Пакет подарочный с мат.лам. 14х20х6,5 см (MS) Ёлка из подарков, 190г соб.раз. ППК-0939</t>
  </si>
  <si>
    <t>ППК-0939</t>
  </si>
  <si>
    <t>4680942611098</t>
  </si>
  <si>
    <t>271300</t>
  </si>
  <si>
    <t>Dream cards Пакет подарочный с мат.лам. 14х20х6,5 см (MS) Медвежонок, 190г соб.раз. ППК-0941</t>
  </si>
  <si>
    <t>ППК-0941</t>
  </si>
  <si>
    <t>4680942611111</t>
  </si>
  <si>
    <t>271299</t>
  </si>
  <si>
    <t>Dream cards Пакет подарочный с мат.лам. 14х20х6,5 см (MS) Снегирь на ветке, 190г соб.раз. ППК-0940</t>
  </si>
  <si>
    <t>ППК-0940</t>
  </si>
  <si>
    <t>4680942611104</t>
  </si>
  <si>
    <t>271297</t>
  </si>
  <si>
    <t>Dream cards Пакет подарочный с мат.лам. 14х20х6,5 см (MS) Сова с подарком, 190г соб.раз. ППК-0938</t>
  </si>
  <si>
    <t>ППК-0938</t>
  </si>
  <si>
    <t>4680942611081</t>
  </si>
  <si>
    <t>271301</t>
  </si>
  <si>
    <t>Dream cards Пакет подарочный с мат.лам. 14х20х6,5см (MS) Ёлочное настроение, 190г соб.раз ППК-0942</t>
  </si>
  <si>
    <t>ППК-0942</t>
  </si>
  <si>
    <t>4680942611128</t>
  </si>
  <si>
    <t>Dream Cards матовая ламинация и тис. фольгой</t>
  </si>
  <si>
    <t>231927</t>
  </si>
  <si>
    <t>Dream Cards Пакет подар.с мат.лам.и тис.ф.14*20*6,5см(MS)Брызги шампанского,190г(соб.раз.) ПКП-8275</t>
  </si>
  <si>
    <t>ПКП-8275</t>
  </si>
  <si>
    <t>4670159182757</t>
  </si>
  <si>
    <t>14*20*6,5см(MS)</t>
  </si>
  <si>
    <t>271302</t>
  </si>
  <si>
    <t>Пакет подарочный с глянц.лам. 14х20х6,5 см (MS) Новогодний пингвин, 157г соб.раз. ППК-0943</t>
  </si>
  <si>
    <t>ППК-0943</t>
  </si>
  <si>
    <t>4680942611135</t>
  </si>
  <si>
    <t>271307</t>
  </si>
  <si>
    <t>Пакет подарочный с глянц.лам. 14х20х6,5 см (MS) Новогодняя ночь, 157г соб.раз. ППК-0947</t>
  </si>
  <si>
    <t>ППК-0947</t>
  </si>
  <si>
    <t>4680942611173</t>
  </si>
  <si>
    <t>271303</t>
  </si>
  <si>
    <t>Пакет подарочный с глянц.лам. 14х20х6,5 см (MS) Новогодняя почта, 157г соб.раз. ППК-0944</t>
  </si>
  <si>
    <t>ППК-0944</t>
  </si>
  <si>
    <t>4680942611142</t>
  </si>
  <si>
    <t>271306</t>
  </si>
  <si>
    <t>Пакет подарочный с глянц.лам. 14х20х6,5 см (MS) Новый Год в красном, 157г соб.раз. ППК-0946</t>
  </si>
  <si>
    <t>ППК-0946</t>
  </si>
  <si>
    <t>4680942611166</t>
  </si>
  <si>
    <t>271308</t>
  </si>
  <si>
    <t>Пакет подарочный с глянц.лам. 14х20х6,5 см (MS) Снежинка, 157г соб.раз. ППК-0948</t>
  </si>
  <si>
    <t>ППК-0948</t>
  </si>
  <si>
    <t>4680942611180</t>
  </si>
  <si>
    <t>04 Размер M</t>
  </si>
  <si>
    <t>DREAM CARDS (18 х 23 х 10)</t>
  </si>
  <si>
    <t>Dream Cards (18 *23*10) Крафт</t>
  </si>
  <si>
    <t>271329</t>
  </si>
  <si>
    <t>DС Пакет подар. из бел. крафт бумаги и тис.фол 18х23х10см Ёлочная веточка, 190г соб.раз. ППК-0965</t>
  </si>
  <si>
    <t>ППК-0965</t>
  </si>
  <si>
    <t>4680942611357</t>
  </si>
  <si>
    <t>271331</t>
  </si>
  <si>
    <t>DС Пакет подар. из бел. крафт бумаги и тис.фол 18х23х10см Подарок от ДМ, 190г соб.раз. ППК-0966</t>
  </si>
  <si>
    <t>ППК-0966</t>
  </si>
  <si>
    <t>4680942611364</t>
  </si>
  <si>
    <t>271333</t>
  </si>
  <si>
    <t>DС Пакет подар. из белой крафт бумаги и тис.фол. 18х23х10см Золотисные шары, 190г соб.раз. ППК-0968</t>
  </si>
  <si>
    <t>ППК-0968</t>
  </si>
  <si>
    <t>4680942611388</t>
  </si>
  <si>
    <t>271332</t>
  </si>
  <si>
    <t>DС Пакет подар. из белой крафт. бумаги и тис.фол. 18х23х10см Поздравление, 190г соб.раз. ППК-0967</t>
  </si>
  <si>
    <t>ППК-0967</t>
  </si>
  <si>
    <t>4680942611371</t>
  </si>
  <si>
    <t>Dream Cards (18 *23*10) мат. лам. и тиснение фольгой</t>
  </si>
  <si>
    <t>271317</t>
  </si>
  <si>
    <t>Dream cards Пакет подар. мат.лам и тис.фол 18х23х10см Волшебного Нового Года, 190г соб.раз ППК-0955</t>
  </si>
  <si>
    <t>ППК-0955</t>
  </si>
  <si>
    <t>4680942611258</t>
  </si>
  <si>
    <t>271313</t>
  </si>
  <si>
    <t>Dream cards Пакет подар. с мат.лам и тис.фол. 18х23х10см M Россыпь снежинок, 190г соб.раз ППК-0951</t>
  </si>
  <si>
    <t>ППК-0951</t>
  </si>
  <si>
    <t>4680942611210</t>
  </si>
  <si>
    <t>271311</t>
  </si>
  <si>
    <t>Dream cards Пакет подар. с мат.лам и тис.фол.18х23х10см M Новогодняя сказка, 190г соб.раз ППК-0949</t>
  </si>
  <si>
    <t>ППК-0949</t>
  </si>
  <si>
    <t>4680942611197</t>
  </si>
  <si>
    <t>271312</t>
  </si>
  <si>
    <t>Dream cards Пакет подар. с мат.лам. и тис. фол. 18х23х10см (M) Подарочки, 190г соб.раз. ППК-0950</t>
  </si>
  <si>
    <t>ППК-0950</t>
  </si>
  <si>
    <t>4680942611203</t>
  </si>
  <si>
    <t>247450</t>
  </si>
  <si>
    <t>Dream cards Пакет подар. с мат.лам. и тис. фол.18х23х10 см (M) Снегурочка, 190г(собс.раз.) ППК-2292</t>
  </si>
  <si>
    <t>ППК-2292</t>
  </si>
  <si>
    <t>4640306922925</t>
  </si>
  <si>
    <t>(M Dream Cards) 18x23x10 cm</t>
  </si>
  <si>
    <t>271321</t>
  </si>
  <si>
    <t>Dream cards Пакет подар. с мат.лам. и тис.фол. 18х23х10см (M) Новогодние часы, 190г соб.раз ППК-0958</t>
  </si>
  <si>
    <t>ППК-0958</t>
  </si>
  <si>
    <t>4680942611289</t>
  </si>
  <si>
    <t>247449</t>
  </si>
  <si>
    <t>Dream cards Пакет подар. с мат.лам. и тис.фол.18х23х10 см (M) Золотистые олени,190г(собс.р.)ППК-2291</t>
  </si>
  <si>
    <t>ППК-2291</t>
  </si>
  <si>
    <t>4640306922918</t>
  </si>
  <si>
    <t>271316</t>
  </si>
  <si>
    <t>Dream cards Пакет подарочный с мат.лам и тис.фол 18х23х10см M, Ёлка из шаров, 190г соб.раз ППК-0954</t>
  </si>
  <si>
    <t>ППК-0954</t>
  </si>
  <si>
    <t>4680942611241</t>
  </si>
  <si>
    <t>271314</t>
  </si>
  <si>
    <t>Dream cards Пакет подарочный с мат.лам и тис.фол 18х23х10см Новогодний венок, 190г соб.раз ППК-0952</t>
  </si>
  <si>
    <t>ППК-0952</t>
  </si>
  <si>
    <t>4680942611227</t>
  </si>
  <si>
    <t>271315</t>
  </si>
  <si>
    <t>Dream cards Пакет подарочный с мат.лам и тис.фол. 18х23х10см Ёлочные игрушки, 190г соб.раз ППК-0953</t>
  </si>
  <si>
    <t>ППК-0953</t>
  </si>
  <si>
    <t>4680942611234</t>
  </si>
  <si>
    <t>247460</t>
  </si>
  <si>
    <t>Dream cards Пакет подарочный с мат.лам. и тис.фол. 18х23х10 см (M) Звёзды, 190г(собс.раз.) ППК-2302</t>
  </si>
  <si>
    <t>ППК-2302</t>
  </si>
  <si>
    <t>4640306923021</t>
  </si>
  <si>
    <t>247458</t>
  </si>
  <si>
    <t>Dream cards Пакет подарочный с мат.лам. и тис.фол.. 18х23х10 см (M) Подарки,190г(собс.раз.) ППК-2300</t>
  </si>
  <si>
    <t>ППК-2300</t>
  </si>
  <si>
    <t>4640306923007</t>
  </si>
  <si>
    <t>247453</t>
  </si>
  <si>
    <t>Dream cards Пакет подарочный с мат.лам. и тис.фол.. 18х23х10 см (M) С Новым годом,190г(с.р.)ППК-2295</t>
  </si>
  <si>
    <t>ППК-2295</t>
  </si>
  <si>
    <t>4640306922956</t>
  </si>
  <si>
    <t>247452</t>
  </si>
  <si>
    <t>Dream cards Пакет подарочный с мат.лам. и тис.фол..18х23х10 см (M) Золотистые шары, 190г ППК-2294</t>
  </si>
  <si>
    <t>ППК-2294</t>
  </si>
  <si>
    <t>4640306922949</t>
  </si>
  <si>
    <t>247456</t>
  </si>
  <si>
    <t>Dream cards Пакет подарочный с мат.лам. и тис.фол.18х23х10 см (M) Ёлки, 190г(собс.раз.) ППК-2298</t>
  </si>
  <si>
    <t>ППК-2298</t>
  </si>
  <si>
    <t>4640306922987</t>
  </si>
  <si>
    <t>247457</t>
  </si>
  <si>
    <t>Dream cards Пакет подарочный с мат.лам. и тис.фол.18х23х10 см (M) Зеленые шарики, 190г(с.р.)ППК-2299</t>
  </si>
  <si>
    <t>ППК-2299</t>
  </si>
  <si>
    <t>4640306922994</t>
  </si>
  <si>
    <t>247454</t>
  </si>
  <si>
    <t>Dream cards Пакет подарочный с мат.лам. и тис.фол.18х23х10 см (M) Синие шары, 190г(собс.р.) ППК-2296</t>
  </si>
  <si>
    <t>ППК-2296</t>
  </si>
  <si>
    <t>4640306922963</t>
  </si>
  <si>
    <t>247455</t>
  </si>
  <si>
    <t>Dream cards Пакет подарочный с мат.лам. и тис.фол.18х23х10см (M) Новогодний вихрь,190г(с.р.)ППК-2297</t>
  </si>
  <si>
    <t>ППК-2297</t>
  </si>
  <si>
    <t>4640306922970</t>
  </si>
  <si>
    <t>271319</t>
  </si>
  <si>
    <t>Dream cards Пакет подарочный с мат.лам. и тис.фол.18х23х10см (M) Синие шары, 190г соб.раз ППК-0957</t>
  </si>
  <si>
    <t>ППК-0957</t>
  </si>
  <si>
    <t>4680942611272</t>
  </si>
  <si>
    <t>271318</t>
  </si>
  <si>
    <t>Dream cards Пакет подарочный с мат.лам. и тис.фол.18х23х10см (M) Филин, 190г соб.раз ППК-0956</t>
  </si>
  <si>
    <t>ППК-0956</t>
  </si>
  <si>
    <t>4680942611265</t>
  </si>
  <si>
    <t>Dream Cards (18 *23*10) матовая ламинация и глиттер</t>
  </si>
  <si>
    <t>271323</t>
  </si>
  <si>
    <t>Dream cards Пакет подар. мат.лам и глит. 18х23х10см (M) Новогодняя красавица, 190г соб.раз ППК-0960</t>
  </si>
  <si>
    <t>ППК-0960</t>
  </si>
  <si>
    <t>4680942611302</t>
  </si>
  <si>
    <t>271324</t>
  </si>
  <si>
    <t>Dream cards Пакет подароч. мат.лам и глит 18х23х10см (M) Снегири на дереве, 190г соб.раз ППК-0961</t>
  </si>
  <si>
    <t>ППК-0961</t>
  </si>
  <si>
    <t>4680942611319</t>
  </si>
  <si>
    <t>248696</t>
  </si>
  <si>
    <t>Dream cards Пакет подароч. мат.лам. глит 18х23х10 см (M) Лошадка со звездой, 190г(собс.раз) ППК-2423</t>
  </si>
  <si>
    <t>ППК-2423</t>
  </si>
  <si>
    <t>4640306924400</t>
  </si>
  <si>
    <t>271325</t>
  </si>
  <si>
    <t>Dream cards Пакет подароч. мат.лам. и глит. 18х23х10см (M) Красный подарок, 190г соб.раз ППК-0962</t>
  </si>
  <si>
    <t>ППК-0962</t>
  </si>
  <si>
    <t>4680942611326</t>
  </si>
  <si>
    <t>271326</t>
  </si>
  <si>
    <t>Dream cards Пакет подароч. с мат.лам и глит. 18х23х10см (M) Блестящая ёлка, 190г соб.раз ППК-0963</t>
  </si>
  <si>
    <t>ППК-0963</t>
  </si>
  <si>
    <t>4680942611333</t>
  </si>
  <si>
    <t>248695</t>
  </si>
  <si>
    <t>Dream cards Пакет подароч. с мат.лам. глит. 18х23х10 см (M) Пони с подарком, 190г(собс.раз) ППК-2422</t>
  </si>
  <si>
    <t>ППК-2422</t>
  </si>
  <si>
    <t>4640306924394</t>
  </si>
  <si>
    <t>247472</t>
  </si>
  <si>
    <t>Dream cards Пакет подароч. с мат.лам. и глит. 18х23х10 см (M) Ёлки, 190г(собс.раз.) ППК-2311</t>
  </si>
  <si>
    <t>ППК-2311</t>
  </si>
  <si>
    <t>4640306923113</t>
  </si>
  <si>
    <t>248697</t>
  </si>
  <si>
    <t>Dream cards Пакет подароч. с мат.лам. и глит. 18х23х10 см (M) Милая лошадка, 190г(собс.раз) ППК-2424</t>
  </si>
  <si>
    <t>ППК-2424</t>
  </si>
  <si>
    <t>4640306924417</t>
  </si>
  <si>
    <t>247468</t>
  </si>
  <si>
    <t>Dream cards Пакет подароч. с мат.лам. и глит. 18х23х10 см (M) Милый заяц, 190г(собс.раз.) ППК-2306</t>
  </si>
  <si>
    <t>ППК-2306</t>
  </si>
  <si>
    <t>4640306923069</t>
  </si>
  <si>
    <t>247471</t>
  </si>
  <si>
    <t>Dream cards Пакет подароч. с мат.лам. и глит. 18х23х10 см (M) Новогодние бусы, 190г(соб.р.) ППК-2310</t>
  </si>
  <si>
    <t>ППК-2310</t>
  </si>
  <si>
    <t>4640306923106</t>
  </si>
  <si>
    <t>247466</t>
  </si>
  <si>
    <t>Dream cards Пакет подароч. с мат.лам. и глит. 18х23х10 см (M) Новогодние ветки, 190г(соб.р.)ППК-2304</t>
  </si>
  <si>
    <t>ППК-2304</t>
  </si>
  <si>
    <t>4640306923045</t>
  </si>
  <si>
    <t>247465</t>
  </si>
  <si>
    <t>Dream cards Пакет подароч. с мат.лам. и глит. 18х23х10 см (M) Новогодняя ночь, 190г(соб.р.) ППК-2303</t>
  </si>
  <si>
    <t>ППК-2303</t>
  </si>
  <si>
    <t>4640306923038</t>
  </si>
  <si>
    <t>247473</t>
  </si>
  <si>
    <t>Dream cards Пакет подароч. с мат.лам. и глит. 18х23х10 см (M) Пингвин, 190г(собс.раз.) ППК-2307</t>
  </si>
  <si>
    <t>ППК-2307</t>
  </si>
  <si>
    <t>4640306923076</t>
  </si>
  <si>
    <t>247469</t>
  </si>
  <si>
    <t>Dream cards Пакет подароч. с мат.лам. и глит. 18х23х10 см (M) Снеговики, 190г(собс.раз.) ППК-2308</t>
  </si>
  <si>
    <t>ППК-2308</t>
  </si>
  <si>
    <t>4640306923083</t>
  </si>
  <si>
    <t>247470</t>
  </si>
  <si>
    <t>Dream cards Пакет подароч. с мат.лам. и глит. 18х23х10 см (M) Снежинки, 190г(собс.раз.) ППК-2309</t>
  </si>
  <si>
    <t>ППК-2309</t>
  </si>
  <si>
    <t>4640306923090</t>
  </si>
  <si>
    <t>271327</t>
  </si>
  <si>
    <t>Dream cards Пакет подароч. с мат.лам. и глит. 18х23х10см (M) Карусель, 190г соб.раз ППК-0964</t>
  </si>
  <si>
    <t>ППК-0964</t>
  </si>
  <si>
    <t>4680942611340</t>
  </si>
  <si>
    <t>271322</t>
  </si>
  <si>
    <t>Dream cards Пакет подароч. с мат.лам. и глит. 18х23х10см (M) Красивая ёлка, 190г соб.раз ППК-0959</t>
  </si>
  <si>
    <t>ППК-0959</t>
  </si>
  <si>
    <t>4680942611296</t>
  </si>
  <si>
    <t>269330</t>
  </si>
  <si>
    <t>Optima Пакет подарочн.с глянц. ламин. 18x23x8см (M)  Дух праздника, 128г (собс.разр.) ППК-7152 сп.20</t>
  </si>
  <si>
    <t>ППК-7152</t>
  </si>
  <si>
    <t>269292</t>
  </si>
  <si>
    <t>Optima Пакет подарочн.с глянц. ламин.18x23x8 см (M) Новогодний заяц,128г (собс.разр.) ППК-7143 сп.20</t>
  </si>
  <si>
    <t>ППК-7143</t>
  </si>
  <si>
    <t>258757</t>
  </si>
  <si>
    <t>Optima Пакет подарочный с глянц.лам.  18x23x8 см (M) Домики, 128г ППК-7134</t>
  </si>
  <si>
    <t>ППК-7134</t>
  </si>
  <si>
    <t>4630493771345</t>
  </si>
  <si>
    <t>258760</t>
  </si>
  <si>
    <t>Optima Пакет подарочный с глянц.лам. 18x23x8 см  (M)  Снежные домики, 128г ППК-7138</t>
  </si>
  <si>
    <t>ППК-7138</t>
  </si>
  <si>
    <t>4630493771383</t>
  </si>
  <si>
    <t>258759</t>
  </si>
  <si>
    <t>Optima Пакет подарочный с глянц.лам. 18x23x8 см (M)  Бирюзовый с ёлкой,128г ППК-7132</t>
  </si>
  <si>
    <t>ППК-7132</t>
  </si>
  <si>
    <t>4630493771321</t>
  </si>
  <si>
    <t>258750</t>
  </si>
  <si>
    <t>Optima Пакет подарочный с глянц.лам. 18x23x8 см (M) Зайка у ёлки, 128г ППК-7144</t>
  </si>
  <si>
    <t>ППК-7144</t>
  </si>
  <si>
    <t>4630493771444</t>
  </si>
  <si>
    <t>258758</t>
  </si>
  <si>
    <t>Optima Пакет подарочный с глянц.лам. 18x23x8 см (М) Новогодняя ёлка, 128г ППК-7130</t>
  </si>
  <si>
    <t>ППК-7130</t>
  </si>
  <si>
    <t>4630493771307</t>
  </si>
  <si>
    <t>269341</t>
  </si>
  <si>
    <t>Optima Пакет подарочный с глянц.лам. 18x23x8см (M) С Новым годом, 128г (собс. разр.) ППК-7157 сп.20</t>
  </si>
  <si>
    <t>ППК-7157</t>
  </si>
  <si>
    <t>247476</t>
  </si>
  <si>
    <t>Optima Пакет подарочный с глянц.лам. 18х23х8 см (M)  Дед Мороз, 128г ППК-2314</t>
  </si>
  <si>
    <t>ППК-2314</t>
  </si>
  <si>
    <t>4640306923144</t>
  </si>
  <si>
    <t>(M optima) 18x23x8 cm</t>
  </si>
  <si>
    <t>247474</t>
  </si>
  <si>
    <t>Optima Пакет подарочный с глянц.лам. 18х23х8 см (M)  Зимний домик, 128г ППК-2312</t>
  </si>
  <si>
    <t>ППК-2312</t>
  </si>
  <si>
    <t>4640306923120</t>
  </si>
  <si>
    <t>269339</t>
  </si>
  <si>
    <t>Optima Пакет подарочный с глянц.лам. 18х23х8 см (M)  Снежинки, 128г(собс.раз.) ППК-2318 сп.20</t>
  </si>
  <si>
    <t>ППК-2318</t>
  </si>
  <si>
    <t>271340</t>
  </si>
  <si>
    <t>Optima Пакет подарочный с глянц.лам. 18х23х8 см (M) Белочка и зайчик, 128г(собс.раз.) ППК-0975</t>
  </si>
  <si>
    <t>ППК-0975</t>
  </si>
  <si>
    <t>4680942611456</t>
  </si>
  <si>
    <t>247477</t>
  </si>
  <si>
    <t>Optima Пакет подарочный с глянц.лам. 18х23х8 см (M) Заяц и медведь, 128г(собс.раз.) ППК-2315</t>
  </si>
  <si>
    <t>ППК-2315</t>
  </si>
  <si>
    <t>4640306923151</t>
  </si>
  <si>
    <t>271336</t>
  </si>
  <si>
    <t>Optima Пакет подарочный с глянц.лам. 18х23х8 см (M) Золотистые снежинки, 128г(собс.раз.) ППК-0971</t>
  </si>
  <si>
    <t>ППК-0971</t>
  </si>
  <si>
    <t>4680942611418</t>
  </si>
  <si>
    <t>271339</t>
  </si>
  <si>
    <t>Optima Пакет подарочный с глянц.лам. 18х23х8 см (M) Новогодний олень, 128г(собс.раз.) ППК-0974</t>
  </si>
  <si>
    <t>ППК-0974</t>
  </si>
  <si>
    <t>4680942611449</t>
  </si>
  <si>
    <t>271337</t>
  </si>
  <si>
    <t>Optima Пакет подарочный с глянц.лам. 18х23х8 см (M) Новогодняя площадь, 128г(собс.раз.) ППК-0972</t>
  </si>
  <si>
    <t>ППК-0972</t>
  </si>
  <si>
    <t>4680942611425</t>
  </si>
  <si>
    <t>271335</t>
  </si>
  <si>
    <t>Optima Пакет подарочный с глянц.лам. 18х23х8 см (M) Праздничный снегирь, 128г(собс.раз.) ППК-0970</t>
  </si>
  <si>
    <t>ППК-0970</t>
  </si>
  <si>
    <t>4680942611401</t>
  </si>
  <si>
    <t>271338</t>
  </si>
  <si>
    <t>Optima Пакет подарочный с глянц.лам. 18х23х8 см (M) Уютный вечер, 128г(собс.раз.) ППК-0973</t>
  </si>
  <si>
    <t>ППК-0973</t>
  </si>
  <si>
    <t>4680942611432</t>
  </si>
  <si>
    <t>271334</t>
  </si>
  <si>
    <t>Optima Пакет подарочный с глянц.лам. 18х23х8 см (M)Новогодний котик, 128г (собс.раз.) ППК-0969</t>
  </si>
  <si>
    <t>ППК-0969</t>
  </si>
  <si>
    <t>4680942611395</t>
  </si>
  <si>
    <t>271341</t>
  </si>
  <si>
    <t>Optima Пакет подарочный с глянц.лам. 18х23х8см (M) Мандариновое настроение, 128г соб.раз. ППК-0976</t>
  </si>
  <si>
    <t>ППК-0976</t>
  </si>
  <si>
    <t>4680942611463</t>
  </si>
  <si>
    <t>269334</t>
  </si>
  <si>
    <t>Optima Пакет подарочный с глянц.лам.18x23x8см (M) Бирюзовый с ёлкой,128г (собс.разр.) ППК-7132 сп.30</t>
  </si>
  <si>
    <t>269335</t>
  </si>
  <si>
    <t>Optima Пакет подарочный с глянц.лам.18x23x8см (M) Снежные домики,128г (собс.разр.) ППК-7138 сп.30</t>
  </si>
  <si>
    <t>269295</t>
  </si>
  <si>
    <t>Optima Пакет подарочный с глянц.лам.18х23х8см (M) Дед Мороз,128г ППК-2314 сп.20</t>
  </si>
  <si>
    <t>269331</t>
  </si>
  <si>
    <t>Optima Пакет подарочный с глянц.ламин. 18x23x8 см (M) Домики, 128г ППК-7134 сп.30</t>
  </si>
  <si>
    <t>258745</t>
  </si>
  <si>
    <t>Optima Пакет подарочный с глянц.ламин. 18x23x8 см (M) Сова с подарками, 128г ППК-7140</t>
  </si>
  <si>
    <t>ППК-7140</t>
  </si>
  <si>
    <t>4630493771406</t>
  </si>
  <si>
    <t>269222</t>
  </si>
  <si>
    <t>Optima Пакет подарочный с глянц.ламин. 18x23x8 см (M) Сова с подарками, 128г ППК-7140 сп.20</t>
  </si>
  <si>
    <t>269338</t>
  </si>
  <si>
    <t>Optima Пакет подарочный с глянц.ламин. 18х23х8  см (M) Синий новогодний, 128г (с.р.) ППК-7158 сп.20</t>
  </si>
  <si>
    <t>ППК-7158</t>
  </si>
  <si>
    <t>269336</t>
  </si>
  <si>
    <t>Optima Пакет подарочный с глянц.ламин.18x23x8 см (M)  Волшебство, 128г (собс.разр.)  ППК-7155 сп.20</t>
  </si>
  <si>
    <t>ППК-7155</t>
  </si>
  <si>
    <t>269337</t>
  </si>
  <si>
    <t>Optima Пакет подарочный с глянц.ламин.18x23x8см (M) Зимнее волшебство,128г (собс.р.)  ППК-7156 сп.20</t>
  </si>
  <si>
    <t>ППК-7156</t>
  </si>
  <si>
    <t>Глянцевая ламинация (18 х 23 х 10)</t>
  </si>
  <si>
    <t>258733</t>
  </si>
  <si>
    <t>Пакет подарочный с глянц.лам. 18x23x10 см (M) Дед Мороз, 157г ППК-7197</t>
  </si>
  <si>
    <t>ППК-7197</t>
  </si>
  <si>
    <t>4630493771970</t>
  </si>
  <si>
    <t>258737</t>
  </si>
  <si>
    <t>Пакет подарочный с глянц.лам. 18x23x10 см (M) Новогодний заяц, 157г ППК-7203</t>
  </si>
  <si>
    <t>ППК-7203</t>
  </si>
  <si>
    <t>4630493772038</t>
  </si>
  <si>
    <t>258743</t>
  </si>
  <si>
    <t>Пакет подарочный с глянц.лам. 18x23x10 см (M) Пушистый кот, 157г ППК-7221</t>
  </si>
  <si>
    <t>ППК-7221</t>
  </si>
  <si>
    <t>4630493772212</t>
  </si>
  <si>
    <t>258741</t>
  </si>
  <si>
    <t>Пакет подарочный с глянц.лам. 18x23x10 см (M) Щелкунчик, 157г ППК-7211</t>
  </si>
  <si>
    <t>ППК-7211</t>
  </si>
  <si>
    <t>4630493772113</t>
  </si>
  <si>
    <t>247483</t>
  </si>
  <si>
    <t>Пакет подарочный с глянц.лам. 18х23х10 см (M) Исполнение желаний, 157г ППК-2321</t>
  </si>
  <si>
    <t>ППК-2321</t>
  </si>
  <si>
    <t>4640306923212</t>
  </si>
  <si>
    <t>(M standart) 18x23x10 cm</t>
  </si>
  <si>
    <t>258740</t>
  </si>
  <si>
    <t>Пакет подарочный с глянц.лам. 18х23х10 см (M) Новогодний олень, 157г ППК-7208</t>
  </si>
  <si>
    <t>ППК-7208</t>
  </si>
  <si>
    <t>4630493772083</t>
  </si>
  <si>
    <t>271349</t>
  </si>
  <si>
    <t>Пакет подарочный с глянц.лам. 18х23х10см (M)  Ёлка в красном, 157гсоб.раз. ППК-0981</t>
  </si>
  <si>
    <t>ППК-0981</t>
  </si>
  <si>
    <t>4680942611517</t>
  </si>
  <si>
    <t>271345</t>
  </si>
  <si>
    <t>Пакет подарочный с глянц.лам. 18х23х10см (M) Елочная композиция, 157г соб.раз. ППК-0979</t>
  </si>
  <si>
    <t>ППК-0979</t>
  </si>
  <si>
    <t>4680942611494</t>
  </si>
  <si>
    <t>271342</t>
  </si>
  <si>
    <t>Пакет подарочный с глянц.лам. 18х23х10см (M) Милый мишка, 157г соб.раз. ППК-0977</t>
  </si>
  <si>
    <t>ППК-0977</t>
  </si>
  <si>
    <t>4680942611470</t>
  </si>
  <si>
    <t>271350</t>
  </si>
  <si>
    <t>Пакет подарочный с глянц.лам. 18х23х10см (M) Сказочный домик, 157г соб.раз. ППК-0982</t>
  </si>
  <si>
    <t>ППК-0982</t>
  </si>
  <si>
    <t>4680942611524</t>
  </si>
  <si>
    <t>271343</t>
  </si>
  <si>
    <t>Пакет подарочный с глянц.лам. 18х23х10см (M) Славный лисёнок, 157г соб.раз. ППК-0978</t>
  </si>
  <si>
    <t>ППК-0978</t>
  </si>
  <si>
    <t>4680942611487</t>
  </si>
  <si>
    <t>258736</t>
  </si>
  <si>
    <t>Пакет подарочный с глянц.лам.18x23x10 см (M) Внучка, 157г ППК-7200</t>
  </si>
  <si>
    <t>ППК-7200</t>
  </si>
  <si>
    <t>4630493772007</t>
  </si>
  <si>
    <t>258744</t>
  </si>
  <si>
    <t>Пакет подарочный с глянц.ламин. 18x23x10 см (M)  Ёлка из подарков, 157г ППК-7224</t>
  </si>
  <si>
    <t>ППК-7224</t>
  </si>
  <si>
    <t>4630493772243</t>
  </si>
  <si>
    <t>258732</t>
  </si>
  <si>
    <t>Пакет подарочный с глянц.ламин. 18x23x10 см (M) Дед Мороз с подарками, 157г ППК-7193</t>
  </si>
  <si>
    <t>ППК-7193</t>
  </si>
  <si>
    <t>4630493771932</t>
  </si>
  <si>
    <t>258742</t>
  </si>
  <si>
    <t>Пакет подарочный с глянц.ламин. 18x23x10 см (M) Щелкунчик, 157г ППК-7214</t>
  </si>
  <si>
    <t>ППК-7214</t>
  </si>
  <si>
    <t>4630493772144</t>
  </si>
  <si>
    <t>258738</t>
  </si>
  <si>
    <t>Пакет подарочный с мат.лам. 18x23x10 см (M) Снегири, 157г ППК-7206</t>
  </si>
  <si>
    <t>ППК-7206</t>
  </si>
  <si>
    <t>4630493772069</t>
  </si>
  <si>
    <t>Крафт (18 х 23 х 10)</t>
  </si>
  <si>
    <t>228201</t>
  </si>
  <si>
    <t>Пакет подарочный из крафт-бумаги 18х23х10 см (craft M) Чудесные украшения,130 г(собс.раз.) ПКП-6662</t>
  </si>
  <si>
    <t>ПКП-6662</t>
  </si>
  <si>
    <t>4670159166627</t>
  </si>
  <si>
    <t>(M craft) 18x23x10 cm</t>
  </si>
  <si>
    <t>247490</t>
  </si>
  <si>
    <t>Пакет подарочный из крафт-бумаги 18х23х10 см (craft М) Новогодний олень, 130 г(собс.разр.) ППК-2326</t>
  </si>
  <si>
    <t>ППК-2326</t>
  </si>
  <si>
    <t>4640306923267</t>
  </si>
  <si>
    <t>247488</t>
  </si>
  <si>
    <t>Пакет подарочный из крафт-бумаги 18х23х10 см (М) Новогодний венок, 130 г(собс.разр.) ППК-2325</t>
  </si>
  <si>
    <t>ППК-2325</t>
  </si>
  <si>
    <t>4640306923250</t>
  </si>
  <si>
    <t>271352</t>
  </si>
  <si>
    <t>Пакет подарочный из крафт-бумаги 18х23х30 см (craft М) Красный олень, 130 г соб.раз. ППК-0984</t>
  </si>
  <si>
    <t>ППК-0984</t>
  </si>
  <si>
    <t>4680942611548</t>
  </si>
  <si>
    <t>271353</t>
  </si>
  <si>
    <t>Пакет подарочный из крафт-бумаги 18х23х30 см (М) Белоснежный котик, 130 г соб.раз. ППК-0985</t>
  </si>
  <si>
    <t>ППК-0985</t>
  </si>
  <si>
    <t>4680942611555</t>
  </si>
  <si>
    <t>271351</t>
  </si>
  <si>
    <t>Пакет подарочный из крафт-бумаги 18х23х30см (craft М) Новогодние подарки, 130 г соб.раз. ППК-0983</t>
  </si>
  <si>
    <t>ППК-0983</t>
  </si>
  <si>
    <t>4680942611531</t>
  </si>
  <si>
    <t>Ну-погоди!</t>
  </si>
  <si>
    <t>254229</t>
  </si>
  <si>
    <t>Пакет подарочный с глянц.лам. 18*23*10см(M) "Волк и заяц у ёлки", 157г ЛИЦЕНЗИЯ/Ну-Погоди! ППК-2920</t>
  </si>
  <si>
    <t>ППК-2920</t>
  </si>
  <si>
    <t>4640306929207</t>
  </si>
  <si>
    <t>254224</t>
  </si>
  <si>
    <t>Пакет подарочный с глянц.лам. 18*23*10см(M)"Заяц и волк у ёлочки", 157г ЛИЦЕНЗИЯ/Ну-Погоди! ППК-2919</t>
  </si>
  <si>
    <t>ППК-2919</t>
  </si>
  <si>
    <t>4640306929191</t>
  </si>
  <si>
    <t>Простоквашино</t>
  </si>
  <si>
    <t>254222</t>
  </si>
  <si>
    <t>Пакет подар.с глянц.лам.18*23*10см(M)"Новогодний котик"157г(соб.раз.)ЛИЦЕНЗИЯ/Простоквашино ППК-2918</t>
  </si>
  <si>
    <t>ППК-2918</t>
  </si>
  <si>
    <t>4640306929184</t>
  </si>
  <si>
    <t>254217</t>
  </si>
  <si>
    <t>Пакет подар.с глянц.лам.18*23*10см(M)"Новогодняя почта"157г(соб.раз.)ЛИЦЕНЗИЯ/Простоквашино ППК-2917</t>
  </si>
  <si>
    <t>ППК-2917</t>
  </si>
  <si>
    <t>4640306929177</t>
  </si>
  <si>
    <t>236224</t>
  </si>
  <si>
    <t>Пакет подарочный с глянц.лам. 18*23*10см (M) "Чебурашка в колпаке", 157г ЛИЦЕНЗИЯ/Чебурашка ПКП-0395</t>
  </si>
  <si>
    <t>ПКП-0395</t>
  </si>
  <si>
    <t>4670159204831</t>
  </si>
  <si>
    <t>18 х 23 х 8 см</t>
  </si>
  <si>
    <t>236226</t>
  </si>
  <si>
    <t>Пакет подарочный с глянц.лам. 18*23*10см(M) "Новогодний Чебурашка", 157г ЛИЦЕНЗИЯ/Чебурашка ПКП-0397</t>
  </si>
  <si>
    <t>ПКП-0397</t>
  </si>
  <si>
    <t>4670159204855</t>
  </si>
  <si>
    <t>05 Размер ML</t>
  </si>
  <si>
    <t>271355</t>
  </si>
  <si>
    <t>Optima Пакет подарочн.с глянц. лам 22x31x10см (ML) Рыжий кот с подарками, 128г соб.раз. ППК-0987</t>
  </si>
  <si>
    <t>ППК-0987</t>
  </si>
  <si>
    <t>4680942611579</t>
  </si>
  <si>
    <t>271358</t>
  </si>
  <si>
    <t>Optima Пакет подарочн.с глянц. ламин. 22x31x10см (ML) Дед Мороз в пути, 128г соб.раз. ППК-0990</t>
  </si>
  <si>
    <t>ППК-0990</t>
  </si>
  <si>
    <t>4680942611609</t>
  </si>
  <si>
    <t>271357</t>
  </si>
  <si>
    <t>Optima Пакет подарочн.с глянц. ламин. 22x31x10см (ML) Оленята в лесу, 128г соб.раз. ППК-0989</t>
  </si>
  <si>
    <t>ППК-0989</t>
  </si>
  <si>
    <t>4680942611593</t>
  </si>
  <si>
    <t>271356</t>
  </si>
  <si>
    <t>Optima Пакет подарочн.с глянц. ламин. 22x31x10см (ML) Снегири в снегу, 128г соб.раз. ППК-0988</t>
  </si>
  <si>
    <t>ППК-0988</t>
  </si>
  <si>
    <t>4680942611586</t>
  </si>
  <si>
    <t>271361</t>
  </si>
  <si>
    <t>Dream cards Пакет подар. мат.лам  22х31х10см ML Гирлянда из снежинок, 190г соб.раз ППК-0993</t>
  </si>
  <si>
    <t>ППК-0993</t>
  </si>
  <si>
    <t>4680942611630</t>
  </si>
  <si>
    <t>271362</t>
  </si>
  <si>
    <t>Dream cards Пакет подар. мат.лам 22х31х10см ML Дед Мороз с Внучкой, 190г соб.раз ППК-0994</t>
  </si>
  <si>
    <t>ППК-0994</t>
  </si>
  <si>
    <t>4680942611647</t>
  </si>
  <si>
    <t>271360</t>
  </si>
  <si>
    <t>Dream cards Пакет подарочный с мат.лам  22х31х10см ML Милые зайчики, 190г соб.раз ППК-0992</t>
  </si>
  <si>
    <t>ППК-0992</t>
  </si>
  <si>
    <t>4680942611623</t>
  </si>
  <si>
    <t>271363</t>
  </si>
  <si>
    <t>Dream cards Пакет подарочный с мат.лам 22х31х10см ML Милые зверята, 190г соб.раз ППК-0995</t>
  </si>
  <si>
    <t>ППК-0995</t>
  </si>
  <si>
    <t>4680942611654</t>
  </si>
  <si>
    <t>271367</t>
  </si>
  <si>
    <t>Пакет подарочный с глянц.ламин. 22х31х10 см (ML) Белый мишка, 157г соб.раз. ППК-0999</t>
  </si>
  <si>
    <t>ППК-0999</t>
  </si>
  <si>
    <t>4680942611692</t>
  </si>
  <si>
    <t>271366</t>
  </si>
  <si>
    <t>Пакет подарочный с глянц.ламин. 22х31х10 см (ML) Котики под ёлкой, 157г соб.раз. ППК-0998</t>
  </si>
  <si>
    <t>ППК-0998</t>
  </si>
  <si>
    <t>4680942611685</t>
  </si>
  <si>
    <t>271365</t>
  </si>
  <si>
    <t>Пакет подарочный с глянц.ламин. 22х31х10 см (ML) Красивая ёлка, 157г соб.раз. ППК-0997</t>
  </si>
  <si>
    <t>ППК-0997</t>
  </si>
  <si>
    <t>4680942611678</t>
  </si>
  <si>
    <t>06 Размер L</t>
  </si>
  <si>
    <t>DREAM CARDS (26 х 33 х 14)</t>
  </si>
  <si>
    <t>Dream Cards (26,4x32,7x13,6) мат. лам., глиттер, 3D элемент</t>
  </si>
  <si>
    <t>234203</t>
  </si>
  <si>
    <t>Dream Cards Пакет подарочный мат.лам,глиттер,3Dэл. 26*32*10 см(L), Синий солдатик, 210г ПКП-9235</t>
  </si>
  <si>
    <t>ПКП-9235</t>
  </si>
  <si>
    <t>4670159193319</t>
  </si>
  <si>
    <t>234202</t>
  </si>
  <si>
    <t>Dream Cards Пакет подарочный мат.лам,глиттер,3Dэл. 26*32*10 см(L), Солдатик и домик, 210г ПКП-9234</t>
  </si>
  <si>
    <t>ПКП-9234</t>
  </si>
  <si>
    <t>4670159193302</t>
  </si>
  <si>
    <t>234201</t>
  </si>
  <si>
    <t>Dream Cards Пакет подарочный мат.лам,глиттер,3Dэл. 26*32*10 см(L), Солдатик у ёлки 210г ПКП-9233</t>
  </si>
  <si>
    <t>ПКП-9233</t>
  </si>
  <si>
    <t>4670159193296</t>
  </si>
  <si>
    <t>234199</t>
  </si>
  <si>
    <t>Dream Cards Пакет подарочный мат.лам,глиттер,3Dэл. 26*32*10 см(L), Солдатики, 210г ПКП-9232</t>
  </si>
  <si>
    <t>ПКП-9232</t>
  </si>
  <si>
    <t>4670159193289</t>
  </si>
  <si>
    <t>Dream Cards (26,4х32,7х13,6 см) тиснение фольгой, без ламинации</t>
  </si>
  <si>
    <t>249548</t>
  </si>
  <si>
    <t>Dream cards Пакет подар. тис.фол, без ламин. 26,4х32,7х13,6см (L) Ёлка 180 г (соб.раз) ППК-2401</t>
  </si>
  <si>
    <t>ППК-2401</t>
  </si>
  <si>
    <t>4640306924813</t>
  </si>
  <si>
    <t>249549</t>
  </si>
  <si>
    <t>Dream cards Пакет подар. тис.фол, без ламин. 26,4х32,7х13,6см (L) Олень 180 г (соб.раз) ППК-2402</t>
  </si>
  <si>
    <t>ППК-2402</t>
  </si>
  <si>
    <t>4640306924820</t>
  </si>
  <si>
    <t>249550</t>
  </si>
  <si>
    <t>Dream cards Пакет подар. тис.фол, без ламин. 26,4х32,7х13,6см (L) Подарок 180 г (соб.раз) ППК-2403</t>
  </si>
  <si>
    <t>ППК-2403</t>
  </si>
  <si>
    <t>4640306924837</t>
  </si>
  <si>
    <t>249547</t>
  </si>
  <si>
    <t>Dream cards Пакет подар. тис.фол,без лам. 26,4х32,7х13,6см(L) Новогодняя ёлка 180г(соб.раз) ППК-2400</t>
  </si>
  <si>
    <t>ППК-2400</t>
  </si>
  <si>
    <t>4640306924806</t>
  </si>
  <si>
    <t>Dream Cards (26.4х32.7х13.6) матовая ламинация</t>
  </si>
  <si>
    <t>271377</t>
  </si>
  <si>
    <t>Dream cards Пакет подар. мат.лам 26,4х32,7х13,6см Девочка с котенком, 190г соб.раз ППК-1006</t>
  </si>
  <si>
    <t>ППК-1006</t>
  </si>
  <si>
    <t>4680942611760</t>
  </si>
  <si>
    <t>271375</t>
  </si>
  <si>
    <t>Dream cards Пакет подар. с мат.лам 26,4х32,7х13,6см (L) Семья мишек, 190г собс.разр ППК-1004</t>
  </si>
  <si>
    <t>ППК-1004</t>
  </si>
  <si>
    <t>4680942611746</t>
  </si>
  <si>
    <t>271376</t>
  </si>
  <si>
    <t>Dream cards Пакет подар. с мат.лам. 26,4х32,7х13,6 см (L) Вид из окна, 190г соб.раз ППК-1005</t>
  </si>
  <si>
    <t>ППК-1005</t>
  </si>
  <si>
    <t>4680942611753</t>
  </si>
  <si>
    <t>271378</t>
  </si>
  <si>
    <t>Dream cards Пакет подар. с мат.лам. 26,4х32,7х13,6 см (L) Яркие часы, 190г соб.раз ППК-1007</t>
  </si>
  <si>
    <t>ППК-1007</t>
  </si>
  <si>
    <t>4680942611777</t>
  </si>
  <si>
    <t>247514</t>
  </si>
  <si>
    <t>Dream cards Пакет подарочный с мат.лам. 26,4х32,7х13,6 см (L) Домашний кот, 190г(собс.разр.)ППК-2345</t>
  </si>
  <si>
    <t>ППК-2345</t>
  </si>
  <si>
    <t>4640306923458</t>
  </si>
  <si>
    <t>(L Dream cards) 26,4х32,7х13,6 cm</t>
  </si>
  <si>
    <t>247513</t>
  </si>
  <si>
    <t>Dream cards Пакет подарочный с мат.лам. 26,4х32,7х13,6 см (L) Символ праздника, 190г (с.р.) ППК-2344</t>
  </si>
  <si>
    <t>ППК-2344</t>
  </si>
  <si>
    <t>4640306923441</t>
  </si>
  <si>
    <t>247512</t>
  </si>
  <si>
    <t>Dream cards Пакет подарочный с мат.лам. 26,4х32,7х13,6 см (L) Снежные ёлки, 190г(собс.разр.)ППК-2343</t>
  </si>
  <si>
    <t>ППК-2343</t>
  </si>
  <si>
    <t>4640306923434</t>
  </si>
  <si>
    <t>Dream Cards (26.4х32.7х13.6) с декором</t>
  </si>
  <si>
    <t>164971</t>
  </si>
  <si>
    <t>Dream cards Пакет подарочный с мат.лам,глит.и 3D картин. 33x26,7x13,7 Сани Деда Мороза,210г ПКП-3765</t>
  </si>
  <si>
    <t>ПКП-3765</t>
  </si>
  <si>
    <t>4610144837651</t>
  </si>
  <si>
    <t>33 x 26,7 x 13,7 см, 210 г</t>
  </si>
  <si>
    <t>Dream Cards (26х32х10) крафт с тиснением</t>
  </si>
  <si>
    <t>271372</t>
  </si>
  <si>
    <t>DС Пакет подар. бел.крафт бум. и тис.фол 26,4х32,7х13,6см Письмо, 190г соб.раз. ППК-1001</t>
  </si>
  <si>
    <t>ППК-1001</t>
  </si>
  <si>
    <t>4680942611715</t>
  </si>
  <si>
    <t>271373</t>
  </si>
  <si>
    <t>DС Пакет подар. бел.крафт бум. и тис.фол 26,4х32,7х13,6см Яркая ёлка, 190г соб.раз. ППК-1002</t>
  </si>
  <si>
    <t>ППК-1002</t>
  </si>
  <si>
    <t>4680942611722</t>
  </si>
  <si>
    <t>Dream Cards (26х32х10) мат. лам. и тиснение фольгой</t>
  </si>
  <si>
    <t>271385</t>
  </si>
  <si>
    <t>Dream cards Пакет подар. мат.лам и тис.фол 26,4х32,7х13,6см ДМ и подарки, 190г соб.раз ППК-1014</t>
  </si>
  <si>
    <t>ППК-1014</t>
  </si>
  <si>
    <t>4680942611845</t>
  </si>
  <si>
    <t>271383</t>
  </si>
  <si>
    <t>Dream cards Пакет подар. мат.лам и тис.фол 26,4х32,7х13,6см Новый Год в синем, 190г соб.раз ППК-1012</t>
  </si>
  <si>
    <t>ППК-1012</t>
  </si>
  <si>
    <t>4680942611821</t>
  </si>
  <si>
    <t>269371</t>
  </si>
  <si>
    <t>Dream cards Пакет подар. с мат.лам. и тис. фол.26x32x10 см (L) Снегурочка, 190г ППК-7181 сп.20</t>
  </si>
  <si>
    <t>ППК-7181</t>
  </si>
  <si>
    <t>269375</t>
  </si>
  <si>
    <t>Dream cards Пакет подар. с мат.лам. и тис.фол. 26,4х32,7х13,6 см (L) Новый год, 190г ППК-2348 сп.20</t>
  </si>
  <si>
    <t>ППК-2348</t>
  </si>
  <si>
    <t>231928</t>
  </si>
  <si>
    <t>Dream Cards Пакет подар.с мат.лам.и тис.ф.26x32x10см(L)Брызги шампанского,190г(соб.раз.) ПКП-8276</t>
  </si>
  <si>
    <t>ПКП-8276</t>
  </si>
  <si>
    <t>4670159182764</t>
  </si>
  <si>
    <t>26x32x10см(L)</t>
  </si>
  <si>
    <t>234229</t>
  </si>
  <si>
    <t>Dream cards Пакет подарочный мат.лам, золот. тиснение 26*32*10см(L), Зайка на качелях, 210г ПКП-9243</t>
  </si>
  <si>
    <t>ПКП-9243</t>
  </si>
  <si>
    <t>4670159193395</t>
  </si>
  <si>
    <t>247516</t>
  </si>
  <si>
    <t>Dream cards Пакет подарочный с мат.лам. и тис.фол. 26,4х32,7х13,6 см (L)  Золотистая ёлка, ППК-2347</t>
  </si>
  <si>
    <t>ППК-2347</t>
  </si>
  <si>
    <t>4640306923472</t>
  </si>
  <si>
    <t>247515</t>
  </si>
  <si>
    <t>Dream cards Пакет подарочный с мат.лам. и тис.фол. 26,4х32,7х13,6 см (L) Дух праздника,190г ППК-2346</t>
  </si>
  <si>
    <t>ППК-2346</t>
  </si>
  <si>
    <t>4640306923465</t>
  </si>
  <si>
    <t>247518</t>
  </si>
  <si>
    <t>Dream cards Пакет подарочный с мат.лам. и тис.фол. 26,4х32,7х13,6 см (L) Дух праздника,190г ППК-2349</t>
  </si>
  <si>
    <t>ППК-2349</t>
  </si>
  <si>
    <t>4640306923496</t>
  </si>
  <si>
    <t>247521</t>
  </si>
  <si>
    <t>Dream cards Пакет подарочный с мат.лам. и тис.фол. 26,4х32,7х13,6 см (L) Новогоднее чудо, ППК-2351</t>
  </si>
  <si>
    <t>ППК-2351</t>
  </si>
  <si>
    <t>4640306923519</t>
  </si>
  <si>
    <t>247517</t>
  </si>
  <si>
    <t>Dream cards Пакет подарочный с мат.лам. и тис.фол. 26,4х32,7х13,6 см (L) Новый год, 190г ППК-2348</t>
  </si>
  <si>
    <t>4640306923489</t>
  </si>
  <si>
    <t>258818</t>
  </si>
  <si>
    <t>Dream cards Пакет подарочный с мат.лам. и тис.фол. 26,4х32,7х13,6 см (L) Подарки, 190г ППК-7183</t>
  </si>
  <si>
    <t>ППК-7183</t>
  </si>
  <si>
    <t>4630493771833</t>
  </si>
  <si>
    <t>258820</t>
  </si>
  <si>
    <t>Dream cards Пакет подарочный с мат.лам. и тис.фол. 26,4х32,7х13,6 см (L) Синие шары, 190г ППК-7188</t>
  </si>
  <si>
    <t>ППК-7188</t>
  </si>
  <si>
    <t>4630493771888</t>
  </si>
  <si>
    <t>247519</t>
  </si>
  <si>
    <t>Dream cards Пакет подарочный с мат.лам.и тис.фол.26,4х32,7х13,6 см(L)Новогодние друзья,190г ППК-2350</t>
  </si>
  <si>
    <t>ППК-2350</t>
  </si>
  <si>
    <t>4640306923502</t>
  </si>
  <si>
    <t>258817</t>
  </si>
  <si>
    <t>Dream cards Пакет подарочный с мат.лам.и тис.фол.26,4х32,7х13,6см(L)Внучка Деда Мороза,190г ППК-7181</t>
  </si>
  <si>
    <t>4630493771819</t>
  </si>
  <si>
    <t>271382</t>
  </si>
  <si>
    <t>DС Пакет подар. мат.лам и тис.фол 26,4х32,7х13,6см Золотисные ёлочные шары, 190г соб.раз ППК-1011</t>
  </si>
  <si>
    <t>ППК-1011</t>
  </si>
  <si>
    <t>4680942611814</t>
  </si>
  <si>
    <t>271384</t>
  </si>
  <si>
    <t>DС Пакет подар. мат.лам. тис.фол 26,4х32,7х13,6 Стильные новогодние украшения, 190г соб.раз ППК-1013</t>
  </si>
  <si>
    <t>ППК-1013</t>
  </si>
  <si>
    <t>4680942611838</t>
  </si>
  <si>
    <t>Dream Cards (26х32х10) матовая ламинация и глиттер</t>
  </si>
  <si>
    <t>271381</t>
  </si>
  <si>
    <t>Dream cards Пакет подар. мат.лам и глит 26,4х32,7х13,6см Сказочная Внучка ДМ, 190г соб.раз ППК-1010</t>
  </si>
  <si>
    <t>ППК-1010</t>
  </si>
  <si>
    <t>4680942611807</t>
  </si>
  <si>
    <t>271379</t>
  </si>
  <si>
    <t>Dream cards Пакет подар. мат.лам и глит 26,4х32,7х13,6см Снегири с калиной, 190г соб.раз ППК-1008</t>
  </si>
  <si>
    <t>ППК-1008</t>
  </si>
  <si>
    <t>4680942611784</t>
  </si>
  <si>
    <t>248699</t>
  </si>
  <si>
    <t>Dream cards Пакет подар. мат.лам.глит 26,4х32,7х13,6см (L) Лошадка с конфетой,190г(соб.раз) ППК-2426</t>
  </si>
  <si>
    <t>ППК-2426</t>
  </si>
  <si>
    <t>4640306924431</t>
  </si>
  <si>
    <t>248701</t>
  </si>
  <si>
    <t>Dream cards Пакет подар. мат.лам.глит. 26,4х32,7х13,6 см (L) Милая лошадка, 190г(собс.разр) ППК-2428</t>
  </si>
  <si>
    <t>ППК-2428</t>
  </si>
  <si>
    <t>4640306924455</t>
  </si>
  <si>
    <t>248700</t>
  </si>
  <si>
    <t>Dream cards Пакет подар. мат.лам.глит. 26,4х32,7х13,6см (L) Пони с подарком,190г(собс.разр) ППК-2427</t>
  </si>
  <si>
    <t>ППК-2427</t>
  </si>
  <si>
    <t>4640306924448</t>
  </si>
  <si>
    <t>247509</t>
  </si>
  <si>
    <t>Dream cards Пакет подар. с мат.лам. и глит. 26,4х32,7х13,6 см (L) Борода из ваты,190г(с.р) ППК-2340</t>
  </si>
  <si>
    <t>ППК-2340</t>
  </si>
  <si>
    <t>4640306923403</t>
  </si>
  <si>
    <t>26,4х32,7х13,6 см</t>
  </si>
  <si>
    <t>247507</t>
  </si>
  <si>
    <t>Dream cards Пакет подар. с мат.лам. и глит. 26,4х32,7х13,6 см (L) Дедушка Мороз, 190г (с.р) ППК-2338</t>
  </si>
  <si>
    <t>ППК-2338</t>
  </si>
  <si>
    <t>4640306923380</t>
  </si>
  <si>
    <t>247510</t>
  </si>
  <si>
    <t>Dream cards Пакет подар. с мат.лам. и глит. 26,4х32,7х13,6 см (L) Зимний поезд, 190г (с.р) ППК-2341</t>
  </si>
  <si>
    <t>ППК-2341</t>
  </si>
  <si>
    <t>4640306923410</t>
  </si>
  <si>
    <t>247506</t>
  </si>
  <si>
    <t>Dream cards Пакет подар. с мат.лам. и глит. 26,4х32,7х13,6 см (L) Снегурочка, 190г (собс.р) ППК-2337</t>
  </si>
  <si>
    <t>ППК-2337</t>
  </si>
  <si>
    <t>4640306923373</t>
  </si>
  <si>
    <t>258791</t>
  </si>
  <si>
    <t>Dream cards Пакет подароч. с мат.лам. и глит.   26x32x10 см (L) Новогодние бусы, 190г ППК-7169</t>
  </si>
  <si>
    <t>ППК-7169</t>
  </si>
  <si>
    <t>4630493771697</t>
  </si>
  <si>
    <t>258785</t>
  </si>
  <si>
    <t>Dream cards Пакет подароч. с мат.лам. и глит. 26x32x10 см (L) Ёлки, 190г ППК-7159</t>
  </si>
  <si>
    <t>ППК-7159</t>
  </si>
  <si>
    <t>4630493771598</t>
  </si>
  <si>
    <t>258788</t>
  </si>
  <si>
    <t>Dream cards Пакет подароч. с мат.лам. и глит. 26x32x10 см (L) Милый заяц, 190г ППК-7163</t>
  </si>
  <si>
    <t>ППК-7163</t>
  </si>
  <si>
    <t>4630493771635</t>
  </si>
  <si>
    <t>258795</t>
  </si>
  <si>
    <t>Dream cards Пакет подароч. с мат.лам. и глит. 26x32x10 см (L) Новогодняя ночь, 190г ППК-7176</t>
  </si>
  <si>
    <t>ППК-7176</t>
  </si>
  <si>
    <t>4630493771765</t>
  </si>
  <si>
    <t>258789</t>
  </si>
  <si>
    <t>Dream cards Пакет подароч. с мат.лам. и глит. 26x32x10 см (L) Пингвин, 190г ППК-7165</t>
  </si>
  <si>
    <t>ППК-7165</t>
  </si>
  <si>
    <t>4630493771659</t>
  </si>
  <si>
    <t>258792</t>
  </si>
  <si>
    <t>Dream cards Пакет подароч. с мат.лам. и глит. 26x32x10 см (L) Снегири, 190г ППК-7171</t>
  </si>
  <si>
    <t>ППК-7171</t>
  </si>
  <si>
    <t>4630493771710</t>
  </si>
  <si>
    <t>258796</t>
  </si>
  <si>
    <t>Dream cards Пакет подароч. с мат.лам. и глит. 26x32x10 см (L) Снеговики, 190г ППК-7178</t>
  </si>
  <si>
    <t>ППК-7178</t>
  </si>
  <si>
    <t>4630493771789</t>
  </si>
  <si>
    <t>258793</t>
  </si>
  <si>
    <t>Dream cards Пакет подароч. с мат.лам. и глит. 26x32x10 см (L) Снежинки, 190г ППК-7173</t>
  </si>
  <si>
    <t>ППК-7173</t>
  </si>
  <si>
    <t>4630493771734</t>
  </si>
  <si>
    <t>258786</t>
  </si>
  <si>
    <t>Dream cards Пакет подароч. с мат.лам. и глит. 26x32x10 см (L) Чудо новогоднее, 190г ППК-7161</t>
  </si>
  <si>
    <t>ППК-7161</t>
  </si>
  <si>
    <t>4630493771611</t>
  </si>
  <si>
    <t>258794</t>
  </si>
  <si>
    <t>Dream cards Пакет подароч. с мат.лам. и глит. 26x32x10(L) Куранты, 190г ППК-7175</t>
  </si>
  <si>
    <t>ППК-7175</t>
  </si>
  <si>
    <t>4630493771758</t>
  </si>
  <si>
    <t>258787</t>
  </si>
  <si>
    <t>Dream cards Пакет подароч. с мат.лам. и глит. 26x32x10(L) Снежная ёлка, 190г ППК-7162</t>
  </si>
  <si>
    <t>ППК-7162</t>
  </si>
  <si>
    <t>4630493771628</t>
  </si>
  <si>
    <t>258797</t>
  </si>
  <si>
    <t>Dream cards Пакет подароч. с мат.лам. и глит. 26x32x10см (L)  Праздник,190г ППК-7180</t>
  </si>
  <si>
    <t>ППК-7180</t>
  </si>
  <si>
    <t>4630493771802</t>
  </si>
  <si>
    <t>258790</t>
  </si>
  <si>
    <t>Dream cards Пакет подароч. с мат.лам. и глит. 26x32x10см(L) Тройка коней,190г ППК-7168</t>
  </si>
  <si>
    <t>ППК-7168</t>
  </si>
  <si>
    <t>4630493771680</t>
  </si>
  <si>
    <t>247508</t>
  </si>
  <si>
    <t>Dream cards Пакет подароч. с мат.лам. и глит. 26х32х10 см (L)  Снегири, 190г ППК-2339</t>
  </si>
  <si>
    <t>ППК-2339</t>
  </si>
  <si>
    <t>4640306923397</t>
  </si>
  <si>
    <t>271391</t>
  </si>
  <si>
    <t>Optima Пакет подар. с глянц.лам. 26,4х32,7х8см (L) Однажды в зимнем лесу, 128г соб.раз. ППК-1017</t>
  </si>
  <si>
    <t>ППК-1017</t>
  </si>
  <si>
    <t>4680942611876</t>
  </si>
  <si>
    <t>258816</t>
  </si>
  <si>
    <t>Optima Пакет подарочн.с глянц. ламин.  26,4x32,7x8см (L)  Дух праздника, 128г (собс.разр.) ППК-7153</t>
  </si>
  <si>
    <t>ППК-7153</t>
  </si>
  <si>
    <t>4630493771536</t>
  </si>
  <si>
    <t>258813</t>
  </si>
  <si>
    <t>Optima Пакет подарочн.с глянц. ламин. 26,4x32,7x8см (L) Дедушка Мороз, 128г (собс.разр.) ППК-7148</t>
  </si>
  <si>
    <t>ППК-7148</t>
  </si>
  <si>
    <t>4630493771482</t>
  </si>
  <si>
    <t>258815</t>
  </si>
  <si>
    <t>Optima Пакет подарочн.с глянц. ламин.26,4x32,7x8см (L) Ёлка с подарками, 128г (собс.разр.) ППК-7151</t>
  </si>
  <si>
    <t>ППК-7151</t>
  </si>
  <si>
    <t>4630493771512</t>
  </si>
  <si>
    <t>258765</t>
  </si>
  <si>
    <t>Optima Пакет подарочный с глянц.лам.  26,4x32,7x8 см (L)  Бирюзовый с ёлкой,128г ППК-7133</t>
  </si>
  <si>
    <t>ППК-7133</t>
  </si>
  <si>
    <t>4630493771338</t>
  </si>
  <si>
    <t>258766</t>
  </si>
  <si>
    <t>Optima Пакет подарочный с глянц.лам.  26,4x32,7x8см (L)  Снежные домики, 128г ППК-7139</t>
  </si>
  <si>
    <t>ППК-7139</t>
  </si>
  <si>
    <t>4630493771390</t>
  </si>
  <si>
    <t>258811</t>
  </si>
  <si>
    <t>Optima Пакет подарочный с глянц.лам. 26,4x32,7x8 (L)  Дед Мороз, 128г(собс.раз.) ППК-7145</t>
  </si>
  <si>
    <t>ППК-7145</t>
  </si>
  <si>
    <t>4630493771451</t>
  </si>
  <si>
    <t>269467</t>
  </si>
  <si>
    <t>Optima Пакет подарочный с глянц.лам. 26,4x32,7x8 см (L)  Бирюзовый с ёлкой,128г. ППК-7133 сп.24</t>
  </si>
  <si>
    <t>258761</t>
  </si>
  <si>
    <t>Optima Пакет подарочный с глянц.лам. 26,4x32,7x8 см (L) Домики, 128г ППК-7135</t>
  </si>
  <si>
    <t>ППК-7135</t>
  </si>
  <si>
    <t>4630493771352</t>
  </si>
  <si>
    <t>258814</t>
  </si>
  <si>
    <t>Optima Пакет подарочный с глянц.лам. 26,4x32,7x8 см (L) Зимний домик, 128г (собс.раз.) ППК-7149</t>
  </si>
  <si>
    <t>ППК-7149</t>
  </si>
  <si>
    <t>4630493771499</t>
  </si>
  <si>
    <t>258763</t>
  </si>
  <si>
    <t>Optima Пакет подарочный с глянц.лам. 26,4x32,7x8см см (L) Новогодняя ёлка, 128г ППК-7131</t>
  </si>
  <si>
    <t>ППК-7131</t>
  </si>
  <si>
    <t>4630493771314</t>
  </si>
  <si>
    <t>271394</t>
  </si>
  <si>
    <t>Optima Пакет подарочный с глянц.лам. 26,4х32,7х8 см (L) Снегири у домика, 128г соб.раз ППК-1020</t>
  </si>
  <si>
    <t>ППК-1020</t>
  </si>
  <si>
    <t>4680942611906</t>
  </si>
  <si>
    <t>271393</t>
  </si>
  <si>
    <t>Optima Пакет подарочный с глянц.лам. 26,4х32,7х8см (L) Прекрасная столица, 128г соб.раз. ППК-1019</t>
  </si>
  <si>
    <t>ППК-1019</t>
  </si>
  <si>
    <t>4680942611890</t>
  </si>
  <si>
    <t>271389</t>
  </si>
  <si>
    <t>Optima Пакет подарочный с глянц.лам. 26,4х32,7х8см Зайчик с мешком подарков, 128г соб.раз. ППК-1015</t>
  </si>
  <si>
    <t>ППК-1015</t>
  </si>
  <si>
    <t>4680942611852</t>
  </si>
  <si>
    <t>258812</t>
  </si>
  <si>
    <t>Optima Пакет подарочный с глянц.лам.26,4x32,7x8 см (L) Тройка коней, 128г(собс.раз.)  ППК-7146</t>
  </si>
  <si>
    <t>ППК-7146</t>
  </si>
  <si>
    <t>4630493771468</t>
  </si>
  <si>
    <t>269468</t>
  </si>
  <si>
    <t>Optima Пакет подарочный с глянц.лам.26,4x32,7x8см (L)  Снежные домики, 128г. ППК-7139 сп.24</t>
  </si>
  <si>
    <t>269462</t>
  </si>
  <si>
    <t>Optima Пакет подарочный с глянц.ламин.  26,4x32,7x8 см (L) Домики, 128г  ППК-7135 сп.24</t>
  </si>
  <si>
    <t>247524</t>
  </si>
  <si>
    <t>Optima Пакет подарочный с глянц.ламин. 26,4х32,7х8 см (L)   Красный новогодний, 128г (с.р) ППК-2355</t>
  </si>
  <si>
    <t>ППК-2355</t>
  </si>
  <si>
    <t>4640306923557</t>
  </si>
  <si>
    <t>(L optima) 26,4x32,7x8 cm</t>
  </si>
  <si>
    <t>247526</t>
  </si>
  <si>
    <t>Optima Пакет подарочный с глянц.ламин. 26,4х32,7х8 см (L)   Чёрный новогодний, 128г (с.р.) ППК-2357</t>
  </si>
  <si>
    <t>ППК-2357</t>
  </si>
  <si>
    <t>4640306923571</t>
  </si>
  <si>
    <t>247523</t>
  </si>
  <si>
    <t>Optima Пакет подарочный с глянц.ламин. 26,4х32,7х8 см (L)  Волшебство, 128г (собс.разр.) ППК-2354</t>
  </si>
  <si>
    <t>ППК-2354</t>
  </si>
  <si>
    <t>4640306923540</t>
  </si>
  <si>
    <t>271392</t>
  </si>
  <si>
    <t>Optima Пакет подарочный с глянц.ламин. 26,4х32,7х8 см (L) Хоровод, 128г соб.раз. ППК-1018</t>
  </si>
  <si>
    <t>ППК-1018</t>
  </si>
  <si>
    <t>4680942611883</t>
  </si>
  <si>
    <t>271390</t>
  </si>
  <si>
    <t>Optima Пакет подарочный с глянц.ламин. 26,4х32,7х8 см (L) Щенок на ёлке, 128г соб.раз. ППК-1016</t>
  </si>
  <si>
    <t>ППК-1016</t>
  </si>
  <si>
    <t>4680942611869</t>
  </si>
  <si>
    <t>Глянцевая ламинация (26 х 33 х 14)</t>
  </si>
  <si>
    <t>258769</t>
  </si>
  <si>
    <t xml:space="preserve"> Пакет подарочный с глянц.лам.  26,4x32,7x13,6 см (L) Щелкунчик, 157г ППК-7215</t>
  </si>
  <si>
    <t>ППК-7215</t>
  </si>
  <si>
    <t>4630493772151</t>
  </si>
  <si>
    <t>258768</t>
  </si>
  <si>
    <t xml:space="preserve"> Пакет подарочный с глянц.лам. 26,4x32,7x13,6 см  (L) Стеклянный шар, 157г ППК-7236</t>
  </si>
  <si>
    <t>ППК-7236</t>
  </si>
  <si>
    <t>4630493772366</t>
  </si>
  <si>
    <t>258767</t>
  </si>
  <si>
    <t xml:space="preserve"> Пакет подарочный с глянц.лам. 26,4x32,7x13,6 см (L) Дед Мороз с подарками, 157г ППК-7194</t>
  </si>
  <si>
    <t>ППК-7194</t>
  </si>
  <si>
    <t>4630493771949</t>
  </si>
  <si>
    <t>258772</t>
  </si>
  <si>
    <t xml:space="preserve"> Пакет подарочный с глянц.лам. 26,4x32,7x13,6 см (L) Новогодний заяц, 157г ППК-7204</t>
  </si>
  <si>
    <t>ППК-7204</t>
  </si>
  <si>
    <t>4630493772045</t>
  </si>
  <si>
    <t>247530</t>
  </si>
  <si>
    <t>Пакет подарочный с глянц.лам. 26,4x32,7x13,6 см (L) Внучка, 157г ППК-2359</t>
  </si>
  <si>
    <t>ППК-2359</t>
  </si>
  <si>
    <t>4640306923595</t>
  </si>
  <si>
    <t>(L standart horizontal) 26,4х32,7х13,6</t>
  </si>
  <si>
    <t>247529</t>
  </si>
  <si>
    <t>Пакет подарочный с глянц.лам. 26,4x32,7x13,6 см (L) Дед Мороз, 157г ППК-2358</t>
  </si>
  <si>
    <t>ППК-2358</t>
  </si>
  <si>
    <t>4640306923588</t>
  </si>
  <si>
    <t>258770</t>
  </si>
  <si>
    <t>Пакет подарочный с глянц.лам. 26,4x32,7x13,6 см (L) Исполнение желаний, 157г ППК-7218</t>
  </si>
  <si>
    <t>ППК-7218</t>
  </si>
  <si>
    <t>4630493772182</t>
  </si>
  <si>
    <t>269410</t>
  </si>
  <si>
    <t>Пакет подарочный с глянц.лам. 26,4х32,7х13,6 см (L) Внучка, 157г (собс.разр.) ППК-2359 сп.24</t>
  </si>
  <si>
    <t>271400</t>
  </si>
  <si>
    <t>Пакет подарочный с глянц.лам. 26,4х32,7х13,6 см (L) Красные шары, 157г соб.раз. ППК-1025</t>
  </si>
  <si>
    <t>ППК-1025</t>
  </si>
  <si>
    <t>4680942611951</t>
  </si>
  <si>
    <t>271397</t>
  </si>
  <si>
    <t>Пакет подарочный с глянц.лам. 26,4х32,7х13,6 см (L) Медведь с подарками, 157г соб.раз. ППК-1022</t>
  </si>
  <si>
    <t>ППК-1022</t>
  </si>
  <si>
    <t>4680942611920</t>
  </si>
  <si>
    <t>271396</t>
  </si>
  <si>
    <t>Пакет подарочный с глянц.лам. 26,4х32,7х13,6 см (L) Оленёнок, 157г соб.раз. ППК-1021</t>
  </si>
  <si>
    <t>ППК-1021</t>
  </si>
  <si>
    <t>4680942611913</t>
  </si>
  <si>
    <t>271398</t>
  </si>
  <si>
    <t>Пакет подарочный с глянц.лам. 26,4х32,7х13,6 см (L) Птички в небе, 157г соб.раз. ППК-1023</t>
  </si>
  <si>
    <t>ППК-1023</t>
  </si>
  <si>
    <t>4680942611937</t>
  </si>
  <si>
    <t>271404</t>
  </si>
  <si>
    <t>Пакет подарочный с глянц.лам. 26,4х32,7х13,6 см (L) Совушка, 157г соб.раз. ППК-1028</t>
  </si>
  <si>
    <t>ППК-1028</t>
  </si>
  <si>
    <t>4680942611982</t>
  </si>
  <si>
    <t>271399</t>
  </si>
  <si>
    <t>Пакет подарочный с глянц.лам. 26,4х32,7х13,6 см (L) Украсим ёлку!, 157г соб.раз. ППК-1024</t>
  </si>
  <si>
    <t>ППК-1024</t>
  </si>
  <si>
    <t>4680942611944</t>
  </si>
  <si>
    <t>247531</t>
  </si>
  <si>
    <t>Пакет подарочный с глянц.лам. 26,4х32,7х13,6 см (L) Щелкунчик, 157г ППК-2360</t>
  </si>
  <si>
    <t>ППК-2360</t>
  </si>
  <si>
    <t>4640306923601</t>
  </si>
  <si>
    <t>271403</t>
  </si>
  <si>
    <t>Пакет подарочный с глянц.лам. 26,4х32,7х13,6см (L) Новогоднее настроение, 157г соб.раз ППК-1027</t>
  </si>
  <si>
    <t>ППК-1027</t>
  </si>
  <si>
    <t>4680942611975</t>
  </si>
  <si>
    <t>269402</t>
  </si>
  <si>
    <t>Пакет подарочный с глянц.лам.26,4x32,7x13,6 см (L) Пушистый кот, 157г (собс. разр.) ППК-7222 сп.24</t>
  </si>
  <si>
    <t>ППК-7222</t>
  </si>
  <si>
    <t>258771</t>
  </si>
  <si>
    <t>Пакет подарочный с глянц.лам.26,4x32,7x13,6 см (L) Пушистый кот, 157г ППК-7222</t>
  </si>
  <si>
    <t>4630493772229</t>
  </si>
  <si>
    <t>269406</t>
  </si>
  <si>
    <t>Пакет подарочный с глянц.ламин.26,4x32,7x13,6 см (L) Дед Мороз с подарками, 157г ППК-7194 сп.24</t>
  </si>
  <si>
    <t>Крафт L</t>
  </si>
  <si>
    <t>231952</t>
  </si>
  <si>
    <t>Пакет подарочный из крафт-бумаги 26.4х32.7х13.6см( L) Чудесные украшения,150г(собс.раз.) ПКП-8292</t>
  </si>
  <si>
    <t>ПКП-8292</t>
  </si>
  <si>
    <t>4670159182924</t>
  </si>
  <si>
    <t>26.4х32.7х13.6см (craft L)</t>
  </si>
  <si>
    <t>231950</t>
  </si>
  <si>
    <t>Пакет подарочный из крафт-бумаги 26.4х32.7х13.6см(craft L) Ель с подарками,150г(собс.раз.) ПКП-8290</t>
  </si>
  <si>
    <t>ПКП-8290</t>
  </si>
  <si>
    <t>4670159182900</t>
  </si>
  <si>
    <t>26.4х32.7х13.6 см (craft L</t>
  </si>
  <si>
    <t>Ну-Погоди!</t>
  </si>
  <si>
    <t>254238</t>
  </si>
  <si>
    <t>Пакет подар. с глянц.лам. 26.4*32.7*13.6см(L)"Заяц и волк у ёлки", 157г ЛИЦЕНЗИЯ/Ну-Погоди! ППК-2923</t>
  </si>
  <si>
    <t>ППК-2923</t>
  </si>
  <si>
    <t>4640306929238</t>
  </si>
  <si>
    <t>254239</t>
  </si>
  <si>
    <t>Пакет подар. с глянц.лам.26.4*32.7*13.6см(L)"Волк и заяц у ёлочки",157г ЛИЦЕНЗИЯ/Ну-Погоди! ППК-2924</t>
  </si>
  <si>
    <t>ППК-2924</t>
  </si>
  <si>
    <t>4640306929245</t>
  </si>
  <si>
    <t>254232</t>
  </si>
  <si>
    <t>Пакет подар. с глянц.лам. 26.4*32.7*13.6см(L)"Новогодний котик" 157г ЛИЦЕНЗИЯ/Простоквашино ППК-2922</t>
  </si>
  <si>
    <t>ППК-2922</t>
  </si>
  <si>
    <t>4640306929221</t>
  </si>
  <si>
    <t>254231</t>
  </si>
  <si>
    <t>Пакет подар.с глянц.лам.26.4*32.7*13.6см(L)"Кот и собака у ёлки"157г ЛИЦЕНЗИЯ/Простоквашино ППК-2921</t>
  </si>
  <si>
    <t>ППК-2921</t>
  </si>
  <si>
    <t>4640306929214</t>
  </si>
  <si>
    <t>236232</t>
  </si>
  <si>
    <t>Пакет подар. с глянц.лам. 26.4*32.7*13.6см(L) "Чебурашка и снежинки"157г ЛИЦЕНЗИЯ/Чебурашка ПКП-0402</t>
  </si>
  <si>
    <t>ПКП-0402</t>
  </si>
  <si>
    <t>4670159204909</t>
  </si>
  <si>
    <t>236231</t>
  </si>
  <si>
    <t>Пакет подар. с глянц.лам. 26.4*32.7*13.6см(L)"Чебурашка в колпаке", 157г ЛИЦЕНЗИЯ/Чебурашка ПКП-0401</t>
  </si>
  <si>
    <t>ПКП-0401</t>
  </si>
  <si>
    <t>4670159204893</t>
  </si>
  <si>
    <t>Матовая ламинация (26,4х32,7х13,6)</t>
  </si>
  <si>
    <t>247532</t>
  </si>
  <si>
    <t>Пакет подарочный с глянц.лам. 26,4x32,7x13,6 см (L) Снегири, 157г ППК-2361</t>
  </si>
  <si>
    <t>ППК-2361</t>
  </si>
  <si>
    <t>4640306923618</t>
  </si>
  <si>
    <t>(L standart) 26,4x32,7x13,6 cm</t>
  </si>
  <si>
    <t>07 Размер XL</t>
  </si>
  <si>
    <t>DREAM CARDS (32 х 45 х 10)</t>
  </si>
  <si>
    <t>Dream Cards (31х40х12) матовая ламинация и глиттер</t>
  </si>
  <si>
    <t>248702</t>
  </si>
  <si>
    <t>Dream cards Пакет подар. мат.лам.глит 32,4х44,5х10,2см(XL) Лошадка с конфетой,190г(соб.раз) ППК-2429</t>
  </si>
  <si>
    <t>ППК-2429</t>
  </si>
  <si>
    <t>4640306924462</t>
  </si>
  <si>
    <t>4819300002</t>
  </si>
  <si>
    <t>271409</t>
  </si>
  <si>
    <t>Dream cards Пакет подар. с мат.лам и глит 31х40х12см Магический Дед Мороз, 190г соб.раз ППК-1031</t>
  </si>
  <si>
    <t>ППК-1031</t>
  </si>
  <si>
    <t>4680942612019</t>
  </si>
  <si>
    <t>258801</t>
  </si>
  <si>
    <t>Dream cards Пакет подароч. с мат.лам. и глит.  31x40x12 см (XL)  Снегири, 190г ППК-7167</t>
  </si>
  <si>
    <t>ППК-7167</t>
  </si>
  <si>
    <t>4630493771673</t>
  </si>
  <si>
    <t>247537</t>
  </si>
  <si>
    <t>Dream cards Пакет подароч. с мат.лам. и глит.  31x40x12 см (XL) Куранты, 190г ППК-2365</t>
  </si>
  <si>
    <t>ППК-2365</t>
  </si>
  <si>
    <t>4640306923656</t>
  </si>
  <si>
    <t>(XL Dream cards) 32,4х44,5х10,2 cm</t>
  </si>
  <si>
    <t>258799</t>
  </si>
  <si>
    <t>Dream cards Пакет подароч. с мат.лам. и глит.  31x40x12 см (XL) Милый заяц, 190г ППК-7164</t>
  </si>
  <si>
    <t>ППК-7164</t>
  </si>
  <si>
    <t>4630493771642</t>
  </si>
  <si>
    <t>258802</t>
  </si>
  <si>
    <t>Dream cards Пакет подароч. с мат.лам. и глит.  31x40x12 см (XL) Новогодние бусы, 190г ППК-7170</t>
  </si>
  <si>
    <t>ППК-7170</t>
  </si>
  <si>
    <t>4630493771703</t>
  </si>
  <si>
    <t>258803</t>
  </si>
  <si>
    <t>Dream cards Пакет подароч. с мат.лам. и глит.  31x40x12 см (XL) Новогодний вечер, 190г ППК-7172</t>
  </si>
  <si>
    <t>ППК-7172</t>
  </si>
  <si>
    <t>4630493771727</t>
  </si>
  <si>
    <t>258805</t>
  </si>
  <si>
    <t>Dream cards Пакет подароч. с мат.лам. и глит.  31x40x12 см (XL) Новогодняя ночь, 190г ППК-7177</t>
  </si>
  <si>
    <t>ППК-7177</t>
  </si>
  <si>
    <t>4630493771772</t>
  </si>
  <si>
    <t>258800</t>
  </si>
  <si>
    <t>Dream cards Пакет подароч. с мат.лам. и глит.  31x40x12 см (XL) Пингвин, 190г ППК-7166</t>
  </si>
  <si>
    <t>ППК-7166</t>
  </si>
  <si>
    <t>4630493771666</t>
  </si>
  <si>
    <t>258806</t>
  </si>
  <si>
    <t>Dream cards Пакет подароч. с мат.лам. и глит.  31x40x12 см (XL) Снеговики, 190г ППК-7179</t>
  </si>
  <si>
    <t>ППК-7179</t>
  </si>
  <si>
    <t>4630493771796</t>
  </si>
  <si>
    <t>258804</t>
  </si>
  <si>
    <t>Dream cards Пакет подароч. с мат.лам. и глит.  31x40x12 см (XL) Снежинки, 190г ППК-7174</t>
  </si>
  <si>
    <t>ППК-7174</t>
  </si>
  <si>
    <t>4630493771741</t>
  </si>
  <si>
    <t>247536</t>
  </si>
  <si>
    <t>Dream cards Пакет подароч. с мат.лам. и глит.  31x40x12 см (XL) Тройка коней, 190г ППК-2364</t>
  </si>
  <si>
    <t>ППК-2364</t>
  </si>
  <si>
    <t>4640306923649</t>
  </si>
  <si>
    <t>(XL Dream cards) 32,4x44,5x10,2 cm</t>
  </si>
  <si>
    <t>258798</t>
  </si>
  <si>
    <t>Dream cards Пакет подароч. с мат.лам. и глит. 31x40x12 см (ХL) Ёлки, 190г ППК-7160</t>
  </si>
  <si>
    <t>ППК-7160</t>
  </si>
  <si>
    <t>4630493771604</t>
  </si>
  <si>
    <t>271407</t>
  </si>
  <si>
    <t>Dream cards Пакет подарочный мат.лам и глит 31х40х12см XL Снежная красавица, 190г соб.раз ППК-1030</t>
  </si>
  <si>
    <t>ППК-1030</t>
  </si>
  <si>
    <t>4680942612002</t>
  </si>
  <si>
    <t>271405</t>
  </si>
  <si>
    <t>Dream cards Пакет подарочный мат.лам. и глит. 31х40х12см (XL) Красивый дом, 190г соб.раз ППК-1029</t>
  </si>
  <si>
    <t>ППК-1029</t>
  </si>
  <si>
    <t>4680942611999</t>
  </si>
  <si>
    <t>271411</t>
  </si>
  <si>
    <t>Dream cards Пакет подарочный с мат.лам. и глит. 31х40х12см (XL) Поздравление, 190г соб.раз ППК-1032</t>
  </si>
  <si>
    <t>ППК-1032</t>
  </si>
  <si>
    <t>4680942612026</t>
  </si>
  <si>
    <t>247539</t>
  </si>
  <si>
    <t>Dreamcards Пакет подарочный с мат.лам. и глит. 31х40х12 см(XL) Чудо новогоднее,190г(с.р.)ППК-2367</t>
  </si>
  <si>
    <t>ППК-2367</t>
  </si>
  <si>
    <t>4640306923670</t>
  </si>
  <si>
    <t>Dream Cards (31х40х12) матовая ламинация и тис. фольгой</t>
  </si>
  <si>
    <t>248703</t>
  </si>
  <si>
    <t>Dream cards Пакет подар. мат.лам.тис.фол 32,4х44,5х10,2см(XL) Грациозный конь,190г(соб.раз) ППК-2430</t>
  </si>
  <si>
    <t>ППК-2430</t>
  </si>
  <si>
    <t>4640306924479</t>
  </si>
  <si>
    <t>269379</t>
  </si>
  <si>
    <t>Dream cards Пакет подар. с мат.лам. и тис. фол. 31x40x12 см (XL) Снегурочка, 190г ППК-7182</t>
  </si>
  <si>
    <t>ППК-7182</t>
  </si>
  <si>
    <t>4665309412921</t>
  </si>
  <si>
    <t>231929</t>
  </si>
  <si>
    <t>Dream Cards Пакет подар.с мат.лам.и тис.ф.31x40x12см(XL)Брызги шампанского,190г(собс.раз.) ПКП-8277</t>
  </si>
  <si>
    <t>ПКП-8277</t>
  </si>
  <si>
    <t>4670159182771</t>
  </si>
  <si>
    <t>31x40x12см(XL)</t>
  </si>
  <si>
    <t>258809</t>
  </si>
  <si>
    <t>Dream cards Пакет подарочный с мат.лам. и тис.фол. 31x40x12 см (XL)  Новогодние шары,190г ППК-7238</t>
  </si>
  <si>
    <t>ППК-7238</t>
  </si>
  <si>
    <t>4630493772380</t>
  </si>
  <si>
    <t>258810</t>
  </si>
  <si>
    <t>Dream cards Пакет подарочный с мат.лам. и тис.фол. 31x40x12 см (XL) Подарки,190г ППК-7184</t>
  </si>
  <si>
    <t>ППК-7184</t>
  </si>
  <si>
    <t>4630493771840</t>
  </si>
  <si>
    <t>258808</t>
  </si>
  <si>
    <t>Dream cards Пакет подарочный с мат.лам. и тис.фол. 31x40x12 см (XL)Новогодние подарки, 190г ППК-7187</t>
  </si>
  <si>
    <t>ППК-7187</t>
  </si>
  <si>
    <t>4630493771871</t>
  </si>
  <si>
    <t>Dream cards (32,4*44,5*10,2) матовая ламинация</t>
  </si>
  <si>
    <t>247535</t>
  </si>
  <si>
    <t>Dream cards Пакет подароч. с мат.лам. и глит.  31x40x12 см (XL) Праздник,190г ППК-2363</t>
  </si>
  <si>
    <t>ППК-2363</t>
  </si>
  <si>
    <t>4640306923632</t>
  </si>
  <si>
    <t>(XL Dream cards) 31x40x12 cm</t>
  </si>
  <si>
    <t>271412</t>
  </si>
  <si>
    <t>Dream cards Пакет подарочный мат.лам.  31х40х12см (XL) Белый котик, 190г соб.раз ППК-1033</t>
  </si>
  <si>
    <t>ППК-1033</t>
  </si>
  <si>
    <t>4680942612033</t>
  </si>
  <si>
    <t>Глянцевая ламинация (32 х 45 х 10)</t>
  </si>
  <si>
    <t>258776</t>
  </si>
  <si>
    <t>Пакет подарочный с глянц.лам. 32,4x44,5x10,2 см (XL) Новогодний олень, 157г ППК-7209</t>
  </si>
  <si>
    <t>ППК-7209</t>
  </si>
  <si>
    <t>4630493772090</t>
  </si>
  <si>
    <t>258781</t>
  </si>
  <si>
    <t>Пакет подарочный с глянц.лам. 32,4x44,5x10,2 см (XL) Сказка, 157г ППК-7232</t>
  </si>
  <si>
    <t>ППК-7232</t>
  </si>
  <si>
    <t>4630493772328</t>
  </si>
  <si>
    <t>258775</t>
  </si>
  <si>
    <t>Пакет подарочный с глянц.лам. 32,4x44,5x10,2 см (XL) Снегири, 157г ППК-7207</t>
  </si>
  <si>
    <t>ППК-7207</t>
  </si>
  <si>
    <t>4630493772076</t>
  </si>
  <si>
    <t>271416</t>
  </si>
  <si>
    <t>Пакет подарочный с глянц.лам. 32,4х44,5х10,2см (XL) В гостях у Деда Мороза, 157г соб.раз ППК-1037</t>
  </si>
  <si>
    <t>ППК-1037</t>
  </si>
  <si>
    <t>4680942612071</t>
  </si>
  <si>
    <t>271419</t>
  </si>
  <si>
    <t>Пакет подарочный с глянц.лам. 32,4х44,5х10,2см (XL) Девочка и зимние друзья, 157г соб.раз ППК-1039</t>
  </si>
  <si>
    <t>ППК-1039</t>
  </si>
  <si>
    <t>4680942612095</t>
  </si>
  <si>
    <t>271414</t>
  </si>
  <si>
    <t>Пакет подарочный с глянц.лам. 32,4х44,5х10,2см Новогодний подарок под ёлкой, 157г соб.раз ППК-1035</t>
  </si>
  <si>
    <t>ППК-1035</t>
  </si>
  <si>
    <t>4680942612057</t>
  </si>
  <si>
    <t>269445</t>
  </si>
  <si>
    <t>Пакет подарочный с глянц.ламин.  32,4x44,5x10,2см (XL) Щелкунчик, 157г (собс.разр.) ППК-7216 сп.30</t>
  </si>
  <si>
    <t>ППК-7216</t>
  </si>
  <si>
    <t>271413</t>
  </si>
  <si>
    <t>Пакет подарочный с глянц.ламин. 32,4х44,5х10,2 см (XL) Белка в снегу, 157г соб.раз. ППК-1034</t>
  </si>
  <si>
    <t>ППК-1034</t>
  </si>
  <si>
    <t>4680942612040</t>
  </si>
  <si>
    <t>271418</t>
  </si>
  <si>
    <t>Пакет подарочный с глянц.ламин. 32,4х44,5х10,2 см (XL) В новом году, 157г соб.раз. ППК-1038</t>
  </si>
  <si>
    <t>ППК-1038</t>
  </si>
  <si>
    <t>4680942612088</t>
  </si>
  <si>
    <t>271415</t>
  </si>
  <si>
    <t>Пакет подарочный с глянц.ламин. 32,4х44,5х10,2 см (XL) Новогодний поезд, 157г соб.раз ППК-1036</t>
  </si>
  <si>
    <t>ППК-1036</t>
  </si>
  <si>
    <t>4680942612064</t>
  </si>
  <si>
    <t>08 Пакет-коробка</t>
  </si>
  <si>
    <t>1 Размер (S)</t>
  </si>
  <si>
    <t>201990</t>
  </si>
  <si>
    <t>Подарочный пакет-коробка с мат. лам. 15*11*9 см "Веселого Нового года" "собст. разработка" ППК-2983</t>
  </si>
  <si>
    <t>ППК-2983</t>
  </si>
  <si>
    <t>4670159029830</t>
  </si>
  <si>
    <t>201995</t>
  </si>
  <si>
    <t>Подарочный пакет-коробка с мат. лам. 15*11*9 см "Новогодний снеговичок" "собст. разработка" ППК-2988</t>
  </si>
  <si>
    <t>ППК-2988</t>
  </si>
  <si>
    <t>4670159029885</t>
  </si>
  <si>
    <t>201994</t>
  </si>
  <si>
    <t>Подарочный пакет-коробка с мат. лам. 15*11*9 см(S) "Аромат зимы" "собственная разработка" ППК-2987</t>
  </si>
  <si>
    <t>ППК-2987</t>
  </si>
  <si>
    <t>4670159029878</t>
  </si>
  <si>
    <t>201989</t>
  </si>
  <si>
    <t>Подарочный пакет-коробка с мат. лам. 15*11*9 см(S) Подарок для тебя, собственная разработка ППК-2982</t>
  </si>
  <si>
    <t>ППК-2982</t>
  </si>
  <si>
    <t>4670159029823</t>
  </si>
  <si>
    <t>201996</t>
  </si>
  <si>
    <t>Подарочный пакет-коробка с мат. лам. 15*11*9см "Пёсик с подарками" "собственная разработка" ППК-2989</t>
  </si>
  <si>
    <t>ППК-2989</t>
  </si>
  <si>
    <t>4670159029892</t>
  </si>
  <si>
    <t>2 Размер (М)</t>
  </si>
  <si>
    <t>202016</t>
  </si>
  <si>
    <t>Подарочный пакет-коробка с мат. лам. 22,5*20*13,5 "Пёсик с подарками" "собст. разработка" ППК-3000</t>
  </si>
  <si>
    <t>ППК-3000</t>
  </si>
  <si>
    <t>4670159030003</t>
  </si>
  <si>
    <t>202004</t>
  </si>
  <si>
    <t>Подарочный пакет-коробка с мат. лам. 22,5*20*13,5 "Подарок для тебя" "собст. разработка" ППК-2996</t>
  </si>
  <si>
    <t>ППК-2996</t>
  </si>
  <si>
    <t>4670159029960</t>
  </si>
  <si>
    <t>02 Подарочные пакеты полиэтиленовые</t>
  </si>
  <si>
    <t>1 Пакеты подарочные для конфет</t>
  </si>
  <si>
    <t>Наборы 13,5см х 22см</t>
  </si>
  <si>
    <t>262078</t>
  </si>
  <si>
    <t>Подарочные пакеты, набор "Новогоднее волшебство", 13.8*23см, 30шт,  стяжка в комплекте ППК-7012</t>
  </si>
  <si>
    <t>ППК-7012</t>
  </si>
  <si>
    <t>4640520770128</t>
  </si>
  <si>
    <t>258501</t>
  </si>
  <si>
    <t>Подарочные пакеты, набор "Подарок от Деда Мороза", 13.5*22 см, 35 шт. ППК-7619</t>
  </si>
  <si>
    <t>ППК-7619</t>
  </si>
  <si>
    <t>4630493776128</t>
  </si>
  <si>
    <t>2 Пакеты с вырубной ручкой</t>
  </si>
  <si>
    <t>20см х 30см</t>
  </si>
  <si>
    <t>236013</t>
  </si>
  <si>
    <t>Пакет вырубной Акварельная ель  30*20/30мкм н00268221</t>
  </si>
  <si>
    <t>н00268221</t>
  </si>
  <si>
    <t>4630201701541</t>
  </si>
  <si>
    <t>22.22.19.190</t>
  </si>
  <si>
    <t>20*30/30мкм</t>
  </si>
  <si>
    <t>237413</t>
  </si>
  <si>
    <t>Пакет вырубной Зимний лес 20х30/30мкм, ВНР50051</t>
  </si>
  <si>
    <t>ВНР50051</t>
  </si>
  <si>
    <t>4607182860086</t>
  </si>
  <si>
    <t>166180</t>
  </si>
  <si>
    <t>Пакет вырубной Подарок и шарики (30х23 см) 30мкм  н00205493</t>
  </si>
  <si>
    <t>н00205493</t>
  </si>
  <si>
    <t>4630073604681</t>
  </si>
  <si>
    <t>30 микр</t>
  </si>
  <si>
    <t>236010</t>
  </si>
  <si>
    <t>Пакет вырубной Серпантин и шарики  30*23/30мкм н00268215</t>
  </si>
  <si>
    <t>н00268215</t>
  </si>
  <si>
    <t>4630201701527</t>
  </si>
  <si>
    <t>209927</t>
  </si>
  <si>
    <t>Пакет вырубной Цвет Нового года 30х23 см/30мкм н00246126</t>
  </si>
  <si>
    <t>н00246126</t>
  </si>
  <si>
    <t>4630201700094</t>
  </si>
  <si>
    <t>191342</t>
  </si>
  <si>
    <t>Пакет полиэтиленовый вырубной Дед Мороз у елки 20х30/30мкм НФ-00005384</t>
  </si>
  <si>
    <t>НФ-00005384</t>
  </si>
  <si>
    <t>4640012384284</t>
  </si>
  <si>
    <t>30 мкм</t>
  </si>
  <si>
    <t>257139</t>
  </si>
  <si>
    <t>Пакет полиэтиленовый вырубной "Волк и Заяц у ёлочки" 20*30/30 мкм ЛИЦЕНЗИЯ/Ну-Погоди! ПИ-7326</t>
  </si>
  <si>
    <t>ПИ-7326</t>
  </si>
  <si>
    <t>4630493773264</t>
  </si>
  <si>
    <t>22.22.11.190</t>
  </si>
  <si>
    <t>260866</t>
  </si>
  <si>
    <t>Пакет полиэтиленовый вырубной "Чебурашка с шариком" 20*30/30 мкм, ЛИЦЕНЗИЯ/Чебурашка ПИ-7799</t>
  </si>
  <si>
    <t>ПИ-7799</t>
  </si>
  <si>
    <t>4630493777996</t>
  </si>
  <si>
    <t>25см х19см</t>
  </si>
  <si>
    <t>192980</t>
  </si>
  <si>
    <t>Пакет вырубной Алые звезды 25х19/30мкм  н00223912</t>
  </si>
  <si>
    <t>н00223912</t>
  </si>
  <si>
    <t>4630073607170</t>
  </si>
  <si>
    <t>31см х 40см</t>
  </si>
  <si>
    <t>275983</t>
  </si>
  <si>
    <t>Пакет вырубной Аромат зимы 31х40/60мкм н00313720</t>
  </si>
  <si>
    <t>н00313720</t>
  </si>
  <si>
    <t>4630201703613</t>
  </si>
  <si>
    <t>257369</t>
  </si>
  <si>
    <t>Пакет вырубной Веселье 40х31/30мкм н00287934</t>
  </si>
  <si>
    <t>н00287934</t>
  </si>
  <si>
    <t>4630201702517</t>
  </si>
  <si>
    <t>236018</t>
  </si>
  <si>
    <t>Пакет вырубной Главная красавица 40*31/30мкм н00247240</t>
  </si>
  <si>
    <t>н00247240</t>
  </si>
  <si>
    <t>4630201700353</t>
  </si>
  <si>
    <t>400х310, 60мкн</t>
  </si>
  <si>
    <t>257372</t>
  </si>
  <si>
    <t>Пакет вырубной Добрая сказка 40х31/60мкм н00287623</t>
  </si>
  <si>
    <t>н00287623</t>
  </si>
  <si>
    <t>4630201702364</t>
  </si>
  <si>
    <t>257371</t>
  </si>
  <si>
    <t>Пакет вырубной Зайка с подарками 40х31/60мкм н00287631</t>
  </si>
  <si>
    <t>н00287631</t>
  </si>
  <si>
    <t>4630201702401</t>
  </si>
  <si>
    <t>257374</t>
  </si>
  <si>
    <t>Пакет вырубной Коробка счастья 30х40/60 мкм НФ-00047546</t>
  </si>
  <si>
    <t>НФ-00047546</t>
  </si>
  <si>
    <t>4610121612110</t>
  </si>
  <si>
    <t>275987</t>
  </si>
  <si>
    <t>Пакет вырубной Матрешкин снег лам 31х40/60мкм н00313712</t>
  </si>
  <si>
    <t>н00313712</t>
  </si>
  <si>
    <t>4630201703712</t>
  </si>
  <si>
    <t>166209</t>
  </si>
  <si>
    <t>Пакет вырубной Новогоднее украшение (40х31 см)  60мкм н00186453</t>
  </si>
  <si>
    <t>н00186453</t>
  </si>
  <si>
    <t>4630073601741</t>
  </si>
  <si>
    <t>60 микр</t>
  </si>
  <si>
    <t>257375</t>
  </si>
  <si>
    <t>Пакет вырубной Новогодняя клетка  30х40/60 мкм НФ-00047548</t>
  </si>
  <si>
    <t>НФ-00047548</t>
  </si>
  <si>
    <t>4610121612189</t>
  </si>
  <si>
    <t>275986</t>
  </si>
  <si>
    <t>Пакет вырубной Русская душа лам 31х40/60мкм н00313694</t>
  </si>
  <si>
    <t>н00313694</t>
  </si>
  <si>
    <t>4630201703743</t>
  </si>
  <si>
    <t>275985</t>
  </si>
  <si>
    <t>Пакет вырубной Стиль зимы 31х40/60мкм н00314010</t>
  </si>
  <si>
    <t>н00314010</t>
  </si>
  <si>
    <t>4630201703835</t>
  </si>
  <si>
    <t>166205</t>
  </si>
  <si>
    <t>Пакет вырубной Три бельчонка (40х31 см)  60мкм лам н00125712</t>
  </si>
  <si>
    <t>н00125712</t>
  </si>
  <si>
    <t>4650070133984</t>
  </si>
  <si>
    <t>209943</t>
  </si>
  <si>
    <t>Пакет вырубной Яркая елочка 30х41 см/60мкм н00245468</t>
  </si>
  <si>
    <t>н00245468</t>
  </si>
  <si>
    <t>4630073609884</t>
  </si>
  <si>
    <t>257142</t>
  </si>
  <si>
    <t>Пакет полиэтиленовый вырубной "Волк и Заяц у ёлочки" 30*40/50 мкм ЛИЦЕНЗИЯ/Ну-Погоди! ПИ-7327</t>
  </si>
  <si>
    <t>ПИ-7327</t>
  </si>
  <si>
    <t>4630493773271</t>
  </si>
  <si>
    <t>260869</t>
  </si>
  <si>
    <t>Пакет полиэтиленовый вырубной "Чебурашка в шариках" 30*40/50 мкм ЛИЦЕНЗИЯ/Чебурашка ПИ-7801</t>
  </si>
  <si>
    <t>ПИ-7801</t>
  </si>
  <si>
    <t>4630493778016</t>
  </si>
  <si>
    <t>36,5см х 48см</t>
  </si>
  <si>
    <t>210016</t>
  </si>
  <si>
    <t>Пакет полиэтиленовый Новогодние феи (36.5х48 см) 50мкм ПП-5449</t>
  </si>
  <si>
    <t>ПП-5449</t>
  </si>
  <si>
    <t>4670159054498</t>
  </si>
  <si>
    <t>38см х 47см</t>
  </si>
  <si>
    <t>276903</t>
  </si>
  <si>
    <t>Пакет вырубной Главная ёлка 38х47 см, 50 мкм (собст.разраб.) ППК-4511</t>
  </si>
  <si>
    <t>ППК-4511</t>
  </si>
  <si>
    <t>4680942644188</t>
  </si>
  <si>
    <t>276906</t>
  </si>
  <si>
    <t>Пакет вырубной Добрый Дедушка Мороз 38х47 см, 50 мкм (собст.разраб.) ППК-4513</t>
  </si>
  <si>
    <t>ППК-4513</t>
  </si>
  <si>
    <t>4680942644201</t>
  </si>
  <si>
    <t>276901</t>
  </si>
  <si>
    <t>Пакет вырубной Новогодняя композиция 38х47 см, 50 мкм (собст.разраб.) ППК-4510</t>
  </si>
  <si>
    <t>ППК-4510</t>
  </si>
  <si>
    <t>4680942644171</t>
  </si>
  <si>
    <t>276905</t>
  </si>
  <si>
    <t>Пакет вырубной Снегирь 38х47 см, 50 мкм (собст.разраб.) ППК-4512</t>
  </si>
  <si>
    <t>ППК-4512</t>
  </si>
  <si>
    <t>4680942644195</t>
  </si>
  <si>
    <t>276907</t>
  </si>
  <si>
    <t>Пакет вырубной Украшения 38х47 см, 50 мкм (собст.разраб.) ППК-4514</t>
  </si>
  <si>
    <t>ППК-4514</t>
  </si>
  <si>
    <t>4680942644218</t>
  </si>
  <si>
    <t>45см*38см</t>
  </si>
  <si>
    <t>275991</t>
  </si>
  <si>
    <t>Пакет вырубной  Душа деревни 45х38/60 мкм лам н00313630</t>
  </si>
  <si>
    <t>н00313630</t>
  </si>
  <si>
    <t>4630201703576</t>
  </si>
  <si>
    <t>275989</t>
  </si>
  <si>
    <t>Пакет вырубной  Звездопад подарков 45х38/60 мкм н00313718</t>
  </si>
  <si>
    <t>н00313718</t>
  </si>
  <si>
    <t>4630201703651</t>
  </si>
  <si>
    <t>275992</t>
  </si>
  <si>
    <t>Пакет вырубной  Зимний привет 45х38/60 мкм лам н00313723</t>
  </si>
  <si>
    <t>н00313723</t>
  </si>
  <si>
    <t>4630201703637</t>
  </si>
  <si>
    <t>236024</t>
  </si>
  <si>
    <t>Пакет вырубной Звездное конфетти 45*38/60мкм н00267925</t>
  </si>
  <si>
    <t>н00267925</t>
  </si>
  <si>
    <t>4630201701480</t>
  </si>
  <si>
    <t>45*38/60 мкм</t>
  </si>
  <si>
    <t>275990</t>
  </si>
  <si>
    <t>Пакет вырубной Котоёлка 45х38/60 мкм н00313716</t>
  </si>
  <si>
    <t>н00313716</t>
  </si>
  <si>
    <t>4630201703668</t>
  </si>
  <si>
    <t>257391</t>
  </si>
  <si>
    <t>Пакет вырубной Новогодние подарки лам 45х38/60мкм н00223879</t>
  </si>
  <si>
    <t>н00223879</t>
  </si>
  <si>
    <t>4630073607125</t>
  </si>
  <si>
    <t>257392</t>
  </si>
  <si>
    <t>Пакет вырубной Подарки зимы лам 45х38/60мкм н00245520</t>
  </si>
  <si>
    <t>н00245520</t>
  </si>
  <si>
    <t>4630073609853</t>
  </si>
  <si>
    <t>257382</t>
  </si>
  <si>
    <t>Пакет вырубной Подарок от Деда Мороза 45х38/60мкм н00287653</t>
  </si>
  <si>
    <t>н00287653</t>
  </si>
  <si>
    <t>4630201702456</t>
  </si>
  <si>
    <t>257386</t>
  </si>
  <si>
    <t>Пакет вырубной Эксперт в подарках 45х38/60мкм н00287655</t>
  </si>
  <si>
    <t>н00287655</t>
  </si>
  <si>
    <t>4630201702449</t>
  </si>
  <si>
    <t>3 Пакеты с петлевой ручкой</t>
  </si>
  <si>
    <t>28см х 35см</t>
  </si>
  <si>
    <t>257394</t>
  </si>
  <si>
    <t>Пакет петлевой Волшебный праздник 28х34/60мкм НФ-00000912</t>
  </si>
  <si>
    <t>НФ-00000912</t>
  </si>
  <si>
    <t>4640012384505</t>
  </si>
  <si>
    <t>191359</t>
  </si>
  <si>
    <t>Пакет полиэтиленовый с петлевой ручкой  Подарочный с бантом 28х34/60мкм  НФ-00006347</t>
  </si>
  <si>
    <t>НФ-00006347</t>
  </si>
  <si>
    <t>4640012386165</t>
  </si>
  <si>
    <t>60 мкм</t>
  </si>
  <si>
    <t>38 см х 42 см</t>
  </si>
  <si>
    <t>257397</t>
  </si>
  <si>
    <t>Пакет петлевой Изумрудный блеск 43,5х38/35мкм н00267333</t>
  </si>
  <si>
    <t>н00267333</t>
  </si>
  <si>
    <t>4630201701206</t>
  </si>
  <si>
    <t>275996</t>
  </si>
  <si>
    <t>Пакет петлевой Новогодние сюрпризы 42x38/37 мкм н00314043</t>
  </si>
  <si>
    <t>н00314043</t>
  </si>
  <si>
    <t>4630201703859</t>
  </si>
  <si>
    <t>42см х 44см</t>
  </si>
  <si>
    <t>276000</t>
  </si>
  <si>
    <t>Пакет петлевой  Ночь перед Рождеством 42х44/70 мкм н00288101</t>
  </si>
  <si>
    <t>н00288101</t>
  </si>
  <si>
    <t>4630201702555</t>
  </si>
  <si>
    <t>275999</t>
  </si>
  <si>
    <t>Пакет петлевой  Подарок внутри 42х44/70 мкм н00313933</t>
  </si>
  <si>
    <t>н00313933</t>
  </si>
  <si>
    <t>4630201703811</t>
  </si>
  <si>
    <t>Гиганты</t>
  </si>
  <si>
    <t>257416</t>
  </si>
  <si>
    <t>Пакет петлевой Новогодние подарки 58х50/65 мкм НФ-00047557</t>
  </si>
  <si>
    <t>НФ-00047557</t>
  </si>
  <si>
    <t>4610121612196</t>
  </si>
  <si>
    <t>193015</t>
  </si>
  <si>
    <t>Пакет полиэтиленовый с петлевой ручкой Новогоднее мерцание 50х60/60 мкм н00225520</t>
  </si>
  <si>
    <t>н00225520</t>
  </si>
  <si>
    <t>4630073607408</t>
  </si>
  <si>
    <t>100 мкм</t>
  </si>
  <si>
    <t>193016</t>
  </si>
  <si>
    <t>Пакет полиэтиленовый с петлевой ручкой Яркие подарки 50х60/60 мкм н00205575</t>
  </si>
  <si>
    <t>н00205575</t>
  </si>
  <si>
    <t>4630073604797</t>
  </si>
  <si>
    <t>4 Пакеты с пластиковой ручкой</t>
  </si>
  <si>
    <t>38см х 35см</t>
  </si>
  <si>
    <t>257422</t>
  </si>
  <si>
    <t>Пакет с пластиковой ручкой  Мишка с елкой 37х35/90 мкм НФ-00006185</t>
  </si>
  <si>
    <t>НФ-00006185</t>
  </si>
  <si>
    <t>4640012387391</t>
  </si>
  <si>
    <t>40см х 44см</t>
  </si>
  <si>
    <t>257424</t>
  </si>
  <si>
    <t>Пакет с пластиковой ручкой Шарм 44х40/100мкм н00287424</t>
  </si>
  <si>
    <t>н00287424</t>
  </si>
  <si>
    <t>4630201702340</t>
  </si>
  <si>
    <t>02 Упаковочная бумага "Собственная разработка"</t>
  </si>
  <si>
    <t>Упаковочная бумага (10 л.в рулоне)</t>
  </si>
  <si>
    <t>270533</t>
  </si>
  <si>
    <t>OPTIMA Упаковочная бумага  Снегири на еловых ветвях (70*100см, 10л) "Собственная разработка" УБ-0969</t>
  </si>
  <si>
    <t>УБ-0969</t>
  </si>
  <si>
    <t>4680942609699</t>
  </si>
  <si>
    <t>17.12.77.110</t>
  </si>
  <si>
    <t>4811900000</t>
  </si>
  <si>
    <t>270541</t>
  </si>
  <si>
    <t>OPTIMA Упаковочная бумага Волшебный Новый год  (70*100см, 10л) "Собств.разработка" УБ-0975</t>
  </si>
  <si>
    <t>УБ-0975</t>
  </si>
  <si>
    <t>4680942609750</t>
  </si>
  <si>
    <t>270543</t>
  </si>
  <si>
    <t>OPTIMA Упаковочная бумага Зверята с подарками  (70*100см, 10л) "Собств.разработка" УБ-0976</t>
  </si>
  <si>
    <t>УБ-0976</t>
  </si>
  <si>
    <t>4680942609767</t>
  </si>
  <si>
    <t>270545</t>
  </si>
  <si>
    <t>OPTIMA Упаковочная бумага Зимняя деревня  (70*100см, 10л) "Собств.разработка" УБ-0977</t>
  </si>
  <si>
    <t>УБ-0977</t>
  </si>
  <si>
    <t>4680942609774</t>
  </si>
  <si>
    <t>270536</t>
  </si>
  <si>
    <t>OPTIMA Упаковочная бумага Золотые узоры зимы  (70*100см, 10л) "Собств.разработка" УБ-0971</t>
  </si>
  <si>
    <t>УБ-0971</t>
  </si>
  <si>
    <t>4680942609712</t>
  </si>
  <si>
    <t>270538</t>
  </si>
  <si>
    <t>OPTIMA Упаковочная бумага Праздничная ёлка  (70*100см, 10л) "Собств.разработка" УБ-0973</t>
  </si>
  <si>
    <t>УБ-0973</t>
  </si>
  <si>
    <t>4680942609736</t>
  </si>
  <si>
    <t>270539</t>
  </si>
  <si>
    <t>OPTIMA Упаковочная бумага Пряничный Новый год  (70*100см, 10л) "Собств.разработка" УБ-0974</t>
  </si>
  <si>
    <t>УБ-0974</t>
  </si>
  <si>
    <t>4680942609743</t>
  </si>
  <si>
    <t>270535</t>
  </si>
  <si>
    <t>OPTIMA Упаковочная бумага Ретро-машины везут праздник  (70*100см, 10л) "Собств.разработка" УБ-0970</t>
  </si>
  <si>
    <t>УБ-0970</t>
  </si>
  <si>
    <t>4680942609705</t>
  </si>
  <si>
    <t>270532</t>
  </si>
  <si>
    <t>OPTIMA Упаковочная бумага Сказка (70*100см, 10 л) "Собственная разработка" УБ-0968</t>
  </si>
  <si>
    <t>УБ-0968</t>
  </si>
  <si>
    <t>4680942609682</t>
  </si>
  <si>
    <t>204046</t>
  </si>
  <si>
    <t>OPTIMA Упаковочная бумага Сказка в лесу (70*100см, 10 л) "Собственная разработка"  УБ-4317</t>
  </si>
  <si>
    <t>УБ-4317</t>
  </si>
  <si>
    <t>4670159043171</t>
  </si>
  <si>
    <t>70х100 см</t>
  </si>
  <si>
    <t>270537</t>
  </si>
  <si>
    <t>OPTIMA Упаковочная бумага Снежинки и Новый год  (70*100см, 10л) "Собств.разработка" УБ-0972</t>
  </si>
  <si>
    <t>УБ-0972</t>
  </si>
  <si>
    <t>4680942609729</t>
  </si>
  <si>
    <t>Стандарт</t>
  </si>
  <si>
    <t>270515</t>
  </si>
  <si>
    <t>Упаковочная бумага Волшебная тройка Деда Мороза (70*100см, 10 л) "Собственная разработка" УБ-0938</t>
  </si>
  <si>
    <t>УБ-0938</t>
  </si>
  <si>
    <t>4680942609385</t>
  </si>
  <si>
    <t>270521</t>
  </si>
  <si>
    <t>Упаковочная бумага Зверята с подарками (70*100см, 10 л) "Собственная разработка" УБ-0944</t>
  </si>
  <si>
    <t>УБ-0944</t>
  </si>
  <si>
    <t>4680942609446</t>
  </si>
  <si>
    <t>129280</t>
  </si>
  <si>
    <t>Упаковочная бумага Зима пришла (70*100см, 10 л)  УБ-9453</t>
  </si>
  <si>
    <t>УБ-9453</t>
  </si>
  <si>
    <t>4665307394533</t>
  </si>
  <si>
    <t>70*100 см</t>
  </si>
  <si>
    <t>270516</t>
  </si>
  <si>
    <t>Упаковочная бумага Зимние забавы (70*100см, 10 л) "Собственная разработка" УБ-0939</t>
  </si>
  <si>
    <t>УБ-0939</t>
  </si>
  <si>
    <t>4680942609392</t>
  </si>
  <si>
    <t>227412</t>
  </si>
  <si>
    <t>Упаковочная бумага Зимняя ягода (70*100см, 10 л) "Собственная разработка" УБ-6503</t>
  </si>
  <si>
    <t>УБ-6503</t>
  </si>
  <si>
    <t>4670159165033</t>
  </si>
  <si>
    <t>70 х 100 см</t>
  </si>
  <si>
    <t>227415</t>
  </si>
  <si>
    <t>Упаковочная бумага Лисички и веточки  (70*100см, 10 л) "Собственная разработка"  УБ-6506</t>
  </si>
  <si>
    <t>УБ-6506</t>
  </si>
  <si>
    <t>4670159165064</t>
  </si>
  <si>
    <t>251832</t>
  </si>
  <si>
    <t>Упаковочная бумага Лошадки и снежинки (70*100см, 10 л) (Собств.разраб.) УБ-6130</t>
  </si>
  <si>
    <t>УБ-6130</t>
  </si>
  <si>
    <t>4670159261308</t>
  </si>
  <si>
    <t>270518</t>
  </si>
  <si>
    <t>Упаковочная бумага Новогодние послания (70*100см, 10 л) "Собственная разработка" УБ-0941</t>
  </si>
  <si>
    <t>УБ-0941</t>
  </si>
  <si>
    <t>4680942609415</t>
  </si>
  <si>
    <t>227413</t>
  </si>
  <si>
    <t>Упаковочная бумага Новогодний поезд (70*100см, 10 л) "Собственная разработка"  УБ-6504</t>
  </si>
  <si>
    <t>УБ-6504</t>
  </si>
  <si>
    <t>4670159165040</t>
  </si>
  <si>
    <t>270520</t>
  </si>
  <si>
    <t>Упаковочная бумага Новогодняя феерия  (70*100см, 10 л) "Собственная разработка" УБ-0943</t>
  </si>
  <si>
    <t>УБ-0943</t>
  </si>
  <si>
    <t>4680942609439</t>
  </si>
  <si>
    <t>227414</t>
  </si>
  <si>
    <t>Упаковочная бумага Носочки и подарки (70*100см, 10 л) "Собственная разработка"  УБ-6505</t>
  </si>
  <si>
    <t>УБ-6505</t>
  </si>
  <si>
    <t>4670159165057</t>
  </si>
  <si>
    <t>270517</t>
  </si>
  <si>
    <t>Упаковочная бумага Праздник подарков» (70*100см, 10 л)  "Собственная разработка" УБ-0940</t>
  </si>
  <si>
    <t>УБ-0940</t>
  </si>
  <si>
    <t>4680942609408</t>
  </si>
  <si>
    <t>270519</t>
  </si>
  <si>
    <t>Упаковочная бумага Праздничная почта  (70*100см, 10 л) "Собственная разработка" УБ-0942</t>
  </si>
  <si>
    <t>УБ-0942</t>
  </si>
  <si>
    <t>4680942609422</t>
  </si>
  <si>
    <t>227402</t>
  </si>
  <si>
    <t>Упаковочная бумага Снегири (70*100см, 10 л) "Собственная разработка"  УБ-6497</t>
  </si>
  <si>
    <t>УБ-6497</t>
  </si>
  <si>
    <t>4670159164975</t>
  </si>
  <si>
    <t>Упаковочная бумага 5+0 доп пантон золотистый</t>
  </si>
  <si>
    <t>227464</t>
  </si>
  <si>
    <t>Упаковочная бумага  Новогодняя пора (70х100, 10 л, 5+0 доп пантон золото)  УБ-6489</t>
  </si>
  <si>
    <t>УБ-6489</t>
  </si>
  <si>
    <t>4670159164890</t>
  </si>
  <si>
    <t>270528</t>
  </si>
  <si>
    <t>Упаковочная бумага Веселые зверята (70х100, 10 л, 5+0 золото) "Собств. разраб." УБ-0961</t>
  </si>
  <si>
    <t>УБ-0961</t>
  </si>
  <si>
    <t>4680942609613</t>
  </si>
  <si>
    <t>270531</t>
  </si>
  <si>
    <t>Упаковочная бумага Волшебная почта (70х100, 10 л, 5+0 золото) "Собств. разраб." УБ-0963</t>
  </si>
  <si>
    <t>УБ-0963</t>
  </si>
  <si>
    <t>4680942609637</t>
  </si>
  <si>
    <t>227462</t>
  </si>
  <si>
    <t>Упаковочная бумага Елочки (70х100, 10 л, 5+0 доп пантон золото)  УБ-6487</t>
  </si>
  <si>
    <t>УБ-6487</t>
  </si>
  <si>
    <t>4670159164876</t>
  </si>
  <si>
    <t>251847</t>
  </si>
  <si>
    <t>Упаковочная бумага Елочки и снежинки (70х100, 10 л, 5+0 доп пантон золото)(Собств.разраб.) УБ-6138</t>
  </si>
  <si>
    <t>УБ-6138</t>
  </si>
  <si>
    <t>4670159261384</t>
  </si>
  <si>
    <t>251848</t>
  </si>
  <si>
    <t>Упаковочная бумага Елочные шары  (70х100, 10 л, 5+0 доп пантон золото)(Собств.разраб.) УБ-6139</t>
  </si>
  <si>
    <t>УБ-6139</t>
  </si>
  <si>
    <t>4670159261391</t>
  </si>
  <si>
    <t>227460</t>
  </si>
  <si>
    <t>Упаковочная бумага Зимний орнамент (70х100, 10 л, 5+0 доп пантон золото)  УБ-6485</t>
  </si>
  <si>
    <t>УБ-6485</t>
  </si>
  <si>
    <t>4670159164852</t>
  </si>
  <si>
    <t>251846</t>
  </si>
  <si>
    <t>Упаковочная бумага Золотые лошадки (70х100, 10 л, 5+0 доп пантон золото)(Собств.разраб.) УБ-6137</t>
  </si>
  <si>
    <t>УБ-6137</t>
  </si>
  <si>
    <t>4670159261377</t>
  </si>
  <si>
    <t>204067</t>
  </si>
  <si>
    <t>Упаковочная бумага Новогодние снежинки на красном (70х100, 10 л, 5+0 доп пантон золото)  УБ-4335</t>
  </si>
  <si>
    <t>УБ-4335</t>
  </si>
  <si>
    <t>4670159043355</t>
  </si>
  <si>
    <t>204064</t>
  </si>
  <si>
    <t>Упаковочная бумага Новогодние снежинки на синем (70х100, 10 л, 5+0 доп пантон золото) УБ-4332</t>
  </si>
  <si>
    <t>УБ-4332</t>
  </si>
  <si>
    <t>4670159043324</t>
  </si>
  <si>
    <t>227461</t>
  </si>
  <si>
    <t>Упаковочная бумага Новогодние шишки (70х100, 10 л, 5+0 доп пантон золото)  УБ-6486</t>
  </si>
  <si>
    <t>УБ-6486</t>
  </si>
  <si>
    <t>4670159164869</t>
  </si>
  <si>
    <t>270530</t>
  </si>
  <si>
    <t>Упаковочная бумага Олени в зимнем лесу  (70х100, 10 л, 5+0 золото) "Собств. разраб." УБ-0962</t>
  </si>
  <si>
    <t>УБ-0962</t>
  </si>
  <si>
    <t>4680942609620</t>
  </si>
  <si>
    <t>227463</t>
  </si>
  <si>
    <t>Упаковочная бумага Сияние в лесу (70х100, 10 л, 5+0 доп пантон золото)  УБ-6488</t>
  </si>
  <si>
    <t>УБ-6488</t>
  </si>
  <si>
    <t>4670159164883</t>
  </si>
  <si>
    <t>Шоу-боксы</t>
  </si>
  <si>
    <t>270553</t>
  </si>
  <si>
    <t>OPTIMA Упаковочная бумага Волшебный микс (70х100см, 1л, 5 дизайнов в ш/б) Собств. разраб УБ-0992</t>
  </si>
  <si>
    <t>УБ-0992</t>
  </si>
  <si>
    <t>4680942609927</t>
  </si>
  <si>
    <t>227454</t>
  </si>
  <si>
    <t>OPTIMA Упаковочная бумага Зимнее чудо В АССОРТИМЕНТЕ (70х100см, 1л, 5 дизайнов в шоубоксе) УБ-6496</t>
  </si>
  <si>
    <t>УБ-6496</t>
  </si>
  <si>
    <t>4670159164968</t>
  </si>
  <si>
    <t>270552</t>
  </si>
  <si>
    <t>OPTIMA Упаковочная бумага Сказочный микс (70х100см, 1л, 5 диз. в шоубоксе) "Собств. разраб" УБ-0991</t>
  </si>
  <si>
    <t>УБ-0991</t>
  </si>
  <si>
    <t>4680942609910</t>
  </si>
  <si>
    <t>270550</t>
  </si>
  <si>
    <t>Упаковочная бумага Новогодняя фантазия в ассортименте (70х100см, 1л, 5 дизайнов в шоубоксе) УБ-0989</t>
  </si>
  <si>
    <t>УБ-0989</t>
  </si>
  <si>
    <t>4680942609897</t>
  </si>
  <si>
    <t>17.12.14.199</t>
  </si>
  <si>
    <t>4819500000</t>
  </si>
  <si>
    <t>270551</t>
  </si>
  <si>
    <t>Упаковочная бумага Праздничный микс 5+0 и 4+0 (70х100см, 1л, 5 дизайнов в шоубоксе) УБ-0990</t>
  </si>
  <si>
    <t>УБ-0990</t>
  </si>
  <si>
    <t>4680942609903</t>
  </si>
  <si>
    <t>03 Новогодние подарочные коробки</t>
  </si>
  <si>
    <t>Коробки для шоколада "Собственная разработка"</t>
  </si>
  <si>
    <t>164870</t>
  </si>
  <si>
    <t>Подарочная коробка для шоколада Новогодние ветки КОР-3981</t>
  </si>
  <si>
    <t>КОР-3981</t>
  </si>
  <si>
    <t>4610144839815</t>
  </si>
  <si>
    <t>Набор коробок 3 в 1</t>
  </si>
  <si>
    <t>Набор квадратных коробок 3 в 1</t>
  </si>
  <si>
    <t>19,5 x 19,5 x 11 - 15,5 x 15,5 x 9 см</t>
  </si>
  <si>
    <t>251868</t>
  </si>
  <si>
    <t>Набор квадратных коробок 3 в 1 Елочки и снежинки (19,5х19,5х11-15,5х15,5х9)(Собс.разр.) КОР-6169</t>
  </si>
  <si>
    <t>КОР-6169</t>
  </si>
  <si>
    <t>4670159261698</t>
  </si>
  <si>
    <t>251869</t>
  </si>
  <si>
    <t>Набор квадратных коробок 3 в 1 Заснеженная елка (19,5х19,5х11-15,5х15,5х9)(Собс.разр.) КОР-6170</t>
  </si>
  <si>
    <t>КОР-6170</t>
  </si>
  <si>
    <t>4670159261704</t>
  </si>
  <si>
    <t>251871</t>
  </si>
  <si>
    <t>Набор квадратных коробок 3 в 1 Зимние котики (19,5х19,5х11-15,5х15,5х9)(Собс.разр.) КОР-6172</t>
  </si>
  <si>
    <t>КОР-6172</t>
  </si>
  <si>
    <t>4670159261728</t>
  </si>
  <si>
    <t>251872</t>
  </si>
  <si>
    <t>Набор квадратных коробок 3 в 1 Полярные мишки (19,5х19,5х11-15,5х15,5х9)(Собс.разр.) КОР-6173</t>
  </si>
  <si>
    <t>КОР-6173</t>
  </si>
  <si>
    <t>4670159261735</t>
  </si>
  <si>
    <t>251870</t>
  </si>
  <si>
    <t>Набор квадратных коробок 3 в 1 С Новым годом (19,5х19,5х11-15,5х15,5х9)(Собс.разр.) КОР-6171</t>
  </si>
  <si>
    <t>КОР-6171</t>
  </si>
  <si>
    <t>4670159261711</t>
  </si>
  <si>
    <t>251873</t>
  </si>
  <si>
    <t>Набор квадратных коробок 3 в 1 Снежинки и звездочки (19,5х19,5х11-15,5х15,5х9)(Собс.разр.) КОР-6174</t>
  </si>
  <si>
    <t>КОР-6174</t>
  </si>
  <si>
    <t>4670159261742</t>
  </si>
  <si>
    <t>251874</t>
  </si>
  <si>
    <t>Набор квадратных коробок 3 в1 Золотые лошадки (19,5х19,5х11-15,5х15,5х9)(Собс.разр.) КОР-6175</t>
  </si>
  <si>
    <t>КОР-6175</t>
  </si>
  <si>
    <t>4670159261759</t>
  </si>
  <si>
    <t>270782</t>
  </si>
  <si>
    <t>Набор квадратных коробок 3в1 Зверята с подарками (19,5х19,5х11-15,5х15,5х9) "Собств.разраб" КОР-1011</t>
  </si>
  <si>
    <t>КОР-1011</t>
  </si>
  <si>
    <t>4680942610114</t>
  </si>
  <si>
    <t>Набор круглых коробок 3 в 1</t>
  </si>
  <si>
    <t>275333</t>
  </si>
  <si>
    <t>Набор подарочных круглых коробок 3в1 с тиснен. "Нарядная ёлочка" 16.5х16.5х7-20.5х20.5х9см КОР-3498</t>
  </si>
  <si>
    <t>КОР-3498</t>
  </si>
  <si>
    <t>4680942634981</t>
  </si>
  <si>
    <t>Наборы прямоугольных коробок 3 в 1</t>
  </si>
  <si>
    <t>19 х 12 х 7,5 - 15 х 10 х 5 см</t>
  </si>
  <si>
    <t>270789</t>
  </si>
  <si>
    <t>Набор прямоугольных кор. 3в1 Зверята с подарками (19х12х7,5-15х10х5) "Собств.разраб" КОР-1018</t>
  </si>
  <si>
    <t>КОР-1018</t>
  </si>
  <si>
    <t>4680942610251</t>
  </si>
  <si>
    <t>270788</t>
  </si>
  <si>
    <t>Набор прямоугольных кор. 3в1 Праздничная почта (19х12х7,5-15х10х5) "Собств.разраб" КОР-1017</t>
  </si>
  <si>
    <t>КОР-1017</t>
  </si>
  <si>
    <t>4680942610244</t>
  </si>
  <si>
    <t>251886</t>
  </si>
  <si>
    <t>Набор прямоугольных коробок 3 в 1 Зимние котики (19х12х7,5-15х10х5)(Собс.разр.) КОР-6179</t>
  </si>
  <si>
    <t>КОР-6179</t>
  </si>
  <si>
    <t>4670159261797</t>
  </si>
  <si>
    <t>251887</t>
  </si>
  <si>
    <t>Набор прямоугольных коробок 3 в 1 Полярные мишки (19х12х7,5-15х10х5)(Собс.разр.) КОР-6180</t>
  </si>
  <si>
    <t>КОР-6180</t>
  </si>
  <si>
    <t>4670159261803</t>
  </si>
  <si>
    <t>270793</t>
  </si>
  <si>
    <t>Набор прямоугольных коробок 3в1  Волшебная почта (19х12х7,5-15х10х5) "Собств.разраб" КОР-1022</t>
  </si>
  <si>
    <t>КОР-1022</t>
  </si>
  <si>
    <t>4680942610299</t>
  </si>
  <si>
    <t>270791</t>
  </si>
  <si>
    <t>Набор прямоугольных коробок 3в1  Сказка (19х12х7,5-15х10х5) "Собств.разраб" КОР-1020</t>
  </si>
  <si>
    <t>КОР-1020</t>
  </si>
  <si>
    <t>4680942610275</t>
  </si>
  <si>
    <t>23 х 16 х 9,5 - 19 х 12 х 6,5 см</t>
  </si>
  <si>
    <t>270799</t>
  </si>
  <si>
    <t>Набор  прямоугольных коробок 3в1  Волшебная почта(23х16х9,5-19х12х6,5) "Собств.разраб" КОР-1028</t>
  </si>
  <si>
    <t>КОР-1028</t>
  </si>
  <si>
    <t>4680942610411</t>
  </si>
  <si>
    <t>270797</t>
  </si>
  <si>
    <t>Набор  прямоугольных коробок 3в1  Сказка(23х16х9,5-19х12х6,5) "Собств.разраб" КОР-1026</t>
  </si>
  <si>
    <t>КОР-1026</t>
  </si>
  <si>
    <t>4680942610398</t>
  </si>
  <si>
    <t>270794</t>
  </si>
  <si>
    <t>Набор прямоугольных коробок 3в1   Праздничная почта (23х16х9,5-19х12х6,5) "Собств. разраб." КОР-1023</t>
  </si>
  <si>
    <t>КОР-1023</t>
  </si>
  <si>
    <t>4680942610367</t>
  </si>
  <si>
    <t>270795</t>
  </si>
  <si>
    <t>Набор прямоугольных коробок 3в1 Зверята с подарками (23х16х9,5-19х12х6,5) "Соб. разраб." КОР-1024</t>
  </si>
  <si>
    <t>КОР-1024</t>
  </si>
  <si>
    <t>4680942610374</t>
  </si>
  <si>
    <t>Наборы коробок  10 в 1</t>
  </si>
  <si>
    <t>270805</t>
  </si>
  <si>
    <t>Набор квадратных коробок 10в1  Волшебная почта (30,5х20х13-12х6,5х4 см) "Соб. раз."КОР-1034</t>
  </si>
  <si>
    <t>КОР-1034</t>
  </si>
  <si>
    <t>4680942610534</t>
  </si>
  <si>
    <t>270803</t>
  </si>
  <si>
    <t>Набор квадратных коробок 10в1  Сказка(30,5х20х13-12х6,5х4 см) "Соб. раз."КОР-1032</t>
  </si>
  <si>
    <t>КОР-1032</t>
  </si>
  <si>
    <t>4680942610510</t>
  </si>
  <si>
    <t>270804</t>
  </si>
  <si>
    <t>Набор квадратных коробок 10в1 Снегири на еловых ветвях (30,5х20х13-12х6,5х4 см) "Соб. раз."КОР-1033</t>
  </si>
  <si>
    <t>КОР-1033</t>
  </si>
  <si>
    <t>4680942610527</t>
  </si>
  <si>
    <t>257963</t>
  </si>
  <si>
    <t>Набор коробок 10 в1 "Веселый Дед Мороз", 19х13х7.5-37.5х29х16 КОР-7555</t>
  </si>
  <si>
    <t>КОР-7555</t>
  </si>
  <si>
    <t>4630493775558</t>
  </si>
  <si>
    <t>257955</t>
  </si>
  <si>
    <t>Набор коробок 10 в1 с тиснением "Рождество", 19х13х7.5-37.5х29х16 КОР-7554</t>
  </si>
  <si>
    <t>КОР-7554</t>
  </si>
  <si>
    <t>4630493775541</t>
  </si>
  <si>
    <t>252126</t>
  </si>
  <si>
    <t>Набор прямоугольных коробок 10 в 1 Заснеженная елка (30,5х20х13-12х6,5х4 см)"Соб. раз." КОР-6205</t>
  </si>
  <si>
    <t>КОР-6205</t>
  </si>
  <si>
    <t>4670159262053</t>
  </si>
  <si>
    <t>252128</t>
  </si>
  <si>
    <t>Набор прямоугольных коробок 10 в 1 Зимние котики (30,5х20х13-12х6,5х4 см)"Соб. раз." КОР-6207</t>
  </si>
  <si>
    <t>КОР-6207</t>
  </si>
  <si>
    <t>4670159262077</t>
  </si>
  <si>
    <t>252129</t>
  </si>
  <si>
    <t>Набор прямоугольных коробок 10 в 1 Полярные мишки  (30,5х20х13-12х6,5х4 см)"Соб. раз." КОР-6208</t>
  </si>
  <si>
    <t>КОР-6208</t>
  </si>
  <si>
    <t>4670159262084</t>
  </si>
  <si>
    <t>252127</t>
  </si>
  <si>
    <t>Набор прямоугольных коробок 10 в 1 С Новым годом  (30,5х20х13-12х6,5х4 см)"Соб. раз." КОР-6206</t>
  </si>
  <si>
    <t>КОР-6206</t>
  </si>
  <si>
    <t>4670159262060</t>
  </si>
  <si>
    <t>252130</t>
  </si>
  <si>
    <t>Набор прямоугольных коробок 10 в 1 Снежинки и звездочки (30,5х20х13-12х6,5х4 см)"Соб. раз." КОР-6209</t>
  </si>
  <si>
    <t>КОР-6209</t>
  </si>
  <si>
    <t>4670159262091</t>
  </si>
  <si>
    <t>252131</t>
  </si>
  <si>
    <t>Набор прямоугольных коробок 10 в1 Золотые лошадки (30,5х20х13-12х6,5х4 см)"Соб. раз." КОР-6210</t>
  </si>
  <si>
    <t>КОР-6210</t>
  </si>
  <si>
    <t>4670159262107</t>
  </si>
  <si>
    <t>270801</t>
  </si>
  <si>
    <t>Набор прямоугольных коробок 10в1  Зверята с подарками (30,5х20х13-12х6,5х4 см)"Соб. раз."КОР-1030</t>
  </si>
  <si>
    <t>КОР-1030</t>
  </si>
  <si>
    <t>4680942610497</t>
  </si>
  <si>
    <t>270800</t>
  </si>
  <si>
    <t>Набор прямоугольных коробок 10в1  Праздничная почта (30,5х20х13-12х6,5х4 см)"Соб. раз."КОР-1029</t>
  </si>
  <si>
    <t>КОР-1029</t>
  </si>
  <si>
    <t>4680942610480</t>
  </si>
  <si>
    <t>Наборы коробок 11 в 1</t>
  </si>
  <si>
    <t>251894</t>
  </si>
  <si>
    <t>Набор квадратных коробок 11 в 1 Елочки и снежинки (25,5*25,5*13-5,5*5,5*2,5см)(Собс.разр.) КОР-6183</t>
  </si>
  <si>
    <t>КОР-6183</t>
  </si>
  <si>
    <t>4670159261834</t>
  </si>
  <si>
    <t>251897</t>
  </si>
  <si>
    <t>Набор квадратных коробок 11 в 1 Зимние котики (25,5*25,5*13-5,5*5,5*2,5см)(Собс.разр.) КОР-6186</t>
  </si>
  <si>
    <t>КОР-6186</t>
  </si>
  <si>
    <t>4670159261865</t>
  </si>
  <si>
    <t>129980</t>
  </si>
  <si>
    <t>Набор квадратных коробок 11 в 1 Зимний лес (25,5x25,5x13-5,5x5,5x2,5)"Собственная разработка"ПП-7206</t>
  </si>
  <si>
    <t>ПП-7206</t>
  </si>
  <si>
    <t>4665307393673</t>
  </si>
  <si>
    <t>25,5*25,5*13 - 5,5*5,5*2,5 см</t>
  </si>
  <si>
    <t>251898</t>
  </si>
  <si>
    <t>Набор квадратных коробок 11 в 1 Полярные мишки (25,5*25,5*13-5,5*5,5*2,5см)(Собс.разр.) КОР-6187</t>
  </si>
  <si>
    <t>КОР-6187</t>
  </si>
  <si>
    <t>4670159261872</t>
  </si>
  <si>
    <t>251896</t>
  </si>
  <si>
    <t>Набор квадратных коробок 11 в 1 С Новым годом (25,5*25,5*13-5,5*5,5*2,5см) (Собс.разр.) КОР-6185</t>
  </si>
  <si>
    <t>КОР-6185</t>
  </si>
  <si>
    <t>4670159261858</t>
  </si>
  <si>
    <t>251899</t>
  </si>
  <si>
    <t>Набор квадратных коробок 11 в 1 Снежинки и звездочки(25,5*25,5*13-5,5*5,5*2,5см)(Собс.разр) КОР-6188</t>
  </si>
  <si>
    <t>КОР-6188</t>
  </si>
  <si>
    <t>4670159261889</t>
  </si>
  <si>
    <t>251901</t>
  </si>
  <si>
    <t>Набор квадратных коробок 11 в1 Золотые лошадки (25,5*25,5*13-5,5*5,5*2,5см)(Собс.разр.) КОР-6189</t>
  </si>
  <si>
    <t>КОР-6189</t>
  </si>
  <si>
    <t>4670159261896</t>
  </si>
  <si>
    <t>230329</t>
  </si>
  <si>
    <t>Набор квадратных коробок 11в1 Носочки и подарки (25,5*25,5*13-5,5*5,5*2,5) Собств.разр. КОР-7835</t>
  </si>
  <si>
    <t>КОР-7835</t>
  </si>
  <si>
    <t>4670159178231</t>
  </si>
  <si>
    <t>25,5*25,5*13-5,5*5,5*2,5 см</t>
  </si>
  <si>
    <t>Одинарные коробки</t>
  </si>
  <si>
    <t>Коробки-кубы</t>
  </si>
  <si>
    <t>258619</t>
  </si>
  <si>
    <t>Коробка-куб одинарная  С Новым годом 19х19х19 КК-7106</t>
  </si>
  <si>
    <t>КК-7106</t>
  </si>
  <si>
    <t>4630493771062</t>
  </si>
  <si>
    <t>258606</t>
  </si>
  <si>
    <t>Коробка-куб одинарная Елочки и снежинки 19x19x19 КК-7100</t>
  </si>
  <si>
    <t>КК-7100</t>
  </si>
  <si>
    <t>4630493771000</t>
  </si>
  <si>
    <t>258602</t>
  </si>
  <si>
    <t>Коробка-куб одинарная Елочки и снежинки 21х21х21  КК-7099</t>
  </si>
  <si>
    <t>КК-7099</t>
  </si>
  <si>
    <t>4630493770997</t>
  </si>
  <si>
    <t>258611</t>
  </si>
  <si>
    <t>Коробка-куб одинарная Заснеженная елка 21х21х21 КК-7102</t>
  </si>
  <si>
    <t>КК-7102</t>
  </si>
  <si>
    <t>4630493771024</t>
  </si>
  <si>
    <t>258622</t>
  </si>
  <si>
    <t>Коробка-куб одинарная Зимние котики 21х21х21 КК-7108</t>
  </si>
  <si>
    <t>КК-7108</t>
  </si>
  <si>
    <t>4630493771086</t>
  </si>
  <si>
    <t>258637</t>
  </si>
  <si>
    <t>Коробка-куб одинарная Золотые лошадки 17х17х17 КК-7119</t>
  </si>
  <si>
    <t>КК-7119</t>
  </si>
  <si>
    <t>4630493771192</t>
  </si>
  <si>
    <t>258632</t>
  </si>
  <si>
    <t>Коробка-куб одинарная Золотые лошадки 21х21х21 КК-7117</t>
  </si>
  <si>
    <t>КК-7117</t>
  </si>
  <si>
    <t>4630493771178</t>
  </si>
  <si>
    <t>258625</t>
  </si>
  <si>
    <t>Коробка-куб одинарная Полярные мишки 21х21х21 КК-7111</t>
  </si>
  <si>
    <t>КК-7111</t>
  </si>
  <si>
    <t>4630493771116</t>
  </si>
  <si>
    <t>Прямоугольные</t>
  </si>
  <si>
    <t>21х14х8 см</t>
  </si>
  <si>
    <t>208310</t>
  </si>
  <si>
    <t>Коробка прямоугольная одинарная Новогоднее чудо 21х14х8 см ПП-9844</t>
  </si>
  <si>
    <t>ПП-9844</t>
  </si>
  <si>
    <t>4670159046448</t>
  </si>
  <si>
    <t>04 Коробки для конфет "Собственная разработка"</t>
  </si>
  <si>
    <t>01 Коробка для конфет Сундучок  (500 гр)</t>
  </si>
  <si>
    <t>252187</t>
  </si>
  <si>
    <t>Коробка для конфет  "Зверята получают подарки" 500г "Собств. разраб." ПП-6254</t>
  </si>
  <si>
    <t>ПП-6254</t>
  </si>
  <si>
    <t>4670159262541</t>
  </si>
  <si>
    <t>271848</t>
  </si>
  <si>
    <t>Коробка для конфет Сундучок  "Дед Мороз и Внучка на утреннике" 500г  "Собств. разраб." ПП-1712</t>
  </si>
  <si>
    <t>ПП-1712</t>
  </si>
  <si>
    <t>4680942616970</t>
  </si>
  <si>
    <t>271855</t>
  </si>
  <si>
    <t>Коробка для конфет Сундучок  "Дед мороз и лесные друзья у ёлки" 500г "Собств. разраб." ПП-1719</t>
  </si>
  <si>
    <t>ПП-1719</t>
  </si>
  <si>
    <t>4680942617045</t>
  </si>
  <si>
    <t>271856</t>
  </si>
  <si>
    <t>Коробка для конфет Сундучок  "Дед Мороз на тройке"  500г "Собств. разраб." ПП-1720</t>
  </si>
  <si>
    <t>ПП-1720</t>
  </si>
  <si>
    <t>4680942617052</t>
  </si>
  <si>
    <t>271853</t>
  </si>
  <si>
    <t>Коробка для конфет Сундучок  "Дед мороз раздает угощения" 500г "Собств. разраб." ПП-1716</t>
  </si>
  <si>
    <t>ПП-1716</t>
  </si>
  <si>
    <t>4680942617014</t>
  </si>
  <si>
    <t>252191</t>
  </si>
  <si>
    <t>Коробка для конфет Сундучок  "Лесной утренник"  500г "Собств. разраб." ПП-6258</t>
  </si>
  <si>
    <t>ПП-6258</t>
  </si>
  <si>
    <t>4670159262589</t>
  </si>
  <si>
    <t>271847</t>
  </si>
  <si>
    <t>Коробка для конфет Сундучок  "Новогодняя сказка у ёлки"  500г  "Собств. разраб." ПП-1711</t>
  </si>
  <si>
    <t>ПП-1711</t>
  </si>
  <si>
    <t>4680942616963</t>
  </si>
  <si>
    <t>252182</t>
  </si>
  <si>
    <t>Коробка для конфет Сундучок  "Чаепитие в лесу"  500г  "Собств. разраб." ПП-6249</t>
  </si>
  <si>
    <t>ПП-6249</t>
  </si>
  <si>
    <t>4670159262497</t>
  </si>
  <si>
    <t>271854</t>
  </si>
  <si>
    <t>Коробка для конфет Сундучок "Дед Мороз и весёлый оркестр лесных друзей" 500г Собств. разраб. ПП-1717</t>
  </si>
  <si>
    <t>ПП-1717</t>
  </si>
  <si>
    <t>4680942617021</t>
  </si>
  <si>
    <t>252189</t>
  </si>
  <si>
    <t>Коробка для конфет Сундучок "Дед Мороз и Внучка готовят подарки" 500г "Собств. разраб." ПП-6256</t>
  </si>
  <si>
    <t>ПП-6256</t>
  </si>
  <si>
    <t>4670159262565</t>
  </si>
  <si>
    <t>252181</t>
  </si>
  <si>
    <t>Коробка для конфет Сундучок "Дед Мороз и лесные звери на катке" 500г  "Собств. разраб." ПП-6248</t>
  </si>
  <si>
    <t>ПП-6248</t>
  </si>
  <si>
    <t>4670159262480</t>
  </si>
  <si>
    <t>271849</t>
  </si>
  <si>
    <t>Коробка для конфет Сундучок "Дед Мороз разбирает почту " 500г  "Собств. разраб." ПП-1713</t>
  </si>
  <si>
    <t>ПП-1713</t>
  </si>
  <si>
    <t>4680942616987</t>
  </si>
  <si>
    <t>271850</t>
  </si>
  <si>
    <t>Коробка для конфет Сундучок "Дед Мороз спешит с подарками " 500г  "Собств. разраб." ПП-1714</t>
  </si>
  <si>
    <t>ПП-1714</t>
  </si>
  <si>
    <t>4680942616994</t>
  </si>
  <si>
    <t>271851</t>
  </si>
  <si>
    <t>Коробка для конфет Сундучок "Дед мороз читает письма" 500г "Собств. разраб." ПП-1715</t>
  </si>
  <si>
    <t>ПП-1715</t>
  </si>
  <si>
    <t>4680942617007</t>
  </si>
  <si>
    <t>271858</t>
  </si>
  <si>
    <t>Коробка для конфет Сундучок "Дед Мороз, елка, подарки и весёлые зверята" 500г Собств.разраб. ПП-1718</t>
  </si>
  <si>
    <t>ПП-1718</t>
  </si>
  <si>
    <t>4680942617038</t>
  </si>
  <si>
    <t>252192</t>
  </si>
  <si>
    <t>Коробка для конфет Сундучок "Зверята украшают елку" 500г "Собств. разраб." ПП-6259</t>
  </si>
  <si>
    <t>ПП-6259</t>
  </si>
  <si>
    <t>4670159262596</t>
  </si>
  <si>
    <t>271846</t>
  </si>
  <si>
    <t>Коробка для конфет Сундучок "Козочки встречают Новый год"  500г  "Собств. разраб." ПП-1710</t>
  </si>
  <si>
    <t>ПП-1710</t>
  </si>
  <si>
    <t>4680942616956</t>
  </si>
  <si>
    <t>271857</t>
  </si>
  <si>
    <t>Коробка для конфет Сундучок "Лесные зверята приглашают на праздник" 500г "Собств. разраб." ПП-1721</t>
  </si>
  <si>
    <t>ПП-1721</t>
  </si>
  <si>
    <t>4680942617069</t>
  </si>
  <si>
    <t>252184</t>
  </si>
  <si>
    <t>Коробка для конфет Сундучок "Песни и пляски у елки" 500г  "Собств. разраб." ПП-6251</t>
  </si>
  <si>
    <t>ПП-6251</t>
  </si>
  <si>
    <t>4670159262510</t>
  </si>
  <si>
    <t>230112</t>
  </si>
  <si>
    <t>Коробка для конфет Сундучок Детвора на горке 500г "Собственная разработка" ПП-7763</t>
  </si>
  <si>
    <t>ПП-7763</t>
  </si>
  <si>
    <t>4670159177630</t>
  </si>
  <si>
    <t>230105</t>
  </si>
  <si>
    <t>Коробка для конфет Сундучок Дети играют в снегу 500г "Собственная разработка" ПП-7761</t>
  </si>
  <si>
    <t>ПП-7761</t>
  </si>
  <si>
    <t>4670159177616</t>
  </si>
  <si>
    <t>02 Подарочные коробочки Домик (1000 гр)</t>
  </si>
  <si>
    <t>272034</t>
  </si>
  <si>
    <t>Коробка для конфет Домик "Дед Мороз и его лесные друзья" (1000 гр) "Собственная разработка" ПП-1787</t>
  </si>
  <si>
    <t>ПП-1787</t>
  </si>
  <si>
    <t>4680942617878</t>
  </si>
  <si>
    <t>272035</t>
  </si>
  <si>
    <t>Коробка для конфет Домик "Зимние забавы "(1000 гр) "Собственная разработка" ПП-1788</t>
  </si>
  <si>
    <t>ПП-1788</t>
  </si>
  <si>
    <t>4680942617885</t>
  </si>
  <si>
    <t>272032</t>
  </si>
  <si>
    <t>Коробка для конфет Домик "Козочки с подарками" (1000 гр) "Собственная разработка" ПП-1786</t>
  </si>
  <si>
    <t>ПП-1786</t>
  </si>
  <si>
    <t>4680942617861</t>
  </si>
  <si>
    <t>272021</t>
  </si>
  <si>
    <t>Коробка для конфет Домик "Праздник у терема Деда Мороза" (1000 гр) "Собственная разработка" ПП-1785</t>
  </si>
  <si>
    <t>ПП-1785</t>
  </si>
  <si>
    <t>4680942617854</t>
  </si>
  <si>
    <t>208753</t>
  </si>
  <si>
    <t>Коробка для конфет Домик Пряничный (1000 гр) "Собственная разработка" ПП-6526</t>
  </si>
  <si>
    <t>ПП-6526</t>
  </si>
  <si>
    <t>4670159065265</t>
  </si>
  <si>
    <t>03 Коробка для конфет Конфета (700г)</t>
  </si>
  <si>
    <t>270681</t>
  </si>
  <si>
    <t>Коробка для сладостей  Конфета (700г) "Веселый барашик"   "Собственная разработка" ПП-1701</t>
  </si>
  <si>
    <t>ПП-1701</t>
  </si>
  <si>
    <t>4680942609989</t>
  </si>
  <si>
    <t>270683</t>
  </si>
  <si>
    <t>Коробка для сладостей  Конфета (700г) "Подарок от Деда Мороза"   "Собственная разработка" ПП-1703</t>
  </si>
  <si>
    <t>ПП-1703</t>
  </si>
  <si>
    <t>4680942610008</t>
  </si>
  <si>
    <t>230052</t>
  </si>
  <si>
    <t>Коробка для сладостей Белочки у ёлки и на коньках Конфета (700г) "Собственная разработка" ПП-7704</t>
  </si>
  <si>
    <t>ПП-7704</t>
  </si>
  <si>
    <t>4670159177043</t>
  </si>
  <si>
    <t>249883</t>
  </si>
  <si>
    <t>Коробка для сладостей Конфета (700г) "Дедушка Мороз везет подарки" (Собств. разр.) ПП-5987</t>
  </si>
  <si>
    <t>ПП-5987</t>
  </si>
  <si>
    <t>4670159259879</t>
  </si>
  <si>
    <t>269218</t>
  </si>
  <si>
    <t>Коробка для сладостей Конфета (700г) "Дедушка Мороз везет подарки" (Собств. разр.) ПП-5987 сп.30</t>
  </si>
  <si>
    <t>249884</t>
  </si>
  <si>
    <t>Коробка для сладостей Конфета (700г) "Дедушка Мороз дарит подарки" (Собств. разр.) ПП-5988</t>
  </si>
  <si>
    <t>ПП-5988</t>
  </si>
  <si>
    <t>4670159259886</t>
  </si>
  <si>
    <t>269220</t>
  </si>
  <si>
    <t>Коробка для сладостей Конфета (700г) "Дедушка Мороз дарит подарки" (Собств. разр.) ПП-5988 сп.30</t>
  </si>
  <si>
    <t>249882</t>
  </si>
  <si>
    <t>Коробка для сладостей Конфета (700г) "Нарядный Дедушка Мороз и Внучка" (Собств. разр.) ПП-5986</t>
  </si>
  <si>
    <t>ПП-5986</t>
  </si>
  <si>
    <t>4670159259862</t>
  </si>
  <si>
    <t>269221</t>
  </si>
  <si>
    <t>Коробка для сладостей Конфета (700г) "Нарядный Дедушка Мороз и Внучка" (Собств. разр.) ПП-5986 сп.30</t>
  </si>
  <si>
    <t>249885</t>
  </si>
  <si>
    <t>Коробка для сладостей Конфета (700г) "Новогоднее чудо" (Собств. разр.) ПП-5989</t>
  </si>
  <si>
    <t>ПП-5989</t>
  </si>
  <si>
    <t>4670159259893</t>
  </si>
  <si>
    <t>269219</t>
  </si>
  <si>
    <t>Коробка для сладостей Конфета (700г) "Новогоднее чудо" (Собств. разр.) ПП-5989 сп.30</t>
  </si>
  <si>
    <t>230053</t>
  </si>
  <si>
    <t>Коробка для сладостей Поздравление детей Конфета (700г) "Собственная разработка" ПП-7705</t>
  </si>
  <si>
    <t>ПП-7705</t>
  </si>
  <si>
    <t>4670159177050</t>
  </si>
  <si>
    <t>04  Коробка для конфет Грузовичок (700г)</t>
  </si>
  <si>
    <t>168719</t>
  </si>
  <si>
    <t>Коробка для конфет Грузовичок желтый "Собственная разработка" ПП-5237</t>
  </si>
  <si>
    <t>ПП-5237</t>
  </si>
  <si>
    <t>4610144852371</t>
  </si>
  <si>
    <t>168725</t>
  </si>
  <si>
    <t>Коробка для конфет Грузовичок розовый "Собственная разработка" ПП-5239</t>
  </si>
  <si>
    <t>ПП-5239</t>
  </si>
  <si>
    <t>4610144852395</t>
  </si>
  <si>
    <t>05  Коробка для конфет Домик (с кормушкой для птичек) (300г)</t>
  </si>
  <si>
    <t>168734</t>
  </si>
  <si>
    <t>Коробка для конфет Домик желтый (с кормушкой для птичек) "Собственная разработка" ПП-5241</t>
  </si>
  <si>
    <t>ПП-5241</t>
  </si>
  <si>
    <t>4610144852418</t>
  </si>
  <si>
    <t>168731</t>
  </si>
  <si>
    <t>Коробка для конфет Домик красный (с кормушкой для птичек) "Собственная разработка" ПП-5240</t>
  </si>
  <si>
    <t>ПП-5240</t>
  </si>
  <si>
    <t>4610144852401</t>
  </si>
  <si>
    <t>168736</t>
  </si>
  <si>
    <t>Коробка для конфет Домик синий (с кормушкой для птичек) "Собственная разработка" ПП-5242</t>
  </si>
  <si>
    <t>ПП-5242</t>
  </si>
  <si>
    <t>4610144852425</t>
  </si>
  <si>
    <t>05 ПОСУДА</t>
  </si>
  <si>
    <t>1 Новогодние тарелки и блюда</t>
  </si>
  <si>
    <t>1 Новогодние тарелки и блюда (собст. разр.)</t>
  </si>
  <si>
    <t>КОЛЛЕКЦИЯ "ЗИМА"</t>
  </si>
  <si>
    <t>274483</t>
  </si>
  <si>
    <t>Тарелка закусочная керамическая В зимнем лесу, 20,5 см, белая (собств. разработка) КС-2818</t>
  </si>
  <si>
    <t>КС-2818</t>
  </si>
  <si>
    <t>4680942628188</t>
  </si>
  <si>
    <t>6912002100</t>
  </si>
  <si>
    <t>274480</t>
  </si>
  <si>
    <t>Тарелка закусочная керамическая Волшебная тройка, 20,5 см, белая (собств. разработка) КС-2816</t>
  </si>
  <si>
    <t>КС-2816</t>
  </si>
  <si>
    <t>4680942628164</t>
  </si>
  <si>
    <t>КОЛЛЕКЦИЯ "ЗИМНИЙ ЛЕС"</t>
  </si>
  <si>
    <t>БЕЛКА И ЗАЯЦ</t>
  </si>
  <si>
    <t>274463</t>
  </si>
  <si>
    <t>Тарелка закусочная керамическая Белка и заяц, 20,5 см, белая (собств. разработка) КС-2881</t>
  </si>
  <si>
    <t>КС-2881</t>
  </si>
  <si>
    <t>4680942628812</t>
  </si>
  <si>
    <t>274465</t>
  </si>
  <si>
    <t>Тарелка закусочная керамическая Белка и заяц, 23 см, белая (собств. разработка) КС-2882</t>
  </si>
  <si>
    <t>КС-2882</t>
  </si>
  <si>
    <t>4680942628829</t>
  </si>
  <si>
    <t>ЛИСА И ЗАЯЦ</t>
  </si>
  <si>
    <t>274459</t>
  </si>
  <si>
    <t>Тарелка закусочная керамическая Лиса и заяц, 20,5 см, белая (собств. разработка) КС-2803</t>
  </si>
  <si>
    <t>КС-2803</t>
  </si>
  <si>
    <t>4680942628034</t>
  </si>
  <si>
    <t>274460</t>
  </si>
  <si>
    <t>Тарелка закусочная керамическая Лиса и заяц, 23 см, белая (собств. разработка) КС-2804</t>
  </si>
  <si>
    <t>КС-2804</t>
  </si>
  <si>
    <t>4680942628041</t>
  </si>
  <si>
    <t>ОЛЕНИ</t>
  </si>
  <si>
    <t>274470</t>
  </si>
  <si>
    <t>Тарелка закусочная керамическая Олени в лесу, 23 см, белая (собств. разработка) КС-2807</t>
  </si>
  <si>
    <t>КС-2807</t>
  </si>
  <si>
    <t>4680942628072</t>
  </si>
  <si>
    <t>КОЛЛЕКЦИЯ "ЗОЛОТО"</t>
  </si>
  <si>
    <t>274456</t>
  </si>
  <si>
    <t>Тарелка закусочная керамическая Колокольчики, 23 см, белая (собств. разработка) КС-2801</t>
  </si>
  <si>
    <t>КС-2801</t>
  </si>
  <si>
    <t>4680942628010</t>
  </si>
  <si>
    <t>274457</t>
  </si>
  <si>
    <t>Тарелка обеденная керамическая Колокольчики, 27 см, белая (собств. разработка) КС-2802</t>
  </si>
  <si>
    <t>КС-2802</t>
  </si>
  <si>
    <t>4680942628027</t>
  </si>
  <si>
    <t>КОЛЛЕКЦИЯ "НОВЫЙ ГОД"</t>
  </si>
  <si>
    <t>ЗИМНИЕ ЧУДЕСА</t>
  </si>
  <si>
    <t>256682</t>
  </si>
  <si>
    <t>Тарелка закусочная керамическая  Зимние чудеса, 20,5 см, белая (собственная разработка) КС-7284</t>
  </si>
  <si>
    <t>КС-7284</t>
  </si>
  <si>
    <t>4630493772847</t>
  </si>
  <si>
    <t>256683</t>
  </si>
  <si>
    <t>Тарелка закусочная керамическая  Зимние чудеса, 23 см, белая (собственная разработка) КС-7285</t>
  </si>
  <si>
    <t>КС-7285</t>
  </si>
  <si>
    <t>4630493772854</t>
  </si>
  <si>
    <t>МАШИНА С ПОДАРКАМИ</t>
  </si>
  <si>
    <t>274443</t>
  </si>
  <si>
    <t>Тарелка закусочная керамическая Машина с подарками, 20,5 см, белая (собств. разработка) КС-2797</t>
  </si>
  <si>
    <t>КС-2797</t>
  </si>
  <si>
    <t>4680942627976</t>
  </si>
  <si>
    <t>274445</t>
  </si>
  <si>
    <t>Тарелка закусочная керамическая Машина с подарками, 23 см, белая (собств. разработка) КС-2798</t>
  </si>
  <si>
    <t>КС-2798</t>
  </si>
  <si>
    <t>4680942627983</t>
  </si>
  <si>
    <t>НОВОГОДНЕЕ ВОЛШЕБСТВО</t>
  </si>
  <si>
    <t>274440</t>
  </si>
  <si>
    <t>Тарелка закусочная керамическая Новогоднее волшебство, 23 см, белая (собств. разработка) КС-2795</t>
  </si>
  <si>
    <t>КС-2795</t>
  </si>
  <si>
    <t>4680942627952</t>
  </si>
  <si>
    <t>НОВОГОДНЕЕ ЧУДО</t>
  </si>
  <si>
    <t>256685</t>
  </si>
  <si>
    <t>Тарелка закусочная керамическая Новогоднее чудо, 20,5 см, белая (собственная разработка)  КС-7287</t>
  </si>
  <si>
    <t>КС-7287</t>
  </si>
  <si>
    <t>4630493772878</t>
  </si>
  <si>
    <t>256686</t>
  </si>
  <si>
    <t>Тарелка закусочная керамическая Новогоднее чудо, 23 см, белая (собственная разработка) КС-7288</t>
  </si>
  <si>
    <t>КС-7288</t>
  </si>
  <si>
    <t>4630493772885</t>
  </si>
  <si>
    <t>КОЛЛЕКЦИЯ "ПРАЗДНИК"</t>
  </si>
  <si>
    <t>ВЕСЕЛЫЙ ХОРОВОД</t>
  </si>
  <si>
    <t>274475</t>
  </si>
  <si>
    <t>Тарелка закусочная керамическая Весёлый хоровод, 20,5 см, белая (собств. разработка) КС-2812</t>
  </si>
  <si>
    <t>КС-2812</t>
  </si>
  <si>
    <t>4680942628126</t>
  </si>
  <si>
    <t>274476</t>
  </si>
  <si>
    <t>Тарелка закусочная керамическая Весёлый хоровод, 23 см, белая (собств. разработка) КС-2813</t>
  </si>
  <si>
    <t>КС-2813</t>
  </si>
  <si>
    <t>4680942628133</t>
  </si>
  <si>
    <t>СКАЗОЧНАЯ КАРУСЕЛЬ</t>
  </si>
  <si>
    <t>274473</t>
  </si>
  <si>
    <t>Тарелка закусочная керамическая Сказочная карусель, 23 см, белая (собств. разработка) КС-2810</t>
  </si>
  <si>
    <t>КС-2810</t>
  </si>
  <si>
    <t>4680942628102</t>
  </si>
  <si>
    <t>237433</t>
  </si>
  <si>
    <t>Набор салатников керамических  "Снегири на ветке",2 шт, 13*7.5 см (собственная разработка) ЧНП-1196</t>
  </si>
  <si>
    <t>ЧНП-1196</t>
  </si>
  <si>
    <t>4670159211969</t>
  </si>
  <si>
    <t>237432</t>
  </si>
  <si>
    <t>Набор тарелок керамических "Снегири на ветке", 2 шт, 23 см (собственная разработка) ЧНП-1195</t>
  </si>
  <si>
    <t>ЧНП-1195</t>
  </si>
  <si>
    <t>4670159211952</t>
  </si>
  <si>
    <t>237431</t>
  </si>
  <si>
    <t>Набор тарелок керамических "Снегири на ветке", 2 шт, 26,5 см (собственная разработка) ЧНП-1194</t>
  </si>
  <si>
    <t>ЧНП-1194</t>
  </si>
  <si>
    <t>4670159211945</t>
  </si>
  <si>
    <t>ШКОЛА МАГИИ. ЗАЛ</t>
  </si>
  <si>
    <t>274487</t>
  </si>
  <si>
    <t>Тарелка закусочная керамическая Школа магии, 23 см, белая (собств. разработка) КС-2820</t>
  </si>
  <si>
    <t>КС-2820</t>
  </si>
  <si>
    <t>4680942628201</t>
  </si>
  <si>
    <t>ШКОЛА МАГИИ. ПОЕЗД</t>
  </si>
  <si>
    <t>274491</t>
  </si>
  <si>
    <t>Тарелка закусочная керамическая Школа магии. Поезд, 23 см, белая (собств. разработка) КС-2823</t>
  </si>
  <si>
    <t>КС-2823</t>
  </si>
  <si>
    <t>4680942628232</t>
  </si>
  <si>
    <t>ШКОЛА МАГИИ. УЛИЦА</t>
  </si>
  <si>
    <t>274497</t>
  </si>
  <si>
    <t>Тарелка закусочная керамическая Школа магии. Улица, 23 см, белая (собств. разработка) КС-2826</t>
  </si>
  <si>
    <t>КС-2826</t>
  </si>
  <si>
    <t>4680942628263</t>
  </si>
  <si>
    <t>2 Новогодние тарелки и блюда</t>
  </si>
  <si>
    <t>235291</t>
  </si>
  <si>
    <t>Блюдо двухъярусное сервировочное керамическое "Праздничные котята" КС-9855</t>
  </si>
  <si>
    <t>КС-9855</t>
  </si>
  <si>
    <t>4670159198550</t>
  </si>
  <si>
    <t>d =15см; d= 22см</t>
  </si>
  <si>
    <t>239021</t>
  </si>
  <si>
    <t>Сервировочная стеклянная тарелка Елочка 22*20 см СРТ-1819</t>
  </si>
  <si>
    <t>СРТ-1819</t>
  </si>
  <si>
    <t>4670159218197</t>
  </si>
  <si>
    <t>7013491000</t>
  </si>
  <si>
    <t>22*20 см</t>
  </si>
  <si>
    <t>239022</t>
  </si>
  <si>
    <t>Сервировочная стеклянная тарелка Звезда 20,5*20,5 см СРТ-1820</t>
  </si>
  <si>
    <t>СРТ-1820</t>
  </si>
  <si>
    <t>4670159218203</t>
  </si>
  <si>
    <t>20,5*20,5 см</t>
  </si>
  <si>
    <t>239023</t>
  </si>
  <si>
    <t>Сервировочная стеклянная тарелка Звезда 33*33 см СРТ-1821</t>
  </si>
  <si>
    <t>СРТ-1821</t>
  </si>
  <si>
    <t>4670159218210</t>
  </si>
  <si>
    <t>33*33 см</t>
  </si>
  <si>
    <t>2 Сувенирные кружки и сервизы</t>
  </si>
  <si>
    <t>Сувенирные кружки (собст. разр.)</t>
  </si>
  <si>
    <t>256681</t>
  </si>
  <si>
    <t>Кружка керамическая Новогодняя сказка, 350 мл, зелёная (собственная разработка) КС-7283</t>
  </si>
  <si>
    <t>КС-7283</t>
  </si>
  <si>
    <t>4630493772830</t>
  </si>
  <si>
    <t>256680</t>
  </si>
  <si>
    <t>Кружка керамическая Новогодняя сказка, 350 мл, красная (собственная разработка) КС-7282</t>
  </si>
  <si>
    <t>КС-7282</t>
  </si>
  <si>
    <t>4630493772823</t>
  </si>
  <si>
    <t>Сувенирные кружки и сервизы</t>
  </si>
  <si>
    <t>262397</t>
  </si>
  <si>
    <t>Кружка "Новогодняя" с крышкой и ложкой 380 мл, керамика КП-7052</t>
  </si>
  <si>
    <t>КП-7052</t>
  </si>
  <si>
    <t>4640520770524</t>
  </si>
  <si>
    <t>23.41.12.110</t>
  </si>
  <si>
    <t>257861</t>
  </si>
  <si>
    <t>Кружка керамическая "Ёлочки", 280 мл, КС-7370</t>
  </si>
  <si>
    <t>КС-7370</t>
  </si>
  <si>
    <t>4630493773707</t>
  </si>
  <si>
    <t>257871</t>
  </si>
  <si>
    <t>Кружка керамическая с ложкой и подставкой (в наборе) "Грациозный конь", 300 мл, КС-7380</t>
  </si>
  <si>
    <t>КС-7380</t>
  </si>
  <si>
    <t>4630493773806</t>
  </si>
  <si>
    <t>257855</t>
  </si>
  <si>
    <t>Кружка керамическая с ложкой и подставкой (в наборе) "Сказочный вечер", 300 мл, КС-7366</t>
  </si>
  <si>
    <t>КС-7366</t>
  </si>
  <si>
    <t>4630493773660</t>
  </si>
  <si>
    <t>235292</t>
  </si>
  <si>
    <t>Кружки керамические с ложками (в наборе на две персоны), "Праздничные котята", 280мл КС-9856</t>
  </si>
  <si>
    <t>КС-9856</t>
  </si>
  <si>
    <t>4670159198567</t>
  </si>
  <si>
    <t>280 мл</t>
  </si>
  <si>
    <t>257872</t>
  </si>
  <si>
    <t>Набор керамических кружек "Грациозный конь", 2 шт, 300 мл, КС-7381</t>
  </si>
  <si>
    <t>КС-7381</t>
  </si>
  <si>
    <t>4630493773813</t>
  </si>
  <si>
    <t>257868</t>
  </si>
  <si>
    <t>Набор керамических кружек с ложками "Грациозный конь", 2 шт, 300 мл, КС-7377</t>
  </si>
  <si>
    <t>КС-7377</t>
  </si>
  <si>
    <t>4630493773776</t>
  </si>
  <si>
    <t>255924</t>
  </si>
  <si>
    <t>Чашка "Праздничная ель", 350 мл КС-7007</t>
  </si>
  <si>
    <t>КС-7007</t>
  </si>
  <si>
    <t>4630493770737</t>
  </si>
  <si>
    <t>3 Термокружки</t>
  </si>
  <si>
    <t>271614</t>
  </si>
  <si>
    <t>Термокружка "Ёлки и бантики" (350 мл) КП-1635</t>
  </si>
  <si>
    <t>КП-1635</t>
  </si>
  <si>
    <t>4680942616352</t>
  </si>
  <si>
    <t>247981</t>
  </si>
  <si>
    <t>Термокружка "Елочки и шарики" (350 мл) КП-2384</t>
  </si>
  <si>
    <t>КП-2384</t>
  </si>
  <si>
    <t>4640306923847</t>
  </si>
  <si>
    <t>22.29.23.110</t>
  </si>
  <si>
    <t>3924100000</t>
  </si>
  <si>
    <t>247980</t>
  </si>
  <si>
    <t>Термокружка "Зимний Барашек" (350 мл) КП-2383</t>
  </si>
  <si>
    <t>КП-2383</t>
  </si>
  <si>
    <t>4640306923830</t>
  </si>
  <si>
    <t>247986</t>
  </si>
  <si>
    <t>Термокружка "Лесной олень" (350 мл) КП-2388</t>
  </si>
  <si>
    <t>КП-2388</t>
  </si>
  <si>
    <t>4640306923885</t>
  </si>
  <si>
    <t>271609</t>
  </si>
  <si>
    <t>Термокружка "Машина с подарками" (350 мл) КП-1630</t>
  </si>
  <si>
    <t>КП-1630</t>
  </si>
  <si>
    <t>4680942616307</t>
  </si>
  <si>
    <t>247990</t>
  </si>
  <si>
    <t>Термокружка "Милый мышонок" (350 мл) КП-2391</t>
  </si>
  <si>
    <t>КП-2391</t>
  </si>
  <si>
    <t>4640306923915</t>
  </si>
  <si>
    <t>271613</t>
  </si>
  <si>
    <t>Термокружка "Наслаждайся моментом" (350 мл) КП-1634</t>
  </si>
  <si>
    <t>КП-1634</t>
  </si>
  <si>
    <t>4680942616345</t>
  </si>
  <si>
    <t>271612</t>
  </si>
  <si>
    <t>Термокружка "Новогодние зайчики" (350 мл) КП-1633</t>
  </si>
  <si>
    <t>КП-1633</t>
  </si>
  <si>
    <t>4680942616338</t>
  </si>
  <si>
    <t>271610</t>
  </si>
  <si>
    <t>Термокружка "Новогодние котики" (350 мл) КП-1631</t>
  </si>
  <si>
    <t>КП-1631</t>
  </si>
  <si>
    <t>4680942616314</t>
  </si>
  <si>
    <t>247983</t>
  </si>
  <si>
    <t>Термокружка "Новогодний подарок" (350 мл) КП-2386</t>
  </si>
  <si>
    <t>КП-2386</t>
  </si>
  <si>
    <t>4640306923861</t>
  </si>
  <si>
    <t>271611</t>
  </si>
  <si>
    <t>Термокружка "Новогодняя карусель" (350 мл) КП-1632</t>
  </si>
  <si>
    <t>КП-1632</t>
  </si>
  <si>
    <t>4680942616321</t>
  </si>
  <si>
    <t>247987</t>
  </si>
  <si>
    <t>Термокружка "Полярные мишки" (350 мл) КП-2389</t>
  </si>
  <si>
    <t>КП-2389</t>
  </si>
  <si>
    <t>4640306923892</t>
  </si>
  <si>
    <t>271608</t>
  </si>
  <si>
    <t>Термокружка "Снежинки" (350 мл) КП-1629</t>
  </si>
  <si>
    <t>КП-1629</t>
  </si>
  <si>
    <t>4680942616291</t>
  </si>
  <si>
    <t>4 Сервировка стола</t>
  </si>
  <si>
    <t>Бокалы</t>
  </si>
  <si>
    <t>1 Бокалы (собственная разработка)</t>
  </si>
  <si>
    <t>268779</t>
  </si>
  <si>
    <t>Набор бокалов 2 шт. "Школа магии", зелёные, 450 мл., 22,1х6х7,4 см, собств.разработка  НБК-7969</t>
  </si>
  <si>
    <t>НБК-7969</t>
  </si>
  <si>
    <t>4640520779695</t>
  </si>
  <si>
    <t>7013289000</t>
  </si>
  <si>
    <t>268783</t>
  </si>
  <si>
    <t>Набор бокалов 2 шт. "Школа магии", оранжевые, 450 мл., 22,1х6х7,4 см, собств.разработка НБК-7970</t>
  </si>
  <si>
    <t>НБК-7970</t>
  </si>
  <si>
    <t>4640520779701</t>
  </si>
  <si>
    <t>Кольца для салфеток</t>
  </si>
  <si>
    <t>231389</t>
  </si>
  <si>
    <t>Кольца для салфеток  "Золотистые ёлочки", 5*3,5*4,8 см, 4 шт, металл ШК-8178</t>
  </si>
  <si>
    <t>ШК-8178</t>
  </si>
  <si>
    <t>4670159181781</t>
  </si>
  <si>
    <t>25.99.24.110</t>
  </si>
  <si>
    <t>8306290009</t>
  </si>
  <si>
    <t>5x3.5x4.8 см</t>
  </si>
  <si>
    <t>231390</t>
  </si>
  <si>
    <t>Кольца для салфеток  "Нежные снежинки", 5 см, 4 шт, металл ШК-8179</t>
  </si>
  <si>
    <t>ШК-8179</t>
  </si>
  <si>
    <t>4670159181798</t>
  </si>
  <si>
    <t>4.9 см</t>
  </si>
  <si>
    <t>275457</t>
  </si>
  <si>
    <t>Кольца для салфеток  "Новогодние веночки", 3,5 см, 4 шт, металл ШК-3686</t>
  </si>
  <si>
    <t>ШК-3686</t>
  </si>
  <si>
    <t>4680942636862</t>
  </si>
  <si>
    <t>275458</t>
  </si>
  <si>
    <t>Кольца для салфеток  "Новогодние машинки", 3,5 см, 4 шт, металл ШК-3687</t>
  </si>
  <si>
    <t>ШК-3687</t>
  </si>
  <si>
    <t>4680942636879</t>
  </si>
  <si>
    <t>275463</t>
  </si>
  <si>
    <t>Кольца для салфеток  "Стильный новый год", 3,5 см, 4 шт, металл ШК-3690</t>
  </si>
  <si>
    <t>ШК-3690</t>
  </si>
  <si>
    <t>4680942636909</t>
  </si>
  <si>
    <t>215695</t>
  </si>
  <si>
    <t>Кольца для салфеток Золотая снежинка, 4 шт ШК-4884</t>
  </si>
  <si>
    <t>ШК-4884</t>
  </si>
  <si>
    <t>4670159049845</t>
  </si>
  <si>
    <t>215693</t>
  </si>
  <si>
    <t>Кольца для салфеток Изящный узор, 4 шт ШК-4882</t>
  </si>
  <si>
    <t>ШК-4882</t>
  </si>
  <si>
    <t>4670159049821</t>
  </si>
  <si>
    <t>215694</t>
  </si>
  <si>
    <t>Кольца для салфеток Новогодние истории, 4 шт ШК-4883</t>
  </si>
  <si>
    <t>ШК-4883</t>
  </si>
  <si>
    <t>4670159049838</t>
  </si>
  <si>
    <t>Украшения на бокалы</t>
  </si>
  <si>
    <t>251499</t>
  </si>
  <si>
    <t>Новогоднее украшение. Набор подвесок для бокалов, 6 шт. НУ-2665</t>
  </si>
  <si>
    <t>НУ-2665</t>
  </si>
  <si>
    <t>4640306926480</t>
  </si>
  <si>
    <t>Чехлы на бутылки</t>
  </si>
  <si>
    <t>204856</t>
  </si>
  <si>
    <t>Новогодний набор. Чехлы на бутылку "Весёлые праздники", 30.5*14см ЧБ-4728</t>
  </si>
  <si>
    <t>ЧБ-4728</t>
  </si>
  <si>
    <t>4670159047285</t>
  </si>
  <si>
    <t>13.92.21.190</t>
  </si>
  <si>
    <t>6305390000</t>
  </si>
  <si>
    <t>30.5*14 см</t>
  </si>
  <si>
    <t>204851</t>
  </si>
  <si>
    <t>Чехол на бутылки "Рождественский наряд", 18см*13см ЧБ-4087</t>
  </si>
  <si>
    <t>ЧБ-4087</t>
  </si>
  <si>
    <t>4670159040873</t>
  </si>
  <si>
    <t>18*13 см</t>
  </si>
  <si>
    <t>204852</t>
  </si>
  <si>
    <t>Чехол на бутылку "Белоснежный", 30см*14см ЧБ-4088</t>
  </si>
  <si>
    <t>ЧБ-4088</t>
  </si>
  <si>
    <t>4670159040880</t>
  </si>
  <si>
    <t>30*14 см</t>
  </si>
  <si>
    <t>204854</t>
  </si>
  <si>
    <t>Чехол на бутылку "Веселый гномик", 36*13см ЧБ-4090</t>
  </si>
  <si>
    <t>ЧБ-4090</t>
  </si>
  <si>
    <t>4670159040903</t>
  </si>
  <si>
    <t>36*13 см</t>
  </si>
  <si>
    <t>204850</t>
  </si>
  <si>
    <t>Чехол на бутылку "Волшебство", 35см*13см ЧБ-4086</t>
  </si>
  <si>
    <t>ЧБ-4086</t>
  </si>
  <si>
    <t>4670159040866</t>
  </si>
  <si>
    <t>35*13 см</t>
  </si>
  <si>
    <t>204853</t>
  </si>
  <si>
    <t>Чехол на бутылку "Дух праздника", 36*13см ЧБ-4089</t>
  </si>
  <si>
    <t>ЧБ-4089</t>
  </si>
  <si>
    <t>4670159040897</t>
  </si>
  <si>
    <t>204855</t>
  </si>
  <si>
    <t>Чехол на бутылку "Милый снеговичок", 30.5*14см ЧБ-4727</t>
  </si>
  <si>
    <t>ЧБ-4727</t>
  </si>
  <si>
    <t>4670159047278</t>
  </si>
  <si>
    <t>204849</t>
  </si>
  <si>
    <t>Чехол на бутылку "Мишка", 30.5*14см ЧБ-4085</t>
  </si>
  <si>
    <t>ЧБ-4085</t>
  </si>
  <si>
    <t>4670159040859</t>
  </si>
  <si>
    <t>204845</t>
  </si>
  <si>
    <t>Чехол на бутылку "Новогоднее настроение", 21*13см ЧБ-4080</t>
  </si>
  <si>
    <t>ЧБ-4080</t>
  </si>
  <si>
    <t>4670159040804</t>
  </si>
  <si>
    <t>21*13 см</t>
  </si>
  <si>
    <t>204838</t>
  </si>
  <si>
    <t>Чехол на бутылку "Новогодний", 20см*7см ЧБ-4079</t>
  </si>
  <si>
    <t>ЧБ-4079</t>
  </si>
  <si>
    <t>4670159040798</t>
  </si>
  <si>
    <t>20*7 см</t>
  </si>
  <si>
    <t>204846</t>
  </si>
  <si>
    <t>Чехол на бутылку "Праздничный гномик", 38см*12см ЧБ-4082</t>
  </si>
  <si>
    <t>ЧБ-4082</t>
  </si>
  <si>
    <t>4670159040828</t>
  </si>
  <si>
    <t>38*12 см</t>
  </si>
  <si>
    <t>204848</t>
  </si>
  <si>
    <t>Чехол на бутылку "Рождественский олененок", 30.5*14см ЧБ-4084</t>
  </si>
  <si>
    <t>ЧБ-4084</t>
  </si>
  <si>
    <t>4670159040842</t>
  </si>
  <si>
    <t>204847</t>
  </si>
  <si>
    <t>Чехол на бутылку "Торжество", 30.5*14см ЧБ-4083</t>
  </si>
  <si>
    <t>ЧБ-4083</t>
  </si>
  <si>
    <t>4670159040835</t>
  </si>
  <si>
    <t>227521</t>
  </si>
  <si>
    <t>Чехол на две бутылки "Рождественский наряд", 34см*26см ЧБ-6605</t>
  </si>
  <si>
    <t>ЧБ-6605</t>
  </si>
  <si>
    <t>4670159166054</t>
  </si>
  <si>
    <t>34см*26см</t>
  </si>
  <si>
    <t>01 СЕЗОННЫЕ ТОВАРЫ</t>
  </si>
  <si>
    <t>23 февраля</t>
  </si>
  <si>
    <t>265991</t>
  </si>
  <si>
    <t>Optima Конверт для денег "23 Февраля" (23 Февраля) КОН-7463</t>
  </si>
  <si>
    <t>КОН-7463</t>
  </si>
  <si>
    <t>4640520774638</t>
  </si>
  <si>
    <t>17.23.12.110</t>
  </si>
  <si>
    <t>4817100000</t>
  </si>
  <si>
    <t>265990</t>
  </si>
  <si>
    <t>Optima Конверт для денег "С праздником" (23 Февраля) КОН-7462</t>
  </si>
  <si>
    <t>КОН-7462</t>
  </si>
  <si>
    <t>4640520774621</t>
  </si>
  <si>
    <t>259690</t>
  </si>
  <si>
    <t>Optima Пакет подарочный с глянц.лам. 18х23x8 см (M) День армии, 128 г (собс.разр.) ППК-7692</t>
  </si>
  <si>
    <t>ППК-7692</t>
  </si>
  <si>
    <t>4630493776920</t>
  </si>
  <si>
    <t>259691</t>
  </si>
  <si>
    <t>Optima Пакет подарочный с глянц.лам. 18х23x8 см (M) Защитник Отечества, 128 г (собс.разр.) ППК-7693</t>
  </si>
  <si>
    <t>ППК-7693</t>
  </si>
  <si>
    <t>4630493776937</t>
  </si>
  <si>
    <t>259692</t>
  </si>
  <si>
    <t>Optima Пакет подарочный с глянц.лам. 18х23x8 см (M) Праздник мужества, 128 г (собс.разр.) ППК-7694</t>
  </si>
  <si>
    <t>ППК-7694</t>
  </si>
  <si>
    <t>4630493776944</t>
  </si>
  <si>
    <t>259694</t>
  </si>
  <si>
    <t>Optima Пакет подарочный с глянц.лам. 26,4х32,7x8 см(L) Армейский праздник,128 г (собс.разр.)ППК-7696</t>
  </si>
  <si>
    <t>ППК-7696</t>
  </si>
  <si>
    <t>4630493776968</t>
  </si>
  <si>
    <t>259693</t>
  </si>
  <si>
    <t>Optima Пакет подарочный с глянц.лам. 26,4х32,7x8 см(L) Настоящему мужчине,128 г (собс.разр.)ППК-7695</t>
  </si>
  <si>
    <t>ППК-7695</t>
  </si>
  <si>
    <t>4630493776951</t>
  </si>
  <si>
    <t>259695</t>
  </si>
  <si>
    <t>Optima Пакет подарочный с глянц.лам. 26,4х32,7x8 см(L) Праздник милитари, 128 г (собс.разр.)ППК-7697</t>
  </si>
  <si>
    <t>ППК-7697</t>
  </si>
  <si>
    <t>4630493776975</t>
  </si>
  <si>
    <t>244811</t>
  </si>
  <si>
    <t>Набор виниловых магнитов 4шт 100х80 мм, фоторамка с окошком для лица "Служу России!" НПР-2062</t>
  </si>
  <si>
    <t>НПР-2062</t>
  </si>
  <si>
    <t>4640306920624</t>
  </si>
  <si>
    <t>259451</t>
  </si>
  <si>
    <t>Пакет вырубной 23 февраля. Звезда 30х40 50мкм ПИ-8307</t>
  </si>
  <si>
    <t>ПИ-8307</t>
  </si>
  <si>
    <t>4670159283072</t>
  </si>
  <si>
    <t>259452</t>
  </si>
  <si>
    <t>Пакет вырубной 23 февраля. Настоящему мужчине 30х40 50мкм ПИ-8308</t>
  </si>
  <si>
    <t>ПИ-8308</t>
  </si>
  <si>
    <t>4670159283089</t>
  </si>
  <si>
    <t>259687</t>
  </si>
  <si>
    <t>Пакет подарочный из крафт-бумаги 22х32х11 см (craft МL) 23 февраля, 120 г (собс.разр.) ППК-7689</t>
  </si>
  <si>
    <t>ППК-7689</t>
  </si>
  <si>
    <t>4630493776890</t>
  </si>
  <si>
    <t>259689</t>
  </si>
  <si>
    <t>Пакет подарочный из крафт-бумаги 22х32х11 см (craft МL) День солдата, 120 г (собс.разр.) ППК-7691</t>
  </si>
  <si>
    <t>ППК-7691</t>
  </si>
  <si>
    <t>4630493776913</t>
  </si>
  <si>
    <t>259688</t>
  </si>
  <si>
    <t>Пакет подарочный из крафт-бумаги 22х32х11 см (craft МL) Мужской праздник, 120 г (собс.разр.)ППК-7690</t>
  </si>
  <si>
    <t>ППК-7690</t>
  </si>
  <si>
    <t>4630493776906</t>
  </si>
  <si>
    <t>8 Марта</t>
  </si>
  <si>
    <t>265988</t>
  </si>
  <si>
    <t>Optima Конверт для денег "С 8 Марта" (Нежные цветы) КОН-7460</t>
  </si>
  <si>
    <t>КОН-7460</t>
  </si>
  <si>
    <t>4640520774607</t>
  </si>
  <si>
    <t>265989</t>
  </si>
  <si>
    <t>Optima Конверт для денег "С 8 Марта" (Яркий акцент) КОН-7461</t>
  </si>
  <si>
    <t>КОН-7461</t>
  </si>
  <si>
    <t>4640520774614</t>
  </si>
  <si>
    <t>259685</t>
  </si>
  <si>
    <t>Optima Пакет подарочный с глянц.лам. 26,4х32,7x8 см (L) Женский праздник, 128 г (собс.разр.)ППК-7687</t>
  </si>
  <si>
    <t>ППК-7687</t>
  </si>
  <si>
    <t>4630493776876</t>
  </si>
  <si>
    <t>259686</t>
  </si>
  <si>
    <t>Optima Пакет подарочный с глянц.лам. 26,4х32,7x8 см (L) Праздник красоты, 128 г (собс.разр.)ППК-7688</t>
  </si>
  <si>
    <t>ППК-7688</t>
  </si>
  <si>
    <t>4630493776883</t>
  </si>
  <si>
    <t>259684</t>
  </si>
  <si>
    <t>Optima Пакет подарочный с глянц.лам. 26,4х32,7x8 см(L) Красивые гортензии,128 г (собс.разр.)ППК-7686</t>
  </si>
  <si>
    <t>ППК-7686</t>
  </si>
  <si>
    <t>4630493776869</t>
  </si>
  <si>
    <t>259445</t>
  </si>
  <si>
    <t>Пакет вырубной 8 Марта. Тюльпаны 30х40 50мкм ПИ-8304</t>
  </si>
  <si>
    <t>ПИ-8304</t>
  </si>
  <si>
    <t>4670159283041</t>
  </si>
  <si>
    <t>259449</t>
  </si>
  <si>
    <t>Пакет вырубной 8 Марта. Цветочки 30х40 50мкм ПИ-8305</t>
  </si>
  <si>
    <t>ПИ-8305</t>
  </si>
  <si>
    <t>4670159283058</t>
  </si>
  <si>
    <t>259678</t>
  </si>
  <si>
    <t>Пакет подарочный из крафт-бумаги 22х32х11 см (craft МL) 8 марта, 120 г (собс.разр.) ППК-7680</t>
  </si>
  <si>
    <t>ППК-7680</t>
  </si>
  <si>
    <t>4630493776807</t>
  </si>
  <si>
    <t>259680</t>
  </si>
  <si>
    <t>Пакет подарочный из крафт-бумаги 22х32х11 см (craft МL) Весенние цветы, 120 г (собс.разр.) ППК-7682</t>
  </si>
  <si>
    <t>ППК-7682</t>
  </si>
  <si>
    <t>4630493776821</t>
  </si>
  <si>
    <t>259679</t>
  </si>
  <si>
    <t>Пакет подарочный из крафт-бумаги 22х32х11 см (craft МL) Весенний праздник,120 г (собс.разр.)ППК-7681</t>
  </si>
  <si>
    <t>ППК-7681</t>
  </si>
  <si>
    <t>4630493776814</t>
  </si>
  <si>
    <t>259436</t>
  </si>
  <si>
    <t>Пакет полиэтиленовый вырубной С 8 Марта 30*20/30мкм ПИ-8303</t>
  </si>
  <si>
    <t>ПИ-8303</t>
  </si>
  <si>
    <t>4670159283034</t>
  </si>
  <si>
    <t>265215</t>
  </si>
  <si>
    <t>Поздравительный плакат- фотоколлаж с наклейками, стенгазета "С 8 марта!" ППФ-9157</t>
  </si>
  <si>
    <t>ППФ-9157</t>
  </si>
  <si>
    <t>4670159291572</t>
  </si>
  <si>
    <t>СОЮЗМУЛЬТФИЛЬМ</t>
  </si>
  <si>
    <t>ВИННИ-ПУХ</t>
  </si>
  <si>
    <t>254267</t>
  </si>
  <si>
    <t>Квест по поиску подарка с наклейками(общепоздр) "Мишка и компания" ЛИЦЕНЗИЯ/ Винни-Пух ИКВ-6864</t>
  </si>
  <si>
    <t>ИКВ-6864</t>
  </si>
  <si>
    <t>4670159268642</t>
  </si>
  <si>
    <t>04670159268642</t>
  </si>
  <si>
    <t>ПРОСТОКВАШИНО</t>
  </si>
  <si>
    <t>254260</t>
  </si>
  <si>
    <t>Квест по поиску подарка с наклейками(общепоздр) "Весёлая деревня" ЛИЦЕНЗИЯ/ Простоквашино ИКВ-6863</t>
  </si>
  <si>
    <t>ИКВ-6863</t>
  </si>
  <si>
    <t>4670159268635</t>
  </si>
  <si>
    <t>04670159268635</t>
  </si>
  <si>
    <t>Квесты по поиску подарка</t>
  </si>
  <si>
    <t>251672</t>
  </si>
  <si>
    <t>Квест по поиску подарка с наклейками (общепоздрав) ЛИЦЕНЗИЯ/ Чебурашка ИКВ-6153</t>
  </si>
  <si>
    <t>ИКВ-6153</t>
  </si>
  <si>
    <t>4670159261537</t>
  </si>
  <si>
    <t>04670159261537</t>
  </si>
  <si>
    <t>261119</t>
  </si>
  <si>
    <t>Снежный шар "Чебурашка в апельсинах", 6,5 см (Собс.разр) ЛИЦЕНЗИЯ/Чебурашка, Т-7805</t>
  </si>
  <si>
    <t>Т-7805</t>
  </si>
  <si>
    <t>4630493778054</t>
  </si>
  <si>
    <t>03 СУВЕНИРЫ И ПОДАРКИ</t>
  </si>
  <si>
    <t>01 ГАЛАНТЕРЕЯ</t>
  </si>
  <si>
    <t>01 Обложки на пропуск/проездные ПВХ</t>
  </si>
  <si>
    <t>199199</t>
  </si>
  <si>
    <t>Обложка на пропуск/проездной "Анимэ любовь" ПВХ ОП-1281</t>
  </si>
  <si>
    <t>ОП-1281</t>
  </si>
  <si>
    <t>4670159012818</t>
  </si>
  <si>
    <t>15.12.12.199</t>
  </si>
  <si>
    <t>4202321000</t>
  </si>
  <si>
    <t>260021</t>
  </si>
  <si>
    <t>Обложка на пропуск/проездной "Бет Кот" ПВХ ОП-7751</t>
  </si>
  <si>
    <t>ОП-7751</t>
  </si>
  <si>
    <t>4630493777514</t>
  </si>
  <si>
    <t>260032</t>
  </si>
  <si>
    <t>Обложка на пропуск/проездной "Гонщик" ПВХ ОП-7757</t>
  </si>
  <si>
    <t>ОП-7757</t>
  </si>
  <si>
    <t>4630493777576</t>
  </si>
  <si>
    <t>АКЦИЯ</t>
  </si>
  <si>
    <t>192099</t>
  </si>
  <si>
    <t>Обложка на пропуск/проездной "Девочка из аниме" ПВХ  ОП-7625</t>
  </si>
  <si>
    <t>ОП-7625</t>
  </si>
  <si>
    <t>4620129776257</t>
  </si>
  <si>
    <t>280698</t>
  </si>
  <si>
    <t>Обложка на пропуск/проездной "Игра" ПВХ ОП-6123</t>
  </si>
  <si>
    <t>ОП-6123</t>
  </si>
  <si>
    <t>4680942661239</t>
  </si>
  <si>
    <t>280691</t>
  </si>
  <si>
    <t>Обложка на пропуск/проездной "Котятки" ПВХ ОП-6120</t>
  </si>
  <si>
    <t>ОП-6120</t>
  </si>
  <si>
    <t>4680942661208</t>
  </si>
  <si>
    <t>211353</t>
  </si>
  <si>
    <t>Обложка на пропуск/проездной "Милая девочка-кошка" ПВХ ОП-8082</t>
  </si>
  <si>
    <t>ОП-8082</t>
  </si>
  <si>
    <t>4670159080824</t>
  </si>
  <si>
    <t>280689</t>
  </si>
  <si>
    <t>Обложка на пропуск/проездной "Мистер Кот" ПВХ ОП-6119</t>
  </si>
  <si>
    <t>ОП-6119</t>
  </si>
  <si>
    <t>4680942661192</t>
  </si>
  <si>
    <t>218494</t>
  </si>
  <si>
    <t>Обложка на пропуск/проездной "Розовый кабриолет" ПВХ ОП-1888</t>
  </si>
  <si>
    <t>ОП-1888</t>
  </si>
  <si>
    <t>4670159118886</t>
  </si>
  <si>
    <t>218493</t>
  </si>
  <si>
    <t>Обложка на пропуск/проездной "Силуэт на розовом" ПВХ ОП-1887</t>
  </si>
  <si>
    <t>ОП-1887</t>
  </si>
  <si>
    <t>4670159118879</t>
  </si>
  <si>
    <t>280693</t>
  </si>
  <si>
    <t>Обложка на пропуск/проездной "Сияй, не смотря ни на что" ПВХ ОП-6121</t>
  </si>
  <si>
    <t>ОП-6121</t>
  </si>
  <si>
    <t>4680942661215</t>
  </si>
  <si>
    <t>280697</t>
  </si>
  <si>
    <t>Обложка на пропуск/проездной "Собачки" ПВХ ОП-6122</t>
  </si>
  <si>
    <t>ОП-6122</t>
  </si>
  <si>
    <t>4680942661222</t>
  </si>
  <si>
    <t>280707</t>
  </si>
  <si>
    <t>Обложка на пропуск/проездной "Супер кар" ПВХ ОП-6125</t>
  </si>
  <si>
    <t>ОП-6125</t>
  </si>
  <si>
    <t>4680942661253</t>
  </si>
  <si>
    <t>260030</t>
  </si>
  <si>
    <t>Обложка на пропуск/проездной "Уличный стиль" ПВХ ОП-7755</t>
  </si>
  <si>
    <t>ОП-7755</t>
  </si>
  <si>
    <t>4630493777552</t>
  </si>
  <si>
    <t>280690</t>
  </si>
  <si>
    <t>Обложка на пропуск/проездной "Утенок" ПВХ ОП-6126</t>
  </si>
  <si>
    <t>ОП-6126</t>
  </si>
  <si>
    <t>4680942661260</t>
  </si>
  <si>
    <t>260029</t>
  </si>
  <si>
    <t>Обложка на пропуск/проездной "Ушастое трио" ПВХ ОП-7754</t>
  </si>
  <si>
    <t>ОП-7754</t>
  </si>
  <si>
    <t>4630493777545</t>
  </si>
  <si>
    <t>280702</t>
  </si>
  <si>
    <t>Обложка на пропуск/проездной "Футбол" ПВХ ОП-6124</t>
  </si>
  <si>
    <t>ОП-6124</t>
  </si>
  <si>
    <t>4680942661246</t>
  </si>
  <si>
    <t>199193</t>
  </si>
  <si>
    <t>Обложка на пропуск/проездной "Школьница" ПВХ ОП-1277</t>
  </si>
  <si>
    <t>ОП-1277</t>
  </si>
  <si>
    <t>4670159012771</t>
  </si>
  <si>
    <t>260034</t>
  </si>
  <si>
    <t>Обложка на пропуск/проездной "Японские мотивы" ПВХ ОП-7758</t>
  </si>
  <si>
    <t>ОП-7758</t>
  </si>
  <si>
    <t>4630493777583</t>
  </si>
  <si>
    <t>02 Визитницы/кредитницы (экокожа)</t>
  </si>
  <si>
    <t>050824</t>
  </si>
  <si>
    <t>Визитница вертикальная, мягкая "экокожа" коричневая "Стандарт" 20 листов 40 карт ВЦ-3425</t>
  </si>
  <si>
    <t>ВЦ-3425</t>
  </si>
  <si>
    <t>4665300634254</t>
  </si>
  <si>
    <t>15.12.12.191</t>
  </si>
  <si>
    <t>4202390000</t>
  </si>
  <si>
    <t>Обложка на паспорт</t>
  </si>
  <si>
    <t>090378</t>
  </si>
  <si>
    <t>Визитница горизонтальная, мягкая "экокожа" МАТОВАЯ СИНЯЯ "Стандарт" 20 листов 40 карт ВЦ-9780</t>
  </si>
  <si>
    <t>ВЦ-9780</t>
  </si>
  <si>
    <t>4665305397802</t>
  </si>
  <si>
    <t>03 Обложки на паспорт</t>
  </si>
  <si>
    <t>Обложки на паспорт ( натуральная кожа)</t>
  </si>
  <si>
    <t>122025</t>
  </si>
  <si>
    <t>Обложка для паспорта из натуральной кожи ФЛОТЕР, мята, тисн.конгрев"PASSPORT" ОП-5454</t>
  </si>
  <si>
    <t>ОП-5454</t>
  </si>
  <si>
    <t>4665307353547</t>
  </si>
  <si>
    <t>Обложки на паспорт (ПВХ, slim)</t>
  </si>
  <si>
    <t>197718</t>
  </si>
  <si>
    <t>Обложка на паспорт  "GAMES" ПВХ slim ОП-0419</t>
  </si>
  <si>
    <t>ОП-0419</t>
  </si>
  <si>
    <t>4670159004196</t>
  </si>
  <si>
    <t>269695</t>
  </si>
  <si>
    <t>Обложка на паспорт Мотивация ч/б ПВХ ОП-0665</t>
  </si>
  <si>
    <t>ОП-0665</t>
  </si>
  <si>
    <t>4680942606650</t>
  </si>
  <si>
    <t>269694</t>
  </si>
  <si>
    <t>Обложка на паспорт Полевые цветы ч/б ПВХ ОП-0664</t>
  </si>
  <si>
    <t>ОП-0664</t>
  </si>
  <si>
    <t>4680942606643</t>
  </si>
  <si>
    <t>269693</t>
  </si>
  <si>
    <t>Обложка на паспорт Путешествие ч/б ПВХ ОП-0663</t>
  </si>
  <si>
    <t>ОП-0663</t>
  </si>
  <si>
    <t>4680942606636</t>
  </si>
  <si>
    <t>Обложки на паспорт (ПВХ)</t>
  </si>
  <si>
    <t>197710</t>
  </si>
  <si>
    <t>Обложка на паспорт "18+" (ПВХ) ОП-0423</t>
  </si>
  <si>
    <t>ОП-0423</t>
  </si>
  <si>
    <t>4670159004233</t>
  </si>
  <si>
    <t>13х9,5 см</t>
  </si>
  <si>
    <t>215006</t>
  </si>
  <si>
    <t>Обложка на паспорт "Аниме комикс"  ПВХ ОП-1298</t>
  </si>
  <si>
    <t>ОП-1298</t>
  </si>
  <si>
    <t>4670159102984</t>
  </si>
  <si>
    <t>260040</t>
  </si>
  <si>
    <t>Обложка на паспорт "Бабочка" ПВХ ОП-7775</t>
  </si>
  <si>
    <t>ОП-7775</t>
  </si>
  <si>
    <t>4630493777644</t>
  </si>
  <si>
    <t>235131</t>
  </si>
  <si>
    <t>Обложка на паспорт "Капибары на отдыхе" ПВХ ОП-0108</t>
  </si>
  <si>
    <t>ОП-0108</t>
  </si>
  <si>
    <t>4670159201083</t>
  </si>
  <si>
    <t>274576</t>
  </si>
  <si>
    <t>Обложка на паспорт "Ковер" ПВХ ОП-3056</t>
  </si>
  <si>
    <t>ОП-3056</t>
  </si>
  <si>
    <t>4680942630563</t>
  </si>
  <si>
    <t>3926909709</t>
  </si>
  <si>
    <t>235133</t>
  </si>
  <si>
    <t>Обложка на паспорт "Корги в розовых облаках" ПВХ ОП-0109</t>
  </si>
  <si>
    <t>ОП-0109</t>
  </si>
  <si>
    <t>4670159201090</t>
  </si>
  <si>
    <t>274575</t>
  </si>
  <si>
    <t>Обложка на паспорт "Котик с шариком" ПВХ ОП-3055</t>
  </si>
  <si>
    <t>ОП-3055</t>
  </si>
  <si>
    <t>4680942630556</t>
  </si>
  <si>
    <t>274579</t>
  </si>
  <si>
    <t>Обложка на паспорт "Леопард" ПВХ ОП-3058</t>
  </si>
  <si>
    <t>ОП-3058</t>
  </si>
  <si>
    <t>4680942630587</t>
  </si>
  <si>
    <t>274572</t>
  </si>
  <si>
    <t>Обложка на паспорт "Лимоны" ПВХ ОП-3054</t>
  </si>
  <si>
    <t>ОП-3054</t>
  </si>
  <si>
    <t>4680942630549</t>
  </si>
  <si>
    <t>260037</t>
  </si>
  <si>
    <t>Обложка на паспорт "Мордашка" ПВХ ОП-7774</t>
  </si>
  <si>
    <t>ОП-7774</t>
  </si>
  <si>
    <t>4630493777637</t>
  </si>
  <si>
    <t>274577</t>
  </si>
  <si>
    <t>Обложка на паспорт "Перелеты" ПВХ ОП-3057</t>
  </si>
  <si>
    <t>ОП-3057</t>
  </si>
  <si>
    <t>4680942630570</t>
  </si>
  <si>
    <t>260043</t>
  </si>
  <si>
    <t>Обложка на паспорт "Спорткар" ПВХ ОП-7776</t>
  </si>
  <si>
    <t>ОП-7776</t>
  </si>
  <si>
    <t>4630493777651</t>
  </si>
  <si>
    <t>260036</t>
  </si>
  <si>
    <t>Обложка на паспорт "Стиль" ПВХ ОП-7773</t>
  </si>
  <si>
    <t>ОП-7773</t>
  </si>
  <si>
    <t>4630493777620</t>
  </si>
  <si>
    <t>235134</t>
  </si>
  <si>
    <t>Обложка на паспорт "Столица" ПВХ ОП-0110</t>
  </si>
  <si>
    <t>ОП-0110</t>
  </si>
  <si>
    <t>4670159201106</t>
  </si>
  <si>
    <t>260025</t>
  </si>
  <si>
    <t>Обложка на паспорт "Столица" ПВХ ОП-7770</t>
  </si>
  <si>
    <t>ОП-7770</t>
  </si>
  <si>
    <t>4630493777590</t>
  </si>
  <si>
    <t>260027</t>
  </si>
  <si>
    <t>Обложка на паспорт "Хаки" ПВХ ОП-7771</t>
  </si>
  <si>
    <t>ОП-7771</t>
  </si>
  <si>
    <t>4630493777606</t>
  </si>
  <si>
    <t>235140</t>
  </si>
  <si>
    <t>Обложка на паспорт Аниме Brave and strong ПВХ ОП-0115</t>
  </si>
  <si>
    <t>ОП-0115</t>
  </si>
  <si>
    <t>4670159201151</t>
  </si>
  <si>
    <t>215009</t>
  </si>
  <si>
    <t>Обложка на паспорт Герб на черном ПВХ ОП-1301</t>
  </si>
  <si>
    <t>ОП-1301</t>
  </si>
  <si>
    <t>4670159103011</t>
  </si>
  <si>
    <t>235138</t>
  </si>
  <si>
    <t>Обложка на паспорт Камуфляж ПВХ ОП-0113</t>
  </si>
  <si>
    <t>ОП-0113</t>
  </si>
  <si>
    <t>4670159201137</t>
  </si>
  <si>
    <t>235137</t>
  </si>
  <si>
    <t>Обложка на паспорт Флаг ПВХ ОП-0112</t>
  </si>
  <si>
    <t>ОП-0112</t>
  </si>
  <si>
    <t>4670159201120</t>
  </si>
  <si>
    <t>Обложки на паспорт (экокожа)</t>
  </si>
  <si>
    <t>047574</t>
  </si>
  <si>
    <t>Обложка на паспорт "экокожа" чёрная "Золотой стандарт" ОП-7699</t>
  </si>
  <si>
    <t>ОП-7699</t>
  </si>
  <si>
    <t>4665299576993</t>
  </si>
  <si>
    <t>047580</t>
  </si>
  <si>
    <t>Обложка на паспорт мягкая "экокожа" коричневая "Стандарт" ОП-7702</t>
  </si>
  <si>
    <t>ОП-7702</t>
  </si>
  <si>
    <t>4665299577020</t>
  </si>
  <si>
    <t>047584</t>
  </si>
  <si>
    <t>Обложка на паспорт мягкая "экокожа" красная "Стандарт" ОП-7704</t>
  </si>
  <si>
    <t>ОП-7704</t>
  </si>
  <si>
    <t>4665299577044</t>
  </si>
  <si>
    <t>090370</t>
  </si>
  <si>
    <t>Обложка на паспорт мягкая "экокожа" МАТОВАЯ САЛАТОВАЯ "Стандарт" с гербом ОП-9772</t>
  </si>
  <si>
    <t>ОП-9772</t>
  </si>
  <si>
    <t>4665305397727</t>
  </si>
  <si>
    <t>090372</t>
  </si>
  <si>
    <t>Обложка на паспорт мягкая "экокожа" МАТОВАЯ СИНЯЯ "Стандарт" с гербом ОП-9774</t>
  </si>
  <si>
    <t>ОП-9774</t>
  </si>
  <si>
    <t>4665305397741</t>
  </si>
  <si>
    <t>090373</t>
  </si>
  <si>
    <t>Обложка на паспорт мягкая "экокожа" МАТОВАЯ СИРЕНЬ "Стандарт" с гербом ОП-9775</t>
  </si>
  <si>
    <t>ОП-9775</t>
  </si>
  <si>
    <t>4665305397758</t>
  </si>
  <si>
    <t>047579</t>
  </si>
  <si>
    <t>Обложка на паспорт мягкая "экокожа" чёрная "Стандарт" ОП-7701</t>
  </si>
  <si>
    <t>ОП-7701</t>
  </si>
  <si>
    <t>4665299577013</t>
  </si>
  <si>
    <t>084737</t>
  </si>
  <si>
    <t>Обложка на паспорт Россия зелёная ОП-9094</t>
  </si>
  <si>
    <t>ОП-9094</t>
  </si>
  <si>
    <t>4665305390940</t>
  </si>
  <si>
    <t>Обложки на паспорт (экокожа) с металлическими углами</t>
  </si>
  <si>
    <t>084736</t>
  </si>
  <si>
    <t>Обложка на паспорт Россия красная (с метал. уголками) ОП-9093</t>
  </si>
  <si>
    <t>ОП-9093</t>
  </si>
  <si>
    <t>4665305390933</t>
  </si>
  <si>
    <t>215750</t>
  </si>
  <si>
    <t>Обложка на паспорт Россия черная (с метал. уголками) ОП-0672</t>
  </si>
  <si>
    <t>ОП-0672</t>
  </si>
  <si>
    <t>4670159106623</t>
  </si>
  <si>
    <t>9,5х13 см</t>
  </si>
  <si>
    <t>215752</t>
  </si>
  <si>
    <t>Обложка на паспорт Россия, синяя (с метал. уголками) ОП-0674</t>
  </si>
  <si>
    <t>ОП-0674</t>
  </si>
  <si>
    <t>4670159106647</t>
  </si>
  <si>
    <t>Обложки-органайзеры с отсеком для карт</t>
  </si>
  <si>
    <t>234686</t>
  </si>
  <si>
    <t>Обложка на паспорт  с отсеком для карт на резинке "Рейс", бордовая ОП-9642</t>
  </si>
  <si>
    <t>ОП-9642</t>
  </si>
  <si>
    <t>4670159196426</t>
  </si>
  <si>
    <t>11*15 см</t>
  </si>
  <si>
    <t>234683</t>
  </si>
  <si>
    <t>Обложка на паспорт  с отсеком для карт на резинке "Рейс", розовая ОП-9639</t>
  </si>
  <si>
    <t>ОП-9639</t>
  </si>
  <si>
    <t>4670159196396</t>
  </si>
  <si>
    <t>234685</t>
  </si>
  <si>
    <t>Обложка на паспорт  с отсеком для карт на резинке "Рейс", черная ОП-9641</t>
  </si>
  <si>
    <t>ОП-9641</t>
  </si>
  <si>
    <t>4670159196419</t>
  </si>
  <si>
    <t>234681</t>
  </si>
  <si>
    <t>Обложка на паспорт  с отсеком для карт на резинке "Тур", коричневая (собственная разработка) ОП-9637</t>
  </si>
  <si>
    <t>ОП-9637</t>
  </si>
  <si>
    <t>4670159196372</t>
  </si>
  <si>
    <t>11*17 см</t>
  </si>
  <si>
    <t>234682</t>
  </si>
  <si>
    <t>Обложка на паспорт  с отсеком для карт на резинке "Тур", розовая (собственная разработка) ОП-9638</t>
  </si>
  <si>
    <t>ОП-9638</t>
  </si>
  <si>
    <t>4670159196389</t>
  </si>
  <si>
    <t>234660</t>
  </si>
  <si>
    <t>Обложка на паспорт с отсеком для карт на магните "Полёт", голубая ОП-9621</t>
  </si>
  <si>
    <t>ОП-9621</t>
  </si>
  <si>
    <t>4670159196211</t>
  </si>
  <si>
    <t>234659</t>
  </si>
  <si>
    <t>Обложка на паспорт с отсеком для карт на магните "Полёт", светло-зеленая ОП-9620</t>
  </si>
  <si>
    <t>ОП-9620</t>
  </si>
  <si>
    <t>4670159196204</t>
  </si>
  <si>
    <t>234677</t>
  </si>
  <si>
    <t>Обложка на паспорт с отсеком для карт на резинке "Гражданин", чёрный ОП-9634</t>
  </si>
  <si>
    <t>ОП-9634</t>
  </si>
  <si>
    <t>4670159196341</t>
  </si>
  <si>
    <t>234668</t>
  </si>
  <si>
    <t>Обложка на паспорт с отсеком для карт на резинке "Отпуск", голубая (собственная разработка) ОП-9627</t>
  </si>
  <si>
    <t>ОП-9627</t>
  </si>
  <si>
    <t>4670159196273</t>
  </si>
  <si>
    <t>234666</t>
  </si>
  <si>
    <t>Обложка на паспорт с отсеком для карт на резинке "Отпуск", зеленая (собственная разработка) ОП-9625</t>
  </si>
  <si>
    <t>ОП-9625</t>
  </si>
  <si>
    <t>4670159196259</t>
  </si>
  <si>
    <t>234667</t>
  </si>
  <si>
    <t>Обложка на паспорт с отсеком для карт на резинке "Отпуск", розовая (собственная разработка) ОП-9626</t>
  </si>
  <si>
    <t>ОП-9626</t>
  </si>
  <si>
    <t>4670159196266</t>
  </si>
  <si>
    <t>04 Обложки на документы</t>
  </si>
  <si>
    <t>01 Обложки на автодокументы</t>
  </si>
  <si>
    <t>Обложки на автодокументы (экокожа)</t>
  </si>
  <si>
    <t>047590</t>
  </si>
  <si>
    <t>Обложка на автодокументы мягкая "экокожа" бордовая "Стандарт" ОП-7707</t>
  </si>
  <si>
    <t>ОП-7707</t>
  </si>
  <si>
    <t>4665299577075</t>
  </si>
  <si>
    <t>047588</t>
  </si>
  <si>
    <t>Обложка на автодокументы мягкая "экокожа" коричневая "Стандарт" ОП-7706</t>
  </si>
  <si>
    <t>ОП-7706</t>
  </si>
  <si>
    <t>4665299577068</t>
  </si>
  <si>
    <t>071906</t>
  </si>
  <si>
    <t>Обложка на автодокументы мягкая "экокожа" синяя "Стандарт" ОП-2055</t>
  </si>
  <si>
    <t>ОП-2055</t>
  </si>
  <si>
    <t>4665303220553</t>
  </si>
  <si>
    <t>047587</t>
  </si>
  <si>
    <t>Обложка на автодокументы мягкая "экокожа" чёрная" Стандарт" ОП-7705</t>
  </si>
  <si>
    <t>ОП-7705</t>
  </si>
  <si>
    <t>4665299577051</t>
  </si>
  <si>
    <t>02 Обложки другие документы</t>
  </si>
  <si>
    <t>252495</t>
  </si>
  <si>
    <t>Папка органайзер для 1 компл. док. (ПА4/1)без отд. для паспорта, апельсин 100 мкм с доп файл.ПА-2626</t>
  </si>
  <si>
    <t>ПА-2626</t>
  </si>
  <si>
    <t>4640306926268</t>
  </si>
  <si>
    <t>221128</t>
  </si>
  <si>
    <t>Папка органайзер для 1 компл. докум (ПА4/1) 3 отд. паспорт, апельсин 100 мкн с доп.ф ПА-3318</t>
  </si>
  <si>
    <t>ПА-3318</t>
  </si>
  <si>
    <t>4670159133186</t>
  </si>
  <si>
    <t>252497</t>
  </si>
  <si>
    <t>Папка органайзер на 2 компл. докум. +3 отд для паспорта, апельсин 100 мкм (ПА4/2), с доп ф. ПА-2628</t>
  </si>
  <si>
    <t>ПА-2628</t>
  </si>
  <si>
    <t>4640306926282</t>
  </si>
  <si>
    <t>252498</t>
  </si>
  <si>
    <t>Папка органайзер на 2 компл. докум. +4 отд для паспорта, апельсин 100 мкм (ПА4/2), с доп ф. ПА-2629</t>
  </si>
  <si>
    <t>ПА-2629</t>
  </si>
  <si>
    <t>4640306926299</t>
  </si>
  <si>
    <t>252496</t>
  </si>
  <si>
    <t>Папка органайзер на 4 комплекта документов, апельсин 100 мкм (ПА4/4), с доп файл. ПА-2627</t>
  </si>
  <si>
    <t>ПА-2627</t>
  </si>
  <si>
    <t>4640306926275</t>
  </si>
  <si>
    <t>05 Папки на кольцах</t>
  </si>
  <si>
    <t>259185</t>
  </si>
  <si>
    <t>Дизайнерская папка Soft touch на кольцах "Для самого важного" "собс.разр" ПК-7655</t>
  </si>
  <si>
    <t>ПК-7655</t>
  </si>
  <si>
    <t>4630493776555</t>
  </si>
  <si>
    <t>17.23.13.130</t>
  </si>
  <si>
    <t>4820300000</t>
  </si>
  <si>
    <t>259184</t>
  </si>
  <si>
    <t>Дизайнерская папка Soft touch на кольцах "Семейные документы" "собс.разр" ПК-7654</t>
  </si>
  <si>
    <t>ПК-7654</t>
  </si>
  <si>
    <t>4630493776548</t>
  </si>
  <si>
    <t>259186</t>
  </si>
  <si>
    <t>Дизайнерская папка Soft touch на кольцах "Универсальная" "собс.разр" ПК-7656</t>
  </si>
  <si>
    <t>ПК-7656</t>
  </si>
  <si>
    <t>4630493776562</t>
  </si>
  <si>
    <t>254799</t>
  </si>
  <si>
    <t>Дизайнерская папка Soft touch на кольцах "Успехи! Достижения! Победы!" "собс.разр" ПК-6965</t>
  </si>
  <si>
    <t>ПК-6965</t>
  </si>
  <si>
    <t>4670159269656</t>
  </si>
  <si>
    <t>254798</t>
  </si>
  <si>
    <t>Дизайнерская папка Soft touch на кольцах "Я рисую лучше всех!" "собс.разр" ПК-6964</t>
  </si>
  <si>
    <t>ПК-6964</t>
  </si>
  <si>
    <t>4670159269649</t>
  </si>
  <si>
    <t>02 СУВЕНИРНАЯ ПОСУДА И КУХОННЫЕ АКСЕССУАРЫ</t>
  </si>
  <si>
    <t>01 Сувенирные кружки</t>
  </si>
  <si>
    <t>2 Сувенирные кружки</t>
  </si>
  <si>
    <t>211803</t>
  </si>
  <si>
    <t>Кружка керамическая " Золотистая лань", 14*9.2см, 400мл КС-8190</t>
  </si>
  <si>
    <t>КС-8190</t>
  </si>
  <si>
    <t>4670159081906</t>
  </si>
  <si>
    <t>14*9.2cm 400ml</t>
  </si>
  <si>
    <t>266851</t>
  </si>
  <si>
    <t>Кружка керамическая "Букет роз", белая, 350 мл КС-7492</t>
  </si>
  <si>
    <t>КС-7492</t>
  </si>
  <si>
    <t>4640520774928</t>
  </si>
  <si>
    <t>266850</t>
  </si>
  <si>
    <t>Кружка керамическая "Дама в шляпке", белая, 350 мл КС-7491</t>
  </si>
  <si>
    <t>КС-7491</t>
  </si>
  <si>
    <t>4640520774911</t>
  </si>
  <si>
    <t>266853</t>
  </si>
  <si>
    <t>Кружка керамическая "Девочка с букетом", розовая, 350 мл КС-7494</t>
  </si>
  <si>
    <t>КС-7494</t>
  </si>
  <si>
    <t>4640520774942</t>
  </si>
  <si>
    <t>266852</t>
  </si>
  <si>
    <t>Кружка керамическая "Леди", белая, 350 мл КС-7493</t>
  </si>
  <si>
    <t>КС-7493</t>
  </si>
  <si>
    <t>4640520774935</t>
  </si>
  <si>
    <t>266854</t>
  </si>
  <si>
    <t>Кружка керамическая "Мечтательница", розовая, 350 мл КС-7495</t>
  </si>
  <si>
    <t>КС-7495</t>
  </si>
  <si>
    <t>4640520774959</t>
  </si>
  <si>
    <t>274404</t>
  </si>
  <si>
    <t>Кружка керамическая "Розовая мечта", белая, 370 мл КС-2889</t>
  </si>
  <si>
    <t>КС-2889</t>
  </si>
  <si>
    <t>4680942628898</t>
  </si>
  <si>
    <t>211807</t>
  </si>
  <si>
    <t>Кружка керамическая "Чибби" c ложкой, 8.4*8.1см, 430мл КС-8194</t>
  </si>
  <si>
    <t>КС-8194</t>
  </si>
  <si>
    <t>4670159081944</t>
  </si>
  <si>
    <t>8.4*8.1cm 430ml</t>
  </si>
  <si>
    <t>211810</t>
  </si>
  <si>
    <t>Кружка керамическая с ложкой " Бодрое утро", 8*10см, 350мл КС-8197</t>
  </si>
  <si>
    <t>КС-8197</t>
  </si>
  <si>
    <t>4670159081975</t>
  </si>
  <si>
    <t>8*10cm 350ml</t>
  </si>
  <si>
    <t>266859</t>
  </si>
  <si>
    <t>Набор кружек 2 шт."Милая пара" 400 мл. (2 чайн.ложки и 2 крышки в компл.), серый, розовый КС-7498</t>
  </si>
  <si>
    <t>КС-7498</t>
  </si>
  <si>
    <t>4640520774980</t>
  </si>
  <si>
    <t>02 Бутылки для воды</t>
  </si>
  <si>
    <t xml:space="preserve">  ТВОЯ ВОДА</t>
  </si>
  <si>
    <t xml:space="preserve"> Бутылки для воды до 500 мл</t>
  </si>
  <si>
    <t>266696</t>
  </si>
  <si>
    <t>Бутылка для воды пластиковая с ремешком Твоя вода, голубая, 450 мл, 21,8*6,8 см УД-7490</t>
  </si>
  <si>
    <t>УД-7490</t>
  </si>
  <si>
    <t>4640520774904</t>
  </si>
  <si>
    <t xml:space="preserve"> U-turn</t>
  </si>
  <si>
    <t xml:space="preserve"> Бутылки для воды от 500 мл до 1000 мл</t>
  </si>
  <si>
    <t>236397</t>
  </si>
  <si>
    <t>Бутылка для воды  пластик.матов. с крышкой-защёлкой,и мерной шкалой, поильником U-turn 700мл УД-0594</t>
  </si>
  <si>
    <t>УД-0594</t>
  </si>
  <si>
    <t>4670159205944</t>
  </si>
  <si>
    <t>212867</t>
  </si>
  <si>
    <t>Бутылка для воды пластик.с крышкой-защёлкой "Сила",  U-turn 850 мл, черная УД-9393</t>
  </si>
  <si>
    <t>УД-9393</t>
  </si>
  <si>
    <t>4670159091936</t>
  </si>
  <si>
    <t>850ML</t>
  </si>
  <si>
    <t>212865</t>
  </si>
  <si>
    <t>Бутылка для воды пластик.складная с крышк.-защёлк. и карабин. "Корт",U turn,550 мл, желтая УД-9391</t>
  </si>
  <si>
    <t>УД-9391</t>
  </si>
  <si>
    <t>4670159091912</t>
  </si>
  <si>
    <t>550ML</t>
  </si>
  <si>
    <t>246480</t>
  </si>
  <si>
    <t>Бутылка для воды пластиковая с крышкой-защёлкой U-turn, зеленая 500мл, 6*22 см УД-2178</t>
  </si>
  <si>
    <t>УД-2178</t>
  </si>
  <si>
    <t>4640306921782</t>
  </si>
  <si>
    <t>Бутылки для воды 1000 мл</t>
  </si>
  <si>
    <t>236393</t>
  </si>
  <si>
    <t>Бутылка для воды  пластиковая  с крышкой-защёлкой  U-turn, желто-бирюзовая, 1000мл УД-0590</t>
  </si>
  <si>
    <t>УД-0590</t>
  </si>
  <si>
    <t>4670159205906</t>
  </si>
  <si>
    <t>246483</t>
  </si>
  <si>
    <t>Бутылка для воды пластик с защёлкой, шкала, U-turn, вкус (вишня), градиент, 1000мл, 8*27см УД-2181</t>
  </si>
  <si>
    <t>УД-2181</t>
  </si>
  <si>
    <t>4640306921812</t>
  </si>
  <si>
    <t>Бутылки для воды от 1500 до 2500 мл</t>
  </si>
  <si>
    <t>246486</t>
  </si>
  <si>
    <t>Бутылка для воды пластик с  защёлкой, мерная шкала, поильник, U-turn фиолет. 2000мл, 11*30см УД-2184</t>
  </si>
  <si>
    <t>УД-2184</t>
  </si>
  <si>
    <t>4640306921843</t>
  </si>
  <si>
    <t>203884</t>
  </si>
  <si>
    <t>Бутылка для воды "Букет", УД-3467</t>
  </si>
  <si>
    <t>УД-3467</t>
  </si>
  <si>
    <t>4670159024675</t>
  </si>
  <si>
    <t>203885</t>
  </si>
  <si>
    <t>Бутылка для воды "Весна",  УД-3468</t>
  </si>
  <si>
    <t>УД-3468</t>
  </si>
  <si>
    <t>4670159024682</t>
  </si>
  <si>
    <t>203850</t>
  </si>
  <si>
    <t>Бутылка для воды пластиковая "Ромашки", 450 мл, 17*6,5*6,5, УД-0482</t>
  </si>
  <si>
    <t>УД-0482</t>
  </si>
  <si>
    <t>4620129704823</t>
  </si>
  <si>
    <t>450 ml</t>
  </si>
  <si>
    <t xml:space="preserve"> Бутылки для воды от 500 до 1000 мл</t>
  </si>
  <si>
    <t>203878</t>
  </si>
  <si>
    <t>Бутылка для воды пластиковая "Вода" 700 мл, розовая, УД-3461</t>
  </si>
  <si>
    <t>УД-3461</t>
  </si>
  <si>
    <t>4670159024613</t>
  </si>
  <si>
    <t>Детские</t>
  </si>
  <si>
    <t>224719</t>
  </si>
  <si>
    <t>Бутылка для воды , Модная, жёлтая, 600 ml  УД-5025</t>
  </si>
  <si>
    <t>УД-5025</t>
  </si>
  <si>
    <t>4670159150251</t>
  </si>
  <si>
    <t>600 ml</t>
  </si>
  <si>
    <t>Стеклянные</t>
  </si>
  <si>
    <t>300 МЛ</t>
  </si>
  <si>
    <t>262794</t>
  </si>
  <si>
    <t>Бутылка для воды, в чехле Твоя вода, 300 мл, бежевый УД-7056</t>
  </si>
  <si>
    <t>УД-7056</t>
  </si>
  <si>
    <t>4640520770562</t>
  </si>
  <si>
    <t>23.13.12.120</t>
  </si>
  <si>
    <t>262795</t>
  </si>
  <si>
    <t>Бутылка для воды, в чехле Твоя вода, 300 мл, бирюзовый УД-7057</t>
  </si>
  <si>
    <t>УД-7057</t>
  </si>
  <si>
    <t>4640520770579</t>
  </si>
  <si>
    <t>262798</t>
  </si>
  <si>
    <t>Бутылка для воды, в чехле Твоя вода, 300 мл, голубой УД-7060</t>
  </si>
  <si>
    <t>УД-7060</t>
  </si>
  <si>
    <t>4640520770609</t>
  </si>
  <si>
    <t>262799</t>
  </si>
  <si>
    <t>Бутылка для воды, в чехле Твоя вода, 300 мл, пудровый УД-7061</t>
  </si>
  <si>
    <t>УД-7061</t>
  </si>
  <si>
    <t>4640520770616</t>
  </si>
  <si>
    <t>262796</t>
  </si>
  <si>
    <t>Бутылка для воды, в чехле Твоя вода, 300 мл, розовый УД-7058</t>
  </si>
  <si>
    <t>УД-7058</t>
  </si>
  <si>
    <t>4640520770586</t>
  </si>
  <si>
    <t>262797</t>
  </si>
  <si>
    <t>Бутылка для воды, в чехле Твоя вода, 300 мл, серый УД-7059</t>
  </si>
  <si>
    <t>УД-7059</t>
  </si>
  <si>
    <t>4640520770593</t>
  </si>
  <si>
    <t>400 МЛ</t>
  </si>
  <si>
    <t>262800</t>
  </si>
  <si>
    <t>Бутылка для воды, в чехле Твоя вода, 400 мл, бежевый УД-7062</t>
  </si>
  <si>
    <t>УД-7062</t>
  </si>
  <si>
    <t>4640520770623</t>
  </si>
  <si>
    <t>262801</t>
  </si>
  <si>
    <t>Бутылка для воды, в чехле Твоя вода, 400 мл, бирюзовый УД-7063</t>
  </si>
  <si>
    <t>УД-7063</t>
  </si>
  <si>
    <t>4640520770630</t>
  </si>
  <si>
    <t>262804</t>
  </si>
  <si>
    <t>Бутылка для воды, в чехле Твоя вода, 400 мл, голубой УД-7066</t>
  </si>
  <si>
    <t>УД-7066</t>
  </si>
  <si>
    <t>4640520770661</t>
  </si>
  <si>
    <t>262802</t>
  </si>
  <si>
    <t>Бутылка для воды, в чехле Твоя вода, 400 мл, розовый УД-7064</t>
  </si>
  <si>
    <t>УД-7064</t>
  </si>
  <si>
    <t>4640520770647</t>
  </si>
  <si>
    <t>262806</t>
  </si>
  <si>
    <t>Бутылка для воды, в чехле Твоя вода, 400 мл, фиолетовый УД-7067</t>
  </si>
  <si>
    <t>УД-7067</t>
  </si>
  <si>
    <t>4640520770678</t>
  </si>
  <si>
    <t xml:space="preserve"> ЗНАК СУДЬБЫ</t>
  </si>
  <si>
    <t>249212</t>
  </si>
  <si>
    <t>Бутылка "Знак Судьбы" стеклянная с натуральным камнем Опал, 6,6х24 см, 450 мл УД-2460</t>
  </si>
  <si>
    <t>УД-2460</t>
  </si>
  <si>
    <t>4640306924608</t>
  </si>
  <si>
    <t>249213</t>
  </si>
  <si>
    <t>Бутылка "Знак Судьбы" стеклянная с натуральным камнем Розовый кварц, 6,6х26 см, 500 мл УД-2461</t>
  </si>
  <si>
    <t>УД-2461</t>
  </si>
  <si>
    <t>4640306924615</t>
  </si>
  <si>
    <t>249211</t>
  </si>
  <si>
    <t>Бутылка "Знак Судьбы" стеклянная с натуральным камнем Цитрин, 6,6х24 см, 450 мл УД-2459</t>
  </si>
  <si>
    <t>УД-2459</t>
  </si>
  <si>
    <t>4640306924592</t>
  </si>
  <si>
    <t>My bottle</t>
  </si>
  <si>
    <t>300 мл</t>
  </si>
  <si>
    <t>122630</t>
  </si>
  <si>
    <t>Бутылка для воды, в чехле My bottle, 300 мл, бежевый УД-6412</t>
  </si>
  <si>
    <t>УД-6412</t>
  </si>
  <si>
    <t>4665307364123</t>
  </si>
  <si>
    <t>300 ml</t>
  </si>
  <si>
    <t>122629</t>
  </si>
  <si>
    <t>Бутылка для воды, в чехле My bottle, 300 мл, бирюзовый УД-6411</t>
  </si>
  <si>
    <t>УД-6411</t>
  </si>
  <si>
    <t>4665307364116</t>
  </si>
  <si>
    <t>122631</t>
  </si>
  <si>
    <t>Бутылка для воды, в чехле My bottle, 300 мл, розовый УД-6413</t>
  </si>
  <si>
    <t>УД-6413</t>
  </si>
  <si>
    <t>4665307364130</t>
  </si>
  <si>
    <t>122632</t>
  </si>
  <si>
    <t>Бутылка для воды, в чехле My bottle, 300 мл, серый УД-6414</t>
  </si>
  <si>
    <t>УД-6414</t>
  </si>
  <si>
    <t>4665307364147</t>
  </si>
  <si>
    <t>400 мл</t>
  </si>
  <si>
    <t>122626</t>
  </si>
  <si>
    <t>Бутылка для воды, в чехле My bottle, 400 мл, бежевый УД-6408</t>
  </si>
  <si>
    <t>УД-6408</t>
  </si>
  <si>
    <t>4665307364086</t>
  </si>
  <si>
    <t>400 ml</t>
  </si>
  <si>
    <t>122624</t>
  </si>
  <si>
    <t>Бутылка для воды, в чехле My bottle, 400 мл, бирюзовый УД-6407</t>
  </si>
  <si>
    <t>УД-6407</t>
  </si>
  <si>
    <t>4665307364079</t>
  </si>
  <si>
    <t>262832</t>
  </si>
  <si>
    <t>Бутылка для воды, в чехле My bottle, 400 мл, голубой УД-7070</t>
  </si>
  <si>
    <t>УД-7070</t>
  </si>
  <si>
    <t>4640520770708</t>
  </si>
  <si>
    <t>122627</t>
  </si>
  <si>
    <t>Бутылка для воды, в чехле My bottle, 400 мл, розовый УД-6409</t>
  </si>
  <si>
    <t>УД-6409</t>
  </si>
  <si>
    <t>4665307364093</t>
  </si>
  <si>
    <t>122628</t>
  </si>
  <si>
    <t>Бутылка для воды, в чехле My bottle, 400 мл, серый УД-6410</t>
  </si>
  <si>
    <t>УД-6410</t>
  </si>
  <si>
    <t>4665307364109</t>
  </si>
  <si>
    <t>262834</t>
  </si>
  <si>
    <t>Бутылка для воды, в чехле My bottle, 400 мл, фиолетовый УД-7071</t>
  </si>
  <si>
    <t>УД-7071</t>
  </si>
  <si>
    <t>4640520770715</t>
  </si>
  <si>
    <t>262830</t>
  </si>
  <si>
    <t>Бутылка для воды, в чехле, 300 мл, голубой УД-7068</t>
  </si>
  <si>
    <t>УД-7068</t>
  </si>
  <si>
    <t>4640520770685</t>
  </si>
  <si>
    <t>262831</t>
  </si>
  <si>
    <t>Бутылка для воды, в чехле, 300 мл, пудровый УД-7069</t>
  </si>
  <si>
    <t>УД-7069</t>
  </si>
  <si>
    <t>4640520770692</t>
  </si>
  <si>
    <t>03 Стакан с трубочкой</t>
  </si>
  <si>
    <t>234426</t>
  </si>
  <si>
    <t>Стакан с трубочкой "Вкус лета", пластик, 450 мл СП-9510</t>
  </si>
  <si>
    <t>СП-9510</t>
  </si>
  <si>
    <t>4670159195108</t>
  </si>
  <si>
    <t>234425</t>
  </si>
  <si>
    <t>Стакан с трубочкой "Вкусный пончик", пластик, 450 мл СП-9509</t>
  </si>
  <si>
    <t>СП-9509</t>
  </si>
  <si>
    <t>4670159195092</t>
  </si>
  <si>
    <t>210164</t>
  </si>
  <si>
    <t>Стакан с трубочкой "Динозаврик и скейтборд", пластик, 450мл. СП-7271</t>
  </si>
  <si>
    <t>СП-7271</t>
  </si>
  <si>
    <t>4670159072713</t>
  </si>
  <si>
    <t>258455</t>
  </si>
  <si>
    <t>Стакан с трубочкой "Жемчужина вкуса", пластик, 650 мл СП-7523</t>
  </si>
  <si>
    <t>СП-7523</t>
  </si>
  <si>
    <t>4630493775275</t>
  </si>
  <si>
    <t>210159</t>
  </si>
  <si>
    <t>Стакан с трубочкой "Космическое путешествие", пластик, 450мл. СП-7266</t>
  </si>
  <si>
    <t>СП-7266</t>
  </si>
  <si>
    <t>4670159072669</t>
  </si>
  <si>
    <t>210161</t>
  </si>
  <si>
    <t>Стакан с трубочкой "Летний отдых", пластик, 450мл. СП-7268</t>
  </si>
  <si>
    <t>СП-7268</t>
  </si>
  <si>
    <t>4670159072683</t>
  </si>
  <si>
    <t>234423</t>
  </si>
  <si>
    <t>Стакан с трубочкой "Победный гол", пластик, 450 мл СП-9507</t>
  </si>
  <si>
    <t>СП-9507</t>
  </si>
  <si>
    <t>4670159195078</t>
  </si>
  <si>
    <t>210160</t>
  </si>
  <si>
    <t>Стакан с трубочкой "Сахарный единорог", пластик, 450мл. СП-7267</t>
  </si>
  <si>
    <t>СП-7267</t>
  </si>
  <si>
    <t>4670159072676</t>
  </si>
  <si>
    <t>258451</t>
  </si>
  <si>
    <t>Стакан с трубочкой "Счастливый мишка ", с подсветкой, пластик, 450 мл СП-7520</t>
  </si>
  <si>
    <t>СП-7520</t>
  </si>
  <si>
    <t>4630493775244</t>
  </si>
  <si>
    <t>04 Термокружки</t>
  </si>
  <si>
    <t>Термокружки из бамбука</t>
  </si>
  <si>
    <t>236747</t>
  </si>
  <si>
    <t>Термокружка из бамбука "Все кофе беру на себя" (475 мл) НГ-0797</t>
  </si>
  <si>
    <t>НГ-0797</t>
  </si>
  <si>
    <t>4670159207979</t>
  </si>
  <si>
    <t>9617000001</t>
  </si>
  <si>
    <t>236743</t>
  </si>
  <si>
    <t>Термокружка из бамбука "Котик - милашка" (475 мл) НГ-0793</t>
  </si>
  <si>
    <t>НГ-0793</t>
  </si>
  <si>
    <t>4670159207931</t>
  </si>
  <si>
    <t>236744</t>
  </si>
  <si>
    <t>Термокружка из бамбука "Котик на релаксе" (475 мл) НГ-0794</t>
  </si>
  <si>
    <t>НГ-0794</t>
  </si>
  <si>
    <t>4670159207948</t>
  </si>
  <si>
    <t>236745</t>
  </si>
  <si>
    <t>Термокружка из бамбука "Люблю аниме, котиков и кофе" (475 мл) НГ-0795</t>
  </si>
  <si>
    <t>НГ-0795</t>
  </si>
  <si>
    <t>4670159207955</t>
  </si>
  <si>
    <t>236746</t>
  </si>
  <si>
    <t>Термокружка из бамбука "Пей кофе и будь счастлив" (475 мл) НГ-0796</t>
  </si>
  <si>
    <t>НГ-0796</t>
  </si>
  <si>
    <t>4670159207962</t>
  </si>
  <si>
    <t>236748</t>
  </si>
  <si>
    <t>Термокружка из бамбука "Только хорошие вайбы" (475 мл) НГ-0798</t>
  </si>
  <si>
    <t>НГ-0798</t>
  </si>
  <si>
    <t>4670159207986</t>
  </si>
  <si>
    <t>Термокружки из пластика</t>
  </si>
  <si>
    <t>275962</t>
  </si>
  <si>
    <t>Термокружка "А какой кофе любишь ты?" (350 мл) УД-4143</t>
  </si>
  <si>
    <t>УД-4143</t>
  </si>
  <si>
    <t>4680942641439</t>
  </si>
  <si>
    <t>275960</t>
  </si>
  <si>
    <t>Термокружка "Все что не делается - я и не делаю" (350 мл) УД-4141</t>
  </si>
  <si>
    <t>УД-4141</t>
  </si>
  <si>
    <t>4680942641415</t>
  </si>
  <si>
    <t>275968</t>
  </si>
  <si>
    <t>Термокружка "Котик и кофе" (353 мл) УД-4149</t>
  </si>
  <si>
    <t>УД-4149</t>
  </si>
  <si>
    <t>4680942641491</t>
  </si>
  <si>
    <t>275963</t>
  </si>
  <si>
    <t>Термокружка "Кофейное настроение" (350 мл) УД-4144</t>
  </si>
  <si>
    <t>УД-4144</t>
  </si>
  <si>
    <t>4680942641446</t>
  </si>
  <si>
    <t>275961</t>
  </si>
  <si>
    <t>Термокружка "Нас тупило утро" (350 мл) УД-4142</t>
  </si>
  <si>
    <t>УД-4142</t>
  </si>
  <si>
    <t>4680942641422</t>
  </si>
  <si>
    <t>275967</t>
  </si>
  <si>
    <t>Термокружка "Не кисни" (352 мл) УД-4148</t>
  </si>
  <si>
    <t>УД-4148</t>
  </si>
  <si>
    <t>4680942641484</t>
  </si>
  <si>
    <t>275958</t>
  </si>
  <si>
    <t>Термокружка "Нет тех вершин, что нельзя покорить" (350 мл) УД-4140</t>
  </si>
  <si>
    <t>УД-4140</t>
  </si>
  <si>
    <t>4680942641408</t>
  </si>
  <si>
    <t>275964</t>
  </si>
  <si>
    <t>Термокружка "Ты можешь все" (350 мл) УД-4145</t>
  </si>
  <si>
    <t>УД-4145</t>
  </si>
  <si>
    <t>4680942641453</t>
  </si>
  <si>
    <t>275965</t>
  </si>
  <si>
    <t>Термокружка "Цветы" (350 мл) УД-4146</t>
  </si>
  <si>
    <t>УД-4146</t>
  </si>
  <si>
    <t>4680942641460</t>
  </si>
  <si>
    <t>275966</t>
  </si>
  <si>
    <t>Термокружка "Эта девочка может все!" (351 мл) УД-4147</t>
  </si>
  <si>
    <t>УД-4147</t>
  </si>
  <si>
    <t>4680942641477</t>
  </si>
  <si>
    <t>Термостаканы пробковые</t>
  </si>
  <si>
    <t>216955</t>
  </si>
  <si>
    <t>Термостакан. Анимэ девушка, 450 мл,(пробка, пластик), (собственная разработка) КП-1346</t>
  </si>
  <si>
    <t>КП-1346</t>
  </si>
  <si>
    <t>4670159113461</t>
  </si>
  <si>
    <t>243259</t>
  </si>
  <si>
    <t>Термостакан. Босс, (пробка, пластик) 450 мл КП-3175</t>
  </si>
  <si>
    <t>КП-3175</t>
  </si>
  <si>
    <t>4670159231752</t>
  </si>
  <si>
    <t>450 мл</t>
  </si>
  <si>
    <t>216958</t>
  </si>
  <si>
    <t>Термостакан. Венсдей, 450 мл,(пробка, пластик), ( собственная разработка) КП-1348</t>
  </si>
  <si>
    <t>КП-1348</t>
  </si>
  <si>
    <t>4670159113485</t>
  </si>
  <si>
    <t>194178</t>
  </si>
  <si>
    <t>Термостакан. Виды кофе, 450 мл,(пробка, пластик) КП-8194</t>
  </si>
  <si>
    <t>КП-8194</t>
  </si>
  <si>
    <t>4620129781947</t>
  </si>
  <si>
    <t>216957</t>
  </si>
  <si>
    <t>Термостакан. Гейша, 450 мл,(пробка, пластик), (собственная разработка) КП-1347</t>
  </si>
  <si>
    <t>КП-1347</t>
  </si>
  <si>
    <t>4670159113478</t>
  </si>
  <si>
    <t>216953</t>
  </si>
  <si>
    <t>Термостакан. Гуся, 450 мл,(пробка, пластик), (собственная разработка) КП-1345</t>
  </si>
  <si>
    <t>КП-1345</t>
  </si>
  <si>
    <t>4670159113454</t>
  </si>
  <si>
    <t>216952</t>
  </si>
  <si>
    <t>Термостакан. Космокофе, 450 мл,(пробка, пластик), (собственная разработка) КП-1344</t>
  </si>
  <si>
    <t>КП-1344</t>
  </si>
  <si>
    <t>4670159113447</t>
  </si>
  <si>
    <t>243251</t>
  </si>
  <si>
    <t>Термостакан. Кофе окрыляет, (пробка, пластик) 350 мл КП-3167</t>
  </si>
  <si>
    <t>КП-3167</t>
  </si>
  <si>
    <t>4670159231677</t>
  </si>
  <si>
    <t>350 мл</t>
  </si>
  <si>
    <t>243252</t>
  </si>
  <si>
    <t>Термостакан. Кофе-пауза, (пробка, пластик) 350 мл КП-3168</t>
  </si>
  <si>
    <t>КП-3168</t>
  </si>
  <si>
    <t>4670159231684</t>
  </si>
  <si>
    <t>216949</t>
  </si>
  <si>
    <t>Термостакан. Кофебара, 350 мл, ( собственная разработка) КП-1342</t>
  </si>
  <si>
    <t>КП-1342</t>
  </si>
  <si>
    <t>4670159113423</t>
  </si>
  <si>
    <t>194180</t>
  </si>
  <si>
    <t>Термостакан. Кофеголик, 450 мл,(пробка, пластик) КП-8196</t>
  </si>
  <si>
    <t>КП-8196</t>
  </si>
  <si>
    <t>4620129781961</t>
  </si>
  <si>
    <t>216945</t>
  </si>
  <si>
    <t>Термостакан. Кофейный котик, 350 мл,(пробка, пластик), (собственная разработка) КП-1339</t>
  </si>
  <si>
    <t>КП-1339</t>
  </si>
  <si>
    <t>4670159113393</t>
  </si>
  <si>
    <t>243253</t>
  </si>
  <si>
    <t>Термостакан. Люби себя, (пробка, пластик) 350 мл КП-3169</t>
  </si>
  <si>
    <t>КП-3169</t>
  </si>
  <si>
    <t>4670159231691</t>
  </si>
  <si>
    <t>243255</t>
  </si>
  <si>
    <t>Термостакан. Медвежонок и кофе, (пробка, пластик) 350 мл КП-3171</t>
  </si>
  <si>
    <t>КП-3171</t>
  </si>
  <si>
    <t>4670159231714</t>
  </si>
  <si>
    <t>216951</t>
  </si>
  <si>
    <t>Термостакан. Милая девочка, 350 мл,(пробка, пластик), (собственная разработка) КП-1343</t>
  </si>
  <si>
    <t>КП-1343</t>
  </si>
  <si>
    <t>4670159113430</t>
  </si>
  <si>
    <t>243254</t>
  </si>
  <si>
    <t>Термостакан. Милые котики, (пробка, пластик) 350 мл КП-3170</t>
  </si>
  <si>
    <t>КП-3170</t>
  </si>
  <si>
    <t>4670159231707</t>
  </si>
  <si>
    <t>194171</t>
  </si>
  <si>
    <t>Термостакан. Милый котик, 350 мл,(пробка, пластик) КП-8187</t>
  </si>
  <si>
    <t>КП-8187</t>
  </si>
  <si>
    <t>4620129781879</t>
  </si>
  <si>
    <t>243258</t>
  </si>
  <si>
    <t>Термостакан. Мой кофе – мои правила!, (пробка, пластик) 450 мл КП-3174</t>
  </si>
  <si>
    <t>КП-3174</t>
  </si>
  <si>
    <t>4670159231745</t>
  </si>
  <si>
    <t>243260</t>
  </si>
  <si>
    <t>Термостакан. Москва и кофе, (пробка, пластик) 450 мл КП-3176</t>
  </si>
  <si>
    <t>КП-3176</t>
  </si>
  <si>
    <t>4670159231769</t>
  </si>
  <si>
    <t>194176</t>
  </si>
  <si>
    <t>Термостакан. Мужчина номер один, 450 мл,(пробка, пластик) КП-8192</t>
  </si>
  <si>
    <t>КП-8192</t>
  </si>
  <si>
    <t>4620129781923</t>
  </si>
  <si>
    <t>194177</t>
  </si>
  <si>
    <t>Термостакан. Мы верим в кофе, 450 мл,(пробка, пластик) КП-8193</t>
  </si>
  <si>
    <t>КП-8193</t>
  </si>
  <si>
    <t>4620129781930</t>
  </si>
  <si>
    <t>243257</t>
  </si>
  <si>
    <t>Термостакан. Пандочка, (пробка, пластик) 450 мл КП-3173</t>
  </si>
  <si>
    <t>КП-3173</t>
  </si>
  <si>
    <t>4670159231738</t>
  </si>
  <si>
    <t>243256</t>
  </si>
  <si>
    <t>Термостакан. Премиум кофе, (пробка, пластик) 450 мл КП-3172</t>
  </si>
  <si>
    <t>КП-3172</t>
  </si>
  <si>
    <t>4670159231721</t>
  </si>
  <si>
    <t>194173</t>
  </si>
  <si>
    <t>Термостакан. Сонная сова, 350 мл,(пробка, пластик) КП-8189</t>
  </si>
  <si>
    <t>КП-8189</t>
  </si>
  <si>
    <t>4620129781893</t>
  </si>
  <si>
    <t>Термосы-кружки</t>
  </si>
  <si>
    <t>1. Термосы-кружки ТВОЯ ВОДА</t>
  </si>
  <si>
    <t>269608</t>
  </si>
  <si>
    <t>Термос-кружка с аксессуарами 7шт. Твоя вода  "Милая кружка", 1200 мл, соб.разр. УД-0617</t>
  </si>
  <si>
    <t>УД-0617</t>
  </si>
  <si>
    <t>4680942606346</t>
  </si>
  <si>
    <t>25.99.29.190</t>
  </si>
  <si>
    <t>269609</t>
  </si>
  <si>
    <t>Термос-кружка с аксессуарами 7шт. Твоя вода "Кофейные мечты", 1200 мл, соб.разр. УД-0618</t>
  </si>
  <si>
    <t>УД-0618</t>
  </si>
  <si>
    <t>4680942606353</t>
  </si>
  <si>
    <t>269606</t>
  </si>
  <si>
    <t>Термос-кружка с аксессуарами 7шт.Твоя вода  "Цветочки", 1200 мл, соб.разр. УД-0615</t>
  </si>
  <si>
    <t>УД-0615</t>
  </si>
  <si>
    <t>4680942606322</t>
  </si>
  <si>
    <t>269607</t>
  </si>
  <si>
    <t>Термос-кружка с аксессуарами Твоя вода  "Розовый бант", 1200 мл, соб.разр. УД-0616</t>
  </si>
  <si>
    <t>УД-0616</t>
  </si>
  <si>
    <t>4680942606339</t>
  </si>
  <si>
    <t>269602</t>
  </si>
  <si>
    <t>Термос-кружка с аксессуарами Твоя вода "Классический бант", 1200 мл, соб.разр. УД-0612</t>
  </si>
  <si>
    <t>УД-0612</t>
  </si>
  <si>
    <t>4680942606292</t>
  </si>
  <si>
    <t>269589</t>
  </si>
  <si>
    <t>Термос-кружка Твоя вода "Кофейная классика", 1200 мл, соб.разр.УД-0605</t>
  </si>
  <si>
    <t>УД-0605</t>
  </si>
  <si>
    <t>4680942606223</t>
  </si>
  <si>
    <t>2. Термос-кружки (собственная разработка)</t>
  </si>
  <si>
    <t>269610</t>
  </si>
  <si>
    <t>Термос-кружка с аксессуарами 2шт. "Хороший день", 1200 мл, соб.разр. УД-0619</t>
  </si>
  <si>
    <t>УД-0619</t>
  </si>
  <si>
    <t>4680942606360</t>
  </si>
  <si>
    <t>3. Термосы-кружки</t>
  </si>
  <si>
    <t>267288</t>
  </si>
  <si>
    <t>Термос-кружка с аксессуарами "Голубой бантик", голубой, 1200 мл, УД-7580</t>
  </si>
  <si>
    <t>УД-7580</t>
  </si>
  <si>
    <t>4640520775857</t>
  </si>
  <si>
    <t>267285</t>
  </si>
  <si>
    <t>Термос-кружка с аксессуарами "Ромашка", серый, 1200 мл, УД-7583</t>
  </si>
  <si>
    <t>УД-7583</t>
  </si>
  <si>
    <t>4640520775826</t>
  </si>
  <si>
    <t>267280</t>
  </si>
  <si>
    <t>Термос-кружка с аксессуарами для трубочки и основания "Цветок", белый, 1200 мл, УД-7579</t>
  </si>
  <si>
    <t>УД-7579</t>
  </si>
  <si>
    <t>4640520775796</t>
  </si>
  <si>
    <t>05 Термосы</t>
  </si>
  <si>
    <t>1 Термосы Твоя вода</t>
  </si>
  <si>
    <t xml:space="preserve"> 1000 мл</t>
  </si>
  <si>
    <t>262407</t>
  </si>
  <si>
    <t>Термос металлический с кружкой Твоя вода, 1000 мл, серебристый  собств.разраб. УД-7053</t>
  </si>
  <si>
    <t>УД-7053</t>
  </si>
  <si>
    <t>4640520770531</t>
  </si>
  <si>
    <t xml:space="preserve"> 750 мл</t>
  </si>
  <si>
    <t>262409</t>
  </si>
  <si>
    <t>Термос металлический с кружкой Твоя вода, 750 мл, серебристый собств.разраб. УД-7055</t>
  </si>
  <si>
    <t>УД-7055</t>
  </si>
  <si>
    <t>4640520770555</t>
  </si>
  <si>
    <t>2 Термосы U-turn</t>
  </si>
  <si>
    <t>212871</t>
  </si>
  <si>
    <t>Термос металл с кружкой, крышкой-защёлкой и ремешком "Классика стиля",1500мл,черный U-turn УД-9397</t>
  </si>
  <si>
    <t>УД-9397</t>
  </si>
  <si>
    <t>4670159091974</t>
  </si>
  <si>
    <t>1500ML</t>
  </si>
  <si>
    <t>212872</t>
  </si>
  <si>
    <t>Термос металл с кружкой, широким горлом "Стальной", 800мл, серебристый U-turn УД-9398</t>
  </si>
  <si>
    <t>УД-9398</t>
  </si>
  <si>
    <t>4670159091981</t>
  </si>
  <si>
    <t>800ML</t>
  </si>
  <si>
    <t>227192</t>
  </si>
  <si>
    <t>Термос металлический  с крышкой-защёлкой и кружкой "Охота", U-turn 750мл, зеленый УД-6359</t>
  </si>
  <si>
    <t>УД-6359</t>
  </si>
  <si>
    <t>4670159163596</t>
  </si>
  <si>
    <t>750ML</t>
  </si>
  <si>
    <t>3 Другие</t>
  </si>
  <si>
    <t>210882</t>
  </si>
  <si>
    <t>Термос "Джайлоо", 1000 мл УД-7849</t>
  </si>
  <si>
    <t>УД-7849</t>
  </si>
  <si>
    <t>4670159078999</t>
  </si>
  <si>
    <t>210868</t>
  </si>
  <si>
    <t>Термос "Поход",черный, металл, 500 мл УД-7835</t>
  </si>
  <si>
    <t>УД-7835</t>
  </si>
  <si>
    <t>4670159078852</t>
  </si>
  <si>
    <t>06 Ланч-боксы</t>
  </si>
  <si>
    <t>214898</t>
  </si>
  <si>
    <t>Ланч-бокс с  тремя отделен.,прибор.(вил.,лож. 2 в 1)"Форма",1400мл,голуб.,19.2*11.2*11.5см ЛБ-0245</t>
  </si>
  <si>
    <t>ЛБ-0245</t>
  </si>
  <si>
    <t>4670159102458</t>
  </si>
  <si>
    <t>3924900009</t>
  </si>
  <si>
    <t>19.2*11.2*11.5</t>
  </si>
  <si>
    <t>214893</t>
  </si>
  <si>
    <t>Ланч-бокс с 3-мя отдел.,приб.(вил.,лож.)и отдел.для соуса"Пастель",1250мл,зел.,23*15.6*8.8см ЛБ-0241</t>
  </si>
  <si>
    <t>ЛБ-0241</t>
  </si>
  <si>
    <t>4670159102410</t>
  </si>
  <si>
    <t>4202129900</t>
  </si>
  <si>
    <t>23*15.6*8.8</t>
  </si>
  <si>
    <t>214894</t>
  </si>
  <si>
    <t>Ланч-бокс с 3-мя отдел.,приб.(вил.,лож.)и отдел.для соуса"Пастель",1250мл,роз.,23*15.6*8.8см ЛБ-0242</t>
  </si>
  <si>
    <t>ЛБ-0242</t>
  </si>
  <si>
    <t>4670159102427</t>
  </si>
  <si>
    <t>214375</t>
  </si>
  <si>
    <t>Ланч-бокс с двумя отделением "Прелесть" (в ассортименте), 540 мл Зелёный ЛБ-8890</t>
  </si>
  <si>
    <t>ЛБ-8890</t>
  </si>
  <si>
    <t>4670159098904</t>
  </si>
  <si>
    <t>15.5*15.5*9</t>
  </si>
  <si>
    <t>202418</t>
  </si>
  <si>
    <t>Ланч-бокс с двумя отделениями "Бранч" (в ассортименте), 600 мл ЛБ-2585</t>
  </si>
  <si>
    <t>ЛБ-2585</t>
  </si>
  <si>
    <t>4670159025856</t>
  </si>
  <si>
    <t>7323930000</t>
  </si>
  <si>
    <t>20*12*7</t>
  </si>
  <si>
    <t>214122</t>
  </si>
  <si>
    <t>Ланч-бокс с двумя отделениями + чашка для супа,с прибор.(лож.,палоч.)"Ужин",1000 +330мл,роз. ЛБ-9746</t>
  </si>
  <si>
    <t>ЛБ-9746</t>
  </si>
  <si>
    <t>4670159097464</t>
  </si>
  <si>
    <t>17*17*7.5</t>
  </si>
  <si>
    <t>214399</t>
  </si>
  <si>
    <t>Ланч-бокс с двумя отделениями и прибор.(вилка,ложка)"Совушка"(в ассорт.),800мл Голубой ЛБ-8898</t>
  </si>
  <si>
    <t>ЛБ-8898</t>
  </si>
  <si>
    <t>4670159098980</t>
  </si>
  <si>
    <t>16*14.5*7</t>
  </si>
  <si>
    <t>202362</t>
  </si>
  <si>
    <t>Ланч-бокс с двумя отделениями и приборами (Вилка, нож, ложка)"Вкус" (в ассортименте),1000 мл ЛБ-2562</t>
  </si>
  <si>
    <t>ЛБ-2562</t>
  </si>
  <si>
    <t>4670159025627</t>
  </si>
  <si>
    <t>19*11.5*7</t>
  </si>
  <si>
    <t>202404</t>
  </si>
  <si>
    <t>Ланч-бокс с двумя отделениями и прибором (вилка) "Польза" (в ассортименте), 800 мл ЛБ-2580</t>
  </si>
  <si>
    <t>ЛБ-2580</t>
  </si>
  <si>
    <t>4670159025801</t>
  </si>
  <si>
    <t>20*14*7</t>
  </si>
  <si>
    <t>202402</t>
  </si>
  <si>
    <t>Ланч-бокс с одним отделением и приборами (ложка, складная вилка), (в ассортименте), 800 мл ЛБ-2579</t>
  </si>
  <si>
    <t>ЛБ-2579</t>
  </si>
  <si>
    <t>4670159025795</t>
  </si>
  <si>
    <t>17*7.5</t>
  </si>
  <si>
    <t>202391</t>
  </si>
  <si>
    <t>Ланч-бокс с одним отделением и прибором (вилка) "Перекус" (в ассортименте), 700 мл ЛБ-2574</t>
  </si>
  <si>
    <t>ЛБ-2574</t>
  </si>
  <si>
    <t>4670159025740</t>
  </si>
  <si>
    <t>21.5*12*6</t>
  </si>
  <si>
    <t>202399</t>
  </si>
  <si>
    <t>Ланч-бокс с одним отделением и прибором (ложка)  "Скрепка" (в ассортименте), 450 мл ЛБ-2578</t>
  </si>
  <si>
    <t>ЛБ-2578</t>
  </si>
  <si>
    <t>4670159025788</t>
  </si>
  <si>
    <t>10*12.2</t>
  </si>
  <si>
    <t>202370</t>
  </si>
  <si>
    <t>Ланч-бокс с тремя отделениями и приборами (вилка, ложка), (в ассортименте), 1250 мл ЛБ-2567</t>
  </si>
  <si>
    <t>ЛБ-2567</t>
  </si>
  <si>
    <t>4670159025672</t>
  </si>
  <si>
    <t>23*16.6*6</t>
  </si>
  <si>
    <t>07 Сервировка стола</t>
  </si>
  <si>
    <t>01 Бокалы и стаканы</t>
  </si>
  <si>
    <t>262377</t>
  </si>
  <si>
    <t>Набор бокалов для вина "Бордо" 2 шт. 28*7*9см, 770 мл, стекло НБК-7044</t>
  </si>
  <si>
    <t>НБК-7044</t>
  </si>
  <si>
    <t>4640520770449</t>
  </si>
  <si>
    <t>257347</t>
  </si>
  <si>
    <t>Набор бокалов для вина "Рельеф" 250 мл (2 шт) НБК-7345</t>
  </si>
  <si>
    <t>НБК-7345</t>
  </si>
  <si>
    <t>4630493773455</t>
  </si>
  <si>
    <t>257348</t>
  </si>
  <si>
    <t>Набор бокалов для вина "Рельеф" 575 мл (2 шт) НБК-7346</t>
  </si>
  <si>
    <t>НБК-7346</t>
  </si>
  <si>
    <t>4630493773462</t>
  </si>
  <si>
    <t>262388</t>
  </si>
  <si>
    <t>Набор кружек 2 шт "Элита" 10.4*7см, 380 мл, стекло КП-7046</t>
  </si>
  <si>
    <t>КП-7046</t>
  </si>
  <si>
    <t>4640520770463</t>
  </si>
  <si>
    <t>7013379900</t>
  </si>
  <si>
    <t>221374</t>
  </si>
  <si>
    <t>Набор стаканов 2 шт., 300 мл, 15.5*8*12 см БСТ-3325</t>
  </si>
  <si>
    <t>БСТ-3325</t>
  </si>
  <si>
    <t>4670159133254</t>
  </si>
  <si>
    <t>7013371000</t>
  </si>
  <si>
    <t>15.5*8*12 см, 300 мл</t>
  </si>
  <si>
    <t>221373</t>
  </si>
  <si>
    <t>Набор стаканов 2 шт., 380 мл, 15.5*7.5*14.5 см БСТ-3323</t>
  </si>
  <si>
    <t>БСТ-3323</t>
  </si>
  <si>
    <t>4670159133230</t>
  </si>
  <si>
    <t>15.5*7.5*14.5 см, 380 мл</t>
  </si>
  <si>
    <t>262380</t>
  </si>
  <si>
    <t>Набор стаканов 6 шт. "Грани", 6.7*9.5см, 310 мл, стекло БСТ-7045</t>
  </si>
  <si>
    <t>БСТ-7045</t>
  </si>
  <si>
    <t>4640520770456</t>
  </si>
  <si>
    <t>239010</t>
  </si>
  <si>
    <t>Набор стеклянных бокалов для вина Этюд  420 мл (2 шт) НБК-1815</t>
  </si>
  <si>
    <t>НБК-1815</t>
  </si>
  <si>
    <t>4670159218159</t>
  </si>
  <si>
    <t>420 мл</t>
  </si>
  <si>
    <t>239012</t>
  </si>
  <si>
    <t>Набор стеклянных бокалов для вина Этюд 500 мл (2 шт) НБК-1816</t>
  </si>
  <si>
    <t>НБК-1816</t>
  </si>
  <si>
    <t>4670159218166</t>
  </si>
  <si>
    <t>500 мл</t>
  </si>
  <si>
    <t>239007</t>
  </si>
  <si>
    <t>Набор стеклянных бокалов для шампанского Флюте 200 мл (2 шт) НБК-1814</t>
  </si>
  <si>
    <t>НБК-1814</t>
  </si>
  <si>
    <t>4670159218142</t>
  </si>
  <si>
    <t>200 мл</t>
  </si>
  <si>
    <t>239018</t>
  </si>
  <si>
    <t>Набор стеклянных бокалов Элегия 300 мл (2 шт) НБК-1818</t>
  </si>
  <si>
    <t>НБК-1818</t>
  </si>
  <si>
    <t>4670159218180</t>
  </si>
  <si>
    <t>239020</t>
  </si>
  <si>
    <t>Набор стеклянных стаканов Модерн 350 мл ( 2 шт) НСТ-1817</t>
  </si>
  <si>
    <t>НСТ-1817</t>
  </si>
  <si>
    <t>4670159218173</t>
  </si>
  <si>
    <t>7013379100</t>
  </si>
  <si>
    <t>02 Наборы чашек и чайный сервиз</t>
  </si>
  <si>
    <t>257328</t>
  </si>
  <si>
    <t>Набор 12 предметов: 6 кружек + 6 блюдец, 260 мл (2 белых, 2 коричневых, 2 бежевых) керамика, УД-7329</t>
  </si>
  <si>
    <t>УД-7329</t>
  </si>
  <si>
    <t>4630493773295</t>
  </si>
  <si>
    <t>257326</t>
  </si>
  <si>
    <t>Набор 12 предметов: 6 кружек + 6 блюдец, 260 мл (бежевый) керамика, УД-7328</t>
  </si>
  <si>
    <t>УД-7328</t>
  </si>
  <si>
    <t>4630493773288</t>
  </si>
  <si>
    <t>257329</t>
  </si>
  <si>
    <t>Набор 12 предметов: 6 кружек + 6 блюдец, 260 мл (белый), керамика УД-7330</t>
  </si>
  <si>
    <t>УД-7330</t>
  </si>
  <si>
    <t>4630493773301</t>
  </si>
  <si>
    <t>255917</t>
  </si>
  <si>
    <t>Набор из 2-х кружек с рельефом, 350 мл, цвет бежевый КС-7000</t>
  </si>
  <si>
    <t>КС-7000</t>
  </si>
  <si>
    <t>4630493770669</t>
  </si>
  <si>
    <t>255920</t>
  </si>
  <si>
    <t>Набор из 2-х кружек с рельефом, 350 мл, цвет белый КС-7003</t>
  </si>
  <si>
    <t>КС-7003</t>
  </si>
  <si>
    <t>4630493770690</t>
  </si>
  <si>
    <t>255923</t>
  </si>
  <si>
    <t>Набор из 2-х кружек с рельефом, 350 мл, цвет белый КС-7006</t>
  </si>
  <si>
    <t>КС-7006</t>
  </si>
  <si>
    <t>4630493770720</t>
  </si>
  <si>
    <t>255925</t>
  </si>
  <si>
    <t>Набор из 2-х кружек с рельефом, 350 мл, цвет белый КС-7008</t>
  </si>
  <si>
    <t>КС-7008</t>
  </si>
  <si>
    <t>4630493770744</t>
  </si>
  <si>
    <t>255922</t>
  </si>
  <si>
    <t>Набор из 2-х кружек с рельефом, 350 мл, цвет коричневый КС-7005</t>
  </si>
  <si>
    <t>КС-7005</t>
  </si>
  <si>
    <t>4630493770713</t>
  </si>
  <si>
    <t>255918</t>
  </si>
  <si>
    <t>Набор из 2-х кружек с рельефом, 350 мл, цвет кофейный КС-7001</t>
  </si>
  <si>
    <t>КС-7001</t>
  </si>
  <si>
    <t>4630493770676</t>
  </si>
  <si>
    <t>255919</t>
  </si>
  <si>
    <t>Набор из 2-х кружек с рельефом, 350 мл, цвет серый КС-7002</t>
  </si>
  <si>
    <t>КС-7002</t>
  </si>
  <si>
    <t>4630493770683</t>
  </si>
  <si>
    <t>255921</t>
  </si>
  <si>
    <t>Набор из 2-х кружек с рельефом, 350 мл, цвет серый КС-7004</t>
  </si>
  <si>
    <t>КС-7004</t>
  </si>
  <si>
    <t>4630493770706</t>
  </si>
  <si>
    <t>267409</t>
  </si>
  <si>
    <t>Набор керамических кружек 4 шт. разных цветов, 350 мл (белый, графит, тёмно-серый, бежевый), КП-7680</t>
  </si>
  <si>
    <t>КП-7680</t>
  </si>
  <si>
    <t>4640520776809</t>
  </si>
  <si>
    <t>267408</t>
  </si>
  <si>
    <t>Набор керамических кружек 4 шт., 350 мл, белый, КП-7679</t>
  </si>
  <si>
    <t>КП-7679</t>
  </si>
  <si>
    <t>4640520776793</t>
  </si>
  <si>
    <t>237283</t>
  </si>
  <si>
    <t>Набор чайных пар керамический "Ракушка", на две персоны, 250 мл ЧНП-1082</t>
  </si>
  <si>
    <t>ЧНП-1082</t>
  </si>
  <si>
    <t>4670159210825</t>
  </si>
  <si>
    <t>221366</t>
  </si>
  <si>
    <t>Набор чашек 6 шт., серый, 248 мл, 27.8*21.9*8.4 см КС-3036</t>
  </si>
  <si>
    <t>КС-3036</t>
  </si>
  <si>
    <t>4670159130369</t>
  </si>
  <si>
    <t>27.8*21.9*8.4 см, 248 мл</t>
  </si>
  <si>
    <t>257335</t>
  </si>
  <si>
    <t>Чайник керамический "Зефир" 800мл КС-7334</t>
  </si>
  <si>
    <t>КС-7334</t>
  </si>
  <si>
    <t>4630493773349</t>
  </si>
  <si>
    <t>03 Стаканы и кружки с двойным дном</t>
  </si>
  <si>
    <t>237264</t>
  </si>
  <si>
    <t>Кружка с двойным дном (боросиликатное стекло)  "Конфетти", 350 мл, золотистая ЧНП-1071</t>
  </si>
  <si>
    <t>ЧНП-1071</t>
  </si>
  <si>
    <t>4670159210719</t>
  </si>
  <si>
    <t>237266</t>
  </si>
  <si>
    <t>Кружка с двойным дном (боросиликатное стекло)  "Конфетти", 350 мл, серебристая ЧНП-1072</t>
  </si>
  <si>
    <t>ЧНП-1072</t>
  </si>
  <si>
    <t>4670159210726</t>
  </si>
  <si>
    <t>231509</t>
  </si>
  <si>
    <t>Кружка с двойным дном (боросиликатное стекло), Красно-черные сухоцветы 350 мл КС-4568</t>
  </si>
  <si>
    <t>КС-4568</t>
  </si>
  <si>
    <t>4670159145684</t>
  </si>
  <si>
    <t>231506</t>
  </si>
  <si>
    <t>Кружка с двойным дном (боросиликатное стекло), Пастельные сухоцветы 350 мл КС-4566</t>
  </si>
  <si>
    <t>КС-4566</t>
  </si>
  <si>
    <t>4670159145660</t>
  </si>
  <si>
    <t>231507</t>
  </si>
  <si>
    <t>Кружка с двойным дном (боросиликатное стекло), Сиреневые сухоцветы 350 мл КС-4567</t>
  </si>
  <si>
    <t>КС-4567</t>
  </si>
  <si>
    <t>4670159145677</t>
  </si>
  <si>
    <t>237267</t>
  </si>
  <si>
    <t>Стакан с двойным дном (боросиликатное стекло)  "Конфетти", 350 мл, золотистый ЧНП-1073</t>
  </si>
  <si>
    <t>ЧНП-1073</t>
  </si>
  <si>
    <t>4670159210733</t>
  </si>
  <si>
    <t>237270</t>
  </si>
  <si>
    <t>Стакан с двойным дном (боросиликатное стекло)  "Конфетти",350 мл, серебристый ЧНП-1074</t>
  </si>
  <si>
    <t>ЧНП-1074</t>
  </si>
  <si>
    <t>4670159210740</t>
  </si>
  <si>
    <t>215672</t>
  </si>
  <si>
    <t>Стакан стеклянный с двойным дном "Милая пандочка",9.8*5см, 200мл ВС-0186</t>
  </si>
  <si>
    <t>ВС-0186</t>
  </si>
  <si>
    <t>4670159101864</t>
  </si>
  <si>
    <t>215673</t>
  </si>
  <si>
    <t>Стакан стеклянный с двойным дном "Мишка",9.8*5см, 200мл ВС-0187</t>
  </si>
  <si>
    <t>ВС-0187</t>
  </si>
  <si>
    <t>4670159101871</t>
  </si>
  <si>
    <t>04 Графины</t>
  </si>
  <si>
    <t>263882</t>
  </si>
  <si>
    <t>Графин (боросиликатное стекло) "Линии" 1,2 л, 25,5x9.5x4.7 см БСТ-7226</t>
  </si>
  <si>
    <t>БСТ-7226</t>
  </si>
  <si>
    <t>4640520772269</t>
  </si>
  <si>
    <t>257344</t>
  </si>
  <si>
    <t>Кувшин из боросиликатного стекла "Гармония", 1,8 л (золотистый), КС-7342</t>
  </si>
  <si>
    <t>КС-7342</t>
  </si>
  <si>
    <t>4630493773424</t>
  </si>
  <si>
    <t>257346</t>
  </si>
  <si>
    <t>Кувшин из боросиликатного стекла, "Статика" 1,8 л (золотистый), КС-7344</t>
  </si>
  <si>
    <t>КС-7344</t>
  </si>
  <si>
    <t>4630493773448</t>
  </si>
  <si>
    <t>257345</t>
  </si>
  <si>
    <t>Кувшин из боросиликатного стекла, "Статика" 1,8 л (чёрный), КС-7343</t>
  </si>
  <si>
    <t>КС-7343</t>
  </si>
  <si>
    <t>4630493773431</t>
  </si>
  <si>
    <t>05 Тарелки и блюда</t>
  </si>
  <si>
    <t>01 Тарелки (собственная разработка)</t>
  </si>
  <si>
    <t>КОЛЛЕКЦИЯ "БОТАНИКА"</t>
  </si>
  <si>
    <t>274412</t>
  </si>
  <si>
    <t>Тарелка закусочная керамическая Ботаника, 20,5 см, белая (собственная разработка) КС-2775</t>
  </si>
  <si>
    <t>КС-2775</t>
  </si>
  <si>
    <t>4680942627754</t>
  </si>
  <si>
    <t>274415</t>
  </si>
  <si>
    <t>Тарелка закусочная керамическая Ботаника, 20,5 см, белая (собственная разработка) КС-2777</t>
  </si>
  <si>
    <t>КС-2777</t>
  </si>
  <si>
    <t>4680942627778</t>
  </si>
  <si>
    <t>274416</t>
  </si>
  <si>
    <t>Тарелка закусочная керамическая Ботаника, 20,5 см, белая (собственная разработка) КС-2778</t>
  </si>
  <si>
    <t>КС-2778</t>
  </si>
  <si>
    <t>4680942627785</t>
  </si>
  <si>
    <t>КОЛЛЕКЦИЯ "ДЛЯ МАМЫ"</t>
  </si>
  <si>
    <t>274417</t>
  </si>
  <si>
    <t>Тарелка закусочная керамическая Для мамы, 23 см, белая (собственная разработка) КС-2779</t>
  </si>
  <si>
    <t>КС-2779</t>
  </si>
  <si>
    <t>4680942627792</t>
  </si>
  <si>
    <t>274419</t>
  </si>
  <si>
    <t>Тарелка закусочная керамическая Мамина любовь, 23 см, белая (собственная разработка) КС-2780</t>
  </si>
  <si>
    <t>КС-2780</t>
  </si>
  <si>
    <t>4680942627808</t>
  </si>
  <si>
    <t>КОЛЛЕКЦИЯ "ЗДОРОВОЕ ПИТАНИЕ"</t>
  </si>
  <si>
    <t>274426</t>
  </si>
  <si>
    <t>Тарелка закусочная керамическая Здоровое питание, 23 см, белая (собственная разработка) КС-2786</t>
  </si>
  <si>
    <t>КС-2786</t>
  </si>
  <si>
    <t>4680942627860</t>
  </si>
  <si>
    <t>274425</t>
  </si>
  <si>
    <t>Тарелка закусочная керамическая Правильное питание, 23 см, белая (собственная разработка) КС-2785</t>
  </si>
  <si>
    <t>КС-2785</t>
  </si>
  <si>
    <t>4680942627853</t>
  </si>
  <si>
    <t>274427</t>
  </si>
  <si>
    <t>Тарелка закусочная керамическая Сытый кот, 23 см, белая (собственная разработка) КС-2787</t>
  </si>
  <si>
    <t>КС-2787</t>
  </si>
  <si>
    <t>4680942627877</t>
  </si>
  <si>
    <t>КОЛЛЕКЦИЯ "ЛЕСНАЯ ФАУНА"</t>
  </si>
  <si>
    <t>274422</t>
  </si>
  <si>
    <t>Тарелка закусочная керамическая Заяц, 20,5 см, белая (собственная разработка) КС-2783</t>
  </si>
  <si>
    <t>КС-2783</t>
  </si>
  <si>
    <t>4680942627839</t>
  </si>
  <si>
    <t>274421</t>
  </si>
  <si>
    <t>Тарелка закусочная керамическая Лисица, 20,5 см, белая (собственная разработка) КС-2782</t>
  </si>
  <si>
    <t>КС-2782</t>
  </si>
  <si>
    <t>4680942627822</t>
  </si>
  <si>
    <t>274423</t>
  </si>
  <si>
    <t>Тарелка закусочная керамическая Утка, 20,5 см, белая (собственная разработка) КС-2784</t>
  </si>
  <si>
    <t>КС-2784</t>
  </si>
  <si>
    <t>4680942627846</t>
  </si>
  <si>
    <t>02 Тарелки и блюда</t>
  </si>
  <si>
    <t>237276</t>
  </si>
  <si>
    <t>Набор керамических тарелок 2 шт "Ракушка", 24 см ЧНП-1076</t>
  </si>
  <si>
    <t>ЧНП-1076</t>
  </si>
  <si>
    <t>4670159210764</t>
  </si>
  <si>
    <t>237275</t>
  </si>
  <si>
    <t>Набор керамических тарелок 2 шт "Ракушка", 27 см ЧНП-1075</t>
  </si>
  <si>
    <t>ЧНП-1075</t>
  </si>
  <si>
    <t>4670159210757</t>
  </si>
  <si>
    <t>237277</t>
  </si>
  <si>
    <t>Салатник керамический "Ракушка", 20*8 см ЧНП-1077</t>
  </si>
  <si>
    <t>ЧНП-1077</t>
  </si>
  <si>
    <t>4670159210771</t>
  </si>
  <si>
    <t>237278</t>
  </si>
  <si>
    <t>Салатник керамический "Ракушка", 25*10 см ЧНП-1078</t>
  </si>
  <si>
    <t>ЧНП-1078</t>
  </si>
  <si>
    <t>4670159210788</t>
  </si>
  <si>
    <t>237282</t>
  </si>
  <si>
    <t>Тарелка сервировочная керамическая "Ракушка", 23*11,5 см ЧНП-1081</t>
  </si>
  <si>
    <t>ЧНП-1081</t>
  </si>
  <si>
    <t>4670159210818</t>
  </si>
  <si>
    <t>237280</t>
  </si>
  <si>
    <t>Тарелка сервировочная керамическая "Ракушка", 30,7*15,5 см ЧНП-1080</t>
  </si>
  <si>
    <t>ЧНП-1080</t>
  </si>
  <si>
    <t>4670159210801</t>
  </si>
  <si>
    <t>06 Менажницы</t>
  </si>
  <si>
    <t>221358</t>
  </si>
  <si>
    <t>Менажница из 4 чаш на бамбуковой подставке, белый и серый, 20.4*20.6*8.5 см КС-3028</t>
  </si>
  <si>
    <t>КС-3028</t>
  </si>
  <si>
    <t>4670159130284</t>
  </si>
  <si>
    <t>20.4*20.6*8.5 см</t>
  </si>
  <si>
    <t>221356</t>
  </si>
  <si>
    <t>Менажница из 4 чаш на бамбуковой подставке, белый, 20.4*20.6*8.5 см КС-3026</t>
  </si>
  <si>
    <t>КС-3026</t>
  </si>
  <si>
    <t>4670159130260</t>
  </si>
  <si>
    <t>221357</t>
  </si>
  <si>
    <t>Менажница из 4 чаш на бамбуковой подставке, серый, 20.4*20.6*8.5 см КС-3027</t>
  </si>
  <si>
    <t>КС-3027</t>
  </si>
  <si>
    <t>4670159130277</t>
  </si>
  <si>
    <t>237279</t>
  </si>
  <si>
    <t>Менажница керамическая "Ракушка", 20*12 см ЧНП-1079</t>
  </si>
  <si>
    <t>ЧНП-1079</t>
  </si>
  <si>
    <t>4670159210795</t>
  </si>
  <si>
    <t>257338</t>
  </si>
  <si>
    <t>Менажница керамическая на бамбуковой подставке, 18 см, КС-7336</t>
  </si>
  <si>
    <t>КС-7336</t>
  </si>
  <si>
    <t>4630493773363</t>
  </si>
  <si>
    <t>262395</t>
  </si>
  <si>
    <t>Набор менажниц 3 секции 8.5*5.5 см, с подставкой 30*9.5*9 см КС-7050</t>
  </si>
  <si>
    <t>КС-7050</t>
  </si>
  <si>
    <t>4640520770500</t>
  </si>
  <si>
    <t>7013499900</t>
  </si>
  <si>
    <t>262394</t>
  </si>
  <si>
    <t>Набор менажниц 4 секции 14,8х8,5х2,5 см, на бамбуковой подставке 33х14,5х1 см КС-7049</t>
  </si>
  <si>
    <t>КС-7049</t>
  </si>
  <si>
    <t>4640520770494</t>
  </si>
  <si>
    <t>262396</t>
  </si>
  <si>
    <t>Набор менажниц 4 секции 8.5*5.5см,  с подставкой 21*18*9см , (2 вилки в комплекте) КС-7777</t>
  </si>
  <si>
    <t>КС-7777</t>
  </si>
  <si>
    <t>4640520770517</t>
  </si>
  <si>
    <t>07 Сахарницы</t>
  </si>
  <si>
    <t>257341</t>
  </si>
  <si>
    <t>Набор для специй и салфетница керамика, с бамбуковой подставкой, белый, КС-7339</t>
  </si>
  <si>
    <t>КС-7339</t>
  </si>
  <si>
    <t>4630493773394</t>
  </si>
  <si>
    <t>257353</t>
  </si>
  <si>
    <t>Набор для специй: сахарница и солонка "Эко" Боросиликатное стекло, бамбук  2 шт, КС-7350</t>
  </si>
  <si>
    <t>КС-7350</t>
  </si>
  <si>
    <t>4630493773509</t>
  </si>
  <si>
    <t>221360</t>
  </si>
  <si>
    <t>Набор сахарниц 2 шт., серый, 19.6*11.4*10.5 см КС-3030</t>
  </si>
  <si>
    <t>КС-3030</t>
  </si>
  <si>
    <t>4670159130307</t>
  </si>
  <si>
    <t>19.6*11.4*10.5 см</t>
  </si>
  <si>
    <t>257334</t>
  </si>
  <si>
    <t>Сахарница керамическая "Зефир" КС-7333</t>
  </si>
  <si>
    <t>КС-7333</t>
  </si>
  <si>
    <t>4630493773332</t>
  </si>
  <si>
    <t>08 Салфетницы</t>
  </si>
  <si>
    <t>248282</t>
  </si>
  <si>
    <t>Салфетница "Минимализм" , белая 21x13x9,5 см СФ-2435</t>
  </si>
  <si>
    <t>СФ-2435</t>
  </si>
  <si>
    <t>4640306924356</t>
  </si>
  <si>
    <t>248274</t>
  </si>
  <si>
    <t>Салфетница на стол с подставкой для телефона в ретро стиле, мятно-зеленая 18,5х16х13,5 см СФ-2433</t>
  </si>
  <si>
    <t>СФ-2433</t>
  </si>
  <si>
    <t>4640306924332</t>
  </si>
  <si>
    <t>248272</t>
  </si>
  <si>
    <t>Салфетница на стол с подставкой для телефона в ретро стиле, розово-белая 18,5х16х13,5 см СФ-2432</t>
  </si>
  <si>
    <t>СФ-2432</t>
  </si>
  <si>
    <t>4640306924325</t>
  </si>
  <si>
    <t>248265</t>
  </si>
  <si>
    <t>Салфетница на стол с подставкой для телефона в ретро стиле, сине-оранжевая 18,5х16х13,5 см СФ-2431</t>
  </si>
  <si>
    <t>СФ-2431</t>
  </si>
  <si>
    <t>4640306924318</t>
  </si>
  <si>
    <t>248278</t>
  </si>
  <si>
    <t>Салфетница с зайчиком, прозрачная, 18,5x12,5x10,5 см СФ-2434</t>
  </si>
  <si>
    <t>СФ-2434</t>
  </si>
  <si>
    <t>4640306924349</t>
  </si>
  <si>
    <t>10 Сервировочные салфетки</t>
  </si>
  <si>
    <t>237251</t>
  </si>
  <si>
    <t>Салфетки на стол сервировочные "Звезды", 4 шт, 30х45см золотистые ЧНП-1060</t>
  </si>
  <si>
    <t>ЧНП-1060</t>
  </si>
  <si>
    <t>4670159210603</t>
  </si>
  <si>
    <t>13.92.13.122</t>
  </si>
  <si>
    <t>6302591000</t>
  </si>
  <si>
    <t>Подлежит маркировке ЧЗ Легпром</t>
  </si>
  <si>
    <t>04670159249306</t>
  </si>
  <si>
    <t>237255</t>
  </si>
  <si>
    <t>Салфетки на стол сервировочные "Классика", 4 шт, черные ЧНП-1064</t>
  </si>
  <si>
    <t>ЧНП-1064</t>
  </si>
  <si>
    <t>4670159210641</t>
  </si>
  <si>
    <t>22.29.23.120</t>
  </si>
  <si>
    <t>11 Ёмкости для хранения</t>
  </si>
  <si>
    <t>257333</t>
  </si>
  <si>
    <t>Масленка керамическая "Зефир" КС-7332</t>
  </si>
  <si>
    <t>КС-7332</t>
  </si>
  <si>
    <t>4630493773325</t>
  </si>
  <si>
    <t>13 Кружки керамические</t>
  </si>
  <si>
    <t>257336</t>
  </si>
  <si>
    <t>Кружка керамическая "Зефир" 11,5х10 см, 500 мл КС-7335</t>
  </si>
  <si>
    <t>КС-7335</t>
  </si>
  <si>
    <t>4630493773356</t>
  </si>
  <si>
    <t>08 Техника для создания напитков</t>
  </si>
  <si>
    <t>Помпы для воды электрические</t>
  </si>
  <si>
    <t>223712</t>
  </si>
  <si>
    <t>Помпа для воды электрическая, черная, 15*14,5 см,5V 1,5A для бутылей 5-20л ПЭ-4847</t>
  </si>
  <si>
    <t>ПЭ-4847</t>
  </si>
  <si>
    <t>4670159148470</t>
  </si>
  <si>
    <t>8414108900</t>
  </si>
  <si>
    <t>15*14,5 см</t>
  </si>
  <si>
    <t>03 ПОДАРКИ</t>
  </si>
  <si>
    <t>АЛЬБОМ-ДНЕВНИК ПЕРВОГО ГОДА ЖИЗНИ</t>
  </si>
  <si>
    <t>194981</t>
  </si>
  <si>
    <t>Альбом-дневник  первого года жизни "Наш сыночек" АФ-7814</t>
  </si>
  <si>
    <t>АФ-7814</t>
  </si>
  <si>
    <t>4620129778145</t>
  </si>
  <si>
    <t>194980</t>
  </si>
  <si>
    <t>Альбом-дневник  первого года жизни "Наша доченька" АФ-7813</t>
  </si>
  <si>
    <t>АФ-7813</t>
  </si>
  <si>
    <t>4620129778138</t>
  </si>
  <si>
    <t>160370</t>
  </si>
  <si>
    <t>Альбом-дневник первого года жизни "Наш малыш" АФ-1846</t>
  </si>
  <si>
    <t>АФ-1846</t>
  </si>
  <si>
    <t>4610144818469</t>
  </si>
  <si>
    <t>160373</t>
  </si>
  <si>
    <t>Альбом-дневник первого года жизни "Наша малышка" АФ-1847</t>
  </si>
  <si>
    <t>АФ-1847</t>
  </si>
  <si>
    <t>4610144818476</t>
  </si>
  <si>
    <t>225827</t>
  </si>
  <si>
    <t>Альбом-дневник первого года жизни со скрап-заготовками АФ-5356</t>
  </si>
  <si>
    <t>АФ-5356</t>
  </si>
  <si>
    <t>4670159153566</t>
  </si>
  <si>
    <t>240457</t>
  </si>
  <si>
    <t>Альбом-дневник-2 первого года жизни со скрап-заготовками АФ-2152</t>
  </si>
  <si>
    <t>АФ-2152</t>
  </si>
  <si>
    <t>4670159221524</t>
  </si>
  <si>
    <t>219150</t>
  </si>
  <si>
    <t>Календарь со стикерами "Мой первый год" АК-2325</t>
  </si>
  <si>
    <t>АК-2325</t>
  </si>
  <si>
    <t>4670159123255</t>
  </si>
  <si>
    <t>195136</t>
  </si>
  <si>
    <t>Календарь со стикерами "Мой первый год" АК-8955</t>
  </si>
  <si>
    <t>АК-8955</t>
  </si>
  <si>
    <t>4620129789554</t>
  </si>
  <si>
    <t>Брелоки</t>
  </si>
  <si>
    <t>257808</t>
  </si>
  <si>
    <t>Брелок "Единорожка", фиолетовый, 5,5х6х4,5 см Т-7472</t>
  </si>
  <si>
    <t>Т-7472</t>
  </si>
  <si>
    <t>4630493774728</t>
  </si>
  <si>
    <t>32.13.10.110</t>
  </si>
  <si>
    <t>7117190000</t>
  </si>
  <si>
    <t>257792</t>
  </si>
  <si>
    <t>Брелок "Космонавт", 4,8х4,5 см Т-7467</t>
  </si>
  <si>
    <t>Т-7467</t>
  </si>
  <si>
    <t>4630493774674</t>
  </si>
  <si>
    <t>257804</t>
  </si>
  <si>
    <t>Брелок "Космос", 5,5х5 см Т-7468</t>
  </si>
  <si>
    <t>Т-7468</t>
  </si>
  <si>
    <t>4630493774681</t>
  </si>
  <si>
    <t>257809</t>
  </si>
  <si>
    <t>Брелок "Море", синий, 6х6 см Т-7473</t>
  </si>
  <si>
    <t>Т-7473</t>
  </si>
  <si>
    <t>4630493774735</t>
  </si>
  <si>
    <t>257816</t>
  </si>
  <si>
    <t>Брелок "Облачко", фиолетовый 5х4см Т-7480</t>
  </si>
  <si>
    <t>Т-7480</t>
  </si>
  <si>
    <t>4630493774803</t>
  </si>
  <si>
    <t>257807</t>
  </si>
  <si>
    <t>Брелок "Стаканчик", голубой, 6х3,2 см Т-7471</t>
  </si>
  <si>
    <t>Т-7471</t>
  </si>
  <si>
    <t>4630493774711</t>
  </si>
  <si>
    <t>257805</t>
  </si>
  <si>
    <t>Брелок "Стаканчик", красный, 7,2х3,8 см Т-7469</t>
  </si>
  <si>
    <t>Т-7469</t>
  </si>
  <si>
    <t>4630493774698</t>
  </si>
  <si>
    <t>257817</t>
  </si>
  <si>
    <t>Брелок "Чудеса", розовый, 5,5х4,5 см Т-7481</t>
  </si>
  <si>
    <t>Т-7481</t>
  </si>
  <si>
    <t>4630493774810</t>
  </si>
  <si>
    <t>257827</t>
  </si>
  <si>
    <t>Брелок со стразами "Блестящая лошадка", серебристый, 10х3,5 см Т-7505</t>
  </si>
  <si>
    <t>Т-7505</t>
  </si>
  <si>
    <t>4630493775053</t>
  </si>
  <si>
    <t>266889</t>
  </si>
  <si>
    <t>Брелок со стразами "Вишенки", золотистый, 5х4,5 см Т-7559</t>
  </si>
  <si>
    <t>Т-7559</t>
  </si>
  <si>
    <t>4640520775598</t>
  </si>
  <si>
    <t>266888</t>
  </si>
  <si>
    <t>Брелок со стразами "Долька арбуза", золотистый, 5х3  см Т-7558</t>
  </si>
  <si>
    <t>Т-7558</t>
  </si>
  <si>
    <t>4640520775581</t>
  </si>
  <si>
    <t>257828</t>
  </si>
  <si>
    <t>Брелок со стразами "Ключ к сердцу", золотистый, 9х3,5 см Т-7506</t>
  </si>
  <si>
    <t>Т-7506</t>
  </si>
  <si>
    <t>4630493775060</t>
  </si>
  <si>
    <t>257830</t>
  </si>
  <si>
    <t>Брелок со стразами "Конь в упряжке", золотистый, 7,5х10,5 см Т-7508</t>
  </si>
  <si>
    <t>Т-7508</t>
  </si>
  <si>
    <t>4630493775084</t>
  </si>
  <si>
    <t>257829</t>
  </si>
  <si>
    <t>Брелок со стразами "Лунная фея", золотистый, 11,5х4,5 см Т-7507</t>
  </si>
  <si>
    <t>Т-7507</t>
  </si>
  <si>
    <t>4630493775077</t>
  </si>
  <si>
    <t>257831</t>
  </si>
  <si>
    <t>Брелок со стразами "Милый пёс", золотистый, 11х4 см Т-7509</t>
  </si>
  <si>
    <t>Т-7509</t>
  </si>
  <si>
    <t>4630493775091</t>
  </si>
  <si>
    <t>266887</t>
  </si>
  <si>
    <t>Брелок со стразами "Сова на луне", золотистый,  5,5х5 см Т-7557</t>
  </si>
  <si>
    <t>Т-7557</t>
  </si>
  <si>
    <t>4640520775574</t>
  </si>
  <si>
    <t>266890</t>
  </si>
  <si>
    <t>Брелок со стразами "Цветочная фея", золотистый, 6,5х5 см Т-7560</t>
  </si>
  <si>
    <t>Т-7560</t>
  </si>
  <si>
    <t>4640520775604</t>
  </si>
  <si>
    <t>233534</t>
  </si>
  <si>
    <t>Брелок со стразами. "Радостный смайлик",  4*4см Т-9130</t>
  </si>
  <si>
    <t>Т-9130</t>
  </si>
  <si>
    <t>4670159191308</t>
  </si>
  <si>
    <t xml:space="preserve"> 4*4 см</t>
  </si>
  <si>
    <t>Зеркала косметические</t>
  </si>
  <si>
    <t>221801</t>
  </si>
  <si>
    <t>Зеркало настольное с подсветкой косметич., 23.7*16.5см,3 реж.освещения, 33LED,1200mah,белое З-3610</t>
  </si>
  <si>
    <t>З-3610</t>
  </si>
  <si>
    <t>4670159136101</t>
  </si>
  <si>
    <t>9405210013</t>
  </si>
  <si>
    <t>04670159136101</t>
  </si>
  <si>
    <t>23.7*16.5</t>
  </si>
  <si>
    <t>Креативные подарки</t>
  </si>
  <si>
    <t>Диспенсеры для напитков</t>
  </si>
  <si>
    <t>118951</t>
  </si>
  <si>
    <t>Диспенсер для напитков Бензоколонка ДН-4466</t>
  </si>
  <si>
    <t>ДН-4466</t>
  </si>
  <si>
    <t>4665307344668</t>
  </si>
  <si>
    <t>16*16*48 см</t>
  </si>
  <si>
    <t>118949</t>
  </si>
  <si>
    <t>Диспенсер для напитков Глобус  ДН-4465</t>
  </si>
  <si>
    <t>ДН-4465</t>
  </si>
  <si>
    <t>4665307344651</t>
  </si>
  <si>
    <t>21*15*33 cм</t>
  </si>
  <si>
    <t>Маятники</t>
  </si>
  <si>
    <t>118941</t>
  </si>
  <si>
    <t>Маятник Ньютона Т-4460</t>
  </si>
  <si>
    <t>Т-4460</t>
  </si>
  <si>
    <t>4665307344606</t>
  </si>
  <si>
    <t>14.5*17.5*11 см</t>
  </si>
  <si>
    <t>199908</t>
  </si>
  <si>
    <t>Маятник Орбита, 25*22.5*10.5 см Т-1563</t>
  </si>
  <si>
    <t>Т-1563</t>
  </si>
  <si>
    <t>4670159015635</t>
  </si>
  <si>
    <t>25*22.5*10.5 см</t>
  </si>
  <si>
    <t>199909</t>
  </si>
  <si>
    <t>Маятник Сфера, 25*22.5*10.5 см Т-1564</t>
  </si>
  <si>
    <t>Т-1564</t>
  </si>
  <si>
    <t>4670159015642</t>
  </si>
  <si>
    <t>118943</t>
  </si>
  <si>
    <t>Маятник Человечек Т-4462</t>
  </si>
  <si>
    <t>Т-4462</t>
  </si>
  <si>
    <t>4665307344620</t>
  </si>
  <si>
    <t>17*12 см</t>
  </si>
  <si>
    <t>199910</t>
  </si>
  <si>
    <t>Маятник Шары Ньютона на бордовой подставке, 14*11.5*13.5 см Т-1567</t>
  </si>
  <si>
    <t>Т-1567</t>
  </si>
  <si>
    <t>4670159015673</t>
  </si>
  <si>
    <t>14*11.5*13.5 см</t>
  </si>
  <si>
    <t>199911</t>
  </si>
  <si>
    <t>Маятник Шары Ньютона на бордовой подставке, 18*14.5*17.5 см Т-1568</t>
  </si>
  <si>
    <t>Т-1568</t>
  </si>
  <si>
    <t>4670159015680</t>
  </si>
  <si>
    <t>18*14.5*17.5 см</t>
  </si>
  <si>
    <t>199913</t>
  </si>
  <si>
    <t>Маятник Шары Ньютона на чёрной подставке, 14*11.5*13.5 см Т-1570</t>
  </si>
  <si>
    <t>Т-1570</t>
  </si>
  <si>
    <t>4670159015703</t>
  </si>
  <si>
    <t>199914</t>
  </si>
  <si>
    <t>Маятник Шары Ньютона на чёрной подставке, 18*14.5*17.5 см Т-1571</t>
  </si>
  <si>
    <t>Т-1571</t>
  </si>
  <si>
    <t>4670159015710</t>
  </si>
  <si>
    <t>118942</t>
  </si>
  <si>
    <t>Маятник Шары Ньютона Т-4461</t>
  </si>
  <si>
    <t>Т-4461</t>
  </si>
  <si>
    <t>4665307344613</t>
  </si>
  <si>
    <t>13.5*13.5*11.5 см</t>
  </si>
  <si>
    <t>Сувениры-антистресс</t>
  </si>
  <si>
    <t>275137</t>
  </si>
  <si>
    <t>Сувенир интерактивный  "Дельфины", 10х5х4 см Т-3343</t>
  </si>
  <si>
    <t>Т-3343</t>
  </si>
  <si>
    <t>4680942632789</t>
  </si>
  <si>
    <t>255717</t>
  </si>
  <si>
    <t>Сувенир интерактивный  "Корабль на волнах", 15,2х5,2х5,2 см, с подсветкой, тип питания: USB СВП-0067</t>
  </si>
  <si>
    <t>СВП-0067</t>
  </si>
  <si>
    <t>4630493770614</t>
  </si>
  <si>
    <t>04630493770614</t>
  </si>
  <si>
    <t>275136</t>
  </si>
  <si>
    <t>Сувенир интерактивный "Киты", 10х5х4 см Т-3342</t>
  </si>
  <si>
    <t>Т-3342</t>
  </si>
  <si>
    <t>4680942632772</t>
  </si>
  <si>
    <t>236382</t>
  </si>
  <si>
    <t>Сувенир интерактивный "Корабль в бутылке на волнах", 17,2х6,4х4,2 см Т-0702</t>
  </si>
  <si>
    <t>Т-0702</t>
  </si>
  <si>
    <t>4670159206460</t>
  </si>
  <si>
    <t>172*64*42 мм</t>
  </si>
  <si>
    <t>257879</t>
  </si>
  <si>
    <t>Сувенир интерактивный "Корабль и айсберг", 10,5х5,2х4,2 см, Т-7429</t>
  </si>
  <si>
    <t>Т-7429</t>
  </si>
  <si>
    <t>4630493774292</t>
  </si>
  <si>
    <t>257882</t>
  </si>
  <si>
    <t>Сувенир интерактивный "Корабль и айсберг", 5,3х5,3х5,3 см, Т-7432</t>
  </si>
  <si>
    <t>Т-7432</t>
  </si>
  <si>
    <t>4630493774322</t>
  </si>
  <si>
    <t>236380</t>
  </si>
  <si>
    <t>Сувенир интерактивный "Корабль на волнах и айсберг", 15,2х5,2х5,2 см Т-0700</t>
  </si>
  <si>
    <t>Т-0700</t>
  </si>
  <si>
    <t>4670159206446</t>
  </si>
  <si>
    <t>152*52*52 мм</t>
  </si>
  <si>
    <t>257880</t>
  </si>
  <si>
    <t>Сувенир интерактивный "Корабль пиратов", 10,5х5,2х4,2 см, Т-7430</t>
  </si>
  <si>
    <t>Т-7430</t>
  </si>
  <si>
    <t>4630493774308</t>
  </si>
  <si>
    <t>257883</t>
  </si>
  <si>
    <t>Сувенир интерактивный "Корабль пиратов", 5,3х5,3х5,3 см, Т-7433</t>
  </si>
  <si>
    <t>Т-7433</t>
  </si>
  <si>
    <t>4630493774339</t>
  </si>
  <si>
    <t>275143</t>
  </si>
  <si>
    <t>Сувенир интерактивный "Котики удачи", 15,2х5,8х5,2 см Т-3349</t>
  </si>
  <si>
    <t>Т-3349</t>
  </si>
  <si>
    <t>4680942632840</t>
  </si>
  <si>
    <t>275140</t>
  </si>
  <si>
    <t>Сувенир интерактивный "Котики", 10х5х4 см Т-3346</t>
  </si>
  <si>
    <t>Т-3346</t>
  </si>
  <si>
    <t>4680942632819</t>
  </si>
  <si>
    <t>275141</t>
  </si>
  <si>
    <t>Сувенир интерактивный "Котята", 10х5х4 см Т-3347</t>
  </si>
  <si>
    <t>Т-3347</t>
  </si>
  <si>
    <t>4680942632826</t>
  </si>
  <si>
    <t>275144</t>
  </si>
  <si>
    <t>Сувенир интерактивный "Милые коты", 15,2х5,8х5,2 см Т-3350</t>
  </si>
  <si>
    <t>Т-3350</t>
  </si>
  <si>
    <t>4680942632857</t>
  </si>
  <si>
    <t>257881</t>
  </si>
  <si>
    <t>Сувенир интерактивный "Морские глубины", 10,5х5,2х4,2 см, Т-7431</t>
  </si>
  <si>
    <t>Т-7431</t>
  </si>
  <si>
    <t>4630493774315</t>
  </si>
  <si>
    <t>257876</t>
  </si>
  <si>
    <t>Сувенир интерактивный "Морские глубины", 15х5,2х5,2 см, Т-7426</t>
  </si>
  <si>
    <t>Т-7426</t>
  </si>
  <si>
    <t>4630493774261</t>
  </si>
  <si>
    <t>275145</t>
  </si>
  <si>
    <t>Сувенир интерактивный "Парочка", 15,2х5,8х5,2 см Т-3351</t>
  </si>
  <si>
    <t>Т-3351</t>
  </si>
  <si>
    <t>4680942632864</t>
  </si>
  <si>
    <t>275134</t>
  </si>
  <si>
    <t>Сувенир интерактивный "Пингвинчики" , 10х5х4 см Т-3340</t>
  </si>
  <si>
    <t>Т-3340</t>
  </si>
  <si>
    <t>4680942632758</t>
  </si>
  <si>
    <t>236381</t>
  </si>
  <si>
    <t>Сувенир интерактивный "Пиратский вояж на волнах", 15,2х5,2х5,2 см Т-0701</t>
  </si>
  <si>
    <t>Т-0701</t>
  </si>
  <si>
    <t>4670159206453</t>
  </si>
  <si>
    <t>275135</t>
  </si>
  <si>
    <t>Сувенир интерактивный "Рыбки", 10х5х4 см Т-3341</t>
  </si>
  <si>
    <t>Т-3341</t>
  </si>
  <si>
    <t>4680942632765</t>
  </si>
  <si>
    <t>275142</t>
  </si>
  <si>
    <t>Сувенир интерактивный "Свинки", 10х5х4 см Т-3348</t>
  </si>
  <si>
    <t>Т-3348</t>
  </si>
  <si>
    <t>4680942632833</t>
  </si>
  <si>
    <t>275138</t>
  </si>
  <si>
    <t>Сувенир интерактивный "Собачки", 10х5х4 см Т-3344</t>
  </si>
  <si>
    <t>Т-3344</t>
  </si>
  <si>
    <t>4680942632796</t>
  </si>
  <si>
    <t>275139</t>
  </si>
  <si>
    <t>Сувенир интерактивный "Щеночки", 10х5х4 см Т-3345</t>
  </si>
  <si>
    <t>Т-3345</t>
  </si>
  <si>
    <t>4680942632802</t>
  </si>
  <si>
    <t>257891</t>
  </si>
  <si>
    <t>Сувенир интерактивный Часы-антистресс "Биение сердец", 13х5х5 см, Т-7441</t>
  </si>
  <si>
    <t>Т-7441</t>
  </si>
  <si>
    <t>4630493774414</t>
  </si>
  <si>
    <t>257886</t>
  </si>
  <si>
    <t>Сувенир интерактивный Часы-антистресс "Капибара", красный, 15х5х2,4 см, Т-7436</t>
  </si>
  <si>
    <t>Т-7436</t>
  </si>
  <si>
    <t>4630493774360</t>
  </si>
  <si>
    <t>257889</t>
  </si>
  <si>
    <t>Сувенир интерактивный Часы-антистресс "Космонавт", 17х4,8х4,8 см, Т-7439</t>
  </si>
  <si>
    <t>Т-7439</t>
  </si>
  <si>
    <t>4630493774391</t>
  </si>
  <si>
    <t>257890</t>
  </si>
  <si>
    <t>Сувенир интерактивный Часы-антистресс "Сердца", 13х2,5х2,5 см, Т-7440</t>
  </si>
  <si>
    <t>Т-7440</t>
  </si>
  <si>
    <t>4630493774407</t>
  </si>
  <si>
    <t>275149</t>
  </si>
  <si>
    <t>Сувенир интерактивный Часы-антистресс. "Милые единороги", 15х5х2,5 см Т-3355</t>
  </si>
  <si>
    <t>Т-3355</t>
  </si>
  <si>
    <t>4680942632901</t>
  </si>
  <si>
    <t>275146</t>
  </si>
  <si>
    <t>Сувенир интерактивный Часы-антистресс. "Мишки с сердцами" 13х7,5х2,5 см Т-3352</t>
  </si>
  <si>
    <t>Т-3352</t>
  </si>
  <si>
    <t>4680942632871</t>
  </si>
  <si>
    <t>257884</t>
  </si>
  <si>
    <t>Сувенир интерактивный, Часы-антистресс "Звёздная ночь", 15х5х2,4 см, Т-7434</t>
  </si>
  <si>
    <t>Т-7434</t>
  </si>
  <si>
    <t>4630493774346</t>
  </si>
  <si>
    <t>Экспресс-скульпторы</t>
  </si>
  <si>
    <t>235684</t>
  </si>
  <si>
    <t>Экспресс скульптор "Время игр", пластик, металл 20*25*3.5 см Т-0325</t>
  </si>
  <si>
    <t>Т-0325</t>
  </si>
  <si>
    <t>4670159203254</t>
  </si>
  <si>
    <t>20*25*3.5 см</t>
  </si>
  <si>
    <t>235679</t>
  </si>
  <si>
    <t>Экспресс скульптор "Звёздочка", пластик, металл 22*13.5*3.5 см Т-0323</t>
  </si>
  <si>
    <t>Т-0323</t>
  </si>
  <si>
    <t>4670159203230</t>
  </si>
  <si>
    <t>22*13.5*3.5 см</t>
  </si>
  <si>
    <t>235682</t>
  </si>
  <si>
    <t>Экспресс скульптор "Радость в простом", пластик, металл. 12.5*9.5*3.5 см Т-0324</t>
  </si>
  <si>
    <t>Т-0324</t>
  </si>
  <si>
    <t>4670159203247</t>
  </si>
  <si>
    <t>12.5*9.5*3.5 см</t>
  </si>
  <si>
    <t>235678</t>
  </si>
  <si>
    <t>Экспресс скульптор "Розовое сердце", пластик, розовый 22*20.5*4 см Т-0322</t>
  </si>
  <si>
    <t>Т-0322</t>
  </si>
  <si>
    <t>4670159203223</t>
  </si>
  <si>
    <t>22*20.5*4 см</t>
  </si>
  <si>
    <t>199916</t>
  </si>
  <si>
    <t>Экспресс скульптор Большой отпечаток, в ассортименте, 25*20*5.5 см Т-1566</t>
  </si>
  <si>
    <t>Т-1566</t>
  </si>
  <si>
    <t>4670159015666</t>
  </si>
  <si>
    <t>20*15*5.5 см</t>
  </si>
  <si>
    <t>199915</t>
  </si>
  <si>
    <t>Экспресс скульптор Мульти, 20*15*5.5 см Т-1565</t>
  </si>
  <si>
    <t>Т-1565</t>
  </si>
  <si>
    <t>4670159015659</t>
  </si>
  <si>
    <t>118947</t>
  </si>
  <si>
    <t>Экспресс-скульптор   Индивидуальный отпечаток ЭС-4464</t>
  </si>
  <si>
    <t>ЭС-4464</t>
  </si>
  <si>
    <t>4665307344644</t>
  </si>
  <si>
    <t>20*15*5 см</t>
  </si>
  <si>
    <t>118946</t>
  </si>
  <si>
    <t>Экспресс-скульптор Отпечаток ЭС-4463</t>
  </si>
  <si>
    <t>ЭС-4463</t>
  </si>
  <si>
    <t>4665307344637</t>
  </si>
  <si>
    <t>Музыкальные шары</t>
  </si>
  <si>
    <t>257822</t>
  </si>
  <si>
    <t>Сувенир музыкальный водяной шар с подсветкой "Милая пара", 10х16.5 см d=10 см СВП-0068</t>
  </si>
  <si>
    <t>СВП-0068</t>
  </si>
  <si>
    <t>4630493774483</t>
  </si>
  <si>
    <t>219340</t>
  </si>
  <si>
    <t>Сувенир музыкальный водяной шар Снежная красавица, 10x16,5 cm, диаметр: 10 cm Т-2375</t>
  </si>
  <si>
    <t>Т-2375</t>
  </si>
  <si>
    <t>4670159123750</t>
  </si>
  <si>
    <t>10x16,5 cm, d 10 cm</t>
  </si>
  <si>
    <t>Мягкие игрушки</t>
  </si>
  <si>
    <t>Плюшевые</t>
  </si>
  <si>
    <t>234065</t>
  </si>
  <si>
    <t>Мягкая игрушка "Капибара в платочке", 20*15см ИГМ-9176</t>
  </si>
  <si>
    <t>ИГМ-9176</t>
  </si>
  <si>
    <t>4670159191766</t>
  </si>
  <si>
    <t>9503004100</t>
  </si>
  <si>
    <t>04670159191766</t>
  </si>
  <si>
    <t>20*15см</t>
  </si>
  <si>
    <t>234079</t>
  </si>
  <si>
    <t>Мягкая игрушка "Капибара-малыш", 18*18см ИГМ-9180</t>
  </si>
  <si>
    <t>ИГМ-9180</t>
  </si>
  <si>
    <t>4670159191803</t>
  </si>
  <si>
    <t>04670159191803</t>
  </si>
  <si>
    <t>18*18 см</t>
  </si>
  <si>
    <t>203623</t>
  </si>
  <si>
    <t>Сувенир Милая дракоша, 40 см НУ-3630</t>
  </si>
  <si>
    <t>НУ-3630</t>
  </si>
  <si>
    <t>4670159036708</t>
  </si>
  <si>
    <t>203627</t>
  </si>
  <si>
    <t>Сувенир Славная дракоша, 40 см НУ-3632</t>
  </si>
  <si>
    <t>НУ-3632</t>
  </si>
  <si>
    <t>4670159036722</t>
  </si>
  <si>
    <t>203625</t>
  </si>
  <si>
    <t>Сувенир Славный дракон, 40 см НУ-3631</t>
  </si>
  <si>
    <t>НУ-3631</t>
  </si>
  <si>
    <t>4670159036715</t>
  </si>
  <si>
    <t>254891</t>
  </si>
  <si>
    <t>Фигура декоративная. Лошадка в платье, 40 см Т-2983</t>
  </si>
  <si>
    <t>Т-2983</t>
  </si>
  <si>
    <t>4640306929832</t>
  </si>
  <si>
    <t>254892</t>
  </si>
  <si>
    <t>Фигура декоративная. Лошадка в штанах, 40 см Т-2984</t>
  </si>
  <si>
    <t>Т-2984</t>
  </si>
  <si>
    <t>4640306929849</t>
  </si>
  <si>
    <t>254890</t>
  </si>
  <si>
    <t>Фигура декоративная. Лошадка в юбке, 40 см Т-2982</t>
  </si>
  <si>
    <t>Т-2982</t>
  </si>
  <si>
    <t>4640306929825</t>
  </si>
  <si>
    <t>254888</t>
  </si>
  <si>
    <t>Фигура декоративная. Стильная лошадка, 40 см Т-2980</t>
  </si>
  <si>
    <t>Т-2980</t>
  </si>
  <si>
    <t>4640306929801</t>
  </si>
  <si>
    <t>Награды</t>
  </si>
  <si>
    <t>Кубки</t>
  </si>
  <si>
    <t>248100</t>
  </si>
  <si>
    <t>Кубок Лучшему учителю, 18,5 см Т-2370</t>
  </si>
  <si>
    <t>Т-2370</t>
  </si>
  <si>
    <t>4640306923779</t>
  </si>
  <si>
    <t>Статуэтки</t>
  </si>
  <si>
    <t>141830</t>
  </si>
  <si>
    <t>Статуэтка Кинонаграда Лучшая мама, 18 см Т-3335</t>
  </si>
  <si>
    <t>Т-3335</t>
  </si>
  <si>
    <t>4665307433355</t>
  </si>
  <si>
    <t>18 см</t>
  </si>
  <si>
    <t>102658</t>
  </si>
  <si>
    <t>Статуэтка-кинонаграда с венком Лучший папа, 21 см Т-9930</t>
  </si>
  <si>
    <t>Т-9930</t>
  </si>
  <si>
    <t>4665305399301</t>
  </si>
  <si>
    <t>21 см</t>
  </si>
  <si>
    <t>Пляжные сумки</t>
  </si>
  <si>
    <t>244497</t>
  </si>
  <si>
    <t>Сумка пляжная  "Девушка в минимализме", 46х36 см (собственная разработка) СП-2265</t>
  </si>
  <si>
    <t>СП-2265</t>
  </si>
  <si>
    <t>4670159222651</t>
  </si>
  <si>
    <t>46х36 cm</t>
  </si>
  <si>
    <t>244490</t>
  </si>
  <si>
    <t>Сумка пляжная  "Летнее наслаждение", 46х36 см, (собственная разработка) СП-2261</t>
  </si>
  <si>
    <t>СП-2261</t>
  </si>
  <si>
    <t>4670159222613</t>
  </si>
  <si>
    <t>244487</t>
  </si>
  <si>
    <t>Сумка пляжная  "Полосы океана", 46х36 см, (собственная разработка) СП-2258</t>
  </si>
  <si>
    <t>СП-2258</t>
  </si>
  <si>
    <t>4670159222583</t>
  </si>
  <si>
    <t>207941</t>
  </si>
  <si>
    <t>Сумка пляжная "Банановый рай",46х36 cm, (собственная разработка)СП-6293</t>
  </si>
  <si>
    <t>СП-6293</t>
  </si>
  <si>
    <t>4670159062936</t>
  </si>
  <si>
    <t>207952</t>
  </si>
  <si>
    <t>Сумка пляжная "Девушка и подсолнухи",46х36 cm, (собственная разработка) СП-6298</t>
  </si>
  <si>
    <t>СП-6298</t>
  </si>
  <si>
    <t>4670159062981</t>
  </si>
  <si>
    <t>225693</t>
  </si>
  <si>
    <t>Сумка пляжная "Клетка", 46х36 см, бежевая, СП-5373</t>
  </si>
  <si>
    <t>СП-5373</t>
  </si>
  <si>
    <t>4670159152743</t>
  </si>
  <si>
    <t>225692</t>
  </si>
  <si>
    <t>Сумка пляжная "Клетка", 46х36 см, розовая, СП-5372</t>
  </si>
  <si>
    <t>СП-5372</t>
  </si>
  <si>
    <t>4670159152736</t>
  </si>
  <si>
    <t>225691</t>
  </si>
  <si>
    <t>Сумка пляжная "Клетка", 46х36 см, синяя, СП-5371</t>
  </si>
  <si>
    <t>СП-5371</t>
  </si>
  <si>
    <t>4670159152729</t>
  </si>
  <si>
    <t>267358</t>
  </si>
  <si>
    <t>Сумка пляжная "Лето",46х36 см, (собственная разработка) СП-7630</t>
  </si>
  <si>
    <t>СП-7630</t>
  </si>
  <si>
    <t>4640520776304</t>
  </si>
  <si>
    <t>207957</t>
  </si>
  <si>
    <t>Сумка пляжная "Пляжное настроение",46х36 cm, (собственная разработка) СП-6299</t>
  </si>
  <si>
    <t>СП-6299</t>
  </si>
  <si>
    <t>4670159062998</t>
  </si>
  <si>
    <t>219319</t>
  </si>
  <si>
    <t>Сумка пляжная "Пляжный вайб",46х36 cm, (собственная разработка) СП-2350</t>
  </si>
  <si>
    <t>СП-2350</t>
  </si>
  <si>
    <t>4670159123507</t>
  </si>
  <si>
    <t>219324</t>
  </si>
  <si>
    <t>Сумка пляжная "Сочные напитки",46х36 cm, (собственная разработка) СП-2354</t>
  </si>
  <si>
    <t>СП-2354</t>
  </si>
  <si>
    <t>4670159123545</t>
  </si>
  <si>
    <t>207947</t>
  </si>
  <si>
    <t>Сумка пляжная "Тропический закат",46х36 cm, (собственная разработка) СП-6296</t>
  </si>
  <si>
    <t>СП-6296</t>
  </si>
  <si>
    <t>4670159062967</t>
  </si>
  <si>
    <t>225704</t>
  </si>
  <si>
    <t>Сумка пляжная "Узоры", 38х79 см, СП-5383</t>
  </si>
  <si>
    <t>СП-5383</t>
  </si>
  <si>
    <t>4670159152842</t>
  </si>
  <si>
    <t>38х79 cm</t>
  </si>
  <si>
    <t>207950</t>
  </si>
  <si>
    <t>Сумка пляжная "Яркие краски",46х36 cm, (собственная разработка) СП-6297</t>
  </si>
  <si>
    <t>СП-6297</t>
  </si>
  <si>
    <t>4670159062974</t>
  </si>
  <si>
    <t>140924</t>
  </si>
  <si>
    <t>Сумка пляжная Здравствуй лето! СП-3244</t>
  </si>
  <si>
    <t>СП-3244</t>
  </si>
  <si>
    <t>4665307432440</t>
  </si>
  <si>
    <t>46х36 см</t>
  </si>
  <si>
    <t>140914</t>
  </si>
  <si>
    <t>Сумка пляжная Мечта моряка СП-3239</t>
  </si>
  <si>
    <t>СП-3239</t>
  </si>
  <si>
    <t>4665307432396</t>
  </si>
  <si>
    <t>200289</t>
  </si>
  <si>
    <t>Сумка пляжная Тропическое удовольствие СП-1805</t>
  </si>
  <si>
    <t>СП-1805</t>
  </si>
  <si>
    <t>4670159018056</t>
  </si>
  <si>
    <t>247289</t>
  </si>
  <si>
    <t>Сумка пляжная шоппер, 42*45 см СП-2191</t>
  </si>
  <si>
    <t>СП-2191</t>
  </si>
  <si>
    <t>4640306921911</t>
  </si>
  <si>
    <t>42*45 см</t>
  </si>
  <si>
    <t>Пляжные шляпы</t>
  </si>
  <si>
    <t>267955</t>
  </si>
  <si>
    <t>Женская  шляпа "Солнечный лист", размер 56-58, ЛШ-7832</t>
  </si>
  <si>
    <t>ЛШ-7832</t>
  </si>
  <si>
    <t>4640520778322</t>
  </si>
  <si>
    <t>6505009000</t>
  </si>
  <si>
    <t>04640520778322</t>
  </si>
  <si>
    <t>267957</t>
  </si>
  <si>
    <t>Женская шляпа "Ветер с океана", размер 56-58, ЛШ-7834</t>
  </si>
  <si>
    <t>ЛШ-7834</t>
  </si>
  <si>
    <t>4640520778346</t>
  </si>
  <si>
    <t>04640520778346</t>
  </si>
  <si>
    <t>267954</t>
  </si>
  <si>
    <t>Женская шляпа "Морской бриз", размер 56-58, ЛШ-7831</t>
  </si>
  <si>
    <t>ЛШ-7831</t>
  </si>
  <si>
    <t>4640520778315</t>
  </si>
  <si>
    <t>04640520778315</t>
  </si>
  <si>
    <t>Подушки в дорогу</t>
  </si>
  <si>
    <t>122129</t>
  </si>
  <si>
    <t>Подушка дорожная  с эффектом памяти, маска для сна. Набор 2 в 1. "Милый единорог", розовый ТП-5594</t>
  </si>
  <si>
    <t>ТП-5594</t>
  </si>
  <si>
    <t>4665307355947</t>
  </si>
  <si>
    <t>13.92.24.149</t>
  </si>
  <si>
    <t>9404908000</t>
  </si>
  <si>
    <t>32х32</t>
  </si>
  <si>
    <t>122130</t>
  </si>
  <si>
    <t>Подушка дорожная  с эффектом памяти, маска для сна. Набор 2 в 1. "Милый единорог",фиолетовый ТП-5595</t>
  </si>
  <si>
    <t>ТП-5595</t>
  </si>
  <si>
    <t>4665307355954</t>
  </si>
  <si>
    <t>182545</t>
  </si>
  <si>
    <t>Подушка дорожная с эффектом памяти "Кошечка", розовая ТП-0404</t>
  </si>
  <si>
    <t>ТП-0404</t>
  </si>
  <si>
    <t>4620129704045</t>
  </si>
  <si>
    <t>28х30 СМ</t>
  </si>
  <si>
    <t>182552</t>
  </si>
  <si>
    <t>Подушка дорожная с эффектом памяти "Турист", голубая ТП-0407</t>
  </si>
  <si>
    <t>ТП-0407</t>
  </si>
  <si>
    <t>4620129704076</t>
  </si>
  <si>
    <t>207424</t>
  </si>
  <si>
    <t>Подушка дорожная с эффектом памяти, капюшон.  Наборо 2 в 1. "Уют", 29*30см, серая ТП-5420</t>
  </si>
  <si>
    <t>ТП-5420</t>
  </si>
  <si>
    <t>4670159054207</t>
  </si>
  <si>
    <t>207425</t>
  </si>
  <si>
    <t>Подушка дорожная с эффектом памяти, маска для сна.Наборо 2 в 1."Классика",29*30см,розовая ТП-5422</t>
  </si>
  <si>
    <t>ТП-5422</t>
  </si>
  <si>
    <t>4670159054221</t>
  </si>
  <si>
    <t>207430</t>
  </si>
  <si>
    <t>Подушка дорожная с эффектом памяти,маска для сна.Набор 2 в 1."Веселый динозаврик",26*30см,зелТП-5428</t>
  </si>
  <si>
    <t>ТП-5428</t>
  </si>
  <si>
    <t>4670159054283</t>
  </si>
  <si>
    <t>207434</t>
  </si>
  <si>
    <t>Подушка дорожная с эффектом памяти,маска для сна.Набор 2 в 1."Сказочный мишка",28*30см,корич.ТП-5430</t>
  </si>
  <si>
    <t>ТП-5430</t>
  </si>
  <si>
    <t>4670159054306</t>
  </si>
  <si>
    <t>207435</t>
  </si>
  <si>
    <t>Подушка дорожная. Антистресс. "Веселый котик", 30*30см, розовая ТП-5431</t>
  </si>
  <si>
    <t>ТП-5431</t>
  </si>
  <si>
    <t>4670159054313</t>
  </si>
  <si>
    <t>209774</t>
  </si>
  <si>
    <t>Подушка дорожная. С эффектом памяти. "Бантики" (размер S), серая ТП-7277</t>
  </si>
  <si>
    <t>ТП-7277</t>
  </si>
  <si>
    <t>4670159072775</t>
  </si>
  <si>
    <t>207422</t>
  </si>
  <si>
    <t>Подушка дорожная. С эффектом памяти. "Комфорт", 28*30см, розовая.ТП-5417</t>
  </si>
  <si>
    <t>ТП-5417</t>
  </si>
  <si>
    <t>4670159054177</t>
  </si>
  <si>
    <t>209770</t>
  </si>
  <si>
    <t>Подушка дорожная. С эффектом памяти. "Нежные бантики", серая ТП-7275</t>
  </si>
  <si>
    <t>ТП-7275</t>
  </si>
  <si>
    <t>4670159072751</t>
  </si>
  <si>
    <t>Сквиши</t>
  </si>
  <si>
    <t>211618</t>
  </si>
  <si>
    <t>Сквиш "Вкусный гамбургер", 10*10*7.5 см ИК-7975</t>
  </si>
  <si>
    <t>ИК-7975</t>
  </si>
  <si>
    <t>4670159079651</t>
  </si>
  <si>
    <t>9503009909</t>
  </si>
  <si>
    <t>04670159079651</t>
  </si>
  <si>
    <t>10*10*7.5</t>
  </si>
  <si>
    <t>Фляжки</t>
  </si>
  <si>
    <t>205044</t>
  </si>
  <si>
    <t>Подарочный набор. Фляжка  с аксессуарами "Джентельмен", 270мл,9.3*14.8*2.0 ФЛ-5796</t>
  </si>
  <si>
    <t>ФЛ-5796</t>
  </si>
  <si>
    <t>4670159047964</t>
  </si>
  <si>
    <t>25.91.12.000</t>
  </si>
  <si>
    <t>7310291000</t>
  </si>
  <si>
    <t>234531</t>
  </si>
  <si>
    <t>Подарочный набор. Фляжка  с аксессуарами "Россия", 240мл (4 рюмки 30мл, воронка) ФЛ-9602</t>
  </si>
  <si>
    <t>ФЛ-9602</t>
  </si>
  <si>
    <t>4670159196020</t>
  </si>
  <si>
    <t>240мл</t>
  </si>
  <si>
    <t>234533</t>
  </si>
  <si>
    <t>Подарочный набор. Фляжка  с аксессуарами "Сила союза", 530мл (4 рюмки, 30мл, воронка) ФЛ-9604</t>
  </si>
  <si>
    <t>ФЛ-9604</t>
  </si>
  <si>
    <t>4670159196044</t>
  </si>
  <si>
    <t>530мл</t>
  </si>
  <si>
    <t>205040</t>
  </si>
  <si>
    <t>Подарочный набор. Фляжка  с аксессуарами "Храбрость", 270мл, 9.3*14.8*2.0  ФЛ-5794</t>
  </si>
  <si>
    <t>ФЛ-5794</t>
  </si>
  <si>
    <t>4670159047940</t>
  </si>
  <si>
    <t>205038</t>
  </si>
  <si>
    <t>Подарочный набор. Фляжка  с рюмками (4шт, 50мл)  и шахматами "Мудрость", 240мл, 9.3*13.7*2.0 ФЛ-5793</t>
  </si>
  <si>
    <t>ФЛ-5793</t>
  </si>
  <si>
    <t>4670159047933</t>
  </si>
  <si>
    <t>205024</t>
  </si>
  <si>
    <t>Фляжка  подарочная "Горючее",150мл, белая,7*9.6*2.5 ФЛ-5785</t>
  </si>
  <si>
    <t>ФЛ-5785</t>
  </si>
  <si>
    <t>4670159047858</t>
  </si>
  <si>
    <t>205021</t>
  </si>
  <si>
    <t>Фляжка  подарочная "Горючее",150мл, зеленая,7*9.6*2.5 ФЛ-5783</t>
  </si>
  <si>
    <t>ФЛ-5783</t>
  </si>
  <si>
    <t>4670159047834</t>
  </si>
  <si>
    <t>226642</t>
  </si>
  <si>
    <t>Фляжка  подарочная "Классика",240мл, 9.3*13.7*2.0, голубой ФЛ-6243</t>
  </si>
  <si>
    <t>ФЛ-6243</t>
  </si>
  <si>
    <t>4670159162025</t>
  </si>
  <si>
    <t>4670159047971</t>
  </si>
  <si>
    <t>226643</t>
  </si>
  <si>
    <t>Фляжка  подарочная "Классика",240мл, 9.3*13.7*2.0, зеленый ФЛ-6244</t>
  </si>
  <si>
    <t>ФЛ-6244</t>
  </si>
  <si>
    <t>4670159162032</t>
  </si>
  <si>
    <t>205030</t>
  </si>
  <si>
    <t>Фляжка  подарочная "Мужчина №1",240мл (собственная разработка), 9.3*13.7*2.0 ФЛ-5789</t>
  </si>
  <si>
    <t>ФЛ-5789</t>
  </si>
  <si>
    <t>4670159047896</t>
  </si>
  <si>
    <t>Фоторамки и Фотоальбомы</t>
  </si>
  <si>
    <t>Фотоальбомы</t>
  </si>
  <si>
    <t xml:space="preserve"> 36 фото</t>
  </si>
  <si>
    <t>Фотоальбом из 36 фотографий в фольгированной обложке 11.5 x 17.5 см</t>
  </si>
  <si>
    <t>216879</t>
  </si>
  <si>
    <t>Фотоальбом на 36 фото 10*15, 18 л. с фольг.тисн. 11.5 x 17.5см "Фотобара"(собс.разр) ФР-1248</t>
  </si>
  <si>
    <t>ФР-1248</t>
  </si>
  <si>
    <t>4670159112488</t>
  </si>
  <si>
    <t>22.29.29.190</t>
  </si>
  <si>
    <t>11,5 x 17,5</t>
  </si>
  <si>
    <t>Фотоальбом из 36 фотографий, мягкая обложка</t>
  </si>
  <si>
    <t>236679</t>
  </si>
  <si>
    <t>Фотоальбом на 36 фотографий 10*15, 18л., мягкая обложка "Любопытная капибара", 12х16,5 см АФ-0785</t>
  </si>
  <si>
    <t>АФ-0785</t>
  </si>
  <si>
    <t>4670159207856</t>
  </si>
  <si>
    <t>12х16,5 см</t>
  </si>
  <si>
    <t>236672</t>
  </si>
  <si>
    <t>Фотоальбом на 36 фотографий 10*15, 18л., мягкая обложка, "Анимэ герой", 12х16,5 см АФ-0778</t>
  </si>
  <si>
    <t>АФ-0778</t>
  </si>
  <si>
    <t>4670159207788</t>
  </si>
  <si>
    <t>236676</t>
  </si>
  <si>
    <t>Фотоальбом на 36 фотографий 10*15, 18л., мягкая обложка, "Волшебный оленёнок", 12х16,5 см АФ-0782</t>
  </si>
  <si>
    <t>АФ-0782</t>
  </si>
  <si>
    <t>4670159207825</t>
  </si>
  <si>
    <t>236678</t>
  </si>
  <si>
    <t>Фотоальбом на 36 фотографий 10*15, 18л., мягкая обложка, "Мечтательница", 12х16,5 см АФ-0784</t>
  </si>
  <si>
    <t>АФ-0784</t>
  </si>
  <si>
    <t>4670159207849</t>
  </si>
  <si>
    <t>236671</t>
  </si>
  <si>
    <t>Фотоальбом на 36 фотографий 10*15, 18л., мягкая обложка, "Поп-звезда", 12х16,5 см АФ-0777</t>
  </si>
  <si>
    <t>АФ-0777</t>
  </si>
  <si>
    <t>4670159207771</t>
  </si>
  <si>
    <t>236677</t>
  </si>
  <si>
    <t>Фотоальбом на 36 фотографий 10*15, 18л., мягкая обложка, "Радостный корги", 12х16,5см АФ-0783</t>
  </si>
  <si>
    <t>АФ-0783</t>
  </si>
  <si>
    <t>4670159207832</t>
  </si>
  <si>
    <t>236675</t>
  </si>
  <si>
    <t>Фотоальбом на 36 фотографий 10*15, 18л., мягкая обложка, "Тигр на охоте", 12х16,5 см АФ-0781</t>
  </si>
  <si>
    <t>АФ-0781</t>
  </si>
  <si>
    <t>4670159207818</t>
  </si>
  <si>
    <t>236669</t>
  </si>
  <si>
    <t>Фотоальбом на 36 фотографий 10*15, 18л., мягкая обложка, "Цветение вишни", 12х16,5 см АФ-0776</t>
  </si>
  <si>
    <t>АФ-0776</t>
  </si>
  <si>
    <t>4670159207764</t>
  </si>
  <si>
    <t xml:space="preserve"> 40 фото</t>
  </si>
  <si>
    <t>Магнитные листы</t>
  </si>
  <si>
    <t>216983</t>
  </si>
  <si>
    <t>Фотоальбом на 40 фото 10*15, 20 л.с фольг.тисн. 11.5 x 17.5cm "Кавайная девочка"(собс.разр) ФР-1305</t>
  </si>
  <si>
    <t>ФР-1305</t>
  </si>
  <si>
    <t>4670159113058</t>
  </si>
  <si>
    <t>216993</t>
  </si>
  <si>
    <t>Фотоальбом на 40 фото 10*15, 20 л.с фольг.тисн. 11.5 x 17.5cm "Малыши котики"(собс.разр) ФР-1310</t>
  </si>
  <si>
    <t>ФР-1310</t>
  </si>
  <si>
    <t>4670159113102</t>
  </si>
  <si>
    <t>216985</t>
  </si>
  <si>
    <t>Фотоальбом на 40 фото 10*15, 20 л.с фольг.тисн. 11.5 x 17.5cm "Морской маяк"(собс.разр) ФР-1307</t>
  </si>
  <si>
    <t>ФР-1307</t>
  </si>
  <si>
    <t>4670159113072</t>
  </si>
  <si>
    <t>217009</t>
  </si>
  <si>
    <t>Фотоальбом на 40 фото 10*15, 20 л.с фольг.тисн. 11.5 x 17.5cm "Нежный хлопок"(собс.разр) ФР-1315</t>
  </si>
  <si>
    <t>ФР-1315</t>
  </si>
  <si>
    <t>4670159113157</t>
  </si>
  <si>
    <t xml:space="preserve"> 80 фото</t>
  </si>
  <si>
    <t>216972</t>
  </si>
  <si>
    <t>Фотоальбом на самок.лист.80фото10*15,20л.с фольг.тисн.23x29см"Золотистая орхидея"(собс.разр) ФР-1299</t>
  </si>
  <si>
    <t>ФР-1299</t>
  </si>
  <si>
    <t>4670159112990</t>
  </si>
  <si>
    <t>17.23.13.192</t>
  </si>
  <si>
    <t>4820500000</t>
  </si>
  <si>
    <t>23 х 29</t>
  </si>
  <si>
    <t>216966</t>
  </si>
  <si>
    <t>Фотоальбом на самокл. лист.80 фото10*15,20 л.с фольг.тисн.23x29см"Неоновые ветки"(собс.разр) ФР-1293</t>
  </si>
  <si>
    <t>ФР-1293</t>
  </si>
  <si>
    <t>4670159112938</t>
  </si>
  <si>
    <t>216950</t>
  </si>
  <si>
    <t>Фотоальбом на самокл. листах 80 фото 10*15, 20 л.с фольг.тисн.23x29см"Яркий цвет"(собс.разр) ФР-1292</t>
  </si>
  <si>
    <t>ФР-1292</t>
  </si>
  <si>
    <t>4670159112921</t>
  </si>
  <si>
    <t>216976</t>
  </si>
  <si>
    <t>Фотоальбом на самокл.лист.80фото10*15,20л.с фольг.тисн. 23x29см"Папоротник"(собс.разр) ФР-1303</t>
  </si>
  <si>
    <t>ФР-1303</t>
  </si>
  <si>
    <t>4670159113034</t>
  </si>
  <si>
    <t>216975</t>
  </si>
  <si>
    <t>Фотоальбом на самокл.лист.80фото10*15,20л.с фольг.тисн.23x29см"Волшебные рыбки"(собс.разр) ФР-1302</t>
  </si>
  <si>
    <t>ФР-1302</t>
  </si>
  <si>
    <t>4670159113027</t>
  </si>
  <si>
    <t>С кармашками</t>
  </si>
  <si>
    <t>216995</t>
  </si>
  <si>
    <t>Фотоальбом на 80 фото 10*15, 40 л.с фольг.тисн. 11.5 x 17.5см "Небесные бабочки"(собс.разр) ФР-1325</t>
  </si>
  <si>
    <t>ФР-1325</t>
  </si>
  <si>
    <t>4670159113256</t>
  </si>
  <si>
    <t>216999</t>
  </si>
  <si>
    <t>Фотоальбом на 80 фото 10*15,40л.с фольг.тисн.11.5x17.5см "Минималистичные фигуры"(собс.разр) ФР-1328</t>
  </si>
  <si>
    <t>ФР-1328</t>
  </si>
  <si>
    <t>4670159113287</t>
  </si>
  <si>
    <t>100 фото</t>
  </si>
  <si>
    <t>Фольгированное тиснение</t>
  </si>
  <si>
    <t>216896</t>
  </si>
  <si>
    <t>Фотоальбом на 100 фото 10*15 , 50 л.с фольг.тисн. "Мозайка" 11.5 x17.5см,(собс.разр) ФР-1264</t>
  </si>
  <si>
    <t>ФР-1264</t>
  </si>
  <si>
    <t>4670159112648</t>
  </si>
  <si>
    <t>216887</t>
  </si>
  <si>
    <t>Фотоальбом на 100 фото 10*15 , 50 л.с фольг.тисн. "Моменты счастья" 11.5 x17.5см,(собс.разр) ФР-1255</t>
  </si>
  <si>
    <t>ФР-1255</t>
  </si>
  <si>
    <t>4670159112556</t>
  </si>
  <si>
    <t>216904</t>
  </si>
  <si>
    <t>Фотоальбом на 100 фото 10*15 , 50 л.с фольг.тисн. "Семейный альбом" 11.5 x17.5см,(собс.разр) ФР-1272</t>
  </si>
  <si>
    <t>ФР-1272</t>
  </si>
  <si>
    <t>4670159112723</t>
  </si>
  <si>
    <t>120 фото</t>
  </si>
  <si>
    <t>245822</t>
  </si>
  <si>
    <t>Фотоальбом, 120 фото 10*15, 20 магнит. лист, лопатка, текстиль, "Классический", 27*28см, беж АФ-5788</t>
  </si>
  <si>
    <t>АФ-5788</t>
  </si>
  <si>
    <t>4640163457882</t>
  </si>
  <si>
    <t>27x28 см</t>
  </si>
  <si>
    <t>245823</t>
  </si>
  <si>
    <t>Фотоальбом, 120 фото 10*15, 20 магнит. лист, лопатка, текстиль,"Классический", 27*28см,белый АФ-5789</t>
  </si>
  <si>
    <t>АФ-5789</t>
  </si>
  <si>
    <t>4640163457899</t>
  </si>
  <si>
    <t>200 фото</t>
  </si>
  <si>
    <t>168137</t>
  </si>
  <si>
    <t>Фотоальбом бирюзовый "Красивые цветы" на 200 фото  10*15 УБ-3191</t>
  </si>
  <si>
    <t>УБ-3191</t>
  </si>
  <si>
    <t>4610144821919</t>
  </si>
  <si>
    <t>50 страниц</t>
  </si>
  <si>
    <t>199344</t>
  </si>
  <si>
    <t>Фотоальбом на 200 фото 10*15 см, 50 листов "Любовь" с заметками УБ-1322</t>
  </si>
  <si>
    <t>УБ-1322</t>
  </si>
  <si>
    <t>4670159013228</t>
  </si>
  <si>
    <t>10*15 см, 50 листов</t>
  </si>
  <si>
    <t>199322</t>
  </si>
  <si>
    <t>Фотоальбом на 200 фото 10*15 см, 50 листов "Путешествия"с золотистым тиснением(соб.разр.) УБ-1303</t>
  </si>
  <si>
    <t>УБ-1303</t>
  </si>
  <si>
    <t>4670159013037</t>
  </si>
  <si>
    <t>199324</t>
  </si>
  <si>
    <t>Фотоальбом на 200 фото 10*15 см, 50 листов "Счастливые моменты" с золот.тиснением(соб.разр.) УБ-1305</t>
  </si>
  <si>
    <t>УБ-1305</t>
  </si>
  <si>
    <t>4670159013051</t>
  </si>
  <si>
    <t>235844</t>
  </si>
  <si>
    <t>Фотоальбом на 200 фото 10*15, 50 листов экокожа, "Строгий стиль", черный, 18.5*22 см АФ-9391</t>
  </si>
  <si>
    <t>АФ-9391</t>
  </si>
  <si>
    <t>4670159193913</t>
  </si>
  <si>
    <t>10*15 см</t>
  </si>
  <si>
    <t>235843</t>
  </si>
  <si>
    <t>Фотоальбом на 200 фото 10*15, 50 листов, "Яркие сухоцветы", (собств. разраб.), 17.5*22 см АФ-9390</t>
  </si>
  <si>
    <t>АФ-9390</t>
  </si>
  <si>
    <t>4670159193906</t>
  </si>
  <si>
    <t>216940</t>
  </si>
  <si>
    <t>Фотоальбом на 200 фото 10*15, 50л.с фольг.тисн. 17.5 x 22см "Время путешествий"(собс.разр) ФР-1289</t>
  </si>
  <si>
    <t>ФР-1289</t>
  </si>
  <si>
    <t>4670159112891</t>
  </si>
  <si>
    <t>17,5 x 22</t>
  </si>
  <si>
    <t>216938</t>
  </si>
  <si>
    <t>Фотоальбом на 200 фото 10*15, 50л.с фольг.тисн. 17.5 x 22см "Зебральбом"(собс.разр) ФР-1288</t>
  </si>
  <si>
    <t>ФР-1288</t>
  </si>
  <si>
    <t>4670159112884</t>
  </si>
  <si>
    <t>216946</t>
  </si>
  <si>
    <t>Фотоальбом на 200 фото 10*15, 50л.с фольг.тисн. 17.5 x 22см "Нежные ромашки"(собс.разр) ФР-1291</t>
  </si>
  <si>
    <t>ФР-1291</t>
  </si>
  <si>
    <t>4670159112914</t>
  </si>
  <si>
    <t>216933</t>
  </si>
  <si>
    <t>Фотоальбом на 200 фото 10*15, 50л.с фольг.тисн. 17.5 x 22см "Тропический колибри"(собс.разр) ФР-1285</t>
  </si>
  <si>
    <t>ФР-1285</t>
  </si>
  <si>
    <t>4670159112853</t>
  </si>
  <si>
    <t>216934</t>
  </si>
  <si>
    <t>Фотоальбом на 200 фото 10*15, 50л.с фольг.тисн. 17.5 x 22см"Семейные иллюстрации"(собс.разр) ФР-1286</t>
  </si>
  <si>
    <t>ФР-1286</t>
  </si>
  <si>
    <t>4670159112860</t>
  </si>
  <si>
    <t>300 фото</t>
  </si>
  <si>
    <t>245819</t>
  </si>
  <si>
    <t>Фотоальбом на 300 фото 10*15, 50л, искуcств.кожа, "Счастье", 24*33*5,5 см АФ-5786</t>
  </si>
  <si>
    <t>АФ-5786</t>
  </si>
  <si>
    <t>4640163457868</t>
  </si>
  <si>
    <t>24 x33х5,5 см</t>
  </si>
  <si>
    <t>245818</t>
  </si>
  <si>
    <t>Фотоальбом на 304 фотографий 10*15, 76л, "Аметист", 23*18,5*7 см (собств. разработка) АФ-5785</t>
  </si>
  <si>
    <t>АФ-5785</t>
  </si>
  <si>
    <t>4640163457851</t>
  </si>
  <si>
    <t>18,5x23х7 см</t>
  </si>
  <si>
    <t>245820</t>
  </si>
  <si>
    <t>Фотоальбом на 304 фотографий 10*15, 76л, "Нежный оттенок", 23*18,5*7 см (собств. разработка) АФ-5787</t>
  </si>
  <si>
    <t>АФ-5787</t>
  </si>
  <si>
    <t>4640163457875</t>
  </si>
  <si>
    <t>400 фото</t>
  </si>
  <si>
    <t>217011</t>
  </si>
  <si>
    <t>Фотоальбом на 400 фото 10*15, 40 л.с фольг.тисн. 30.5 x 31.5м "Затмение"(собс.разр) ФР-1336</t>
  </si>
  <si>
    <t>ФР-1336</t>
  </si>
  <si>
    <t>4670159113362</t>
  </si>
  <si>
    <t>30,5 x 31,5</t>
  </si>
  <si>
    <t>217007</t>
  </si>
  <si>
    <t>Фотоальбом на 400 фото 10*15, 40 л.с фольг.тисн. 30.5 x 31.5м "Львиная семья"(собс.разр) ФР-1333</t>
  </si>
  <si>
    <t>ФР-1333</t>
  </si>
  <si>
    <t>4670159113331</t>
  </si>
  <si>
    <t>217006</t>
  </si>
  <si>
    <t>Фотоальбом на 400 фото 10*15, 40 л.с фольг.тисн. 30.5 x 31.5м "Полёт"(собс.разр) ФР-1332</t>
  </si>
  <si>
    <t>ФР-1332</t>
  </si>
  <si>
    <t>4670159113324</t>
  </si>
  <si>
    <t>217012</t>
  </si>
  <si>
    <t>Фотоальбом на 400 фото 10*15, 40 л.с фольг.тисн. 30.5x31.5м "Осенние настроение"(собс.разр) ФР-1337</t>
  </si>
  <si>
    <t>ФР-1337</t>
  </si>
  <si>
    <t>4670159113379</t>
  </si>
  <si>
    <t>500 фото</t>
  </si>
  <si>
    <t>199352</t>
  </si>
  <si>
    <t>Фотоальбом на 500 фото 10*15 см, 50 листов "Лови момент" (Соб. разраб.) УБ-1329</t>
  </si>
  <si>
    <t>УБ-1329</t>
  </si>
  <si>
    <t>4670159013297</t>
  </si>
  <si>
    <t>207873</t>
  </si>
  <si>
    <t>Фотоальбом на 500 фото 10х15 Важное событие, коричневый, кожа ФР-5406</t>
  </si>
  <si>
    <t>ФР-5406</t>
  </si>
  <si>
    <t>4670159054061</t>
  </si>
  <si>
    <t>207874</t>
  </si>
  <si>
    <t>Фотоальбом на 500 фото 10х15 Важное событие, красно-коричневый, кожа ФР-5407</t>
  </si>
  <si>
    <t>ФР-5407</t>
  </si>
  <si>
    <t>4670159054078</t>
  </si>
  <si>
    <t>139922</t>
  </si>
  <si>
    <t>Фотоальбом на 500 фото 10х15 Весенний букет красивых цветов ФР-2738-2</t>
  </si>
  <si>
    <t>ФР-2738-2</t>
  </si>
  <si>
    <t>4665307427408</t>
  </si>
  <si>
    <t>33х30.5х6см, 50 страниц</t>
  </si>
  <si>
    <t>139921</t>
  </si>
  <si>
    <t>Фотоальбом на 500 фото 10х15 Весенний букет нежных цветов ФР-2738-1</t>
  </si>
  <si>
    <t>ФР-2738-1</t>
  </si>
  <si>
    <t>4665307427392</t>
  </si>
  <si>
    <t>185936</t>
  </si>
  <si>
    <t>Фотоальбом на 500 фото 10х15 Весенняя радость, яркие цветы ФР-3825</t>
  </si>
  <si>
    <t>ФР-3825</t>
  </si>
  <si>
    <t>4620129728256</t>
  </si>
  <si>
    <t>139917</t>
  </si>
  <si>
    <t>Фотоальбом на 500 фото 10х15 Винтажные красивые цветы ФР-2732-1</t>
  </si>
  <si>
    <t>ФР-2732-1</t>
  </si>
  <si>
    <t>4665307427330</t>
  </si>
  <si>
    <t>139918</t>
  </si>
  <si>
    <t>Фотоальбом на 500 фото 10х15 Винтажные нежные цветы ФР-2732-2</t>
  </si>
  <si>
    <t>ФР-2732-2</t>
  </si>
  <si>
    <t>4665307427347</t>
  </si>
  <si>
    <t>207865</t>
  </si>
  <si>
    <t>Фотоальбом на 500 фото 10х15 История, светло-коричневый, кожа ФР-5403</t>
  </si>
  <si>
    <t>ФР-5403</t>
  </si>
  <si>
    <t>4670159054030</t>
  </si>
  <si>
    <t>207860</t>
  </si>
  <si>
    <t>Фотоальбом на 500 фото 10х15 История, тёмно-синий, искус.кожа ФР-5402</t>
  </si>
  <si>
    <t>ФР-5402</t>
  </si>
  <si>
    <t>4670159054023</t>
  </si>
  <si>
    <t>185946</t>
  </si>
  <si>
    <t>Фотоальбом на 500 фото 10х15 Классика, золотая рябь ФР-3835</t>
  </si>
  <si>
    <t>ФР-3835</t>
  </si>
  <si>
    <t>4620129728355</t>
  </si>
  <si>
    <t>185944</t>
  </si>
  <si>
    <t>Фотоальбом на 500 фото 10х15 Классика, коричневая рябь ФР-3833</t>
  </si>
  <si>
    <t>ФР-3833</t>
  </si>
  <si>
    <t>4620129728331</t>
  </si>
  <si>
    <t>185945</t>
  </si>
  <si>
    <t>Фотоальбом на 500 фото 10х15 Классика, серебряная рябь ФР-3834</t>
  </si>
  <si>
    <t>ФР-3834</t>
  </si>
  <si>
    <t>4620129728348</t>
  </si>
  <si>
    <t>139919</t>
  </si>
  <si>
    <t>Фотоальбом на 500 фото 10х15 Красивые пионы на розовом ФР-2735-1</t>
  </si>
  <si>
    <t>ФР-2735-1</t>
  </si>
  <si>
    <t>4665307427361</t>
  </si>
  <si>
    <t>207868</t>
  </si>
  <si>
    <t>Фотоальбом на 500 фото 10х15 Память , тёмно коричневый, искус.кожа ФР-5404</t>
  </si>
  <si>
    <t>ФР-5404</t>
  </si>
  <si>
    <t>4670159054047</t>
  </si>
  <si>
    <t>207850</t>
  </si>
  <si>
    <t>Фотоальбом на 500 фото 10х15 Роскошь, коричневый, иск.кожа ФР-5399</t>
  </si>
  <si>
    <t>ФР-5399</t>
  </si>
  <si>
    <t>4670159053996</t>
  </si>
  <si>
    <t>207879</t>
  </si>
  <si>
    <t>Фотоальбом на 500 фото 10х15 Счастье, чёрный, искс.кожа ФР-5409</t>
  </si>
  <si>
    <t>ФР-5409</t>
  </si>
  <si>
    <t>4670159054092</t>
  </si>
  <si>
    <t>Фотоальбом на кольцах</t>
  </si>
  <si>
    <t>199337</t>
  </si>
  <si>
    <t>Фотоальбом на кольцах на50фото10*15см,25 листов"Семейная история"с замет.,дерев.обл.(фанера) УБ-1315</t>
  </si>
  <si>
    <t>УБ-1315</t>
  </si>
  <si>
    <t>4670159013150</t>
  </si>
  <si>
    <t>10*15 см, 25 листов</t>
  </si>
  <si>
    <t>Фотоальбом на спирали</t>
  </si>
  <si>
    <t>216923</t>
  </si>
  <si>
    <t>Фотоальбом на самокл. листах 40 фото 13*18, 10 л.с фольг.тисн. 23x29см "Тропики"(собс.разр) ФР-1277</t>
  </si>
  <si>
    <t>ФР-1277</t>
  </si>
  <si>
    <t>4670159112778</t>
  </si>
  <si>
    <t>23 x 29</t>
  </si>
  <si>
    <t>216925</t>
  </si>
  <si>
    <t>Фотоальбом на самокл. листах 40 фото 13*18, 10 л.с фольг.тисн.23x29см "Модернизм"(собс.разр) ФР-1278</t>
  </si>
  <si>
    <t>ФР-1278</t>
  </si>
  <si>
    <t>4670159112785</t>
  </si>
  <si>
    <t>216921</t>
  </si>
  <si>
    <t>Фотоальбом на самокл.лист.40фото13*18,10л.с фольг.тисн.23x29см"Золотистый мрамор"(собс.разр) ФР-1276</t>
  </si>
  <si>
    <t>ФР-1276</t>
  </si>
  <si>
    <t>4670159112761</t>
  </si>
  <si>
    <t>Фоторамки</t>
  </si>
  <si>
    <t>Креативные фоторамки</t>
  </si>
  <si>
    <t>245256</t>
  </si>
  <si>
    <t>Поздравительный плакат-фотоколлаж с наклейками «С праздником, защитники!» ППФ-4357</t>
  </si>
  <si>
    <t>ППФ-4357</t>
  </si>
  <si>
    <t>4670159243571</t>
  </si>
  <si>
    <t>Металлические фоторамки</t>
  </si>
  <si>
    <t>233984</t>
  </si>
  <si>
    <t>Фоторамка металлическая "Корона ", мятная 12*22см,  для фото: 10*15см ФР-9153</t>
  </si>
  <si>
    <t>ФР-9153</t>
  </si>
  <si>
    <t>4670159191537</t>
  </si>
  <si>
    <t>8306300000</t>
  </si>
  <si>
    <t>12*22см</t>
  </si>
  <si>
    <t>Фоторамки (нестандартный размер)</t>
  </si>
  <si>
    <t>209977</t>
  </si>
  <si>
    <t>Фоторамка-коллаж  (10 фото) "Семейная идиллия", белая: р-р фото: 10*15см,10*10см ФР-7228</t>
  </si>
  <si>
    <t>ФР-7228</t>
  </si>
  <si>
    <t>4670159072287</t>
  </si>
  <si>
    <t>Фоторамки А4</t>
  </si>
  <si>
    <t>280752</t>
  </si>
  <si>
    <t>Фоторамка "Классика" с акриловым стеклом, пластик, белая 21*30 см 385-1105-1</t>
  </si>
  <si>
    <t>385-1105-1</t>
  </si>
  <si>
    <t>4610094234401</t>
  </si>
  <si>
    <t>280758</t>
  </si>
  <si>
    <t>Фоторамка "Наградная" с акриловым стеклом,пластик, золотая 21*30 см 385-1056</t>
  </si>
  <si>
    <t>385-1056</t>
  </si>
  <si>
    <t>4631182530700</t>
  </si>
  <si>
    <t>04 ИНТЕРЬЕРНЫЕ СУВЕНИРЫ</t>
  </si>
  <si>
    <t>Вазы</t>
  </si>
  <si>
    <t>Вазы керамические</t>
  </si>
  <si>
    <t>215614</t>
  </si>
  <si>
    <t>Ваза декоративная керамическая " Золотистые линии", 20*10см. ВС-0164</t>
  </si>
  <si>
    <t>ВС-0164</t>
  </si>
  <si>
    <t>4670159101642</t>
  </si>
  <si>
    <t>6913901000</t>
  </si>
  <si>
    <t>215616</t>
  </si>
  <si>
    <t>Ваза декоративная керамическая " Золотистый минимализм", белая, 4,5*25см ВС-0165</t>
  </si>
  <si>
    <t>ВС-0165</t>
  </si>
  <si>
    <t>4670159101659</t>
  </si>
  <si>
    <t>234932</t>
  </si>
  <si>
    <t>Ваза декоративная керамическая "Вдохновение Египта", 8*8*25.5см ВС-9822</t>
  </si>
  <si>
    <t>ВС-9822</t>
  </si>
  <si>
    <t>4670159198222</t>
  </si>
  <si>
    <t>8*8*25.5 см</t>
  </si>
  <si>
    <t>234923</t>
  </si>
  <si>
    <t>Ваза декоративная керамическая "Греческий минимализм", 12*10*22см ВС-9815</t>
  </si>
  <si>
    <t>ВС-9815</t>
  </si>
  <si>
    <t>4670159198154</t>
  </si>
  <si>
    <t>12*10*22 см</t>
  </si>
  <si>
    <t>215626</t>
  </si>
  <si>
    <t>Ваза декоративная керамическая "Золотая луна", 4,5*25см ВС-0169</t>
  </si>
  <si>
    <t>ВС-0169</t>
  </si>
  <si>
    <t>4670159101697</t>
  </si>
  <si>
    <t>234928</t>
  </si>
  <si>
    <t>Ваза декоративная керамическая "Минимализм древности", 11.7*20.5см ВС-9820</t>
  </si>
  <si>
    <t>ВС-9820</t>
  </si>
  <si>
    <t>4670159198208</t>
  </si>
  <si>
    <t>11.7*20.5 см</t>
  </si>
  <si>
    <t>215605</t>
  </si>
  <si>
    <t>Ваза декоративная керамическая "Мрамор", белая, 16.5*9.5*20.5см ВС-0157</t>
  </si>
  <si>
    <t>ВС-0157</t>
  </si>
  <si>
    <t>4670159101574</t>
  </si>
  <si>
    <t>215592</t>
  </si>
  <si>
    <t>Ваза декоративная керамическая "Стиль", белая,  19.5*10.5*25.5см ВС-0145</t>
  </si>
  <si>
    <t>ВС-0145</t>
  </si>
  <si>
    <t>4670159101451</t>
  </si>
  <si>
    <t>215593</t>
  </si>
  <si>
    <t>Ваза декоративная керамическая "Стиль", черная,  19.5*10.5*25.5см  ВС-0146</t>
  </si>
  <si>
    <t>ВС-0146</t>
  </si>
  <si>
    <t>4670159101468</t>
  </si>
  <si>
    <t>215595</t>
  </si>
  <si>
    <t>Ваза декоративная керамическая "Стиль", черная, 23.5*12*19см ВС-0148</t>
  </si>
  <si>
    <t>ВС-0148</t>
  </si>
  <si>
    <t>4670159101482</t>
  </si>
  <si>
    <t>Вазы стеклянные</t>
  </si>
  <si>
    <t>215561</t>
  </si>
  <si>
    <t>Ваза декоративная стеклянная "Цилиндр", 20*20см ВС-0124</t>
  </si>
  <si>
    <t>ВС-0124</t>
  </si>
  <si>
    <t>4670159101246</t>
  </si>
  <si>
    <t>Декоративные искусственные растения</t>
  </si>
  <si>
    <t>214496</t>
  </si>
  <si>
    <t>Декоративная ветка "Веточка пальмы", 70см (Арт. ДВ-8638)</t>
  </si>
  <si>
    <t>ДВ-8638</t>
  </si>
  <si>
    <t>4670159086383</t>
  </si>
  <si>
    <t>6702900000</t>
  </si>
  <si>
    <t>214495</t>
  </si>
  <si>
    <t>Декоративная ветка "Золотистая пальма", 70см (Арт. ДВ-8637)</t>
  </si>
  <si>
    <t>ДВ-8637</t>
  </si>
  <si>
    <t>4670159086376</t>
  </si>
  <si>
    <t>214497</t>
  </si>
  <si>
    <t>Декоративное  растение. "Тропический плющ", 200см, 12 лиан (в наборе) (Арт. ДВ-9947)</t>
  </si>
  <si>
    <t>ДВ-9947</t>
  </si>
  <si>
    <t>4670159099475</t>
  </si>
  <si>
    <t>6702100000</t>
  </si>
  <si>
    <t>Держатель для книг</t>
  </si>
  <si>
    <t>234540</t>
  </si>
  <si>
    <t>Держатель для книг интерьерный из полирезины  "Песики" (в наборе), 2шт, 23*9*14см Т-9652</t>
  </si>
  <si>
    <t>Т-9652</t>
  </si>
  <si>
    <t>4670159196082</t>
  </si>
  <si>
    <t>23*9*14 см</t>
  </si>
  <si>
    <t>210385</t>
  </si>
  <si>
    <t>Держатель для книг интерьерный из полирезины "Мартовские котики" (в наборе), 2шт, 13*11*14см Т-7678</t>
  </si>
  <si>
    <t>Т-7678</t>
  </si>
  <si>
    <t>4670159076780</t>
  </si>
  <si>
    <t>234539</t>
  </si>
  <si>
    <t>Держатель для книг интерьерный из полирезины "Пандочки" (в наборе), 2шт, 17*9*11.5см Т-9651</t>
  </si>
  <si>
    <t>Т-9651</t>
  </si>
  <si>
    <t>4670159196075</t>
  </si>
  <si>
    <t>17*9*11.5 см</t>
  </si>
  <si>
    <t>Картины голографические 3D</t>
  </si>
  <si>
    <t>234288</t>
  </si>
  <si>
    <t>Картина голографическая 3D "Сила Египта", 30*40 см УД-9156</t>
  </si>
  <si>
    <t>УД-9156</t>
  </si>
  <si>
    <t>4670159191636</t>
  </si>
  <si>
    <t>30*40 см</t>
  </si>
  <si>
    <t>234294</t>
  </si>
  <si>
    <t>Картина голографическая 3D "Тигр", 30*40 см УД-9160</t>
  </si>
  <si>
    <t>УД-9160</t>
  </si>
  <si>
    <t>4670159191674</t>
  </si>
  <si>
    <t>Картины с подсветкой</t>
  </si>
  <si>
    <t>239280</t>
  </si>
  <si>
    <t>Светодиодный светильник Картина "Аниме закаты" (2 смен.карт.в наборе) 65 LED 16.5*21*4.5 см СН-1942</t>
  </si>
  <si>
    <t>СН-1942</t>
  </si>
  <si>
    <t>4670159219422</t>
  </si>
  <si>
    <t>04670159219422</t>
  </si>
  <si>
    <t>239279</t>
  </si>
  <si>
    <t>Светодиодный светильник Картина "Веселые зверята"(2 смен.карт.в наборе)65 LED 16.5*21*4.5 см СН-1941</t>
  </si>
  <si>
    <t>СН-1941</t>
  </si>
  <si>
    <t>4670159219415</t>
  </si>
  <si>
    <t>04670159219415</t>
  </si>
  <si>
    <t>239277</t>
  </si>
  <si>
    <t>Светодиодный светильник Картина "Горный пейзаж" (2 смен.карт.в наборе) 65 LED 16.5*21*4.5 см СН-1939</t>
  </si>
  <si>
    <t>СН-1939</t>
  </si>
  <si>
    <t>4670159219392</t>
  </si>
  <si>
    <t>04670159219392</t>
  </si>
  <si>
    <t>239281</t>
  </si>
  <si>
    <t>Светодиодный светильник Картина "Милые звери" (2 смен.карт.в наборе) 65 LED 16.5*21*4.5 см СН-1943</t>
  </si>
  <si>
    <t>СН-1943</t>
  </si>
  <si>
    <t>4670159219439</t>
  </si>
  <si>
    <t>04670159219439</t>
  </si>
  <si>
    <t>257358</t>
  </si>
  <si>
    <t>Светодиодный светильник. Картина "Аниме 1" (2 смен. карт. в наборе) 65 LED, 16.5*21*4.5см СН-7353</t>
  </si>
  <si>
    <t>СН-7353</t>
  </si>
  <si>
    <t>4630493773530</t>
  </si>
  <si>
    <t>04630493773530</t>
  </si>
  <si>
    <t>257359</t>
  </si>
  <si>
    <t>Светодиодный светильник. Картина "Аниме 2" (2 смен. карт. в наборе) 65 LED, 16.5*21*4.5см СН-7354</t>
  </si>
  <si>
    <t>СН-7354</t>
  </si>
  <si>
    <t>4630493773547</t>
  </si>
  <si>
    <t>04630493773547</t>
  </si>
  <si>
    <t>257357</t>
  </si>
  <si>
    <t>Светодиодный светильник. Картина "Летний зной" (2 смен.карт. в наборе) 65 LED, 16.5*21*4.5см СН-7352</t>
  </si>
  <si>
    <t>СН-7352</t>
  </si>
  <si>
    <t>4630493773523</t>
  </si>
  <si>
    <t>04630493773523</t>
  </si>
  <si>
    <t>225451</t>
  </si>
  <si>
    <t>Светодиодный светильник. Картина "Пара",(2 сменных картинки в наборе),65 LED, 16.5*21*4.5 см,СН-4219</t>
  </si>
  <si>
    <t>СН-4219</t>
  </si>
  <si>
    <t>4670159142195</t>
  </si>
  <si>
    <t>04670159142195</t>
  </si>
  <si>
    <t>225448</t>
  </si>
  <si>
    <t>Светодиодный светильник. Картина "Романтика",(2 смен. карт. в наборе), 65 LED,16.5*21*4.5 см,СН-4216</t>
  </si>
  <si>
    <t>СН-4216</t>
  </si>
  <si>
    <t>4670159142164</t>
  </si>
  <si>
    <t>04670159142164</t>
  </si>
  <si>
    <t>239278</t>
  </si>
  <si>
    <t>Светодиодный светильник. Картина. "Яркие поля" (2 смен.карт.в наборе) 65 LED, 16.5*21*4.5 см СН-1940</t>
  </si>
  <si>
    <t>СН-1940</t>
  </si>
  <si>
    <t>4670159219408</t>
  </si>
  <si>
    <t>04670159219408</t>
  </si>
  <si>
    <t>Копилки</t>
  </si>
  <si>
    <t>02 Механические копилки</t>
  </si>
  <si>
    <t>210396</t>
  </si>
  <si>
    <t>Копилка механическая "Волшебный космос", 19*19*26.2 КМ-7686</t>
  </si>
  <si>
    <t>КМ-7686</t>
  </si>
  <si>
    <t>4670159076865</t>
  </si>
  <si>
    <t>210391</t>
  </si>
  <si>
    <t>Копилка механическая "Полицейская машинка", 29*14*14 КМ-7683</t>
  </si>
  <si>
    <t>КМ-7683</t>
  </si>
  <si>
    <t>4670159076834</t>
  </si>
  <si>
    <t>234794</t>
  </si>
  <si>
    <t>Копилка механическая банкомат с ручкой, 27.5*14.5*13 см, цвет голубой+желтый КМ-9598</t>
  </si>
  <si>
    <t>КМ-9598</t>
  </si>
  <si>
    <t>4670159195986</t>
  </si>
  <si>
    <t>32.40.39.129</t>
  </si>
  <si>
    <t>9503007000</t>
  </si>
  <si>
    <t>04670159195986</t>
  </si>
  <si>
    <t>27.5*14.5*13 см</t>
  </si>
  <si>
    <t>234796</t>
  </si>
  <si>
    <t>Копилка механическая банкомат, 18.8*11.3*25.2 см, цвет черный+серый+синий КМ-9599</t>
  </si>
  <si>
    <t>КМ-9599</t>
  </si>
  <si>
    <t>4670159195993</t>
  </si>
  <si>
    <t>04670159195993</t>
  </si>
  <si>
    <t>18.8*11.3*25.2 см</t>
  </si>
  <si>
    <t>200939</t>
  </si>
  <si>
    <t>Копилка механическая в ассортименте Собака Белая КМ-2273</t>
  </si>
  <si>
    <t>КМ-2273</t>
  </si>
  <si>
    <t>4670159022732</t>
  </si>
  <si>
    <t>17*15*8 см</t>
  </si>
  <si>
    <t>200940</t>
  </si>
  <si>
    <t>Копилка механическая в ассортименте Собака Белая с черными пятнами КМ-2274</t>
  </si>
  <si>
    <t>КМ-2274</t>
  </si>
  <si>
    <t>4670159022749</t>
  </si>
  <si>
    <t>200943</t>
  </si>
  <si>
    <t>Копилка механическая в ассортименте Собака Темно-коричневая КМ-2277</t>
  </si>
  <si>
    <t>КМ-2277</t>
  </si>
  <si>
    <t>4670159022770</t>
  </si>
  <si>
    <t>200935</t>
  </si>
  <si>
    <t>Копилка механическая Воришка Белый кот в коробке с Апельсинами КМ-2269</t>
  </si>
  <si>
    <t>КМ-2269</t>
  </si>
  <si>
    <t>4670159022695</t>
  </si>
  <si>
    <t>12*9*10 см</t>
  </si>
  <si>
    <t>200938</t>
  </si>
  <si>
    <t>Копилка механическая Воришка Панда в коробке Бамбук КМ-2272</t>
  </si>
  <si>
    <t>КМ-2272</t>
  </si>
  <si>
    <t>4670159022725</t>
  </si>
  <si>
    <t>200936</t>
  </si>
  <si>
    <t>Копилка механическая Воришка Серый кот в коробке с Виноградом КМ-2270</t>
  </si>
  <si>
    <t>КМ-2270</t>
  </si>
  <si>
    <t>4670159022701</t>
  </si>
  <si>
    <t>254442</t>
  </si>
  <si>
    <t>Копилка-сейф с замком и ключами, 10*12*18 см, КС-2938</t>
  </si>
  <si>
    <t>КС-2938</t>
  </si>
  <si>
    <t>4640306929382</t>
  </si>
  <si>
    <t>03 Копилки пластиковые</t>
  </si>
  <si>
    <t>222037</t>
  </si>
  <si>
    <t>Копилка  "Малыш-мишка", 14*15.5 см, розовый КС-3676</t>
  </si>
  <si>
    <t>КС-3676</t>
  </si>
  <si>
    <t>4670159136767</t>
  </si>
  <si>
    <t>14*15.5 см</t>
  </si>
  <si>
    <t>210557</t>
  </si>
  <si>
    <t>Копилка  декоративная, пластиковая "Зайка с морковкой", 13*24см. КС-7437</t>
  </si>
  <si>
    <t>КС-7437</t>
  </si>
  <si>
    <t>4670159074373</t>
  </si>
  <si>
    <t>216096</t>
  </si>
  <si>
    <t>Копилка "Влюбленный котик",15*14*13 см, розовая КС-0863</t>
  </si>
  <si>
    <t>КС-0863</t>
  </si>
  <si>
    <t>4670159108634</t>
  </si>
  <si>
    <t>216097</t>
  </si>
  <si>
    <t>Копилка "Влюбленный котик",15*14*13см, пудрово-розовый КС-0864</t>
  </si>
  <si>
    <t>КС-0864</t>
  </si>
  <si>
    <t>4670159108641</t>
  </si>
  <si>
    <t>216089</t>
  </si>
  <si>
    <t>Копилка "Влюбленный котик",18*17*14 см, розовая КС-0856</t>
  </si>
  <si>
    <t>КС-0856</t>
  </si>
  <si>
    <t>4670159108566</t>
  </si>
  <si>
    <t>216088</t>
  </si>
  <si>
    <t>Копилка "Влюбленный котик",18*17*14 см, серая КС-0855</t>
  </si>
  <si>
    <t>КС-0855</t>
  </si>
  <si>
    <t>4670159108559</t>
  </si>
  <si>
    <t>18*17*14 см</t>
  </si>
  <si>
    <t>216090</t>
  </si>
  <si>
    <t>Копилка "Влюбленный котик",18*17*14см, пудрово-розовый КС-0857</t>
  </si>
  <si>
    <t>КС-0857</t>
  </si>
  <si>
    <t>4670159108573</t>
  </si>
  <si>
    <t>257905</t>
  </si>
  <si>
    <t>Копилка "Дракоша" 17*14*23,5 см КС-7464</t>
  </si>
  <si>
    <t>КС-7464</t>
  </si>
  <si>
    <t>4630493774643</t>
  </si>
  <si>
    <t>216094</t>
  </si>
  <si>
    <t>Копилка "Котик в коробке", 18*13*14см КС-0861</t>
  </si>
  <si>
    <t>КС-0861</t>
  </si>
  <si>
    <t>4670159108610</t>
  </si>
  <si>
    <t>222043</t>
  </si>
  <si>
    <t>Копилка "Малыш пандочка", 14*15 см  КС-3682</t>
  </si>
  <si>
    <t>КС-3682</t>
  </si>
  <si>
    <t>4670159136828</t>
  </si>
  <si>
    <t>222038</t>
  </si>
  <si>
    <t>Копилка "Малыш-мишка", 14*15.5 см, серый КС-3677</t>
  </si>
  <si>
    <t>КС-3677</t>
  </si>
  <si>
    <t>4670159136774</t>
  </si>
  <si>
    <t>222042</t>
  </si>
  <si>
    <t>Копилка "Милая собачка", 13*14 см  КС-3681</t>
  </si>
  <si>
    <t>КС-3681</t>
  </si>
  <si>
    <t>4670159136811</t>
  </si>
  <si>
    <t>13*14 см</t>
  </si>
  <si>
    <t>257893</t>
  </si>
  <si>
    <t>Копилка "Милый кот с бургером" 18*17*17 см КС-7454</t>
  </si>
  <si>
    <t>КС-7454</t>
  </si>
  <si>
    <t>4630493774544</t>
  </si>
  <si>
    <t>222013</t>
  </si>
  <si>
    <t>Копилка "Пандочка с бамбуком", 15.5*15*18 см КС-3669</t>
  </si>
  <si>
    <t>КС-3669</t>
  </si>
  <si>
    <t>4670159136699</t>
  </si>
  <si>
    <t>15.5*15*18 см</t>
  </si>
  <si>
    <t>222040</t>
  </si>
  <si>
    <t>Копилка "Пёсик на утке", 21*12 см КС-3679</t>
  </si>
  <si>
    <t>КС-3679</t>
  </si>
  <si>
    <t>4670159136798</t>
  </si>
  <si>
    <t>21*12 см</t>
  </si>
  <si>
    <t>216092</t>
  </si>
  <si>
    <t>Копилка "Принцесса Хрю",16*20*14см КС-0859</t>
  </si>
  <si>
    <t>КС-0859</t>
  </si>
  <si>
    <t>4670159108597</t>
  </si>
  <si>
    <t>222041</t>
  </si>
  <si>
    <t>Копилка "Свинка на утке", 21*12 см КС-3680</t>
  </si>
  <si>
    <t>КС-3680</t>
  </si>
  <si>
    <t>4670159136804</t>
  </si>
  <si>
    <t>257896</t>
  </si>
  <si>
    <t>Копилка "Славный корги" 13*12*10 см КС-7457</t>
  </si>
  <si>
    <t>КС-7457</t>
  </si>
  <si>
    <t>4630493774575</t>
  </si>
  <si>
    <t>222029</t>
  </si>
  <si>
    <t>Копилка "Счастливый зайчик", 14*15*16.5 см, розовый КС-3671</t>
  </si>
  <si>
    <t>КС-3671</t>
  </si>
  <si>
    <t>4670159136712</t>
  </si>
  <si>
    <t>14*15*16.5 см</t>
  </si>
  <si>
    <t>222014</t>
  </si>
  <si>
    <t>Копилка "Счастливый зайчик", 14*15*16.5 см, серый КС-3670</t>
  </si>
  <si>
    <t>КС-3670</t>
  </si>
  <si>
    <t>4670159136705</t>
  </si>
  <si>
    <t>222036</t>
  </si>
  <si>
    <t>Копилка "Счастливый зверёк" 14.5*13.5 см, оранжевый КС-3675</t>
  </si>
  <si>
    <t>КС-3675</t>
  </si>
  <si>
    <t>4670159136750</t>
  </si>
  <si>
    <t>14.5*13.5 см</t>
  </si>
  <si>
    <t>222035</t>
  </si>
  <si>
    <t>Копилка "Счастливый котёнок", 14.5*13.5 см, серый КС-3674</t>
  </si>
  <si>
    <t>КС-3674</t>
  </si>
  <si>
    <t>4670159136743</t>
  </si>
  <si>
    <t>222032</t>
  </si>
  <si>
    <t>Копилка "Счастливый котёнок", 17*15.5 см, серый КС-3672</t>
  </si>
  <si>
    <t>КС-3672</t>
  </si>
  <si>
    <t>4670159136729</t>
  </si>
  <si>
    <t>17*15.5 см</t>
  </si>
  <si>
    <t>257895</t>
  </si>
  <si>
    <t>Копилка "Футбольный мяч" 17 см КС-7456</t>
  </si>
  <si>
    <t>КС-7456</t>
  </si>
  <si>
    <t>4630493774568</t>
  </si>
  <si>
    <t>257894</t>
  </si>
  <si>
    <t>Копилка "Футбольный мяч" 20 см КС-7455</t>
  </si>
  <si>
    <t>КС-7455</t>
  </si>
  <si>
    <t>4630493774551</t>
  </si>
  <si>
    <t>266920</t>
  </si>
  <si>
    <t>Копилка в наборе с маркером "Деловая свинка" 16*11 см КС-7547</t>
  </si>
  <si>
    <t>КС-7547</t>
  </si>
  <si>
    <t>4640520775475</t>
  </si>
  <si>
    <t>266921</t>
  </si>
  <si>
    <t>Копилка в наборе с маркером "Деловой котик" 16*13 см КС-7548</t>
  </si>
  <si>
    <t>КС-7548</t>
  </si>
  <si>
    <t>4640520775482</t>
  </si>
  <si>
    <t>233890</t>
  </si>
  <si>
    <t>Копилка декоративная, пластиковая  "Котик в корзинке", 17*14см КС-9019</t>
  </si>
  <si>
    <t>КС-9019</t>
  </si>
  <si>
    <t>4670159190196</t>
  </si>
  <si>
    <t>17*14 см</t>
  </si>
  <si>
    <t>233889</t>
  </si>
  <si>
    <t>Копилка декоративная, пластиковая  "Котик в шапке", 21*16см КС-9018</t>
  </si>
  <si>
    <t>КС-9018</t>
  </si>
  <si>
    <t>4670159190189</t>
  </si>
  <si>
    <t>21*16 см</t>
  </si>
  <si>
    <t>233888</t>
  </si>
  <si>
    <t>Копилка декоративная, пластиковая  "Малыш пёсик", 20*20см КС-9017</t>
  </si>
  <si>
    <t>КС-9017</t>
  </si>
  <si>
    <t>4670159190172</t>
  </si>
  <si>
    <t>20*20 см</t>
  </si>
  <si>
    <t>233883</t>
  </si>
  <si>
    <t>Копилка декоративная, пластиковая  "Счастливый котик", 16*13см КС-9013</t>
  </si>
  <si>
    <t>КС-9013</t>
  </si>
  <si>
    <t>4670159190134</t>
  </si>
  <si>
    <t>16*13 см</t>
  </si>
  <si>
    <t>210561</t>
  </si>
  <si>
    <t>Копилка декоративная, пластиковая "Лисенок с цветочком", 15*20 см.КС-7439</t>
  </si>
  <si>
    <t>КС-7439</t>
  </si>
  <si>
    <t>4670159074397</t>
  </si>
  <si>
    <t>210567</t>
  </si>
  <si>
    <t>Копилка декоративная, пластиковая "Милый пёсик", 19*11.5см КС-7445</t>
  </si>
  <si>
    <t>КС-7445</t>
  </si>
  <si>
    <t>4670159074458</t>
  </si>
  <si>
    <t>19*11.5 см</t>
  </si>
  <si>
    <t>210562</t>
  </si>
  <si>
    <t>Копилка декоративная, пластиковая "Мишутка", 11*18 см, коричневая КС-7440</t>
  </si>
  <si>
    <t>КС-7440</t>
  </si>
  <si>
    <t>4670159074403</t>
  </si>
  <si>
    <t>210566</t>
  </si>
  <si>
    <t>Копилка декоративная, пластиковая "Хипстер-динозаврик", 22*12*16 см КС-7444</t>
  </si>
  <si>
    <t>КС-7444</t>
  </si>
  <si>
    <t>4670159074441</t>
  </si>
  <si>
    <t>266918</t>
  </si>
  <si>
    <t>Набор копилок "Влюбленные зайки" 15*9см, 2 шт КС-7545</t>
  </si>
  <si>
    <t>КС-7545</t>
  </si>
  <si>
    <t>4640520775451</t>
  </si>
  <si>
    <t>266916</t>
  </si>
  <si>
    <t>Набор копилок "Влюбленные котики" 12*13см, 2 шт КС-7543</t>
  </si>
  <si>
    <t>КС-7543</t>
  </si>
  <si>
    <t>4640520775437</t>
  </si>
  <si>
    <t>266917</t>
  </si>
  <si>
    <t>Набор копилок "Влюбленные свинки" 10*12см 2 шт КС-7544</t>
  </si>
  <si>
    <t>КС-7544</t>
  </si>
  <si>
    <t>4640520775444</t>
  </si>
  <si>
    <t>Пепельницы</t>
  </si>
  <si>
    <t>249418</t>
  </si>
  <si>
    <t>Пепельница бездымная "Азиатский стиль", коричневая ПЛ-2464</t>
  </si>
  <si>
    <t>ПЛ-2464</t>
  </si>
  <si>
    <t>4640306924646</t>
  </si>
  <si>
    <t>6913909800</t>
  </si>
  <si>
    <t>249417</t>
  </si>
  <si>
    <t>Пепельница бездымная "Изысканность",белая ПЛ-2463</t>
  </si>
  <si>
    <t>ПЛ-2463</t>
  </si>
  <si>
    <t>4640306924639</t>
  </si>
  <si>
    <t>7323990000</t>
  </si>
  <si>
    <t>247630</t>
  </si>
  <si>
    <t>Пепельница бездымная "Стильная классика", 11х13см, коричневая, иск.кожа ПЛ-2263</t>
  </si>
  <si>
    <t>ПЛ-2263</t>
  </si>
  <si>
    <t>4640306922635</t>
  </si>
  <si>
    <t>11х13см</t>
  </si>
  <si>
    <t>247631</t>
  </si>
  <si>
    <t>Пепельница бездымная "Строгая классика", черная, 11х13см, иск.кожа ПЛ-2264</t>
  </si>
  <si>
    <t>ПЛ-2264</t>
  </si>
  <si>
    <t>4640306922642</t>
  </si>
  <si>
    <t>210121</t>
  </si>
  <si>
    <t>Пепельница бездымная. "Мужество", 9см, круглая. ПЛ-7383</t>
  </si>
  <si>
    <t>ПЛ-7383</t>
  </si>
  <si>
    <t>4670159073833</t>
  </si>
  <si>
    <t>210126</t>
  </si>
  <si>
    <t>Пепельница бездымная. "Ностальгия", 9*9см, квадратная.  ПЛ-7386</t>
  </si>
  <si>
    <t>ПЛ-7386</t>
  </si>
  <si>
    <t>4670159073864</t>
  </si>
  <si>
    <t>210125</t>
  </si>
  <si>
    <t>Пепельница бездымная. "Родина", 11см, круглая.ПЛ-7385</t>
  </si>
  <si>
    <t>ПЛ-7385</t>
  </si>
  <si>
    <t>4670159073857</t>
  </si>
  <si>
    <t>210123</t>
  </si>
  <si>
    <t>Пепельница бездымная. "Родина", 9см, круглая. ПЛ-7384</t>
  </si>
  <si>
    <t>ПЛ-7384</t>
  </si>
  <si>
    <t>4670159073840</t>
  </si>
  <si>
    <t>Подсвечники</t>
  </si>
  <si>
    <t>207421</t>
  </si>
  <si>
    <t>Набор из 3-х подсвечников, металлических 8*8*23 см, "Геометрия", розово-золотистый. ПВ-6125</t>
  </si>
  <si>
    <t>ПВ-6125</t>
  </si>
  <si>
    <t>4670159061250</t>
  </si>
  <si>
    <t>9405500000</t>
  </si>
  <si>
    <t>207432</t>
  </si>
  <si>
    <t>Набор из 3-х подсвечников, металлических 8*8*23 см, "Геометрия",бронзовый ПВ-6126</t>
  </si>
  <si>
    <t>ПВ-6126</t>
  </si>
  <si>
    <t>4670159061267</t>
  </si>
  <si>
    <t>207439</t>
  </si>
  <si>
    <t>Набор из 3-х подсвечников, металлических 8*8*23 см, "Геометрия",черный. ПВ-6127</t>
  </si>
  <si>
    <t>ПВ-6127</t>
  </si>
  <si>
    <t>4670159061274</t>
  </si>
  <si>
    <t>207444</t>
  </si>
  <si>
    <t>Набор из 3-х подсвечников, металлических 8*8*23 см, "Классика", бронзовый ПВ-6129</t>
  </si>
  <si>
    <t>ПВ-6129</t>
  </si>
  <si>
    <t>4670159061298</t>
  </si>
  <si>
    <t>207440</t>
  </si>
  <si>
    <t>Набор из 3-х подсвечников, металлических 8*8*23 см, "Классика", розово-золотистый. ПВ-6128</t>
  </si>
  <si>
    <t>ПВ-6128</t>
  </si>
  <si>
    <t>4670159061281</t>
  </si>
  <si>
    <t>207445</t>
  </si>
  <si>
    <t>Набор из 3-х подсвечников, металлических 8*8*23 см, "Классика", черный. ПВ-6130</t>
  </si>
  <si>
    <t>ПВ-6130</t>
  </si>
  <si>
    <t>4670159061304</t>
  </si>
  <si>
    <t>207419</t>
  </si>
  <si>
    <t>Набор из 3-х подсвечников, металлических 8*8*23 см, "Уютный", бронзовый ПВ-6123</t>
  </si>
  <si>
    <t>ПВ-6123</t>
  </si>
  <si>
    <t>4670159061236</t>
  </si>
  <si>
    <t>207417</t>
  </si>
  <si>
    <t>Набор из 3-х подсвечников, металлических 8*8*23 см, "Уютный", розово-золотистый. ПВ-6122</t>
  </si>
  <si>
    <t>ПВ-6122</t>
  </si>
  <si>
    <t>4670159061229</t>
  </si>
  <si>
    <t>207420</t>
  </si>
  <si>
    <t>Набор из 3-х подсвечников, металлических 8*8*23 см, "Уютный", черный. ПВ-6124</t>
  </si>
  <si>
    <t>ПВ-6124</t>
  </si>
  <si>
    <t>4670159061243</t>
  </si>
  <si>
    <t>211372</t>
  </si>
  <si>
    <t>Подсвечник декоративный из металла "Птица мира", золотистый, 14*14*16см ПВ-7453</t>
  </si>
  <si>
    <t>ПВ-7453</t>
  </si>
  <si>
    <t>4670159074533</t>
  </si>
  <si>
    <t>14*14*16</t>
  </si>
  <si>
    <t>211364</t>
  </si>
  <si>
    <t>Подсвечник декоративный из металла "Райский остров", золотистый, 12*12*26.5см ПВ-7446</t>
  </si>
  <si>
    <t>ПВ-7446</t>
  </si>
  <si>
    <t>4670159074465</t>
  </si>
  <si>
    <t>12*12*26.5</t>
  </si>
  <si>
    <t>Светильники и ночники</t>
  </si>
  <si>
    <t>Пластиковые ночники и светильники</t>
  </si>
  <si>
    <t>Питание от USB</t>
  </si>
  <si>
    <t>266874</t>
  </si>
  <si>
    <t>Светильник декоративный "Маленький динозавр" синий, 17х8,5 см, от USB СВП-0095</t>
  </si>
  <si>
    <t>СВП-0095</t>
  </si>
  <si>
    <t>4640520775000</t>
  </si>
  <si>
    <t>04640520775000</t>
  </si>
  <si>
    <t>234459</t>
  </si>
  <si>
    <t>Светильник декоративный "Минималистичный шик", LED, пластик, 21,5*13см, USB, пульт ду. СВП-0023</t>
  </si>
  <si>
    <t>СВП-0023</t>
  </si>
  <si>
    <t>4670159197287</t>
  </si>
  <si>
    <t>04670159197287</t>
  </si>
  <si>
    <t>21.5*13 см</t>
  </si>
  <si>
    <t>Питание от батареек</t>
  </si>
  <si>
    <t>266875</t>
  </si>
  <si>
    <t>Светильник декоративный "Акула", голубой, на батарейках 3*LR44, 14,5х12 см СВП-0202</t>
  </si>
  <si>
    <t>СВП-0202</t>
  </si>
  <si>
    <t>4640520775017</t>
  </si>
  <si>
    <t>04640520775017</t>
  </si>
  <si>
    <t>234750</t>
  </si>
  <si>
    <t>Светильник декоративный "Динозаврик-малыш", 3*LR41 (в комплекте), 10*11 см СВП-9808</t>
  </si>
  <si>
    <t>СВП-9808</t>
  </si>
  <si>
    <t>4670159198086</t>
  </si>
  <si>
    <t>04670159198086</t>
  </si>
  <si>
    <t>10х11 см</t>
  </si>
  <si>
    <t>266883</t>
  </si>
  <si>
    <t>Светильник декоративный "Забавный кактус", зелёный, на батарейках 3*LR44, 19х16 см СВП-0209</t>
  </si>
  <si>
    <t>СВП-0209</t>
  </si>
  <si>
    <t>4640520775086</t>
  </si>
  <si>
    <t>04640520775086</t>
  </si>
  <si>
    <t>234752</t>
  </si>
  <si>
    <t>Светильник декоративный "Зайчик в домике", белый, 3*LR41 (в комплекте), 10*12 см СВП-9810</t>
  </si>
  <si>
    <t>СВП-9810</t>
  </si>
  <si>
    <t>4670159198109</t>
  </si>
  <si>
    <t>04670159198109</t>
  </si>
  <si>
    <t>10х12 см</t>
  </si>
  <si>
    <t>234751</t>
  </si>
  <si>
    <t>Светильник декоративный "Зайчик в домике", желтый, 3*LR41 (в комплекте), 10*12 см СВП-9809</t>
  </si>
  <si>
    <t>СВП-9809</t>
  </si>
  <si>
    <t>4670159198093</t>
  </si>
  <si>
    <t>04670159198093</t>
  </si>
  <si>
    <t>266879</t>
  </si>
  <si>
    <t>Светильник декоративный "Квадратный утёнок", белый, на батарейках 3*LR44, 10х11 см СВП-0206</t>
  </si>
  <si>
    <t>СВП-0206</t>
  </si>
  <si>
    <t>4640520775055</t>
  </si>
  <si>
    <t>04640520775055</t>
  </si>
  <si>
    <t>266878</t>
  </si>
  <si>
    <t>Светильник декоративный "Птица счастья",пластик, белый, на батарейках 3*LR44, 15х13 см СВП-0205</t>
  </si>
  <si>
    <t>СВП-0205</t>
  </si>
  <si>
    <t>4640520775048</t>
  </si>
  <si>
    <t>04640520775048</t>
  </si>
  <si>
    <t>266880</t>
  </si>
  <si>
    <t>Светильник декоративный "Совушка",Пластик, белый, на батарейках 3*LR44, 15х17 см СВП-0207</t>
  </si>
  <si>
    <t>СВП-0207</t>
  </si>
  <si>
    <t>4640520775062</t>
  </si>
  <si>
    <t>04640520775062</t>
  </si>
  <si>
    <t>Питание от сети</t>
  </si>
  <si>
    <t>234502</t>
  </si>
  <si>
    <t>Светильник декоративный "Милая звездочка", LED, пластик, 8*8см, тип питания: от сети, СВП-0045</t>
  </si>
  <si>
    <t>СВП-0045</t>
  </si>
  <si>
    <t>4670159197546</t>
  </si>
  <si>
    <t>04670159197546</t>
  </si>
  <si>
    <t>8*8  см</t>
  </si>
  <si>
    <t>234497</t>
  </si>
  <si>
    <t>Светильник декоративный. "Воздушный шар", LED, пластик, 11*8 см, тип питания: от сети СВП-0041</t>
  </si>
  <si>
    <t>СВП-0041</t>
  </si>
  <si>
    <t>4670159197508</t>
  </si>
  <si>
    <t>04670159197508</t>
  </si>
  <si>
    <t>11*8  см</t>
  </si>
  <si>
    <t>234491</t>
  </si>
  <si>
    <t>Светильник декоративный. "Звезда желаний", LED, пластик, 8*8 см, тип питания: от сети СВП-0039</t>
  </si>
  <si>
    <t>СВП-0039</t>
  </si>
  <si>
    <t>4670159197485</t>
  </si>
  <si>
    <t>04670159197485</t>
  </si>
  <si>
    <t>8*8 см</t>
  </si>
  <si>
    <t>Свечи - светильники</t>
  </si>
  <si>
    <t>261942</t>
  </si>
  <si>
    <t>Набор Свечи светодиодные на батарейках "Вечерний свет", 3 шт (теплый желтый свет) СВП-0089</t>
  </si>
  <si>
    <t>СВП-0089</t>
  </si>
  <si>
    <t>4640520770067</t>
  </si>
  <si>
    <t>9405420022</t>
  </si>
  <si>
    <t>04640520770067</t>
  </si>
  <si>
    <t>261945</t>
  </si>
  <si>
    <t>Набор Свечи светодиодные на батарейках "Пламя", 3 шт (теплый желтый свет) СВП-0092</t>
  </si>
  <si>
    <t>СВП-0092</t>
  </si>
  <si>
    <t>4640520770098</t>
  </si>
  <si>
    <t>04640520770098</t>
  </si>
  <si>
    <t>194358</t>
  </si>
  <si>
    <t>Подароч. наб. из 3-х светодиодных  LED свечей "Уютный вечер" (Теплый желт. свет, без пульта) ЛД-0204</t>
  </si>
  <si>
    <t>ЛД-0204</t>
  </si>
  <si>
    <t>4620129702041</t>
  </si>
  <si>
    <t>04620129702041</t>
  </si>
  <si>
    <t>7*10 , 7*12.5 , 7*15</t>
  </si>
  <si>
    <t>194367</t>
  </si>
  <si>
    <t>Светодиодная  LED свеча"Уютный вечер" 7.5*17.5 (Теплый желтый свет, без пульта ) ЛД-0213</t>
  </si>
  <si>
    <t>ЛД-0213</t>
  </si>
  <si>
    <t>4620129702133</t>
  </si>
  <si>
    <t>04620129702133</t>
  </si>
  <si>
    <t>7.5*17.5</t>
  </si>
  <si>
    <t>Силиконовые ночники и светильники</t>
  </si>
  <si>
    <t>234479</t>
  </si>
  <si>
    <t>Светильник декоративный "Жизнерадостная уточка", LED, силикон/пластик, 12*10см, USB, СВП-0036</t>
  </si>
  <si>
    <t>СВП-0036</t>
  </si>
  <si>
    <t>4670159197416</t>
  </si>
  <si>
    <t>04670159197416</t>
  </si>
  <si>
    <t>12*10 см</t>
  </si>
  <si>
    <t>234478</t>
  </si>
  <si>
    <t>Светильник декоративный "Уставшая уточка", LED, силикон/пластик, 16*10см, тип питания: USB, СВП-0035</t>
  </si>
  <si>
    <t>СВП-0035</t>
  </si>
  <si>
    <t>4670159197409</t>
  </si>
  <si>
    <t>04670159197409</t>
  </si>
  <si>
    <t>16*10 см</t>
  </si>
  <si>
    <t>Соляные лампы</t>
  </si>
  <si>
    <t>223009</t>
  </si>
  <si>
    <t>Соляная  лампа-ночник  с диммером регулировки яркости света "Скала"  2-3 кг, 15 Вт, СЛН-4086</t>
  </si>
  <si>
    <t>СЛН-4086</t>
  </si>
  <si>
    <t>4670159140863</t>
  </si>
  <si>
    <t>9405290032</t>
  </si>
  <si>
    <t>04670159140863</t>
  </si>
  <si>
    <t>Свечи</t>
  </si>
  <si>
    <t>Свечи ароматические</t>
  </si>
  <si>
    <t>199264</t>
  </si>
  <si>
    <t>Свеча ароматическая "Можжевельник и лаванда" 9,3 см, d 7,2 см АС-1106</t>
  </si>
  <si>
    <t>АС-1106</t>
  </si>
  <si>
    <t>4670159011064</t>
  </si>
  <si>
    <t>Dia：7.2cm, H：9.3cm</t>
  </si>
  <si>
    <t>199266</t>
  </si>
  <si>
    <t>Свеча ароматическая "Сандал и роза" 9 см, d 7 см АС-1108</t>
  </si>
  <si>
    <t>АС-1108</t>
  </si>
  <si>
    <t>4670159011088</t>
  </si>
  <si>
    <t>Dia：7cm, H：9cm</t>
  </si>
  <si>
    <t>199286</t>
  </si>
  <si>
    <t>Свеча ароматическая "Тропический кокос" 7*8.5 см АС-1125</t>
  </si>
  <si>
    <t>АС-1125</t>
  </si>
  <si>
    <t>4670159011255</t>
  </si>
  <si>
    <t>Dia：7cm, H：8cm</t>
  </si>
  <si>
    <t>199265</t>
  </si>
  <si>
    <t>Свеча ароматическая "Черное Фруктовое Дерево" 9,3 см, d 7,2 см АС-1107</t>
  </si>
  <si>
    <t>АС-1107</t>
  </si>
  <si>
    <t>4670159011071</t>
  </si>
  <si>
    <t>Свечи декоративные</t>
  </si>
  <si>
    <t>261469</t>
  </si>
  <si>
    <t>Свеча декоративная "Decoro" с ароматом розы,  6,5*7,5 см, белая. УД-7971</t>
  </si>
  <si>
    <t>УД-7971</t>
  </si>
  <si>
    <t>4630493778719</t>
  </si>
  <si>
    <t>32.99.54.000</t>
  </si>
  <si>
    <t>261475</t>
  </si>
  <si>
    <t>Свеча декоративная "Зиги" с ароматом розы,  8,5*4,5*3 см, белая. УД-7973</t>
  </si>
  <si>
    <t>УД-7973</t>
  </si>
  <si>
    <t>4630493778733</t>
  </si>
  <si>
    <t>260038</t>
  </si>
  <si>
    <t>Свеча декоративная "Интерио" с ароматом вечернего жасмина,  7*7*8 см, белая УД-7698</t>
  </si>
  <si>
    <t>УД-7698</t>
  </si>
  <si>
    <t>4630493776982</t>
  </si>
  <si>
    <t>261472</t>
  </si>
  <si>
    <t>Свеча декоративная "Колонна" с ароматом розы,  6,5*10,5 см, белая. УД-7972</t>
  </si>
  <si>
    <t>УД-7972</t>
  </si>
  <si>
    <t>4630493778726</t>
  </si>
  <si>
    <t>260049</t>
  </si>
  <si>
    <t>Свеча декоративная "Медвежье сердце" с ароматом розы,  7.5*4*10 см, красная УД-7704</t>
  </si>
  <si>
    <t>УД-7704</t>
  </si>
  <si>
    <t>4630493777040</t>
  </si>
  <si>
    <t>260050</t>
  </si>
  <si>
    <t>Свеча декоративная "Сердце из роз" с ароматом розы,  8*7*3 см, розовая УД-7705</t>
  </si>
  <si>
    <t>УД-7705</t>
  </si>
  <si>
    <t>4630493777057</t>
  </si>
  <si>
    <t>261477</t>
  </si>
  <si>
    <t>Свеча декоративная "Хекса" с ароматом розы,  10*10*10 см, белая. УД-7974</t>
  </si>
  <si>
    <t>УД-7974</t>
  </si>
  <si>
    <t>4630493778740</t>
  </si>
  <si>
    <t>Сейф-книга</t>
  </si>
  <si>
    <t>С ключевым замком</t>
  </si>
  <si>
    <t>218946</t>
  </si>
  <si>
    <t>Сейф-книга "Капитал Маркса", 180*115*56 мм (размер S), ключевой замок Ш-2166</t>
  </si>
  <si>
    <t>Ш-2166</t>
  </si>
  <si>
    <t>4670159121664</t>
  </si>
  <si>
    <t>S 180*115*56</t>
  </si>
  <si>
    <t>218949</t>
  </si>
  <si>
    <t>Сейф-книга "Остров сокровищ", 265*200*65 мм (размер L), ключевой замок Ш-2169</t>
  </si>
  <si>
    <t>Ш-2169</t>
  </si>
  <si>
    <t>4670159121695</t>
  </si>
  <si>
    <t>L 265*200*65</t>
  </si>
  <si>
    <t>Скретч-постеры 415х590 мм</t>
  </si>
  <si>
    <t>089055</t>
  </si>
  <si>
    <t>Скретч-постер "100 книг" (собственная разработка) ПС-9687</t>
  </si>
  <si>
    <t>ПС-9687</t>
  </si>
  <si>
    <t>4665305396874</t>
  </si>
  <si>
    <t>276920</t>
  </si>
  <si>
    <t>Скретч-постер "100 книг" (собственная разработка), бежевый ПС-4433</t>
  </si>
  <si>
    <t>ПС-4433</t>
  </si>
  <si>
    <t>4680942644331</t>
  </si>
  <si>
    <t>274384</t>
  </si>
  <si>
    <t>Скретч-постер "100 сериалов" (собственная разработка) ПС-2974</t>
  </si>
  <si>
    <t>ПС-2974</t>
  </si>
  <si>
    <t>4680942629741</t>
  </si>
  <si>
    <t>089056</t>
  </si>
  <si>
    <t>Скретч-постер "100 фильмов" (собственная разработка) ПС-9688</t>
  </si>
  <si>
    <t>ПС-9688</t>
  </si>
  <si>
    <t>4665305396881</t>
  </si>
  <si>
    <t>276919</t>
  </si>
  <si>
    <t>Скретч-постер "100 фильмов" (собственная разработка), черный ПС-4432</t>
  </si>
  <si>
    <t>ПС-4432</t>
  </si>
  <si>
    <t>4680942644324</t>
  </si>
  <si>
    <t>Статуэтки из металла</t>
  </si>
  <si>
    <t>210524</t>
  </si>
  <si>
    <t>Фигура декоративная металлическая "Тропикано", золотистая, 16*26см Т-7651</t>
  </si>
  <si>
    <t>Т-7651</t>
  </si>
  <si>
    <t>4670159076513</t>
  </si>
  <si>
    <t>210527</t>
  </si>
  <si>
    <t>Фигура декоративная металлическая. "Листья", золотистая, 16*26см Т-7652</t>
  </si>
  <si>
    <t>Т-7652</t>
  </si>
  <si>
    <t>4670159076520</t>
  </si>
  <si>
    <t>219026</t>
  </si>
  <si>
    <t>Интерьерный сувенир "Диджей кот", красный, 21*19*28 см Т-2306</t>
  </si>
  <si>
    <t>Т-2306</t>
  </si>
  <si>
    <t>4670159122807</t>
  </si>
  <si>
    <t>219025</t>
  </si>
  <si>
    <t>Интерьерный сувенир "Диджей кот", оранжевый, 21*19*28 см Т-2305</t>
  </si>
  <si>
    <t>Т-2305</t>
  </si>
  <si>
    <t>4670159122791</t>
  </si>
  <si>
    <t>219040</t>
  </si>
  <si>
    <t>Интерьерный сувенир "Медведь с воздушным шариком", розовый, 11*8*34 см Т-2317</t>
  </si>
  <si>
    <t>Т-2317</t>
  </si>
  <si>
    <t>4670159122913</t>
  </si>
  <si>
    <t>219041</t>
  </si>
  <si>
    <t>Интерьерный сувенир "Медведь с воздушным шариком", синий, 11*8*34 см Т-2318</t>
  </si>
  <si>
    <t>Т-2318</t>
  </si>
  <si>
    <t>4670159122920</t>
  </si>
  <si>
    <t>219023</t>
  </si>
  <si>
    <t>Интерьерный сувенир "Модный медвежонок", красный, 22*17*29 см, Т-2303</t>
  </si>
  <si>
    <t>Т-2303</t>
  </si>
  <si>
    <t>4670159122777</t>
  </si>
  <si>
    <t>219019</t>
  </si>
  <si>
    <t>Интерьерный сувенир "Панда в очках" 22*13*25 см Т-2300</t>
  </si>
  <si>
    <t>Т-2300</t>
  </si>
  <si>
    <t>4670159122746</t>
  </si>
  <si>
    <t>219029</t>
  </si>
  <si>
    <t>Интерьерный сувенир "Подмигивающий медвежонок", оранжевый, 23*22*30 см Т-2309</t>
  </si>
  <si>
    <t>Т-2309</t>
  </si>
  <si>
    <t>4670159122838</t>
  </si>
  <si>
    <t>219039</t>
  </si>
  <si>
    <t>Интерьерный сувенир "Стильный медвежонок", оранжевый, 23*13*27 см Т-2316</t>
  </si>
  <si>
    <t>Т-2316</t>
  </si>
  <si>
    <t>4670159122906</t>
  </si>
  <si>
    <t>Флаги</t>
  </si>
  <si>
    <t>076616</t>
  </si>
  <si>
    <t>Флаг России, 14*21 см, с флагштоком (НАБОР 12 шт) ФГ-2013</t>
  </si>
  <si>
    <t>ФГ-2013</t>
  </si>
  <si>
    <t>4665303220133</t>
  </si>
  <si>
    <t>6307909800</t>
  </si>
  <si>
    <t>14*21</t>
  </si>
  <si>
    <t>Часы</t>
  </si>
  <si>
    <t>Часы настенные</t>
  </si>
  <si>
    <t>211412</t>
  </si>
  <si>
    <t>Часы настенные интерьерные  на батарейках (не в комплекте) Материк, 30см ЧН-7510</t>
  </si>
  <si>
    <t>ЧН-7510</t>
  </si>
  <si>
    <t>4670159075103</t>
  </si>
  <si>
    <t>9105290000</t>
  </si>
  <si>
    <t>d=30cm</t>
  </si>
  <si>
    <t>211413</t>
  </si>
  <si>
    <t>Часы настенные интерьерные  на батарейках (не в комплекте) Минимализм, 30см ЧН-7511</t>
  </si>
  <si>
    <t>ЧН-7511</t>
  </si>
  <si>
    <t>4670159075110</t>
  </si>
  <si>
    <t>211419</t>
  </si>
  <si>
    <t>Часы настенные интерьерные на батарейках (не в комплекте) Диджей 30см ЧН-7514</t>
  </si>
  <si>
    <t>ЧН-7514</t>
  </si>
  <si>
    <t>4670159075141</t>
  </si>
  <si>
    <t>211457</t>
  </si>
  <si>
    <t>Часы настенные интерьерные на батарейках (не в комплекте) Игривая кошка L, 100-120см, сереб. ЧН-7537</t>
  </si>
  <si>
    <t>ЧН-7537</t>
  </si>
  <si>
    <t>4670159075370</t>
  </si>
  <si>
    <t>100-120CM</t>
  </si>
  <si>
    <t>211455</t>
  </si>
  <si>
    <t>Часы настенные интерьерные на батарейках (не в комплекте) Игривая кошка L, 100-120см, черные ЧН-7535</t>
  </si>
  <si>
    <t>ЧН-7535</t>
  </si>
  <si>
    <t>4670159075356</t>
  </si>
  <si>
    <t>211456</t>
  </si>
  <si>
    <t>Часы настенные интерьерные на батарейках (не в комплекте) Игривая кошка M, 80-100см, сереб. ЧН-7536</t>
  </si>
  <si>
    <t>ЧН-7536</t>
  </si>
  <si>
    <t>4670159075363</t>
  </si>
  <si>
    <t>80-100CM</t>
  </si>
  <si>
    <t>211444</t>
  </si>
  <si>
    <t>Часы настенные интерьерные на батарейках (не в комплекте) Классические L, 100-120см, черные ЧН-7524</t>
  </si>
  <si>
    <t>ЧН-7524</t>
  </si>
  <si>
    <t>4670159075240</t>
  </si>
  <si>
    <t>211450</t>
  </si>
  <si>
    <t>Часы настенные интерьерные на батарейках (не в комплекте) Классические L, 100-120см, черные ЧН-7530</t>
  </si>
  <si>
    <t>ЧН-7530</t>
  </si>
  <si>
    <t>4670159075301</t>
  </si>
  <si>
    <t>211446</t>
  </si>
  <si>
    <t>Часы настенные интерьерные на батарейках (не в комплекте) Классические M, 80-100см, серебр. ЧН-7526</t>
  </si>
  <si>
    <t>ЧН-7526</t>
  </si>
  <si>
    <t>4670159075264</t>
  </si>
  <si>
    <t>211451</t>
  </si>
  <si>
    <t>Часы настенные интерьерные на батарейках (не в комплекте) Классические S, 50-70см, сереб. ЧН-7531</t>
  </si>
  <si>
    <t>ЧН-7531</t>
  </si>
  <si>
    <t>4670159075318</t>
  </si>
  <si>
    <t>50-70CM</t>
  </si>
  <si>
    <t>211448</t>
  </si>
  <si>
    <t>Часы настенные интерьерные на батарейках (не в комплекте) Классические S, 50-70см, черные ЧН-7528</t>
  </si>
  <si>
    <t>ЧН-7528</t>
  </si>
  <si>
    <t>4670159075288</t>
  </si>
  <si>
    <t>211411</t>
  </si>
  <si>
    <t>Часы настенные интерьерные на батарейках (не в комплекте) Кофе тайм, 30см ЧН-7509</t>
  </si>
  <si>
    <t>ЧН-7509</t>
  </si>
  <si>
    <t>4670159075097</t>
  </si>
  <si>
    <t>211460</t>
  </si>
  <si>
    <t>Часы настенные интерьерные на батарейках (не в комплекте) Красивые цифры, 80-100см, золот. ЧН-7540</t>
  </si>
  <si>
    <t>ЧН-7540</t>
  </si>
  <si>
    <t>4670159075400</t>
  </si>
  <si>
    <t>211415</t>
  </si>
  <si>
    <t>Часы настенные интерьерные на батарейках (не в комплекте) Роскошь, 30см ЧН-7513</t>
  </si>
  <si>
    <t>ЧН-7513</t>
  </si>
  <si>
    <t>4670159075134</t>
  </si>
  <si>
    <t>211458</t>
  </si>
  <si>
    <t>Часы настенные интерьерные на батарейках (не в комплекте) Сияние, 80-100см, черные ЧН-7538</t>
  </si>
  <si>
    <t>ЧН-7538</t>
  </si>
  <si>
    <t>4670159075387</t>
  </si>
  <si>
    <t>211459</t>
  </si>
  <si>
    <t>Часы настенные интерьерные на батарейках (не в комплекте) Циферблат, 80-100см, золот. ЧН-7539</t>
  </si>
  <si>
    <t>ЧН-7539</t>
  </si>
  <si>
    <t>4670159075394</t>
  </si>
  <si>
    <t>Часы электронные</t>
  </si>
  <si>
    <t>222268</t>
  </si>
  <si>
    <t>Часы электронные с проекцией, белый, 21*10*2.5 см ЧЭ-3734</t>
  </si>
  <si>
    <t>ЧЭ-3734</t>
  </si>
  <si>
    <t>4670159137344</t>
  </si>
  <si>
    <t>21*10*2.5 см</t>
  </si>
  <si>
    <t>222278</t>
  </si>
  <si>
    <t>Часы электронные, жёлтый, 15*8.5*7 см ЧЭ-3743</t>
  </si>
  <si>
    <t>ЧЭ-3743</t>
  </si>
  <si>
    <t>4670159137436</t>
  </si>
  <si>
    <t>15*8.5*7 см</t>
  </si>
  <si>
    <t>Часы-будильник</t>
  </si>
  <si>
    <t>234599</t>
  </si>
  <si>
    <t>Часы-будильник "Изыск в простом",на батар.1*АА (не в комп-те) белые,дискретный ход,7.5*11см БЧ-9838</t>
  </si>
  <si>
    <t>БЧ-9838</t>
  </si>
  <si>
    <t>4670159198383</t>
  </si>
  <si>
    <t>9105190000</t>
  </si>
  <si>
    <t>7.5*11 см</t>
  </si>
  <si>
    <t>234589</t>
  </si>
  <si>
    <t>Часы-будильник "Малыш космонавт",на батар. 1*АА (не в комп-те) дискретный ход, 16*11см БЧ-9828</t>
  </si>
  <si>
    <t>БЧ-9828</t>
  </si>
  <si>
    <t>4670159198284</t>
  </si>
  <si>
    <t>16*11 см</t>
  </si>
  <si>
    <t>234587</t>
  </si>
  <si>
    <t>Часы-будильник "Милый котик",на батар. 1*АА (не в комп-те)дискретный ход  16*11см БЧ-9826</t>
  </si>
  <si>
    <t>БЧ-9826</t>
  </si>
  <si>
    <t>4670159198260</t>
  </si>
  <si>
    <t>234602</t>
  </si>
  <si>
    <t>Часы-будильник "Ретро настроение", белые,на батар.1*АА(не в комп-те)дискретный ход, 10*14см БЧ-9841</t>
  </si>
  <si>
    <t>БЧ-9841</t>
  </si>
  <si>
    <t>4670159198413</t>
  </si>
  <si>
    <t>10*14 см</t>
  </si>
  <si>
    <t>234596</t>
  </si>
  <si>
    <t>Часы-будильник "Ретро стиль", черно-красн.,на батар. 1*АА(не в комп-те)дискретный ход,13*8см БЧ-9835</t>
  </si>
  <si>
    <t>БЧ-9835</t>
  </si>
  <si>
    <t>4670159198352</t>
  </si>
  <si>
    <t>13*8 см</t>
  </si>
  <si>
    <t>05 АВТОАКСЕССУАРЫ</t>
  </si>
  <si>
    <t>Автовизитка</t>
  </si>
  <si>
    <t>212646</t>
  </si>
  <si>
    <t>Автовизитка парковочная в машину "Номер"15см, черная АВТ-8461</t>
  </si>
  <si>
    <t>АВТ-8461</t>
  </si>
  <si>
    <t>4670159084617</t>
  </si>
  <si>
    <t>Ароматизаторы</t>
  </si>
  <si>
    <t>234391</t>
  </si>
  <si>
    <t>Ароматизатор в автомобиль на солн. батарее "Капитан", 8*10*8см, черный, аромат цитрус-свеж. АР-9446</t>
  </si>
  <si>
    <t>АР-9446</t>
  </si>
  <si>
    <t>4670159194453</t>
  </si>
  <si>
    <t>20.41.41.000</t>
  </si>
  <si>
    <t>3307490000</t>
  </si>
  <si>
    <t>Подлежит как Косметика с 1 июля 2025</t>
  </si>
  <si>
    <t>04670159194453</t>
  </si>
  <si>
    <t>8*10*8  см</t>
  </si>
  <si>
    <t>234382</t>
  </si>
  <si>
    <t>Ароматизатор в автомобиль на солн. батарее "Тюленьчик" 8*10*8см,красн.,аромат цитрус-свеж. АР-9440</t>
  </si>
  <si>
    <t>АР-9440</t>
  </si>
  <si>
    <t>4670159194392</t>
  </si>
  <si>
    <t>04670159194392</t>
  </si>
  <si>
    <t>234383</t>
  </si>
  <si>
    <t>Ароматизатор в автомобиль на солн. батарее "Тюленьчик", 8*10*8см,черный,аромат цитрус-свеж. АР-9441</t>
  </si>
  <si>
    <t>АР-9441</t>
  </si>
  <si>
    <t>4670159194408</t>
  </si>
  <si>
    <t>04670159194408</t>
  </si>
  <si>
    <t>248799</t>
  </si>
  <si>
    <t>Ароматизатор в автомобиль на солн. батарее Милая парочка, 10,5*7,5 см аромат цитрус-свеж. АТ-2424 ЧЗ</t>
  </si>
  <si>
    <t>АТ-2424</t>
  </si>
  <si>
    <t>4640306924240</t>
  </si>
  <si>
    <t>04640306924240</t>
  </si>
  <si>
    <t>248796</t>
  </si>
  <si>
    <t>Ароматизатор в автомобиль на солн. батарее Серебряный ромб, 11*7,5 см аромат цитрус-свеж. АТ-2422 ЧЗ</t>
  </si>
  <si>
    <t>АТ-2422</t>
  </si>
  <si>
    <t>4640306924226</t>
  </si>
  <si>
    <t>04640306924226</t>
  </si>
  <si>
    <t>223763</t>
  </si>
  <si>
    <t>Ароматизатор в автомобиль на солн.батарее "Диск",8*3.2см,серебр.,аромат свеж-цитрус.3в. АР-4195 ЧЗ</t>
  </si>
  <si>
    <t>АР-4195</t>
  </si>
  <si>
    <t>4670159141952</t>
  </si>
  <si>
    <t>8*3.2см</t>
  </si>
  <si>
    <t>223751</t>
  </si>
  <si>
    <t>Ароматизатор в автомобиль на солн.батарее "Сфера",6см*6см,серебр.,аромат свеж-цитрус.3 в. АР-4186 ЧЗ</t>
  </si>
  <si>
    <t>АР-4186</t>
  </si>
  <si>
    <t>4670159141860</t>
  </si>
  <si>
    <t>6*6см</t>
  </si>
  <si>
    <t>223753</t>
  </si>
  <si>
    <t>Ароматизатор в автомобиль на солн.батарее "Сфера",6см*6см,синий,аромат свеж-цитрус.3 в. АР-4188</t>
  </si>
  <si>
    <t>АР-4188</t>
  </si>
  <si>
    <t>4670159141884</t>
  </si>
  <si>
    <t>04670159141884</t>
  </si>
  <si>
    <t>223758</t>
  </si>
  <si>
    <t>Ароматизатор в автомобиль на солн.батарее "Форма",6.5*4.5см,синий,аромат свеж-цитрус.3в. АР-4193</t>
  </si>
  <si>
    <t>АР-4193</t>
  </si>
  <si>
    <t>4670159141938</t>
  </si>
  <si>
    <t>04670159141938</t>
  </si>
  <si>
    <t>6.5*4.5см</t>
  </si>
  <si>
    <t>223755</t>
  </si>
  <si>
    <t>Ароматизатор в автомобиль на солн.батарее"Малыш роб.",5см*9см,красный,аромат свеж-цитрус.3в. АР-4190</t>
  </si>
  <si>
    <t>АР-4190</t>
  </si>
  <si>
    <t>4670159141907</t>
  </si>
  <si>
    <t>5*9см</t>
  </si>
  <si>
    <t>212654</t>
  </si>
  <si>
    <t>Ароматизатор в автомобиль на солнечной батарее "Скорость", 60мм*60мм, красный АВТ-8469</t>
  </si>
  <si>
    <t>АВТ-8469</t>
  </si>
  <si>
    <t>4670159084693</t>
  </si>
  <si>
    <t>04670159084693</t>
  </si>
  <si>
    <t>212655</t>
  </si>
  <si>
    <t>Ароматизатор в автомобиль на солнечной батарее "Скорость", 60мм*60мм, серебристый АВТ-8470 ЧЗ</t>
  </si>
  <si>
    <t>АВТ-8470</t>
  </si>
  <si>
    <t>4670159084709</t>
  </si>
  <si>
    <t>04670159084709</t>
  </si>
  <si>
    <t>212653</t>
  </si>
  <si>
    <t>Ароматизатор в автомобиль на солнечной батарее "Скорость", 60мм*60мм, синий АВТ-8468</t>
  </si>
  <si>
    <t>АВТ-8468</t>
  </si>
  <si>
    <t>4670159084686</t>
  </si>
  <si>
    <t>04670159084686</t>
  </si>
  <si>
    <t>212658</t>
  </si>
  <si>
    <t>Ароматизатор в автомобиль на солнечной батарее "Шар", 58мм*58мм, черный АВТ-8473</t>
  </si>
  <si>
    <t>АВТ-8473</t>
  </si>
  <si>
    <t>4670159084730</t>
  </si>
  <si>
    <t>04670159084730</t>
  </si>
  <si>
    <t>212661</t>
  </si>
  <si>
    <t>Ароматизатор в автомобиль с подсветкой с дистанц. управ.,6*6см,200 mah,тип пит.:USB,256в АВТ-8476</t>
  </si>
  <si>
    <t>АВТ-8476</t>
  </si>
  <si>
    <t>4670159084761</t>
  </si>
  <si>
    <t>9405420029</t>
  </si>
  <si>
    <t>04670159084761</t>
  </si>
  <si>
    <t>Держатель для телефона</t>
  </si>
  <si>
    <t>248735</t>
  </si>
  <si>
    <t>Универсальный автомобильный держатель на присоске, короткая жесткая ножка металл/пластик АТ-2411</t>
  </si>
  <si>
    <t>АТ-2411</t>
  </si>
  <si>
    <t>4640306924110</t>
  </si>
  <si>
    <t>25.72.14.110</t>
  </si>
  <si>
    <t>Другое</t>
  </si>
  <si>
    <t>234422</t>
  </si>
  <si>
    <t>Подушка автомобильная на подголовник (в наборе, 2шт) "Стиль", 25*17см , черная ТП-9461</t>
  </si>
  <si>
    <t>ТП-9461</t>
  </si>
  <si>
    <t>4670159194613</t>
  </si>
  <si>
    <t>25*17 см</t>
  </si>
  <si>
    <t>234398</t>
  </si>
  <si>
    <t>Разветвитель прикуривателя на 3 гнезда, 2 USB порта (2.1А), порт Type-C, 12V/24V,120W АВТ-9448</t>
  </si>
  <si>
    <t>АВТ-9448</t>
  </si>
  <si>
    <t>4670159194484</t>
  </si>
  <si>
    <t>8536699008</t>
  </si>
  <si>
    <t>04670159194484</t>
  </si>
  <si>
    <t>Защита автомобиля от солнца</t>
  </si>
  <si>
    <t>248787</t>
  </si>
  <si>
    <t>Автомобильный чехол водонепроницаемый, полиэстер, XXL, 490×180×150 см АТ-2417</t>
  </si>
  <si>
    <t>АТ-2417</t>
  </si>
  <si>
    <t>4640306924172</t>
  </si>
  <si>
    <t>Молдинг</t>
  </si>
  <si>
    <t>234418</t>
  </si>
  <si>
    <t>Молдинг накладки для кондиционера в автомобиль 10шт, 20см, красные АВТ-9457</t>
  </si>
  <si>
    <t>АВТ-9457</t>
  </si>
  <si>
    <t>4670159194576</t>
  </si>
  <si>
    <t>3920499000</t>
  </si>
  <si>
    <t>20  см</t>
  </si>
  <si>
    <t>Пылесос ручной</t>
  </si>
  <si>
    <t>212638</t>
  </si>
  <si>
    <t>Ручной пылесос  с 3-мя насадками, 4200mah, 5V, тип питания: USB (аккумулятор), 70W АВТ-8455</t>
  </si>
  <si>
    <t>АВТ-8455</t>
  </si>
  <si>
    <t>4670159084556</t>
  </si>
  <si>
    <t>8508110000</t>
  </si>
  <si>
    <t>Светодиодные лампы</t>
  </si>
  <si>
    <t>248718</t>
  </si>
  <si>
    <t>Светодиодные LED лампы для авто 2шт H7 металл/пластик  АТ-2403</t>
  </si>
  <si>
    <t>АТ-2403</t>
  </si>
  <si>
    <t>4640306924035</t>
  </si>
  <si>
    <t>8539520009</t>
  </si>
  <si>
    <t>248720</t>
  </si>
  <si>
    <t>Светодиодные LED лампы для авто 2шт H8.9.11 металл/пластик  АТ-2405</t>
  </si>
  <si>
    <t>АТ-2405</t>
  </si>
  <si>
    <t>4640306924059</t>
  </si>
  <si>
    <t>04640306924059</t>
  </si>
  <si>
    <t>Светоотражающие наклейки</t>
  </si>
  <si>
    <t>234416</t>
  </si>
  <si>
    <t>Светоотражающие наклейки  для колес, (набор 20шт), 9*0.7см, флуоресцентные АВТ-9456</t>
  </si>
  <si>
    <t>АВТ-9456</t>
  </si>
  <si>
    <t>4670159194569</t>
  </si>
  <si>
    <t>3919900000</t>
  </si>
  <si>
    <t>9*0.7  см</t>
  </si>
  <si>
    <t>06 ЭЗОТЕРИЧЕСКИЕ ТОВАРЫ, СТМ "Знак Судьбы"</t>
  </si>
  <si>
    <t>01 Записные книжки Таролога</t>
  </si>
  <si>
    <t>220081</t>
  </si>
  <si>
    <t>Записная книга Таролога Премиум128л хол.фол,софт-тач,выб.УФ-лак(закл.с тисн.,стик.16л) зел З128-2546</t>
  </si>
  <si>
    <t>З128-2546</t>
  </si>
  <si>
    <t>4670159125464</t>
  </si>
  <si>
    <t>4820103000</t>
  </si>
  <si>
    <t>220082</t>
  </si>
  <si>
    <t>Записная книга ТарологаПремиум128л хол.фол,софт-тач,выб.УФ-лак(закл.с тисн,стик.16л) черн З128-2547</t>
  </si>
  <si>
    <t>З128-2547</t>
  </si>
  <si>
    <t>4670159125471</t>
  </si>
  <si>
    <t>178767</t>
  </si>
  <si>
    <t>Записная книга Эзотерика-Таролога (170х220 мм, 7БЦ, мат лам+тиснение, 96л) З96-0917</t>
  </si>
  <si>
    <t>З96-0917</t>
  </si>
  <si>
    <t>4620129709170</t>
  </si>
  <si>
    <t>178897</t>
  </si>
  <si>
    <t>Записная книга Эзотерика-Таролога Магия (170х220 мм, 7БЦ, мат лам+тиснение, 96л) З96-1068</t>
  </si>
  <si>
    <t>З96-1068</t>
  </si>
  <si>
    <t>4620129710688</t>
  </si>
  <si>
    <t>189501</t>
  </si>
  <si>
    <t>Настольный гримуар таролога Красный (170х220мм, 7БЦ, мат лам, 5+0,  96л) З96-6673</t>
  </si>
  <si>
    <t>З96-6673</t>
  </si>
  <si>
    <t>4620129766739</t>
  </si>
  <si>
    <t>17.23.13.191</t>
  </si>
  <si>
    <t>189502</t>
  </si>
  <si>
    <t>Настольный гримуар таролога Синий  (170х220 мм, 7БЦ, мат лам, 5+0, 96л) З96-6674</t>
  </si>
  <si>
    <t>З96-6674</t>
  </si>
  <si>
    <t>4620129766746</t>
  </si>
  <si>
    <t>02 Таро</t>
  </si>
  <si>
    <t>01 Знак судьбы</t>
  </si>
  <si>
    <t>185540</t>
  </si>
  <si>
    <t>Карты гадальные  Знак судьбы ТАРО "Ключ от всех дверей" 78 карт ГК-4577</t>
  </si>
  <si>
    <t>ГК-4577</t>
  </si>
  <si>
    <t>4620129745772</t>
  </si>
  <si>
    <t>32.40.41.000</t>
  </si>
  <si>
    <t>9504400000</t>
  </si>
  <si>
    <t>186939</t>
  </si>
  <si>
    <t>Карты гадальные  ТАРО Уайта Арт  ГК-5462</t>
  </si>
  <si>
    <t>ГК-5462</t>
  </si>
  <si>
    <t>4620129754620</t>
  </si>
  <si>
    <t>183280</t>
  </si>
  <si>
    <t>Карты для гадания  "Волшебное гадание Марии Ленорман"  (36 карт) ГК-3258</t>
  </si>
  <si>
    <t>ГК-3258</t>
  </si>
  <si>
    <t>4620129732581</t>
  </si>
  <si>
    <t>183281</t>
  </si>
  <si>
    <t>Карты для гадания  "Знаки Вселенной"  (36 карт) ГК-3259</t>
  </si>
  <si>
    <t>ГК-3259</t>
  </si>
  <si>
    <t>4620129732598</t>
  </si>
  <si>
    <t>210915</t>
  </si>
  <si>
    <t>Карты ТАРО "78 оттенков страсти" 78 карт с мешочком для колоды в комплекте ГК-7956</t>
  </si>
  <si>
    <t>ГК-7956</t>
  </si>
  <si>
    <t>4670159079569</t>
  </si>
  <si>
    <t>Не подлежит маркировке ЧЗ (игрушки 14+)</t>
  </si>
  <si>
    <t>237038</t>
  </si>
  <si>
    <t>Карты ТАРО "Коты предсказатели" 78 карт с мешочком для колоды в комплекте ГК-0993</t>
  </si>
  <si>
    <t>ГК-0993</t>
  </si>
  <si>
    <t>4670159209935</t>
  </si>
  <si>
    <t>204325</t>
  </si>
  <si>
    <t>Карты ТАРО Аниме "Мир Генсин" 78 карт с мешочком для колоды в комплекте ГК-4419</t>
  </si>
  <si>
    <t>ГК-4419</t>
  </si>
  <si>
    <t>4670159044192</t>
  </si>
  <si>
    <t>204323</t>
  </si>
  <si>
    <t>Карты ТАРО Арт Нуво "Сказания престолов" 78 карт с мешочком для колоды в комплекте ГК-4421</t>
  </si>
  <si>
    <t>ГК-4421</t>
  </si>
  <si>
    <t>4670159044215</t>
  </si>
  <si>
    <t>237037</t>
  </si>
  <si>
    <t>Карты ТАРО Уэйта Классические 78 карт с мешочком для колоды в комплекте ГК-0992</t>
  </si>
  <si>
    <t>ГК-0992</t>
  </si>
  <si>
    <t>4670159209928</t>
  </si>
  <si>
    <t>204316</t>
  </si>
  <si>
    <t>Карты ТАРО Фэшн "Château de Tarot" 78 карт с мешочком для колоды в комплекте ГК-4420</t>
  </si>
  <si>
    <t>ГК-4420</t>
  </si>
  <si>
    <t>4670159044208</t>
  </si>
  <si>
    <t>182117</t>
  </si>
  <si>
    <t>Таро "Знак судьбы" Классическое (78 карт) ГК-2797</t>
  </si>
  <si>
    <t>ГК-2797</t>
  </si>
  <si>
    <t>4620129727976</t>
  </si>
  <si>
    <t>182115</t>
  </si>
  <si>
    <t>Таро "Знак судьбы" Русское (78 карт) ГК-2796</t>
  </si>
  <si>
    <t>ГК-2796</t>
  </si>
  <si>
    <t>4620129727969</t>
  </si>
  <si>
    <t>192305</t>
  </si>
  <si>
    <t>Таро "Знак судьбы" Уэйта (78 карт) ИК-7754</t>
  </si>
  <si>
    <t>ИК-7754</t>
  </si>
  <si>
    <t>4620129777544</t>
  </si>
  <si>
    <t>194188</t>
  </si>
  <si>
    <t>Таро Райдера-Уэйта чёрное с золотистым тиснением, 78 карт ИН-8550</t>
  </si>
  <si>
    <t>ИН-8550</t>
  </si>
  <si>
    <t>4620129785501</t>
  </si>
  <si>
    <t>02 Другие</t>
  </si>
  <si>
    <t>098324</t>
  </si>
  <si>
    <t>Карты гадальные "Таро.Зеркало судьбы" (78 шт.) ГК-2745</t>
  </si>
  <si>
    <t>ГК-2745</t>
  </si>
  <si>
    <t>4665305427455</t>
  </si>
  <si>
    <t>097172</t>
  </si>
  <si>
    <t>Карты гадальные "Таро" (78 шт.) ГК-2744</t>
  </si>
  <si>
    <t>ГК-2744</t>
  </si>
  <si>
    <t>4665305427448</t>
  </si>
  <si>
    <t>03 Наборы Таро</t>
  </si>
  <si>
    <t>218490</t>
  </si>
  <si>
    <t>Набор Таро 18+ (Таро для начинающих, мешок, скатерть, гримуар) голубой ГК-2002</t>
  </si>
  <si>
    <t>ГК-2002</t>
  </si>
  <si>
    <t>4670159120025</t>
  </si>
  <si>
    <t>211217</t>
  </si>
  <si>
    <t>Эксклюзив.набор Таро 18+(Коробка-книга,мешок,скатерт,записная,Стикербук.Класич.Таро,вкл)Фиол.ГК-8029</t>
  </si>
  <si>
    <t>ГК-8029</t>
  </si>
  <si>
    <t>4670159080299</t>
  </si>
  <si>
    <t>211216</t>
  </si>
  <si>
    <t>Эксклюзив.набор Таро 18+(Коробка-книга,мешок,скатерть,записная,Стикербук,Чувс.Таро,вкл)Красн.ГК-8028</t>
  </si>
  <si>
    <t>ГК-8028</t>
  </si>
  <si>
    <t>4670159080282</t>
  </si>
  <si>
    <t>04 Метафорические карты</t>
  </si>
  <si>
    <t>200042</t>
  </si>
  <si>
    <t>Метафорические карты "Ветер перемен" ИК-1769</t>
  </si>
  <si>
    <t>ИК-1769</t>
  </si>
  <si>
    <t>4670159017691</t>
  </si>
  <si>
    <t>200041</t>
  </si>
  <si>
    <t>Метафорические карты "Путь желаний" ИК-1768</t>
  </si>
  <si>
    <t>ИК-1768</t>
  </si>
  <si>
    <t>4670159017684</t>
  </si>
  <si>
    <t>200040</t>
  </si>
  <si>
    <t>Метафорические карты "Советы и аффирмации" ИК-1767</t>
  </si>
  <si>
    <t>ИК-1767</t>
  </si>
  <si>
    <t>4670159017677</t>
  </si>
  <si>
    <t>225103</t>
  </si>
  <si>
    <t>Метафорические карты Универсальные "Самопознание" 72 карты и книга-инструкция ИК-5605</t>
  </si>
  <si>
    <t>ИК-5605</t>
  </si>
  <si>
    <t>4670159156055</t>
  </si>
  <si>
    <t>277471</t>
  </si>
  <si>
    <t>Метафорические ресурсные карты с аффирмациями "Мудрость поколений" 72 карты ИК-4581</t>
  </si>
  <si>
    <t>ИК-4581</t>
  </si>
  <si>
    <t>4680942645819</t>
  </si>
  <si>
    <t>05 Аксессуары для таро и гаданий</t>
  </si>
  <si>
    <t>Амулеты</t>
  </si>
  <si>
    <t>221341</t>
  </si>
  <si>
    <t>Амулет "Зеркало защиты", 2,5-3см Т-3061</t>
  </si>
  <si>
    <t>Т-3061</t>
  </si>
  <si>
    <t>4670159130246</t>
  </si>
  <si>
    <t>2,5-3см</t>
  </si>
  <si>
    <t>248934</t>
  </si>
  <si>
    <t>Амулет "Кулон с хризолитом" серебристый, на черном шнурке 3см Т-2442</t>
  </si>
  <si>
    <t>Т-2442</t>
  </si>
  <si>
    <t>4640306924493</t>
  </si>
  <si>
    <t>7116208000</t>
  </si>
  <si>
    <t>248933</t>
  </si>
  <si>
    <t>Амулет "Семи Архангелов"  золотистый, на золотистой цепочке 3,5см Т-2441</t>
  </si>
  <si>
    <t>Т-2441</t>
  </si>
  <si>
    <t>4640306924486</t>
  </si>
  <si>
    <t>248935</t>
  </si>
  <si>
    <t>Амулет "Семи Архангелов" черный, на черной цепочке 3,5см Т-2443</t>
  </si>
  <si>
    <t>Т-2443</t>
  </si>
  <si>
    <t>4640306924509</t>
  </si>
  <si>
    <t>Коврики для карт Таро</t>
  </si>
  <si>
    <t>218985</t>
  </si>
  <si>
    <t>Коврик декоративный для карт Таро зеленый с серебром ГК-2246</t>
  </si>
  <si>
    <t>ГК-2246</t>
  </si>
  <si>
    <t>4670159122463</t>
  </si>
  <si>
    <t>218984</t>
  </si>
  <si>
    <t>Коврик декоративный для карт Таро красный с золотом ГК-2245</t>
  </si>
  <si>
    <t>ГК-2245</t>
  </si>
  <si>
    <t>4670159122456</t>
  </si>
  <si>
    <t>218991</t>
  </si>
  <si>
    <t>Коврик декоративный для карт Таро черный с золотом ГК-2249</t>
  </si>
  <si>
    <t>ГК-2249</t>
  </si>
  <si>
    <t>4670159122494</t>
  </si>
  <si>
    <t>Мешочки для хранения карт Таро</t>
  </si>
  <si>
    <t>218982</t>
  </si>
  <si>
    <t>Мешочек для хранения карт Таро Зеленый с золотом ГК-2243</t>
  </si>
  <si>
    <t>ГК-2243</t>
  </si>
  <si>
    <t>4670159122432</t>
  </si>
  <si>
    <t>218977</t>
  </si>
  <si>
    <t>Мешочек для хранения карт Таро зеленый с серебром ГК-2239</t>
  </si>
  <si>
    <t>ГК-2239</t>
  </si>
  <si>
    <t>4670159122395</t>
  </si>
  <si>
    <t>218975</t>
  </si>
  <si>
    <t>Мешочек для хранения карт Таро красный с золотом ГК-2238</t>
  </si>
  <si>
    <t>ГК-2238</t>
  </si>
  <si>
    <t>4670159122388</t>
  </si>
  <si>
    <t>218979</t>
  </si>
  <si>
    <t>Мешочек для хранения карт Таро синий с серебром ГК-2240</t>
  </si>
  <si>
    <t>ГК-2240</t>
  </si>
  <si>
    <t>4670159122401</t>
  </si>
  <si>
    <t>218981</t>
  </si>
  <si>
    <t>Мешочек для хранения карт Таро черный с золотом ГК-2242</t>
  </si>
  <si>
    <t>ГК-2242</t>
  </si>
  <si>
    <t>4670159122425</t>
  </si>
  <si>
    <t>Подставка для благовоний</t>
  </si>
  <si>
    <t>254758</t>
  </si>
  <si>
    <t>Подставка для благовоний и аромапалочек керамическая "Рука Мудра" 21*13 см Т-2979</t>
  </si>
  <si>
    <t>Т-2979</t>
  </si>
  <si>
    <t>4640306929795</t>
  </si>
  <si>
    <t>221333</t>
  </si>
  <si>
    <t>Подставка для благовоний и ароматических палочек металлическая "Цветок жизни", 9*2см Т-3060</t>
  </si>
  <si>
    <t>Т-3060</t>
  </si>
  <si>
    <t>4670159130239</t>
  </si>
  <si>
    <t>90*20мм</t>
  </si>
  <si>
    <t>Свечи ароматические с предсказаниями</t>
  </si>
  <si>
    <t>222381</t>
  </si>
  <si>
    <t>Свеча ароматическая с деревян.фитилём "Знак судьбы"с предсказанием 6.5*6 см(в ассор-те) УД-3852</t>
  </si>
  <si>
    <t>УД-3852</t>
  </si>
  <si>
    <t>4670159138525</t>
  </si>
  <si>
    <t>04 УПАКОВКА</t>
  </si>
  <si>
    <t>01 Подарочные пакеты</t>
  </si>
  <si>
    <t xml:space="preserve">   Крафт без печати</t>
  </si>
  <si>
    <t>Крафт без печати (22*12*25)</t>
  </si>
  <si>
    <t>084277</t>
  </si>
  <si>
    <t>Пакет крафт ориджинал с крученной ручкой 22*12*25 (S) 39133-111</t>
  </si>
  <si>
    <t>39133-111</t>
  </si>
  <si>
    <t>4665305391336</t>
  </si>
  <si>
    <t>Крафт без печати (26*15*35)</t>
  </si>
  <si>
    <t>084279</t>
  </si>
  <si>
    <t>Пакет крафт ориджинал с крученной ручкой 26*15*35 (M) 39133-112</t>
  </si>
  <si>
    <t>39133-112</t>
  </si>
  <si>
    <t>4665305391343</t>
  </si>
  <si>
    <t>26*15*35</t>
  </si>
  <si>
    <t>Крафт без печати (35*15*45)</t>
  </si>
  <si>
    <t>084281</t>
  </si>
  <si>
    <t>Пакет крафт ориджинал с крученной ручкой (L) 35*15*45 39133-113</t>
  </si>
  <si>
    <t>39133-113</t>
  </si>
  <si>
    <t>4665309365289</t>
  </si>
  <si>
    <t>35*15*45</t>
  </si>
  <si>
    <t>Dream Cards (12x36x8,5)</t>
  </si>
  <si>
    <t>Dream Cards (12x36x8,5) крафт с тиснением</t>
  </si>
  <si>
    <t>272506</t>
  </si>
  <si>
    <t>Dream cards Пакет подар. белый крафт и тис.фол 12х36х8,5см  Золотистые соты, 190г соб.раз ППК-2066</t>
  </si>
  <si>
    <t>ППК-2066</t>
  </si>
  <si>
    <t>4680942618943</t>
  </si>
  <si>
    <t>272511</t>
  </si>
  <si>
    <t>Dream cards Пакет подар. белый крафт и тис.фол 12х36х8,5см Золотистый бокал, 190г соб.раз ППК-2067</t>
  </si>
  <si>
    <t>ППК-2067</t>
  </si>
  <si>
    <t>4680942618950</t>
  </si>
  <si>
    <t>265716</t>
  </si>
  <si>
    <t>Dream cards Пакет подар. из крафт-бумаги с тисн.фольг.12х36х8,5см (craft Bottle) Вино,190г ППК-3994</t>
  </si>
  <si>
    <t>ППК-3994</t>
  </si>
  <si>
    <t>4640520774034</t>
  </si>
  <si>
    <t>272502</t>
  </si>
  <si>
    <t>Dream cards Пакет подар. крафт и тис.фол 12х36х8,5 см Bottle Красная бутылка, 190г соб.раз ППК-2064</t>
  </si>
  <si>
    <t>ППК-2064</t>
  </si>
  <si>
    <t>4680942618929</t>
  </si>
  <si>
    <t>272497</t>
  </si>
  <si>
    <t>Dream cards Пакет подар. крафт и тис.фол 12х36х8,5см Bottle Красивая бутылка, 190г соб.раз ППК-2062</t>
  </si>
  <si>
    <t>ППК-2062</t>
  </si>
  <si>
    <t>4680942618905</t>
  </si>
  <si>
    <t>272500</t>
  </si>
  <si>
    <t>Dream cards Пакет подар. крафт и тис.фол. 12х36х8,5 см (Bottle) С любовью, 190г соб.раз ППК-2063</t>
  </si>
  <si>
    <t>ППК-2063</t>
  </si>
  <si>
    <t>4680942618912</t>
  </si>
  <si>
    <t>263210</t>
  </si>
  <si>
    <t>Dream cards Пакет подар. крафт с тисн.12x36x8,5см(Bottle)Специально для тебя, 190г(соб.раз) ППК-1235</t>
  </si>
  <si>
    <t>ППК-1235</t>
  </si>
  <si>
    <t>4640520771279</t>
  </si>
  <si>
    <t>263207</t>
  </si>
  <si>
    <t>Dream cards Пакет подар. крафт с тиснен. 12x36x8,5см(Bottle) Режим праздника, 190г(соб.раз) ППК-1232</t>
  </si>
  <si>
    <t>ППК-1232</t>
  </si>
  <si>
    <t>4640520771248</t>
  </si>
  <si>
    <t>265717</t>
  </si>
  <si>
    <t>Dream cards Пакет подар.из крафт-бумаги с тисн.фольг.12х36х8,5см(craft Bottle)Классика,190г ППК-3995</t>
  </si>
  <si>
    <t>ППК-3995</t>
  </si>
  <si>
    <t>4640520774041</t>
  </si>
  <si>
    <t>272504</t>
  </si>
  <si>
    <t>Dream cards Пакет подарочный белый крафт и тис.фол 12х36х8,5см Bottle Цветы, 190г соб.раз ППК-2065</t>
  </si>
  <si>
    <t>ППК-2065</t>
  </si>
  <si>
    <t>4680942618936</t>
  </si>
  <si>
    <t>263209</t>
  </si>
  <si>
    <t>Dream cards Пакет подарочный крафт с тиснен 12x36x8,5см(Bottle) Хорошая идея, 190г(соб.раз) ППК-1234</t>
  </si>
  <si>
    <t>ППК-1234</t>
  </si>
  <si>
    <t>4640520771262</t>
  </si>
  <si>
    <t>263200</t>
  </si>
  <si>
    <t>Dream cards Пакет подарочный крафт с тиснен. 12x36x8,5см (Bottle) Для тебя, 190г (соб.раз) ППК-1231</t>
  </si>
  <si>
    <t>ППК-1231</t>
  </si>
  <si>
    <t>4640520771231</t>
  </si>
  <si>
    <t>263208</t>
  </si>
  <si>
    <t>Dream cards Пакет подарочный крафт с тиснен. 12x36x8,5см (Bottle) Пей вино, 190г (соб.раз) ППК-1233</t>
  </si>
  <si>
    <t>ППК-1233</t>
  </si>
  <si>
    <t>4640520771255</t>
  </si>
  <si>
    <t>Dream Cards (12x36x8,5) матовая ламинация и тиснение фольгой</t>
  </si>
  <si>
    <t>272514</t>
  </si>
  <si>
    <t>Dream cards Пакет подар. мат.лам и тис. 12х36х8,5см Bottle Стильная бутылка, 190г соб.раз ППК-2070</t>
  </si>
  <si>
    <t>ППК-2070</t>
  </si>
  <si>
    <t>4680942618981</t>
  </si>
  <si>
    <t>272517</t>
  </si>
  <si>
    <t>Dream cards Пакет подар. мат.лам и тис. 12х36х8,5см Бокал для настроения, 190г соб.раз ППК-2072</t>
  </si>
  <si>
    <t>ППК-2072</t>
  </si>
  <si>
    <t>4680942619001</t>
  </si>
  <si>
    <t>272513</t>
  </si>
  <si>
    <t>Dream cards Пакет подар. мат.лам. и тис. 12х36х8,5см Bottle Красный с узором, 190г соб.раз ППК-2069</t>
  </si>
  <si>
    <t>ППК-2069</t>
  </si>
  <si>
    <t>4680942618974</t>
  </si>
  <si>
    <t>263513</t>
  </si>
  <si>
    <t>Dream cards Пакет подар. тисн. и мат.лам. 12x36x8,5см Бант,190г (соб.разр) ППК-9009</t>
  </si>
  <si>
    <t>ППК-9009</t>
  </si>
  <si>
    <t>4640520771989</t>
  </si>
  <si>
    <t>263517</t>
  </si>
  <si>
    <t>Dream cards Пакет подар. тисн. и мат.лам. 12x36x8,5см Бокал мартини,190г (соб.разр) ППК-9012</t>
  </si>
  <si>
    <t>ППК-9012</t>
  </si>
  <si>
    <t>4640520772023</t>
  </si>
  <si>
    <t>263519</t>
  </si>
  <si>
    <t>Dream cards Пакет подар. тисн. и мат.лам. 12x36x8,5см Джентельмен,190г (соб.разр) ППК-9015</t>
  </si>
  <si>
    <t>ППК-9015</t>
  </si>
  <si>
    <t>4640520772047</t>
  </si>
  <si>
    <t>263518</t>
  </si>
  <si>
    <t>Dream cards Пакет подар. тисн. и мат.лам. 12x36x8,5см Для тебя,190г (соб.разр) ППК-9014</t>
  </si>
  <si>
    <t>ППК-9014</t>
  </si>
  <si>
    <t>4640520772030</t>
  </si>
  <si>
    <t>263515</t>
  </si>
  <si>
    <t>Dream cards Пакет подар. тисн. и мат.лам. 12x36x8,5см Красный бант,190г (соб.разр) ППК-9013</t>
  </si>
  <si>
    <t>ППК-9013</t>
  </si>
  <si>
    <t>4640520772009</t>
  </si>
  <si>
    <t>263514</t>
  </si>
  <si>
    <t>Dream cards Пакет подар. тисн. и мат.лам. 12x36x8,5см Лучшие пожелания,190г(соб.разр) ППК-9010</t>
  </si>
  <si>
    <t>ППК-9010</t>
  </si>
  <si>
    <t>4640520771996</t>
  </si>
  <si>
    <t>263512</t>
  </si>
  <si>
    <t>Dream cards Пакет подар. тисн. и мат.лам. 12x36x8,5см Пузырьки,190г (соб.разр) ППК-9008</t>
  </si>
  <si>
    <t>ППК-9008</t>
  </si>
  <si>
    <t>4640520771972</t>
  </si>
  <si>
    <t>272516</t>
  </si>
  <si>
    <t>Dream cards Пакет подар.мат.лам и тис. 12х36х8,5см Bottle Подарок для тебя, 190г соб.раз ППК-2071</t>
  </si>
  <si>
    <t>ППК-2071</t>
  </si>
  <si>
    <t>4680942618998</t>
  </si>
  <si>
    <t>272512</t>
  </si>
  <si>
    <t>Dream cards Пакет подарочный мат.лам и тис.12х36х8,5см Bottle Синий с узором,190г соб.раз ППК-2068</t>
  </si>
  <si>
    <t>ППК-2068</t>
  </si>
  <si>
    <t>4680942618967</t>
  </si>
  <si>
    <t>Крафт</t>
  </si>
  <si>
    <t>Крафт без обработки</t>
  </si>
  <si>
    <t>265712</t>
  </si>
  <si>
    <t>Пакет подар. из крафт-бумаги 12x36x8,5см (craft bottle) Бокальчик красного,130г (соб.разр) ППК-3990</t>
  </si>
  <si>
    <t>ППК-3990</t>
  </si>
  <si>
    <t>4640520773990</t>
  </si>
  <si>
    <t>265715</t>
  </si>
  <si>
    <t>Пакет подар. из крафт-бумаги 12x36x8,5см (craft bottle) Винишка?,130г (соб.разр) ППК-3993</t>
  </si>
  <si>
    <t>ППК-3993</t>
  </si>
  <si>
    <t>4640520774027</t>
  </si>
  <si>
    <t>265713</t>
  </si>
  <si>
    <t>Пакет подар. из крафт-бумаги 12x36x8,5см (craft bottle) Набор на вечер,130г (соб.разр) ППК-3991</t>
  </si>
  <si>
    <t>ППК-3991</t>
  </si>
  <si>
    <t>4640520774003</t>
  </si>
  <si>
    <t>265714</t>
  </si>
  <si>
    <t>Пакет подар. из крафт-бумаги 12x36x8,5см (craft bottle) Цветочки для тебя,130г (соб.разр) ППК-3992</t>
  </si>
  <si>
    <t>ППК-3992</t>
  </si>
  <si>
    <t>4640520774010</t>
  </si>
  <si>
    <t>263507</t>
  </si>
  <si>
    <t>Пакет подар. из крафт-бумаги 12x36x8,5см(craft bottle) Вино,130г (соб.разр) ППК-9003</t>
  </si>
  <si>
    <t>ППК-9003</t>
  </si>
  <si>
    <t>4640520771927</t>
  </si>
  <si>
    <t>263508</t>
  </si>
  <si>
    <t>Пакет подар. из крафт-бумаги 12x36x8,5см(craft bottle) Кот и вино,130г (соб.разр) ППК-9004</t>
  </si>
  <si>
    <t>ППК-9004</t>
  </si>
  <si>
    <t>4640520771934</t>
  </si>
  <si>
    <t>263505</t>
  </si>
  <si>
    <t>Пакет подар. из крафт-бумаги 12x36x8,5см(craft bottle) Лучший подарок,130г (соб.разр) ППК-9001</t>
  </si>
  <si>
    <t>ППК-9001</t>
  </si>
  <si>
    <t>4640520771903</t>
  </si>
  <si>
    <t>263504</t>
  </si>
  <si>
    <t>Пакет подар. из крафт-бумаги 12x36x8,5см(craft bottle) Настоящий мужчина,130г(соб.разр) ППК-9000</t>
  </si>
  <si>
    <t>ППК-9000</t>
  </si>
  <si>
    <t>4640520771897</t>
  </si>
  <si>
    <t>263510</t>
  </si>
  <si>
    <t>Пакет подар. из крафт-бумаги 12x36x8,5см(craft bottle) Пей вино,130г (соб.разр) ППК-9006</t>
  </si>
  <si>
    <t>ППК-9006</t>
  </si>
  <si>
    <t>4640520771958</t>
  </si>
  <si>
    <t>263511</t>
  </si>
  <si>
    <t>Пакет подар. из крафт-бумаги 12x36x8,5см(craft bottle) Поздравляю,130г (соб.разр) ППК-9007</t>
  </si>
  <si>
    <t>ППК-9007</t>
  </si>
  <si>
    <t>4640520771965</t>
  </si>
  <si>
    <t>263509</t>
  </si>
  <si>
    <t>Пакет подар. из крафт-бумаги 12x36x8,5см(craft bottle) Праздник,130г (соб.разр) ППК-9005</t>
  </si>
  <si>
    <t>ППК-9005</t>
  </si>
  <si>
    <t>4640520771941</t>
  </si>
  <si>
    <t>263506</t>
  </si>
  <si>
    <t>Пакет подар. из крафт-бумаги 12x36x8,5см(craft bottle)Настоящему мужчине,130г(соб.разр) ППК-9002</t>
  </si>
  <si>
    <t>ППК-9002</t>
  </si>
  <si>
    <t>4640520771910</t>
  </si>
  <si>
    <t>272521</t>
  </si>
  <si>
    <t>Пакет подарочный крафт 12x36x8,5 см (Craft Bottle) Бокал, 130 г (собс.разр.) ППК-2076</t>
  </si>
  <si>
    <t>ППК-2076</t>
  </si>
  <si>
    <t>4680942619049</t>
  </si>
  <si>
    <t>272518</t>
  </si>
  <si>
    <t>Пакет подарочный крафт 12x36x8,5 см (Craft Bottle) Виноградная лоза, 130 г (собс.разр.) ППК-2073</t>
  </si>
  <si>
    <t>ППК-2073</t>
  </si>
  <si>
    <t>4680942619018</t>
  </si>
  <si>
    <t>272520</t>
  </si>
  <si>
    <t>Пакет подарочный крафт 12x36x8,5 см (Craft Bottle) Для хорошего вечера, 130 г (собс.разр.) ППК-2075</t>
  </si>
  <si>
    <t>ППК-2075</t>
  </si>
  <si>
    <t>4680942619032</t>
  </si>
  <si>
    <t>272522</t>
  </si>
  <si>
    <t>Пакет подарочный крафт 12x36x8,5 см (Craft Bottle) Корзина с вином, 130 г (собс.разр.) ППК-2077</t>
  </si>
  <si>
    <t>ППК-2077</t>
  </si>
  <si>
    <t>4680942619056</t>
  </si>
  <si>
    <t>272523</t>
  </si>
  <si>
    <t>Пакет подарочный крафт 12x36x8,5 см (Craft Bottle) Радость вкуса, 130 г (собс.разр.) ППК-2078</t>
  </si>
  <si>
    <t>ППК-2078</t>
  </si>
  <si>
    <t>4680942619063</t>
  </si>
  <si>
    <t>272519</t>
  </si>
  <si>
    <t>Пакет подарочный крафт 12x36x8,5 см (Craft Bottle) Розовая бутылочка, 130 г (собс.разр.) ППК-2074</t>
  </si>
  <si>
    <t>ППК-2074</t>
  </si>
  <si>
    <t>4680942619025</t>
  </si>
  <si>
    <t>272524</t>
  </si>
  <si>
    <t>Пакет подарочный крафт 12x36x8,5 см (Craft Bottle) Цветы для тебя, 130 г (собс.разр.) ППК-2079</t>
  </si>
  <si>
    <t>ППК-2079</t>
  </si>
  <si>
    <t>4680942619070</t>
  </si>
  <si>
    <t>Крафт с тиснением</t>
  </si>
  <si>
    <t>226704</t>
  </si>
  <si>
    <t>Пакет подар. из крафт-бумаги с тисн.фольг.12.5х36.5х9см(craft Bottle) крас.бутылка 200г ППК-6122</t>
  </si>
  <si>
    <t>ППК-6122</t>
  </si>
  <si>
    <t>4670159161226</t>
  </si>
  <si>
    <t>(Bottle) 12.5*36.5*9 cm</t>
  </si>
  <si>
    <t>226706</t>
  </si>
  <si>
    <t>Пакет подар. из крафт-бумаги с тисн.фольг.12.5х36.5х9см(craft Bottle) сереб. бутылка 200г ППК-6124</t>
  </si>
  <si>
    <t>ППК-6124</t>
  </si>
  <si>
    <t>4670159161240</t>
  </si>
  <si>
    <t>Стандарт 157 г</t>
  </si>
  <si>
    <t>Глянцевая ламинация (12 х 36 х 9)</t>
  </si>
  <si>
    <t>265726</t>
  </si>
  <si>
    <t>Пакет подар. с глянц. лам. 12x36x8,5см Бокалы,157г (соб.разр) ППК-3999</t>
  </si>
  <si>
    <t>ППК-3999</t>
  </si>
  <si>
    <t>4640520774089</t>
  </si>
  <si>
    <t>265724</t>
  </si>
  <si>
    <t>Пакет подар. с глянц. лам. 12x36x8,5см Брызги шампанского,157г (соб.разр) ППК-3997</t>
  </si>
  <si>
    <t>ППК-3997</t>
  </si>
  <si>
    <t>4640520774065</t>
  </si>
  <si>
    <t>265723</t>
  </si>
  <si>
    <t>Пакет подар. с глянц. лам. 12x36x8,5см Золотистые волны,157г (соб.разр) ППК-3996</t>
  </si>
  <si>
    <t>ППК-3996</t>
  </si>
  <si>
    <t>4640520774058</t>
  </si>
  <si>
    <t>263521</t>
  </si>
  <si>
    <t>Пакет подар. с глянц. лам. 12x36x8,5см Истина в вине,157г (соб.разр) ППК-9017</t>
  </si>
  <si>
    <t>ППК-9017</t>
  </si>
  <si>
    <t>4640520772061</t>
  </si>
  <si>
    <t>263524</t>
  </si>
  <si>
    <t>Пакет подар. с глянц. лам. 12x36x8,5см Классический подарок,157г (соб.разр) ППК-9020</t>
  </si>
  <si>
    <t>ППК-9020</t>
  </si>
  <si>
    <t>4640520772092</t>
  </si>
  <si>
    <t>263520</t>
  </si>
  <si>
    <t>Пакет подар. с глянц. лам. 12x36x8,5см Наслаждайся моментом,157г (соб.разр) ППК-9016</t>
  </si>
  <si>
    <t>ППК-9016</t>
  </si>
  <si>
    <t>4640520772054</t>
  </si>
  <si>
    <t>263525</t>
  </si>
  <si>
    <t>Пакет подар. с глянц. лам. 12x36x8,5см Подарок мужчине,157г (соб.разр) ППК-9021</t>
  </si>
  <si>
    <t>ППК-9021</t>
  </si>
  <si>
    <t>4640520772108</t>
  </si>
  <si>
    <t>263522</t>
  </si>
  <si>
    <t>Пакет подар. с глянц. лам. 12x36x8,5см Подарок,157г (соб.разр) ППК-9018</t>
  </si>
  <si>
    <t>ППК-9018</t>
  </si>
  <si>
    <t>4640520772078</t>
  </si>
  <si>
    <t>265727</t>
  </si>
  <si>
    <t>Пакет подар. с глянц. лам. 12x36x8,5см Поздравляю!, синий,157г (соб.разр) ППК-4000</t>
  </si>
  <si>
    <t>ППК-4000</t>
  </si>
  <si>
    <t>4640520774096</t>
  </si>
  <si>
    <t>263523</t>
  </si>
  <si>
    <t>Пакет подар. с глянц. лам. 12x36x8,5см Специально для тебя,157г (соб.разр) ППК-9019</t>
  </si>
  <si>
    <t>ППК-9019</t>
  </si>
  <si>
    <t>4640520772085</t>
  </si>
  <si>
    <t>265725</t>
  </si>
  <si>
    <t>Пакет подар. с глянц. лам. 12x36x8,5см Стильный дизайн,157г (соб.разр) ППК-3998</t>
  </si>
  <si>
    <t>ППК-3998</t>
  </si>
  <si>
    <t>4640520774072</t>
  </si>
  <si>
    <t>272490</t>
  </si>
  <si>
    <t>Пакет подарочный с глянц.лам. 12х36х8,5 см (Bottle) Бокальчик красного, 157г (собст.разр.) ППК-2059</t>
  </si>
  <si>
    <t>ППК-2059</t>
  </si>
  <si>
    <t>4680942618875</t>
  </si>
  <si>
    <t>272480</t>
  </si>
  <si>
    <t>Пакет подарочный с глянц.лам. 12х36х8,5 см (Bottle) Бутылка вина, 157г (собст.разр.) ППК-2052</t>
  </si>
  <si>
    <t>ППК-2052</t>
  </si>
  <si>
    <t>4680942618806</t>
  </si>
  <si>
    <t>272478</t>
  </si>
  <si>
    <t>Пакет подарочный с глянц.лам. 12х36х8,5 см (Bottle) Бутылка виски, 157г (собст.разр.) ППК-2051</t>
  </si>
  <si>
    <t>ППК-2051</t>
  </si>
  <si>
    <t>4680942618790</t>
  </si>
  <si>
    <t>272488</t>
  </si>
  <si>
    <t>Пакет подарочный с глянц.лам. 12х36х8,5 см (Bottle) Бутылочка красного, 157г (собст.разр.) ППК-2058</t>
  </si>
  <si>
    <t>ППК-2058</t>
  </si>
  <si>
    <t>4680942618868</t>
  </si>
  <si>
    <t>272486</t>
  </si>
  <si>
    <t>Пакет подарочный с глянц.лам. 12х36х8,5 см (Bottle) Два бокала, 157г (собст.разр.) ППК-2056</t>
  </si>
  <si>
    <t>ППК-2056</t>
  </si>
  <si>
    <t>4680942618844</t>
  </si>
  <si>
    <t>272495</t>
  </si>
  <si>
    <t>Пакет подарочный с глянц.лам. 12х36х8,5 см (Bottle) Для Вас, 157г (собст.разр.) ППК-2061</t>
  </si>
  <si>
    <t>ППК-2061</t>
  </si>
  <si>
    <t>4680942618899</t>
  </si>
  <si>
    <t>272484</t>
  </si>
  <si>
    <t>Пакет подарочный с глянц.лам. 12х36х8,5 см (Bottle) Для настроения, 157г (собст.разр.) ППК-2055</t>
  </si>
  <si>
    <t>ППК-2055</t>
  </si>
  <si>
    <t>4680942618837</t>
  </si>
  <si>
    <t>272481</t>
  </si>
  <si>
    <t>Пакет подарочный с глянц.лам. 12х36х8,5 см (Bottle) Для тебя, 157г (собст.разр.) ППК-2053</t>
  </si>
  <si>
    <t>ППК-2053</t>
  </si>
  <si>
    <t>4680942618813</t>
  </si>
  <si>
    <t>272487</t>
  </si>
  <si>
    <t>Пакет подарочный с глянц.лам. 12х36х8,5 см (Bottle) С бантом, 157г (собст.разр.) ППК-2057</t>
  </si>
  <si>
    <t>ППК-2057</t>
  </si>
  <si>
    <t>4680942618851</t>
  </si>
  <si>
    <t>272470</t>
  </si>
  <si>
    <t>Пакет подарочный с глянц.лам. 12х36х8,5 см (Bottle) Хорошего настроения, 157г (собст.разр.) ППК-2050</t>
  </si>
  <si>
    <t>ППК-2050</t>
  </si>
  <si>
    <t>4680942618783</t>
  </si>
  <si>
    <t>272483</t>
  </si>
  <si>
    <t>Пакет подарочный с глянц.лам. 12х36х8,5 см (Bottle) Хороший вечер, 157г (собст.разр.) ППК-2054</t>
  </si>
  <si>
    <t>ППК-2054</t>
  </si>
  <si>
    <t>4680942618820</t>
  </si>
  <si>
    <t>272493</t>
  </si>
  <si>
    <t>Пакет подарочный с глянц.лам. 12х36х8,5 см (Bottle) Хороший подарок, 157г (собст.разр.) ППК-2060</t>
  </si>
  <si>
    <t>ППК-2060</t>
  </si>
  <si>
    <t>4680942618882</t>
  </si>
  <si>
    <t>243281</t>
  </si>
  <si>
    <t>Пакет подарочный с глянцевой ламинацией 12х36х8,5 см (Bottle) Абстракция, 157 г ПКП-9129</t>
  </si>
  <si>
    <t>ПКП-9129</t>
  </si>
  <si>
    <t>4670159231295</t>
  </si>
  <si>
    <t>(Bottle) 12*36*8,5</t>
  </si>
  <si>
    <t>243284</t>
  </si>
  <si>
    <t>Пакет подарочный с глянцевой ламинацией 12х36х8,5 см (Bottle) Алкоголь, 157 г ПКП-9131</t>
  </si>
  <si>
    <t>ПКП-9131</t>
  </si>
  <si>
    <t>4670159231318</t>
  </si>
  <si>
    <t>243290</t>
  </si>
  <si>
    <t>Пакет подарочный с глянцевой ламинацией 12х36х8,5 см (Bottle) Бокал вина, 157 г ПКП-9137</t>
  </si>
  <si>
    <t>ПКП-9137</t>
  </si>
  <si>
    <t>4670159231370</t>
  </si>
  <si>
    <t>243285</t>
  </si>
  <si>
    <t>Пакет подарочный с глянцевой ламинацией 12х36х8,5 см (Bottle) Бокал виски, 157 г ПКП-9132</t>
  </si>
  <si>
    <t>ПКП-9132</t>
  </si>
  <si>
    <t>4670159231325</t>
  </si>
  <si>
    <t>243289</t>
  </si>
  <si>
    <t>Пакет подарочный с глянцевой ламинацией 12х36х8,5 см (Bottle) Волны, 157 г ПКП-9136</t>
  </si>
  <si>
    <t>ПКП-9136</t>
  </si>
  <si>
    <t>4670159231363</t>
  </si>
  <si>
    <t>243288</t>
  </si>
  <si>
    <t>Пакет подарочный с глянцевой ламинацией 12х36х8,5 см (Bottle) Капли, 157 г ПКП-9135</t>
  </si>
  <si>
    <t>ПКП-9135</t>
  </si>
  <si>
    <t>4670159231356</t>
  </si>
  <si>
    <t>243287</t>
  </si>
  <si>
    <t>Пакет подарочный с глянцевой ламинацией 12х36х8,5 см (Bottle) Кот, 157 г ПКП-9134</t>
  </si>
  <si>
    <t>ПКП-9134</t>
  </si>
  <si>
    <t>4670159231349</t>
  </si>
  <si>
    <t>243291</t>
  </si>
  <si>
    <t>Пакет подарочный с глянцевой ламинацией 12х36х8,5 см (Bottle) Лед, 157 г ПКП-9138</t>
  </si>
  <si>
    <t>ПКП-9138</t>
  </si>
  <si>
    <t>4670159231387</t>
  </si>
  <si>
    <t>243292</t>
  </si>
  <si>
    <t>Пакет подарочный с глянцевой ламинацией 12х36х8,5 см Кубики льда (Bottle), 157 г ПКП-9139</t>
  </si>
  <si>
    <t>ПКП-9139</t>
  </si>
  <si>
    <t>4670159231394</t>
  </si>
  <si>
    <t>243294</t>
  </si>
  <si>
    <t>Пакет подарочный с глянцевой ламинацией 12х36х8,5 см(Bottle) Кот 2, 157 г ПКП-9140</t>
  </si>
  <si>
    <t>ПКП-9140</t>
  </si>
  <si>
    <t>4670159231400</t>
  </si>
  <si>
    <t>236088</t>
  </si>
  <si>
    <t>Optima  Пакет подарочный с глянц.лам. 11,5х14,5х6 см (S) Красивые цветы в вазе, 128 г ПКП-0303</t>
  </si>
  <si>
    <t>ПКП-0303</t>
  </si>
  <si>
    <t>4670159203919</t>
  </si>
  <si>
    <t>11,5 х 14,5 х 6</t>
  </si>
  <si>
    <t>261749</t>
  </si>
  <si>
    <t>Optima Пакет подарочный с глянц. лам. 11,5х14,5х6 см (S) Ароматные пионы, 128 г ППК-7936</t>
  </si>
  <si>
    <t>ППК-7936</t>
  </si>
  <si>
    <t>4630493779365</t>
  </si>
  <si>
    <t>261756</t>
  </si>
  <si>
    <t>Optima Пакет подарочный с глянц. лам. 11,5х14,5х6 см (S) Нарциссы, 128 г ППК-7943</t>
  </si>
  <si>
    <t>ППК-7943</t>
  </si>
  <si>
    <t>4630493779433</t>
  </si>
  <si>
    <t>261748</t>
  </si>
  <si>
    <t>Optima Пакет подарочный с глянц. лам. 11,5х14,5х6 см (S) Цветок страсти 128 г ППК-7935</t>
  </si>
  <si>
    <t>ППК-7935</t>
  </si>
  <si>
    <t>4630493779358</t>
  </si>
  <si>
    <t>261759</t>
  </si>
  <si>
    <t>Optima Пакет подарочный с глянц. лам. 11,5х14,5х6 см (S) Цветы голубые, 128 г ППК-7946</t>
  </si>
  <si>
    <t>ППК-7946</t>
  </si>
  <si>
    <t>4630493779464</t>
  </si>
  <si>
    <t>261760</t>
  </si>
  <si>
    <t>Optima Пакет подарочный с глянц. лам. 11,5х14,5х6 см (S) Цветы жёлтые, 128 г ППК-7947</t>
  </si>
  <si>
    <t>ППК-7947</t>
  </si>
  <si>
    <t>4630493779471</t>
  </si>
  <si>
    <t>261763</t>
  </si>
  <si>
    <t>Optima Пакет подарочный с глянц. лам. 11,5х14,5х6 см(S) Аромат весны, 128 г ППК-7950</t>
  </si>
  <si>
    <t>ППК-7950</t>
  </si>
  <si>
    <t>4630493779501</t>
  </si>
  <si>
    <t>261762</t>
  </si>
  <si>
    <t>Optima Пакет подарочный с глянц. лам. 11,5х14,5х6 см(S) Весенние цветы, 128 г ППК-7949</t>
  </si>
  <si>
    <t>ППК-7949</t>
  </si>
  <si>
    <t>4630493779495</t>
  </si>
  <si>
    <t>261765</t>
  </si>
  <si>
    <t>Optima Пакет подарочный с глянц. лам. 11,5х14,5х6 см(S) Цветочное настроение, 128 г ППК-7952</t>
  </si>
  <si>
    <t>ППК-7952</t>
  </si>
  <si>
    <t>4630493779525</t>
  </si>
  <si>
    <t>261764</t>
  </si>
  <si>
    <t>Optima Пакет подарочный с глянц. лам. 11,5х14,5х6 см(S) Яркий цвет, 128 г ППК-7951</t>
  </si>
  <si>
    <t>ППК-7951</t>
  </si>
  <si>
    <t>4630493779518</t>
  </si>
  <si>
    <t>261690</t>
  </si>
  <si>
    <t>Optima Пакет подарочный с глянц.лам. 11,5x14,5x6см (S) Love you, 128г (соб.разр) ППК-7878</t>
  </si>
  <si>
    <t>ППК-7878</t>
  </si>
  <si>
    <t>4630493778788</t>
  </si>
  <si>
    <t>261691</t>
  </si>
  <si>
    <t>Optima Пакет подарочный с глянц.лам. 11,5x14,5x6см (S) Meow, 128г (соб.разр) ППК-7879</t>
  </si>
  <si>
    <t>ППК-7879</t>
  </si>
  <si>
    <t>4630493778795</t>
  </si>
  <si>
    <t>261696</t>
  </si>
  <si>
    <t>Optima Пакет подарочный с глянц.лам. 11,5x14,5x6см (S) Джентельмен, 128г (соб.разр) ППК-7884</t>
  </si>
  <si>
    <t>ППК-7884</t>
  </si>
  <si>
    <t>4630493778849</t>
  </si>
  <si>
    <t>261692</t>
  </si>
  <si>
    <t>Optima Пакет подарочный с глянц.лам. 11,5x14,5x6см (S) Зайка с сердечком, 128г (соб.разр) ППК-7880</t>
  </si>
  <si>
    <t>ППК-7880</t>
  </si>
  <si>
    <t>4630493778801</t>
  </si>
  <si>
    <t>261688</t>
  </si>
  <si>
    <t>Optima Пакет подарочный с глянц.лам. 11,5x14,5x6см (S) Контурные маки, 128г (соб.разр) ППК-7877</t>
  </si>
  <si>
    <t>ППК-7877</t>
  </si>
  <si>
    <t>4630493778771</t>
  </si>
  <si>
    <t>261695</t>
  </si>
  <si>
    <t>Optima Пакет подарочный с глянц.лам. 11,5x14,5x6см (S) Куча подарков, 128г (соб.разр) ППК-7883</t>
  </si>
  <si>
    <t>ППК-7883</t>
  </si>
  <si>
    <t>4630493778832</t>
  </si>
  <si>
    <t>236093</t>
  </si>
  <si>
    <t>Optima Пакет подарочный с глянц.лам. 11,5х14,5х6 см (S) Весенняя кошечка, 128 г ПКП-0308</t>
  </si>
  <si>
    <t>ПКП-0308</t>
  </si>
  <si>
    <t>4670159203964</t>
  </si>
  <si>
    <t>236085</t>
  </si>
  <si>
    <t>Optima Пакет подарочный с глянц.лам. 11,5х14,5х6 см (S) Восточный цветок 128 г ПКП-0300</t>
  </si>
  <si>
    <t>ПКП-0300</t>
  </si>
  <si>
    <t>4670159203889</t>
  </si>
  <si>
    <t>236091</t>
  </si>
  <si>
    <t>Optima Пакет подарочный с глянц.лам. 11,5х14,5х6 см (S) Девочка с бабочкой, 128 г ПКП-0306</t>
  </si>
  <si>
    <t>ПКП-0306</t>
  </si>
  <si>
    <t>4670159203940</t>
  </si>
  <si>
    <t>236092</t>
  </si>
  <si>
    <t>Optima Пакет подарочный с глянц.лам. 11,5х14,5х6 см (S) Золотистый ретривер, 128 г ПКП-0307</t>
  </si>
  <si>
    <t>ПКП-0307</t>
  </si>
  <si>
    <t>4670159203957</t>
  </si>
  <si>
    <t>252749</t>
  </si>
  <si>
    <t>Optima Пакет подарочный с глянц.ламин. 11,5х14,5х6 см (S) Зайчики, 128г  (собст.разр.) ППК-2734</t>
  </si>
  <si>
    <t>ППК-2734</t>
  </si>
  <si>
    <t>4640306927340</t>
  </si>
  <si>
    <t>252744</t>
  </si>
  <si>
    <t>Optima Пакет подарочный с глянц.ламин. 11,5х14,5х6 см (S) Милые котики, 128г  (собст.разр.) ППК-2728</t>
  </si>
  <si>
    <t>ППК-2728</t>
  </si>
  <si>
    <t>4640306927289</t>
  </si>
  <si>
    <t>252745</t>
  </si>
  <si>
    <t>Optima Пакет подарочный с глянц.ламин. 11,5х14,5х6 см (S) Много счастья, 128г (собст.разр.) ППК-2729</t>
  </si>
  <si>
    <t>ППК-2729</t>
  </si>
  <si>
    <t>4640306927296</t>
  </si>
  <si>
    <t>252748</t>
  </si>
  <si>
    <t>Optima Пакет подарочный с глянц.ламин. 11,5х14,5х6 см (S) Полосы, 128г  (собст.разр.) ППК-2732</t>
  </si>
  <si>
    <t>ППК-2732</t>
  </si>
  <si>
    <t>4640306927326</t>
  </si>
  <si>
    <t>252746</t>
  </si>
  <si>
    <t>Optima Пакет подарочный с глянц.ламин. 11,5х14,5х6 см (S) Праздничный кот,128г (собст.разр) ППК-2730</t>
  </si>
  <si>
    <t>ППК-2730</t>
  </si>
  <si>
    <t>4640306927302</t>
  </si>
  <si>
    <t>252747</t>
  </si>
  <si>
    <t>Optima Пакет подарочный с глянц.ламин. 11,5х14,5х6 см (S) Синяя бабочка, 128г (собст.разр.) ППК-2731</t>
  </si>
  <si>
    <t>ППК-2731</t>
  </si>
  <si>
    <t>4640306927319</t>
  </si>
  <si>
    <t>252750</t>
  </si>
  <si>
    <t>Optima Пакет подарочный с глянц.ламин. 11,5х14,5х6 см (S) Цветок, 128г  (собст.разр.) ППК-2736</t>
  </si>
  <si>
    <t>ППК-2736</t>
  </si>
  <si>
    <t>4640306927364</t>
  </si>
  <si>
    <t>229620</t>
  </si>
  <si>
    <t>Optima Пакет подарочный с глянцевой ламин. 11,5х14,5х6 см (S) Долгожданные тюльпаны, 128 г ППК-4291</t>
  </si>
  <si>
    <t>ППК-4291</t>
  </si>
  <si>
    <t>4670159142911</t>
  </si>
  <si>
    <t>Optima      11,5х14,5х6 см (S)</t>
  </si>
  <si>
    <t>234003</t>
  </si>
  <si>
    <t>Optima Пакет подарочный с глянцевой ламин. 11,5х14,5х6 см (S) Желтые тюльпаны, 128 г, ПКП-9027</t>
  </si>
  <si>
    <t>ПКП-9027</t>
  </si>
  <si>
    <t>4670159190271</t>
  </si>
  <si>
    <t>229625</t>
  </si>
  <si>
    <t>Optima Пакет подарочный с глянцевой ламинацией 11,5х14,5х6 см(S) Полевые цветы, 128 г ППК-4296</t>
  </si>
  <si>
    <t>ППК-4296</t>
  </si>
  <si>
    <t>4670159142966</t>
  </si>
  <si>
    <t>S Крафт</t>
  </si>
  <si>
    <t>261800</t>
  </si>
  <si>
    <t>Пакет подарочный из крафт-бумаги 16х18х7см (craft S) Милота, 130 г(собс.разр.) ППК-7978</t>
  </si>
  <si>
    <t>ППК-7978</t>
  </si>
  <si>
    <t>4630493779785</t>
  </si>
  <si>
    <t>261801</t>
  </si>
  <si>
    <t>Пакет подарочный из крафт-бумаги 16х18х7см (craft S) Цветы, 130 г(собс.разр.) ППК-7979</t>
  </si>
  <si>
    <t>ППК-7979</t>
  </si>
  <si>
    <t>4630493779792</t>
  </si>
  <si>
    <t>261802</t>
  </si>
  <si>
    <t>Пакет подарочный из крафт-бумаги 16х18х7см (craft S) Цыплята 130 г(собс.разр.) ППК-7980</t>
  </si>
  <si>
    <t>ППК-7980</t>
  </si>
  <si>
    <t>4630493779808</t>
  </si>
  <si>
    <t>236215</t>
  </si>
  <si>
    <t>Пакет подар. с глянц.лам. 11,5x14,5x6см(S) "Радостный Чебурашка"128г ЛИЦЕНЗИЯ/Чебурашка ПКП-0387</t>
  </si>
  <si>
    <t>ПКП-0387</t>
  </si>
  <si>
    <t>4670159204756</t>
  </si>
  <si>
    <t>236216</t>
  </si>
  <si>
    <t>Пакет подар. с глянц.лам. 11,5x14,5x6см(S) "Чебурашка и вертолётик" 128г ЛИЦЕНЗИЯ/Чебурашка ПКП-0388</t>
  </si>
  <si>
    <t>ПКП-0388</t>
  </si>
  <si>
    <t>4670159204763</t>
  </si>
  <si>
    <t>Стандарт 128 г</t>
  </si>
  <si>
    <t>261807</t>
  </si>
  <si>
    <t>Optima Пакет подарочный с глянц. лам. 11,5x14,5x6 см (S) Книги , 128 г (собс.разр.) ППК-7985</t>
  </si>
  <si>
    <t>ППК-7985</t>
  </si>
  <si>
    <t>4630493779853</t>
  </si>
  <si>
    <t>Вертикальные</t>
  </si>
  <si>
    <t>237636</t>
  </si>
  <si>
    <t xml:space="preserve"> Пакет подарочный с глянцевой ламинацией 11,5х14,5х6 см (S) Веселая такса, 128 г ПКП-1111</t>
  </si>
  <si>
    <t>ПКП-1111</t>
  </si>
  <si>
    <t>4670159211112</t>
  </si>
  <si>
    <t>(S standart) 11,5x14,5x6 см</t>
  </si>
  <si>
    <t>237642</t>
  </si>
  <si>
    <t xml:space="preserve"> Пакет подарочный с глянцевой ламинацией 11,5х14,5х6 см (S) Кошечка в цветах 128 г ПКП-1113</t>
  </si>
  <si>
    <t>ПКП-1113</t>
  </si>
  <si>
    <t>4670159211136</t>
  </si>
  <si>
    <t>237639</t>
  </si>
  <si>
    <t xml:space="preserve"> Пакет подарочный с глянцевой ламинацией 11,5х14,5х6 см (S) Супер-котик, 128 г ПКП-1112</t>
  </si>
  <si>
    <t>ПКП-1112</t>
  </si>
  <si>
    <t>4670159211129</t>
  </si>
  <si>
    <t>261808</t>
  </si>
  <si>
    <t>Optima Пакет подарочный с глянц. лам. 11,5x14,5x6 см (S) Царь, 128 г (собс.разр.) ППК-7986</t>
  </si>
  <si>
    <t>ППК-7986</t>
  </si>
  <si>
    <t>4630493779860</t>
  </si>
  <si>
    <t>229641</t>
  </si>
  <si>
    <t>Пакет подарочный с глянцевой ламинацией 11,5x14,5x6 см (S) Краски жизни, 128 г ППК-4311</t>
  </si>
  <si>
    <t>ППК-4311</t>
  </si>
  <si>
    <t>4670159143116</t>
  </si>
  <si>
    <t>229642</t>
  </si>
  <si>
    <t>Пакет подарочный с глянцевой ламинацией 11,5x14,5x6 см (S) Необычный узор, 128 г ППК-4312</t>
  </si>
  <si>
    <t>ППК-4312</t>
  </si>
  <si>
    <t>4670159143123</t>
  </si>
  <si>
    <t>229635</t>
  </si>
  <si>
    <t>Пакет подарочный с глянцевой ламинацией 11,5x14,5x6 см (S) Славный пират, 128 г ППК-4305</t>
  </si>
  <si>
    <t>ППК-4305</t>
  </si>
  <si>
    <t>4670159143055</t>
  </si>
  <si>
    <t>237634</t>
  </si>
  <si>
    <t>Пакет подарочный с глянцевой ламинацией 11,5х14,5х6 см (S) Зайка в веночке, 128 г  ПКП-1110</t>
  </si>
  <si>
    <t>ПКП-1110</t>
  </si>
  <si>
    <t>4670159211105</t>
  </si>
  <si>
    <t>03 Размер МS</t>
  </si>
  <si>
    <t>Dream cards</t>
  </si>
  <si>
    <t>261778</t>
  </si>
  <si>
    <t>Dream cards Пакет подарочный с мат.лам. 14x20x6,5 см (MS) Абстракция, 190г(соб.разр.) ППК-7963</t>
  </si>
  <si>
    <t>ППК-7963</t>
  </si>
  <si>
    <t>4630493779631</t>
  </si>
  <si>
    <t>261779</t>
  </si>
  <si>
    <t>Dream cards Пакет подарочный с мат.лам. 14x20x6,5 см (MS) Белые пионы, 190г (соб.разр ) ППК-7964</t>
  </si>
  <si>
    <t>ППК-7964</t>
  </si>
  <si>
    <t>4630493779648</t>
  </si>
  <si>
    <t>261780</t>
  </si>
  <si>
    <t>Dream cards Пакет подарочный с мат.лам. 14x20x6,5 см (MS) Пышные пионы 190г (собс.разр) ППК-7965</t>
  </si>
  <si>
    <t>ППК-7965</t>
  </si>
  <si>
    <t>4630493779655</t>
  </si>
  <si>
    <t>236106</t>
  </si>
  <si>
    <t>Optima Пакет подарочный с глянц.лам. 14x20x6,5 см (МS) Акварельные пёсики, 128 г ПКП-0321</t>
  </si>
  <si>
    <t>ПКП-0321</t>
  </si>
  <si>
    <t>4670159204091</t>
  </si>
  <si>
    <t>Optima 14х20х6,5 см см (MS)</t>
  </si>
  <si>
    <t>262847</t>
  </si>
  <si>
    <t>Optima Пакет подарочный с глянц.лам. 14x20x6,5 см (МS) Бабл-праздник, 128г (собс.разр.) ППК-7074</t>
  </si>
  <si>
    <t>ППК-7074</t>
  </si>
  <si>
    <t>4640520770746</t>
  </si>
  <si>
    <t>262852</t>
  </si>
  <si>
    <t>Optima Пакет подарочный с глянц.лам. 14x20x6,5 см (МS) Весенний котик , 128 г (собс.разр.)  ППК-7079</t>
  </si>
  <si>
    <t>ППК-7079</t>
  </si>
  <si>
    <t>4640520770791</t>
  </si>
  <si>
    <t>236109</t>
  </si>
  <si>
    <t>Optima Пакет подарочный с глянц.лам. 14x20x6,5 см (МS) Летний спаниель, 128 г ПКП-0324</t>
  </si>
  <si>
    <t>ПКП-0324</t>
  </si>
  <si>
    <t>4670159204121</t>
  </si>
  <si>
    <t>236104</t>
  </si>
  <si>
    <t>Optima Пакет подарочный с глянц.лам. 14x20x6,5 см (МS) Принцесса русалок, 128 г ПКП-0319</t>
  </si>
  <si>
    <t>ПКП-0319</t>
  </si>
  <si>
    <t>4670159204077</t>
  </si>
  <si>
    <t>262845</t>
  </si>
  <si>
    <t>Optima Пакет подарочный с глянц.лам. 14x20x6,5 см (МS) Сияй как звезда, 128г (собс.разр.) ППК-7072</t>
  </si>
  <si>
    <t>ППК-7072</t>
  </si>
  <si>
    <t>4640520770722</t>
  </si>
  <si>
    <t>236105</t>
  </si>
  <si>
    <t>Optima Пакет подарочный с глянц.лам. 14x20x6,5 см (МS) Стильный пёс, 128 г ПКП-0320</t>
  </si>
  <si>
    <t>ПКП-0320</t>
  </si>
  <si>
    <t>4670159204084</t>
  </si>
  <si>
    <t>262854</t>
  </si>
  <si>
    <t>Optima Пакет подарочный с глянц.лам. 14x20x6,5см (МS) Man, 128г (собс.разр.) ППК-7081</t>
  </si>
  <si>
    <t>ППК-7081</t>
  </si>
  <si>
    <t>4640520770814</t>
  </si>
  <si>
    <t>262849</t>
  </si>
  <si>
    <t>Optima Пакет подарочный с глянц.лам. 14x20x6,5см (МS) Лучшему ребенку , 128г (собс.разр.) ППК-7076</t>
  </si>
  <si>
    <t>ППК-7076</t>
  </si>
  <si>
    <t>4640520770760</t>
  </si>
  <si>
    <t>262855</t>
  </si>
  <si>
    <t>Optima Пакет подарочный с глянц.лам. 14x20x6,5см (МS) Мужской стиль , 128г (собс.разр.) ППК-7082</t>
  </si>
  <si>
    <t>ППК-7082</t>
  </si>
  <si>
    <t>4640520770821</t>
  </si>
  <si>
    <t>262848</t>
  </si>
  <si>
    <t>Optima Пакет подарочный с глянц.лам. 14x20x6,5см (МS) Натюрморт, 128г (собс.разр.) ППК-7075</t>
  </si>
  <si>
    <t>ППК-7075</t>
  </si>
  <si>
    <t>4640520770753</t>
  </si>
  <si>
    <t>262850</t>
  </si>
  <si>
    <t>Optima Пакет подарочный с глянц.лам. 14x20x6,5см (МS) Нежный ирис, 128г (собс.разр.) ППК-7077</t>
  </si>
  <si>
    <t>ППК-7077</t>
  </si>
  <si>
    <t>4640520770777</t>
  </si>
  <si>
    <t>262851</t>
  </si>
  <si>
    <t>Optima Пакет подарочный с глянц.лам. 14x20x6,5см (МS) Спорт-авто , 128г (собс.разр.) ППК-7078</t>
  </si>
  <si>
    <t>ППК-7078</t>
  </si>
  <si>
    <t>4640520770784</t>
  </si>
  <si>
    <t>262857</t>
  </si>
  <si>
    <t>Optima Пакет подарочный с глянц.лам. 14x20x6,5см (МS) Тигр , 128г (собс.разр.) ППК-7084</t>
  </si>
  <si>
    <t>ППК-7084</t>
  </si>
  <si>
    <t>4640520770845</t>
  </si>
  <si>
    <t>262846</t>
  </si>
  <si>
    <t>Optima Пакет подарочный с глянц.лам. 14x20x6,5см (МS) Шарм, 128г (собс.разр.) ППК-7073</t>
  </si>
  <si>
    <t>ППК-7073</t>
  </si>
  <si>
    <t>4640520770739</t>
  </si>
  <si>
    <t>262856</t>
  </si>
  <si>
    <t>Optima Пакет подарочный с глянц.лам. 14x20x6,5см(МS)Воздушное поздравление,128г(собс.разр.) ППК-7083</t>
  </si>
  <si>
    <t>ППК-7083</t>
  </si>
  <si>
    <t>4640520770838</t>
  </si>
  <si>
    <t>252755</t>
  </si>
  <si>
    <t>Optima Пакет подарочный с глянц.лам. 14х20х6,5 см (MS) Гусь, 128г (собс. разр.) ППК-2739</t>
  </si>
  <si>
    <t>ППК-2739</t>
  </si>
  <si>
    <t>4640306927395</t>
  </si>
  <si>
    <t>252758</t>
  </si>
  <si>
    <t>Optima Пакет подарочный с глянц.лам. 14х20х6,5 см (MS) Капибара, 128г (собс. разр.) ППК-2742</t>
  </si>
  <si>
    <t>ППК-2742</t>
  </si>
  <si>
    <t>4640306927425</t>
  </si>
  <si>
    <t>252757</t>
  </si>
  <si>
    <t>Optima Пакет подарочный с глянц.лам. 14х20х6,5 см (MS) Хлопушка, 128г (собс. разр.) ППК-2741</t>
  </si>
  <si>
    <t>ППК-2741</t>
  </si>
  <si>
    <t>4640306927418</t>
  </si>
  <si>
    <t>262862</t>
  </si>
  <si>
    <t>Optima Пакет подарочный с глянц.лам.14x20x6,5см(МS) Макарунсы,128г(собс.разр.) ППК-7087</t>
  </si>
  <si>
    <t>ППК-7087</t>
  </si>
  <si>
    <t>4640520770876</t>
  </si>
  <si>
    <t>237678</t>
  </si>
  <si>
    <t xml:space="preserve"> Пакет подарочный с глянцевой ламинацией 14x20x6,5 см (МS) Модный Джек-рассел, 157г ПКП-1118</t>
  </si>
  <si>
    <t>ПКП-1118</t>
  </si>
  <si>
    <t>4670159211181</t>
  </si>
  <si>
    <t>(MS Standart) 14x20x6,5 cm</t>
  </si>
  <si>
    <t>237676</t>
  </si>
  <si>
    <t xml:space="preserve"> Пакет подарочный с глянцевой ламинацией 14x20x6,5 см (МS) Праздничный пёсик, 157г ПКП-1116</t>
  </si>
  <si>
    <t>ПКП-1116</t>
  </si>
  <si>
    <t>4670159211167</t>
  </si>
  <si>
    <t>Dream Cards (18 *23*10)</t>
  </si>
  <si>
    <t>220222</t>
  </si>
  <si>
    <t>Dream cards Пакет подар. с  мат.лам. с розовым тисн.18*24*8.5см(М),Розовые полосы,210г ППК-2569</t>
  </si>
  <si>
    <t>ППК-2569</t>
  </si>
  <si>
    <t>4670159125693</t>
  </si>
  <si>
    <t>18*24*8.5</t>
  </si>
  <si>
    <t>258152</t>
  </si>
  <si>
    <t>Dream cards Пакет подар. с мат.лам. и золот.тисн. 18х23х10см (М), Пастельные маки, 210г/м2, ППК-7606</t>
  </si>
  <si>
    <t>ППК-7606</t>
  </si>
  <si>
    <t>4630493775923</t>
  </si>
  <si>
    <t>258150</t>
  </si>
  <si>
    <t>Dream cards Пакет подар. с мат.лам. и золот.тисн. 18х23х10см (М), Цветочное поле, 210 г/м2, ППК-7604</t>
  </si>
  <si>
    <t>ППК-7604</t>
  </si>
  <si>
    <t>4630493775909</t>
  </si>
  <si>
    <t>258151</t>
  </si>
  <si>
    <t>Dream cards Пакет подар. с мат.лам. и золот.тисн. 18х23х10см (М), Цветочный луг, 210г/м2, ППК-7605</t>
  </si>
  <si>
    <t>ППК-7605</t>
  </si>
  <si>
    <t>4630493775916</t>
  </si>
  <si>
    <t>258149</t>
  </si>
  <si>
    <t>Dream cards Пакет подар. с мат.лам. и золот.тисн. 18х23х10см (М), Чарующий сад, 210 г/м2, ППК-7603</t>
  </si>
  <si>
    <t>ППК-7603</t>
  </si>
  <si>
    <t>4630493775893</t>
  </si>
  <si>
    <t>252761</t>
  </si>
  <si>
    <t>Dream cards Пакет подар. с мат.лам. и тис. фол.18х23х10 см (M) Лотос, 190г(собс.раз.) ППК-2746</t>
  </si>
  <si>
    <t>ППК-2746</t>
  </si>
  <si>
    <t>4640306927463</t>
  </si>
  <si>
    <t>252762</t>
  </si>
  <si>
    <t>Dream cards Пакет подар. с мат.лам. и тис.фол.18х23х10 см(M) Красная бабочка 190г(собс.раз.)ППК-2747</t>
  </si>
  <si>
    <t>ППК-2747</t>
  </si>
  <si>
    <t>4640306927470</t>
  </si>
  <si>
    <t>252823</t>
  </si>
  <si>
    <t>Dream cards Пакет подар. с мат.лам. и тис.фол.18х23х10см (M)Усы,очки,бабочка, 190г(соб.раз.)ППК-2745</t>
  </si>
  <si>
    <t>ППК-2745</t>
  </si>
  <si>
    <t>4640306927456</t>
  </si>
  <si>
    <t>220210</t>
  </si>
  <si>
    <t>Dream cards Пакет подар. с мат.лам. с серебрис.тисн.18*24*8.5см(М),Зеленые полосы,210г ППК-2567</t>
  </si>
  <si>
    <t>ППК-2567</t>
  </si>
  <si>
    <t>4670159125679</t>
  </si>
  <si>
    <t>222154</t>
  </si>
  <si>
    <t>Dream cards Пакет подар. с мат.лам.и золотис.тисн.18*23*10см(M), Let's party,210г ППК-3684</t>
  </si>
  <si>
    <t>ППК-3684</t>
  </si>
  <si>
    <t>4670159136842</t>
  </si>
  <si>
    <t>18*23*10</t>
  </si>
  <si>
    <t>221691</t>
  </si>
  <si>
    <t>Dream cards Пакет подар.с мат.лам.и золотистым тисн.,18х23х10см(М)Желтый пиджак,210г ППК-3573</t>
  </si>
  <si>
    <t>ППК-3573</t>
  </si>
  <si>
    <t>4670159135739</t>
  </si>
  <si>
    <t>(M) 18*23*10</t>
  </si>
  <si>
    <t>221696</t>
  </si>
  <si>
    <t>Dream cards Пакет подар.с мат.лам.и золотистым тисн.,18х23х10см(М)Черный пиджак,210г ППК-3576</t>
  </si>
  <si>
    <t>ППК-3576</t>
  </si>
  <si>
    <t>4670159135760</t>
  </si>
  <si>
    <t>221692</t>
  </si>
  <si>
    <t>Dream cards Пакет подар.с мат.лам.и серебристым тисн.,18х23х10см(М)Малиновый пиджак,210г ППК-3574</t>
  </si>
  <si>
    <t>ППК-3574</t>
  </si>
  <si>
    <t>4670159135746</t>
  </si>
  <si>
    <t>234142</t>
  </si>
  <si>
    <t>Dream cards Пакет подарочный с мат.лам. и золот. тис. 18*23*10 см  ( М) Морская буря, 210 г ПКП-9416</t>
  </si>
  <si>
    <t>ПКП-9416</t>
  </si>
  <si>
    <t>4670159194163</t>
  </si>
  <si>
    <t>Dream Cards (18 *23*10) матовая ламинация</t>
  </si>
  <si>
    <t>252776</t>
  </si>
  <si>
    <t>Dream cards Пакет подароч. с мат.лам. 18х23х10 см (M) Зайчик, 190г(собс.раз.) ППК-2755</t>
  </si>
  <si>
    <t>ППК-2755</t>
  </si>
  <si>
    <t>4640306927555</t>
  </si>
  <si>
    <t>252775</t>
  </si>
  <si>
    <t>Dream cards Пакет подароч. с мат.лам. 18х23х10 см (M) Шарики, 190г(собс.раз.) ППК-2754</t>
  </si>
  <si>
    <t>ППК-2754</t>
  </si>
  <si>
    <t>4640306927548</t>
  </si>
  <si>
    <t>258126</t>
  </si>
  <si>
    <t>Dream cards Пакет подарочный  с мат. лам. 18х23х10 см (М), Библиотека, 210 г/м2, ППК-7586</t>
  </si>
  <si>
    <t>ППК-7586</t>
  </si>
  <si>
    <t>4630493775725</t>
  </si>
  <si>
    <t>258125</t>
  </si>
  <si>
    <t>Dream cards Пакет подарочный  с мат. лам. 18х23х10 см (М), Винтажные книги, 210 г/м2, ППК-7585</t>
  </si>
  <si>
    <t>ППК-7585</t>
  </si>
  <si>
    <t>4630493775718</t>
  </si>
  <si>
    <t>258122</t>
  </si>
  <si>
    <t>Dream cards Пакет подарочный  с мат. лам. 18х23х10 см (М), Дневник писателя, 210 г/м2, ППК-7583</t>
  </si>
  <si>
    <t>ППК-7583</t>
  </si>
  <si>
    <t>4630493775695</t>
  </si>
  <si>
    <t>258124</t>
  </si>
  <si>
    <t>Dream cards Пакет подарочный  с мат. лам. 18х23х10 см (М), Романтика, 210 г/м2, ППК-7584</t>
  </si>
  <si>
    <t>ППК-7584</t>
  </si>
  <si>
    <t>4630493775701</t>
  </si>
  <si>
    <t>234140</t>
  </si>
  <si>
    <t>Dream cards Пакет подарочный с мат. лам. 18*23*10 см ( M) Розовые изыски, 210 г ПКП-9415</t>
  </si>
  <si>
    <t>ПКП-9415</t>
  </si>
  <si>
    <t>4670159194156</t>
  </si>
  <si>
    <t>234144</t>
  </si>
  <si>
    <t>Dream cards Пакет подарочный с мат. лам. 18*23*10 см ( M) Умиротворяющий пейзаж, 210 г ПКП-9417</t>
  </si>
  <si>
    <t>ПКП-9417</t>
  </si>
  <si>
    <t>4670159194170</t>
  </si>
  <si>
    <t>261782</t>
  </si>
  <si>
    <t>Dream cards Пакет подарочный с мат.лам. 18x23x10 см (M) Абстракция, 190г (соб.разр) ППК-7967</t>
  </si>
  <si>
    <t>ППК-7967</t>
  </si>
  <si>
    <t>4630493779679</t>
  </si>
  <si>
    <t>261783</t>
  </si>
  <si>
    <t>Dream cards Пакет подарочный с мат.лам. 18x23x10 см (M) Белые пионы, 190г (собс.разр) ППК-7968</t>
  </si>
  <si>
    <t>ППК-7968</t>
  </si>
  <si>
    <t>4630493779686</t>
  </si>
  <si>
    <t>261787</t>
  </si>
  <si>
    <t>Dream cards Пакет подарочный с мат.лам. 18x23x10 см (M) Маки, 190г(собс.разр) ППК-7970</t>
  </si>
  <si>
    <t>ППК-7970</t>
  </si>
  <si>
    <t>4630493779709</t>
  </si>
  <si>
    <t>261785</t>
  </si>
  <si>
    <t>Dream cards Пакет подарочный с мат.лам. 18x23x10 см (M) Пышные пионы 190г (собс.разр) ППК-7969</t>
  </si>
  <si>
    <t>ППК-7969</t>
  </si>
  <si>
    <t>4630493779693</t>
  </si>
  <si>
    <t>246381</t>
  </si>
  <si>
    <t>Dream cards Пакет подар. с мат. лам. и глит. 18*23*10 см (М),Влюбленный зайка,собс.раз.190г ПКП-2170</t>
  </si>
  <si>
    <t>ПКП-2170</t>
  </si>
  <si>
    <t>4640306921706</t>
  </si>
  <si>
    <t>246380</t>
  </si>
  <si>
    <t>Dream cards Пакет подар. с мат. лам. и глит. 18*23*10 см(М), Праздничная Утка,собс.раз.190г ПКП-2169</t>
  </si>
  <si>
    <t>ПКП-2169</t>
  </si>
  <si>
    <t>4640306921690</t>
  </si>
  <si>
    <t>246382</t>
  </si>
  <si>
    <t>Dream cards Пакет подар. с мат. лам. и глит. 18*23*10 см(М),Нежный цвет,собс.раз.190г ПКП-2171</t>
  </si>
  <si>
    <t>ПКП-2171</t>
  </si>
  <si>
    <t>4640306921713</t>
  </si>
  <si>
    <t>222203</t>
  </si>
  <si>
    <t>Dream cards Пакет подар.с мат.лам.и глит.18*23*10см(M) "Змеиные объятия",210г ППК-3714</t>
  </si>
  <si>
    <t>ППК-3714</t>
  </si>
  <si>
    <t>4670159137146</t>
  </si>
  <si>
    <t>252768</t>
  </si>
  <si>
    <t>Dream cards Пакет подароч. с мат.лам. и глит. 18х23х10 см (M) Пионы, 190г(собс.раз.) ППК-2751</t>
  </si>
  <si>
    <t>ППК-2751</t>
  </si>
  <si>
    <t>4640306927517</t>
  </si>
  <si>
    <t>252766</t>
  </si>
  <si>
    <t>Dream cards Пакет подароч. с мат.лам. и глит. 18х23х10 см (M) Шарики, 190г(собс.раз.) ППК-2750</t>
  </si>
  <si>
    <t>ППК-2750</t>
  </si>
  <si>
    <t>4640306927500</t>
  </si>
  <si>
    <t>234187</t>
  </si>
  <si>
    <t>Dream cards Пакет подарочный  мат.лам, глиттер 18х23х10см(М), Девушка у машины 210 г ПКП-9229</t>
  </si>
  <si>
    <t>ПКП-9229</t>
  </si>
  <si>
    <t>4670159193258</t>
  </si>
  <si>
    <t>234190</t>
  </si>
  <si>
    <t>Dream cards Пакет подарочный  мат.лам, глиттер 18х23х10см(М), Подружки 210 г ПКП-9231</t>
  </si>
  <si>
    <t>ПКП-9231</t>
  </si>
  <si>
    <t>4670159193272</t>
  </si>
  <si>
    <t>234186</t>
  </si>
  <si>
    <t>Dream cards Пакет подарочный  мат.лам, глиттер 18х23х10см(М), Стильная девушка, 210г ПКП-9228</t>
  </si>
  <si>
    <t>ПКП-9228</t>
  </si>
  <si>
    <t>4670159193241</t>
  </si>
  <si>
    <t>211261</t>
  </si>
  <si>
    <t>Dream cards Пакет подарочный с мат.лам.,сереб.глитт.и цвет.18*10*23см(M)Стильные цветы 210г ПКП-8003</t>
  </si>
  <si>
    <t>ПКП-8003</t>
  </si>
  <si>
    <t>4670159080039</t>
  </si>
  <si>
    <t>Dream Cards (18*23*10) мат. лам., глиттер, 3D элемент</t>
  </si>
  <si>
    <t>220176</t>
  </si>
  <si>
    <t>Dream cards Пакет подар., глит. и 3D элементом 18*23*10см р-р(М), Веселая акула,210г ППК-2608</t>
  </si>
  <si>
    <t>ППК-2608</t>
  </si>
  <si>
    <t>4670159126089</t>
  </si>
  <si>
    <t>220178</t>
  </si>
  <si>
    <t>Dream cards Пакет подар., глит. и 3D элементом 18*23*10см р-р(М), Волшебный торт,210г ППК-2610</t>
  </si>
  <si>
    <t>ППК-2610</t>
  </si>
  <si>
    <t>4670159126102</t>
  </si>
  <si>
    <t>221703</t>
  </si>
  <si>
    <t>Dream cards Пакет подар.с мат. лам.и 3Dэлем.,18х23х10см(М),Модный набор,210г ППК-3583</t>
  </si>
  <si>
    <t>ППК-3583</t>
  </si>
  <si>
    <t>4670159135838</t>
  </si>
  <si>
    <t>221701</t>
  </si>
  <si>
    <t>Dream cards Пакет подар.с мат. лам.и 3Dэлем.,18х23х10см(М),Стильный костюм,210г ППК-3581</t>
  </si>
  <si>
    <t>ППК-3581</t>
  </si>
  <si>
    <t>4670159135814</t>
  </si>
  <si>
    <t>221702</t>
  </si>
  <si>
    <t>Dream cards Пакет подар.с мат. лам.и 3Dэлем.,18х23х10см(М),Черное настроение,210г ППК-3582</t>
  </si>
  <si>
    <t>ППК-3582</t>
  </si>
  <si>
    <t>4670159135821</t>
  </si>
  <si>
    <t>221698</t>
  </si>
  <si>
    <t>Dream cards Пакет подар.с мат.лам.,глит.и 3Dэлем.,18х23х10см(М),Поход в магазин,210г ППК-3578</t>
  </si>
  <si>
    <t>ППК-3578</t>
  </si>
  <si>
    <t>4670159135784</t>
  </si>
  <si>
    <t>234158</t>
  </si>
  <si>
    <t>Dream Cards Пакет подарочный мат.лам,глиттер,3Dэл. 18х23х10см(М), Веселая машинка, 210 г ПКП-9204</t>
  </si>
  <si>
    <t>ПКП-9204</t>
  </si>
  <si>
    <t>4670159193005</t>
  </si>
  <si>
    <t>234163</t>
  </si>
  <si>
    <t>Dream Cards Пакет подарочный мат.лам,глиттер,3Dэл. 18х23х10см(М), Желтая машинка, 210 г ПКП-9207</t>
  </si>
  <si>
    <t>ПКП-9207</t>
  </si>
  <si>
    <t>4670159193036</t>
  </si>
  <si>
    <t>234176</t>
  </si>
  <si>
    <t>Dream Cards Пакет подарочный мат.лам,глиттер,3Dэл. 18х23х10см(М), Котёнок и шарики, 210 г ПКП-9219</t>
  </si>
  <si>
    <t>ПКП-9219</t>
  </si>
  <si>
    <t>4670159193159</t>
  </si>
  <si>
    <t>234173</t>
  </si>
  <si>
    <t>Dream Cards Пакет подарочный мат.лам,глиттер,3Dэл. 18х23х10см(М), Котёнок, 210 г ПКП-9217</t>
  </si>
  <si>
    <t>ПКП-9217</t>
  </si>
  <si>
    <t>4670159193135</t>
  </si>
  <si>
    <t>234181</t>
  </si>
  <si>
    <t>Dream Cards Пакет подарочный мат.лам,глиттер,3Dэл. 18х23х10см(М), Котик в коробке, 210 г ПКП-9224</t>
  </si>
  <si>
    <t>ПКП-9224</t>
  </si>
  <si>
    <t>4670159193203</t>
  </si>
  <si>
    <t>234172</t>
  </si>
  <si>
    <t>Dream Cards Пакет подарочный мат.лам,глиттер,3Dэл. 18х23х10см(М), Котик в чашке, 210 г ПКП-9216</t>
  </si>
  <si>
    <t>ПКП-9216</t>
  </si>
  <si>
    <t>4670159193128</t>
  </si>
  <si>
    <t>234183</t>
  </si>
  <si>
    <t>Dream Cards Пакет подарочный мат.лам,глиттер,3Dэл. 18х23х10см(М), Котик и торт, 210 г ПКП-9225</t>
  </si>
  <si>
    <t>ПКП-9225</t>
  </si>
  <si>
    <t>4670159193210</t>
  </si>
  <si>
    <t>234184</t>
  </si>
  <si>
    <t>Dream Cards Пакет подарочный мат.лам,глиттер,3Dэл. 18х23х10см(М), Котик на тортике, 210 г ПКП-9226</t>
  </si>
  <si>
    <t>ПКП-9226</t>
  </si>
  <si>
    <t>4670159193227</t>
  </si>
  <si>
    <t>234185</t>
  </si>
  <si>
    <t>Dream Cards Пакет подарочный мат.лам,глиттер,3Dэл. 18х23х10см(М), Котик праздничный, 210 г ПКП-9227</t>
  </si>
  <si>
    <t>ПКП-9227</t>
  </si>
  <si>
    <t>4670159193234</t>
  </si>
  <si>
    <t>234180</t>
  </si>
  <si>
    <t>Dream Cards Пакет подарочный мат.лам,глиттер,3Dэл. 18х23х10см(М), Красивая принцесса, 210 г ПКП-9223</t>
  </si>
  <si>
    <t>ПКП-9223</t>
  </si>
  <si>
    <t>4670159193197</t>
  </si>
  <si>
    <t>234161</t>
  </si>
  <si>
    <t>Dream Cards Пакет подарочный мат.лам,глиттер,3Dэл. 18х23х10см(М), Красная машинка, 210 г ПКП-9206</t>
  </si>
  <si>
    <t>ПКП-9206</t>
  </si>
  <si>
    <t>4670159193029</t>
  </si>
  <si>
    <t>234177</t>
  </si>
  <si>
    <t>Dream Cards Пакет подарочный мат.лам,глиттер,3Dэл. 18х23х10см(М), Милая принцесса, 210 г ПКП-9220</t>
  </si>
  <si>
    <t>ПКП-9220</t>
  </si>
  <si>
    <t>4670159193166</t>
  </si>
  <si>
    <t>234170</t>
  </si>
  <si>
    <t>Dream Cards Пакет подарочный мат.лам,глиттер,3Dэл. 18х23х10см(М), Мишка герой, 210 г ПКП-9214</t>
  </si>
  <si>
    <t>ПКП-9214</t>
  </si>
  <si>
    <t>4670159193104</t>
  </si>
  <si>
    <t>234178</t>
  </si>
  <si>
    <t>Dream Cards Пакет подарочный мат.лам,глиттер,3Dэл. 18х23х10см(М), Нежная принцесса, 210 г ПКП-9221</t>
  </si>
  <si>
    <t>ПКП-9221</t>
  </si>
  <si>
    <t>4670159193173</t>
  </si>
  <si>
    <t>234179</t>
  </si>
  <si>
    <t>Dream Cards Пакет подарочный мат.лам,глиттер,3Dэл. 18х23х10см(М), Принцесса в платье, 210 г ПКП-9222</t>
  </si>
  <si>
    <t>ПКП-9222</t>
  </si>
  <si>
    <t>4670159193180</t>
  </si>
  <si>
    <t>234168</t>
  </si>
  <si>
    <t>Dream Cards Пакет подарочный мат.лам,глиттер,3Dэл. 18х23х10см(М), Супер друзья, 210 г ПКП-9213</t>
  </si>
  <si>
    <t>ПКП-9213</t>
  </si>
  <si>
    <t>4670159193098</t>
  </si>
  <si>
    <t>234171</t>
  </si>
  <si>
    <t>Dream Cards Пакет подарочный мат.лам,глиттер,3Dэл. 18х23х10см(М), Супер-слоник, 210 г ПКП-9215</t>
  </si>
  <si>
    <t>ПКП-9215</t>
  </si>
  <si>
    <t>4670159193111</t>
  </si>
  <si>
    <t>234159</t>
  </si>
  <si>
    <t>Dream Cards Пакет подарочный мат.лам,глиттер,3Dэл. 18х23х10см(М), Яркая машинка, 210 г ПКП-9205</t>
  </si>
  <si>
    <t>ПКП-9205</t>
  </si>
  <si>
    <t>4670159193012</t>
  </si>
  <si>
    <t>247111</t>
  </si>
  <si>
    <t>Dream cards Пакет подарочный с мат. лам. и 3D элем. 18*23*10 см (М) Кремовый бантик, 210 г ППК-2207</t>
  </si>
  <si>
    <t>ППК-2207</t>
  </si>
  <si>
    <t>4640306922079</t>
  </si>
  <si>
    <t>247113</t>
  </si>
  <si>
    <t>Dream cards Пакет подарочный с мат. лам. и 3D элем. 18*23*10 см (М) Серебристый бантик 210г ППК-2209</t>
  </si>
  <si>
    <t>ППК-2209</t>
  </si>
  <si>
    <t>4640306922093</t>
  </si>
  <si>
    <t>247110</t>
  </si>
  <si>
    <t>Dream cards Пакет подарочный с мат. лам. и 3D элемент 18*23*10 см (М) Бантик, 210 г ППК-2206</t>
  </si>
  <si>
    <t>ППК-2206</t>
  </si>
  <si>
    <t>4640306922062</t>
  </si>
  <si>
    <t>264067</t>
  </si>
  <si>
    <t>Optima Пакет подар. с глянц.лам. 18х23x8 см(M) С наилучшими пожеланиями, 128г (соб.разр) ППК-9314</t>
  </si>
  <si>
    <t>ППК-9314</t>
  </si>
  <si>
    <t>4640520773143</t>
  </si>
  <si>
    <t>261766</t>
  </si>
  <si>
    <t>Optima Пакет подарочный с глянц. лам. 18x23x8 см (М) Аромат весны, 128 г ППК-7953</t>
  </si>
  <si>
    <t>ППК-7953</t>
  </si>
  <si>
    <t>4630493779532</t>
  </si>
  <si>
    <t>261820</t>
  </si>
  <si>
    <t>Optima Пакет подарочный с глянц. лам. 18x23x8 см (М) Галстук, 128г(собс. разр.) ППК-7996</t>
  </si>
  <si>
    <t>ППК-7996</t>
  </si>
  <si>
    <t>4630493779969</t>
  </si>
  <si>
    <t>261809</t>
  </si>
  <si>
    <t>Optima Пакет подарочный с глянц. лам. 18x23x8 см (М) Дорогие часы, 128 г ППК-7987</t>
  </si>
  <si>
    <t>ППК-7987</t>
  </si>
  <si>
    <t>4630493779877</t>
  </si>
  <si>
    <t>261810</t>
  </si>
  <si>
    <t>Optima Пакет подарочный с глянц. лам. 18x23x8 см (М) Книги , 128 г (собс.разр.) ППК-7988</t>
  </si>
  <si>
    <t>ППК-7988</t>
  </si>
  <si>
    <t>4630493779884</t>
  </si>
  <si>
    <t>261822</t>
  </si>
  <si>
    <t>Optima Пакет подарочный с глянц. лам. 18x23x8 см (М) Мужчина в синем галстуке, 128 г ППК-7997</t>
  </si>
  <si>
    <t>ППК-7997</t>
  </si>
  <si>
    <t>4630493779976</t>
  </si>
  <si>
    <t>261758</t>
  </si>
  <si>
    <t>Optima Пакет подарочный с глянц. лам. 18x23x8 см (М) Нарциссы, 128 г ППК-7945</t>
  </si>
  <si>
    <t>ППК-7945</t>
  </si>
  <si>
    <t>4630493779457</t>
  </si>
  <si>
    <t>261819</t>
  </si>
  <si>
    <t>Optima Пакет подарочный с глянц. лам. 18x23x8 см (М) Синяя бабочка, 128г (собст.разр) ППК-7995</t>
  </si>
  <si>
    <t>ППК-7995</t>
  </si>
  <si>
    <t>4630493779952</t>
  </si>
  <si>
    <t>261812</t>
  </si>
  <si>
    <t>Optima Пакет подарочный с глянц. лам. 18x23x8 см (М) Царь, 128 г (собс.разр.) ППК-7989</t>
  </si>
  <si>
    <t>ППК-7989</t>
  </si>
  <si>
    <t>4630493779891</t>
  </si>
  <si>
    <t>261767</t>
  </si>
  <si>
    <t>Optima Пакет подарочный с глянц. лам. 18x23x8 см (М) Яркий цвет, 128 г ППК-7954</t>
  </si>
  <si>
    <t>ППК-7954</t>
  </si>
  <si>
    <t>4630493779549</t>
  </si>
  <si>
    <t>261761</t>
  </si>
  <si>
    <t>Optima Пакет подарочный с глянц. лам. 18x23x8см (М) Цветы жёлтые, 128 г ППК-7948</t>
  </si>
  <si>
    <t>ППК-7948</t>
  </si>
  <si>
    <t>4630493779488</t>
  </si>
  <si>
    <t>261751</t>
  </si>
  <si>
    <t>Optima Пакет подарочный с глянц. лам.18x23x8 см (М) Восточный цветок 128 г ППК-7938</t>
  </si>
  <si>
    <t>ППК-7938</t>
  </si>
  <si>
    <t>4630493779389</t>
  </si>
  <si>
    <t>261757</t>
  </si>
  <si>
    <t>Optima Пакет подарочный с глянц. лам.18x23x8см(М) Нежные тюльпаны, 128 г ППК-7944</t>
  </si>
  <si>
    <t>ППК-7944</t>
  </si>
  <si>
    <t>4630493779440</t>
  </si>
  <si>
    <t>261818</t>
  </si>
  <si>
    <t>Optima Пакет подарочный с глянц. лам.ин. 18x23x8 см (М) Полосы, 128г (собст.разр) ППК-7994</t>
  </si>
  <si>
    <t>ППК-7994</t>
  </si>
  <si>
    <t>4630493779945</t>
  </si>
  <si>
    <t>261750</t>
  </si>
  <si>
    <t>Optima Пакет подарочный с глянц. лам.ин.18x23x8 см (М) Цветок, 128г (собст.разр) ППК-7937</t>
  </si>
  <si>
    <t>ППК-7937</t>
  </si>
  <si>
    <t>4630493779372</t>
  </si>
  <si>
    <t>236117</t>
  </si>
  <si>
    <t>Optima Пакет подарочный с глянц.лам. 18x23x8 см (М) Ароматные пионы, 128 г ПКП-0332</t>
  </si>
  <si>
    <t>ПКП-0332</t>
  </si>
  <si>
    <t>4670159204206</t>
  </si>
  <si>
    <t>236136</t>
  </si>
  <si>
    <t>Optima Пакет подарочный с глянц.лам. 18x23x8 см (М) Весенняя кошечка, 128 г ПКП-0344</t>
  </si>
  <si>
    <t>ПКП-0344</t>
  </si>
  <si>
    <t>4670159204329</t>
  </si>
  <si>
    <t>265744</t>
  </si>
  <si>
    <t>Optima Пакет подарочный с глянц.лам. 18x23x8 см (М) Вечер в горах, 128 г (соб.разр) ППК-4017</t>
  </si>
  <si>
    <t>ППК-4017</t>
  </si>
  <si>
    <t>4640520774263</t>
  </si>
  <si>
    <t>236134</t>
  </si>
  <si>
    <t>Optima Пакет подарочный с глянц.лам. 18x23x8 см (М) Девочка с бабочкой, 128 г ПКП-0342</t>
  </si>
  <si>
    <t>ПКП-0342</t>
  </si>
  <si>
    <t>4670159204305</t>
  </si>
  <si>
    <t>265731</t>
  </si>
  <si>
    <t>Optima Пакет подарочный с глянц.лам. 18x23x8 см (М) Для самой нежной, 128 г (соб.разр) ППК-4004</t>
  </si>
  <si>
    <t>ППК-4004</t>
  </si>
  <si>
    <t>4640520774133</t>
  </si>
  <si>
    <t>265743</t>
  </si>
  <si>
    <t>Optima Пакет подарочный с глянц.лам. 18x23x8 см (М) Звёздно поздравляю, 128 г (соб.разр) ППК-4016</t>
  </si>
  <si>
    <t>ППК-4016</t>
  </si>
  <si>
    <t>4640520774256</t>
  </si>
  <si>
    <t>236135</t>
  </si>
  <si>
    <t>Optima Пакет подарочный с глянц.лам. 18x23x8 см (М) Золотистый ретривер, 128 г ПКП-0343</t>
  </si>
  <si>
    <t>ПКП-0343</t>
  </si>
  <si>
    <t>4670159204312</t>
  </si>
  <si>
    <t>265739</t>
  </si>
  <si>
    <t>Optima Пакет подарочный с глянц.лам. 18x23x8 см (М) Киса на удачу, 128 г (соб.разр) ППК-4012</t>
  </si>
  <si>
    <t>ППК-4012</t>
  </si>
  <si>
    <t>4640520774218</t>
  </si>
  <si>
    <t>236113</t>
  </si>
  <si>
    <t>Optima Пакет подарочный с глянц.лам. 18x23x8 см (М) Красивые цветы в вазе, 128 г ПКП-0328</t>
  </si>
  <si>
    <t>ПКП-0328</t>
  </si>
  <si>
    <t>4670159204169</t>
  </si>
  <si>
    <t>265740</t>
  </si>
  <si>
    <t>Optima Пакет подарочный с глянц.лам. 18x23x8 см (М) Кусочек тортика, 128 г (соб.разр) ППК-4013</t>
  </si>
  <si>
    <t>ППК-4013</t>
  </si>
  <si>
    <t>4640520774225</t>
  </si>
  <si>
    <t>265736</t>
  </si>
  <si>
    <t>Optima Пакет подарочный с глянц.лам. 18x23x8 см (М) Лучшему мужчине, 128 г (соб.разр) ППК-4009</t>
  </si>
  <si>
    <t>ППК-4009</t>
  </si>
  <si>
    <t>4640520774188</t>
  </si>
  <si>
    <t>236121</t>
  </si>
  <si>
    <t>Optima Пакет подарочный с глянц.лам. 18x23x8 см (М) Мечтающая принцесса, 128 г ПКП-0336</t>
  </si>
  <si>
    <t>ПКП-0336</t>
  </si>
  <si>
    <t>4670159204244</t>
  </si>
  <si>
    <t>236132</t>
  </si>
  <si>
    <t>Optima Пакет подарочный с глянц.лам. 18x23x8 см (М) Песик и веточки, 128 г ПКП-0340</t>
  </si>
  <si>
    <t>ПКП-0340</t>
  </si>
  <si>
    <t>4670159204282</t>
  </si>
  <si>
    <t>265730</t>
  </si>
  <si>
    <t>Optima Пакет подарочный с глянц.лам. 18x23x8 см (М) Радости во всём, 128 г (соб.разр) ППК-4003</t>
  </si>
  <si>
    <t>ППК-4003</t>
  </si>
  <si>
    <t>4640520774126</t>
  </si>
  <si>
    <t>265729</t>
  </si>
  <si>
    <t>Optima Пакет подарочный с глянц.лам. 18x23x8 см (М) Ромашки для тебя, 128 г (соб.разр) ППК-4002</t>
  </si>
  <si>
    <t>ППК-4002</t>
  </si>
  <si>
    <t>4640520774119</t>
  </si>
  <si>
    <t>265741</t>
  </si>
  <si>
    <t>Optima Пакет подарочный с глянц.лам. 18x23x8 см (М) С днём рождения, 128 г (соб.разр) ППК-4014</t>
  </si>
  <si>
    <t>ППК-4014</t>
  </si>
  <si>
    <t>4640520774232</t>
  </si>
  <si>
    <t>236131</t>
  </si>
  <si>
    <t>Optima Пакет подарочный с глянц.лам. 18x23x8 см (М) Серенький котёнок 128 г ПКП-0339</t>
  </si>
  <si>
    <t>ПКП-0339</t>
  </si>
  <si>
    <t>4670159204275</t>
  </si>
  <si>
    <t>265728</t>
  </si>
  <si>
    <t>Optima Пакет подарочный с глянц.лам. 18x23x8 см (М) Цвети от счастья, 128 г (соб.разр) ППК-4001</t>
  </si>
  <si>
    <t>ППК-4001</t>
  </si>
  <si>
    <t>4640520774102</t>
  </si>
  <si>
    <t>236120</t>
  </si>
  <si>
    <t>Optima Пакет подарочный с глянц.лам. 18x23x8 см (М) Цветочное настроение, 128 г ПКП-0335</t>
  </si>
  <si>
    <t>ПКП-0335</t>
  </si>
  <si>
    <t>4670159204237</t>
  </si>
  <si>
    <t>265742</t>
  </si>
  <si>
    <t>Optima Пакет подарочный с глянц.лам. 18x23x8 см (М) Шарики с праздником, 128 г (соб.разр) ППК-4015</t>
  </si>
  <si>
    <t>ППК-4015</t>
  </si>
  <si>
    <t>4640520774249</t>
  </si>
  <si>
    <t>265738</t>
  </si>
  <si>
    <t>Optima Пакет подарочный с глянц.лам. 18x23x8см(М) Самому дорогому человеку, 128г (соб.разр) ППК-4011</t>
  </si>
  <si>
    <t>ППК-4011</t>
  </si>
  <si>
    <t>4640520774201</t>
  </si>
  <si>
    <t>264046</t>
  </si>
  <si>
    <t>Optima Пакет подарочный с глянц.лам. 18х23x8 см (M) Present, 128 г (собс.разр.) ППК-9293</t>
  </si>
  <si>
    <t>ППК-9293</t>
  </si>
  <si>
    <t>4640520772931</t>
  </si>
  <si>
    <t>264057</t>
  </si>
  <si>
    <t>Optima Пакет подарочный с глянц.лам. 18х23x8 см (M) Авто-корги, 128 г (собс.разр.) ППК-9304</t>
  </si>
  <si>
    <t>ППК-9304</t>
  </si>
  <si>
    <t>4640520773044</t>
  </si>
  <si>
    <t>264043</t>
  </si>
  <si>
    <t>Optima Пакет подарочный с глянц.лам. 18х23x8 см (M) Безмятежность, 128 г (собс.разр.) ППК-9290</t>
  </si>
  <si>
    <t>ППК-9290</t>
  </si>
  <si>
    <t>4640520772900</t>
  </si>
  <si>
    <t>264064</t>
  </si>
  <si>
    <t>Optima Пакет подарочный с глянц.лам. 18х23x8 см (M) Блеск, 128 г (собс.разр.) ППК-9311</t>
  </si>
  <si>
    <t>ППК-9311</t>
  </si>
  <si>
    <t>4640520773112</t>
  </si>
  <si>
    <t>264049</t>
  </si>
  <si>
    <t>Optima Пакет подарочный с глянц.лам. 18х23x8 см (M) Вдохновение, 128 г (собс.разр.) ППК-9296</t>
  </si>
  <si>
    <t>ППК-9296</t>
  </si>
  <si>
    <t>4640520772962</t>
  </si>
  <si>
    <t>264045</t>
  </si>
  <si>
    <t>Optima Пакет подарочный с глянц.лам. 18х23x8 см (M) Веселые шары, 128 г (собс.разр.) ППК-9292</t>
  </si>
  <si>
    <t>ППК-9292</t>
  </si>
  <si>
    <t>4640520772924</t>
  </si>
  <si>
    <t>264065</t>
  </si>
  <si>
    <t>Optima Пакет подарочный с глянц.лам. 18х23x8 см (M) Весенние цветы, 128 г (собс.разр.) ППК-9312</t>
  </si>
  <si>
    <t>ППК-9312</t>
  </si>
  <si>
    <t>4640520773129</t>
  </si>
  <si>
    <t>264050</t>
  </si>
  <si>
    <t>Optima Пакет подарочный с глянц.лам. 18х23x8 см (M) Вкусный праздник, 128 г (собс.разр.) ППК-9297</t>
  </si>
  <si>
    <t>ППК-9297</t>
  </si>
  <si>
    <t>4640520772979</t>
  </si>
  <si>
    <t>264056</t>
  </si>
  <si>
    <t>Optima Пакет подарочный с глянц.лам. 18х23x8 см (M) Енот и шарики, 128 г (собс.разр.) ППК-9303</t>
  </si>
  <si>
    <t>ППК-9303</t>
  </si>
  <si>
    <t>4640520773037</t>
  </si>
  <si>
    <t>264053</t>
  </si>
  <si>
    <t>Optima Пакет подарочный с глянц.лам. 18х23x8 см (M) Звездный торт, 128 г (собс.разр.) ППК-9300</t>
  </si>
  <si>
    <t>ППК-9300</t>
  </si>
  <si>
    <t>4640520773006</t>
  </si>
  <si>
    <t>264036</t>
  </si>
  <si>
    <t>Optima Пакет подарочный с глянц.лам. 18х23x8 см (M) Золотистые тропики, 128г (собс.разр.) ППК-9287</t>
  </si>
  <si>
    <t>ППК-9287</t>
  </si>
  <si>
    <t>4640520772870</t>
  </si>
  <si>
    <t>264061</t>
  </si>
  <si>
    <t>Optima Пакет подарочный с глянц.лам. 18х23x8 см (M) Изящные линии, 128 г (собс.разр.) ППК-9308</t>
  </si>
  <si>
    <t>ППК-9308</t>
  </si>
  <si>
    <t>4640520773082</t>
  </si>
  <si>
    <t>264055</t>
  </si>
  <si>
    <t>Optima Пакет подарочный с глянц.лам. 18х23x8 см (M) Колибри, 128 г (собс.разр.) ППК-9302</t>
  </si>
  <si>
    <t>ППК-9302</t>
  </si>
  <si>
    <t>4640520773020</t>
  </si>
  <si>
    <t>264047</t>
  </si>
  <si>
    <t>Optima Пакет подарочный с глянц.лам. 18х23x8 см (M) Лучшему во всем, 128 г (собс.разр.) ППК-9294</t>
  </si>
  <si>
    <t>ППК-9294</t>
  </si>
  <si>
    <t>4640520772948</t>
  </si>
  <si>
    <t>264069</t>
  </si>
  <si>
    <t>Optima Пакет подарочный с глянц.лам. 18х23x8 см (M) Мишка с тортиком, 128 г (собс.разр.) ППК-9316</t>
  </si>
  <si>
    <t>ППК-9316</t>
  </si>
  <si>
    <t>4640520773167</t>
  </si>
  <si>
    <t>264066</t>
  </si>
  <si>
    <t>Optima Пакет подарочный с глянц.лам. 18х23x8 см (M) Мужские аксессуары, 128г (собс.разр.) ППК-9313</t>
  </si>
  <si>
    <t>ППК-9313</t>
  </si>
  <si>
    <t>4640520773136</t>
  </si>
  <si>
    <t>264051</t>
  </si>
  <si>
    <t>Optima Пакет подарочный с глянц.лам. 18х23x8 см (M) Мужской набор, 128 г (собс.разр.) ППК-9298</t>
  </si>
  <si>
    <t>ППК-9298</t>
  </si>
  <si>
    <t>4640520772986</t>
  </si>
  <si>
    <t>264063</t>
  </si>
  <si>
    <t>Optima Пакет подарочный с глянц.лам. 18х23x8 см (M) Нежные цветы, 128 г (собс.разр.) ППК-9310</t>
  </si>
  <si>
    <t>ППК-9310</t>
  </si>
  <si>
    <t>4640520773105</t>
  </si>
  <si>
    <t>264044</t>
  </si>
  <si>
    <t>Optima Пакет подарочный с глянц.лам. 18х23x8 см (M) Нюдовые шары, 128 г (собс.разр.) ППК-9291</t>
  </si>
  <si>
    <t>ППК-9291</t>
  </si>
  <si>
    <t>4640520772917</t>
  </si>
  <si>
    <t>264068</t>
  </si>
  <si>
    <t>Optima Пакет подарочный с глянц.лам. 18х23x8 см (M) Осенние листья, 128 г (собс.разр.) ППК-9315</t>
  </si>
  <si>
    <t>ППК-9315</t>
  </si>
  <si>
    <t>4640520773150</t>
  </si>
  <si>
    <t>264062</t>
  </si>
  <si>
    <t>Optima Пакет подарочный с глянц.лам. 18х23x8 см (M) От всего сердца, 128 г (собс.разр.) ППК-9309</t>
  </si>
  <si>
    <t>ППК-9309</t>
  </si>
  <si>
    <t>4640520773099</t>
  </si>
  <si>
    <t>264059</t>
  </si>
  <si>
    <t>Optima Пакет подарочный с глянц.лам. 18х23x8 см (M) Пионы, 128 г (собс.разр.) ППК-9306</t>
  </si>
  <si>
    <t>ППК-9306</t>
  </si>
  <si>
    <t>4640520773068</t>
  </si>
  <si>
    <t>264060</t>
  </si>
  <si>
    <t>Optima Пакет подарочный с глянц.лам. 18х23x8 см (M) Праздник милитари, 128 г (собс.разр.) ППК-9307</t>
  </si>
  <si>
    <t>ППК-9307</t>
  </si>
  <si>
    <t>4640520773075</t>
  </si>
  <si>
    <t>264042</t>
  </si>
  <si>
    <t>Optima Пакет подарочный с глянц.лам. 18х23x8 см (M) С Днем рождения тебя! 128 г(собс.разр.) ППК-9289</t>
  </si>
  <si>
    <t>ППК-9289</t>
  </si>
  <si>
    <t>4640520772894</t>
  </si>
  <si>
    <t>264054</t>
  </si>
  <si>
    <t>Optima Пакет подарочный с глянц.лам. 18х23x8 см (M) Самый лучший, 128 г (собс.разр.) ППК-9301</t>
  </si>
  <si>
    <t>ППК-9301</t>
  </si>
  <si>
    <t>4640520773013</t>
  </si>
  <si>
    <t>264041</t>
  </si>
  <si>
    <t>Optima Пакет подарочный с глянц.лам. 18х23x8 см (M) Шары, 128 г (собс.разр.) ППК-9288</t>
  </si>
  <si>
    <t>ППК-9288</t>
  </si>
  <si>
    <t>4640520772887</t>
  </si>
  <si>
    <t>264048</t>
  </si>
  <si>
    <t>Optima Пакет подарочный с глянц.лам. 18х23x8 см (M) Яркий торт, 128 г (собс.разр.) ППК-9295</t>
  </si>
  <si>
    <t>ППК-9295</t>
  </si>
  <si>
    <t>4640520772955</t>
  </si>
  <si>
    <t>264052</t>
  </si>
  <si>
    <t>Optima Пакет подарочный с глянц.лам. 18х23x8 см(M) Галстук джентльмена, 128г (собс.разр.) ППК-9299</t>
  </si>
  <si>
    <t>ППК-9299</t>
  </si>
  <si>
    <t>4640520772993</t>
  </si>
  <si>
    <t>265732</t>
  </si>
  <si>
    <t>Optima Пакет подарочный с глянц.лам.18x23x8см (М) Волшебных моментов, маки, 128г (соб.разр) ППК-4005</t>
  </si>
  <si>
    <t>ППК-4005</t>
  </si>
  <si>
    <t>4640520774140</t>
  </si>
  <si>
    <t>265735</t>
  </si>
  <si>
    <t>Optima Пакет подарочный с глянц.лам.18x23x8см (М) Для лучшего, синий, 128г (соб.разр) ППК-4008</t>
  </si>
  <si>
    <t>ППК-4008</t>
  </si>
  <si>
    <t>4640520774171</t>
  </si>
  <si>
    <t>265733</t>
  </si>
  <si>
    <t>Optima Пакет подарочный с глянц.лам.18x23x8см (М) С наилучшими пожеланиями, 128г (соб.разр) ППК-4006</t>
  </si>
  <si>
    <t>ППК-4006</t>
  </si>
  <si>
    <t>4640520774157</t>
  </si>
  <si>
    <t>265737</t>
  </si>
  <si>
    <t>Optima Пакет подарочный с глянц.лам.18x23x8см (М) Самому брутальному, 128г (соб.разр) ППК-4010</t>
  </si>
  <si>
    <t>ППК-4010</t>
  </si>
  <si>
    <t>4640520774195</t>
  </si>
  <si>
    <t>265734</t>
  </si>
  <si>
    <t>Optima Пакет подарочный с глянц.лам.18x23x8см (М) Стильная геометрия, 128г (соб.разр) ППК-4007</t>
  </si>
  <si>
    <t>ППК-4007</t>
  </si>
  <si>
    <t>4640520774164</t>
  </si>
  <si>
    <t>265747</t>
  </si>
  <si>
    <t>Optima Пакет подарочный с глянц.лам.18x23x8см (М) Чарующий узор, 128г (соб.разр) ППК-4020</t>
  </si>
  <si>
    <t>ППК-4020</t>
  </si>
  <si>
    <t>4640520774294</t>
  </si>
  <si>
    <t>265746</t>
  </si>
  <si>
    <t>Optima Пакет подарочный с глянц.лам.18x23x8см (М) Яркие шарики, 128г (соб.разр) ППК-4019</t>
  </si>
  <si>
    <t>ППК-4019</t>
  </si>
  <si>
    <t>4640520774287</t>
  </si>
  <si>
    <t>265745</t>
  </si>
  <si>
    <t>Optima Пакет подарочный с глянц.лам.18x23x8см(М) Поздравляю от всего сердца, 128г(соб.разр) ППК-4018</t>
  </si>
  <si>
    <t>ППК-4018</t>
  </si>
  <si>
    <t>4640520774270</t>
  </si>
  <si>
    <t>212099</t>
  </si>
  <si>
    <t>Optima Пакет подарочный с глянц.ламинацией 18x23x8 см (М) Весенние цветы, 128 г, ПКП-4204</t>
  </si>
  <si>
    <t>ПКП-4204</t>
  </si>
  <si>
    <t>4670159083047</t>
  </si>
  <si>
    <t>18 x 23 x 8</t>
  </si>
  <si>
    <t>213638</t>
  </si>
  <si>
    <t>Optima Пакет подарочный с глянцевой ламинацией 18x23x8 см  (М)  "Волшебный цветок", 128г.ПКП-8140</t>
  </si>
  <si>
    <t>ПКП-8140</t>
  </si>
  <si>
    <t>4670159081401</t>
  </si>
  <si>
    <t>229675</t>
  </si>
  <si>
    <t>Optima Пакет подарочный с глянцевой ламинацией 18x23x8см (М) Весенние цветы, 128 г ППК-4342</t>
  </si>
  <si>
    <t>ППК-4342</t>
  </si>
  <si>
    <t>4670159143420</t>
  </si>
  <si>
    <t>(M optima) 18x23x8 см</t>
  </si>
  <si>
    <t>229708</t>
  </si>
  <si>
    <t>Optima Пакет подарочный с глянцевой ламинацией 18x23x8см (М) Кексики, 128 г ППК-4367</t>
  </si>
  <si>
    <t>ППК-4367</t>
  </si>
  <si>
    <t>4670159143673</t>
  </si>
  <si>
    <t>229704</t>
  </si>
  <si>
    <t>Optima Пакет подарочный с глянцевой ламинацией 18x23x8см (М) Медвежонок в космосе, 128 г ППК-4363</t>
  </si>
  <si>
    <t>ППК-4363</t>
  </si>
  <si>
    <t>4670159143635</t>
  </si>
  <si>
    <t>229680</t>
  </si>
  <si>
    <t>Optima Пакет подарочный с глянцевой ламинацией 18x23x8см (М) Полевые цветы, 128 г ППК-4346</t>
  </si>
  <si>
    <t>ППК-4346</t>
  </si>
  <si>
    <t>4670159143468</t>
  </si>
  <si>
    <t>229703</t>
  </si>
  <si>
    <t>Optima Пакет подарочный с глянцевой ламинацией 18x23x8см (М) Праздник зверей, 128 г ППК-4362</t>
  </si>
  <si>
    <t>ППК-4362</t>
  </si>
  <si>
    <t>4670159143628</t>
  </si>
  <si>
    <t>229697</t>
  </si>
  <si>
    <t>Optima Пакет подарочный с глянцевой ламинацией 18x23x8см (М) Сезонные цветы, голубые, 128 г ППК-4356</t>
  </si>
  <si>
    <t>ППК-4356</t>
  </si>
  <si>
    <t>4670159143567</t>
  </si>
  <si>
    <t>229673</t>
  </si>
  <si>
    <t>Optima Пакет подарочный с глянцевой ламинацией 18x23x8см(М) Долгожданные тюльпаны, 128 г ППК-4341</t>
  </si>
  <si>
    <t>ППК-4341</t>
  </si>
  <si>
    <t>4670159143413</t>
  </si>
  <si>
    <t>213641</t>
  </si>
  <si>
    <t>Optima Пакет подарочный с матовой ламинацией 18x23x8 см  (М)  "Время поздравлений", 128г.ПКП-8141</t>
  </si>
  <si>
    <t>ПКП-8141</t>
  </si>
  <si>
    <t>4670159081418</t>
  </si>
  <si>
    <t>Матовая ламинация</t>
  </si>
  <si>
    <t>272381</t>
  </si>
  <si>
    <t>Optima Пакет подарочный с мат.лам. 18х23х8 см (M) Благородный бирюзовый, 128г (собс.раз.) ППК-2030</t>
  </si>
  <si>
    <t>ППК-2030</t>
  </si>
  <si>
    <t>4680942618073</t>
  </si>
  <si>
    <t>272382</t>
  </si>
  <si>
    <t>Optima Пакет подарочный с мат.лам. 18х23х8 см (M) Благородный персиковый, 128г (собс.раз.) ППК-2031</t>
  </si>
  <si>
    <t>ППК-2031</t>
  </si>
  <si>
    <t>4680942618080</t>
  </si>
  <si>
    <t>272379</t>
  </si>
  <si>
    <t>Optima Пакет подарочный с мат.лам. 18х23х8 см (M) Благородный синий, 128г (собс.раз.) ППК-2028</t>
  </si>
  <si>
    <t>ППК-2028</t>
  </si>
  <si>
    <t>4680942618059</t>
  </si>
  <si>
    <t>272380</t>
  </si>
  <si>
    <t>Optima Пакет подарочный с мат.лам. 18х23х8 см (M) Благородный фиолетовый, 128г (собс.раз.) ППК-2029</t>
  </si>
  <si>
    <t>ППК-2029</t>
  </si>
  <si>
    <t>4680942618066</t>
  </si>
  <si>
    <t>Крафт M</t>
  </si>
  <si>
    <t>261803</t>
  </si>
  <si>
    <t>Пакет подарочный из крафт-бумаги 18*23*10см (craft M) Милота, 130 г(собс.разр.) ППК-7981</t>
  </si>
  <si>
    <t>ППК-7981</t>
  </si>
  <si>
    <t>4630493779815</t>
  </si>
  <si>
    <t>261804</t>
  </si>
  <si>
    <t>Пакет подарочный из крафт-бумаги 18*23*10см (craft M) Цветы, 130 г(собс.разр.) ППК-7982</t>
  </si>
  <si>
    <t>ППК-7982</t>
  </si>
  <si>
    <t>4630493779822</t>
  </si>
  <si>
    <t>261805</t>
  </si>
  <si>
    <t>Пакет подарочный из крафт-бумаги 18*23*10см (craft M) Цыплята 130 г(собс.разр.) ППК-7983</t>
  </si>
  <si>
    <t>ППК-7983</t>
  </si>
  <si>
    <t>4630493779839</t>
  </si>
  <si>
    <t>263215</t>
  </si>
  <si>
    <t>Пакет подарочный из крафт-бумаги 18x23x10 см (craft M) Доставка счастья, 130 г (собс.разр.) ППК-1240</t>
  </si>
  <si>
    <t>ППК-1240</t>
  </si>
  <si>
    <t>4640520771323</t>
  </si>
  <si>
    <t>263217</t>
  </si>
  <si>
    <t>Пакет подарочный из крафт-бумаги 18x23x10 см (craft M) Желаю счастья, 130 г (собс.разр.) ППК-1242</t>
  </si>
  <si>
    <t>ППК-1242</t>
  </si>
  <si>
    <t>4640520771347</t>
  </si>
  <si>
    <t>263212</t>
  </si>
  <si>
    <t>Пакет подарочный из крафт-бумаги 18x23x10 см (craft M) Лучшему мужчине, 130 г (собс.разр.) ППК-1237</t>
  </si>
  <si>
    <t>ППК-1237</t>
  </si>
  <si>
    <t>4640520771293</t>
  </si>
  <si>
    <t>263213</t>
  </si>
  <si>
    <t>Пакет подарочный из крафт-бумаги 18x23x10 см (craft M) Настоящему мужчине, 130 г (соб.раз.) ППК-1238</t>
  </si>
  <si>
    <t>ППК-1238</t>
  </si>
  <si>
    <t>4640520771309</t>
  </si>
  <si>
    <t>263214</t>
  </si>
  <si>
    <t>Пакет подарочный из крафт-бумаги 18x23x10 см (craft M) Поздравляю!, 130 г (собс.разр.) ППК-1239</t>
  </si>
  <si>
    <t>ППК-1239</t>
  </si>
  <si>
    <t>4640520771316</t>
  </si>
  <si>
    <t>263216</t>
  </si>
  <si>
    <t>Пакет подарочный из крафт-бумаги 18x23x10см (craftM) Праздничное настроение, 130г (соб.раз) ППК-1241</t>
  </si>
  <si>
    <t>ППК-1241</t>
  </si>
  <si>
    <t>4640520771330</t>
  </si>
  <si>
    <t>237693</t>
  </si>
  <si>
    <t>Пакет подарочный из крафт-бумаги 18х23х10 см (craft M) Приятный досуг, 130 г ПКП-1128</t>
  </si>
  <si>
    <t>ПКП-1128</t>
  </si>
  <si>
    <t>4670159211280</t>
  </si>
  <si>
    <t>Сraft M 18*23*10 cm</t>
  </si>
  <si>
    <t>229734</t>
  </si>
  <si>
    <t>Пакет подарочный из крафт-бумаги 18х23х10 см (craft M) С днем рождения, синий,130 г ППК-4386</t>
  </si>
  <si>
    <t>ППК-4386</t>
  </si>
  <si>
    <t>4670159143864</t>
  </si>
  <si>
    <t>(M craft) 18x23x10 см</t>
  </si>
  <si>
    <t>Крафт однотонный</t>
  </si>
  <si>
    <t>272384</t>
  </si>
  <si>
    <t>Пакет подарочный крафт 18х23х10 см (craft М) Белый, 130 г(собс.разр.) ППК-2033</t>
  </si>
  <si>
    <t>ППК-2033</t>
  </si>
  <si>
    <t>4680942618103</t>
  </si>
  <si>
    <t>272383</t>
  </si>
  <si>
    <t>Пакет подарочный крафт 18х23х10 см (craft М) Чёрный, 130 г(собс.разр.) ППК-2032</t>
  </si>
  <si>
    <t>ППК-2032</t>
  </si>
  <si>
    <t>4680942618097</t>
  </si>
  <si>
    <t>236223</t>
  </si>
  <si>
    <t>Пакет подарочный с глянц.лам.18*23*10см(M) "Чебурашка и вертолётик" 157г ЛИЦЕНЗИЯ/Чебурашка ПКП-0394</t>
  </si>
  <si>
    <t>ПКП-0394</t>
  </si>
  <si>
    <t>4670159204824</t>
  </si>
  <si>
    <t>Глянцевая ламинация  (18 х 23 х 10)</t>
  </si>
  <si>
    <t>237681</t>
  </si>
  <si>
    <t xml:space="preserve"> Пакет подарочный с глянцевой ламинацией 18х23х10 см (М) Котомания, 157 г ПКП-1121</t>
  </si>
  <si>
    <t>ПКП-1121</t>
  </si>
  <si>
    <t>4670159211211</t>
  </si>
  <si>
    <t>(M Standart) 18*23*10 cm</t>
  </si>
  <si>
    <t>263262</t>
  </si>
  <si>
    <t>Пакет подарочный с глянц.лам. 18х23х10 см (M) Мишка и пингвин, 157 г (собс.разр.) ППК-1287</t>
  </si>
  <si>
    <t>ППК-1287</t>
  </si>
  <si>
    <t>4640520771798</t>
  </si>
  <si>
    <t>263260</t>
  </si>
  <si>
    <t>Пакет подарочный с глянц.лам. 18х23х10 см (M) От всего сердца, 157 г (собс.разр.) ППК-1285</t>
  </si>
  <si>
    <t>ППК-1285</t>
  </si>
  <si>
    <t>4640520771774</t>
  </si>
  <si>
    <t>263255</t>
  </si>
  <si>
    <t>Пакет подарочный с глянц.лам. 18х23х10 см (M) Подарок мужчине, 157 г (собс.разр.) ППК-1280</t>
  </si>
  <si>
    <t>ППК-1280</t>
  </si>
  <si>
    <t>4640520771729</t>
  </si>
  <si>
    <t>263263</t>
  </si>
  <si>
    <t>Пакет подарочный с глянц.лам. 18х23х10 см (M) Поздравляю, синий, 157 г (собс.разр.) ППК-1288</t>
  </si>
  <si>
    <t>ППК-1288</t>
  </si>
  <si>
    <t>4640520771804</t>
  </si>
  <si>
    <t>263258</t>
  </si>
  <si>
    <t>Пакет подарочный с глянц.лам. 18х23х10 см (M) Стильные аксессуары, 157 г (собс.разр.) ППК-1283</t>
  </si>
  <si>
    <t>ППК-1283</t>
  </si>
  <si>
    <t>4640520771750</t>
  </si>
  <si>
    <t>263254</t>
  </si>
  <si>
    <t>Пакет подарочный с глянц.лам. 18х23х10 см (M) Счастья в каждом мгновении, 157г (собс.разр.) ППК-1279</t>
  </si>
  <si>
    <t>ППК-1279</t>
  </si>
  <si>
    <t>4640520771712</t>
  </si>
  <si>
    <t>263257</t>
  </si>
  <si>
    <t>Пакет подарочный с глянц.лам. 18х23х10 см (M) Торт и шарики, 157 г (собс.разр.) ППК-1282</t>
  </si>
  <si>
    <t>ППК-1282</t>
  </si>
  <si>
    <t>4640520771743</t>
  </si>
  <si>
    <t>263259</t>
  </si>
  <si>
    <t>Пакет подарочный с глянц.лам. 18х23х10 см (M) Фиолетовый, 157 г (собс.разр.) ППК-1284</t>
  </si>
  <si>
    <t>ППК-1284</t>
  </si>
  <si>
    <t>4640520771767</t>
  </si>
  <si>
    <t>263256</t>
  </si>
  <si>
    <t>Пакет подарочный с глянц.лам. 18х23х10 см (M) Фонтан из шаров, 157 г (собс.разр.) ППК-1281</t>
  </si>
  <si>
    <t>ППК-1281</t>
  </si>
  <si>
    <t>4640520771736</t>
  </si>
  <si>
    <t>263261</t>
  </si>
  <si>
    <t>Пакет подарочный с глянц.лам. 18х23х10 см (M) Яркое поздравление, 157 г (собс.разр.) ППК-1286</t>
  </si>
  <si>
    <t>ППК-1286</t>
  </si>
  <si>
    <t>4640520771781</t>
  </si>
  <si>
    <t>212147</t>
  </si>
  <si>
    <t>Пакет подарочный с глянц.ламинацией 18x23x10 см (M) Блеск, 157 г ПКП-4236</t>
  </si>
  <si>
    <t>ПКП-4236</t>
  </si>
  <si>
    <t>4670159083368</t>
  </si>
  <si>
    <t>212135</t>
  </si>
  <si>
    <t>Пакет подарочный с глянц.ламинацией 18x23x10 см (M) Девушка из фильма, 157 г ПКП-4230</t>
  </si>
  <si>
    <t>ПКП-4230</t>
  </si>
  <si>
    <t>4670159083306</t>
  </si>
  <si>
    <t>212136</t>
  </si>
  <si>
    <t>Пакет подарочный с глянц.ламинацией 18x23x10 см (M) Долгожданные подарочки, 157 г ПКП-4231</t>
  </si>
  <si>
    <t>ПКП-4231</t>
  </si>
  <si>
    <t>4670159083313</t>
  </si>
  <si>
    <t>212134</t>
  </si>
  <si>
    <t>Пакет подарочный с глянц.ламинацией 18x23x10 см (M) История, 157 г ПКП-4229</t>
  </si>
  <si>
    <t>ПКП-4229</t>
  </si>
  <si>
    <t>4670159083290</t>
  </si>
  <si>
    <t>212129</t>
  </si>
  <si>
    <t>Пакет подарочный с глянц.ламинацией 18x23x10 см (M) Красная машина, 157 г ПКП-4224</t>
  </si>
  <si>
    <t>ПКП-4224</t>
  </si>
  <si>
    <t>4670159083245</t>
  </si>
  <si>
    <t>212133</t>
  </si>
  <si>
    <t>Пакет подарочный с глянц.ламинацией 18x23x10 см (M) Красный мотоцикл, 157 г ПКП-4228</t>
  </si>
  <si>
    <t>ПКП-4228</t>
  </si>
  <si>
    <t>4670159083283</t>
  </si>
  <si>
    <t>146235</t>
  </si>
  <si>
    <t>Пакет подарочный с глянцевой ламинацией 18x23x10 см  (M) Стильная акула, 157 г ПКП-6352</t>
  </si>
  <si>
    <t>ПКП-6352</t>
  </si>
  <si>
    <t>4665308263524</t>
  </si>
  <si>
    <t>18 х 23 х 10</t>
  </si>
  <si>
    <t>229743</t>
  </si>
  <si>
    <t>Пакет подарочный с глянцевой ламинацией 18x23x10 см (М) Балерина, 157 г ППК-4392</t>
  </si>
  <si>
    <t>ППК-4392</t>
  </si>
  <si>
    <t>4670159143925</t>
  </si>
  <si>
    <t>(M ) 18x23x10 см</t>
  </si>
  <si>
    <t>229750</t>
  </si>
  <si>
    <t>Пакет подарочный с глянцевой ламинацией 18x23x10 см (М) Белые тюльпаны, 157 г ППК-4398</t>
  </si>
  <si>
    <t>ППК-4398</t>
  </si>
  <si>
    <t>4670159143987</t>
  </si>
  <si>
    <t>229749</t>
  </si>
  <si>
    <t>Пакет подарочный с глянцевой ламинацией 18x23x10 см (М) Жёлтые цветочки, 157 г ППК-4397</t>
  </si>
  <si>
    <t>ППК-4397</t>
  </si>
  <si>
    <t>4670159143970</t>
  </si>
  <si>
    <t>229766</t>
  </si>
  <si>
    <t>Пакет подарочный с глянцевой ламинацией 18x23x10 см (М) Морской пакетик, 157 г ППК-4409</t>
  </si>
  <si>
    <t>ППК-4409</t>
  </si>
  <si>
    <t>4670159144090</t>
  </si>
  <si>
    <t>229754</t>
  </si>
  <si>
    <t>Пакет подарочный с глянцевой ламинацией 18x23x10 см (М) Первые цветы, 157 г ППК-4401</t>
  </si>
  <si>
    <t>ППК-4401</t>
  </si>
  <si>
    <t>4670159144014</t>
  </si>
  <si>
    <t>229745</t>
  </si>
  <si>
    <t>Пакет подарочный с глянцевой ламинацией 18x23x10 см (М) Розовые розы, 157 г ППК-4394</t>
  </si>
  <si>
    <t>ППК-4394</t>
  </si>
  <si>
    <t>4670159143949</t>
  </si>
  <si>
    <t>229741</t>
  </si>
  <si>
    <t>Пакет подарочный с глянцевой ламинацией 18x23x10 см (М) Славный пират, 157 г ППК-4391</t>
  </si>
  <si>
    <t>ППК-4391</t>
  </si>
  <si>
    <t>4670159143918</t>
  </si>
  <si>
    <t>229744</t>
  </si>
  <si>
    <t>Пакет подарочный с глянцевой ламинацией 18x23x10 см (М) Чаепитие с пионами, 157 г ППК-4393</t>
  </si>
  <si>
    <t>ППК-4393</t>
  </si>
  <si>
    <t>4670159143932</t>
  </si>
  <si>
    <t>237683</t>
  </si>
  <si>
    <t>Пакет подарочный с глянцевой ламинацией 18х23х10 см (М) Девочка с одуванчиком, 157 г ПКП-1123</t>
  </si>
  <si>
    <t>ПКП-1123</t>
  </si>
  <si>
    <t>4670159211235</t>
  </si>
  <si>
    <t>Квадратные</t>
  </si>
  <si>
    <t>169936</t>
  </si>
  <si>
    <t>Пакет подарочный с глянцевой ламинацией (квадратный) 22x22x11 см (M) Музыкальный, 157 г. ППК-7525</t>
  </si>
  <si>
    <t>ППК-7525</t>
  </si>
  <si>
    <t>4610144865258</t>
  </si>
  <si>
    <t>22x22x11 см</t>
  </si>
  <si>
    <t>261725</t>
  </si>
  <si>
    <t>Optima Пакет подарочный с глянц.лам. 22*31*10 см (ML) Lion, 128г (соб.разр) ППК-7909</t>
  </si>
  <si>
    <t>ППК-7909</t>
  </si>
  <si>
    <t>4630493779099</t>
  </si>
  <si>
    <t>261724</t>
  </si>
  <si>
    <t>Optima Пакет подарочный с глянц.лам. 22*31*10 см (ML) Present, 128г (соб.разр) ППК-7908</t>
  </si>
  <si>
    <t>ППК-7908</t>
  </si>
  <si>
    <t>4630493779082</t>
  </si>
  <si>
    <t>261715</t>
  </si>
  <si>
    <t>Optima Пакет подарочный с глянц.лам. 22*31*10 см (ML) Акварельные Кои, 128г (соб.разр) ППК-7899</t>
  </si>
  <si>
    <t>ППК-7899</t>
  </si>
  <si>
    <t>4630493778993</t>
  </si>
  <si>
    <t>261666</t>
  </si>
  <si>
    <t>Optima Пакет подарочный с глянц.лам. 22*31*10 см (ML) Бабочка, 128г (соб.разр) ППК-7923</t>
  </si>
  <si>
    <t>ППК-7923</t>
  </si>
  <si>
    <t>4630493779235</t>
  </si>
  <si>
    <t>261685</t>
  </si>
  <si>
    <t>Optima Пакет подарочный с глянц.лам. 22*31*10 см (ML) Белочка-малютка, 128г (соб.разр) ППК-7931</t>
  </si>
  <si>
    <t>ППК-7931</t>
  </si>
  <si>
    <t>4630493779310</t>
  </si>
  <si>
    <t>261738</t>
  </si>
  <si>
    <t>Optima Пакет подарочный с глянц.лам. 22*31*10 см (ML) Букет, 128г (соб.разр) ППК-7921</t>
  </si>
  <si>
    <t>ППК-7921</t>
  </si>
  <si>
    <t>4630493779211</t>
  </si>
  <si>
    <t>261734</t>
  </si>
  <si>
    <t>Optima Пакет подарочный с глянц.лам. 22*31*10 см (ML) Веселые подарки, 128г (соб.разр) ППК-7918</t>
  </si>
  <si>
    <t>ППК-7918</t>
  </si>
  <si>
    <t>4630493779181</t>
  </si>
  <si>
    <t>261718</t>
  </si>
  <si>
    <t>Optima Пакет подарочный с глянц.лам. 22*31*10 см (ML) Веселый горошек, 128г (соб.разр) ППК-7902</t>
  </si>
  <si>
    <t>ППК-7902</t>
  </si>
  <si>
    <t>4630493779020</t>
  </si>
  <si>
    <t>261700</t>
  </si>
  <si>
    <t>Optima Пакет подарочный с глянц.лам. 22*31*10 см (ML) Веселый праздник, 128г (соб.разр) ППК-7887</t>
  </si>
  <si>
    <t>ППК-7887</t>
  </si>
  <si>
    <t>4630493778870</t>
  </si>
  <si>
    <t>261697</t>
  </si>
  <si>
    <t>Optima Пакет подарочный с глянц.лам. 22*31*10 см (ML) Воздушные шары, 128г (соб.разр) ППК-7885</t>
  </si>
  <si>
    <t>ППК-7885</t>
  </si>
  <si>
    <t>4630493778856</t>
  </si>
  <si>
    <t>261704</t>
  </si>
  <si>
    <t>Optima Пакет подарочный с глянц.лам. 22*31*10 см (ML) Восток, 128г (соб.разр) ППК-7889</t>
  </si>
  <si>
    <t>ППК-7889</t>
  </si>
  <si>
    <t>4630493778894</t>
  </si>
  <si>
    <t>261707</t>
  </si>
  <si>
    <t>Optima Пакет подарочный с глянц.лам. 22*31*10 см (ML) Глазурь, 128г (соб.разр) ППК-7892</t>
  </si>
  <si>
    <t>ППК-7892</t>
  </si>
  <si>
    <t>4630493778924</t>
  </si>
  <si>
    <t>261699</t>
  </si>
  <si>
    <t>Optima Пакет подарочный с глянц.лам. 22*31*10 см (ML) Графика, 128г (соб.разр) ППК-7886</t>
  </si>
  <si>
    <t>ППК-7886</t>
  </si>
  <si>
    <t>4630493778863</t>
  </si>
  <si>
    <t>261717</t>
  </si>
  <si>
    <t>Optima Пакет подарочный с глянц.лам. 22*31*10 см (ML) Кексик, 128г (соб.разр) ППК-7901</t>
  </si>
  <si>
    <t>ППК-7901</t>
  </si>
  <si>
    <t>4630493779013</t>
  </si>
  <si>
    <t>261731</t>
  </si>
  <si>
    <t>Optima Пакет подарочный с глянц.лам. 22*31*10 см (ML) Коты на веревке, 128г (соб.разр) ППК-7915</t>
  </si>
  <si>
    <t>ППК-7915</t>
  </si>
  <si>
    <t>4630493779150</t>
  </si>
  <si>
    <t>261678</t>
  </si>
  <si>
    <t>Optima Пакет подарочный с глянц.лам. 22*31*10 см (ML) Кошка в короне, 128г (соб.разр) ППК-7927</t>
  </si>
  <si>
    <t>ППК-7927</t>
  </si>
  <si>
    <t>4630493779273</t>
  </si>
  <si>
    <t>261674</t>
  </si>
  <si>
    <t>Optima Пакет подарочный с глянц.лам. 22*31*10 см (ML) Красивый букет, 128г (соб.разр) ППК-7925</t>
  </si>
  <si>
    <t>ППК-7925</t>
  </si>
  <si>
    <t>4630493779259</t>
  </si>
  <si>
    <t>261728</t>
  </si>
  <si>
    <t>Optima Пакет подарочный с глянц.лам. 22*31*10 см (ML) Крафтовые подарки, 128г (соб.разр) ППК-7912</t>
  </si>
  <si>
    <t>ППК-7912</t>
  </si>
  <si>
    <t>4630493779129</t>
  </si>
  <si>
    <t>261732</t>
  </si>
  <si>
    <t>Optima Пакет подарочный с глянц.лам. 22*31*10 см (ML) Крошка-слоненок, 128г (соб.разр) ППК-7916</t>
  </si>
  <si>
    <t>ППК-7916</t>
  </si>
  <si>
    <t>4630493779167</t>
  </si>
  <si>
    <t>261741</t>
  </si>
  <si>
    <t>Optima Пакет подарочный с глянц.лам. 22*31*10 см (ML) Лесные мотивы, 128г (соб.разр) ППК-7922</t>
  </si>
  <si>
    <t>ППК-7922</t>
  </si>
  <si>
    <t>4630493779228</t>
  </si>
  <si>
    <t>261713</t>
  </si>
  <si>
    <t>Optima Пакет подарочный с глянц.лам. 22*31*10 см (ML) Лотосы, 128г (соб.разр) ППК-7898</t>
  </si>
  <si>
    <t>ППК-7898</t>
  </si>
  <si>
    <t>4630493778986</t>
  </si>
  <si>
    <t>261689</t>
  </si>
  <si>
    <t>Optima Пакет подарочный с глянц.лам. 22*31*10 см (ML) Лучшему мужчине, 128г (соб.разр) ППК-7934</t>
  </si>
  <si>
    <t>ППК-7934</t>
  </si>
  <si>
    <t>4630493779341</t>
  </si>
  <si>
    <t>261722</t>
  </si>
  <si>
    <t>Optima Пакет подарочный с глянц.лам. 22*31*10 см (ML) Манжеты, 128г (соб.разр) ППК-7906</t>
  </si>
  <si>
    <t>ППК-7906</t>
  </si>
  <si>
    <t>4630493779068</t>
  </si>
  <si>
    <t>261726</t>
  </si>
  <si>
    <t>Optima Пакет подарочный с глянц.лам. 22*31*10 см (ML) Мечты, 128г (соб.разр) ППК-7910</t>
  </si>
  <si>
    <t>ППК-7910</t>
  </si>
  <si>
    <t>4630493779105</t>
  </si>
  <si>
    <t>261730</t>
  </si>
  <si>
    <t>Optima Пакет подарочный с глянц.лам. 22*31*10 см (ML) Мои поздравления, 128г (соб.разр) ППК-7914</t>
  </si>
  <si>
    <t>ППК-7914</t>
  </si>
  <si>
    <t>4630493779143</t>
  </si>
  <si>
    <t>261672</t>
  </si>
  <si>
    <t>Optima Пакет подарочный с глянц.лам. 22*31*10 см (ML) Морской бриз, 128г (соб.разр) ППК-7924</t>
  </si>
  <si>
    <t>ППК-7924</t>
  </si>
  <si>
    <t>4630493779242</t>
  </si>
  <si>
    <t>261709</t>
  </si>
  <si>
    <t>Optima Пакет подарочный с глянц.лам. 22*31*10 см (ML) Мрамор, 128г (соб.разр) ППК-7894</t>
  </si>
  <si>
    <t>ППК-7894</t>
  </si>
  <si>
    <t>4630493778948</t>
  </si>
  <si>
    <t>261723</t>
  </si>
  <si>
    <t>Optima Пакет подарочный с глянц.лам. 22*31*10 см (ML) Мужские аксессуары, 128г (соб.разр) ППК-7907</t>
  </si>
  <si>
    <t>ППК-7907</t>
  </si>
  <si>
    <t>4630493779075</t>
  </si>
  <si>
    <t>261719</t>
  </si>
  <si>
    <t>Optima Пакет подарочный с глянц.лам. 22*31*10 см (ML) Мужской подарок , 128г (соб.разр) ППК-7903</t>
  </si>
  <si>
    <t>ППК-7903</t>
  </si>
  <si>
    <t>4630493779037</t>
  </si>
  <si>
    <t>261729</t>
  </si>
  <si>
    <t>Optima Пакет подарочный с глянц.лам. 22*31*10 см (ML) Мятное настроение, 128г (соб.разр) ППК-7913</t>
  </si>
  <si>
    <t>ППК-7913</t>
  </si>
  <si>
    <t>4630493779136</t>
  </si>
  <si>
    <t>261712</t>
  </si>
  <si>
    <t>Optima Пакет подарочный с глянц.лам. 22*31*10 см (ML) Нежная Флора, 128г (соб.разр) ППК-7897</t>
  </si>
  <si>
    <t>ППК-7897</t>
  </si>
  <si>
    <t>4630493778979</t>
  </si>
  <si>
    <t>261710</t>
  </si>
  <si>
    <t>Optima Пакет подарочный с глянц.лам. 22*31*10 см (ML) Нежные цветы, 128г (соб.разр) ППК-7895</t>
  </si>
  <si>
    <t>ППК-7895</t>
  </si>
  <si>
    <t>4630493778955</t>
  </si>
  <si>
    <t>261686</t>
  </si>
  <si>
    <t>Optima Пакет подарочный с глянц.лам. 22*31*10 см (ML) Нежный букет, 128г (соб.разр) ППК-7932</t>
  </si>
  <si>
    <t>ППК-7932</t>
  </si>
  <si>
    <t>4630493779327</t>
  </si>
  <si>
    <t>261720</t>
  </si>
  <si>
    <t>Optima Пакет подарочный с глянц.лам. 22*31*10 см (ML) Неоновые кубы, 128г (соб.разр) ППК-7904</t>
  </si>
  <si>
    <t>ППК-7904</t>
  </si>
  <si>
    <t>4630493779044</t>
  </si>
  <si>
    <t>261716</t>
  </si>
  <si>
    <t>Optima Пакет подарочный с глянц.лам. 22*31*10 см (ML) Пастель, 128г (соб.разр) ППК-7900</t>
  </si>
  <si>
    <t>ППК-7900</t>
  </si>
  <si>
    <t>4630493779006</t>
  </si>
  <si>
    <t>261721</t>
  </si>
  <si>
    <t>Optima Пакет подарочный с глянц.лам. 22*31*10 см (ML) Праздник конфетти, 128г (соб.разр) ППК-7905</t>
  </si>
  <si>
    <t>ППК-7905</t>
  </si>
  <si>
    <t>4630493779051</t>
  </si>
  <si>
    <t>261736</t>
  </si>
  <si>
    <t>Optima Пакет подарочный с глянц.лам. 22*31*10 см (ML) Праздничная бабочка, 128г (соб.разр) ППК-7920</t>
  </si>
  <si>
    <t>ППК-7920</t>
  </si>
  <si>
    <t>4630493779204</t>
  </si>
  <si>
    <t>261705</t>
  </si>
  <si>
    <t>Optima Пакет подарочный с глянц.лам. 22*31*10 см (ML) Приятные подарки, 128г (соб.разр) ППК-7890</t>
  </si>
  <si>
    <t>ППК-7890</t>
  </si>
  <si>
    <t>4630493778900</t>
  </si>
  <si>
    <t>261708</t>
  </si>
  <si>
    <t>Optima Пакет подарочный с глянц.лам. 22*31*10 см (ML) Птицы над склоном, 128г (соб.разр) ППК-7893</t>
  </si>
  <si>
    <t>ППК-7893</t>
  </si>
  <si>
    <t>4630493778931</t>
  </si>
  <si>
    <t>261683</t>
  </si>
  <si>
    <t>Optima Пакет подарочный с глянц.лам. 22*31*10 см (ML) Ромашковый букет, 128г (соб.разр) ППК-7930</t>
  </si>
  <si>
    <t>ППК-7930</t>
  </si>
  <si>
    <t>4630493779303</t>
  </si>
  <si>
    <t>261682</t>
  </si>
  <si>
    <t>Optima Пакет подарочный с глянц.лам. 22*31*10 см (ML) Синицы, 128г (соб.разр) ППК-7929</t>
  </si>
  <si>
    <t>ППК-7929</t>
  </si>
  <si>
    <t>4630493779297</t>
  </si>
  <si>
    <t>261680</t>
  </si>
  <si>
    <t>Optima Пакет подарочный с глянц.лам. 22*31*10 см (ML) Сирень, 128г (соб.разр) ППК-7928</t>
  </si>
  <si>
    <t>ППК-7928</t>
  </si>
  <si>
    <t>4630493779280</t>
  </si>
  <si>
    <t>261676</t>
  </si>
  <si>
    <t>Optima Пакет подарочный с глянц.лам. 22*31*10 см (ML) Цветочный шар, 128г (соб.разр) ППК-7926</t>
  </si>
  <si>
    <t>ППК-7926</t>
  </si>
  <si>
    <t>4630493779266</t>
  </si>
  <si>
    <t>261727</t>
  </si>
  <si>
    <t>Optima Пакет подарочный с глянц.лам. 22*31*10 см (ML) Чат, 128г (соб.разр) ППК-7911</t>
  </si>
  <si>
    <t>ППК-7911</t>
  </si>
  <si>
    <t>4630493779112</t>
  </si>
  <si>
    <t>261735</t>
  </si>
  <si>
    <t>Optima Пакет подарочный с глянц.лам. 22*31*10 см (ML) Шары, 128г (соб.разр) ППК-7919</t>
  </si>
  <si>
    <t>ППК-7919</t>
  </si>
  <si>
    <t>4630493779198</t>
  </si>
  <si>
    <t>261687</t>
  </si>
  <si>
    <t>Optima Пакет подарочный с глянц.лам. 22*31*10 см (ML) Яркие пионы, 128г (соб.разр) ППК-7933</t>
  </si>
  <si>
    <t>ППК-7933</t>
  </si>
  <si>
    <t>4630493779334</t>
  </si>
  <si>
    <t>261711</t>
  </si>
  <si>
    <t>Optima Пакет подарочный с глянц.лам. 22*31*10 см (ML) Яркие цветы, 128г (соб.разр) ППК-7896</t>
  </si>
  <si>
    <t>ППК-7896</t>
  </si>
  <si>
    <t>4630493778962</t>
  </si>
  <si>
    <t>261706</t>
  </si>
  <si>
    <t>Optima Пакет подарочный с глянц.лам. 22*31*10 см (ML), Золотистые шары, 128г (соб.разр) ППК-7891</t>
  </si>
  <si>
    <t>ППК-7891</t>
  </si>
  <si>
    <t>4630493778917</t>
  </si>
  <si>
    <t>236158</t>
  </si>
  <si>
    <t>Optima Пакет подарочный с глянц.лам. 22х31х10 см (МL) Акварельные пёсики, 128 г ПКП-0552</t>
  </si>
  <si>
    <t>ПКП-0552</t>
  </si>
  <si>
    <t>4670159205524</t>
  </si>
  <si>
    <t>236159</t>
  </si>
  <si>
    <t>Optima Пакет подарочный с глянц.лам. 22х31х10 см (МL) Акварельный котик, 128 г ПКП-0553</t>
  </si>
  <si>
    <t>ПКП-0553</t>
  </si>
  <si>
    <t>4670159205531</t>
  </si>
  <si>
    <t>236150</t>
  </si>
  <si>
    <t>Optima Пакет подарочный с глянц.лам. 22х31х10 см (МL) Весенняя композиция, 128 г ПКП-0545</t>
  </si>
  <si>
    <t>ПКП-0545</t>
  </si>
  <si>
    <t>4670159205456</t>
  </si>
  <si>
    <t>236152</t>
  </si>
  <si>
    <t>Optima Пакет подарочный с глянц.лам. 22х31х10 см (МL) Поля тюльпанов, 128 г ПКП-0546</t>
  </si>
  <si>
    <t>ПКП-0546</t>
  </si>
  <si>
    <t>4670159205463</t>
  </si>
  <si>
    <t>236156</t>
  </si>
  <si>
    <t>Optima Пакет подарочный с глянц.лам. 22х31х10 см (МL) Принцесса русалок, 128 г ПКП-0550</t>
  </si>
  <si>
    <t>ПКП-0550</t>
  </si>
  <si>
    <t>4670159205500</t>
  </si>
  <si>
    <t>236157</t>
  </si>
  <si>
    <t>Optima Пакет подарочный с глянц.лам. 22х31х10 см (МL) Стильный пёс, 128 г ПКП-0551</t>
  </si>
  <si>
    <t>ПКП-0551</t>
  </si>
  <si>
    <t>4670159205517</t>
  </si>
  <si>
    <t>212160</t>
  </si>
  <si>
    <t>Optima Пакет подарочный с глянц.ламинацией 22x31x10 см (МL) Мои подарки, 128 г ПКП-4248</t>
  </si>
  <si>
    <t>ПКП-4248</t>
  </si>
  <si>
    <t>4670159083481</t>
  </si>
  <si>
    <t>229823</t>
  </si>
  <si>
    <t>Optima Пакет подарочный с глянцевой ламинацией 22x31x10 см (ML) Кексики, 128 г ППК-4439</t>
  </si>
  <si>
    <t>ППК-4439</t>
  </si>
  <si>
    <t>4670159144397</t>
  </si>
  <si>
    <t>(ML optima) 22x31x10 см</t>
  </si>
  <si>
    <t>229803</t>
  </si>
  <si>
    <t>Optima Пакет подарочный с глянцевой ламинацией 22x31x10 см (ML) Красивые бабочки, 128 г ППК-4431</t>
  </si>
  <si>
    <t>ППК-4431</t>
  </si>
  <si>
    <t>4670159144311</t>
  </si>
  <si>
    <t>229814</t>
  </si>
  <si>
    <t>Optima Пакет подарочный с глянцевой ламинацией 22x31x10 см (ML) Медвежонок в космосе, 128 г ППК-4435</t>
  </si>
  <si>
    <t>ППК-4435</t>
  </si>
  <si>
    <t>4670159144359</t>
  </si>
  <si>
    <t>262880</t>
  </si>
  <si>
    <t xml:space="preserve"> Пакет подарочный с глянц.лам. 22*31*10см (ML) Счастья в каждом моменте, 157 г (собс.разр.) ППК-7103</t>
  </si>
  <si>
    <t>ППК-7103</t>
  </si>
  <si>
    <t>4640520771033</t>
  </si>
  <si>
    <t>262876</t>
  </si>
  <si>
    <t>Пакет подарочный с глянц.лам. 22*31*10см (ML) Время чудес, 157г (собс.разр.) ППК-7099</t>
  </si>
  <si>
    <t>ППК-7099</t>
  </si>
  <si>
    <t>4640520770999</t>
  </si>
  <si>
    <t>262874</t>
  </si>
  <si>
    <t>Пакет подарочный с глянц.лам. 22*31*10см (ML) Праздничный блеск, 157г (собс.разр.) ППК-7097</t>
  </si>
  <si>
    <t>ППК-7097</t>
  </si>
  <si>
    <t>4640520770975</t>
  </si>
  <si>
    <t>262873</t>
  </si>
  <si>
    <t>Пакет подарочный с глянц.лам. 22*31*10см (ML) Ты  мой космос, 157г (собс.разр.) ППК-7096</t>
  </si>
  <si>
    <t>ППК-7096</t>
  </si>
  <si>
    <t>4640520770968</t>
  </si>
  <si>
    <t>212184</t>
  </si>
  <si>
    <t>Пакет подарочный с глянц.ламинацией 22x31x10 см (ML) Мечты о Токио, 157 г ПКП-4272</t>
  </si>
  <si>
    <t>ПКП-4272</t>
  </si>
  <si>
    <t>4670159083726</t>
  </si>
  <si>
    <t>243329</t>
  </si>
  <si>
    <t>Пакет подарочный с глянцевой ламинацией  22x31x10 см (ML) Велосипед, 157 г ПКП-9161</t>
  </si>
  <si>
    <t>ПКП-9161</t>
  </si>
  <si>
    <t>4670159231615</t>
  </si>
  <si>
    <t>(ML) 22x31x10 см</t>
  </si>
  <si>
    <t>243325</t>
  </si>
  <si>
    <t>Пакет подарочный с глянцевой ламинацией 22x31x10 см (ML) Дама, 157 г ПКП-9158</t>
  </si>
  <si>
    <t>ПКП-9158</t>
  </si>
  <si>
    <t>4670159231585</t>
  </si>
  <si>
    <t>243323</t>
  </si>
  <si>
    <t>Пакет подарочный с глянцевой ламинацией 22x31x10 см (ML) Узоры, 157 г ПКП-9157</t>
  </si>
  <si>
    <t>ПКП-9157</t>
  </si>
  <si>
    <t>4670159231578</t>
  </si>
  <si>
    <t>Матовая ламинация (22x31x10 см)</t>
  </si>
  <si>
    <t>263219</t>
  </si>
  <si>
    <t>Пакет подарочный с мат.лам. 22x31x10 см (МL) Для тебя, 157 г (собс.разр.) ППК-1244</t>
  </si>
  <si>
    <t>ППК-1244</t>
  </si>
  <si>
    <t>4640520771361</t>
  </si>
  <si>
    <t>263221</t>
  </si>
  <si>
    <t>Пакет подарочный с мат.лам. 22x31x10 см (МL) Желаю счастья, 157 г (собс.разр.) ППК-1246</t>
  </si>
  <si>
    <t>ППК-1246</t>
  </si>
  <si>
    <t>4640520771385</t>
  </si>
  <si>
    <t>263220</t>
  </si>
  <si>
    <t>Пакет подарочный с мат.лам. 22x31x10 см (МL) Подарок для тебя, 157 г (собс.разр.) ППК-1245</t>
  </si>
  <si>
    <t>ППК-1245</t>
  </si>
  <si>
    <t>4640520771378</t>
  </si>
  <si>
    <t>263218</t>
  </si>
  <si>
    <t>Пакет подарочный с мат.лам. 22x31x10 см (МL) Подарок лучшему мужчине, 157 г (собс.разр.) ППК-1243</t>
  </si>
  <si>
    <t>ППК-1243</t>
  </si>
  <si>
    <t>4640520771354</t>
  </si>
  <si>
    <t>Dream Cards (26.4х32.7х13.6)</t>
  </si>
  <si>
    <t>Dream Cards (26,4x32,7x13,6) мат. лам., 3D элемент</t>
  </si>
  <si>
    <t>221726</t>
  </si>
  <si>
    <t>Dream cards Пакет подар.с мат. лам. и 3Dэлем.,26*32*10см(L),Модный набор,210г ППК-3595</t>
  </si>
  <si>
    <t>ППК-3595</t>
  </si>
  <si>
    <t>4670159135951</t>
  </si>
  <si>
    <t>(L) 26*32*10</t>
  </si>
  <si>
    <t>221723</t>
  </si>
  <si>
    <t>Dream cards Пакет подар.с мат. лам. и 3Dэлем.,26*32*10см(L),Стильный костюм,210г ППК-3593</t>
  </si>
  <si>
    <t>ППК-3593</t>
  </si>
  <si>
    <t>4670159135937</t>
  </si>
  <si>
    <t>221725</t>
  </si>
  <si>
    <t>Dream cards Пакет подар.с мат. лам. и 3Dэлем.,26*32*10см(L),Черное настроение,210г ППК-3594</t>
  </si>
  <si>
    <t>ППК-3594</t>
  </si>
  <si>
    <t>4670159135944</t>
  </si>
  <si>
    <t>221721</t>
  </si>
  <si>
    <t>Dream cards Пакет подар.с мат.лам.,глит.и 3Dэлем.,26*32*10см(L),Красная туфелька,210г ППК-3592</t>
  </si>
  <si>
    <t>ППК-3592</t>
  </si>
  <si>
    <t>4670159135920</t>
  </si>
  <si>
    <t>221717</t>
  </si>
  <si>
    <t>Dream cards Пакет подар.с мат.лам.,глит.и 3Dэлем.,26*32*10см(L),Летний пикник,210г ППК-3589</t>
  </si>
  <si>
    <t>ППК-3589</t>
  </si>
  <si>
    <t>4670159135890</t>
  </si>
  <si>
    <t>221719</t>
  </si>
  <si>
    <t>Dream cards Пакет подар.с мат.лам.,глит.и 3Dэлем.,26*32*10см(L),Поход в магазин,210г ППК-3590</t>
  </si>
  <si>
    <t>ППК-3590</t>
  </si>
  <si>
    <t>4670159135906</t>
  </si>
  <si>
    <t>234205</t>
  </si>
  <si>
    <t>Dream Cards Пакет подарочный мат.лам,глиттер,3Dэл. 26*32*10 см(L), Веселая машинка, 210г ПКП-9236</t>
  </si>
  <si>
    <t>ПКП-9236</t>
  </si>
  <si>
    <t>4670159193326</t>
  </si>
  <si>
    <t>234236</t>
  </si>
  <si>
    <t>Dream Cards Пакет подарочный мат.лам,глиттер,3Dэл. 26*32*10 см(L), Котёнок и подарки, 210г ПКП-9250</t>
  </si>
  <si>
    <t>ПКП-9250</t>
  </si>
  <si>
    <t>4670159193463</t>
  </si>
  <si>
    <t>234237</t>
  </si>
  <si>
    <t>Dream Cards Пакет подарочный мат.лам,глиттер,3Dэл. 26*32*10 см(L), Котёнок и шарики, 210г ПКП-9251</t>
  </si>
  <si>
    <t>ПКП-9251</t>
  </si>
  <si>
    <t>4670159193470</t>
  </si>
  <si>
    <t>234235</t>
  </si>
  <si>
    <t>Dream Cards Пакет подарочный мат.лам,глиттер,3Dэл. 26*32*10 см(L), Котёнок, 210г ПКП-9249</t>
  </si>
  <si>
    <t>ПКП-9249</t>
  </si>
  <si>
    <t>4670159193456</t>
  </si>
  <si>
    <t>234234</t>
  </si>
  <si>
    <t>Dream Cards Пакет подарочный мат.лам,глиттер,3Dэл. 26*32*10 см(L), Котик в чашке, 210г ПКП-9248</t>
  </si>
  <si>
    <t>ПКП-9248</t>
  </si>
  <si>
    <t>4670159193449</t>
  </si>
  <si>
    <t>234243</t>
  </si>
  <si>
    <t>Dream Cards Пакет подарочный мат.лам,глиттер,3Dэл. 26*32*10 см(L), Котик и торт, 210г ПКП-9257</t>
  </si>
  <si>
    <t>ПКП-9257</t>
  </si>
  <si>
    <t>4670159193531</t>
  </si>
  <si>
    <t>234244</t>
  </si>
  <si>
    <t>Dream Cards Пакет подарочный мат.лам,глиттер,3Dэл. 26*32*10 см(L), Котик на тортике, 210г ПКП-9258</t>
  </si>
  <si>
    <t>ПКП-9258</t>
  </si>
  <si>
    <t>4670159193548</t>
  </si>
  <si>
    <t>234245</t>
  </si>
  <si>
    <t>Dream Cards Пакет подарочный мат.лам,глиттер,3Dэл. 26*32*10 см(L), Котик праздничный, 210г ПКП-9259</t>
  </si>
  <si>
    <t>ПКП-9259</t>
  </si>
  <si>
    <t>4670159193555</t>
  </si>
  <si>
    <t>234208</t>
  </si>
  <si>
    <t>Dream Cards Пакет подарочный мат.лам,глиттер,3Dэл. 26*32*10 см(L), Красная машинка, 210г ПКП-9238</t>
  </si>
  <si>
    <t>ПКП-9238</t>
  </si>
  <si>
    <t>4670159193340</t>
  </si>
  <si>
    <t>234238</t>
  </si>
  <si>
    <t>Dream Cards Пакет подарочный мат.лам,глиттер,3Dэл. 26*32*10 см(L), Милая принцесса, 210г ПКП-9252</t>
  </si>
  <si>
    <t>ПКП-9252</t>
  </si>
  <si>
    <t>4670159193487</t>
  </si>
  <si>
    <t>234232</t>
  </si>
  <si>
    <t>Dream Cards Пакет подарочный мат.лам,глиттер,3Dэл. 26*32*10 см(L), Мишка герой, 210г ПКП-9246</t>
  </si>
  <si>
    <t>ПКП-9246</t>
  </si>
  <si>
    <t>4670159193425</t>
  </si>
  <si>
    <t>234239</t>
  </si>
  <si>
    <t>Dream Cards Пакет подарочный мат.лам,глиттер,3Dэл. 26*32*10 см(L), Нежная принцесса, 210г ПКП-9253</t>
  </si>
  <si>
    <t>ПКП-9253</t>
  </si>
  <si>
    <t>4670159193494</t>
  </si>
  <si>
    <t>234231</t>
  </si>
  <si>
    <t>Dream Cards Пакет подарочный мат.лам,глиттер,3Dэл. 26*32*10 см(L), Супер друзья, 210г ПКП-9245</t>
  </si>
  <si>
    <t>ПКП-9245</t>
  </si>
  <si>
    <t>4670159193418</t>
  </si>
  <si>
    <t>234233</t>
  </si>
  <si>
    <t>Dream Cards Пакет подарочный мат.лам,глиттер,3Dэл. 26*32*10 см(L), Супер-слоник, 210г ПКП-9247</t>
  </si>
  <si>
    <t>ПКП-9247</t>
  </si>
  <si>
    <t>4670159193432</t>
  </si>
  <si>
    <t>234206</t>
  </si>
  <si>
    <t>Dream Cards Пакет подарочный мат.лам,глиттер,3Dэл. 26*32*10 см(L), Яркая машинка, 210г ПКП-9237</t>
  </si>
  <si>
    <t>ПКП-9237</t>
  </si>
  <si>
    <t>4670159193333</t>
  </si>
  <si>
    <t>234242</t>
  </si>
  <si>
    <t>Dream Cards Пакет подарочный мат.лам,глиттер,3Dэл. 26*32*10см(L), Котик в коробке, 210г ПКП-9256</t>
  </si>
  <si>
    <t>ПКП-9256</t>
  </si>
  <si>
    <t>4670159193524</t>
  </si>
  <si>
    <t>234241</t>
  </si>
  <si>
    <t>Dream Cards Пакет подарочный мат.лам,глиттер,3Dэл. 26*32*10см(L), Красивая принцесса, 210г ПКП-9255</t>
  </si>
  <si>
    <t>ПКП-9255</t>
  </si>
  <si>
    <t>4670159193517</t>
  </si>
  <si>
    <t>234240</t>
  </si>
  <si>
    <t>Dream Cards Пакет подарочный мат.лам,глиттер,3Dэл. 26*32*10см(L), Принцесса в платье, 210г ПКП-9254</t>
  </si>
  <si>
    <t>ПКП-9254</t>
  </si>
  <si>
    <t>4670159193500</t>
  </si>
  <si>
    <t>Dream Cards (26.4х32.7х13.6) мат.лам. и тиснение фольгой</t>
  </si>
  <si>
    <t>258155</t>
  </si>
  <si>
    <t>Dream cards Пакет подар. с мат. лам. и золот. тисн. 26х32х12см (L), Цветочный луг, 210г/м2, ППК-7609</t>
  </si>
  <si>
    <t>ППК-7609</t>
  </si>
  <si>
    <t>4630493775954</t>
  </si>
  <si>
    <t>258153</t>
  </si>
  <si>
    <t>Dream cards Пакет подар. с мат. лам. и золот. тисн. 26х32х12см (L), Чарующий сад, 210г/м2, ППК-7607</t>
  </si>
  <si>
    <t>ППК-7607</t>
  </si>
  <si>
    <t>4630493775930</t>
  </si>
  <si>
    <t>258156</t>
  </si>
  <si>
    <t>Dream cards Пакет подар. с мат.лам. и золот.тисн. 26х32х12см (L), Пастельные маки, 210г/м2, ППК-7610</t>
  </si>
  <si>
    <t>ППК-7610</t>
  </si>
  <si>
    <t>4630493775961</t>
  </si>
  <si>
    <t>222178</t>
  </si>
  <si>
    <t>Dream cards Пакет подар. с мат.лам.и золотис.тисн.26*32*10см(L), Цветочный дар, 210г ППК-3694</t>
  </si>
  <si>
    <t>ППК-3694</t>
  </si>
  <si>
    <t>4670159136941</t>
  </si>
  <si>
    <t>26*32*10</t>
  </si>
  <si>
    <t>221710</t>
  </si>
  <si>
    <t>Dream cards Пакет подар.с мат.лам.и золотистым тисн., 26*32*10см(L)Желтый пиджак,210г ППК-3585</t>
  </si>
  <si>
    <t>ППК-3585</t>
  </si>
  <si>
    <t>4670159135852</t>
  </si>
  <si>
    <t>221716</t>
  </si>
  <si>
    <t>Dream cards Пакет подар.с мат.лам.и золотистым тисн., 26*32*10см(L)Черный пиджак,210г ППК-3588</t>
  </si>
  <si>
    <t>ППК-3588</t>
  </si>
  <si>
    <t>4670159135883</t>
  </si>
  <si>
    <t>221714</t>
  </si>
  <si>
    <t>Dream cards Пакет подар.с мат.лам.и серебристым тисн., 26*32*10см(L)Голубой пиджак,210г ППК-3587</t>
  </si>
  <si>
    <t>ППК-3587</t>
  </si>
  <si>
    <t>4670159135876</t>
  </si>
  <si>
    <t>221712</t>
  </si>
  <si>
    <t>Dream cards Пакет подар.с мат.лам.и серебристым тисн., 26*32*10см(L)Малиновый пиджак,210г ППК-3586</t>
  </si>
  <si>
    <t>ППК-3586</t>
  </si>
  <si>
    <t>4670159135869</t>
  </si>
  <si>
    <t>229976</t>
  </si>
  <si>
    <t>Dream Cards Пакет подар.с мат.лам.и тис.фол.26x32x10см(L)Зеркальный,пятнышки,210г ППК-4505</t>
  </si>
  <si>
    <t>ППК-4505</t>
  </si>
  <si>
    <t>4670159145059</t>
  </si>
  <si>
    <t>(L) 26x32x10 см</t>
  </si>
  <si>
    <t>222284</t>
  </si>
  <si>
    <t>Dream cards Пакет подар.с мат.лам.26.4х32.7х13.6 см(L), Весенняя стрекоза, 210г ППК-3393</t>
  </si>
  <si>
    <t>ППК-3393</t>
  </si>
  <si>
    <t>4670159133933</t>
  </si>
  <si>
    <t>(L)26.4х32.7х13.6см</t>
  </si>
  <si>
    <t>222292</t>
  </si>
  <si>
    <t>Dream cards Пакет подар.с мат.лам.26.4х32.7х13.6 см(L), Диско динозаврик,210г ППК-3401</t>
  </si>
  <si>
    <t>ППК-3401</t>
  </si>
  <si>
    <t>4670159134015</t>
  </si>
  <si>
    <t>222290</t>
  </si>
  <si>
    <t>Dream cards Пакет подар.с мат.лам.26.4х32.7х13.6 см(L), Диско кот 210г ППК-3399</t>
  </si>
  <si>
    <t>ППК-3399</t>
  </si>
  <si>
    <t>4670159133995</t>
  </si>
  <si>
    <t>222291</t>
  </si>
  <si>
    <t>Dream cards Пакет подар.с мат.лам.26.4х32.7х13.6 см(L), Диско тигр,210г ППК-3400</t>
  </si>
  <si>
    <t>ППК-3400</t>
  </si>
  <si>
    <t>4670159134008</t>
  </si>
  <si>
    <t>222293</t>
  </si>
  <si>
    <t>Dream cards Пакет подар.с мат.лам.26.4х32.7х13.6 см(L), Крутая обезьянка,210г ППК-3402</t>
  </si>
  <si>
    <t>ППК-3402</t>
  </si>
  <si>
    <t>4670159134022</t>
  </si>
  <si>
    <t>222282</t>
  </si>
  <si>
    <t>Dream cards Пакет подар.с мат.лам.26.4х32.7х13.6 см(L), Нежный колибри, 210г ППК-3391</t>
  </si>
  <si>
    <t>ППК-3391</t>
  </si>
  <si>
    <t>4670159133919</t>
  </si>
  <si>
    <t>222283</t>
  </si>
  <si>
    <t>Dream cards Пакет подар.с мат.лам.26.4х32.7х13.6 см(L), Нежный павлин, 210г ППК-3392</t>
  </si>
  <si>
    <t>ППК-3392</t>
  </si>
  <si>
    <t>4670159133926</t>
  </si>
  <si>
    <t>222285</t>
  </si>
  <si>
    <t>Dream cards Пакет подар.с мат.лам.26.4х32.7х13.6 см(L), Яркий морской конёк, 210г ППК-3394</t>
  </si>
  <si>
    <t>ППК-3394</t>
  </si>
  <si>
    <t>4670159133940</t>
  </si>
  <si>
    <t>258131</t>
  </si>
  <si>
    <t>Dream cards Пакет подарочный  с мат. лам. 26х32х12 см (L), Библиотека, 210 г/м2, ППК-7590</t>
  </si>
  <si>
    <t>ППК-7590</t>
  </si>
  <si>
    <t>4630493775763</t>
  </si>
  <si>
    <t>258129</t>
  </si>
  <si>
    <t>Dream cards Пакет подарочный  с мат. лам. 26х32х12 см (L), Винтажные книги, 210 г/м2, ППК-7589</t>
  </si>
  <si>
    <t>ППК-7589</t>
  </si>
  <si>
    <t>4630493775756</t>
  </si>
  <si>
    <t>258127</t>
  </si>
  <si>
    <t>Dream cards Пакет подарочный  с мат. лам. 26х32х12 см (L), Дневник писателя, 210 г/м2, ППК-7587</t>
  </si>
  <si>
    <t>ППК-7587</t>
  </si>
  <si>
    <t>4630493775732</t>
  </si>
  <si>
    <t>258128</t>
  </si>
  <si>
    <t>Dream cards Пакет подарочный  с мат. лам. 26х32х12 см (L), Романтика, 210 г/м2, ППК-7588</t>
  </si>
  <si>
    <t>ППК-7588</t>
  </si>
  <si>
    <t>4630493775749</t>
  </si>
  <si>
    <t>258115</t>
  </si>
  <si>
    <t>Dream cards Пакет подарочный  с мат. лам. 26х32х12 см (L), чудесные динозавры, 210 г/м2, ППК-7578</t>
  </si>
  <si>
    <t>ППК-7578</t>
  </si>
  <si>
    <t>4630493775640</t>
  </si>
  <si>
    <t>261788</t>
  </si>
  <si>
    <t>Dream cards Пакет подарочный с мат.лам. 26*32*10см(L) Абстракция, 190г(собс.разр.) ППК-7971</t>
  </si>
  <si>
    <t>ППК-7971</t>
  </si>
  <si>
    <t>4630493779716</t>
  </si>
  <si>
    <t>261789</t>
  </si>
  <si>
    <t>Dream cards Пакет подарочный с мат.лам. 26*32*10см(L) Беоые пионы, 190г (собс.разр) ППК-7972</t>
  </si>
  <si>
    <t>ППК-7972</t>
  </si>
  <si>
    <t>4630493779723</t>
  </si>
  <si>
    <t>261793</t>
  </si>
  <si>
    <t>Dream cards Пакет подарочный с мат.лам. 26*32*10см(L) Маки, 190г (собс.разр) ППК-7974</t>
  </si>
  <si>
    <t>ППК-7974</t>
  </si>
  <si>
    <t>4630493779747</t>
  </si>
  <si>
    <t>261791</t>
  </si>
  <si>
    <t>Dream cards Пакет подарочный с мат.лам. 26*32*10см(L) Пышные пионы 190г (собс.разр) ППК-7973</t>
  </si>
  <si>
    <t>ППК-7973</t>
  </si>
  <si>
    <t>4630493779730</t>
  </si>
  <si>
    <t>Dream Cards (26.4х32.7х13.6) матовая ламинация и глиттер</t>
  </si>
  <si>
    <t>220146</t>
  </si>
  <si>
    <t>Dream cards Пакет подар. с мат. лам. и глит.26.4х32.7х13.6см р-р(L),Семья китов,210г ППК-2585</t>
  </si>
  <si>
    <t>ППК-2585</t>
  </si>
  <si>
    <t>4670159125853</t>
  </si>
  <si>
    <t>L (26х32х12 см)</t>
  </si>
  <si>
    <t>252791</t>
  </si>
  <si>
    <t>Dream cards Пакет подар. с мат.лам. и глит. 26,4х32,7х13,6 см (L) Сакура 190г (собс.разр) ППК-2767</t>
  </si>
  <si>
    <t>ППК-2767</t>
  </si>
  <si>
    <t>4640306927678</t>
  </si>
  <si>
    <t>222180</t>
  </si>
  <si>
    <t>Dream cards Пакет подар. с мат.лам.и глит.26*32*10см(L), Колибри с цветком, 210г ППК-3695</t>
  </si>
  <si>
    <t>ППК-3695</t>
  </si>
  <si>
    <t>4670159136958</t>
  </si>
  <si>
    <t>222185</t>
  </si>
  <si>
    <t>Dream cards Пакет подар. с мат.лам.и глит.26*32*10см(L), Нежная любовь, 210г ППК-3698</t>
  </si>
  <si>
    <t>ППК-3698</t>
  </si>
  <si>
    <t>4670159136989</t>
  </si>
  <si>
    <t>222183</t>
  </si>
  <si>
    <t>Dream cards Пакет подар. с мат.лам.и глит.26*32*10см(L), Цветы на ветру, 210г ППК-3696</t>
  </si>
  <si>
    <t>ППК-3696</t>
  </si>
  <si>
    <t>4670159136965</t>
  </si>
  <si>
    <t>222212</t>
  </si>
  <si>
    <t>Dream cards Пакет подар.с мат.лам.и глит.26*32*10см(L) "Змеиные объятия",210г ППК-3722</t>
  </si>
  <si>
    <t>ППК-3722</t>
  </si>
  <si>
    <t>4670159137221</t>
  </si>
  <si>
    <t>222209</t>
  </si>
  <si>
    <t>Dream cards Пакет подар.с мат.лам.и глит.26*32*10см(L) "Змея с розами",210г ППК-3720</t>
  </si>
  <si>
    <t>ППК-3720</t>
  </si>
  <si>
    <t>4670159137207</t>
  </si>
  <si>
    <t>234248</t>
  </si>
  <si>
    <t>Dream cards Пакет подарочный мат.лам,глиттер 26*32*10см(L), Модная девушка 210 г ПКП-9262</t>
  </si>
  <si>
    <t>ПКП-9262</t>
  </si>
  <si>
    <t>4670159193586</t>
  </si>
  <si>
    <t>234246</t>
  </si>
  <si>
    <t>Dream cards Пакет подарочный мат.лам,глиттер 26*32*10см(L), Стильная девушка, 210 г ПКП-9260</t>
  </si>
  <si>
    <t>ПКП-9260</t>
  </si>
  <si>
    <t>4670159193562</t>
  </si>
  <si>
    <t>252833</t>
  </si>
  <si>
    <t>Dreamcards Пакет подар. с мат.лам. и глит.26,4х32,7х13,6см(L)С Днём Рождения!190г(собс.разр)ППК-2766</t>
  </si>
  <si>
    <t>ППК-2766</t>
  </si>
  <si>
    <t>4640306927661</t>
  </si>
  <si>
    <t>252832</t>
  </si>
  <si>
    <t>Dreamcards Пакет подар. с мат.лам. и глит.26,4х32,7х13,6см(L)Цветы и бабочка, 190г(соб.разр)ППК-2765</t>
  </si>
  <si>
    <t>ППК-2765</t>
  </si>
  <si>
    <t>4640306927654</t>
  </si>
  <si>
    <t>220144</t>
  </si>
  <si>
    <t>Пакет подарочный с с мат. лам. и глит.26*32*10см(L), Милый китёнок, 210г ППК-2583</t>
  </si>
  <si>
    <t>ППК-2583</t>
  </si>
  <si>
    <t>4670159125839</t>
  </si>
  <si>
    <t>234032</t>
  </si>
  <si>
    <t>Optima Пакет подарочный с  глянцевой ламин. 26,4x32,7x8 см (L) Желтые тюльпаны, 128 г, ПКП-9049</t>
  </si>
  <si>
    <t>ПКП-9049</t>
  </si>
  <si>
    <t>4670159190493</t>
  </si>
  <si>
    <t>234035</t>
  </si>
  <si>
    <t>Optima Пакет подарочный с  глянцевой ламин. 26,4x32,7x8 см (L) Нарциссы, 128 г, ПКП-9052</t>
  </si>
  <si>
    <t>ПКП-9052</t>
  </si>
  <si>
    <t>4670159190523</t>
  </si>
  <si>
    <t>234031</t>
  </si>
  <si>
    <t>Optima Пакет подарочный с  глянцевой ламин. 26,4x32,7x8 см (L) Нежные тюльпаны, 128 г, ПКП-9048</t>
  </si>
  <si>
    <t>ПКП-9048</t>
  </si>
  <si>
    <t>4670159190486</t>
  </si>
  <si>
    <t>234033</t>
  </si>
  <si>
    <t>Optima Пакет подарочный с  глянцевой ламин. 26,4x32,7x8 см (L) Романтичный подарок, 128 г, ПКП-9050</t>
  </si>
  <si>
    <t>ПКП-9050</t>
  </si>
  <si>
    <t>4670159190509</t>
  </si>
  <si>
    <t>261826</t>
  </si>
  <si>
    <t>Optima Пакет подарочный с глянц. лам. 26,4*32,7*8см (L) Галстук, 128г(собс. разр.) ППК-8000</t>
  </si>
  <si>
    <t>ППК-8000</t>
  </si>
  <si>
    <t>4640520770005</t>
  </si>
  <si>
    <t>261827</t>
  </si>
  <si>
    <t>Optima Пакет подарочный с глянц. лам. 26,4*32,7*8см (L) Мужчина в синем галстуке, 128 г ППК-8001</t>
  </si>
  <si>
    <t>ППК-8001</t>
  </si>
  <si>
    <t>4640520770012</t>
  </si>
  <si>
    <t>261824</t>
  </si>
  <si>
    <t>Optima Пакет подарочный с глянц. лам. 26,4*32,7*8см (L) Полосы, 128г (собст.разр) ППК-7998</t>
  </si>
  <si>
    <t>ППК-7998</t>
  </si>
  <si>
    <t>4630493779983</t>
  </si>
  <si>
    <t>261825</t>
  </si>
  <si>
    <t>Optima Пакет подарочный с глянц. лам. 26,4*32,7*8см (L) Синяя бабочка, 128г (собст.разр) ППК-7999</t>
  </si>
  <si>
    <t>ППК-7999</t>
  </si>
  <si>
    <t>4630493779990</t>
  </si>
  <si>
    <t>261813</t>
  </si>
  <si>
    <t>Optima Пакет подарочный с глянц. лам. 26,4х32,7x8 см (L) Книги , 128 г (собс.разр.) ППК-7990</t>
  </si>
  <si>
    <t>ППК-7990</t>
  </si>
  <si>
    <t>4630493779907</t>
  </si>
  <si>
    <t>261814</t>
  </si>
  <si>
    <t>Optima Пакет подарочный с глянц. лам. 26,4х32,7x8 см (L) Царь, 128 г (собс.разр.) ППК-7991</t>
  </si>
  <si>
    <t>ППК-7991</t>
  </si>
  <si>
    <t>4630493779914</t>
  </si>
  <si>
    <t>261768</t>
  </si>
  <si>
    <t>Optima Пакет подарочный с глянц. лам.26,4*32,7*8см (L) Аромат весны, 128 г ППК-7955</t>
  </si>
  <si>
    <t>ППК-7955</t>
  </si>
  <si>
    <t>4630493779556</t>
  </si>
  <si>
    <t>261754</t>
  </si>
  <si>
    <t>Optima Пакет подарочный с глянц. лам.26,4*32,7*8см (L) Восточный цветок 128 г ППК-7941</t>
  </si>
  <si>
    <t>ППК-7941</t>
  </si>
  <si>
    <t>4630493779419</t>
  </si>
  <si>
    <t>261755</t>
  </si>
  <si>
    <t>Optima Пакет подарочный с глянц. лам.26,4*32,7*8см (L) Цветок страсти 128 г ППК-7942</t>
  </si>
  <si>
    <t>ППК-7942</t>
  </si>
  <si>
    <t>4630493779426</t>
  </si>
  <si>
    <t>261769</t>
  </si>
  <si>
    <t>Optima Пакет подарочный с глянц. лам.26,4*32,7*8см (L) Яркий цвет, 128 г ППК-7956</t>
  </si>
  <si>
    <t>ППК-7956</t>
  </si>
  <si>
    <t>4630493779563</t>
  </si>
  <si>
    <t>261753</t>
  </si>
  <si>
    <t>Optima Пакет подарочный с глянц. лам.ин.26,4*32,7*8см (L) Цветок, 128г (собст.разр) ППК-7940</t>
  </si>
  <si>
    <t>ППК-7940</t>
  </si>
  <si>
    <t>4630493779402</t>
  </si>
  <si>
    <t>236173</t>
  </si>
  <si>
    <t>Optima Пакет подарочный с глянц.лам. 26,4*32,7*8см (L) Ароматные пионы, 128 г ПКП-0362</t>
  </si>
  <si>
    <t>ПКП-0362</t>
  </si>
  <si>
    <t>4670159204503</t>
  </si>
  <si>
    <t>236195</t>
  </si>
  <si>
    <t>Optima Пакет подарочный с глянц.лам. 26,4*32,7*8см (L) Механизмы, 128г ПКП-0378</t>
  </si>
  <si>
    <t>ПКП-0378</t>
  </si>
  <si>
    <t>4670159204664</t>
  </si>
  <si>
    <t>236204</t>
  </si>
  <si>
    <t>Optima Пакет подарочный с глянц.лам. 26,4*32,7*8см (L) Осенний стиль, 128г ПКП-0385</t>
  </si>
  <si>
    <t>ПКП-0385</t>
  </si>
  <si>
    <t>4670159204732</t>
  </si>
  <si>
    <t>236183</t>
  </si>
  <si>
    <t>Optima Пакет подарочный с глянц.лам. 26,4*32,7*8см (L) Песик и веточки, 128г ПКП-0370</t>
  </si>
  <si>
    <t>ПКП-0370</t>
  </si>
  <si>
    <t>4670159204589</t>
  </si>
  <si>
    <t>236176</t>
  </si>
  <si>
    <t>Optima Пакет подарочный с глянц.лам. 26,4*32,7*8см (L) Цветочное настроение, 128 г ПКП-0365</t>
  </si>
  <si>
    <t>ПКП-0365</t>
  </si>
  <si>
    <t>4670159204534</t>
  </si>
  <si>
    <t>261553</t>
  </si>
  <si>
    <t>Optima Пакет подарочный с глянц.лам. 26,4х32,7x8 см (L)  Мужской подарок, 128г (соб.разр) ППК-7866</t>
  </si>
  <si>
    <t>ППК-7866</t>
  </si>
  <si>
    <t>4630493778665</t>
  </si>
  <si>
    <t>261551</t>
  </si>
  <si>
    <t>Optima Пакет подарочный с глянц.лам. 26,4х32,7x8 см (L) Веселый праздник, 128г (соб.разр) ППК-7865</t>
  </si>
  <si>
    <t>ППК-7865</t>
  </si>
  <si>
    <t>4630493778658</t>
  </si>
  <si>
    <t>261483</t>
  </si>
  <si>
    <t>Optima Пакет подарочный с глянц.лам. 26,4х32,7x8 см (L) Воздушные сердца, 128г (соб.разр) ППК-7823</t>
  </si>
  <si>
    <t>ППК-7823</t>
  </si>
  <si>
    <t>4630493778238</t>
  </si>
  <si>
    <t>261508</t>
  </si>
  <si>
    <t>Optima Пакет подарочный с глянц.лам. 26,4х32,7x8 см (L) Воздушные шары, 128г (соб.разр) ППК-7845</t>
  </si>
  <si>
    <t>ППК-7845</t>
  </si>
  <si>
    <t>4630493778450</t>
  </si>
  <si>
    <t>261510</t>
  </si>
  <si>
    <t>Optima Пакет подарочный с глянц.лам. 26,4х32,7x8 см (L) Воздушный праздник, 128г (соб.разр) ППК-7847</t>
  </si>
  <si>
    <t>ППК-7847</t>
  </si>
  <si>
    <t>4630493778474</t>
  </si>
  <si>
    <t>261531</t>
  </si>
  <si>
    <t>Optima Пакет подарочный с глянц.лам. 26,4х32,7x8 см (L) Глянцевые шары, 128г (соб.разр) ППК-7852</t>
  </si>
  <si>
    <t>ППК-7852</t>
  </si>
  <si>
    <t>4630493778528</t>
  </si>
  <si>
    <t>261534</t>
  </si>
  <si>
    <t>Optima Пакет подарочный с глянц.лам. 26,4х32,7x8 см (L) Гортензия, 128г (соб.разр) ППК-7854</t>
  </si>
  <si>
    <t>ППК-7854</t>
  </si>
  <si>
    <t>4630493778542</t>
  </si>
  <si>
    <t>261545</t>
  </si>
  <si>
    <t>Optima Пакет подарочный с глянц.лам. 26,4х32,7x8 см (L) Джентельмен, 128г (соб.разр) ППК-7861</t>
  </si>
  <si>
    <t>ППК-7861</t>
  </si>
  <si>
    <t>4630493778610</t>
  </si>
  <si>
    <t>261535</t>
  </si>
  <si>
    <t>Optima Пакет подарочный с глянц.лам. 26,4х32,7x8 см (L) Для тебя, 128г (соб.разр) ППК-7855</t>
  </si>
  <si>
    <t>ППК-7855</t>
  </si>
  <si>
    <t>4630493778559</t>
  </si>
  <si>
    <t>261482</t>
  </si>
  <si>
    <t>Optima Пакет подарочный с глянц.лам. 26,4х32,7x8 см (L) Книги, 128г (соб.разр) ППК-7822</t>
  </si>
  <si>
    <t>ППК-7822</t>
  </si>
  <si>
    <t>4630493778221</t>
  </si>
  <si>
    <t>261503</t>
  </si>
  <si>
    <t>Optima Пакет подарочный с глянц.лам. 26,4х32,7x8 см (L) Кот, 128г (соб.разр) ППК-7840</t>
  </si>
  <si>
    <t>ППК-7840</t>
  </si>
  <si>
    <t>4630493778405</t>
  </si>
  <si>
    <t>261499</t>
  </si>
  <si>
    <t>Optima Пакет подарочный с глянц.лам. 26,4х32,7x8 см (L) Котелки, 128г (соб.разр) ППК-7837</t>
  </si>
  <si>
    <t>ППК-7837</t>
  </si>
  <si>
    <t>4630493778375</t>
  </si>
  <si>
    <t>261537</t>
  </si>
  <si>
    <t>Optima Пакет подарочный с глянц.лам. 26,4х32,7x8 см (L) Красивый букет, 128г (соб.разр) ППК-7856</t>
  </si>
  <si>
    <t>ППК-7856</t>
  </si>
  <si>
    <t>4630493778566</t>
  </si>
  <si>
    <t>261497</t>
  </si>
  <si>
    <t>Optima Пакет подарочный с глянц.лам. 26,4х32,7x8 см (L) Летнее настроение, 128г (соб.разр) ППК-7835</t>
  </si>
  <si>
    <t>ППК-7835</t>
  </si>
  <si>
    <t>4630493778351</t>
  </si>
  <si>
    <t>261556</t>
  </si>
  <si>
    <t>Optima Пакет подарочный с глянц.лам. 26,4х32,7x8 см (L) Летящая компания, 128г (соб.разр) ППК-7868</t>
  </si>
  <si>
    <t>ППК-7868</t>
  </si>
  <si>
    <t>4630493778689</t>
  </si>
  <si>
    <t>261506</t>
  </si>
  <si>
    <t>Optima Пакет подарочный с глянц.лам. 26,4х32,7x8 см (L) Маки, 128г (соб.разр) ППК-7843</t>
  </si>
  <si>
    <t>ППК-7843</t>
  </si>
  <si>
    <t>4630493778436</t>
  </si>
  <si>
    <t>261467</t>
  </si>
  <si>
    <t>Optima Пакет подарочный с глянц.лам. 26,4х32,7x8 см (L) Маленькие пузырьки, 128г (соб.разр) ППК-7815</t>
  </si>
  <si>
    <t>ППК-7815</t>
  </si>
  <si>
    <t>4630493778153</t>
  </si>
  <si>
    <t>261464</t>
  </si>
  <si>
    <t>Optima Пакет подарочный с глянц.лам. 26,4х32,7x8 см (L) Микс шаров, 128г (соб.разр) ППК-7813</t>
  </si>
  <si>
    <t>ППК-7813</t>
  </si>
  <si>
    <t>4630493778139</t>
  </si>
  <si>
    <t>261533</t>
  </si>
  <si>
    <t>Optima Пакет подарочный с глянц.лам. 26,4х32,7x8 см (L) Милые питомцы, 128г (соб.разр) ППК-7853</t>
  </si>
  <si>
    <t>ППК-7853</t>
  </si>
  <si>
    <t>4630493778535</t>
  </si>
  <si>
    <t>261554</t>
  </si>
  <si>
    <t>Optima Пакет подарочный с глянц.лам. 26,4х32,7x8 см (L) Милый лис, 128г (соб.разр) ППК-7867</t>
  </si>
  <si>
    <t>ППК-7867</t>
  </si>
  <si>
    <t>4630493778672</t>
  </si>
  <si>
    <t>261490</t>
  </si>
  <si>
    <t>Optima Пакет подарочный с глянц.лам. 26,4х32,7x8 см (L) Мистер, 128г (соб.разр) ППК-7830</t>
  </si>
  <si>
    <t>ППК-7830</t>
  </si>
  <si>
    <t>4630493778306</t>
  </si>
  <si>
    <t>261495</t>
  </si>
  <si>
    <t>Optima Пакет подарочный с глянц.лам. 26,4х32,7x8 см (L) Мишка и торт, 128г (соб.разр) ППК-7833</t>
  </si>
  <si>
    <t>ППК-7833</t>
  </si>
  <si>
    <t>4630493778337</t>
  </si>
  <si>
    <t>261541</t>
  </si>
  <si>
    <t>Optima Пакет подарочный с глянц.лам. 26,4х32,7x8 см (L) Моменты счастья, 128г (соб.разр) ППК-7859</t>
  </si>
  <si>
    <t>ППК-7859</t>
  </si>
  <si>
    <t>4630493778597</t>
  </si>
  <si>
    <t>261496</t>
  </si>
  <si>
    <t>Optima Пакет подарочный с глянц.лам. 26,4х32,7x8 см (L) Мужская классика, 128г (соб.разр) ППК-7834</t>
  </si>
  <si>
    <t>ППК-7834</t>
  </si>
  <si>
    <t>4630493778344</t>
  </si>
  <si>
    <t>261498</t>
  </si>
  <si>
    <t>Optima Пакет подарочный с глянц.лам. 26,4х32,7x8 см (L) Мужская компания, 128г (собс.разр.) ППК-7836</t>
  </si>
  <si>
    <t>ППК-7836</t>
  </si>
  <si>
    <t>4630493778368</t>
  </si>
  <si>
    <t>261486</t>
  </si>
  <si>
    <t>Optima Пакет подарочный с глянц.лам. 26,4х32,7x8 см (L) Нежность, 128г (соб.разр) ППК-7826</t>
  </si>
  <si>
    <t>ППК-7826</t>
  </si>
  <si>
    <t>4630493778269</t>
  </si>
  <si>
    <t>261540</t>
  </si>
  <si>
    <t>Optima Пакет подарочный с глянц.лам. 26,4х32,7x8 см (L) Пастельные цветы, 128г (соб.разр) ППК-7858</t>
  </si>
  <si>
    <t>ППК-7858</t>
  </si>
  <si>
    <t>4630493778580</t>
  </si>
  <si>
    <t>261557</t>
  </si>
  <si>
    <t>Optima Пакет подарочный с глянц.лам. 26,4х32,7x8 см (L) Праздник детства, 128г (соб.разр) ППК-7869</t>
  </si>
  <si>
    <t>ППК-7869</t>
  </si>
  <si>
    <t>4630493778696</t>
  </si>
  <si>
    <t>261479</t>
  </si>
  <si>
    <t>Optima Пакет подарочный с глянц.лам. 26,4х32,7x8 см (L) Праздничные звезды, 128г (соб.разр) ППК-7820</t>
  </si>
  <si>
    <t>ППК-7820</t>
  </si>
  <si>
    <t>4630493778207</t>
  </si>
  <si>
    <t>261512</t>
  </si>
  <si>
    <t>Optima Пакет подарочный с глянц.лам. 26,4х32,7x8 см (L) Праздничные шары, 128г (соб.разр) ППК-7849</t>
  </si>
  <si>
    <t>ППК-7849</t>
  </si>
  <si>
    <t>4630493778498</t>
  </si>
  <si>
    <t>261549</t>
  </si>
  <si>
    <t>Optima Пакет подарочный с глянц.лам. 26,4х32,7x8 см (L) Разноцветные шары, 128г (соб.разр) ППК-7864</t>
  </si>
  <si>
    <t>ППК-7864</t>
  </si>
  <si>
    <t>4630493778641</t>
  </si>
  <si>
    <t>261485</t>
  </si>
  <si>
    <t>Optima Пакет подарочный с глянц.лам. 26,4х32,7x8 см (L) Розовый скутер, 128г (соб.разр) ППК-7825</t>
  </si>
  <si>
    <t>ППК-7825</t>
  </si>
  <si>
    <t>4630493778252</t>
  </si>
  <si>
    <t>261504</t>
  </si>
  <si>
    <t>Optima Пакет подарочный с глянц.лам. 26,4х32,7x8 см (L) Сладкий день, 128г (соб.разр) ППК-7841</t>
  </si>
  <si>
    <t>ППК-7841</t>
  </si>
  <si>
    <t>4630493778412</t>
  </si>
  <si>
    <t>261466</t>
  </si>
  <si>
    <t>Optima Пакет подарочный с глянц.лам. 26,4х32,7x8 см (L) Сладкий праздник, 128г (соб.разр) ППК-7814</t>
  </si>
  <si>
    <t>ППК-7814</t>
  </si>
  <si>
    <t>4630493778146</t>
  </si>
  <si>
    <t>261489</t>
  </si>
  <si>
    <t>Optima Пакет подарочный с глянц.лам. 26,4х32,7x8 см (L) Сладкоежка, 128г (соб.разр) ППК-7829</t>
  </si>
  <si>
    <t>ППК-7829</t>
  </si>
  <si>
    <t>4630493778290</t>
  </si>
  <si>
    <t>261507</t>
  </si>
  <si>
    <t>Optima Пакет подарочный с глянц.лам. 26,4х32,7x8 см (L) Следуй за мечтой, 128г (соб.разр) ППК-7844</t>
  </si>
  <si>
    <t>ППК-7844</t>
  </si>
  <si>
    <t>4630493778443</t>
  </si>
  <si>
    <t>261509</t>
  </si>
  <si>
    <t>Optima Пакет подарочный с глянц.лам. 26,4х32,7x8 см (L) Смешной кот, 128г (соб.разр) ППК-7846</t>
  </si>
  <si>
    <t>ППК-7846</t>
  </si>
  <si>
    <t>4630493778467</t>
  </si>
  <si>
    <t>261494</t>
  </si>
  <si>
    <t>Optima Пакет подарочный с глянц.лам. 26,4х32,7x8 см (L) Стиль, 128г (соб.разр) ППК-7832</t>
  </si>
  <si>
    <t>ППК-7832</t>
  </si>
  <si>
    <t>4630493778320</t>
  </si>
  <si>
    <t>261473</t>
  </si>
  <si>
    <t>Optima Пакет подарочный с глянц.лам. 26,4х32,7x8 см (L) Тропик, 128г (соб.разр) ППК-7818</t>
  </si>
  <si>
    <t>ППК-7818</t>
  </si>
  <si>
    <t>4630493778184</t>
  </si>
  <si>
    <t>261476</t>
  </si>
  <si>
    <t>Optima Пакет подарочный с глянц.лам. 26,4х32,7x8 см (L) Тропические листья, 128г (соб.разр) ППК-7819</t>
  </si>
  <si>
    <t>ППК-7819</t>
  </si>
  <si>
    <t>4630493778191</t>
  </si>
  <si>
    <t>261529</t>
  </si>
  <si>
    <t>Optima Пакет подарочный с глянц.лам. 26,4х32,7x8 см (L) Ты мой космос, 128г (соб.разр) ППК-7851</t>
  </si>
  <si>
    <t>ППК-7851</t>
  </si>
  <si>
    <t>4630493778511</t>
  </si>
  <si>
    <t>261539</t>
  </si>
  <si>
    <t>Optima Пакет подарочный с глянц.лам. 26,4х32,7x8 см (L) Флора, 128г (соб.разр) ППК-7857</t>
  </si>
  <si>
    <t>ППК-7857</t>
  </si>
  <si>
    <t>4630493778573</t>
  </si>
  <si>
    <t>261543</t>
  </si>
  <si>
    <t>Optima Пакет подарочный с глянц.лам. 26,4х32,7x8 см (L) Царь, 128г (соб.разр) ППК-7860</t>
  </si>
  <si>
    <t>ППК-7860</t>
  </si>
  <si>
    <t>4630493778603</t>
  </si>
  <si>
    <t>261505</t>
  </si>
  <si>
    <t>Optima Пакет подарочный с глянц.лам. 26,4х32,7x8 см (L) Яркая вечеринка, 128г (соб.разр) ППК-7842</t>
  </si>
  <si>
    <t>ППК-7842</t>
  </si>
  <si>
    <t>4630493778429</t>
  </si>
  <si>
    <t>261527</t>
  </si>
  <si>
    <t>Optima Пакет подарочный с глянц.лам. 26,4х32,7x8 см (L) Яркие шарики, 128г (соб.разр) ППК-7850</t>
  </si>
  <si>
    <t>ППК-7850</t>
  </si>
  <si>
    <t>4630493778504</t>
  </si>
  <si>
    <t>212220</t>
  </si>
  <si>
    <t>Optima Пакет подарочный с глянц.ламинацией 26,4x32,7x8 см (L) Весенние цветы, 128 г ПКП-4296</t>
  </si>
  <si>
    <t>ПКП-4296</t>
  </si>
  <si>
    <t>4670159083962</t>
  </si>
  <si>
    <t>212233</t>
  </si>
  <si>
    <t>Optima Пакет подарочный с глянц.ламинацией 26,4x32,7x8 см (L) Дорогие часы, 128 г ПКП-4308</t>
  </si>
  <si>
    <t>ПКП-4308</t>
  </si>
  <si>
    <t>4670159084082</t>
  </si>
  <si>
    <t>229866</t>
  </si>
  <si>
    <t>Optima Пакет подарочный с глянцевой ламин. 26,4x32,7x8 см (L) Долгожданные тюльпаны, 128 г ППК-4457</t>
  </si>
  <si>
    <t>ППК-4457</t>
  </si>
  <si>
    <t>4670159144571</t>
  </si>
  <si>
    <t>(L optima) 26,4x32,7x8 см</t>
  </si>
  <si>
    <t>229910</t>
  </si>
  <si>
    <t>Optima Пакет подарочный с глянцевой ламин. 26,4x32,7x8 см(L) Динозаврики, розовый, 128 г ППК-4487</t>
  </si>
  <si>
    <t>ППК-4487</t>
  </si>
  <si>
    <t>4670159144878</t>
  </si>
  <si>
    <t>229888</t>
  </si>
  <si>
    <t>Optima Пакет подарочный с глянцевой ламин. 26,4x32,7x8 см(L) Необыкновенные бабочки,128 г ППК-4472</t>
  </si>
  <si>
    <t>ППК-4472</t>
  </si>
  <si>
    <t>4670159144724</t>
  </si>
  <si>
    <t>229884</t>
  </si>
  <si>
    <t>Optima Пакет подарочный с глянцевой ламин. 26,4x32,7x8 см(L) Сезонные цветы, голубые, 128 г ППК-4468</t>
  </si>
  <si>
    <t>ППК-4468</t>
  </si>
  <si>
    <t>4670159144687</t>
  </si>
  <si>
    <t>229877</t>
  </si>
  <si>
    <t>Optima Пакет подарочный с глянцевой ламин. 26,4x32,7x8 см(L) Сезонные цветы, жёлтые, 128 г ППК-4464</t>
  </si>
  <si>
    <t>ППК-4464</t>
  </si>
  <si>
    <t>4670159144649</t>
  </si>
  <si>
    <t>229898</t>
  </si>
  <si>
    <t>Optima Пакет подарочный с глянцевой ламинацией 26,4x32,7x8 см(L) Кексики, 128 г ППК-4479</t>
  </si>
  <si>
    <t>ППК-4479</t>
  </si>
  <si>
    <t>4670159144793</t>
  </si>
  <si>
    <t>229887</t>
  </si>
  <si>
    <t>Optima Пакет подарочный с глянцевой ламинацией 26,4x32,7x8 см(L) Красивые бабочки, 128 г ППК-4471</t>
  </si>
  <si>
    <t>ППК-4471</t>
  </si>
  <si>
    <t>4670159144717</t>
  </si>
  <si>
    <t>229889</t>
  </si>
  <si>
    <t>Optima Пакет подарочный с глянцевой ламинацией 26,4x32,7x8 см(L) Нарисованные фрукты, 128 г ППК-4473</t>
  </si>
  <si>
    <t>ППК-4473</t>
  </si>
  <si>
    <t>4670159144731</t>
  </si>
  <si>
    <t>229874</t>
  </si>
  <si>
    <t>Optima Пакет подарочный с глянцевой ламинацией 26,4x32,7x8 см(L) Полевые цветы, 128 г ППК-4462</t>
  </si>
  <si>
    <t>ППК-4462</t>
  </si>
  <si>
    <t>4670159144625</t>
  </si>
  <si>
    <t>213644</t>
  </si>
  <si>
    <t>Optima Пакет подарочный с глянцевой ламинацией 26,4x32,7x8см  (L)  "Нежный букет", 128г.ПКП-8142</t>
  </si>
  <si>
    <t>ПКП-8142</t>
  </si>
  <si>
    <t>4670159081425</t>
  </si>
  <si>
    <t>213645</t>
  </si>
  <si>
    <t>Optima Пакет подарочный с матовой ламинацией 26,4x32,7x8см  (L)  "Запах весны", 128г.ПКП-8143</t>
  </si>
  <si>
    <t>ПКП-8143</t>
  </si>
  <si>
    <t>4670159081432</t>
  </si>
  <si>
    <t>236180</t>
  </si>
  <si>
    <t>Optima Пакетлам.Подароч.с глянц.лам. 26,4*32,7*8см(L)Розоволосая девочка с единорогом, 128г ПКП-0367</t>
  </si>
  <si>
    <t>ПКП-0367</t>
  </si>
  <si>
    <t>4670159204558</t>
  </si>
  <si>
    <t>261770</t>
  </si>
  <si>
    <t>Пакет подарочный с глянц. лам. 26,4х32,7х13,6 см (L) Белые тюльпаны, 157 г ППК-7957</t>
  </si>
  <si>
    <t>ППК-7957</t>
  </si>
  <si>
    <t>4630493779570</t>
  </si>
  <si>
    <t>261772</t>
  </si>
  <si>
    <t>Пакет подарочный с глянц. лам. 26,4х32,7х13,6 см (L) Жёлтые цветочки, 157 г ППК-7959</t>
  </si>
  <si>
    <t>ППК-7959</t>
  </si>
  <si>
    <t>4630493779594</t>
  </si>
  <si>
    <t>261771</t>
  </si>
  <si>
    <t>Пакет подарочный с глянц. лам. 26,4х32,7х13,6 см (L) Розовые розы, 157 г ППК-7958</t>
  </si>
  <si>
    <t>ППК-7958</t>
  </si>
  <si>
    <t>4630493779587</t>
  </si>
  <si>
    <t>272390</t>
  </si>
  <si>
    <t>Optima Пакет подарочный с мат.лам. 26,4х32,7х8см (L) Благородный персиковый, 128г (соб.раз) ППК-2038</t>
  </si>
  <si>
    <t>ППК-2038</t>
  </si>
  <si>
    <t>4680942618158</t>
  </si>
  <si>
    <t>272386</t>
  </si>
  <si>
    <t>Optima Пакет подарочный с мат.ламин. 26,4х32,7х8см (L) Благородный синий, 128г (собс.разр.) ППК-2035</t>
  </si>
  <si>
    <t>ППК-2035</t>
  </si>
  <si>
    <t>4680942618127</t>
  </si>
  <si>
    <t>Крафт (26 х 33 х 14)</t>
  </si>
  <si>
    <t>252796</t>
  </si>
  <si>
    <t>Пакет подарочный из крафт-бумаги 26,4x32,7x13,6 см (craft L) Мечта, 150 г(собс.разр.) ППК-2771</t>
  </si>
  <si>
    <t>ППК-2771</t>
  </si>
  <si>
    <t>4640306927715</t>
  </si>
  <si>
    <t>252793</t>
  </si>
  <si>
    <t>Пакет подарочный из крафт-бумаги 26,4x32,7x13,6 см (craft L) Милота, 150 г(собс.разр.) ППК-2768</t>
  </si>
  <si>
    <t>ППК-2768</t>
  </si>
  <si>
    <t>4640306927685</t>
  </si>
  <si>
    <t>265757</t>
  </si>
  <si>
    <t>Пакет подарочный из крафт-бумаги 26,4x32,7x13,6 см (craft L) Подарок, 150 г (собс.разр.) ППК-4023</t>
  </si>
  <si>
    <t>ППК-4023</t>
  </si>
  <si>
    <t>4640520774324</t>
  </si>
  <si>
    <t>265755</t>
  </si>
  <si>
    <t>Пакет подарочный из крафт-бумаги 26,4x32,7x13,6 см (craft L) Розы, 150г (собс.разр) ППК-4021</t>
  </si>
  <si>
    <t>ППК-4021</t>
  </si>
  <si>
    <t>4640520774300</t>
  </si>
  <si>
    <t>265756</t>
  </si>
  <si>
    <t>Пакет подарочный из крафт-бумаги 26,4x32,7x13,6 см (craft L) Тортик, 150 г (собс.разр)  ППК-4022</t>
  </si>
  <si>
    <t>ППК-4022</t>
  </si>
  <si>
    <t>4640520774317</t>
  </si>
  <si>
    <t>252795</t>
  </si>
  <si>
    <t>Пакет подарочный из крафт-бумаги 26,4x32,7x13,6 см (craft L) Цветы, 150 г(собс.разр.) ППК-2770</t>
  </si>
  <si>
    <t>ППК-2770</t>
  </si>
  <si>
    <t>4640306927708</t>
  </si>
  <si>
    <t>252794</t>
  </si>
  <si>
    <t>Пакет подарочный из крафт-бумаги 26,4x32,7x13,6 см (craft L) Цыплята 150 г(собс.разр.) ППК-2769</t>
  </si>
  <si>
    <t>ППК-2769</t>
  </si>
  <si>
    <t>4640306927692</t>
  </si>
  <si>
    <t>243306</t>
  </si>
  <si>
    <t>Пакет подарочный из крафт-бумаги 26,4x32,7x13,6 см (L) Дама, 150 г ПКП-9145</t>
  </si>
  <si>
    <t>ПКП-9145</t>
  </si>
  <si>
    <t>4670159231455</t>
  </si>
  <si>
    <t>(L Craft) 26,4x32,7x13,6 см</t>
  </si>
  <si>
    <t>243305</t>
  </si>
  <si>
    <t>Пакет подарочный из крафт-бумаги 26,4x32,7x13,6 см (L) Лисичка, 150г ПКП-9144</t>
  </si>
  <si>
    <t>ПКП-9144</t>
  </si>
  <si>
    <t>4670159231448</t>
  </si>
  <si>
    <t>229916</t>
  </si>
  <si>
    <t>Пакет подарочный из крафт-бумаги 26,4х32,7х13,6 см (craft L) С днем рождения, синий, 150 г ППК-4491</t>
  </si>
  <si>
    <t>ППК-4491</t>
  </si>
  <si>
    <t>4670159144915</t>
  </si>
  <si>
    <t>272392</t>
  </si>
  <si>
    <t>Пакет подарочный крафт 26,4х32,7х13,6 см (craft L) Белый, 130 г(собс.разр.) ППК-2040</t>
  </si>
  <si>
    <t>ППК-2040</t>
  </si>
  <si>
    <t>4680942618172</t>
  </si>
  <si>
    <t>272393</t>
  </si>
  <si>
    <t>Пакет подарочный крафт 26,4х32,7х13,6 см (craft L) Голубой, 130 г(собс.разр.) ППК-2041</t>
  </si>
  <si>
    <t>ППК-2041</t>
  </si>
  <si>
    <t>4680942618189</t>
  </si>
  <si>
    <t>272391</t>
  </si>
  <si>
    <t>Пакет подарочный крафт 26,4х32,7х13,6 см (craft L) Чёрный, 130 г(собс.разр.) ППК-2039</t>
  </si>
  <si>
    <t>ППК-2039</t>
  </si>
  <si>
    <t>4680942618165</t>
  </si>
  <si>
    <t>236229</t>
  </si>
  <si>
    <t>Пакет подар. с глянц.лам. 26.4*32.7*13.6см(L) "Радостный Чебурашка" 157г ЛИЦЕНЗИЯ/Чебурашка ПКП-0399</t>
  </si>
  <si>
    <t>ПКП-0399</t>
  </si>
  <si>
    <t>4670159204879</t>
  </si>
  <si>
    <t>236230</t>
  </si>
  <si>
    <t>Пакет подар.с глянц.лам.26.4*32.7*13.6см(L) "Чебурашка и вертолётик"157г ЛИЦЕНЗИЯ/Чебурашка ПКП-0400</t>
  </si>
  <si>
    <t>ПКП-0400</t>
  </si>
  <si>
    <t>4670159204886</t>
  </si>
  <si>
    <t>236228</t>
  </si>
  <si>
    <t>Пакет подарочный с глянц.лам. 26.4*32.7*13.6см(L) "Милый Чебурашка" 157г ЛИЦЕНЗИЯ/Чебурашка ПКП-0398</t>
  </si>
  <si>
    <t>ПКП-0398</t>
  </si>
  <si>
    <t>4670159204862</t>
  </si>
  <si>
    <t>263235</t>
  </si>
  <si>
    <t>Пакет подарочный с глянц.лам. 26x33x14 см (L) Золотистые шары, 157 г (собс.разр.) ППК-1260</t>
  </si>
  <si>
    <t>ППК-1260</t>
  </si>
  <si>
    <t>4640520771521</t>
  </si>
  <si>
    <t>263236</t>
  </si>
  <si>
    <t>Пакет подарочный с глянц.лам. 26x33x14 см (L) Подарок, шестерёнки, 157 г (собс.разр.) ППК-1261</t>
  </si>
  <si>
    <t>ППК-1261</t>
  </si>
  <si>
    <t>4640520771538</t>
  </si>
  <si>
    <t>263237</t>
  </si>
  <si>
    <t>Пакет подарочный с глянц.лам. 26x33x14 см (L) Праздничный корги, 157 г (собс.разр.) ППК-1262</t>
  </si>
  <si>
    <t>ППК-1262</t>
  </si>
  <si>
    <t>4640520771545</t>
  </si>
  <si>
    <t>263234</t>
  </si>
  <si>
    <t>Пакет подарочный с глянц.лам. 26x33x14 см (L) С Днём Рождения!, 157 г (собс.разр.) ППК-1259</t>
  </si>
  <si>
    <t>ППК-1259</t>
  </si>
  <si>
    <t>4640520771514</t>
  </si>
  <si>
    <t>212271</t>
  </si>
  <si>
    <t>Пакет подарочный с глянц.ламинацией 26,4x32,7x13,6 см (L) Девушка из фильма, 157 г ПКП-4327</t>
  </si>
  <si>
    <t>ПКП-4327</t>
  </si>
  <si>
    <t>4670159084273</t>
  </si>
  <si>
    <t>212270</t>
  </si>
  <si>
    <t>Пакет подарочный с глянц.ламинацией 26,4x32,7x13,6 см (L) История, 157 г ПКП-4326</t>
  </si>
  <si>
    <t>ПКП-4326</t>
  </si>
  <si>
    <t>4670159084266</t>
  </si>
  <si>
    <t>212269</t>
  </si>
  <si>
    <t>Пакет подарочный с глянц.ламинацией 26,4x32,7x13,6 см (L) Красный мотоцикл, 157 г ПКП-4325</t>
  </si>
  <si>
    <t>ПКП-4325</t>
  </si>
  <si>
    <t>4670159084259</t>
  </si>
  <si>
    <t>237710</t>
  </si>
  <si>
    <t>Пакет подарочный с глянцевой ламинацией 26,4х32,7х13,6 см (L) Гордый лев, 157 г ПКП-1134</t>
  </si>
  <si>
    <t>ПКП-1134</t>
  </si>
  <si>
    <t>4670159211341</t>
  </si>
  <si>
    <t>(L Standart) 26.4*32.7*13.6cm</t>
  </si>
  <si>
    <t>237704</t>
  </si>
  <si>
    <t>Пакет подарочный с глянцевой ламинацией 26,4х32,7х13,6 см (L) Композиция цветов 157 г ПКП-1131</t>
  </si>
  <si>
    <t>ПКП-1131</t>
  </si>
  <si>
    <t>4670159211310</t>
  </si>
  <si>
    <t>237703</t>
  </si>
  <si>
    <t>Пакет подарочный с глянцевой ламинацией 26,4х32,7х13,6 см (L) Нежные лотосы 157 г ПКП-1130</t>
  </si>
  <si>
    <t>ПКП-1130</t>
  </si>
  <si>
    <t>4670159211303</t>
  </si>
  <si>
    <t>237736</t>
  </si>
  <si>
    <t>Пакет подарочный с глянцевой ламинацией 26,4х32,7х13,6 см (L) Поп-здвезда, 157г ПКП-1142</t>
  </si>
  <si>
    <t>ПКП-1142</t>
  </si>
  <si>
    <t>4670159211426</t>
  </si>
  <si>
    <t>237728</t>
  </si>
  <si>
    <t>Пакет подарочный с глянцевой ламинацией 26,4х32,7х13,6 см (L) Сладкий праздник, 157 г ПКП-1136</t>
  </si>
  <si>
    <t>ПКП-1136</t>
  </si>
  <si>
    <t>4670159211365</t>
  </si>
  <si>
    <t>237701</t>
  </si>
  <si>
    <t>Пакет подарочный с глянцевой ламинацией 26,4х32,7х13,6 см (L) Хитрая лиса 157 г ПКП-1129</t>
  </si>
  <si>
    <t>ПКП-1129</t>
  </si>
  <si>
    <t>4670159211297</t>
  </si>
  <si>
    <t>237732</t>
  </si>
  <si>
    <t>Пакет подарочный с глянцевой ламинацией 26,4х32,7х13,6 см (L) Цветастые пёрышки, 157 г ПКП-1138</t>
  </si>
  <si>
    <t>ПКП-1138</t>
  </si>
  <si>
    <t>4670159211389</t>
  </si>
  <si>
    <t>237731</t>
  </si>
  <si>
    <t>Пакет подарочный с глянцевой ламинацией 26,4х32,7х13,6 см (L) Яркие пёрышки, 157 г ПКП-1137</t>
  </si>
  <si>
    <t>ПКП-1137</t>
  </si>
  <si>
    <t>4670159211372</t>
  </si>
  <si>
    <t>Dream cards 32х42х12 см</t>
  </si>
  <si>
    <t>Dream Cards 32x42x12 мат. лам., глиттер, 3D элемент</t>
  </si>
  <si>
    <t>221744</t>
  </si>
  <si>
    <t>Dream cards Пакет подар.с мат.лам.,глит.и 3Dэлем.,30*41.5*12см(XL),Красная туфелька,210г ППК-3604</t>
  </si>
  <si>
    <t>ППК-3604</t>
  </si>
  <si>
    <t>4670159136040</t>
  </si>
  <si>
    <t>(XL) 30*41.5*12</t>
  </si>
  <si>
    <t>221741</t>
  </si>
  <si>
    <t>Dream cards Пакет подар.с мат.лам.,глит.и 3Dэлем.,30*41.5*12см(XL),Летний пикник,210г ППК-3601</t>
  </si>
  <si>
    <t>ППК-3601</t>
  </si>
  <si>
    <t>4670159136019</t>
  </si>
  <si>
    <t>221743</t>
  </si>
  <si>
    <t>Dream cards Пакет подар.с мат.лам.,глит.и 3Dэлем.,30*41.5*12см(XL),Отдых в Париже,210г ППК-3603</t>
  </si>
  <si>
    <t>ППК-3603</t>
  </si>
  <si>
    <t>4670159136033</t>
  </si>
  <si>
    <t>221742</t>
  </si>
  <si>
    <t>Dream cards Пакет подар.с мат.лам.,глит.и 3Dэлем.,30*41.5*12см(XL),Поход в магазин,210г ППК-3602</t>
  </si>
  <si>
    <t>ППК-3602</t>
  </si>
  <si>
    <t>4670159136026</t>
  </si>
  <si>
    <t>234264</t>
  </si>
  <si>
    <t>Dream Cards Пакет подарочный мат.лам,глиттер, 3Dэл. 31*42*12см(XL), Котёнок, 210г ПКП-9273</t>
  </si>
  <si>
    <t>ПКП-9273</t>
  </si>
  <si>
    <t>4670159193692</t>
  </si>
  <si>
    <t>234261</t>
  </si>
  <si>
    <t>Dream Cards Пакет подарочный мат.лам,глиттер, 3Dэл. 31*42*12см(XL), Супер-слоник, 210г ПКП-9271</t>
  </si>
  <si>
    <t>ПКП-9271</t>
  </si>
  <si>
    <t>4670159193678</t>
  </si>
  <si>
    <t>234254</t>
  </si>
  <si>
    <t>Dream Cards Пакет подарочный мат.лам,глиттер, 3Dэл. 31*42*12см(XL), Яркая машинка, 210г ПКП-9265</t>
  </si>
  <si>
    <t>ПКП-9265</t>
  </si>
  <si>
    <t>4670159193616</t>
  </si>
  <si>
    <t>234268</t>
  </si>
  <si>
    <t>Dream Cards Пакет подарочный мат.лам,глиттер,3Dэл. 31*42*12см(XL), Милая принцесса, 210г ПКП-9276</t>
  </si>
  <si>
    <t>ПКП-9276</t>
  </si>
  <si>
    <t>4670159193722</t>
  </si>
  <si>
    <t>Dream cards 32х42х12 матовая ламинация и глиттер</t>
  </si>
  <si>
    <t>246384</t>
  </si>
  <si>
    <t>Dream cards Пакет подар. с мат. лам. 32,4*44,5*10,2 см(ХL),Котики,собс.раз.190г ПКП-2173</t>
  </si>
  <si>
    <t>ПКП-2173</t>
  </si>
  <si>
    <t>4640306921737</t>
  </si>
  <si>
    <t>32,4*44,5*10,2</t>
  </si>
  <si>
    <t>246385</t>
  </si>
  <si>
    <t>Dream cards Пакет подар. с мат. лам. 32,4*44,5*10,2см(ХL),Дружные зверята,собс.раз.190г ПКП-2174</t>
  </si>
  <si>
    <t>ПКП-2174</t>
  </si>
  <si>
    <t>4640306921744</t>
  </si>
  <si>
    <t>246383</t>
  </si>
  <si>
    <t>Dream cards Пакет подар. с мат.лам. 32,4*44,5*10,2 см(ХL),Дино Малыши,собс.раз.190г ПКП-2172</t>
  </si>
  <si>
    <t>ПКП-2172</t>
  </si>
  <si>
    <t>4640306921720</t>
  </si>
  <si>
    <t>252798</t>
  </si>
  <si>
    <t>Dream cards Пакет подарочный с мат.лам. и глит. 32,4х44,5х10,2 см (XL) Шары, 190г(собс.разр)ППК-2773</t>
  </si>
  <si>
    <t>ППК-2773</t>
  </si>
  <si>
    <t>4640306927739</t>
  </si>
  <si>
    <t>252836</t>
  </si>
  <si>
    <t>Dreamcards Пакет подарочный с мат.лам. и глит. 32,4х44,5х10,2см(XL) Брызги,190г(собс.разр.) ППК-2772</t>
  </si>
  <si>
    <t>ППК-2772</t>
  </si>
  <si>
    <t>4640306927722</t>
  </si>
  <si>
    <t>Dream cards 32х42х12 матовая ламинация и тиснение фольгой</t>
  </si>
  <si>
    <t>246387</t>
  </si>
  <si>
    <t>Dream cards Пакет под.с мат.лам.и зол.тис.32,4*44,5*10,2см(XL),Колибри в цветах,соб.раз190г ПКП-2176</t>
  </si>
  <si>
    <t>ПКП-2176</t>
  </si>
  <si>
    <t>4640306921768</t>
  </si>
  <si>
    <t>246386</t>
  </si>
  <si>
    <t>Dream cards Пакет подар. с мат.лам. и зол.тис.32,4*44,5*10,2см(XL),Happy Day,собс.раз.190г ПКП-2175</t>
  </si>
  <si>
    <t>ПКП-2175</t>
  </si>
  <si>
    <t>4640306921751</t>
  </si>
  <si>
    <t>222190</t>
  </si>
  <si>
    <t>Dream cards Пакет подар. с мат.лам.и золотис.тисн.30*42*12см(XL), Let's party,210г ППК-3701</t>
  </si>
  <si>
    <t>ППК-3701</t>
  </si>
  <si>
    <t>4670159137016</t>
  </si>
  <si>
    <t>30*42*12</t>
  </si>
  <si>
    <t>222191</t>
  </si>
  <si>
    <t>Dream cards Пакет подар. с мат.лам.и золотис.тисн.30*42*12см(XL), Цветочный дар, 210г ППК-3702</t>
  </si>
  <si>
    <t>ППК-3702</t>
  </si>
  <si>
    <t>4670159137023</t>
  </si>
  <si>
    <t>221737</t>
  </si>
  <si>
    <t>Dream cards Пакет подар.с мат.лам.и золотистым тисн., 30*41.5*12см(XL)Желтый пиджак,210г ППК-3597</t>
  </si>
  <si>
    <t>ППК-3597</t>
  </si>
  <si>
    <t>4670159135975</t>
  </si>
  <si>
    <t>221740</t>
  </si>
  <si>
    <t>Dream cards Пакет подар.с мат.лам.и золотистым тисн., 30*41.5*12см(XL)Черный пиджак,210г ППК-3600</t>
  </si>
  <si>
    <t>ППК-3600</t>
  </si>
  <si>
    <t>4670159136002</t>
  </si>
  <si>
    <t>221739</t>
  </si>
  <si>
    <t>Dream cards Пакет подар.с мат.лам.и серебристым тисн., 30*41.5*12см(XL)Голубой пиджак,210г ППК-3599</t>
  </si>
  <si>
    <t>ППК-3599</t>
  </si>
  <si>
    <t>4670159135999</t>
  </si>
  <si>
    <t>221738</t>
  </si>
  <si>
    <t>Dream cards Пакет подар.с мат.лам.и серебристым тисн.,30*41.5*12см(XL)Малиновый пиджак,210г ППК-3598</t>
  </si>
  <si>
    <t>ППК-3598</t>
  </si>
  <si>
    <t>4670159135982</t>
  </si>
  <si>
    <t>252838</t>
  </si>
  <si>
    <t>Dreamcards Пакет подарочный. с мат.лам. и тис.фол.32,4х44,5х10,2см(XL) Цветы ,190г(соб.разр)ППК-2774</t>
  </si>
  <si>
    <t>ППК-2774</t>
  </si>
  <si>
    <t>4640306927746</t>
  </si>
  <si>
    <t>Dream cards 32х42х12 см матовая ламинация</t>
  </si>
  <si>
    <t>221747</t>
  </si>
  <si>
    <t>Dream cards Пакет подар.с мат. лам. и 3Dэлем.,30*41.5*12см(XL),Модный набор,210г ППК-3607</t>
  </si>
  <si>
    <t>ППК-3607</t>
  </si>
  <si>
    <t>4670159136071</t>
  </si>
  <si>
    <t>221748</t>
  </si>
  <si>
    <t>Dream cards Пакет подар.с мат. лам. и 3Dэлем.,30*41.5*12см(XL),Парные часы,210г ППК-3608</t>
  </si>
  <si>
    <t>ППК-3608</t>
  </si>
  <si>
    <t>4670159136088</t>
  </si>
  <si>
    <t>221745</t>
  </si>
  <si>
    <t>Dream cards Пакет подар.с мат. лам. и 3Dэлем.,30*41.5*12см(XL),Стильный костюм,210г ППК-3605</t>
  </si>
  <si>
    <t>ППК-3605</t>
  </si>
  <si>
    <t>4670159136057</t>
  </si>
  <si>
    <t>221746</t>
  </si>
  <si>
    <t>Dream cards Пакет подар.с мат. лам. и 3Dэлем.,30*41.5*12см(XL),Черное настроение,210г ППК-3606</t>
  </si>
  <si>
    <t>ППК-3606</t>
  </si>
  <si>
    <t>4670159136064</t>
  </si>
  <si>
    <t>261795</t>
  </si>
  <si>
    <t>Dream cards Пакет подарочный с мат.лам. 32,4х44,5х10,2 см (XL) Абстракция, 190г(собс.разр.) ППК-7975</t>
  </si>
  <si>
    <t>ППК-7975</t>
  </si>
  <si>
    <t>4630493779754</t>
  </si>
  <si>
    <t>261796</t>
  </si>
  <si>
    <t>Dream cards Пакет подарочный с мат.лам. 32,4х44,5х10,2 см (XL) Беоые пионы, 190г (соб.разр) ППК-7976</t>
  </si>
  <si>
    <t>ППК-7976</t>
  </si>
  <si>
    <t>4630493779761</t>
  </si>
  <si>
    <t>252799</t>
  </si>
  <si>
    <t>Dream cards Пакет подарочный с мат.лам. 32,4х44,5х10,2 см (XL) Гортензия, 190г(собс.разр) ППК-2776</t>
  </si>
  <si>
    <t>ППК-2776</t>
  </si>
  <si>
    <t>4640306927760</t>
  </si>
  <si>
    <t>252800</t>
  </si>
  <si>
    <t>Dream cards Пакет подарочный с мат.лам. 32,4х44,5х10,2 см (XL) Маки, 190г(собс.разр) ППК-2777</t>
  </si>
  <si>
    <t>ППК-2777</t>
  </si>
  <si>
    <t>4640306927777</t>
  </si>
  <si>
    <t>261798</t>
  </si>
  <si>
    <t>Dream cards Пакет подарочный с мат.лам. 32,4х44,5х10,2 см (XL) Пышные пионы 190г (соб.разр) ППК-7977</t>
  </si>
  <si>
    <t>ППК-7977</t>
  </si>
  <si>
    <t>4630493779778</t>
  </si>
  <si>
    <t>252837</t>
  </si>
  <si>
    <t>Dream cards Пакет подарочный с мат.лам.32,4х44,5х10,2см(XL)Собачка в колпаке, 190г(соб.разр)ППК-2775</t>
  </si>
  <si>
    <t>ППК-2775</t>
  </si>
  <si>
    <t>4640306927753</t>
  </si>
  <si>
    <t>Optima</t>
  </si>
  <si>
    <t>262863</t>
  </si>
  <si>
    <t>Optima Пакет подарочный с глянц.лам. 32*45*8 см (XL) Весенний праздник , 128 г (собс.разр.) ППК-7088</t>
  </si>
  <si>
    <t>ППК-7088</t>
  </si>
  <si>
    <t>4640520770883</t>
  </si>
  <si>
    <t>262864</t>
  </si>
  <si>
    <t>Optima Пакет подарочный с глянц.лам. 32*45*8см (XL) Гексагональ, 128г (собс.разр.) ППК-7089</t>
  </si>
  <si>
    <t>ППК-7089</t>
  </si>
  <si>
    <t>4640520770890</t>
  </si>
  <si>
    <t>262865</t>
  </si>
  <si>
    <t>Optima Пакет подарочный с глянц.лам. 32*45*8см (XL) Тропическая пальма, 128г (собс.разр.) ППК-7090</t>
  </si>
  <si>
    <t>ППК-7090</t>
  </si>
  <si>
    <t>4640520770906</t>
  </si>
  <si>
    <t>262867</t>
  </si>
  <si>
    <t>Optima Пакет подарочный с глянц.лам. 32*45*8см (XL) Цветы и бабочки , 128г (собс.разр.) ППК-7091</t>
  </si>
  <si>
    <t>ППК-7091</t>
  </si>
  <si>
    <t>4640520770913</t>
  </si>
  <si>
    <t>236235</t>
  </si>
  <si>
    <t>Пакет подар. с глянц.32.4х44.5х10.2см (XL) "Чебурашка и вертолётик" 157г ЛИЦЕНЗИЯ/Чебурашка ПКП-0404</t>
  </si>
  <si>
    <t>ПКП-0404</t>
  </si>
  <si>
    <t>4670159204923</t>
  </si>
  <si>
    <t>32.4х44.5х10.2 см (XL)</t>
  </si>
  <si>
    <t>262878</t>
  </si>
  <si>
    <t xml:space="preserve"> Пакет подарочный с глянц.лам. 22*31*10см (ML) Бабл-торт, 157г (собс.разр.) ППК-7101</t>
  </si>
  <si>
    <t>ППК-7101</t>
  </si>
  <si>
    <t>4640520771019</t>
  </si>
  <si>
    <t>261774</t>
  </si>
  <si>
    <t>Пакет подарочный с глянц. лам. 32,4x44,5x10,2 см (XL) Белые тюльпаны, 157 г ППК-7960</t>
  </si>
  <si>
    <t>ППК-7960</t>
  </si>
  <si>
    <t>4630493779600</t>
  </si>
  <si>
    <t>261777</t>
  </si>
  <si>
    <t>Пакет подарочный с глянц. лам. 32,4x44,5x10,2 см (XL) Жёлтые цветочки, 157 г ППК-7962</t>
  </si>
  <si>
    <t>ППК-7962</t>
  </si>
  <si>
    <t>4630493779624</t>
  </si>
  <si>
    <t>261776</t>
  </si>
  <si>
    <t>Пакет подарочный с глянц. лам. 32,4x44,5x10,2 см (XL) Розовые розы, 157 г ППК-7961</t>
  </si>
  <si>
    <t>ППК-7961</t>
  </si>
  <si>
    <t>4630493779617</t>
  </si>
  <si>
    <t>265761</t>
  </si>
  <si>
    <t>Пакет подарочный с глянц.лам. 32,4x44,5x10,2 см (XL) Стильная геометрия, 157г (собс.разр) ППК-4027</t>
  </si>
  <si>
    <t>ППК-4027</t>
  </si>
  <si>
    <t>4640520774362</t>
  </si>
  <si>
    <t>265762</t>
  </si>
  <si>
    <t>Пакет подарочный с глянц.лам. 32,4x44,5x10,2 см (XL) Яркий подарок, 157г (собс.разр) ППК-4028</t>
  </si>
  <si>
    <t>ППК-4028</t>
  </si>
  <si>
    <t>4640520774379</t>
  </si>
  <si>
    <t>265760</t>
  </si>
  <si>
    <t>Пакет подарочный с глянц.лам. 32,4x44,5x10,2см (XL) Сладкий праздник, 157г (собс.разр) ППК-4026</t>
  </si>
  <si>
    <t>ППК-4026</t>
  </si>
  <si>
    <t>4640520774355</t>
  </si>
  <si>
    <t>263223</t>
  </si>
  <si>
    <t>Пакет подарочный с глянц.лам. 32x45x10 см (XL) Время волшебства, 157 г (собс.разр.) ППК-1248</t>
  </si>
  <si>
    <t>ППК-1248</t>
  </si>
  <si>
    <t>4640520771408</t>
  </si>
  <si>
    <t>263229</t>
  </si>
  <si>
    <t>Пакет подарочный с глянц.лам. 32x45x10 см (XL) Голубые цветы, 157 г (собс.разр.) ППК-1254</t>
  </si>
  <si>
    <t>ППК-1254</t>
  </si>
  <si>
    <t>4640520771460</t>
  </si>
  <si>
    <t>263226</t>
  </si>
  <si>
    <t>Пакет подарочный с глянц.лам. 32x45x10 см (XL) Девушка, 157 г (собс.разр.) ППК-1251</t>
  </si>
  <si>
    <t>ППК-1251</t>
  </si>
  <si>
    <t>4640520771439</t>
  </si>
  <si>
    <t>263232</t>
  </si>
  <si>
    <t>Пакет подарочный с глянц.лам. 32x45x10 см (XL) Настоящему мужчине!, 157 г (собс.разр.) ППК-1257</t>
  </si>
  <si>
    <t>ППК-1257</t>
  </si>
  <si>
    <t>4640520771491</t>
  </si>
  <si>
    <t>263222</t>
  </si>
  <si>
    <t>Пакет подарочный с глянц.лам. 32x45x10 см (XL) Поздравление от зверят, 157 г (собс.разр.) ППК-1247</t>
  </si>
  <si>
    <t>ППК-1247</t>
  </si>
  <si>
    <t>4640520771392</t>
  </si>
  <si>
    <t>263231</t>
  </si>
  <si>
    <t>Пакет подарочный с глянц.лам. 32x45x10 см (XL) Поздравляю с шарами, 157 г (собс.разр.) ППК-1256</t>
  </si>
  <si>
    <t>ППК-1256</t>
  </si>
  <si>
    <t>4640520771484</t>
  </si>
  <si>
    <t>263228</t>
  </si>
  <si>
    <t>Пакет подарочный с глянц.лам. 32x45x10 см (XL) Праздничные колпачки, 157 г (собс.разр.) ППК-1253</t>
  </si>
  <si>
    <t>ППК-1253</t>
  </si>
  <si>
    <t>4640520771453</t>
  </si>
  <si>
    <t>263227</t>
  </si>
  <si>
    <t>Пакет подарочный с глянц.лам. 32x45x10 см (XL) С праздником!, 157 г (собс.разр.) ППК-1252</t>
  </si>
  <si>
    <t>ППК-1252</t>
  </si>
  <si>
    <t>4640520771446</t>
  </si>
  <si>
    <t>263225</t>
  </si>
  <si>
    <t>Пакет подарочный с глянц.лам. 32x45x10 см (XL) Тропические листья, 157 г (собс.разр.) ППК-1250</t>
  </si>
  <si>
    <t>ППК-1250</t>
  </si>
  <si>
    <t>4640520771422</t>
  </si>
  <si>
    <t>263224</t>
  </si>
  <si>
    <t>Пакет подарочный с глянц.лам. 32x45x10 см (XL) Цветы, 157 г (собс.разр.) ППК-1249</t>
  </si>
  <si>
    <t>ППК-1249</t>
  </si>
  <si>
    <t>4640520771415</t>
  </si>
  <si>
    <t>263230</t>
  </si>
  <si>
    <t>Пакет подарочный с глянц.лам. 32x45x10 см (XL) Часы, блокнот и ручка, 157 г (собс.разр.) ППК-1255</t>
  </si>
  <si>
    <t>ППК-1255</t>
  </si>
  <si>
    <t>4640520771477</t>
  </si>
  <si>
    <t>265759</t>
  </si>
  <si>
    <t>Пакет подарочный с глянц.ламинацией 32,4x44,5x10,2 см (XL) Байк, 157г (собс.разр) ППК-4025</t>
  </si>
  <si>
    <t>ППК-4025</t>
  </si>
  <si>
    <t>4640520774348</t>
  </si>
  <si>
    <t>265764</t>
  </si>
  <si>
    <t>Пакет подарочный с глянц.ламинацией 32,4x44,5x10,2 см (XL) ГлаМур, 157г (собс.разр) ППК-4030</t>
  </si>
  <si>
    <t>ППК-4030</t>
  </si>
  <si>
    <t>4640520774393</t>
  </si>
  <si>
    <t>212280</t>
  </si>
  <si>
    <t>Пакет подарочный с глянц.ламинацией 32,4x44,5x10,2 см (XL) Девушка из фильма, 157 г ПКП-4334</t>
  </si>
  <si>
    <t>ПКП-4334</t>
  </si>
  <si>
    <t>4670159084341</t>
  </si>
  <si>
    <t>212277</t>
  </si>
  <si>
    <t>Пакет подарочный с глянц.ламинацией 32,4x44,5x10,2 см (XL) Красный мотоцикл, 157 г ПКП-4332</t>
  </si>
  <si>
    <t>ПКП-4332</t>
  </si>
  <si>
    <t>4670159084327</t>
  </si>
  <si>
    <t>265765</t>
  </si>
  <si>
    <t>Пакет подарочный с глянц.ламинацией 32,4x44,5x10,2 см (XL) Нежные цветы, 157 г (собс.разр) ППК-4031</t>
  </si>
  <si>
    <t>ППК-4031</t>
  </si>
  <si>
    <t>4640520774409</t>
  </si>
  <si>
    <t>265766</t>
  </si>
  <si>
    <t>Пакет подарочный с глянц.ламинацией 32,4x44,5x10,2 см (XL) Яркие пионы, 157г (собс.разр) ППК-4032</t>
  </si>
  <si>
    <t>ППК-4032</t>
  </si>
  <si>
    <t>4640520774416</t>
  </si>
  <si>
    <t>265758</t>
  </si>
  <si>
    <t>Пакет подарочный с глянц.ламинацией 32,4x44,5x10,2см (XL) Для тебя, розовый,157г(собс.разр) ППК-4024</t>
  </si>
  <si>
    <t>ППК-4024</t>
  </si>
  <si>
    <t>4640520774331</t>
  </si>
  <si>
    <t>265763</t>
  </si>
  <si>
    <t>Пакет подарочный с глянц.ламинацией 32,4x44,5x10,2см (XL) Подарок, 157г (собс.разр) ППК-4029</t>
  </si>
  <si>
    <t>ППК-4029</t>
  </si>
  <si>
    <t>4640520774386</t>
  </si>
  <si>
    <t>237749</t>
  </si>
  <si>
    <t>Пакет подарочный с глянцевой ламинацией 32,4х44,5х10,2 см (XL) Яркий леопард, 157г ПКП-1149</t>
  </si>
  <si>
    <t>ПКП-1149</t>
  </si>
  <si>
    <t>4670159211495</t>
  </si>
  <si>
    <t>(XL Standart) 32.4х44.5х10.2 cm</t>
  </si>
  <si>
    <t>08 Размер XXL</t>
  </si>
  <si>
    <t>OPTIMA (40х47х14)</t>
  </si>
  <si>
    <t>262870</t>
  </si>
  <si>
    <t>Optima Пакет подарочный с глянц.лам. 40*47*8 см (XXL) Мраморная классика, 128г (собс.разр.) ППК-7093</t>
  </si>
  <si>
    <t>ППК-7093</t>
  </si>
  <si>
    <t>4640520770937</t>
  </si>
  <si>
    <t>262872</t>
  </si>
  <si>
    <t>Optima Пакет подарочный с глянц.лам. 40*47*8см (XXL) Красный бант , 128г (собс.разр.) ППК-7095</t>
  </si>
  <si>
    <t>ППК-7095</t>
  </si>
  <si>
    <t>4640520770951</t>
  </si>
  <si>
    <t>262871</t>
  </si>
  <si>
    <t>Optima Пакет подарочный с глянц.лам. 40*47*8см (XXL) Праздник детства, 128г (собс.разр.) ППК-7094</t>
  </si>
  <si>
    <t>ППК-7094</t>
  </si>
  <si>
    <t>4640520770944</t>
  </si>
  <si>
    <t>262869</t>
  </si>
  <si>
    <t>Optima Пакет подарочный с глянц.лам.40*47*8см(XXL)С наилучшими пожеланиями,128г(собс.разр.) ППК-7092</t>
  </si>
  <si>
    <t>ППК-7092</t>
  </si>
  <si>
    <t>4640520770920</t>
  </si>
  <si>
    <t>Глянцевая ламинация (40х 47 х 14)</t>
  </si>
  <si>
    <t>263264</t>
  </si>
  <si>
    <t>Пакет подарочный с глянц.лам. 40х47х14 см (XXL) От всего сердца, 157 г (собс.разр.) ППК-1289</t>
  </si>
  <si>
    <t>ППК-1289</t>
  </si>
  <si>
    <t>4640520771811</t>
  </si>
  <si>
    <t>263265</t>
  </si>
  <si>
    <t>Пакет подарочный с глянц.лам. 40х47х14 см (XXL) Подарок, 157 г (собс.разр.) ППК-1290</t>
  </si>
  <si>
    <t>ППК-1290</t>
  </si>
  <si>
    <t>4640520771828</t>
  </si>
  <si>
    <t>09 Размеры MAX size</t>
  </si>
  <si>
    <t>45х45х21 см</t>
  </si>
  <si>
    <t>263267</t>
  </si>
  <si>
    <t>Пакет подарочный с глянц.лам. 45х45х21 см (XXL) Волшебных моментов, 157 г (собс.разр.) ППК-1292</t>
  </si>
  <si>
    <t>ППК-1292</t>
  </si>
  <si>
    <t>4640520771842</t>
  </si>
  <si>
    <t>263266</t>
  </si>
  <si>
    <t>Пакет подарочный с глянц.лам. 45х45х21 см (XXL) Настоящему мужчине, 157 г (собс.разр.) ППК-1291</t>
  </si>
  <si>
    <t>ППК-1291</t>
  </si>
  <si>
    <t>4640520771835</t>
  </si>
  <si>
    <t>243343</t>
  </si>
  <si>
    <t>Пакет подарочный с глянцевой ламинацией  45x45x21 (XXL Square) Хлопок, 157 г ПКП-9165</t>
  </si>
  <si>
    <t>ПКП-9165</t>
  </si>
  <si>
    <t>4670159231653</t>
  </si>
  <si>
    <t>(45х45х21 см)</t>
  </si>
  <si>
    <t>50х72х16 см</t>
  </si>
  <si>
    <t>263270</t>
  </si>
  <si>
    <t>Пакет подарочный с глянц.лам. 50х72х16 см Для тебя, красный, 180 г (собс.разр.) ППК-1295</t>
  </si>
  <si>
    <t>ППК-1295</t>
  </si>
  <si>
    <t>4640520771873</t>
  </si>
  <si>
    <t>263271</t>
  </si>
  <si>
    <t>Пакет подарочный с глянц.лам. 50х72х16 см Поздравление от котика, 180 г (собс.разр.) ППК-1296</t>
  </si>
  <si>
    <t>ППК-1296</t>
  </si>
  <si>
    <t>4640520771880</t>
  </si>
  <si>
    <t>54х44х16 см</t>
  </si>
  <si>
    <t>263269</t>
  </si>
  <si>
    <t>Пакет подарочный с глянц.лам. 54х44х16 см (XXL) Для самой лучшей, 180 г (собс.разр.) ППК-1294</t>
  </si>
  <si>
    <t>ППК-1294</t>
  </si>
  <si>
    <t>4640520771866</t>
  </si>
  <si>
    <t>263268</t>
  </si>
  <si>
    <t>Пакет подарочный с глянц.лам. 54х44х16 см (XXL) С Днём Рождения!, 180 г (собс.разр.) ППК-1293</t>
  </si>
  <si>
    <t>ППК-1293</t>
  </si>
  <si>
    <t>4640520771859</t>
  </si>
  <si>
    <t>11. Миксы</t>
  </si>
  <si>
    <t>261861</t>
  </si>
  <si>
    <t>Крафт-пакет S 130г</t>
  </si>
  <si>
    <t>4665308911623</t>
  </si>
  <si>
    <t>261843</t>
  </si>
  <si>
    <t>Пакет с глянц.лам.Optima разм L 26,4x32,7x8 весна</t>
  </si>
  <si>
    <t>4665308911456</t>
  </si>
  <si>
    <t>261840</t>
  </si>
  <si>
    <t>Пакет с глянц.лам.Optima разм L 26,4x32,7x8 цветы</t>
  </si>
  <si>
    <t>4665308911425</t>
  </si>
  <si>
    <t>261833</t>
  </si>
  <si>
    <t>Пакет с глянц.лам.Optima разм S 11,5x14,5x6 питомцы</t>
  </si>
  <si>
    <t>4665308911388</t>
  </si>
  <si>
    <t>1 Пакеты с вырубной ручкой</t>
  </si>
  <si>
    <t>19 см х 25 см</t>
  </si>
  <si>
    <t>204395</t>
  </si>
  <si>
    <t>Пакет вырубной Костюмчик 19*25/30мкм, н00228465</t>
  </si>
  <si>
    <t>н00228465</t>
  </si>
  <si>
    <t>4630073608139</t>
  </si>
  <si>
    <t>190х250х0,030</t>
  </si>
  <si>
    <t>247076</t>
  </si>
  <si>
    <t>Пакет вырубной Милый сюрприз 19*25/30мкм н00269432</t>
  </si>
  <si>
    <t>н00269432</t>
  </si>
  <si>
    <t>4630201701732</t>
  </si>
  <si>
    <t>19*25/30мкм</t>
  </si>
  <si>
    <t>196994</t>
  </si>
  <si>
    <t>Пакет вырубной Персиковый бант 19*25/30мкм н00213004</t>
  </si>
  <si>
    <t>н00213004</t>
  </si>
  <si>
    <t>4630073606098</t>
  </si>
  <si>
    <t>20 см х 30 см</t>
  </si>
  <si>
    <t>256577</t>
  </si>
  <si>
    <t>Пакет вырубной  Люкс 20х30/30 мкм НФ-00029300</t>
  </si>
  <si>
    <t>НФ-00029300</t>
  </si>
  <si>
    <t>4610121611786</t>
  </si>
  <si>
    <t>174915</t>
  </si>
  <si>
    <t>Пакет вырубной  Печеньки Макаронс 20 см х 30 см  н00208108</t>
  </si>
  <si>
    <t>н00208108</t>
  </si>
  <si>
    <t>4630073605541</t>
  </si>
  <si>
    <t>300х200, 30мкн</t>
  </si>
  <si>
    <t>281619</t>
  </si>
  <si>
    <t>Пакет вырубной "Бантики" 20*30/30 мкм ППК-6372</t>
  </si>
  <si>
    <t>ППК-6372</t>
  </si>
  <si>
    <t>4680942663721</t>
  </si>
  <si>
    <t>268495</t>
  </si>
  <si>
    <t>Пакет вырубной Алый бантик 20*30/30мкм н00293878</t>
  </si>
  <si>
    <t>н00293878</t>
  </si>
  <si>
    <t>4630201702920</t>
  </si>
  <si>
    <t>256578</t>
  </si>
  <si>
    <t>Пакет вырубной Бантик 20х30/30 мкм НФ-00043930</t>
  </si>
  <si>
    <t>НФ-00043930</t>
  </si>
  <si>
    <t>4610121611861</t>
  </si>
  <si>
    <t>197002</t>
  </si>
  <si>
    <t>Пакет вырубной Волшебный лес 20*30/30мкм н00213000</t>
  </si>
  <si>
    <t>н00213000</t>
  </si>
  <si>
    <t>4630073606111</t>
  </si>
  <si>
    <t>196935</t>
  </si>
  <si>
    <t>Пакет вырубной Для него 20х30/30 мкм,б/дВНР51991</t>
  </si>
  <si>
    <t>ВНР51991</t>
  </si>
  <si>
    <t>4607182862080</t>
  </si>
  <si>
    <t>20х30/30 мкм</t>
  </si>
  <si>
    <t>273212</t>
  </si>
  <si>
    <t>Пакет вырубной Защитникам ПВД 20*30/30мкм ППК-9516</t>
  </si>
  <si>
    <t>ППК-9516</t>
  </si>
  <si>
    <t>4680942625163</t>
  </si>
  <si>
    <t>256582</t>
  </si>
  <si>
    <t>Пакет вырубной Классика роз 20*30/30мкм н00277862</t>
  </si>
  <si>
    <t>н00277862</t>
  </si>
  <si>
    <t>4630201702166</t>
  </si>
  <si>
    <t>268494</t>
  </si>
  <si>
    <t>Пакет вырубной Мужское решение 20*30/30мкм б/д н00292242</t>
  </si>
  <si>
    <t>н00292242</t>
  </si>
  <si>
    <t>4630201702685</t>
  </si>
  <si>
    <t>256617</t>
  </si>
  <si>
    <t>Пакет вырубной Мужской аксессуар 20х30/30мкм ВНР59054</t>
  </si>
  <si>
    <t>ВНР59054</t>
  </si>
  <si>
    <t>2200003888652</t>
  </si>
  <si>
    <t>256580</t>
  </si>
  <si>
    <t>Пакет вырубной Мур-мур 20*30/30мкм н00283634</t>
  </si>
  <si>
    <t>н00283634</t>
  </si>
  <si>
    <t>4630201702326</t>
  </si>
  <si>
    <t>207239</t>
  </si>
  <si>
    <t>Пакет вырубной Настоящему мужчине 20х30/30 мкм НФ-00022274</t>
  </si>
  <si>
    <t>НФ-00022274</t>
  </si>
  <si>
    <t>4610121611090</t>
  </si>
  <si>
    <t>206494</t>
  </si>
  <si>
    <t>Пакет вырубной Ненси 20х30/30 мкм,б/д ВНР55127</t>
  </si>
  <si>
    <t>ВНР55127</t>
  </si>
  <si>
    <t>4607182862752</t>
  </si>
  <si>
    <t>273211</t>
  </si>
  <si>
    <t>Пакет вырубной Память поколений ПВД 20*30/30мкм ППК-9515</t>
  </si>
  <si>
    <t>ППК-9515</t>
  </si>
  <si>
    <t>4680942625156</t>
  </si>
  <si>
    <t>197006</t>
  </si>
  <si>
    <t>Пакет вырубной Подарочек 20*30/30мкм н00213002</t>
  </si>
  <si>
    <t>н00213002</t>
  </si>
  <si>
    <t>4630073606128</t>
  </si>
  <si>
    <t>273210</t>
  </si>
  <si>
    <t>Пакет вырубной Символ Победы ПВД 20*30/30мкм ППК-9514</t>
  </si>
  <si>
    <t>ППК-9514</t>
  </si>
  <si>
    <t>4680942625149</t>
  </si>
  <si>
    <t>206496</t>
  </si>
  <si>
    <t>Пакет вырубной Шармель 20х30/30 мкм,б/д ВНР55126</t>
  </si>
  <si>
    <t>ВНР55126</t>
  </si>
  <si>
    <t>4607182862745</t>
  </si>
  <si>
    <t>184883</t>
  </si>
  <si>
    <t>Пакет полиэтиленовый Веселого дня рождения!! 20х30 НФ-00014113</t>
  </si>
  <si>
    <t>НФ-00014113</t>
  </si>
  <si>
    <t>4610121610611</t>
  </si>
  <si>
    <t>20 х 30 см, 30мкн</t>
  </si>
  <si>
    <t>184884</t>
  </si>
  <si>
    <t>Пакет полиэтиленовый вырубной Мелкие красные розы 20х30 НФ-00000788</t>
  </si>
  <si>
    <t>НФ-00000788</t>
  </si>
  <si>
    <t>4640012383607</t>
  </si>
  <si>
    <t>260868</t>
  </si>
  <si>
    <t>Пакет полиэтиленовый вырубной "Приветливый Чебурашка" 20*30/30 мкм ЛИЦЕНЗИЯ/Чебурашка ПИ-7800</t>
  </si>
  <si>
    <t>ПИ-7800</t>
  </si>
  <si>
    <t>4630493778009</t>
  </si>
  <si>
    <t>36,5см х 48 см</t>
  </si>
  <si>
    <t>214851</t>
  </si>
  <si>
    <t>Пакет полиэтиленовый Аниме комикс (36.5х48 см),плотность 50 мкм ПО-0099</t>
  </si>
  <si>
    <t>ПО-0099</t>
  </si>
  <si>
    <t>4670159100997</t>
  </si>
  <si>
    <t>36.5х48 см</t>
  </si>
  <si>
    <t>37см х 30см</t>
  </si>
  <si>
    <t>152538</t>
  </si>
  <si>
    <t>Пакет вырубной Перфекто Далия (37*30 см/90мкм) н00170815</t>
  </si>
  <si>
    <t>н00170815</t>
  </si>
  <si>
    <t>4630073600126</t>
  </si>
  <si>
    <t>370х300, 90 мкн</t>
  </si>
  <si>
    <t>218171</t>
  </si>
  <si>
    <t>Пакет полиэтиленовый вырубной Перфекто Роза 37*30/90мкм н00229687</t>
  </si>
  <si>
    <t>н00229687</t>
  </si>
  <si>
    <t>4630073608467</t>
  </si>
  <si>
    <t>37*30/90мкм</t>
  </si>
  <si>
    <t>197084</t>
  </si>
  <si>
    <t>Пакет вырубной Городские огни 38х47/60  мкм НФ-00000840</t>
  </si>
  <si>
    <t>НФ-00000840</t>
  </si>
  <si>
    <t>4640012382983</t>
  </si>
  <si>
    <t>38х47/60 мкм</t>
  </si>
  <si>
    <t>185573</t>
  </si>
  <si>
    <t>Пакет вырубной Грэй Глосс Кофе (48х39 см) н00212035</t>
  </si>
  <si>
    <t>н00212035</t>
  </si>
  <si>
    <t>4630073605831</t>
  </si>
  <si>
    <t>480х390х0,050</t>
  </si>
  <si>
    <t>256585</t>
  </si>
  <si>
    <t>Пакет вырубной Крокусы 37х46/30 мкм НФ-00044052</t>
  </si>
  <si>
    <t>НФ-00044052</t>
  </si>
  <si>
    <t>4610121611939</t>
  </si>
  <si>
    <t>197082</t>
  </si>
  <si>
    <t>Пакет вырубной Очарование 38х47/60 мкм НФ-00022318</t>
  </si>
  <si>
    <t>НФ-00022318</t>
  </si>
  <si>
    <t>4610121611267</t>
  </si>
  <si>
    <t>184898</t>
  </si>
  <si>
    <t>Пакет полиэтиленовый вырубной Воздушные шары  38х47/60мкм НФ-00012288</t>
  </si>
  <si>
    <t>НФ-00012288</t>
  </si>
  <si>
    <t>4610121610079</t>
  </si>
  <si>
    <t>38 х 47 см, 60 мкн</t>
  </si>
  <si>
    <t>184895</t>
  </si>
  <si>
    <t>Пакет полиэтиленовый вырубной Париж винтаж  37х46 НФ-00004749</t>
  </si>
  <si>
    <t>НФ-00004749</t>
  </si>
  <si>
    <t>4640012387292</t>
  </si>
  <si>
    <t>37 х 46 см, 30 мкн</t>
  </si>
  <si>
    <t>40см х 31см</t>
  </si>
  <si>
    <t>281622</t>
  </si>
  <si>
    <t>Пакет вырубной "Розовые цветочки" 30*40/50 мкм ППК-6373</t>
  </si>
  <si>
    <t>ППК-6373</t>
  </si>
  <si>
    <t>4680942663738</t>
  </si>
  <si>
    <t>281624</t>
  </si>
  <si>
    <t>Пакет вырубной "Яркий бант" 30*40/50 мкм ППК-6374</t>
  </si>
  <si>
    <t>ППК-6374</t>
  </si>
  <si>
    <t>4680942663745</t>
  </si>
  <si>
    <t>197087</t>
  </si>
  <si>
    <t>Пакет вырубной Время 30х40/60 мкм НФ-00010836</t>
  </si>
  <si>
    <t>НФ-00010836</t>
  </si>
  <si>
    <t>4610121610017</t>
  </si>
  <si>
    <t>30х40/60 мкм</t>
  </si>
  <si>
    <t>273213</t>
  </si>
  <si>
    <t>Пакет вырубной Звезда Победы ПВД 30*40/50мкм ППК-9517</t>
  </si>
  <si>
    <t>ППК-9517</t>
  </si>
  <si>
    <t>4680942625170</t>
  </si>
  <si>
    <t>273215</t>
  </si>
  <si>
    <t>Пакет вырубной Линии ПВД 30*40/50мкм ППК-9519</t>
  </si>
  <si>
    <t>ППК-9519</t>
  </si>
  <si>
    <t>4680942625194</t>
  </si>
  <si>
    <t>256622</t>
  </si>
  <si>
    <t>Пакет вырубной Морской закат 31х40/60мкм ВУР66451</t>
  </si>
  <si>
    <t>ВУР66451</t>
  </si>
  <si>
    <t>4607182864336</t>
  </si>
  <si>
    <t>196934</t>
  </si>
  <si>
    <t>Пакет вырубной Мужской стиль 29х40/35 мкм,б/д ВУР51990</t>
  </si>
  <si>
    <t>ВУР51990</t>
  </si>
  <si>
    <t>4607182862073</t>
  </si>
  <si>
    <t>29х40/35 мкм</t>
  </si>
  <si>
    <t>247081</t>
  </si>
  <si>
    <t>Пакет вырубной Невозможное возможно 31х40 60мкм н00271367</t>
  </si>
  <si>
    <t>н00271367</t>
  </si>
  <si>
    <t>4630201701909</t>
  </si>
  <si>
    <t>31х40см/60мкм</t>
  </si>
  <si>
    <t>273214</t>
  </si>
  <si>
    <t>Пакет вырубной Свет памяти ПВД 30*40/50мкм ППК-9518</t>
  </si>
  <si>
    <t>ППК-9518</t>
  </si>
  <si>
    <t>4680942625187</t>
  </si>
  <si>
    <t>246122</t>
  </si>
  <si>
    <t>Пакет вырубной Шотландка 29х40/35 мкм,б/д ВУР59027</t>
  </si>
  <si>
    <t>ВУР59027</t>
  </si>
  <si>
    <t>4607182863933</t>
  </si>
  <si>
    <t>268503</t>
  </si>
  <si>
    <t>Пакет вырубной Яркие карандаши 40*31 см/60мкм н00292240</t>
  </si>
  <si>
    <t>н00292240</t>
  </si>
  <si>
    <t>4630201702654</t>
  </si>
  <si>
    <t>217500</t>
  </si>
  <si>
    <t>Пакет полиэтиленовый вырубной Камуфляж 30х40/60 мкм НФ-00034026</t>
  </si>
  <si>
    <t>НФ-00034026</t>
  </si>
  <si>
    <t>4610121611496</t>
  </si>
  <si>
    <t>218184</t>
  </si>
  <si>
    <t>Пакет полиэтиленовый вырубной Очаровательные цветы 40*31/60мкм н00229385</t>
  </si>
  <si>
    <t>н00229385</t>
  </si>
  <si>
    <t>4630073608191</t>
  </si>
  <si>
    <t>40*31/60мкм</t>
  </si>
  <si>
    <t>218190</t>
  </si>
  <si>
    <t>Пакет полиэтиленовый вырубной Шарики в подарок 40*31/30мкм н00228651</t>
  </si>
  <si>
    <t>н00228651</t>
  </si>
  <si>
    <t>4630073608122</t>
  </si>
  <si>
    <t>40*31/30мкм</t>
  </si>
  <si>
    <t>260870</t>
  </si>
  <si>
    <t>Пакет полиэтиленовый вырубной "Чебурашка с вертолетом" 30*40/50 мкм ЛИЦЕНЗИЯ/Чебурашка ПИ-7802</t>
  </si>
  <si>
    <t>ПИ-7802</t>
  </si>
  <si>
    <t>4630493778023</t>
  </si>
  <si>
    <t>45см х 38см</t>
  </si>
  <si>
    <t>246126</t>
  </si>
  <si>
    <t>Пакет вырубной Весенний букет 38х45/60мкм ВУР51119</t>
  </si>
  <si>
    <t>ВУР51119</t>
  </si>
  <si>
    <t>4607182860895</t>
  </si>
  <si>
    <t>38х45/60мкм</t>
  </si>
  <si>
    <t>268507</t>
  </si>
  <si>
    <t>Пакет вырубной Желтый квадрат 45х38/60мкм н00293238</t>
  </si>
  <si>
    <t>н00293238</t>
  </si>
  <si>
    <t>4630201702845</t>
  </si>
  <si>
    <t>197032</t>
  </si>
  <si>
    <t>Пакет вырубной Забавные птички 45*38/60 мкм н00228481</t>
  </si>
  <si>
    <t>н00228481</t>
  </si>
  <si>
    <t>4630073608016</t>
  </si>
  <si>
    <t>268510</t>
  </si>
  <si>
    <t>Пакет вырубной Лила 45х38/60мкм лам н00268704</t>
  </si>
  <si>
    <t>н00268704</t>
  </si>
  <si>
    <t>4630201701619</t>
  </si>
  <si>
    <t>105165</t>
  </si>
  <si>
    <t>Пакет вырубной Пионы (45*38 см) лам н00152350</t>
  </si>
  <si>
    <t>н00152350</t>
  </si>
  <si>
    <t>4650070137715</t>
  </si>
  <si>
    <t>450х380, 60мкн</t>
  </si>
  <si>
    <t>246130</t>
  </si>
  <si>
    <t>Пакет вырубной Шарм 38х45/60мкм ВУР51120</t>
  </si>
  <si>
    <t>ВУР51120</t>
  </si>
  <si>
    <t>4607182860888</t>
  </si>
  <si>
    <t>217857</t>
  </si>
  <si>
    <t>Пакет полиэтиленовый вырубной  Лавандовое поле 38х45х3см/50мкм ВУР56219</t>
  </si>
  <si>
    <t>ВУР56219</t>
  </si>
  <si>
    <t>2100003859846</t>
  </si>
  <si>
    <t>38х45/50мкм</t>
  </si>
  <si>
    <t>217858</t>
  </si>
  <si>
    <t>Пакет полиэтиленовый вырубной Комплимент 38х45х3см/50мкм ВУР52688</t>
  </si>
  <si>
    <t>ВУР52688</t>
  </si>
  <si>
    <t>2100003814531</t>
  </si>
  <si>
    <t>2 Пакеты с петлевой ручкой</t>
  </si>
  <si>
    <t>217503</t>
  </si>
  <si>
    <t>Пакет петлевой Карандаши 28х34/60 мкм НФ-00002012</t>
  </si>
  <si>
    <t>НФ-00002012</t>
  </si>
  <si>
    <t>4640012387049</t>
  </si>
  <si>
    <t>38см х 42 см</t>
  </si>
  <si>
    <t>218212</t>
  </si>
  <si>
    <t>Пакет полиэтиленовый петлевой Черепашка 42*38/37мкм н00242817</t>
  </si>
  <si>
    <t>н00242817</t>
  </si>
  <si>
    <t>4630073609723</t>
  </si>
  <si>
    <t>42*38/37мкм</t>
  </si>
  <si>
    <t>40см х 37см</t>
  </si>
  <si>
    <t>197101</t>
  </si>
  <si>
    <t>Пакет петлевой Верные друзья 38х40/40 мкм НФ-00012647</t>
  </si>
  <si>
    <t>НФ-00012647</t>
  </si>
  <si>
    <t>4610121610413</t>
  </si>
  <si>
    <t>38х40/40 мкм</t>
  </si>
  <si>
    <t>097417</t>
  </si>
  <si>
    <t>Пакет полиэтиленовый Бежевый узор (34*40 см.) н00128915</t>
  </si>
  <si>
    <t>н00128915</t>
  </si>
  <si>
    <t>4650070134882</t>
  </si>
  <si>
    <t>40см х 37см, 95мкн</t>
  </si>
  <si>
    <t>283480</t>
  </si>
  <si>
    <t>Пакет полиэтиленовый Золотая полоса (44*40 см.) н00316736</t>
  </si>
  <si>
    <t>н00316736</t>
  </si>
  <si>
    <t>4630201704320</t>
  </si>
  <si>
    <t>6 Пакеты гиганты</t>
  </si>
  <si>
    <t>273935</t>
  </si>
  <si>
    <t>Пакет вырубной Голубые орхидеи 58х60/120 мкм НФ-00040017</t>
  </si>
  <si>
    <t>НФ-00040017</t>
  </si>
  <si>
    <t>4610121611755</t>
  </si>
  <si>
    <t>273940</t>
  </si>
  <si>
    <t>Пакет вырубной Зонтики 50х60/100 мкм НФ-00044078</t>
  </si>
  <si>
    <t>НФ-00044078</t>
  </si>
  <si>
    <t>4610121612059</t>
  </si>
  <si>
    <t>184921</t>
  </si>
  <si>
    <t>Пакет полиэтиленовый вырубной  Дама в шляпе 50х60/100мкм НФ-00013358</t>
  </si>
  <si>
    <t>НФ-00013358</t>
  </si>
  <si>
    <t>4610121610154</t>
  </si>
  <si>
    <t>50*60/100 МКМ</t>
  </si>
  <si>
    <t>184923</t>
  </si>
  <si>
    <t>Пакет полиэтиленовый вырубной  Жанет 50х60 НФ-00000884</t>
  </si>
  <si>
    <t>НФ-00000884</t>
  </si>
  <si>
    <t>4640012383812</t>
  </si>
  <si>
    <t>184926</t>
  </si>
  <si>
    <t>Пакет полиэтиленовый вырубной  Париж 50х60/100мкм НФ-00000885</t>
  </si>
  <si>
    <t>НФ-00000885</t>
  </si>
  <si>
    <t>4640012384628</t>
  </si>
  <si>
    <t>123388</t>
  </si>
  <si>
    <t>Пакет полиэтиленовый вырубной "Золотая полоса" (60*70 см/40мкм),б/д ВУР37541</t>
  </si>
  <si>
    <t>ВУР37541</t>
  </si>
  <si>
    <t>60х70 см, 40мкм</t>
  </si>
  <si>
    <t>283482</t>
  </si>
  <si>
    <t>Пакет полиэтиленовый вырубной Концепт большой 20кг 60*50/100мкм  н00316366</t>
  </si>
  <si>
    <t>н00316366</t>
  </si>
  <si>
    <t>4630201704092</t>
  </si>
  <si>
    <t>03 Пластиковые пакеты</t>
  </si>
  <si>
    <t>1 Наборы</t>
  </si>
  <si>
    <t>266928</t>
  </si>
  <si>
    <t>Пакет подарочный "Бельчонок" 13.5*22 см,35шт завязки в комп-те ППК-7625</t>
  </si>
  <si>
    <t>ППК-7625</t>
  </si>
  <si>
    <t>4640520775215</t>
  </si>
  <si>
    <t>266926</t>
  </si>
  <si>
    <t>Пакет подарочный "Дино" 13.5*22 см,35шт завязки в комп-те ППК-7623</t>
  </si>
  <si>
    <t>ППК-7623</t>
  </si>
  <si>
    <t>4640520775192</t>
  </si>
  <si>
    <t>266932</t>
  </si>
  <si>
    <t>Пакет подарочный "Котик с ромашкой" 13.5*22 см,35шт завязки в комп-те ППК-7629</t>
  </si>
  <si>
    <t>ППК-7629</t>
  </si>
  <si>
    <t>4640520775253</t>
  </si>
  <si>
    <t>266930</t>
  </si>
  <si>
    <t>Пакет подарочный "Лев" 13.5*22 см,35шт завязки в комп-те ППК-7627</t>
  </si>
  <si>
    <t>ППК-7627</t>
  </si>
  <si>
    <t>4640520775239</t>
  </si>
  <si>
    <t>266927</t>
  </si>
  <si>
    <t>Пакет подарочный "Медвежонок" 13.5*22 см,35шт завязки в комп-те ППК-7624</t>
  </si>
  <si>
    <t>ППК-7624</t>
  </si>
  <si>
    <t>4640520775208</t>
  </si>
  <si>
    <t>266931</t>
  </si>
  <si>
    <t>Пакет подарочный "Овечка" 13.5*22 см,35шт завязки в комп-те ППК-7628</t>
  </si>
  <si>
    <t>ППК-7628</t>
  </si>
  <si>
    <t>4640520775246</t>
  </si>
  <si>
    <t>266933</t>
  </si>
  <si>
    <t>Пакет подарочный "Пингвин" 13.5*22 см,35шт завязки в комп-те ППК-7630</t>
  </si>
  <si>
    <t>ППК-7630</t>
  </si>
  <si>
    <t>4640520775260</t>
  </si>
  <si>
    <t>266934</t>
  </si>
  <si>
    <t>Пакет подарочный "Тигренок" 13.5*22 см,35шт завязки в комп-те ППК-7631</t>
  </si>
  <si>
    <t>ППК-7631</t>
  </si>
  <si>
    <t>4640520775277</t>
  </si>
  <si>
    <t>266929</t>
  </si>
  <si>
    <t>Пакет подарочный "Щенок" 13.5*22 см,35шт завязки в комп-те ППК-7626</t>
  </si>
  <si>
    <t>ППК-7626</t>
  </si>
  <si>
    <t>4640520775222</t>
  </si>
  <si>
    <t>259227</t>
  </si>
  <si>
    <t>Пакет подарочный Дружная компания. 5 дизайнов/ 35 шт. ППК-7657</t>
  </si>
  <si>
    <t>ППК-7657</t>
  </si>
  <si>
    <t>4630493776579</t>
  </si>
  <si>
    <t>259233</t>
  </si>
  <si>
    <t>Пакет подарочный Дружные зверята 3 дизайна/ 35 шт. ППК-7659</t>
  </si>
  <si>
    <t>ППК-7659</t>
  </si>
  <si>
    <t>4630493776593</t>
  </si>
  <si>
    <t>266925</t>
  </si>
  <si>
    <t>Пакеты подарочные набор(2 дизайна)"Космическое приключение"13.5*22см,35шт завязки в комп-те ППК-7622</t>
  </si>
  <si>
    <t>ППК-7622</t>
  </si>
  <si>
    <t>4640520775185</t>
  </si>
  <si>
    <t>221686</t>
  </si>
  <si>
    <t>Подарочные пакеты, набор "Милый дракоша", 13.5*22 см, 35 шт.,завязки в комп-те ППК-3617</t>
  </si>
  <si>
    <t>ППК-3617</t>
  </si>
  <si>
    <t>4670159136170</t>
  </si>
  <si>
    <t>13.5*22 см</t>
  </si>
  <si>
    <t>266923</t>
  </si>
  <si>
    <t>Подарочные пакеты, набор "Русалочка", 13.5*22 см,35шт завязки в комп-те ППК-7620</t>
  </si>
  <si>
    <t>ППК-7620</t>
  </si>
  <si>
    <t>4640520775161</t>
  </si>
  <si>
    <t>259235</t>
  </si>
  <si>
    <t>Подарочные пакеты, набор, "Добрые мордашки", 13,5*22см, 35 шт., завязки в комп-те ППК-7660</t>
  </si>
  <si>
    <t>ППК-7660</t>
  </si>
  <si>
    <t>4630493776609</t>
  </si>
  <si>
    <t>259231</t>
  </si>
  <si>
    <t>Подарочные пакеты, набор, "Забавные зверята", 13,5*22см, 35 шт., завязки в комп-те ППК-7658</t>
  </si>
  <si>
    <t>ППК-7658</t>
  </si>
  <si>
    <t>4630493776586</t>
  </si>
  <si>
    <t>221684</t>
  </si>
  <si>
    <t>Подарочные пакеты, набор(2 дизайна) "Яркие зайчата", 13.5*22 см, 35 шт.,завязки в комп-те ППК-3615</t>
  </si>
  <si>
    <t>ППК-3615</t>
  </si>
  <si>
    <t>4670159136156</t>
  </si>
  <si>
    <t>221685</t>
  </si>
  <si>
    <t>Подарочные пакеты, набор(4 дизайна) "Зайки с полянки", 13.5*22 см, 35 шт.,завязки в комп-те ППК-3616</t>
  </si>
  <si>
    <t>ППК-3616</t>
  </si>
  <si>
    <t>4670159136163</t>
  </si>
  <si>
    <t>221681</t>
  </si>
  <si>
    <t>Подарочные пакеты, набор(5 дизайнов) "Весёлые зверята",13.5*22см, 35 шт.,завязки в комп-те ППК-3614</t>
  </si>
  <si>
    <t>ППК-3614</t>
  </si>
  <si>
    <t>4670159136149</t>
  </si>
  <si>
    <t>02 Упаковочная бумага</t>
  </si>
  <si>
    <t>Упаковочная бумага ( 10л. в рулоне)</t>
  </si>
  <si>
    <t>272986</t>
  </si>
  <si>
    <t>OPTIMA Упаковочная бумага "Вечеринка" (70*100см, 10 л) "Собственная разработка" УБ-2426</t>
  </si>
  <si>
    <t>УБ-2426</t>
  </si>
  <si>
    <t>4680942624265</t>
  </si>
  <si>
    <t>272992</t>
  </si>
  <si>
    <t>OPTIMA Упаковочная бумага "Для тебя" (70*100см, 10 л) "Собственная разработка" УБ-2433</t>
  </si>
  <si>
    <t>УБ-2433</t>
  </si>
  <si>
    <t>4680942624333</t>
  </si>
  <si>
    <t>272985</t>
  </si>
  <si>
    <t>OPTIMA Упаковочная бумага "Зайчата на одуванчиках" (70*100см, 10 л) "Собственная разработка" УБ-2423</t>
  </si>
  <si>
    <t>УБ-2423</t>
  </si>
  <si>
    <t>4680942624234</t>
  </si>
  <si>
    <t>272984</t>
  </si>
  <si>
    <t>OPTIMA Упаковочная бумага "Зайчата с букетами" (70*100см, 10 л) "Собственная разработка" УБ-2422</t>
  </si>
  <si>
    <t>УБ-2422</t>
  </si>
  <si>
    <t>4680942624227</t>
  </si>
  <si>
    <t>272997</t>
  </si>
  <si>
    <t>OPTIMA Упаковочная бумага "Калейдоскоп поздравлений" (70*100см, 10 л) "Соб. раз." УБ-2429</t>
  </si>
  <si>
    <t>УБ-2429</t>
  </si>
  <si>
    <t>4680942624296</t>
  </si>
  <si>
    <t>272987</t>
  </si>
  <si>
    <t>OPTIMA Упаковочная бумага "Лимоны" (70*100см, 10 л) "Собственная разработка" УБ-2427</t>
  </si>
  <si>
    <t>УБ-2427</t>
  </si>
  <si>
    <t>4680942624272</t>
  </si>
  <si>
    <t>272993</t>
  </si>
  <si>
    <t>OPTIMA Упаковочная бумага "Пусть мечты сбываются!" (70*100см, 10 л) "Собственная разработка" УБ-2434</t>
  </si>
  <si>
    <t>УБ-2434</t>
  </si>
  <si>
    <t>4680942624340</t>
  </si>
  <si>
    <t>272980</t>
  </si>
  <si>
    <t>OPTIMA Упаковочная бумага "Розовые мечты" (70*100см, 10 л) "Собственная разработка" УБ-2421</t>
  </si>
  <si>
    <t>УБ-2421</t>
  </si>
  <si>
    <t>4680942624210</t>
  </si>
  <si>
    <t>272988</t>
  </si>
  <si>
    <t>OPTIMA Упаковочная бумага "Русские мотивы" (70*100см, 10 л) "Собственная разработка" УБ-2428</t>
  </si>
  <si>
    <t>УБ-2428</t>
  </si>
  <si>
    <t>4680942624289</t>
  </si>
  <si>
    <t>272996</t>
  </si>
  <si>
    <t>OPTIMA Упаковочная бумага "Сердечные пожелания с бантами" (70*100см, 10л) "Соб. раз" УБ-2425</t>
  </si>
  <si>
    <t>УБ-2425</t>
  </si>
  <si>
    <t>4680942624258</t>
  </si>
  <si>
    <t>272989</t>
  </si>
  <si>
    <t>OPTIMA Упаковочная бумага "Сладкий праздник" (70*100см, 10 л) "Собственная разработка" УБ-2430</t>
  </si>
  <si>
    <t>УБ-2430</t>
  </si>
  <si>
    <t>4680942624302</t>
  </si>
  <si>
    <t>272990</t>
  </si>
  <si>
    <t>OPTIMA Упаковочная бумага "Шары с пожеланиями" (70*100см, 10 л) "Собственная разработка" УБ-2431</t>
  </si>
  <si>
    <t>УБ-2431</t>
  </si>
  <si>
    <t>4680942624319</t>
  </si>
  <si>
    <t>253578</t>
  </si>
  <si>
    <t>OPTIMA Упаковочная бумага Girl power (70*100см, 10 л) "Собственная разработка"УБ-6795</t>
  </si>
  <si>
    <t>УБ-6795</t>
  </si>
  <si>
    <t>4670159267959</t>
  </si>
  <si>
    <t>233358</t>
  </si>
  <si>
    <t>OPTIMA Упаковочная бумага Абстрактная геометрия (70*100см, 10 л) "Собственная разработка" УБ-8967</t>
  </si>
  <si>
    <t>УБ-8967</t>
  </si>
  <si>
    <t>4670159189671</t>
  </si>
  <si>
    <t>204829</t>
  </si>
  <si>
    <t>OPTIMA Упаковочная бумага Абстракция (70*100см, 10 л)  Собственная разработка УБ-4451</t>
  </si>
  <si>
    <t>УБ-4451</t>
  </si>
  <si>
    <t>4670159044512</t>
  </si>
  <si>
    <t>204826</t>
  </si>
  <si>
    <t>OPTIMA Упаковочная бумага Вечеринка(70*100см, 10 л) Собственная разработка УБ-4448</t>
  </si>
  <si>
    <t>УБ-4448</t>
  </si>
  <si>
    <t>4670159044482</t>
  </si>
  <si>
    <t>253586</t>
  </si>
  <si>
    <t>OPTIMA Упаковочная бумага День рождения принцессы (70*100см, 10 л) "Собственная разработка"УБ-6803</t>
  </si>
  <si>
    <t>УБ-6803</t>
  </si>
  <si>
    <t>4670159268031</t>
  </si>
  <si>
    <t>233331</t>
  </si>
  <si>
    <t>OPTIMA Упаковочная бумага Знаки судьбы(70*100см, 10 л) "Собственная разработка" УБ-8954</t>
  </si>
  <si>
    <t>УБ-8954</t>
  </si>
  <si>
    <t>4670159189541</t>
  </si>
  <si>
    <t>253579</t>
  </si>
  <si>
    <t>OPTIMA Упаковочная бумага Котятки (70*100см, 10 л) "Собственная разработка"УБ-6796</t>
  </si>
  <si>
    <t>УБ-6796</t>
  </si>
  <si>
    <t>4670159267966</t>
  </si>
  <si>
    <t>253582</t>
  </si>
  <si>
    <t>OPTIMA Упаковочная бумага Кубки (70*100см, 10 л) "Собственная разработка"УБ-6799</t>
  </si>
  <si>
    <t>УБ-6799</t>
  </si>
  <si>
    <t>4670159267997</t>
  </si>
  <si>
    <t>253581</t>
  </si>
  <si>
    <t>OPTIMA Упаковочная бумага Лисички (70*100см, 10 л) "Собственная разработка"УБ-6798</t>
  </si>
  <si>
    <t>УБ-6798</t>
  </si>
  <si>
    <t>4670159267980</t>
  </si>
  <si>
    <t>253583</t>
  </si>
  <si>
    <t>OPTIMA Упаковочная бумага Милые лисята (70*100см, 10 л) "Собственная разработка"УБ-6800</t>
  </si>
  <si>
    <t>УБ-6800</t>
  </si>
  <si>
    <t>4670159268000</t>
  </si>
  <si>
    <t>253587</t>
  </si>
  <si>
    <t>OPTIMA Упаковочная бумага Мишка-летчик (70*100см, 10 л) "Собственная разработка"УБ-6804</t>
  </si>
  <si>
    <t>УБ-6804</t>
  </si>
  <si>
    <t>4670159268048</t>
  </si>
  <si>
    <t>253589</t>
  </si>
  <si>
    <t>OPTIMA Упаковочная бумага Подарочки (70*100см, 10 л) "Собственная разработка"УБ-6806</t>
  </si>
  <si>
    <t>УБ-6806</t>
  </si>
  <si>
    <t>4670159268062</t>
  </si>
  <si>
    <t>253590</t>
  </si>
  <si>
    <t>OPTIMA Упаковочная бумага Поздравляю. Тортики (70*100см, 10 л) "Собственная разработка"УБ-6807</t>
  </si>
  <si>
    <t>УБ-6807</t>
  </si>
  <si>
    <t>4670159268079</t>
  </si>
  <si>
    <t>233341</t>
  </si>
  <si>
    <t>OPTIMA Упаковочная бумага Птички на ветке  (70*100см, 10 л) "Собственная разработка" УБ-8959</t>
  </si>
  <si>
    <t>УБ-8959</t>
  </si>
  <si>
    <t>4670159189596</t>
  </si>
  <si>
    <t>253588</t>
  </si>
  <si>
    <t>OPTIMA Упаковочная бумага С днем рождения (70*100см, 10 л) "Собственная разработка"УБ-6805</t>
  </si>
  <si>
    <t>УБ-6805</t>
  </si>
  <si>
    <t>4670159268055</t>
  </si>
  <si>
    <t>133815</t>
  </si>
  <si>
    <t>OPTIMA Упаковочная бумага Совушки (10 листов в рулоне, 70 х 100 см) УБ-1593</t>
  </si>
  <si>
    <t>УБ-1593</t>
  </si>
  <si>
    <t>4665307415931</t>
  </si>
  <si>
    <t>253580</t>
  </si>
  <si>
    <t>OPTIMA Упаковочная бумага Торжество (70*100см, 10 л) "Собственная разработка"УБ-6797</t>
  </si>
  <si>
    <t>УБ-6797</t>
  </si>
  <si>
    <t>4670159267973</t>
  </si>
  <si>
    <t>233337</t>
  </si>
  <si>
    <t>OPTIMA Упаковочная бумага Цветочая нежность (70*100см, 10 л) "Собственная разработка" УБ-8958</t>
  </si>
  <si>
    <t>УБ-8958</t>
  </si>
  <si>
    <t>4670159189589</t>
  </si>
  <si>
    <t>253591</t>
  </si>
  <si>
    <t>OPTIMA Упаковочная бумага Цветочное настроение (70*100см, 10 л) "Собственная разработка"УБ-6808</t>
  </si>
  <si>
    <t>УБ-6808</t>
  </si>
  <si>
    <t>4670159268086</t>
  </si>
  <si>
    <t>272995</t>
  </si>
  <si>
    <t>OPTIMA Упаковочная бумага"День рождения в ритме жизни"(70*100см,10 л)"Собственная разработка"УБ-2424</t>
  </si>
  <si>
    <t>УБ-2424</t>
  </si>
  <si>
    <t>4680942624241</t>
  </si>
  <si>
    <t>272994</t>
  </si>
  <si>
    <t>OPTIMA Упаковочная бумага"Традиционный цветочный узор"(70*100см,10л)"Собственная разработка"УБ-2435</t>
  </si>
  <si>
    <t>УБ-2435</t>
  </si>
  <si>
    <t>4680942624357</t>
  </si>
  <si>
    <t>С тиснением фольгой</t>
  </si>
  <si>
    <t>211255</t>
  </si>
  <si>
    <t>Упаковочная бумага с тиснением фольгой "Бирюзовая чешуя" (10л в рулоне, 70*100см) УБ-7997</t>
  </si>
  <si>
    <t>УБ-7997</t>
  </si>
  <si>
    <t>4670159079972</t>
  </si>
  <si>
    <t>211250</t>
  </si>
  <si>
    <t>Упаковочная бумага с тиснением фольгой "Чёрная чешуя" (10л в рулоне, 70*100см) УБ-7995</t>
  </si>
  <si>
    <t>УБ-7995</t>
  </si>
  <si>
    <t>4670159079958</t>
  </si>
  <si>
    <t>273012</t>
  </si>
  <si>
    <t>Упаковочная бумага  "Котики на шарах" (70*100см, 10 л) "Собственная разработка" УБ-2457</t>
  </si>
  <si>
    <t>УБ-2457</t>
  </si>
  <si>
    <t>4680942624579</t>
  </si>
  <si>
    <t>204796</t>
  </si>
  <si>
    <t>Упаковочная бумага  Акварель листья Собственная разработка (70*100см, 10 л)  УБ-4456</t>
  </si>
  <si>
    <t>УБ-4456</t>
  </si>
  <si>
    <t>4670159044567</t>
  </si>
  <si>
    <t>273019</t>
  </si>
  <si>
    <t>Упаковочная бумага "Геометрия природы" (70*100см, 10 л) "Собственная разработка" УБ-2463</t>
  </si>
  <si>
    <t>УБ-2463</t>
  </si>
  <si>
    <t>4680942624630</t>
  </si>
  <si>
    <t>273016</t>
  </si>
  <si>
    <t>Упаковочная бумага "Зайки-балерины" (70*100см, 10 л) "Собственная разработка" УБ-2461</t>
  </si>
  <si>
    <t>УБ-2461</t>
  </si>
  <si>
    <t>4680942624616</t>
  </si>
  <si>
    <t>273015</t>
  </si>
  <si>
    <t>Упаковочная бумага "Магия в деталях" (70*100см, 10 л) "Собственная разработка" УБ-2460</t>
  </si>
  <si>
    <t>УБ-2460</t>
  </si>
  <si>
    <t>4680942624609</t>
  </si>
  <si>
    <t>273014</t>
  </si>
  <si>
    <t>Упаковочная бумага "Мужество в деталях"  (70*100см, 10 л) "Собственная разработка" УБ-2459</t>
  </si>
  <si>
    <t>УБ-2459</t>
  </si>
  <si>
    <t>4680942624593</t>
  </si>
  <si>
    <t>273013</t>
  </si>
  <si>
    <t>Упаковочная бумага "Подарки для тебя" (70*100см, 10 л) "Собственная разработка" УБ-2458</t>
  </si>
  <si>
    <t>УБ-2458</t>
  </si>
  <si>
    <t>4680942624586</t>
  </si>
  <si>
    <t>273017</t>
  </si>
  <si>
    <t>Упаковочная бумага "Яркое поздравление" (70*100см, 10 л) "Собственная разработка" УБ-2462</t>
  </si>
  <si>
    <t>УБ-2462</t>
  </si>
  <si>
    <t>4680942624623</t>
  </si>
  <si>
    <t>204793</t>
  </si>
  <si>
    <t>Упаковочная бумага Аниме комикс (70*100см, 10 л) Собственная разработка УБ-4453</t>
  </si>
  <si>
    <t>УБ-4453</t>
  </si>
  <si>
    <t>4670159044536</t>
  </si>
  <si>
    <t>204792</t>
  </si>
  <si>
    <t>Упаковочная бумага Буквы (70*100см, 10 л)  Собственная разработка УБ-4452</t>
  </si>
  <si>
    <t>УБ-4452</t>
  </si>
  <si>
    <t>4670159044529</t>
  </si>
  <si>
    <t>204058</t>
  </si>
  <si>
    <t>Упаковочная бумага Дракон с подарками (70*100см, 10 л) "Собственная разработка" УБ-4328</t>
  </si>
  <si>
    <t>УБ-4328</t>
  </si>
  <si>
    <t>4670159043287</t>
  </si>
  <si>
    <t>227427</t>
  </si>
  <si>
    <t>Упаковочная бумага Забавные змейки  (70*100см, 10 л) "Собственная разработка"  УБ-6510</t>
  </si>
  <si>
    <t>УБ-6510</t>
  </si>
  <si>
    <t>4670159165101</t>
  </si>
  <si>
    <t>227426</t>
  </si>
  <si>
    <t>Упаковочная бумага Змеи и снежинки (70*100см, 10 л) "Собственная разработка"  УБ-6509</t>
  </si>
  <si>
    <t>УБ-6509</t>
  </si>
  <si>
    <t>4670159165095</t>
  </si>
  <si>
    <t>227425</t>
  </si>
  <si>
    <t>Упаковочная бумага Змейки и веточки  (70*100см, 10 л) "Собственная разработка"  УБ-6508</t>
  </si>
  <si>
    <t>УБ-6508</t>
  </si>
  <si>
    <t>4670159165088</t>
  </si>
  <si>
    <t>227424</t>
  </si>
  <si>
    <t>Упаковочная бумага Змейки и подарки  (70*100см, 10 л) "Собственная разработка"  УБ-6507</t>
  </si>
  <si>
    <t>УБ-6507</t>
  </si>
  <si>
    <t>4670159165071</t>
  </si>
  <si>
    <t>062199</t>
  </si>
  <si>
    <t>Упаковочная бумага Карта мира (10 листов в рулоне, 70 х 100 см, 90 г/м2) 10-05-0051</t>
  </si>
  <si>
    <t>10-05-0051</t>
  </si>
  <si>
    <t>4665309193332</t>
  </si>
  <si>
    <t>4665299561869</t>
  </si>
  <si>
    <t>253601</t>
  </si>
  <si>
    <t>Упаковочная бумага Лесные зверьки (70*100см, 10 л) "Собственная разработка"УБ-6817</t>
  </si>
  <si>
    <t>УБ-6817</t>
  </si>
  <si>
    <t>4670159268178</t>
  </si>
  <si>
    <t>253602</t>
  </si>
  <si>
    <t>Упаковочная бумага Нежность(70*100см, 10 л) "Собственная разработка"УБ-6818</t>
  </si>
  <si>
    <t>УБ-6818</t>
  </si>
  <si>
    <t>4670159268185</t>
  </si>
  <si>
    <t>253599</t>
  </si>
  <si>
    <t>Упаковочная бумага Нежные цветы(70*100см, 10 л) "Собственная разработка"УБ-6815</t>
  </si>
  <si>
    <t>УБ-6815</t>
  </si>
  <si>
    <t>4670159268154</t>
  </si>
  <si>
    <t>204794</t>
  </si>
  <si>
    <t>Упаковочная бумага Розовая пантера (70*100см, 10 л) Собственная разработка УБ-4454</t>
  </si>
  <si>
    <t>УБ-4454</t>
  </si>
  <si>
    <t>4670159044543</t>
  </si>
  <si>
    <t>253605</t>
  </si>
  <si>
    <t>Упаковочная бумага Слоники на велосипеде (70*100см, 10 л) "Собственная разработка"УБ-6819</t>
  </si>
  <si>
    <t>УБ-6819</t>
  </si>
  <si>
    <t>4670159268192</t>
  </si>
  <si>
    <t>253600</t>
  </si>
  <si>
    <t>Упаковочная бумага Только для мальчиков (70*100см, 10 л) "Собственная разработка"УБ-6816</t>
  </si>
  <si>
    <t>УБ-6816</t>
  </si>
  <si>
    <t>4670159268161</t>
  </si>
  <si>
    <t>233387</t>
  </si>
  <si>
    <t>Упаковочная бумага Уличный стиль (70*100см, 10 л) Собственная разработка УБ-8945</t>
  </si>
  <si>
    <t>УБ-8945</t>
  </si>
  <si>
    <t>4670159189459</t>
  </si>
  <si>
    <t>Упаковочная бумага 5+0 (доп понтон золото)</t>
  </si>
  <si>
    <t>273008</t>
  </si>
  <si>
    <t>Упаковочная бумага "Артефакты волшебства" (70х100,10л, 5+0 доп пантон золото) Собств разраб. УБ-2451</t>
  </si>
  <si>
    <t>УБ-2451</t>
  </si>
  <si>
    <t>4680942624517</t>
  </si>
  <si>
    <t>273009</t>
  </si>
  <si>
    <t>Упаковочная бумага "Золотые подарки" (70х100, 10 л, 5+0 доп пантон золото) Собств разраб. УБ-2452</t>
  </si>
  <si>
    <t>УБ-2452</t>
  </si>
  <si>
    <t>4680942624524</t>
  </si>
  <si>
    <t>273010</t>
  </si>
  <si>
    <t>Упаковочная бумага "Праздник в каждом элементе"(70х100, 10л, 5+0 доп пантон золото) Соб.раз. УБ-2453</t>
  </si>
  <si>
    <t>УБ-2453</t>
  </si>
  <si>
    <t>4680942624531</t>
  </si>
  <si>
    <t>233382</t>
  </si>
  <si>
    <t>Упаковочная бумага Джентельмен (70х100, 10л, 5+0 доп пантон золото) Собс. разраб УБ-8951</t>
  </si>
  <si>
    <t>УБ-8951</t>
  </si>
  <si>
    <t>4670159189510</t>
  </si>
  <si>
    <t>227466</t>
  </si>
  <si>
    <t>Упаковочная бумага Золотые змейки (70х100, 10 л, 5+0 доп пантон золото)  УБ-6490</t>
  </si>
  <si>
    <t>УБ-6490</t>
  </si>
  <si>
    <t>4670159164906</t>
  </si>
  <si>
    <t>253598</t>
  </si>
  <si>
    <t>Упаковочная бумага Красивые ветки (70х100, 10 л, 5+0 доп пантон золото) Собств разраб УБ-6814</t>
  </si>
  <si>
    <t>УБ-6814</t>
  </si>
  <si>
    <t>4670159268147</t>
  </si>
  <si>
    <t>233381</t>
  </si>
  <si>
    <t>Упаковочная бумага Магическая (70х100, 10л, 5+0 доп пантон золото) Собс. разраб УБ-8950</t>
  </si>
  <si>
    <t>УБ-8950</t>
  </si>
  <si>
    <t>4670159189503</t>
  </si>
  <si>
    <t>253596</t>
  </si>
  <si>
    <t>Упаковочная бумага Мишки-крошки (70х100, 10 л, 5+0 доп пантон золото) Собств разраб УБ-6812</t>
  </si>
  <si>
    <t>УБ-6812</t>
  </si>
  <si>
    <t>4670159268123</t>
  </si>
  <si>
    <t>253597</t>
  </si>
  <si>
    <t>Упаковочная бумага Поздравляю. Конфетти (70х100, 10 л, 5+0 доп пантон золото) Собств разраб УБ-6813</t>
  </si>
  <si>
    <t>УБ-6813</t>
  </si>
  <si>
    <t>4670159268130</t>
  </si>
  <si>
    <t>253594</t>
  </si>
  <si>
    <t>Упаковочная бумага Птички в саду (70х100, 10 л, 5+0 доп пантон золото) Собств разраб УБ-6810</t>
  </si>
  <si>
    <t>УБ-6810</t>
  </si>
  <si>
    <t>4670159268109</t>
  </si>
  <si>
    <t>253595</t>
  </si>
  <si>
    <t>Упаковочная бумага Созвездия (70х100, 10 л, 5+0 доп пантон золото) Собств разраб УБ-6811</t>
  </si>
  <si>
    <t>УБ-6811</t>
  </si>
  <si>
    <t>4670159268116</t>
  </si>
  <si>
    <t>272977</t>
  </si>
  <si>
    <t>OPTIMA Упаковочная бумага "С поздравлениями"  В АССОРТИ (70х100см, 1л, 5 диз) Собств. разраб УБ-2472</t>
  </si>
  <si>
    <t>УБ-2472</t>
  </si>
  <si>
    <t>4680942624722</t>
  </si>
  <si>
    <t>272978</t>
  </si>
  <si>
    <t>OPTIMA Упаковочная бумага "Яркий праздник"  В АССОРТИ (70х100см, 1л, 5 диз) Собств. разраб УБ-2473</t>
  </si>
  <si>
    <t>УБ-2473</t>
  </si>
  <si>
    <t>4680942624739</t>
  </si>
  <si>
    <t>253607</t>
  </si>
  <si>
    <t>OPTIMA Упаковочная бумага Праздничная коллекция В АССОРТИ (70х100см, 1л, 5 диз) Собств. разраУБ-6821</t>
  </si>
  <si>
    <t>УБ-6821</t>
  </si>
  <si>
    <t>4670159268215</t>
  </si>
  <si>
    <t>204832</t>
  </si>
  <si>
    <t>OPTIMA Упаковочная бумага Яркие оттенки В АССОРТИМЕНТЕ (70х100см, 1л, 5 дизайнов в шоубоксе) УБ-4464</t>
  </si>
  <si>
    <t>УБ-4464</t>
  </si>
  <si>
    <t>4670159044642</t>
  </si>
  <si>
    <t>211258</t>
  </si>
  <si>
    <t>Упаковочная бумага с тисн. фольгой "Чешуя" В АССОРТ. (1л в рулоне,4дизайна в шоу-се70*100см) УБ-7999</t>
  </si>
  <si>
    <t>УБ-7999</t>
  </si>
  <si>
    <t>4670159079996</t>
  </si>
  <si>
    <t>272975</t>
  </si>
  <si>
    <t>Упаковочная бумага "Праздник для всех"  70х100, 1л, (3 диз 5+0, 2 диз 4+0) Собств. разр. УБ-2471</t>
  </si>
  <si>
    <t>УБ-2471</t>
  </si>
  <si>
    <t>4680942624715</t>
  </si>
  <si>
    <t>204080</t>
  </si>
  <si>
    <t>Упаковочная бумага Дракон В АССОРТИМЕНТЕ (70х100см, 1л, 5 дизайнов в шоубоксе) УБ-4377</t>
  </si>
  <si>
    <t>УБ-4377</t>
  </si>
  <si>
    <t>4670159043775</t>
  </si>
  <si>
    <t>227452</t>
  </si>
  <si>
    <t>Упаковочная бумага Змейки В АССОРТИМЕНТЕ (70х100см, 1л, 5 дизайнов в шоубоксе) УБ-6493</t>
  </si>
  <si>
    <t>УБ-6493</t>
  </si>
  <si>
    <t>4670159164937</t>
  </si>
  <si>
    <t>253606</t>
  </si>
  <si>
    <t>Упаковочная бумага Стильное попурри  В АССОРТИ  (70х100, 1л, 5+0, 5 диз ) Собств. разр.УБ-6820</t>
  </si>
  <si>
    <t>УБ-6820</t>
  </si>
  <si>
    <t>4670159268208</t>
  </si>
  <si>
    <t>272976</t>
  </si>
  <si>
    <t>Упаковочная бумага" На любой случай"  В АССОРТИ  (70х100, 1л, 4+0, 5 диз ) Собс. разр. УБ-2474</t>
  </si>
  <si>
    <t>УБ-2474</t>
  </si>
  <si>
    <t>4680942624746</t>
  </si>
  <si>
    <t>03 Подарочные коробки</t>
  </si>
  <si>
    <t>01 Прямоугольные</t>
  </si>
  <si>
    <t>Набор коробок 10 в 1</t>
  </si>
  <si>
    <t>30,5 х 20 х 13 - 12 х 6,5 х 4 см</t>
  </si>
  <si>
    <t>233619</t>
  </si>
  <si>
    <t>Набор прямоугольных коробок 10 в 1 Абстрактные пузырьки (30,5х20х13 - 12х6,5х4см)Собс.разр. КОР-9221</t>
  </si>
  <si>
    <t>КОР-9221</t>
  </si>
  <si>
    <t>4670159192213</t>
  </si>
  <si>
    <t>17.21.15.130</t>
  </si>
  <si>
    <t>233616</t>
  </si>
  <si>
    <t>Набор прямоугольных коробок 10 в 1 Знаки судьбы (30,5х20х13 - 12х6,5х4см)Собс.разр. КОР-9218</t>
  </si>
  <si>
    <t>КОР-9218</t>
  </si>
  <si>
    <t>4670159192183</t>
  </si>
  <si>
    <t>233613</t>
  </si>
  <si>
    <t>Набор прямоугольных коробок 10 в 1 Тортик (30,5х20х13 - 12х6,5х4см)Собс.разр. КОР-9215</t>
  </si>
  <si>
    <t>КОР-9215</t>
  </si>
  <si>
    <t>4670159192152</t>
  </si>
  <si>
    <t>253972</t>
  </si>
  <si>
    <t>Набор прямоугольных коробок 10в1  Только для мальчиков (30,5х20х13-12х6,5х4 см) Соб. раз. КОР-2900</t>
  </si>
  <si>
    <t>КОР-2900</t>
  </si>
  <si>
    <t>4640306929009</t>
  </si>
  <si>
    <t>253846</t>
  </si>
  <si>
    <t>Набор прямоугольных коробок 10в1 Girl power (30,5х20х13 - 12х6,5х4 см) "Собств. разраб."КОР-2889</t>
  </si>
  <si>
    <t>КОР-2889</t>
  </si>
  <si>
    <t>4640306928897</t>
  </si>
  <si>
    <t>253966</t>
  </si>
  <si>
    <t>Набор прямоугольных коробок 10в1 Акварельные пузырьки (30,5х20х13-12х6,5х4 см) Соб. раз. КОР-2891</t>
  </si>
  <si>
    <t>КОР-2891</t>
  </si>
  <si>
    <t>4640306928910</t>
  </si>
  <si>
    <t>253970</t>
  </si>
  <si>
    <t>Набор прямоугольных коробок 10в1 Красивые ветки   (30,5х20х13-12х6,5х4 см) Соб. раз. КОР-2896</t>
  </si>
  <si>
    <t>КОР-2896</t>
  </si>
  <si>
    <t>4640306928965</t>
  </si>
  <si>
    <t>253971</t>
  </si>
  <si>
    <t>Набор прямоугольных коробок 10в1 Лесные зверьки   (30,5х20х13-12х6,5х4 см) Соб. раз. КОР-2898</t>
  </si>
  <si>
    <t>КОР-2898</t>
  </si>
  <si>
    <t>4640306928989</t>
  </si>
  <si>
    <t>253852</t>
  </si>
  <si>
    <t>Набор прямоугольных коробок 10в1 Милые лисята (30,5х20х13 - 12х6,5х4 см) "Собств. разраб."КОР-2902</t>
  </si>
  <si>
    <t>КОР-2902</t>
  </si>
  <si>
    <t>4640306929023</t>
  </si>
  <si>
    <t>253850</t>
  </si>
  <si>
    <t>Набор прямоугольных коробок 10в1 Нежность (30,5х20х13 - 12х6,5х4 см) "Собств. разраб."КОР-2899</t>
  </si>
  <si>
    <t>КОР-2899</t>
  </si>
  <si>
    <t>4640306928996</t>
  </si>
  <si>
    <t>253849</t>
  </si>
  <si>
    <t>Набор прямоугольных коробок 10в1 Нежные цветы (30,5х20х13 - 12х6,5х4 см) "Собств. разраб."КОР-2897</t>
  </si>
  <si>
    <t>КОР-2897</t>
  </si>
  <si>
    <t>4640306928972</t>
  </si>
  <si>
    <t>253969</t>
  </si>
  <si>
    <t>Набор прямоугольных коробок 10в1 Поздравляю. Конфетти (30,5х20х13-12х6,5х4 см) Соб. раз. КОР-2895</t>
  </si>
  <si>
    <t>КОР-2895</t>
  </si>
  <si>
    <t>4640306928958</t>
  </si>
  <si>
    <t>253968</t>
  </si>
  <si>
    <t>Набор прямоугольных коробок 10в1 Поздравляю. Тортики (30,5х20х13-12х6,5х4 см) Соб. раз. КОР-2893</t>
  </si>
  <si>
    <t>КОР-2893</t>
  </si>
  <si>
    <t>4640306928934</t>
  </si>
  <si>
    <t>253973</t>
  </si>
  <si>
    <t>Набор прямоугольных коробок 10в1 Поздравляю. Шарики (30,5х20х13-12х6,5х4 см) Соб. раз. КОР-2901</t>
  </si>
  <si>
    <t>КОР-2901</t>
  </si>
  <si>
    <t>4640306929016</t>
  </si>
  <si>
    <t>253967</t>
  </si>
  <si>
    <t>Набор прямоугольных коробок 10в1 С днем рождения   (30,5х20х13-12х6,5х4 см) Соб. раз. КОР-2892</t>
  </si>
  <si>
    <t>КОР-2892</t>
  </si>
  <si>
    <t>4640306928927</t>
  </si>
  <si>
    <t>253847</t>
  </si>
  <si>
    <t>Набор прямоугольных коробок 10в1 Торжество  (30,5х20х13 - 12х6,5х4 см) "Собств. разраб."КОР-2890</t>
  </si>
  <si>
    <t>КОР-2890</t>
  </si>
  <si>
    <t>4640306928903</t>
  </si>
  <si>
    <t>253848</t>
  </si>
  <si>
    <t>Набор прямоугольных коробок 10в1 Школа магии (30,5х20х13 - 12х6,5х4 см) "Собств. разраб."КОР-2894</t>
  </si>
  <si>
    <t>КОР-2894</t>
  </si>
  <si>
    <t>4640306928941</t>
  </si>
  <si>
    <t>37,5х29х16 - 19х13х7,5 см</t>
  </si>
  <si>
    <t>257942</t>
  </si>
  <si>
    <t>Набор коробок 10 в 1 с тиснением "Зеленые листья", 19х13х7.5-37.5х29х16 КОР-7549</t>
  </si>
  <si>
    <t>КОР-7549</t>
  </si>
  <si>
    <t>4630493775497</t>
  </si>
  <si>
    <t>257945</t>
  </si>
  <si>
    <t>Набор коробок 10 в1 "Подарок", 19х13х7.5-37.5х29х16 КОР-7551</t>
  </si>
  <si>
    <t>КОР-7551</t>
  </si>
  <si>
    <t>4630493775510</t>
  </si>
  <si>
    <t>257943</t>
  </si>
  <si>
    <t>Набор коробок 10 в1 с тиснением "Бантики", 19х13х7.5-37.5х29х16 КОР-7550</t>
  </si>
  <si>
    <t>КОР-7550</t>
  </si>
  <si>
    <t>4630493775503</t>
  </si>
  <si>
    <t>257950</t>
  </si>
  <si>
    <t>Набор коробок 10 в1 с тиснением "День Рождения", 19х13х7.5-37.5х29х16 КОР-7553</t>
  </si>
  <si>
    <t>КОР-7553</t>
  </si>
  <si>
    <t>4630493775534</t>
  </si>
  <si>
    <t>257948</t>
  </si>
  <si>
    <t>Набор коробок 10 в1 с тиснением "Сердце", 19х13х7.5-37.5х29х16 КОР-7552</t>
  </si>
  <si>
    <t>КОР-7552</t>
  </si>
  <si>
    <t>4630493775527</t>
  </si>
  <si>
    <t>210803</t>
  </si>
  <si>
    <t>Набор прямоугольных коробок 10 в 1 "Дино малыши",19х13х7,5-37,5х29х16 КОР-7811</t>
  </si>
  <si>
    <t>КОР-7811</t>
  </si>
  <si>
    <t>4670159078111</t>
  </si>
  <si>
    <t>210804</t>
  </si>
  <si>
    <t>Набор прямоугольных коробок 10 в 1 "Львята",19х13х7,5-37,5х29х16 КОР-7812</t>
  </si>
  <si>
    <t>КОР-7812</t>
  </si>
  <si>
    <t>4670159078128</t>
  </si>
  <si>
    <t>210807</t>
  </si>
  <si>
    <t>Набор прямоугольных коробок 10 в 1 "Нежные котята",19х13х7,5-37,5х29х16 КОР-7814</t>
  </si>
  <si>
    <t>КОР-7814</t>
  </si>
  <si>
    <t>4670159078142</t>
  </si>
  <si>
    <t>210782</t>
  </si>
  <si>
    <t>Набор прямоугольных коробок 10 в 1 "Радужные бабочки"19х13х7,5-37,5х29х16 КОР-7809</t>
  </si>
  <si>
    <t>КОР-7809</t>
  </si>
  <si>
    <t>4670159078098</t>
  </si>
  <si>
    <t>210780</t>
  </si>
  <si>
    <t>Набор прямоугольных коробок 10 в 1 "Цветок пустыни"(19х13х7,5-37,5х29х16) КОР-7808</t>
  </si>
  <si>
    <t>КОР-7808</t>
  </si>
  <si>
    <t>4670159078081</t>
  </si>
  <si>
    <t>234132</t>
  </si>
  <si>
    <t>Набор прямоугольных коробок 10в1  "Радужные сердца",19х13х7,5-37,5х29х16 КОР-9410</t>
  </si>
  <si>
    <t>КОР-9410</t>
  </si>
  <si>
    <t>4670159194101</t>
  </si>
  <si>
    <t>210810</t>
  </si>
  <si>
    <t>Набор прямоугольных коробок 10в1 с золот.тиснением"Радужные единороги",19х13х7,5-37,5х29х16 КОР-7816</t>
  </si>
  <si>
    <t>КОР-7816</t>
  </si>
  <si>
    <t>4670159078166</t>
  </si>
  <si>
    <t>227944</t>
  </si>
  <si>
    <t>Набор прямоугольных кор. 3в1 "Золотые змейки" 5+0 (19х12х7,5-15х10х5)"Собств.разраб" КОР-6876</t>
  </si>
  <si>
    <t>КОР-6876</t>
  </si>
  <si>
    <t>4670159168768</t>
  </si>
  <si>
    <t>190х120х75-150х100х50 мм</t>
  </si>
  <si>
    <t>233590</t>
  </si>
  <si>
    <t>Набор прямоугольных коробок 3 в 1  Абстрактные пузырьки (19х12х7,5 - 15 х10х5см)Собс.разр. КОР-9201</t>
  </si>
  <si>
    <t>КОР-9201</t>
  </si>
  <si>
    <t>4670159192015</t>
  </si>
  <si>
    <t>204550</t>
  </si>
  <si>
    <t>Набор прямоугольных коробок 3 в 1 Аниме комикс (19х12х7,5 - 15х10х5см)"Собств. разраб." ПП-4513</t>
  </si>
  <si>
    <t>ПП-4513</t>
  </si>
  <si>
    <t>4670159045137</t>
  </si>
  <si>
    <t>233588</t>
  </si>
  <si>
    <t>Набор прямоугольных коробок 3 в 1 Джентельмен  (19х12х7,5 - 15 х10х5см)Собс.разр. КОР-9200</t>
  </si>
  <si>
    <t>КОР-9200</t>
  </si>
  <si>
    <t>4670159192008</t>
  </si>
  <si>
    <t>253924</t>
  </si>
  <si>
    <t>Набор прямоугольных коробок 3в1  Только для мальчиков (19х12х7,5-15 х10х5 см) Соб. раз. КОР-2872</t>
  </si>
  <si>
    <t>КОР-2872</t>
  </si>
  <si>
    <t>4640306928729</t>
  </si>
  <si>
    <t>253824</t>
  </si>
  <si>
    <t>Набор прямоугольных коробок 3в1 Girl power (19х12х7,5 - 15 х10х5 см) "Собств. разраб."КОР-2861</t>
  </si>
  <si>
    <t>КОР-2861</t>
  </si>
  <si>
    <t>4640306928613</t>
  </si>
  <si>
    <t>253914</t>
  </si>
  <si>
    <t>Набор прямоугольных коробок 3в1 Акварельные пузырьки (19х12х7,5-15 х10х5 см) Соб. раз. КОР-2863</t>
  </si>
  <si>
    <t>КОР-2863</t>
  </si>
  <si>
    <t>4640306928637</t>
  </si>
  <si>
    <t>204549</t>
  </si>
  <si>
    <t>Набор прямоугольных коробок 3в1 Аниме девочка и панда(19х12х7,5 - 15х10х5 см)"Собств.разр." ПП-4512</t>
  </si>
  <si>
    <t>ПП-4512</t>
  </si>
  <si>
    <t>4670159045120</t>
  </si>
  <si>
    <t>253833</t>
  </si>
  <si>
    <t>Набор прямоугольных коробок 3в1 Красивые ветки (19х12х7,5-15 х10х5 см) Соб. раз. КОР-2868</t>
  </si>
  <si>
    <t>КОР-2868</t>
  </si>
  <si>
    <t>4640306928682</t>
  </si>
  <si>
    <t>253836</t>
  </si>
  <si>
    <t>Набор прямоугольных коробок 3в1 Лесные зверьки (19х12х7,5-15 х10х5 см) Соб. раз. КОР-2870</t>
  </si>
  <si>
    <t>КОР-2870</t>
  </si>
  <si>
    <t>4640306928705</t>
  </si>
  <si>
    <t>253840</t>
  </si>
  <si>
    <t>Набор прямоугольных коробок 3в1 Милые лисята (19х12х7,5-15 х10х5 см) Соб. раз. КОР-2874</t>
  </si>
  <si>
    <t>КОР-2874</t>
  </si>
  <si>
    <t>4640306928743</t>
  </si>
  <si>
    <t>253839</t>
  </si>
  <si>
    <t>Набор прямоугольных коробок 3в1 Нежность (19х12х7,5-15 х10х5 см) Соб. раз. КОР-2871</t>
  </si>
  <si>
    <t>КОР-2871</t>
  </si>
  <si>
    <t>4640306928712</t>
  </si>
  <si>
    <t>253834</t>
  </si>
  <si>
    <t>Набор прямоугольных коробок 3в1 Нежные цветы (19х12х7,5-15 х10х5 см) Соб. раз.КОР-2869</t>
  </si>
  <si>
    <t>КОР-2869</t>
  </si>
  <si>
    <t>4640306928699</t>
  </si>
  <si>
    <t>253921</t>
  </si>
  <si>
    <t>Набор прямоугольных коробок 3в1 Поздравляю. Конфетти (19х12х7,5-15 х10х5 см) Соб. раз. КОР-2867</t>
  </si>
  <si>
    <t>КОР-2867</t>
  </si>
  <si>
    <t>4640306928675</t>
  </si>
  <si>
    <t>253918</t>
  </si>
  <si>
    <t>Набор прямоугольных коробок 3в1 Поздравляю. Тортики (19х12х7,5-15 х10х5 см) Соб. раз. КОР-2865</t>
  </si>
  <si>
    <t>КОР-2865</t>
  </si>
  <si>
    <t>4640306928651</t>
  </si>
  <si>
    <t>253928</t>
  </si>
  <si>
    <t>Набор прямоугольных коробок 3в1 Поздравляю. Шарики (19х12х7,5-15 х10х5 см) Соб. раз. КОР-2873</t>
  </si>
  <si>
    <t>КОР-2873</t>
  </si>
  <si>
    <t>4640306928736</t>
  </si>
  <si>
    <t>253827</t>
  </si>
  <si>
    <t>Набор прямоугольных коробок 3в1 С днем рождения (19х12х7,5-15 х10х5 см) Соб. раз. КОР-2864</t>
  </si>
  <si>
    <t>КОР-2864</t>
  </si>
  <si>
    <t>4640306928644</t>
  </si>
  <si>
    <t>253826</t>
  </si>
  <si>
    <t>Набор прямоугольных коробок 3в1 Торжество  (19х12х7,5 - 15 х10х5 см) "Собств. разраб."КОР-2862</t>
  </si>
  <si>
    <t>КОР-2862</t>
  </si>
  <si>
    <t>4640306928620</t>
  </si>
  <si>
    <t>253829</t>
  </si>
  <si>
    <t>Набор прямоугольных коробок 3в1 Школа магии (19х12х7,5-15 х10х5 см) Соб. раз. КОР-2866</t>
  </si>
  <si>
    <t>КОР-2866</t>
  </si>
  <si>
    <t>4640306928668</t>
  </si>
  <si>
    <t>233608</t>
  </si>
  <si>
    <t>Набор прямоугольных коробок 3 в 1  Джентельмен  (23 х16 х9,5 - 19 х12 х6,5см)Собс.разр. КОР-9210</t>
  </si>
  <si>
    <t>КОР-9210</t>
  </si>
  <si>
    <t>4670159192107</t>
  </si>
  <si>
    <t>233609</t>
  </si>
  <si>
    <t>Набор прямоугольных коробок 3 в 1 Абстракт. пузырьки (23 х16 х9,5-19 х12 х6,5см)Собс.разр. КОР-9211</t>
  </si>
  <si>
    <t>КОР-9211</t>
  </si>
  <si>
    <t>4670159192114</t>
  </si>
  <si>
    <t>204584</t>
  </si>
  <si>
    <t>Набор прямоугольных коробок 3 в 1 Аниме комикс (23х16х9,5-19х12х6,5см) "Собств. разраб." ПП-4523</t>
  </si>
  <si>
    <t>ПП-4523</t>
  </si>
  <si>
    <t>4670159045236</t>
  </si>
  <si>
    <t>233606</t>
  </si>
  <si>
    <t>Набор прямоугольных коробок 3 в 1 Знаки судьбы (23 х16 х9,5 - 19 х12 х6,5см)Собс.разр. КОР-9208</t>
  </si>
  <si>
    <t>КОР-9208</t>
  </si>
  <si>
    <t>4670159192084</t>
  </si>
  <si>
    <t>233605</t>
  </si>
  <si>
    <t>Набор прямоугольных коробок 3 в 1 Птички на ветке (23 х16 х9,5 - 19 х12 х6,5см)Собс.разр. КОР-9207</t>
  </si>
  <si>
    <t>КОР-9207</t>
  </si>
  <si>
    <t>4670159192077</t>
  </si>
  <si>
    <t>204580</t>
  </si>
  <si>
    <t>Набор прямоугольных коробок 3в1  Аниме девочка и панда (23х16х9,5-19х12х6,5см)"Собст. раз." ПП-4522</t>
  </si>
  <si>
    <t>ПП-4522</t>
  </si>
  <si>
    <t>4670159045229</t>
  </si>
  <si>
    <t>253963</t>
  </si>
  <si>
    <t>Набор прямоугольных коробок 3в1  Только для мальчиков (23х16х9,5-19х12х6,5см) Соб. раз. КОР-2886</t>
  </si>
  <si>
    <t>КОР-2886</t>
  </si>
  <si>
    <t>4640306928866</t>
  </si>
  <si>
    <t>227954</t>
  </si>
  <si>
    <t>Набор прямоугольных коробок 3в1 "Золотые змейки" 5+0 (23х16х9,5-19х12х6,5)"Собств. разраб." КОР-6884</t>
  </si>
  <si>
    <t>КОР-6884</t>
  </si>
  <si>
    <t>4670159168867</t>
  </si>
  <si>
    <t>253841</t>
  </si>
  <si>
    <t>Набор прямоугольных коробок 3в1 Girl power (23х16х9,5-19х12х6,5см) Собств. разраб. КОР-2875</t>
  </si>
  <si>
    <t>КОР-2875</t>
  </si>
  <si>
    <t>4640306928750</t>
  </si>
  <si>
    <t>253935</t>
  </si>
  <si>
    <t>Набор прямоугольных коробок 3в1 Акварельные пузырьки (23х16х9,5-19х12х6,5см) Соб. раз. КОР-2877</t>
  </si>
  <si>
    <t>КОР-2877</t>
  </si>
  <si>
    <t>4640306928774</t>
  </si>
  <si>
    <t>253948</t>
  </si>
  <si>
    <t>Набор прямоугольных коробок 3в1 Красивые ветки (23х16х9,5-19х12х6,5см) Соб. раз. КОР-2882</t>
  </si>
  <si>
    <t>КОР-2882</t>
  </si>
  <si>
    <t>4640306928828</t>
  </si>
  <si>
    <t>253957</t>
  </si>
  <si>
    <t>Набор прямоугольных коробок 3в1 Лесные зверьки (23х16х9,5-19х12х6,5см) Соб. раз. КОР-2884</t>
  </si>
  <si>
    <t>КОР-2884</t>
  </si>
  <si>
    <t>4640306928842</t>
  </si>
  <si>
    <t>253965</t>
  </si>
  <si>
    <t>Набор прямоугольных коробок 3в1 Милые лисята (23х16х9,5-19х12х6,5см) Соб. раз. КОР-2888</t>
  </si>
  <si>
    <t>КОР-2888</t>
  </si>
  <si>
    <t>4640306928880</t>
  </si>
  <si>
    <t>253845</t>
  </si>
  <si>
    <t>Набор прямоугольных коробок 3в1 Нежность  (23 х16 х9,5 - 19 х12 х6,5 см) Соб. раз. КОР-2885</t>
  </si>
  <si>
    <t>КОР-2885</t>
  </si>
  <si>
    <t>4640306928859</t>
  </si>
  <si>
    <t>253952</t>
  </si>
  <si>
    <t>Набор прямоугольных коробок 3в1 Нежные цветы (23х16х9,5-19х12х6,5см) Соб. раз. КОР-2883</t>
  </si>
  <si>
    <t>КОР-2883</t>
  </si>
  <si>
    <t>4640306928835</t>
  </si>
  <si>
    <t>253947</t>
  </si>
  <si>
    <t>Набор прямоугольных коробок 3в1 Поздравляю. Конфетти (23х16х9,5-19х12х6,5см) Соб. раз. КОР-2881</t>
  </si>
  <si>
    <t>КОР-2881</t>
  </si>
  <si>
    <t>4640306928811</t>
  </si>
  <si>
    <t>253941</t>
  </si>
  <si>
    <t>Набор прямоугольных коробок 3в1 Поздравляю. Тортики (23х16х9,5-19х12х6,5см) Соб. раз. КОР-2879</t>
  </si>
  <si>
    <t>КОР-2879</t>
  </si>
  <si>
    <t>4640306928798</t>
  </si>
  <si>
    <t>253964</t>
  </si>
  <si>
    <t>Набор прямоугольных коробок 3в1 Поздравляю. Шарики (23х16х9,5-19х12х6,5см) Соб. раз. КОР-2887</t>
  </si>
  <si>
    <t>КОР-2887</t>
  </si>
  <si>
    <t>4640306928873</t>
  </si>
  <si>
    <t>253937</t>
  </si>
  <si>
    <t>Набор прямоугольных коробок 3в1 С днем рождения (23х16х9,5-19х12х6,5см) Соб. раз. КОР-2878</t>
  </si>
  <si>
    <t>КОР-2878</t>
  </si>
  <si>
    <t>4640306928781</t>
  </si>
  <si>
    <t>253842</t>
  </si>
  <si>
    <t>Набор прямоугольных коробок 3в1 Торжество  (23 х16 х9,5 - 19 х12 х6,5 см) "Собств. разраб."КОР-2876</t>
  </si>
  <si>
    <t>КОР-2876</t>
  </si>
  <si>
    <t>4640306928767</t>
  </si>
  <si>
    <t>253844</t>
  </si>
  <si>
    <t>Набор прямоугольных коробок 3в1 Школа магии (23 х16 х9,5 - 19 х12 х6,5 см) Соб. раз. КОР-2880</t>
  </si>
  <si>
    <t>КОР-2880</t>
  </si>
  <si>
    <t>4640306928804</t>
  </si>
  <si>
    <t>Одинарные</t>
  </si>
  <si>
    <t>17х11х6 см</t>
  </si>
  <si>
    <t>208287</t>
  </si>
  <si>
    <t>Коробка прямоугольная одинарная Восточный дракон 17х11х6 см ПП-9863</t>
  </si>
  <si>
    <t>ПП-9863</t>
  </si>
  <si>
    <t>4670159046639</t>
  </si>
  <si>
    <t>208288</t>
  </si>
  <si>
    <t>Коробка прямоугольная одинарная Зимние драконы 17х11х6 см ПП-9864</t>
  </si>
  <si>
    <t>ПП-9864</t>
  </si>
  <si>
    <t>4670159046646</t>
  </si>
  <si>
    <t>19х12х7,5 см</t>
  </si>
  <si>
    <t>208324</t>
  </si>
  <si>
    <t>Коробка прямоугольная одинарная Восточный дракон 19х12х6,5 см ПП-9871</t>
  </si>
  <si>
    <t>ПП-9871</t>
  </si>
  <si>
    <t>4670159046714</t>
  </si>
  <si>
    <t>208274</t>
  </si>
  <si>
    <t>Коробка прямоугольная одинарная Восточный дракон 19х12х7,5 см ПП-9861</t>
  </si>
  <si>
    <t>ПП-9861</t>
  </si>
  <si>
    <t>4670159046615</t>
  </si>
  <si>
    <t>208325</t>
  </si>
  <si>
    <t>Коробка прямоугольная одинарная Зимние драконы  19х12х6,5 см ПП-9872</t>
  </si>
  <si>
    <t>ПП-9872</t>
  </si>
  <si>
    <t>4670159046721</t>
  </si>
  <si>
    <t>208276</t>
  </si>
  <si>
    <t>Коробка прямоугольная одинарная Зимние драконы 19х12х7,5 см ПП-9862</t>
  </si>
  <si>
    <t>ПП-9862</t>
  </si>
  <si>
    <t>4670159046622</t>
  </si>
  <si>
    <t>234329</t>
  </si>
  <si>
    <t>Коробка прямоугольная одинарная Золотые змейки 19х12х6,5 КК-8332</t>
  </si>
  <si>
    <t>КК-8332</t>
  </si>
  <si>
    <t>4670159183020</t>
  </si>
  <si>
    <t>19х12х6,5</t>
  </si>
  <si>
    <t>215955</t>
  </si>
  <si>
    <t>Подарочная коробка 17х11х6 Дерзкий мужчина КОР-6917</t>
  </si>
  <si>
    <t>КОР-6917</t>
  </si>
  <si>
    <t>4670159069171</t>
  </si>
  <si>
    <t>17х11х6</t>
  </si>
  <si>
    <t>215964</t>
  </si>
  <si>
    <t>Подарочная коробка 17х11х6 Зайка на воздушн шаре КОР-6950</t>
  </si>
  <si>
    <t>КОР-6950</t>
  </si>
  <si>
    <t>4670159069508</t>
  </si>
  <si>
    <t>21*14</t>
  </si>
  <si>
    <t>208315</t>
  </si>
  <si>
    <t>Коробка прямоугольная одинарная Зимние драконы 21х14х8 см ПП-9870</t>
  </si>
  <si>
    <t>ПП-9870</t>
  </si>
  <si>
    <t>4670159046707</t>
  </si>
  <si>
    <t>234328</t>
  </si>
  <si>
    <t>Коробка прямоугольная одинарная Золотые змейки 21х14х8 КК-8331</t>
  </si>
  <si>
    <t>КК-8331</t>
  </si>
  <si>
    <t>4670159183013</t>
  </si>
  <si>
    <t>21х14х8</t>
  </si>
  <si>
    <t>208314</t>
  </si>
  <si>
    <t>Коробка прямоугольная одинарнаяВосточный дракон 21х14х8 см ПП-9869</t>
  </si>
  <si>
    <t>ПП-9869</t>
  </si>
  <si>
    <t>4670159046691</t>
  </si>
  <si>
    <t>23*16</t>
  </si>
  <si>
    <t>208305</t>
  </si>
  <si>
    <t>Коробка прямоугольная одинарная Восточный дракон 23х16х9,5 см ПП-9867</t>
  </si>
  <si>
    <t>ПП-9867</t>
  </si>
  <si>
    <t>4670159046677</t>
  </si>
  <si>
    <t>208306</t>
  </si>
  <si>
    <t>Коробка прямоугольная одинарная Зимние драконы 23х16х9,5 см ПП-9868</t>
  </si>
  <si>
    <t>ПП-9868</t>
  </si>
  <si>
    <t>4670159046684</t>
  </si>
  <si>
    <t>234327</t>
  </si>
  <si>
    <t>Коробка прямоугольная одинарная Золотые змейки 23х16х9,5 КК-8330</t>
  </si>
  <si>
    <t>КК-8330</t>
  </si>
  <si>
    <t>4670159183006</t>
  </si>
  <si>
    <t>23х16х9,5</t>
  </si>
  <si>
    <t>02 Квадратные</t>
  </si>
  <si>
    <t>Набор коробок 11 в 1</t>
  </si>
  <si>
    <t>233627</t>
  </si>
  <si>
    <t>Набор квадратных коробок 11 в 1 Знаки судьбы (25,5*25,5*13 - 5,5*5,5*2,5см)Собс.разр. КОР-9228</t>
  </si>
  <si>
    <t>КОР-9228</t>
  </si>
  <si>
    <t>4670159192282</t>
  </si>
  <si>
    <t>233624</t>
  </si>
  <si>
    <t>Набор квадратных коробок 11 в 1 Кавайчики (25,5*25,5*13 - 5,5*5,5*2,5см)Собс.разр. КОР-9226</t>
  </si>
  <si>
    <t>КОР-9226</t>
  </si>
  <si>
    <t>4670159192268</t>
  </si>
  <si>
    <t>233635</t>
  </si>
  <si>
    <t>Набор квадратных коробок 11 в 1 Капибара (25,5*25,5*13 - 5,5*5,5*2,5см)Собс.разр. КОР-9232</t>
  </si>
  <si>
    <t>КОР-9232</t>
  </si>
  <si>
    <t>4670159192329</t>
  </si>
  <si>
    <t>233625</t>
  </si>
  <si>
    <t>Набор квадратных коробок 11 в 1 Птички на ветке (25,5*25,5*13 - 5,5*5,5*2,5см)Собс.разр. КОР-9227</t>
  </si>
  <si>
    <t>КОР-9227</t>
  </si>
  <si>
    <t>4670159192275</t>
  </si>
  <si>
    <t>233623</t>
  </si>
  <si>
    <t>Набор квадратных коробок 11 в 1 Тортик (25,5*25,5*13 - 5,5*5,5*2,5см)Собс.разр. КОР-9225</t>
  </si>
  <si>
    <t>КОР-9225</t>
  </si>
  <si>
    <t>4670159192251</t>
  </si>
  <si>
    <t>253980</t>
  </si>
  <si>
    <t>Набор квадратных коробок 11в1  Только для мальчиков (25,5*25,5*13-5,5*5,5*2,5 см) Соб. раз. КОР-2914</t>
  </si>
  <si>
    <t>КОР-2914</t>
  </si>
  <si>
    <t>4640306929146</t>
  </si>
  <si>
    <t>253856</t>
  </si>
  <si>
    <t>Набор квадратных коробок 11в1 Girl power (25,5*25,5*13 - 5,5*5,5*2,5 см) "Собств. разраб."КОР-2903</t>
  </si>
  <si>
    <t>КОР-2903</t>
  </si>
  <si>
    <t>4640306929030</t>
  </si>
  <si>
    <t>233634</t>
  </si>
  <si>
    <t>Набор квадратных коробок 11в1 Абстракт.пузырьки (25,5*25,5*13 - 5,5*5,5*2,5см)Собс.разр. КОР-9231</t>
  </si>
  <si>
    <t>КОР-9231</t>
  </si>
  <si>
    <t>4670159192312</t>
  </si>
  <si>
    <t>253974</t>
  </si>
  <si>
    <t>Набор квадратных коробок 11в1 Акварельные пузырьки  (25,5*25,5*13-5,5*5,5*2,5 см) Соб. раз. КОР-2905</t>
  </si>
  <si>
    <t>КОР-2905</t>
  </si>
  <si>
    <t>4640306929054</t>
  </si>
  <si>
    <t>253978</t>
  </si>
  <si>
    <t>Набор квадратных коробок 11в1 Красивые ветки (25,5*25,5*13-5,5*5,5*2,5 см) Соб. раз. КОР-2910</t>
  </si>
  <si>
    <t>КОР-2910</t>
  </si>
  <si>
    <t>4640306929108</t>
  </si>
  <si>
    <t>253979</t>
  </si>
  <si>
    <t>Набор квадратных коробок 11в1 Лесные зверьки (25,5*25,5*13-5,5*5,5*2,5 см) Соб. раз. КОР-2912</t>
  </si>
  <si>
    <t>КОР-2912</t>
  </si>
  <si>
    <t>4640306929122</t>
  </si>
  <si>
    <t>253869</t>
  </si>
  <si>
    <t>Набор квадратных коробок 11в1 Милые лисята (25,5*25,5*13 - 5,5*5,5*2,5 см) Соб. раз. КОР-2916</t>
  </si>
  <si>
    <t>КОР-2916</t>
  </si>
  <si>
    <t>4640306929160</t>
  </si>
  <si>
    <t>253867</t>
  </si>
  <si>
    <t>Набор квадратных коробок 11в1 Нежность (25,5*25,5*13 - 5,5*5,5*2,5 см) Соб. раз. КОР-2913</t>
  </si>
  <si>
    <t>КОР-2913</t>
  </si>
  <si>
    <t>4640306929139</t>
  </si>
  <si>
    <t>253977</t>
  </si>
  <si>
    <t>Набор квадратных коробок 11в1 Поздравляю. Конфетти  (25,5*25,5*13-5,5*5,5*2,5 см) Соб. раз. КОР-2909</t>
  </si>
  <si>
    <t>КОР-2909</t>
  </si>
  <si>
    <t>4640306929092</t>
  </si>
  <si>
    <t>253976</t>
  </si>
  <si>
    <t>Набор квадратных коробок 11в1 Поздравляю. Тортики  (25,5*25,5*13-5,5*5,5*2,5 см) Соб. раз. КОР-2907</t>
  </si>
  <si>
    <t>КОР-2907</t>
  </si>
  <si>
    <t>4640306929078</t>
  </si>
  <si>
    <t>253981</t>
  </si>
  <si>
    <t>Набор квадратных коробок 11в1 Поздравляю. Шарики   (25,5*25,5*13-5,5*5,5*2,5 см) Соб. раз. КОР-2915</t>
  </si>
  <si>
    <t>КОР-2915</t>
  </si>
  <si>
    <t>4640306929153</t>
  </si>
  <si>
    <t>253975</t>
  </si>
  <si>
    <t>Набор квадратных коробок 11в1 С днем рождения  (25,5*25,5*13-5,5*5,5*2,5 см) Соб. раз. КОР-2906</t>
  </si>
  <si>
    <t>КОР-2906</t>
  </si>
  <si>
    <t>4640306929061</t>
  </si>
  <si>
    <t>253860</t>
  </si>
  <si>
    <t>Набор квадратных коробок 11в1 Торжество  (25,5*25,5*13 - 5,5*5,5*2,5 см) "Собств. разраб."КОР-2904</t>
  </si>
  <si>
    <t>КОР-2904</t>
  </si>
  <si>
    <t>4640306929047</t>
  </si>
  <si>
    <t>253863</t>
  </si>
  <si>
    <t>Набор квадратных коробок 11в1 Школа магии (25,5*25,5*13 - 5,5*5,5*2,5 см) "Собств. разраб."КОР-2908</t>
  </si>
  <si>
    <t>КОР-2908</t>
  </si>
  <si>
    <t>4640306929085</t>
  </si>
  <si>
    <t>19,5 х 19,5 х 11 см - 15,5 х 15,5 х 9 см</t>
  </si>
  <si>
    <t>204509</t>
  </si>
  <si>
    <t>Набор квадратных коробок 3 в 1 Аниме комикс (19,5*19,5*11см-15,5*15,5*9см) "Собств. разраб." ПП-4503</t>
  </si>
  <si>
    <t>ПП-4503</t>
  </si>
  <si>
    <t>4670159045038</t>
  </si>
  <si>
    <t>233550</t>
  </si>
  <si>
    <t>Набор квадратных коробок 3 в 1 Джентельмен (19,5*19,5*11см - 15,5*15,5*9см) Собст.разр. КОР-9190</t>
  </si>
  <si>
    <t>КОР-9190</t>
  </si>
  <si>
    <t>4670159191902</t>
  </si>
  <si>
    <t>233546</t>
  </si>
  <si>
    <t>Набор квадратных коробок 3 в 1 Знаки судьбы (19,5*19,5*11см - 15,5*15,5*9см) Собст.разр. КОР-9188</t>
  </si>
  <si>
    <t>КОР-9188</t>
  </si>
  <si>
    <t>4670159191889</t>
  </si>
  <si>
    <t>227931</t>
  </si>
  <si>
    <t>Набор квадратных коробок 3 в1 "Золотые змейки" (19,5х19,5х11-15,5х15,5х9) "Собств.разраб" КОР-6868</t>
  </si>
  <si>
    <t>КОР-6868</t>
  </si>
  <si>
    <t>4670159168683</t>
  </si>
  <si>
    <t>195x195x110-155x155x90 мм</t>
  </si>
  <si>
    <t>253771</t>
  </si>
  <si>
    <t>Набор квадратных коробок 3в1 Girl power (19,5*19,5*11см - 15,5*15,5*9см) "Собств. разраб."КОР-2847</t>
  </si>
  <si>
    <t>КОР-2847</t>
  </si>
  <si>
    <t>4640306928477</t>
  </si>
  <si>
    <t>233552</t>
  </si>
  <si>
    <t>Набор квадратных коробок 3в1 Абстракт. пузырьки (19,5*19,5*11см - 15,5*15,5*9см) Собс.разр. КОР-9191</t>
  </si>
  <si>
    <t>КОР-9191</t>
  </si>
  <si>
    <t>4670159191919</t>
  </si>
  <si>
    <t>253887</t>
  </si>
  <si>
    <t>Набор квадратных коробок 3в1 Акварельные пузырьки (19,5*19,5*11см-15,5*15,5*9см) Соб. раз. КОР-2849</t>
  </si>
  <si>
    <t>КОР-2849</t>
  </si>
  <si>
    <t>4640306928491</t>
  </si>
  <si>
    <t>204508</t>
  </si>
  <si>
    <t>Набор квадратных коробок 3в1 Аниме девочка и панда(19,5*19,5*11см-15,5*15,5*9см) "Соб.разр."ПП-4502</t>
  </si>
  <si>
    <t>ПП-4502</t>
  </si>
  <si>
    <t>4670159045021</t>
  </si>
  <si>
    <t>253901</t>
  </si>
  <si>
    <t>Набор квадратных коробок 3в1 Красивые ветки (19,5*19,5*11см-15,5*15,5*9см) Соб. раз. КОР-2854</t>
  </si>
  <si>
    <t>КОР-2854</t>
  </si>
  <si>
    <t>4640306928545</t>
  </si>
  <si>
    <t>253903</t>
  </si>
  <si>
    <t>Набор квадратных коробок 3в1 Лесные зверьки (19,5*19,5*11см-15,5*15,5*9см) Соб. раз. КОР-2856</t>
  </si>
  <si>
    <t>КОР-2856</t>
  </si>
  <si>
    <t>4640306928569</t>
  </si>
  <si>
    <t>253823</t>
  </si>
  <si>
    <t>Набор квадратных коробок 3в1 Милые лисята (19,5*19,5*11см-15,5*15,5*9см) Соб. раз. КОР-2860</t>
  </si>
  <si>
    <t>КОР-2860</t>
  </si>
  <si>
    <t>4640306928606</t>
  </si>
  <si>
    <t>253817</t>
  </si>
  <si>
    <t>Набор квадратных коробок 3в1 Нежность (19,5*19,5*11см-15,5*15,5*9см) Соб. раз. КОР-2857</t>
  </si>
  <si>
    <t>КОР-2857</t>
  </si>
  <si>
    <t>4640306928576</t>
  </si>
  <si>
    <t>253814</t>
  </si>
  <si>
    <t>Набор квадратных коробок 3в1 Нежные цветы (19,5*19,5*11см-15,5*15,5*9см) Соб. раз.КОР-2855</t>
  </si>
  <si>
    <t>КОР-2855</t>
  </si>
  <si>
    <t>4640306928552</t>
  </si>
  <si>
    <t>253899</t>
  </si>
  <si>
    <t>Набор квадратных коробок 3в1 Поздравляю. Конфетти (19,5*19,5*11см-15,5*15,5*9см) Соб. раз. КОР-2853</t>
  </si>
  <si>
    <t>КОР-2853</t>
  </si>
  <si>
    <t>4640306928538</t>
  </si>
  <si>
    <t>253894</t>
  </si>
  <si>
    <t>Набор квадратных коробок 3в1 Поздравляю. Тортики  (19,5*19,5*11см-15,5*15,5*9см) Соб. раз. КОР-2851</t>
  </si>
  <si>
    <t>КОР-2851</t>
  </si>
  <si>
    <t>4640306928514</t>
  </si>
  <si>
    <t>253909</t>
  </si>
  <si>
    <t>Набор квадратных коробок 3в1 Поздравляю. Шарики (19,5*19,5*11см-15,5*15,5*9см) Соб. раз. КОР-2859</t>
  </si>
  <si>
    <t>КОР-2859</t>
  </si>
  <si>
    <t>4640306928590</t>
  </si>
  <si>
    <t>253891</t>
  </si>
  <si>
    <t>Набор квадратных коробок 3в1 С днем рождения  (19,5*19,5*11см-15,5*15,5*9см) Соб. раз. КОР-2850</t>
  </si>
  <si>
    <t>КОР-2850</t>
  </si>
  <si>
    <t>4640306928507</t>
  </si>
  <si>
    <t>253905</t>
  </si>
  <si>
    <t>Набор квадратных коробок 3в1 Только для мальчиков (19,5*19,5*11см-15,5*15,5*9см) Соб. раз. КОР-2858</t>
  </si>
  <si>
    <t>КОР-2858</t>
  </si>
  <si>
    <t>4640306928583</t>
  </si>
  <si>
    <t>253774</t>
  </si>
  <si>
    <t>Набор квадратных коробок 3в1 Торжество  (19,5*19,5*11см - 15,5*15,5*9см) "Собств. разраб."КОР-2848</t>
  </si>
  <si>
    <t>КОР-2848</t>
  </si>
  <si>
    <t>4640306928484</t>
  </si>
  <si>
    <t>253811</t>
  </si>
  <si>
    <t>Набор квадратных коробок 3в1 Школа магии (19,5*19,5*11см-15,5*15,5*9см) Соб. раз.КОР-2852</t>
  </si>
  <si>
    <t>КОР-2852</t>
  </si>
  <si>
    <t>4640306928521</t>
  </si>
  <si>
    <t>15,5х15,5х9</t>
  </si>
  <si>
    <t>208263</t>
  </si>
  <si>
    <t>Коробка квадратная одинарная Восточный дракон 15,5х15,5х9 см ПП-9859</t>
  </si>
  <si>
    <t>ПП-9859</t>
  </si>
  <si>
    <t>4670159046592</t>
  </si>
  <si>
    <t>208264</t>
  </si>
  <si>
    <t>Коробка квадратная одинарная Зимние драконы 15,5х15,5х9 см ПП-9860</t>
  </si>
  <si>
    <t>ПП-9860</t>
  </si>
  <si>
    <t>4670159046608</t>
  </si>
  <si>
    <t>17,5х17,5х10 см</t>
  </si>
  <si>
    <t>208254</t>
  </si>
  <si>
    <t>Коробка квадратная одинарная Восточный дракон 17,5х17,5х10 см ПП-9857</t>
  </si>
  <si>
    <t>ПП-9857</t>
  </si>
  <si>
    <t>4670159046578</t>
  </si>
  <si>
    <t>208255</t>
  </si>
  <si>
    <t>Коробка квадратная одинарная Зимние драконы  17,5х17,5х10 см ПП-9858</t>
  </si>
  <si>
    <t>ПП-9858</t>
  </si>
  <si>
    <t>4670159046585</t>
  </si>
  <si>
    <t>234325</t>
  </si>
  <si>
    <t>Коробка квадратная одинарная Золотые змейки 17,5х17,5х10 КК-8298</t>
  </si>
  <si>
    <t>КК-8298</t>
  </si>
  <si>
    <t>4670159182986</t>
  </si>
  <si>
    <t>17,5х17,5х10</t>
  </si>
  <si>
    <t>215970</t>
  </si>
  <si>
    <t>Подарочная коробка 17,5х17,5х10 Акварель листья КОР-6968</t>
  </si>
  <si>
    <t>КОР-6968</t>
  </si>
  <si>
    <t>4670159069683</t>
  </si>
  <si>
    <t>19,5х19,5х11 см</t>
  </si>
  <si>
    <t>208245</t>
  </si>
  <si>
    <t>Коробка квадратная одинарная Восточный дракон 19,5х19,5х11 см  ПП-9855</t>
  </si>
  <si>
    <t>ПП-9855</t>
  </si>
  <si>
    <t>4670159046554</t>
  </si>
  <si>
    <t>208246</t>
  </si>
  <si>
    <t>Коробка квадратная одинарная Зимние драконы  19,5х19,5х11 см ПП-9856</t>
  </si>
  <si>
    <t>ПП-9856</t>
  </si>
  <si>
    <t>4670159046561</t>
  </si>
  <si>
    <t>20 х 20 х 10 см</t>
  </si>
  <si>
    <t>234324</t>
  </si>
  <si>
    <t>Коробка квадратная одинарная Золотые змейки 19,5х19,5х11 КК-8297</t>
  </si>
  <si>
    <t>КК-8297</t>
  </si>
  <si>
    <t>4670159182979</t>
  </si>
  <si>
    <t>19,5х19,5х11</t>
  </si>
  <si>
    <t>Коробка куб</t>
  </si>
  <si>
    <t>238603</t>
  </si>
  <si>
    <t>Коробка-куб  одинарная Абстрактные пузырьки 17х17х17 см КК-1785</t>
  </si>
  <si>
    <t>КК-1785</t>
  </si>
  <si>
    <t>4670159217855</t>
  </si>
  <si>
    <t>17х17х17 см</t>
  </si>
  <si>
    <t>03 Коробки-книги</t>
  </si>
  <si>
    <t>120 х 180 х 50</t>
  </si>
  <si>
    <t>212617</t>
  </si>
  <si>
    <t>Коробка-книга Аниме-девушка (120х180х50 мм) КК-9162</t>
  </si>
  <si>
    <t>КК-9162</t>
  </si>
  <si>
    <t>4670159091622</t>
  </si>
  <si>
    <t>04 Наборы коробок с декором</t>
  </si>
  <si>
    <t>Коробки с лентой</t>
  </si>
  <si>
    <t>259219</t>
  </si>
  <si>
    <t>Набор прямоугольных коробок, с бантом, 3 в 1, красные, (19х19х9,17х17х8,15х15х7см) КОР-7672</t>
  </si>
  <si>
    <t>КОР-7672</t>
  </si>
  <si>
    <t>4630493776722</t>
  </si>
  <si>
    <t>259221</t>
  </si>
  <si>
    <t>Набор прямоугольных коробок, с бантом, 3 в 1, сине-голубые, (19х19х9,17х17х8,15х15х7см) КОР-7673</t>
  </si>
  <si>
    <t>КОР-7673</t>
  </si>
  <si>
    <t>4630493776739</t>
  </si>
  <si>
    <t>259195</t>
  </si>
  <si>
    <t>Набор прямоугольных коробок, с бантом 3 в 1, красно-белые (23х16х9,21х14х8,19х12х7см) КОР-7661</t>
  </si>
  <si>
    <t>КОР-7661</t>
  </si>
  <si>
    <t>4630493776616</t>
  </si>
  <si>
    <t>259212</t>
  </si>
  <si>
    <t>Набор прямоугольных коробок, с бантом, 3 в 1, розовые, (29х21х9,26х19х8,23х17х7см) КОР-7669</t>
  </si>
  <si>
    <t>КОР-7669</t>
  </si>
  <si>
    <t>4630493776692</t>
  </si>
  <si>
    <t>259204</t>
  </si>
  <si>
    <t>Набор прямоугольных коробок, с бантом, 3 в 1, серебристо-чёрные, (23х16х9,21х14х8,19х12х7см)КОР-7666</t>
  </si>
  <si>
    <t>КОР-7666</t>
  </si>
  <si>
    <t>4630493776661</t>
  </si>
  <si>
    <t>259211</t>
  </si>
  <si>
    <t>Набор прямоугольных коробок, с бантом, 3 в 1, серо-черные, (26х19х15,23х17х13,20х15х11 см) КОР-7668</t>
  </si>
  <si>
    <t>КОР-7668</t>
  </si>
  <si>
    <t>4630493776685</t>
  </si>
  <si>
    <t>259199</t>
  </si>
  <si>
    <t>Набор прямоугольных коробок, с бантом, 3 в 1, серые, (23х16х9,21х14х8,19х12х7см) КОР-7663</t>
  </si>
  <si>
    <t>КОР-7663</t>
  </si>
  <si>
    <t>4630493776630</t>
  </si>
  <si>
    <t>259201</t>
  </si>
  <si>
    <t>Набор прямоугольных коробок, с бантом, 3 в 1, сине-белые, (23х16х9,21х14х8,19х12х7см) КОР-7665</t>
  </si>
  <si>
    <t>КОР-7665</t>
  </si>
  <si>
    <t>4630493776654</t>
  </si>
  <si>
    <t>259207</t>
  </si>
  <si>
    <t>Набор прямоугольных коробок, с бантом, 3 в 1, сине-белые, (23х16х9,21х14х8,19х12х7см) КОР-7667</t>
  </si>
  <si>
    <t>КОР-7667</t>
  </si>
  <si>
    <t>4630493776678</t>
  </si>
  <si>
    <t>Круглые</t>
  </si>
  <si>
    <t>275332</t>
  </si>
  <si>
    <t>Набор подарочных  круглых  коробок 3 в 1 "Розовая нежность", 16.5х16.5х7  - 20.5х20.5х9 см КОР-3497</t>
  </si>
  <si>
    <t>КОР-3497</t>
  </si>
  <si>
    <t>4680942634974</t>
  </si>
  <si>
    <t>275328</t>
  </si>
  <si>
    <t>Набор подарочных  круглых коробок 3в1 с тиснением "Нежный цветок" 16.5х16.5х7-20.5х20.5х9см КОР-3494</t>
  </si>
  <si>
    <t>КОР-3494</t>
  </si>
  <si>
    <t>4680942634943</t>
  </si>
  <si>
    <t>275329</t>
  </si>
  <si>
    <t>Набор подарочных круглых коробок 3в1с тиснением"Золотистые бабочки"16.5х16.5х7-20.5х20.5х9смКОР-3495</t>
  </si>
  <si>
    <t>КОР-3495</t>
  </si>
  <si>
    <t>4680942634950</t>
  </si>
  <si>
    <t>Сердце</t>
  </si>
  <si>
    <t>234099</t>
  </si>
  <si>
    <t>Набор коробок в форме сердца  3 в 1 "Вечная любовь",  22*20*9, 19*17*7, 16*14*6см КОР-9425</t>
  </si>
  <si>
    <t>КОР-9425</t>
  </si>
  <si>
    <t>4670159194255</t>
  </si>
  <si>
    <t>22*20*9-19*17*7-16*14*6 см</t>
  </si>
  <si>
    <t>210832</t>
  </si>
  <si>
    <t>Набор коробок в форме сердца 3 в 1 "Алое сердце",16х14х6-22х20х9см КОР-7819</t>
  </si>
  <si>
    <t>КОР-7819</t>
  </si>
  <si>
    <t>4670159078197</t>
  </si>
  <si>
    <t>266830</t>
  </si>
  <si>
    <t>Набор коробок в форме сердца 3 в 1 "Воздушные сердца", 16х18,3х7-20х22,3х9 см КОР-7511</t>
  </si>
  <si>
    <t>КОР-7511</t>
  </si>
  <si>
    <t>4640520775116</t>
  </si>
  <si>
    <t>210836</t>
  </si>
  <si>
    <t>Набор коробок в форме сердца 3 в 1 "Любовные сердца", 16*14*6-22*20*9 см КОР-7821</t>
  </si>
  <si>
    <t>КОР-7821</t>
  </si>
  <si>
    <t>4670159078210</t>
  </si>
  <si>
    <t>266828</t>
  </si>
  <si>
    <t>Набор коробок в форме сердца 3 в 1 "Милые бантики", 16х18,3х7-20х22,3х9 см КОР-7510</t>
  </si>
  <si>
    <t>КОР-7510</t>
  </si>
  <si>
    <t>4640520775109</t>
  </si>
  <si>
    <t>266832</t>
  </si>
  <si>
    <t>Набор коробок в форме сердца 3 в 1 "Мишка с букетом", 16х18,3х7-20х22,3х9 см КОР-7512</t>
  </si>
  <si>
    <t>КОР-7512</t>
  </si>
  <si>
    <t>4640520775123</t>
  </si>
  <si>
    <t>266833</t>
  </si>
  <si>
    <t>Набор коробок в форме сердца 3 в 1 "Прелестные бабочки", 16х18,3х7-20х22,3х9 см КОР-7513</t>
  </si>
  <si>
    <t>КОР-7513</t>
  </si>
  <si>
    <t>4640520775130</t>
  </si>
  <si>
    <t>266824</t>
  </si>
  <si>
    <t>Набор коробок в форме сердца 3 в 1 "Розы", 16х18,3х7-20х22,3х9 см КОР-7509</t>
  </si>
  <si>
    <t>КОР-7509</t>
  </si>
  <si>
    <t>4640520775093</t>
  </si>
  <si>
    <t>234097</t>
  </si>
  <si>
    <t>Набор подарочных коробок 3 в 1 "Все для тебя",  22*20*9, 19*17*7, 16*14*6см КОР-9423</t>
  </si>
  <si>
    <t>КОР-9423</t>
  </si>
  <si>
    <t>4670159194231</t>
  </si>
  <si>
    <t>275327</t>
  </si>
  <si>
    <t>Набор подарочных коробок 3 в 1 с тиснением "Любовь", 16х18.3х7 - 20х22.3х9  см КОР-3493</t>
  </si>
  <si>
    <t>КОР-3493</t>
  </si>
  <si>
    <t>4680942634936</t>
  </si>
  <si>
    <t>275326</t>
  </si>
  <si>
    <t>Набор подарочных коробок 3 в 1 с тиснением "Нежность", 16х18.3х7 - 20х22.3х9  см КОР-3492</t>
  </si>
  <si>
    <t>КОР-3492</t>
  </si>
  <si>
    <t>4680942634929</t>
  </si>
  <si>
    <t>Фигурные</t>
  </si>
  <si>
    <t>266835</t>
  </si>
  <si>
    <t>Набор подарочных коробок 3 в 1 "Нежные цветы", 13,7х15,7х7-17,5х20х9 см КОР-7514</t>
  </si>
  <si>
    <t>КОР-7514</t>
  </si>
  <si>
    <t>4640520775147</t>
  </si>
  <si>
    <t>266836</t>
  </si>
  <si>
    <t>Набор подарочных коробок 3 в 1 "Розовые бантики", 13,7х15,7х7-17,5х20х9 см КОР-7515</t>
  </si>
  <si>
    <t>КОР-7515</t>
  </si>
  <si>
    <t>4640520775154</t>
  </si>
  <si>
    <t>05 Аксессуары для упаковки</t>
  </si>
  <si>
    <t>Банты</t>
  </si>
  <si>
    <t>096690</t>
  </si>
  <si>
    <t>Бант-бабочка Классика (3 см.) синий  БЛ-8087</t>
  </si>
  <si>
    <t>БЛ-8087</t>
  </si>
  <si>
    <t>4680942643983</t>
  </si>
  <si>
    <t>094946</t>
  </si>
  <si>
    <t>Бант-шар Голография (2,3 см.) золотой БЛ-8009</t>
  </si>
  <si>
    <t>БЛ-8009</t>
  </si>
  <si>
    <t>4665306680095</t>
  </si>
  <si>
    <t>094957</t>
  </si>
  <si>
    <t>Бант-шар Голография (2,3 см.) серебряный БЛ-8012</t>
  </si>
  <si>
    <t>БЛ-8012</t>
  </si>
  <si>
    <t>4665306680125</t>
  </si>
  <si>
    <t>096684</t>
  </si>
  <si>
    <t>Бант-шар Голография, 3 см, красный БЛ-8081</t>
  </si>
  <si>
    <t>БЛ-8081</t>
  </si>
  <si>
    <t>4665306680811</t>
  </si>
  <si>
    <t>094964</t>
  </si>
  <si>
    <t>Бант-шар Голография, 3 см, серебряный БЛ-8014</t>
  </si>
  <si>
    <t>БЛ-8014</t>
  </si>
  <si>
    <t>4665306680149</t>
  </si>
  <si>
    <t>122761</t>
  </si>
  <si>
    <t>Бант-шар Золотое сечение, 3 см, белый БЛ-6483</t>
  </si>
  <si>
    <t>БЛ-6483</t>
  </si>
  <si>
    <t>4665307364833</t>
  </si>
  <si>
    <t>3cm * 96cm</t>
  </si>
  <si>
    <t>122770</t>
  </si>
  <si>
    <t>Бант-шар Золотое сечение, 3 см, голубой БЛ-6486</t>
  </si>
  <si>
    <t>БЛ-6486</t>
  </si>
  <si>
    <t>4665307364864</t>
  </si>
  <si>
    <t>122767</t>
  </si>
  <si>
    <t>Бант-шар Золотое сечение, 3 см, красный БЛ-6484</t>
  </si>
  <si>
    <t>БЛ-6484</t>
  </si>
  <si>
    <t>4665307364840</t>
  </si>
  <si>
    <t>122771</t>
  </si>
  <si>
    <t>Бант-шар Золотое сечение, 3 см, розовый БЛ-6487</t>
  </si>
  <si>
    <t>БЛ-6487</t>
  </si>
  <si>
    <t>4665307364871</t>
  </si>
  <si>
    <t>122777</t>
  </si>
  <si>
    <t>Бант-шар Золотое сечение, 5 см, голубой БЛ-6492</t>
  </si>
  <si>
    <t>БЛ-6492</t>
  </si>
  <si>
    <t>4665307364925</t>
  </si>
  <si>
    <t>5cм*144cм</t>
  </si>
  <si>
    <t>122775</t>
  </si>
  <si>
    <t>Бант-шар Золотое сечение, 5 см, розовый БЛ-6491</t>
  </si>
  <si>
    <t>БЛ-6491</t>
  </si>
  <si>
    <t>4665307364918</t>
  </si>
  <si>
    <t>094967</t>
  </si>
  <si>
    <t>Бант-шар Классика  (3 см.) молочный БЛ-8015</t>
  </si>
  <si>
    <t>БЛ-8015</t>
  </si>
  <si>
    <t>4665306680156</t>
  </si>
  <si>
    <t>094968</t>
  </si>
  <si>
    <t>Бант-шар Классика (3 см.) красный БЛ-8016</t>
  </si>
  <si>
    <t>БЛ-8016</t>
  </si>
  <si>
    <t>4665306680163</t>
  </si>
  <si>
    <t>094977</t>
  </si>
  <si>
    <t>Бант-шар Классика (5 см.) красный БЛ-8019</t>
  </si>
  <si>
    <t>БЛ-8019</t>
  </si>
  <si>
    <t>4665306680194</t>
  </si>
  <si>
    <t>094990</t>
  </si>
  <si>
    <t>Бант-шар Классика (5 см.) молочный БЛ-8023</t>
  </si>
  <si>
    <t>БЛ-8023</t>
  </si>
  <si>
    <t>4665306680231</t>
  </si>
  <si>
    <t>094985</t>
  </si>
  <si>
    <t>Бант-шар Классика (5 см.) розовый БЛ-8022</t>
  </si>
  <si>
    <t>БЛ-8022</t>
  </si>
  <si>
    <t>4665306680224</t>
  </si>
  <si>
    <t>094983</t>
  </si>
  <si>
    <t>Бант-шар Классика (5 см.) синий БЛ-8021</t>
  </si>
  <si>
    <t>БЛ-8021</t>
  </si>
  <si>
    <t>4665306680217</t>
  </si>
  <si>
    <t>Ленты</t>
  </si>
  <si>
    <t>Атласные</t>
  </si>
  <si>
    <t>122506</t>
  </si>
  <si>
    <t>Лента упаковочная атласная Классика, 12 мм х 22 м,белый БЛ-5607</t>
  </si>
  <si>
    <t>БЛ-5607</t>
  </si>
  <si>
    <t>4665308727446</t>
  </si>
  <si>
    <t>5806329000</t>
  </si>
  <si>
    <t>12 мм х 22 м</t>
  </si>
  <si>
    <t>122510</t>
  </si>
  <si>
    <t>Лента упаковочная атласная Классика, 12 мм х 22 м,желтый БЛ-5611</t>
  </si>
  <si>
    <t>БЛ-5611</t>
  </si>
  <si>
    <t>4665308727453</t>
  </si>
  <si>
    <t>122503</t>
  </si>
  <si>
    <t>Лента упаковочная атласная Классика, 12 мм х 22 м,красный БЛ-5604</t>
  </si>
  <si>
    <t>БЛ-5604</t>
  </si>
  <si>
    <t>4665307356043</t>
  </si>
  <si>
    <t>122512</t>
  </si>
  <si>
    <t>Лента упаковочная атласная Классика, 12 мм х 22 м,малиновый БЛ-5613</t>
  </si>
  <si>
    <t>БЛ-5613</t>
  </si>
  <si>
    <t>4665308727460</t>
  </si>
  <si>
    <t>122504</t>
  </si>
  <si>
    <t>Лента упаковочная атласная Классика, 12 мм х 22 м,синий БЛ-5605</t>
  </si>
  <si>
    <t>БЛ-5605</t>
  </si>
  <si>
    <t>4665308727538</t>
  </si>
  <si>
    <t>122509</t>
  </si>
  <si>
    <t>Лента упаковочная атласная Классика, 12 мм х 22 м,фиолетовый БЛ-5610</t>
  </si>
  <si>
    <t>БЛ-5610</t>
  </si>
  <si>
    <t>4665308727545</t>
  </si>
  <si>
    <t>222848</t>
  </si>
  <si>
    <t>Лента упаковочная атласная Классика, 25 мм х 22 м, розовый БЛ-4043</t>
  </si>
  <si>
    <t>БЛ-4043</t>
  </si>
  <si>
    <t>4670159140436</t>
  </si>
  <si>
    <t>25 мм х 22 м</t>
  </si>
  <si>
    <t>122518</t>
  </si>
  <si>
    <t>Лента упаковочная атласная Классика,25 мм х 22 м,зеленый БЛ-5619</t>
  </si>
  <si>
    <t>БЛ-5619</t>
  </si>
  <si>
    <t>4665308727477</t>
  </si>
  <si>
    <t>122519</t>
  </si>
  <si>
    <t>Лента упаковочная атласная Классика,25 мм х 22 м,фиолетовый БЛ-5620</t>
  </si>
  <si>
    <t>БЛ-5620</t>
  </si>
  <si>
    <t>4665308727514</t>
  </si>
  <si>
    <t>Полипропиленовые</t>
  </si>
  <si>
    <t>108833</t>
  </si>
  <si>
    <t>Лента декоративная  серебро 5мм*500м ЛД-1972</t>
  </si>
  <si>
    <t>ЛД-1972</t>
  </si>
  <si>
    <t>4665306719726</t>
  </si>
  <si>
    <t>108822</t>
  </si>
  <si>
    <t>Лента декоративная белая 5мм*500м ЛД-1961</t>
  </si>
  <si>
    <t>ЛД-1961</t>
  </si>
  <si>
    <t>4665306719610</t>
  </si>
  <si>
    <t>108834</t>
  </si>
  <si>
    <t>Лента декоративная желтая  5мм*500м ЛД-1973</t>
  </si>
  <si>
    <t>ЛД-1973</t>
  </si>
  <si>
    <t>4665306719733</t>
  </si>
  <si>
    <t>108826</t>
  </si>
  <si>
    <t>Лента декоративная зеленая  5мм*500м  ЛД-1965</t>
  </si>
  <si>
    <t>ЛД-1965</t>
  </si>
  <si>
    <t>4665306719658</t>
  </si>
  <si>
    <t>108832</t>
  </si>
  <si>
    <t>Лента декоративная золотая 5мм*500м ЛД-1971</t>
  </si>
  <si>
    <t>ЛД-1971</t>
  </si>
  <si>
    <t>4665306719719</t>
  </si>
  <si>
    <t>108827</t>
  </si>
  <si>
    <t>Лента декоративная красная 5мм*500м ЛД-1966</t>
  </si>
  <si>
    <t>ЛД-1966</t>
  </si>
  <si>
    <t>4665306719665</t>
  </si>
  <si>
    <t>108828</t>
  </si>
  <si>
    <t>Лента декоративная оранжевая 5мм*500м ЛД-1967</t>
  </si>
  <si>
    <t>ЛД-1967</t>
  </si>
  <si>
    <t>4665306719672</t>
  </si>
  <si>
    <t>108823</t>
  </si>
  <si>
    <t>Лента декоративная розовая  5мм*500м ЛД-1962</t>
  </si>
  <si>
    <t>ЛД-1962</t>
  </si>
  <si>
    <t>4665306719627</t>
  </si>
  <si>
    <t>108831</t>
  </si>
  <si>
    <t>Лента декоративная фиолетовая  5мм*500м  ЛД-1970</t>
  </si>
  <si>
    <t>ЛД-1970</t>
  </si>
  <si>
    <t>4665306719702</t>
  </si>
  <si>
    <t>222708</t>
  </si>
  <si>
    <t>Лента декоративная, золотистая, 5мм*250м БЛ-3957</t>
  </si>
  <si>
    <t>БЛ-3957</t>
  </si>
  <si>
    <t>4670159139577</t>
  </si>
  <si>
    <t>3920208000</t>
  </si>
  <si>
    <t>5 мм*250 м</t>
  </si>
  <si>
    <t>222710</t>
  </si>
  <si>
    <t>Лента декоративная, радужная, 5мм*250м БЛ-3959</t>
  </si>
  <si>
    <t>БЛ-3959</t>
  </si>
  <si>
    <t>4670159139591</t>
  </si>
  <si>
    <t>222709</t>
  </si>
  <si>
    <t>Лента декоративная, серебристая, 5мм*250м БЛ-3958</t>
  </si>
  <si>
    <t>БЛ-3958</t>
  </si>
  <si>
    <t>4670159139584</t>
  </si>
  <si>
    <t>095009</t>
  </si>
  <si>
    <t>Лента упаковочная, Классика  (2 см.*91 м.) красный БЛ-8028</t>
  </si>
  <si>
    <t>БЛ-8028</t>
  </si>
  <si>
    <t>4665306680286</t>
  </si>
  <si>
    <t>095006</t>
  </si>
  <si>
    <t>Лента упаковочная, Классика  (2 см.*91 м.) розовый БЛ-8027</t>
  </si>
  <si>
    <t>БЛ-8027</t>
  </si>
  <si>
    <t>4665306680279</t>
  </si>
  <si>
    <t>095011</t>
  </si>
  <si>
    <t>Лента упаковочная, Классика (2 см.*91 м.) белый БЛ-8030</t>
  </si>
  <si>
    <t>БЛ-8030</t>
  </si>
  <si>
    <t>4665306680309</t>
  </si>
  <si>
    <t>Репсовые</t>
  </si>
  <si>
    <t>122526</t>
  </si>
  <si>
    <t>Лента упаковочная репсовая Классика, 12 мм х 22 м,белый БЛ-5627</t>
  </si>
  <si>
    <t>БЛ-5627</t>
  </si>
  <si>
    <t>4665307356272</t>
  </si>
  <si>
    <t>122528</t>
  </si>
  <si>
    <t>Лента упаковочная репсовая Классика, 12 мм х 22 м,зеленый БЛ-5629</t>
  </si>
  <si>
    <t>БЛ-5629</t>
  </si>
  <si>
    <t>4665308727583</t>
  </si>
  <si>
    <t>122523</t>
  </si>
  <si>
    <t>Лента упаковочная репсовая Классика, 12 мм х 22 м,красный БЛ-5624</t>
  </si>
  <si>
    <t>БЛ-5624</t>
  </si>
  <si>
    <t>4665307356241</t>
  </si>
  <si>
    <t>122527</t>
  </si>
  <si>
    <t>Лента упаковочная репсовая Классика, 12 мм х 22 м,розовый БЛ-5628</t>
  </si>
  <si>
    <t>БЛ-5628</t>
  </si>
  <si>
    <t>4665308727590</t>
  </si>
  <si>
    <t>Набор для оформления подарков</t>
  </si>
  <si>
    <t>163647</t>
  </si>
  <si>
    <t>Набор декоративных лент для оформления подарков Бело-красный набор, 1х13х9,5 БЛ-0393</t>
  </si>
  <si>
    <t>БЛ-0393</t>
  </si>
  <si>
    <t>4610144803939</t>
  </si>
  <si>
    <t>163654</t>
  </si>
  <si>
    <t>Набор декоративных лент для оформления подарков В голубых оттенках, 1х13х9,5 БЛ-0396</t>
  </si>
  <si>
    <t>БЛ-0396</t>
  </si>
  <si>
    <t>4610144803960</t>
  </si>
  <si>
    <t>163651</t>
  </si>
  <si>
    <t>Набор декоративных лент для оформления подарков В розовых оттенках, 1х13х9,5 БЛ-0394</t>
  </si>
  <si>
    <t>БЛ-0394</t>
  </si>
  <si>
    <t>4610144803946</t>
  </si>
  <si>
    <t>163652</t>
  </si>
  <si>
    <t>Набор декоративных лент для оформления подарков В фиолетовых оттенках, 1х13х9,5 БЛ-0395</t>
  </si>
  <si>
    <t>БЛ-0395</t>
  </si>
  <si>
    <t>4610144803953</t>
  </si>
  <si>
    <t>163674</t>
  </si>
  <si>
    <t>Набор декоративных лент для оформления подарков Красивые цвета, 1х13х9,5 БЛ-0404</t>
  </si>
  <si>
    <t>БЛ-0404</t>
  </si>
  <si>
    <t>4610144804042</t>
  </si>
  <si>
    <t>163665</t>
  </si>
  <si>
    <t>Набор декоративных лент для оформления подарков Модные цвета, 1х13х9,5 БЛ-0401</t>
  </si>
  <si>
    <t>БЛ-0401</t>
  </si>
  <si>
    <t>4610144804011</t>
  </si>
  <si>
    <t>163595</t>
  </si>
  <si>
    <t>Набор для оформления подарков Золото и серебро матовый, 6 бантов + 2 ленты 5мм*10м БЛ-0385</t>
  </si>
  <si>
    <t>БЛ-0385</t>
  </si>
  <si>
    <t>4610144803854</t>
  </si>
  <si>
    <t>5мм*10м</t>
  </si>
  <si>
    <t>163588</t>
  </si>
  <si>
    <t>Набор для оформления подарков Нежный голубой, 3 банта+3 ленты 15мм*1,5м БЛ-0381</t>
  </si>
  <si>
    <t>БЛ-0381</t>
  </si>
  <si>
    <t>4610144803816</t>
  </si>
  <si>
    <t>15мм*1,5м</t>
  </si>
  <si>
    <t>163580</t>
  </si>
  <si>
    <t>Набор для оформления подарков Оттенки фиолетового,  2 банта+3 ленты 15мм*1,5м БЛ-0379</t>
  </si>
  <si>
    <t>БЛ-0379</t>
  </si>
  <si>
    <t>4610144803793</t>
  </si>
  <si>
    <t>163573</t>
  </si>
  <si>
    <t>Набор для оформления подарков Серебряный,  2 банта+3 ленты 15мм*1,5м БЛ-0377</t>
  </si>
  <si>
    <t>БЛ-0377</t>
  </si>
  <si>
    <t>4610144803779</t>
  </si>
  <si>
    <t>163563</t>
  </si>
  <si>
    <t>Набор для оформления подарков Синий, 2 банта+лента 5 мм*10м БЛ-0374</t>
  </si>
  <si>
    <t>БЛ-0374</t>
  </si>
  <si>
    <t>4610144803748</t>
  </si>
  <si>
    <t>5 мм*10м</t>
  </si>
  <si>
    <t>163589</t>
  </si>
  <si>
    <t>Набор для оформления подарков Яркое настроение, 3 банта+3 ленты 15мм*1,5м БЛ-0382</t>
  </si>
  <si>
    <t>БЛ-0382</t>
  </si>
  <si>
    <t>4610144803823</t>
  </si>
  <si>
    <t>Наполнитель для подарочных коробок</t>
  </si>
  <si>
    <t>100 г</t>
  </si>
  <si>
    <t>111331</t>
  </si>
  <si>
    <t>Бумажный наполнитель белый, 100г, ширина 2 мм НБ-2119</t>
  </si>
  <si>
    <t>НБ-2119</t>
  </si>
  <si>
    <t>4665306721194</t>
  </si>
  <si>
    <t>17.29.19.190</t>
  </si>
  <si>
    <t>4823908597</t>
  </si>
  <si>
    <t>плотность 80 гр/м2</t>
  </si>
  <si>
    <t>111325</t>
  </si>
  <si>
    <t>Бумажный наполнитель Интенсив желтый, 100г, ширина 2 мм НБ-2113</t>
  </si>
  <si>
    <t>НБ-2113</t>
  </si>
  <si>
    <t>4665306721132</t>
  </si>
  <si>
    <t>111319</t>
  </si>
  <si>
    <t>Бумажный наполнитель Интенсив зеленый, 100г, ширина 2 мм НБ-2109</t>
  </si>
  <si>
    <t>НБ-2109</t>
  </si>
  <si>
    <t>4665306721095</t>
  </si>
  <si>
    <t>111321</t>
  </si>
  <si>
    <t>Бумажный наполнитель Интенсив красный, 100г, ширина 2 мм НБ-2110</t>
  </si>
  <si>
    <t>НБ-2110</t>
  </si>
  <si>
    <t>4665306721101</t>
  </si>
  <si>
    <t>111324</t>
  </si>
  <si>
    <t>Бумажный наполнитель Интенсив оранжевый, 100г, ширина 2 мм НБ-2112</t>
  </si>
  <si>
    <t>НБ-2112</t>
  </si>
  <si>
    <t>4665306721125</t>
  </si>
  <si>
    <t>111323</t>
  </si>
  <si>
    <t>Бумажный наполнитель Интенсив синий, 100г, ширина 2 мм НБ-2111</t>
  </si>
  <si>
    <t>НБ-2111</t>
  </si>
  <si>
    <t>4665306721118</t>
  </si>
  <si>
    <t>111326</t>
  </si>
  <si>
    <t>Бумажный наполнитель Интенсив фиолетовый, 100г, ширина 2 мм НБ-2114</t>
  </si>
  <si>
    <t>НБ-2114</t>
  </si>
  <si>
    <t>4665306721149</t>
  </si>
  <si>
    <t>111334</t>
  </si>
  <si>
    <t>Бумажный наполнитель Микс Интенсив (желтый, голубой), 100г, ширина 2 мм НБ-2122</t>
  </si>
  <si>
    <t>НБ-2122</t>
  </si>
  <si>
    <t>4665306721224</t>
  </si>
  <si>
    <t>111333</t>
  </si>
  <si>
    <t>Бумажный наполнитель Микс Пастель (желтый, голубой), 100г, ширина 2 мм НБ-2121</t>
  </si>
  <si>
    <t>НБ-2121</t>
  </si>
  <si>
    <t>4665306721217</t>
  </si>
  <si>
    <t>111312</t>
  </si>
  <si>
    <t>Бумажный наполнитель Пастель голубой, 100г, ширина 2 мм НБ-2106</t>
  </si>
  <si>
    <t>НБ-2106</t>
  </si>
  <si>
    <t>4665306721064</t>
  </si>
  <si>
    <t>111317</t>
  </si>
  <si>
    <t>Бумажный наполнитель Пастель желтый, 100г, ширина 2 мм НБ-2108</t>
  </si>
  <si>
    <t>НБ-2108</t>
  </si>
  <si>
    <t>4665306721088</t>
  </si>
  <si>
    <t>111305</t>
  </si>
  <si>
    <t>Бумажный наполнитель Пастель зеленый, 100г, ширина 2 мм НБ-2104</t>
  </si>
  <si>
    <t>НБ-2104</t>
  </si>
  <si>
    <t>4665306721040</t>
  </si>
  <si>
    <t>111314</t>
  </si>
  <si>
    <t>Бумажный наполнитель Пастель персиковый, 100г, ширина 2 мм НБ-2107</t>
  </si>
  <si>
    <t>НБ-2107</t>
  </si>
  <si>
    <t>4665306721071</t>
  </si>
  <si>
    <t>111311</t>
  </si>
  <si>
    <t>Бумажный наполнитель Пастель розовый, 100г, ширина 2 мм НБ-2105</t>
  </si>
  <si>
    <t>НБ-2105</t>
  </si>
  <si>
    <t>4665306721057</t>
  </si>
  <si>
    <t>152765</t>
  </si>
  <si>
    <t>Бумажный наполнитель пергамент, 100г, ширина 2 мм НБ-6508</t>
  </si>
  <si>
    <t>НБ-6508</t>
  </si>
  <si>
    <t>4680088465081</t>
  </si>
  <si>
    <t>плотность 100 гр/м2</t>
  </si>
  <si>
    <t>113417</t>
  </si>
  <si>
    <t>Наполнитель бумажный крафт, 100 гр. НБ-2261</t>
  </si>
  <si>
    <t>НБ-2261</t>
  </si>
  <si>
    <t>4665306722610</t>
  </si>
  <si>
    <t>500 г</t>
  </si>
  <si>
    <t>259154</t>
  </si>
  <si>
    <t>Бумажный наполнитель , Белый, 500гр, ширина 2 мм НБ-7652</t>
  </si>
  <si>
    <t>НБ-7652</t>
  </si>
  <si>
    <t>4630493776524</t>
  </si>
  <si>
    <t>259153</t>
  </si>
  <si>
    <t>Бумажный наполнитель , Пергамент, 500гр, ширина 2 мм НБ-7651</t>
  </si>
  <si>
    <t>НБ-7651</t>
  </si>
  <si>
    <t>4630493776517</t>
  </si>
  <si>
    <t>259155</t>
  </si>
  <si>
    <t>Бумажный наполнитель ,Крафт, 500гр, ширина 2 мм НБ-7653</t>
  </si>
  <si>
    <t>НБ-7653</t>
  </si>
  <si>
    <t>4630493776531</t>
  </si>
  <si>
    <t>06 Плёнка прозрачная</t>
  </si>
  <si>
    <t>249561</t>
  </si>
  <si>
    <t>Пленка прозрачная "Горох", белый 0,7*7,5м 40 мкм 0,200кг  853937</t>
  </si>
  <si>
    <t>853937</t>
  </si>
  <si>
    <t>2000999853937</t>
  </si>
  <si>
    <t>22.21.30.129</t>
  </si>
  <si>
    <t>3920102300</t>
  </si>
  <si>
    <t>249566</t>
  </si>
  <si>
    <t>Пленка прозрачная "Конфетти", белый 0,7*7,5м 40 мкм 0,200кг 998997</t>
  </si>
  <si>
    <t>998997</t>
  </si>
  <si>
    <t>2000999998997</t>
  </si>
  <si>
    <t>249564</t>
  </si>
  <si>
    <t>Пленка прозрачная "Крафтовый горох", белый 0,7*7,5м 40 мкм 0,200кг 633201</t>
  </si>
  <si>
    <t>633201</t>
  </si>
  <si>
    <t>2000999633201</t>
  </si>
  <si>
    <t>249555</t>
  </si>
  <si>
    <t>Пленка прозрачная "Мишки", фиолетовые 0,7*7,5м 40 мкм 0,200кг 813153</t>
  </si>
  <si>
    <t>813153</t>
  </si>
  <si>
    <t>2000999813153</t>
  </si>
  <si>
    <t>249556</t>
  </si>
  <si>
    <t>Пленка прозрачная "Мошка" розовая 0,7*7,5м 40 мкм 0,200кг 453366</t>
  </si>
  <si>
    <t>453366</t>
  </si>
  <si>
    <t>2000999453366</t>
  </si>
  <si>
    <t>249557</t>
  </si>
  <si>
    <t>Пленка прозрачная "Мрамор", фуксия 0,7*7,5м 40 мкм 0,200кг 860294</t>
  </si>
  <si>
    <t>860294</t>
  </si>
  <si>
    <t>2000999860294</t>
  </si>
  <si>
    <t>249558</t>
  </si>
  <si>
    <t>Пленка прозрачная "Сердечки контурные", красные 0,7*7,5м 40 мкм 0,200кг 991356</t>
  </si>
  <si>
    <t>991356</t>
  </si>
  <si>
    <t>2000999991356</t>
  </si>
  <si>
    <t>249559</t>
  </si>
  <si>
    <t>Пленка прозрачная "Сердечки контурные", розовые 0,7*7,5м 40 мкм 0,200кг 991219</t>
  </si>
  <si>
    <t>991219</t>
  </si>
  <si>
    <t>2000999991219</t>
  </si>
  <si>
    <t>249563</t>
  </si>
  <si>
    <t>Пленка прозрачная Полоски белые 0,7*7,5м 40 мкм 0,200кг 655975</t>
  </si>
  <si>
    <t>655975</t>
  </si>
  <si>
    <t>2000999655975</t>
  </si>
  <si>
    <t>05 ДОН КАРНАВАЛ</t>
  </si>
  <si>
    <t>01 Праздничная посуда</t>
  </si>
  <si>
    <t xml:space="preserve">    Тарелки</t>
  </si>
  <si>
    <t>Тарелки (17-18 см., 6 шт.)</t>
  </si>
  <si>
    <t>Флоупак</t>
  </si>
  <si>
    <t>245649</t>
  </si>
  <si>
    <t>Бумажные тарелки Динозавры (18 см,6 шт),флоупак ТМ-2120</t>
  </si>
  <si>
    <t>ТМ-2120</t>
  </si>
  <si>
    <t>4640306921201</t>
  </si>
  <si>
    <t>17.22.13.130</t>
  </si>
  <si>
    <t>4823691000</t>
  </si>
  <si>
    <t>245654</t>
  </si>
  <si>
    <t>Бумажные тарелки Мишки в полете (18 см,6 шт),флоупак ТМ-2125</t>
  </si>
  <si>
    <t>ТМ-2125</t>
  </si>
  <si>
    <t>4640306921256</t>
  </si>
  <si>
    <t>245656</t>
  </si>
  <si>
    <t>Бумажные тарелки Торжество (18 см,6 шт),флоупак ТМ-2127</t>
  </si>
  <si>
    <t>ТМ-2127</t>
  </si>
  <si>
    <t>4640306921270</t>
  </si>
  <si>
    <t>Тарелки (18 см, 50 шт)</t>
  </si>
  <si>
    <t>256099</t>
  </si>
  <si>
    <t>Бумажные тарелки, Голубой (18 см,50 шт),флоупак ТГ-7042</t>
  </si>
  <si>
    <t>ТГ-7042</t>
  </si>
  <si>
    <t>4630493770423</t>
  </si>
  <si>
    <t>256097</t>
  </si>
  <si>
    <t>Бумажные тарелки, Розовый (18 см,50 шт),флоупак ТГ-7041</t>
  </si>
  <si>
    <t>ТГ-7041</t>
  </si>
  <si>
    <t>4630493770416</t>
  </si>
  <si>
    <t>Тарелки (23 см., 6 шт.)</t>
  </si>
  <si>
    <t>245657</t>
  </si>
  <si>
    <t>Бумажные тарелки Динозавры (23 см, 6 шт),флоупак ТБ-2128</t>
  </si>
  <si>
    <t>ТБ-2128</t>
  </si>
  <si>
    <t>4640306921287</t>
  </si>
  <si>
    <t>245660</t>
  </si>
  <si>
    <t>Бумажные тарелки Звёздочки и конфетти (23 см, 6 шт),флоупак ТБ-2131</t>
  </si>
  <si>
    <t>ТБ-2131</t>
  </si>
  <si>
    <t>4640306921317</t>
  </si>
  <si>
    <t>245662</t>
  </si>
  <si>
    <t>Бумажные тарелки Карусель (23 см, 6 шт),флоупак ТБ-2133</t>
  </si>
  <si>
    <t>ТБ-2133</t>
  </si>
  <si>
    <t>4640306921331</t>
  </si>
  <si>
    <t>245658</t>
  </si>
  <si>
    <t>Бумажные тарелки Лисички (23 см, 6 шт),флоупак ТБ-2129</t>
  </si>
  <si>
    <t>ТБ-2129</t>
  </si>
  <si>
    <t>4640306921294</t>
  </si>
  <si>
    <t xml:space="preserve">   Стаканы</t>
  </si>
  <si>
    <t>Стаканы бумажные (250 мл, 6 шт) флоупак</t>
  </si>
  <si>
    <t>245641</t>
  </si>
  <si>
    <t>Стаканы бумажные Динозавры (250 мл, 6 шт),флоупак СТ-2112</t>
  </si>
  <si>
    <t>СТ-2112</t>
  </si>
  <si>
    <t>4640306921126</t>
  </si>
  <si>
    <t>17.22.13.192</t>
  </si>
  <si>
    <t>4823699000</t>
  </si>
  <si>
    <t>250 мл</t>
  </si>
  <si>
    <t>245872</t>
  </si>
  <si>
    <t>Стаканы бумажные Звездный путь (250 мл, 6 шт),флоупак СТ-4524</t>
  </si>
  <si>
    <t>СТ-4524</t>
  </si>
  <si>
    <t>4670159245247</t>
  </si>
  <si>
    <t>245644</t>
  </si>
  <si>
    <t>Стаканы бумажные Звёздочки и конфетти (250 мл, 6 шт),флоупак СТ-2115</t>
  </si>
  <si>
    <t>СТ-2115</t>
  </si>
  <si>
    <t>4640306921157</t>
  </si>
  <si>
    <t>245645</t>
  </si>
  <si>
    <t>Стаканы бумажные Звери на шариках (250 мл, 6 шт),флоупак СТ-2116</t>
  </si>
  <si>
    <t>СТ-2116</t>
  </si>
  <si>
    <t>4640306921164</t>
  </si>
  <si>
    <t>245646</t>
  </si>
  <si>
    <t>Стаканы бумажные Мишки в полёте (250 мл, 6 шт),флоупак СТ-2117</t>
  </si>
  <si>
    <t>СТ-2117</t>
  </si>
  <si>
    <t>4640306921171</t>
  </si>
  <si>
    <t>245648</t>
  </si>
  <si>
    <t>Стаканы бумажные Торжество (250 мл, 6 шт),флоупак СТ-2119</t>
  </si>
  <si>
    <t>СТ-2119</t>
  </si>
  <si>
    <t>4640306921195</t>
  </si>
  <si>
    <t>Наборы для праздника</t>
  </si>
  <si>
    <t>245664</t>
  </si>
  <si>
    <t>Набор для праздника  Динозавры (тарелка 6 шт, стаканы 6 шт, колпаки 6 шт) НП-2134</t>
  </si>
  <si>
    <t>НП-2134</t>
  </si>
  <si>
    <t>4640306921348</t>
  </si>
  <si>
    <t>245667</t>
  </si>
  <si>
    <t>Набор для праздника  Звездочки и конфетти (тарелка 6 шт, стаканы 6 шт, колпаки 6 шт) НП-2137</t>
  </si>
  <si>
    <t>НП-2137</t>
  </si>
  <si>
    <t>4640306921379</t>
  </si>
  <si>
    <t>245668</t>
  </si>
  <si>
    <t>Набор для праздника  Звери на шариках (тарелка 6 шт, стаканы 6 шт, колпаки 6 шт) НП-2138</t>
  </si>
  <si>
    <t>НП-2138</t>
  </si>
  <si>
    <t>4640306921386</t>
  </si>
  <si>
    <t>245670</t>
  </si>
  <si>
    <t>Набор для праздника  Карусель (тарелка 6 шт, стаканы 6 шт, колпаки 6 шт)НП-2140</t>
  </si>
  <si>
    <t>НП-2140</t>
  </si>
  <si>
    <t>4640306921409</t>
  </si>
  <si>
    <t>245665</t>
  </si>
  <si>
    <t>Набор для праздника  Лисички (тарелка 6 шт, стаканы 6 шт, колпаки 6 шт) НП-2135</t>
  </si>
  <si>
    <t>НП-2135</t>
  </si>
  <si>
    <t>4640306921355</t>
  </si>
  <si>
    <t>245669</t>
  </si>
  <si>
    <t>Набор для праздника  Мишки в полёте (тарелка 6 шт, стаканы 6 шт, колпаки 6 шт) НП-2139</t>
  </si>
  <si>
    <t>НП-2139</t>
  </si>
  <si>
    <t>4640306921393</t>
  </si>
  <si>
    <t>245666</t>
  </si>
  <si>
    <t>Набор для праздника  С днём рождения (тарелка 6 шт, стаканы 6 шт, колпаки 6 шт),НП-2136</t>
  </si>
  <si>
    <t>НП-2136</t>
  </si>
  <si>
    <t>4640306921362</t>
  </si>
  <si>
    <t>245671</t>
  </si>
  <si>
    <t>Набор для праздника  Торжество (тарелка 6 шт, стаканы 6 шт, колпаки 6 шт) НП-2141</t>
  </si>
  <si>
    <t>НП-2141</t>
  </si>
  <si>
    <t>4640306921416</t>
  </si>
  <si>
    <t>02 Свечи для торта</t>
  </si>
  <si>
    <t>01 Цифры</t>
  </si>
  <si>
    <t>163901</t>
  </si>
  <si>
    <t>Свеча для торта , Цифра 0 с сердечком С-2989</t>
  </si>
  <si>
    <t>С-2989</t>
  </si>
  <si>
    <t>4610144829892</t>
  </si>
  <si>
    <t>163904</t>
  </si>
  <si>
    <t>Свеча для торта , Цифра 1 с сердечком С-2990</t>
  </si>
  <si>
    <t>С-2990</t>
  </si>
  <si>
    <t>4610144829908</t>
  </si>
  <si>
    <t>163907</t>
  </si>
  <si>
    <t>Свеча для торта , Цифра 2 с сердечком С-2991</t>
  </si>
  <si>
    <t>С-2991</t>
  </si>
  <si>
    <t>4610144829915</t>
  </si>
  <si>
    <t>163909</t>
  </si>
  <si>
    <t>Свеча для торта , Цифра 3 с сердечком С-2992</t>
  </si>
  <si>
    <t>С-2992</t>
  </si>
  <si>
    <t>4610144829922</t>
  </si>
  <si>
    <t>163914</t>
  </si>
  <si>
    <t>Свеча для торта , Цифра 4 с сердечком С-2993</t>
  </si>
  <si>
    <t>С-2993</t>
  </si>
  <si>
    <t>4610144829939</t>
  </si>
  <si>
    <t>163918</t>
  </si>
  <si>
    <t>Свеча для торта , Цифра 5 с сердечком С-2994</t>
  </si>
  <si>
    <t>С-2994</t>
  </si>
  <si>
    <t>4610144829946</t>
  </si>
  <si>
    <t>163921</t>
  </si>
  <si>
    <t>Свеча для торта , Цифра 6 с сердечком С-2995</t>
  </si>
  <si>
    <t>С-2995</t>
  </si>
  <si>
    <t>4610144829953</t>
  </si>
  <si>
    <t>163923</t>
  </si>
  <si>
    <t>Свеча для торта , Цифра 7 с сердечком цвета в ассортименте  С-2996</t>
  </si>
  <si>
    <t>С-2996</t>
  </si>
  <si>
    <t>4610144829960</t>
  </si>
  <si>
    <t>163926</t>
  </si>
  <si>
    <t>Свеча для торта , Цифра 8 с сердечком С-2997</t>
  </si>
  <si>
    <t>С-2997</t>
  </si>
  <si>
    <t>4610144829977</t>
  </si>
  <si>
    <t>163927</t>
  </si>
  <si>
    <t>Свеча для торта , Цифра 9 с сердечком С-2998</t>
  </si>
  <si>
    <t>С-2998</t>
  </si>
  <si>
    <t>4610144829984</t>
  </si>
  <si>
    <t>182672</t>
  </si>
  <si>
    <t>Свеча для торта "Воздушный шарик", золотая. Цифра "0" С-7258</t>
  </si>
  <si>
    <t>С-7258</t>
  </si>
  <si>
    <t>4610144872584</t>
  </si>
  <si>
    <t>177042</t>
  </si>
  <si>
    <t>Свеча для торта "Воздушный шарик", золотая. Цифра "3" C-7251</t>
  </si>
  <si>
    <t>C-7251</t>
  </si>
  <si>
    <t>4610144872515</t>
  </si>
  <si>
    <t>177043</t>
  </si>
  <si>
    <t>Свеча для торта "Воздушный шарик", золотая. Цифра "4" C-7252</t>
  </si>
  <si>
    <t>C-7252</t>
  </si>
  <si>
    <t>4610144872522</t>
  </si>
  <si>
    <t>177048</t>
  </si>
  <si>
    <t>Свеча для торта "Воздушный шарик", золотая. Цифра "6" C-7254</t>
  </si>
  <si>
    <t>C-7254</t>
  </si>
  <si>
    <t>4610144872546</t>
  </si>
  <si>
    <t>177049</t>
  </si>
  <si>
    <t>Свеча для торта "Воздушный шарик", золотая. Цифра "7" C-7255</t>
  </si>
  <si>
    <t>C-7255</t>
  </si>
  <si>
    <t>4610144872553</t>
  </si>
  <si>
    <t>182670</t>
  </si>
  <si>
    <t>Свеча для торта "Воздушный шарик", золотая. Цифра "8" С-7256</t>
  </si>
  <si>
    <t>С-7256</t>
  </si>
  <si>
    <t>4610144872560</t>
  </si>
  <si>
    <t>182671</t>
  </si>
  <si>
    <t>Свеча для торта "Воздушный шарик", золотая. Цифра "9" С-7257</t>
  </si>
  <si>
    <t>С-7257</t>
  </si>
  <si>
    <t>4610144872577</t>
  </si>
  <si>
    <t>177039</t>
  </si>
  <si>
    <t>Свеча для торта "Воздушный шарик", серебряная. Цифра "0" C-7268</t>
  </si>
  <si>
    <t>C-7268</t>
  </si>
  <si>
    <t>4610144872683</t>
  </si>
  <si>
    <t>177032</t>
  </si>
  <si>
    <t>Свеча для торта "Воздушный шарик", серебряная. Цифра "4" C-7262</t>
  </si>
  <si>
    <t>C-7262</t>
  </si>
  <si>
    <t>4610144872621</t>
  </si>
  <si>
    <t>177035</t>
  </si>
  <si>
    <t>Свеча для торта "Воздушный шарик", серебряная. Цифра "6" C-7264</t>
  </si>
  <si>
    <t>C-7264</t>
  </si>
  <si>
    <t>4610144872645</t>
  </si>
  <si>
    <t>177036</t>
  </si>
  <si>
    <t>Свеча для торта "Воздушный шарик", серебряная. Цифра "7" C-7265</t>
  </si>
  <si>
    <t>C-7265</t>
  </si>
  <si>
    <t>4610144872652</t>
  </si>
  <si>
    <t>177037</t>
  </si>
  <si>
    <t>Свеча для торта "Воздушный шарик", серебряная. Цифра "8" C-7266</t>
  </si>
  <si>
    <t>C-7266</t>
  </si>
  <si>
    <t>4610144872669</t>
  </si>
  <si>
    <t>177038</t>
  </si>
  <si>
    <t>Свеча для торта "Воздушный шарик", серебряная. Цифра "9" C-7267</t>
  </si>
  <si>
    <t>C-7267</t>
  </si>
  <si>
    <t>4610144872676</t>
  </si>
  <si>
    <t>194370</t>
  </si>
  <si>
    <t>Свеча для торта "Единорог с цветочным венком" , цифра  0 С-9559</t>
  </si>
  <si>
    <t>С-9559</t>
  </si>
  <si>
    <t>4610144895590</t>
  </si>
  <si>
    <t>072884</t>
  </si>
  <si>
    <t>Свеча для торта "Маленькая принцесса". Цифра "2" С-0436</t>
  </si>
  <si>
    <t>С-0436</t>
  </si>
  <si>
    <t>4665303204362</t>
  </si>
  <si>
    <t>7,8 см</t>
  </si>
  <si>
    <t>072885</t>
  </si>
  <si>
    <t>Свеча для торта "Маленькая принцесса". Цифра "3" С-0437</t>
  </si>
  <si>
    <t>С-0437</t>
  </si>
  <si>
    <t>4665303204379</t>
  </si>
  <si>
    <t>072886</t>
  </si>
  <si>
    <t>Свеча для торта "Маленькая принцесса". Цифра "4" С-0438</t>
  </si>
  <si>
    <t>С-0438</t>
  </si>
  <si>
    <t>4665303204386</t>
  </si>
  <si>
    <t>081459</t>
  </si>
  <si>
    <t>Свеча для торта "Маленькая принцесса". Цифра "5" С-0439</t>
  </si>
  <si>
    <t>С-0439</t>
  </si>
  <si>
    <t>4665303204393</t>
  </si>
  <si>
    <t>072888</t>
  </si>
  <si>
    <t>Свеча для торта "Маленький пират". Цифра "1" С-0440</t>
  </si>
  <si>
    <t>С-0440</t>
  </si>
  <si>
    <t>4665303204409</t>
  </si>
  <si>
    <t>072889</t>
  </si>
  <si>
    <t>Свеча для торта "Маленький пират". Цифра "2" С-0441</t>
  </si>
  <si>
    <t>С-0441</t>
  </si>
  <si>
    <t>4665303204416</t>
  </si>
  <si>
    <t>072890</t>
  </si>
  <si>
    <t>Свеча для торта "Маленький пират". Цифра "3" С-0442</t>
  </si>
  <si>
    <t>С-0442</t>
  </si>
  <si>
    <t>4665303204423</t>
  </si>
  <si>
    <t>072891</t>
  </si>
  <si>
    <t>Свеча для торта "Маленький пират". Цифра "4" С-0443</t>
  </si>
  <si>
    <t>С-0443</t>
  </si>
  <si>
    <t>4665303204430</t>
  </si>
  <si>
    <t>081460</t>
  </si>
  <si>
    <t>Свеча для торта "Маленький пират". Цифра "5" С-0444</t>
  </si>
  <si>
    <t>С-0444</t>
  </si>
  <si>
    <t>4665303204447</t>
  </si>
  <si>
    <t>176991</t>
  </si>
  <si>
    <t>Свеча для торта "Русалка" , фиолетовая. Цифра "6" С-7234</t>
  </si>
  <si>
    <t>С-7234</t>
  </si>
  <si>
    <t>4610144872348</t>
  </si>
  <si>
    <t>177025</t>
  </si>
  <si>
    <t>Свеча для торта "Русалка", розовая. Цифра "0" C-7248</t>
  </si>
  <si>
    <t>C-7248</t>
  </si>
  <si>
    <t>4610144872485</t>
  </si>
  <si>
    <t>177019</t>
  </si>
  <si>
    <t>Свеча для торта "Русалка", розовая. Цифра "7" C-7245</t>
  </si>
  <si>
    <t>C-7245</t>
  </si>
  <si>
    <t>4610144872454</t>
  </si>
  <si>
    <t>177021</t>
  </si>
  <si>
    <t>Свеча для торта "Русалка", розовая. Цифра "8" C-7246</t>
  </si>
  <si>
    <t>C-7246</t>
  </si>
  <si>
    <t>4610144872461</t>
  </si>
  <si>
    <t>177023</t>
  </si>
  <si>
    <t>Свеча для торта "Русалка", розовая. Цифра "9" C-7247</t>
  </si>
  <si>
    <t>C-7247</t>
  </si>
  <si>
    <t>4610144872478</t>
  </si>
  <si>
    <t>176998</t>
  </si>
  <si>
    <t>Свеча для торта "Русалка", фиолетовая. Цифра "0" С-7238</t>
  </si>
  <si>
    <t>С-7238</t>
  </si>
  <si>
    <t>4610144872386</t>
  </si>
  <si>
    <t>176983</t>
  </si>
  <si>
    <t>Свеча для торта "Русалка", фиолетовая. Цифра "2" С-7230</t>
  </si>
  <si>
    <t>С-7230</t>
  </si>
  <si>
    <t>4610144872300</t>
  </si>
  <si>
    <t>176985</t>
  </si>
  <si>
    <t>Свеча для торта "Русалка", фиолетовая. Цифра "3" С-7231</t>
  </si>
  <si>
    <t>С-7231</t>
  </si>
  <si>
    <t>4610144872317</t>
  </si>
  <si>
    <t>176987</t>
  </si>
  <si>
    <t>Свеча для торта "Русалка", фиолетовая. Цифра "4" С-7232</t>
  </si>
  <si>
    <t>С-7232</t>
  </si>
  <si>
    <t>4610144872324</t>
  </si>
  <si>
    <t>176992</t>
  </si>
  <si>
    <t>Свеча для торта "Русалка", фиолетовая. Цифра "7" С-7235</t>
  </si>
  <si>
    <t>С-7235</t>
  </si>
  <si>
    <t>4610144872355</t>
  </si>
  <si>
    <t>176995</t>
  </si>
  <si>
    <t>Свеча для торта "Русалка", фиолетовая. Цифра "8" С-7236</t>
  </si>
  <si>
    <t>С-7236</t>
  </si>
  <si>
    <t>4610144872362</t>
  </si>
  <si>
    <t>176996</t>
  </si>
  <si>
    <t>Свеча для торта "Русалка", фиолетовая. Цифра "9" С-7237</t>
  </si>
  <si>
    <t>С-7237</t>
  </si>
  <si>
    <t>4610144872379</t>
  </si>
  <si>
    <t>192863</t>
  </si>
  <si>
    <t>Свеча для торта "Слоник" Цифра 0 С-8334</t>
  </si>
  <si>
    <t>С-8334</t>
  </si>
  <si>
    <t>4610144883344</t>
  </si>
  <si>
    <t>192859</t>
  </si>
  <si>
    <t>Свеча для торта "Слоник" Цифра 6 С-8330</t>
  </si>
  <si>
    <t>С-8330</t>
  </si>
  <si>
    <t>4610144883306</t>
  </si>
  <si>
    <t>192860</t>
  </si>
  <si>
    <t>Свеча для торта "Слоник" Цифра 7 С-8331</t>
  </si>
  <si>
    <t>С-8331</t>
  </si>
  <si>
    <t>4610144883313</t>
  </si>
  <si>
    <t>194394</t>
  </si>
  <si>
    <t>Свеча для торта 2Единорог с цветочным венком" , цифра  9 С-9568</t>
  </si>
  <si>
    <t>С-9568</t>
  </si>
  <si>
    <t>4610144895682</t>
  </si>
  <si>
    <t>114045</t>
  </si>
  <si>
    <t>Свеча для торта в полоску, Цифра 0, золотая С-2529</t>
  </si>
  <si>
    <t>С-2529</t>
  </si>
  <si>
    <t>4665306725291</t>
  </si>
  <si>
    <t>114034</t>
  </si>
  <si>
    <t>Свеча для торта в полоску, Цифра 0, серебряная С-2519</t>
  </si>
  <si>
    <t>С-2519</t>
  </si>
  <si>
    <t>4665306725192</t>
  </si>
  <si>
    <t>114046</t>
  </si>
  <si>
    <t>Свеча для торта в полоску, Цифра 1, золотая С-2530</t>
  </si>
  <si>
    <t>С-2530</t>
  </si>
  <si>
    <t>4665306725307</t>
  </si>
  <si>
    <t>114036</t>
  </si>
  <si>
    <t>Свеча для торта в полоску, Цифра 1, серебряная С-2520</t>
  </si>
  <si>
    <t>С-2520</t>
  </si>
  <si>
    <t>4665306725208</t>
  </si>
  <si>
    <t>114047</t>
  </si>
  <si>
    <t>Свеча для торта в полоску, Цифра 2, золотая С-2531</t>
  </si>
  <si>
    <t>С-2531</t>
  </si>
  <si>
    <t>4665306725314</t>
  </si>
  <si>
    <t>114037</t>
  </si>
  <si>
    <t>Свеча для торта в полоску, Цифра 2, серебряная С-2521</t>
  </si>
  <si>
    <t>С-2521</t>
  </si>
  <si>
    <t>4665306725215</t>
  </si>
  <si>
    <t>114048</t>
  </si>
  <si>
    <t>Свеча для торта в полоску, Цифра 3, золотая С-2532</t>
  </si>
  <si>
    <t>С-2532</t>
  </si>
  <si>
    <t>4665306725321</t>
  </si>
  <si>
    <t>114038</t>
  </si>
  <si>
    <t>Свеча для торта в полоску, Цифра 3, серебряная С-2522</t>
  </si>
  <si>
    <t>С-2522</t>
  </si>
  <si>
    <t>4665306725222</t>
  </si>
  <si>
    <t>114049</t>
  </si>
  <si>
    <t>Свеча для торта в полоску, Цифра 4, золотая С-2533</t>
  </si>
  <si>
    <t>С-2533</t>
  </si>
  <si>
    <t>4665306725338</t>
  </si>
  <si>
    <t>114039</t>
  </si>
  <si>
    <t>Свеча для торта в полоску, Цифра 4, серебряная С-2523</t>
  </si>
  <si>
    <t>С-2523</t>
  </si>
  <si>
    <t>4665306725239</t>
  </si>
  <si>
    <t>114050</t>
  </si>
  <si>
    <t>Свеча для торта в полоску, Цифра 5, золотая С-2534</t>
  </si>
  <si>
    <t>С-2534</t>
  </si>
  <si>
    <t>4665306725345</t>
  </si>
  <si>
    <t>114040</t>
  </si>
  <si>
    <t>Свеча для торта в полоску, Цифра 5, серебряная С-2524</t>
  </si>
  <si>
    <t>С-2524</t>
  </si>
  <si>
    <t>4665306725246</t>
  </si>
  <si>
    <t>114051</t>
  </si>
  <si>
    <t>Свеча для торта в полоску, Цифра 6, золотая С-2535</t>
  </si>
  <si>
    <t>С-2535</t>
  </si>
  <si>
    <t>4665306725352</t>
  </si>
  <si>
    <t>114041</t>
  </si>
  <si>
    <t>Свеча для торта в полоску, Цифра 6, серебряная С-2525</t>
  </si>
  <si>
    <t>С-2525</t>
  </si>
  <si>
    <t>4665306725253</t>
  </si>
  <si>
    <t>114053</t>
  </si>
  <si>
    <t>Свеча для торта в полоску, Цифра 7, золотая С-2536</t>
  </si>
  <si>
    <t>С-2536</t>
  </si>
  <si>
    <t>4665306725369</t>
  </si>
  <si>
    <t>114042</t>
  </si>
  <si>
    <t>Свеча для торта в полоску, Цифра 7, серебряная С-2526</t>
  </si>
  <si>
    <t>С-2526</t>
  </si>
  <si>
    <t>4665306725260</t>
  </si>
  <si>
    <t>114054</t>
  </si>
  <si>
    <t>Свеча для торта в полоску, Цифра 8, золотая С-2537</t>
  </si>
  <si>
    <t>С-2537</t>
  </si>
  <si>
    <t>4665306725376</t>
  </si>
  <si>
    <t>114043</t>
  </si>
  <si>
    <t>Свеча для торта в полоску, Цифра 8, серебряная С-2527</t>
  </si>
  <si>
    <t>С-2527</t>
  </si>
  <si>
    <t>4665306725277</t>
  </si>
  <si>
    <t>114055</t>
  </si>
  <si>
    <t>Свеча для торта в полоску, Цифра 9, золотая С-2538</t>
  </si>
  <si>
    <t>С-2538</t>
  </si>
  <si>
    <t>4665306725383</t>
  </si>
  <si>
    <t>114044</t>
  </si>
  <si>
    <t>Свеча для торта в полоску, Цифра 9, серебряная С-2528</t>
  </si>
  <si>
    <t>С-2528</t>
  </si>
  <si>
    <t>4665306725284</t>
  </si>
  <si>
    <t>122668</t>
  </si>
  <si>
    <t>Свеча для торта Весёлый праздник красная Цифра 0 С-5914</t>
  </si>
  <si>
    <t>С-5914</t>
  </si>
  <si>
    <t>4665307359143</t>
  </si>
  <si>
    <t>122672</t>
  </si>
  <si>
    <t>Свеча для торта Весёлый праздник красная Цифра 4 С-5918</t>
  </si>
  <si>
    <t>С-5918</t>
  </si>
  <si>
    <t>4665307359181</t>
  </si>
  <si>
    <t>122674</t>
  </si>
  <si>
    <t>Свеча для торта Весёлый праздник красная Цифра 6 С-5920</t>
  </si>
  <si>
    <t>С-5920</t>
  </si>
  <si>
    <t>4665307359204</t>
  </si>
  <si>
    <t>122675</t>
  </si>
  <si>
    <t>Свеча для торта Весёлый праздник красная Цифра 7 С-5921</t>
  </si>
  <si>
    <t>С-5921</t>
  </si>
  <si>
    <t>4665307359211</t>
  </si>
  <si>
    <t>122676</t>
  </si>
  <si>
    <t>Свеча для торта Весёлый праздник красная Цифра 8 С-5922</t>
  </si>
  <si>
    <t>С-5922</t>
  </si>
  <si>
    <t>4665307359228</t>
  </si>
  <si>
    <t>122677</t>
  </si>
  <si>
    <t>Свеча для торта Весёлый праздник красная Цифра 9 С-5923</t>
  </si>
  <si>
    <t>С-5923</t>
  </si>
  <si>
    <t>4665307359235</t>
  </si>
  <si>
    <t>122678</t>
  </si>
  <si>
    <t>Свеча для торта Весёлый праздник синяя Цифра 0 С-5924</t>
  </si>
  <si>
    <t>С-5924</t>
  </si>
  <si>
    <t>4665307359242</t>
  </si>
  <si>
    <t>122679</t>
  </si>
  <si>
    <t>Свеча для торта Весёлый праздник синяя Цифра 1 С-5925</t>
  </si>
  <si>
    <t>С-5925</t>
  </si>
  <si>
    <t>4665307359259</t>
  </si>
  <si>
    <t>122680</t>
  </si>
  <si>
    <t>Свеча для торта Весёлый праздник синяя Цифра 2 С-5926</t>
  </si>
  <si>
    <t>С-5926</t>
  </si>
  <si>
    <t>4665307359266</t>
  </si>
  <si>
    <t>122681</t>
  </si>
  <si>
    <t>Свеча для торта Весёлый праздник синяя Цифра 3 С-5927</t>
  </si>
  <si>
    <t>С-5927</t>
  </si>
  <si>
    <t>4665307359273</t>
  </si>
  <si>
    <t>122682</t>
  </si>
  <si>
    <t>Свеча для торта Весёлый праздник синяя Цифра 4 С-5928</t>
  </si>
  <si>
    <t>С-5928</t>
  </si>
  <si>
    <t>4665307359280</t>
  </si>
  <si>
    <t>122683</t>
  </si>
  <si>
    <t>Свеча для торта Весёлый праздник синяя Цифра 5 С-5929</t>
  </si>
  <si>
    <t>С-5929</t>
  </si>
  <si>
    <t>4665307359297</t>
  </si>
  <si>
    <t>122684</t>
  </si>
  <si>
    <t>Свеча для торта Весёлый праздник синяя Цифра 6 С-5930</t>
  </si>
  <si>
    <t>С-5930</t>
  </si>
  <si>
    <t>4665307359303</t>
  </si>
  <si>
    <t>122685</t>
  </si>
  <si>
    <t>Свеча для торта Весёлый праздник синяя Цифра 7 С-5931</t>
  </si>
  <si>
    <t>С-5931</t>
  </si>
  <si>
    <t>4665307359310</t>
  </si>
  <si>
    <t>122686</t>
  </si>
  <si>
    <t>Свеча для торта Весёлый праздник синяя Цифра 8 С-5932</t>
  </si>
  <si>
    <t>С-5932</t>
  </si>
  <si>
    <t>4665307359327</t>
  </si>
  <si>
    <t>122687</t>
  </si>
  <si>
    <t>Свеча для торта Весёлый праздник синяя Цифра 9 С-5933</t>
  </si>
  <si>
    <t>С-5933</t>
  </si>
  <si>
    <t>4665307359334</t>
  </si>
  <si>
    <t>153314</t>
  </si>
  <si>
    <t>Свеча для торта Волшебный градиент Цифра 3 С-4088</t>
  </si>
  <si>
    <t>С-4088</t>
  </si>
  <si>
    <t>4680088440880</t>
  </si>
  <si>
    <t>153317</t>
  </si>
  <si>
    <t>Свеча для торта Волшебный градиент Цифра 6 С-4091</t>
  </si>
  <si>
    <t>С-4091</t>
  </si>
  <si>
    <t>4680088440910</t>
  </si>
  <si>
    <t>194395</t>
  </si>
  <si>
    <t>Свеча для торта голубая цифра  0 с блестящим глиттером С-9569</t>
  </si>
  <si>
    <t>С-9569</t>
  </si>
  <si>
    <t>4610144895699</t>
  </si>
  <si>
    <t>194405</t>
  </si>
  <si>
    <t>Свеча для торта голубая цифра  8 с блестящим глиттером С-9577</t>
  </si>
  <si>
    <t>С-9577</t>
  </si>
  <si>
    <t>4610144895774</t>
  </si>
  <si>
    <t>194406</t>
  </si>
  <si>
    <t>Свеча для торта голубая цифра  9 с блестящим глиттером С-9578</t>
  </si>
  <si>
    <t>С-9578</t>
  </si>
  <si>
    <t>4610144895781</t>
  </si>
  <si>
    <t>194371</t>
  </si>
  <si>
    <t>Свеча для торта Единорог с цветочным венком. , цифра  1 С-9560</t>
  </si>
  <si>
    <t>С-9560</t>
  </si>
  <si>
    <t>4610144895606</t>
  </si>
  <si>
    <t>194390</t>
  </si>
  <si>
    <t>Свеча для торта Единорог с цветочным венком. , цифра  7 С-9566</t>
  </si>
  <si>
    <t>С-9566</t>
  </si>
  <si>
    <t>4610144895668</t>
  </si>
  <si>
    <t>194392</t>
  </si>
  <si>
    <t>Свеча для торта Единорог с цветочным венком. , цифра  8 С-9567</t>
  </si>
  <si>
    <t>С-9567</t>
  </si>
  <si>
    <t>4610144895675</t>
  </si>
  <si>
    <t>122855</t>
  </si>
  <si>
    <t>Свеча для торта Звёздочки, золотая  Цифра 1 С-5985</t>
  </si>
  <si>
    <t>С-5985</t>
  </si>
  <si>
    <t>4665307359853</t>
  </si>
  <si>
    <t>122857</t>
  </si>
  <si>
    <t>Свеча для торта Звёздочки, золотая  Цифра 2 С-5986</t>
  </si>
  <si>
    <t>С-5986</t>
  </si>
  <si>
    <t>4665307359860</t>
  </si>
  <si>
    <t>122859</t>
  </si>
  <si>
    <t>Свеча для торта Звёздочки, золотая  Цифра 3 С-5987</t>
  </si>
  <si>
    <t>С-5987</t>
  </si>
  <si>
    <t>4665307359877</t>
  </si>
  <si>
    <t>122861</t>
  </si>
  <si>
    <t>Свеча для торта Звёздочки, золотая  Цифра 4 С-5988</t>
  </si>
  <si>
    <t>С-5988</t>
  </si>
  <si>
    <t>4665307359884</t>
  </si>
  <si>
    <t>122864</t>
  </si>
  <si>
    <t>Свеча для торта Звёздочки, золотая  Цифра 5 С-5989</t>
  </si>
  <si>
    <t>С-5989</t>
  </si>
  <si>
    <t>4665307359891</t>
  </si>
  <si>
    <t>122868</t>
  </si>
  <si>
    <t>Свеча для торта Звёздочки, золотая  Цифра 7 С-5991</t>
  </si>
  <si>
    <t>С-5991</t>
  </si>
  <si>
    <t>4665307359914</t>
  </si>
  <si>
    <t>122871</t>
  </si>
  <si>
    <t>Свеча для торта Звёздочки, золотая  Цифра 8 С-5992</t>
  </si>
  <si>
    <t>С-5992</t>
  </si>
  <si>
    <t>4665307359921</t>
  </si>
  <si>
    <t>122872</t>
  </si>
  <si>
    <t>Свеча для торта Звёздочки, золотая  Цифра 9 С-5993</t>
  </si>
  <si>
    <t>С-5993</t>
  </si>
  <si>
    <t>4665307359938</t>
  </si>
  <si>
    <t>122853</t>
  </si>
  <si>
    <t>Свеча для торта Звёздочки, золотая Цифра 0 С-5984</t>
  </si>
  <si>
    <t>С-5984</t>
  </si>
  <si>
    <t>4665307359846</t>
  </si>
  <si>
    <t>122877</t>
  </si>
  <si>
    <t>Свеча для торта Звёздочки, серебряная  Цифра 1 С-5995</t>
  </si>
  <si>
    <t>С-5995</t>
  </si>
  <si>
    <t>4665307359952</t>
  </si>
  <si>
    <t>122879</t>
  </si>
  <si>
    <t>Свеча для торта Звёздочки, серебряная  Цифра 2 С-5996</t>
  </si>
  <si>
    <t>С-5996</t>
  </si>
  <si>
    <t>4665307359969</t>
  </si>
  <si>
    <t>122881</t>
  </si>
  <si>
    <t>Свеча для торта Звёздочки, серебряная  Цифра 3 С-5997</t>
  </si>
  <si>
    <t>С-5997</t>
  </si>
  <si>
    <t>4665307359976</t>
  </si>
  <si>
    <t>122888</t>
  </si>
  <si>
    <t>Свеча для торта Звёздочки, серебряная  Цифра 4 С-5998</t>
  </si>
  <si>
    <t>С-5998</t>
  </si>
  <si>
    <t>4665307359983</t>
  </si>
  <si>
    <t>122889</t>
  </si>
  <si>
    <t>Свеча для торта Звёздочки, серебряная  Цифра 5 С-5999</t>
  </si>
  <si>
    <t>С-5999</t>
  </si>
  <si>
    <t>4665307359990</t>
  </si>
  <si>
    <t>122890</t>
  </si>
  <si>
    <t>Свеча для торта Звёздочки, серебряная  Цифра 6 С-6000</t>
  </si>
  <si>
    <t>С-6000</t>
  </si>
  <si>
    <t>4665307350003</t>
  </si>
  <si>
    <t>122891</t>
  </si>
  <si>
    <t>Свеча для торта Звёздочки, серебряная  Цифра 7  С-6001</t>
  </si>
  <si>
    <t>С-6001</t>
  </si>
  <si>
    <t>4665307360019</t>
  </si>
  <si>
    <t>122892</t>
  </si>
  <si>
    <t>Свеча для торта Звёздочки, серебряная  Цифра 8 С-6002</t>
  </si>
  <si>
    <t>С-6002</t>
  </si>
  <si>
    <t>4665307360026</t>
  </si>
  <si>
    <t>122893</t>
  </si>
  <si>
    <t>Свеча для торта Звёздочки, серебряная  Цифра 9 С-6003</t>
  </si>
  <si>
    <t>С-6003</t>
  </si>
  <si>
    <t>4665307360033</t>
  </si>
  <si>
    <t>122874</t>
  </si>
  <si>
    <t>Свеча для торта Звёздочки, серебряная Цифра 0 С-5994</t>
  </si>
  <si>
    <t>С-5994</t>
  </si>
  <si>
    <t>4665307359945</t>
  </si>
  <si>
    <t>096828</t>
  </si>
  <si>
    <t>Свеча для торта Золотая Цифра 0 С-1798</t>
  </si>
  <si>
    <t>С-1798</t>
  </si>
  <si>
    <t>4665305417982</t>
  </si>
  <si>
    <t>6 см*1</t>
  </si>
  <si>
    <t>096829</t>
  </si>
  <si>
    <t>Свеча для торта Золотая Цифра 1 С-1799</t>
  </si>
  <si>
    <t>С-1799</t>
  </si>
  <si>
    <t>4665305417999</t>
  </si>
  <si>
    <t>096830</t>
  </si>
  <si>
    <t>Свеча для торта Золотая Цифра 2 С-1800</t>
  </si>
  <si>
    <t>С-1800</t>
  </si>
  <si>
    <t>4665305418002</t>
  </si>
  <si>
    <t>096831</t>
  </si>
  <si>
    <t>Свеча для торта Золотая Цифра 3 С-1801</t>
  </si>
  <si>
    <t>С-1801</t>
  </si>
  <si>
    <t>4665305418019</t>
  </si>
  <si>
    <t>096832</t>
  </si>
  <si>
    <t>Свеча для торта Золотая Цифра 4 С-1802</t>
  </si>
  <si>
    <t>С-1802</t>
  </si>
  <si>
    <t>4665305418026</t>
  </si>
  <si>
    <t>096833</t>
  </si>
  <si>
    <t>Свеча для торта Золотая Цифра 5 С-1803</t>
  </si>
  <si>
    <t>С-1803</t>
  </si>
  <si>
    <t>4665305418033</t>
  </si>
  <si>
    <t>096834</t>
  </si>
  <si>
    <t>Свеча для торта Золотая Цифра 6 С-1804</t>
  </si>
  <si>
    <t>С-1804</t>
  </si>
  <si>
    <t>4665305418040</t>
  </si>
  <si>
    <t>096835</t>
  </si>
  <si>
    <t>Свеча для торта Золотая Цифра 7 С-1805</t>
  </si>
  <si>
    <t>С-1805</t>
  </si>
  <si>
    <t>4665305418057</t>
  </si>
  <si>
    <t>096836</t>
  </si>
  <si>
    <t>Свеча для торта Золотая Цифра 8 С-1806</t>
  </si>
  <si>
    <t>С-1806</t>
  </si>
  <si>
    <t>4665305418064</t>
  </si>
  <si>
    <t>096837</t>
  </si>
  <si>
    <t>Свеча для торта Золотая Цифра 9 С-1807</t>
  </si>
  <si>
    <t>С-1807</t>
  </si>
  <si>
    <t>4665305418071</t>
  </si>
  <si>
    <t>096925</t>
  </si>
  <si>
    <t>Свеча для торта Золотой глиттер (большая) Цифра 0 С-1892</t>
  </si>
  <si>
    <t>С-1892</t>
  </si>
  <si>
    <t>4665305418927</t>
  </si>
  <si>
    <t>10,5*1 см</t>
  </si>
  <si>
    <t>096926</t>
  </si>
  <si>
    <t>Свеча для торта Золотой глиттер (большая) Цифра 1 С-1893</t>
  </si>
  <si>
    <t>С-1893</t>
  </si>
  <si>
    <t>4665305418934</t>
  </si>
  <si>
    <t>096927</t>
  </si>
  <si>
    <t>Свеча для торта Золотой глиттер (большая) Цифра 2 С-1894</t>
  </si>
  <si>
    <t>С-1894</t>
  </si>
  <si>
    <t>4665305418941</t>
  </si>
  <si>
    <t>096928</t>
  </si>
  <si>
    <t>Свеча для торта Золотой глиттер (большая) Цифра 3 С-1895</t>
  </si>
  <si>
    <t>С-1895</t>
  </si>
  <si>
    <t>4665305418958</t>
  </si>
  <si>
    <t>096929</t>
  </si>
  <si>
    <t>Свеча для торта Золотой глиттер (большая) Цифра 4 С-1896</t>
  </si>
  <si>
    <t>С-1896</t>
  </si>
  <si>
    <t>4665305418965</t>
  </si>
  <si>
    <t>096930</t>
  </si>
  <si>
    <t>Свеча для торта Золотой глиттер (большая) Цифра 5 С-1897</t>
  </si>
  <si>
    <t>С-1897</t>
  </si>
  <si>
    <t>4665305418972</t>
  </si>
  <si>
    <t>096931</t>
  </si>
  <si>
    <t>Свеча для торта Золотой глиттер (большая) Цифра 6 С-1898</t>
  </si>
  <si>
    <t>С-1898</t>
  </si>
  <si>
    <t>4665305418989</t>
  </si>
  <si>
    <t>096932</t>
  </si>
  <si>
    <t>Свеча для торта Золотой глиттер (большая) Цифра 7 С-1899</t>
  </si>
  <si>
    <t>С-1899</t>
  </si>
  <si>
    <t>4665305418996</t>
  </si>
  <si>
    <t>096933</t>
  </si>
  <si>
    <t>Свеча для торта Золотой глиттер (большая) Цифра 8 С-1900</t>
  </si>
  <si>
    <t>С-1900</t>
  </si>
  <si>
    <t>4665305419009</t>
  </si>
  <si>
    <t>096934</t>
  </si>
  <si>
    <t>Свеча для торта Золотой глиттер (большая) Цифра 9 С-1901</t>
  </si>
  <si>
    <t>С-1901</t>
  </si>
  <si>
    <t>4665305419016</t>
  </si>
  <si>
    <t>096848</t>
  </si>
  <si>
    <t>Свеча для торта Золотой глиттер (малая) Цифра 0 С-1818</t>
  </si>
  <si>
    <t>С-1818</t>
  </si>
  <si>
    <t>4665305418187</t>
  </si>
  <si>
    <t>7 см*1,2</t>
  </si>
  <si>
    <t>096849</t>
  </si>
  <si>
    <t>Свеча для торта Золотой глиттер (малая) Цифра 1 С-1819</t>
  </si>
  <si>
    <t>С-1819</t>
  </si>
  <si>
    <t>4665305418194</t>
  </si>
  <si>
    <t>096850</t>
  </si>
  <si>
    <t>Свеча для торта Золотой глиттер (малая) Цифра 2 С-1820</t>
  </si>
  <si>
    <t>С-1820</t>
  </si>
  <si>
    <t>4665305418200</t>
  </si>
  <si>
    <t>096851</t>
  </si>
  <si>
    <t>Свеча для торта Золотой глиттер (малая) Цифра 3 С-1821</t>
  </si>
  <si>
    <t>С-1821</t>
  </si>
  <si>
    <t>4665305418217</t>
  </si>
  <si>
    <t>096852</t>
  </si>
  <si>
    <t>Свеча для торта Золотой глиттер (малая) Цифра 4 С-1822</t>
  </si>
  <si>
    <t>С-1822</t>
  </si>
  <si>
    <t>4665305418224</t>
  </si>
  <si>
    <t>096853</t>
  </si>
  <si>
    <t>Свеча для торта Золотой глиттер (малая) Цифра 5 С-1823</t>
  </si>
  <si>
    <t>С-1823</t>
  </si>
  <si>
    <t>4665305418231</t>
  </si>
  <si>
    <t>096854</t>
  </si>
  <si>
    <t>Свеча для торта Золотой глиттер (малая) Цифра 6 С-1824</t>
  </si>
  <si>
    <t>С-1824</t>
  </si>
  <si>
    <t>4665305418248</t>
  </si>
  <si>
    <t>096855</t>
  </si>
  <si>
    <t>Свеча для торта Золотой глиттер (малая) Цифра 7 С-1825</t>
  </si>
  <si>
    <t>С-1825</t>
  </si>
  <si>
    <t>4665305418255</t>
  </si>
  <si>
    <t>096856</t>
  </si>
  <si>
    <t>Свеча для торта Золотой глиттер (малая) Цифра 8 С-1826</t>
  </si>
  <si>
    <t>С-1826</t>
  </si>
  <si>
    <t>4665305418262</t>
  </si>
  <si>
    <t>096857</t>
  </si>
  <si>
    <t>Свеча для торта Золотой глиттер (малая) Цифра 9 С-1827</t>
  </si>
  <si>
    <t>С-1827</t>
  </si>
  <si>
    <t>4665305418279</t>
  </si>
  <si>
    <t>122835</t>
  </si>
  <si>
    <t>Свеча для торта Золотой глиттер с окантовкой Цифра 0 С-5974</t>
  </si>
  <si>
    <t>С-5974</t>
  </si>
  <si>
    <t>4665307359747</t>
  </si>
  <si>
    <t>122837</t>
  </si>
  <si>
    <t>Свеча для торта Золотой глиттер с окантовкой Цифра 1 С-5975</t>
  </si>
  <si>
    <t>С-5975</t>
  </si>
  <si>
    <t>4665307359754</t>
  </si>
  <si>
    <t>122840</t>
  </si>
  <si>
    <t>Свеча для торта Золотой глиттер с окантовкой Цифра 2 С-5976</t>
  </si>
  <si>
    <t>С-5976</t>
  </si>
  <si>
    <t>4665307359761</t>
  </si>
  <si>
    <t>122841</t>
  </si>
  <si>
    <t>Свеча для торта Золотой глиттер с окантовкой Цифра 3 С-5977</t>
  </si>
  <si>
    <t>С-5977</t>
  </si>
  <si>
    <t>4665307359778</t>
  </si>
  <si>
    <t>122843</t>
  </si>
  <si>
    <t>Свеча для торта Золотой глиттер с окантовкой Цифра 4 С-5978</t>
  </si>
  <si>
    <t>С-5978</t>
  </si>
  <si>
    <t>4665307359785</t>
  </si>
  <si>
    <t>122844</t>
  </si>
  <si>
    <t>Свеча для торта Золотой глиттер с окантовкой Цифра 5 С-5979</t>
  </si>
  <si>
    <t>С-5979</t>
  </si>
  <si>
    <t>4665307359792</t>
  </si>
  <si>
    <t>122846</t>
  </si>
  <si>
    <t>Свеча для торта Золотой глиттер с окантовкой Цифра 6 С-5980</t>
  </si>
  <si>
    <t>С-5980</t>
  </si>
  <si>
    <t>4665307359808</t>
  </si>
  <si>
    <t>122847</t>
  </si>
  <si>
    <t>Свеча для торта Золотой глиттер с окантовкой Цифра 7 С-5981</t>
  </si>
  <si>
    <t>С-5981</t>
  </si>
  <si>
    <t>4665307359815</t>
  </si>
  <si>
    <t>122849</t>
  </si>
  <si>
    <t>Свеча для торта Золотой глиттер с окантовкой Цифра 8 С-5982</t>
  </si>
  <si>
    <t>С-5982</t>
  </si>
  <si>
    <t>4665307359822</t>
  </si>
  <si>
    <t>122850</t>
  </si>
  <si>
    <t>Свеча для торта Золотой глиттер с окантовкой Цифра 9 С-5983</t>
  </si>
  <si>
    <t>С-5983</t>
  </si>
  <si>
    <t>4665307359839</t>
  </si>
  <si>
    <t>096894</t>
  </si>
  <si>
    <t>Свеча для торта Золотой металлик (большая) Цифра 0 С-1862</t>
  </si>
  <si>
    <t>С-1862</t>
  </si>
  <si>
    <t>4665305418620</t>
  </si>
  <si>
    <t>11,5*1,3 см</t>
  </si>
  <si>
    <t>096896</t>
  </si>
  <si>
    <t>Свеча для торта Золотой металлик (большая) Цифра 2 С-1864</t>
  </si>
  <si>
    <t>С-1864</t>
  </si>
  <si>
    <t>4665305418644</t>
  </si>
  <si>
    <t>096897</t>
  </si>
  <si>
    <t>Свеча для торта Золотой металлик (большая) Цифра 3 С-1865</t>
  </si>
  <si>
    <t>С-1865</t>
  </si>
  <si>
    <t>4665305418651</t>
  </si>
  <si>
    <t>096898</t>
  </si>
  <si>
    <t>Свеча для торта Золотой металлик (большая) Цифра 4 С-1866</t>
  </si>
  <si>
    <t>С-1866</t>
  </si>
  <si>
    <t>4665305418668</t>
  </si>
  <si>
    <t>096899</t>
  </si>
  <si>
    <t>Свеча для торта Золотой металлик (большая) Цифра 5 С-1867</t>
  </si>
  <si>
    <t>С-1867</t>
  </si>
  <si>
    <t>4665305418675</t>
  </si>
  <si>
    <t>096900</t>
  </si>
  <si>
    <t>Свеча для торта Золотой металлик (большая) Цифра 6 С-1868</t>
  </si>
  <si>
    <t>С-1868</t>
  </si>
  <si>
    <t>4665305418682</t>
  </si>
  <si>
    <t>096901</t>
  </si>
  <si>
    <t>Свеча для торта Золотой металлик (большая) Цифра 7 С-1869</t>
  </si>
  <si>
    <t>С-1869</t>
  </si>
  <si>
    <t>4665305418699</t>
  </si>
  <si>
    <t>096903</t>
  </si>
  <si>
    <t>Свеча для торта Золотой металлик (большая) Цифра 8 С-1870</t>
  </si>
  <si>
    <t>С-1870</t>
  </si>
  <si>
    <t>4665305418705</t>
  </si>
  <si>
    <t>096904</t>
  </si>
  <si>
    <t>Свеча для торта Золотой металлик (большая) Цифра 9 С-1871</t>
  </si>
  <si>
    <t>С-1871</t>
  </si>
  <si>
    <t>4665305418712</t>
  </si>
  <si>
    <t>163794</t>
  </si>
  <si>
    <t>Свеча для торта Золотой стиль Цифра 2 С-2965</t>
  </si>
  <si>
    <t>С-2965</t>
  </si>
  <si>
    <t>4610144829656</t>
  </si>
  <si>
    <t>163803</t>
  </si>
  <si>
    <t>Свеча для торта Золотой стиль Цифра 6 С-2969</t>
  </si>
  <si>
    <t>С-2969</t>
  </si>
  <si>
    <t>4610144829694</t>
  </si>
  <si>
    <t>163805</t>
  </si>
  <si>
    <t>Свеча для торта Золотой стиль Цифра 7 С-2970</t>
  </si>
  <si>
    <t>С-2970</t>
  </si>
  <si>
    <t>4610144829700</t>
  </si>
  <si>
    <t>163807</t>
  </si>
  <si>
    <t>Свеча для торта Золотой стиль Цифра 9 С-2972</t>
  </si>
  <si>
    <t>С-2972</t>
  </si>
  <si>
    <t>4610144829724</t>
  </si>
  <si>
    <t>096881</t>
  </si>
  <si>
    <t>Свеча для торта Красный металлик (большая) Цифра 0 С-1852</t>
  </si>
  <si>
    <t>С-1852</t>
  </si>
  <si>
    <t>4665305418521</t>
  </si>
  <si>
    <t>096883</t>
  </si>
  <si>
    <t>Свеча для торта Красный металлик (большая) Цифра 2 С-1854</t>
  </si>
  <si>
    <t>С-1854</t>
  </si>
  <si>
    <t>4665305418545</t>
  </si>
  <si>
    <t>096884</t>
  </si>
  <si>
    <t>Свеча для торта Красный металлик (большая) Цифра 3 С-1855</t>
  </si>
  <si>
    <t>С-1855</t>
  </si>
  <si>
    <t>4665305418552</t>
  </si>
  <si>
    <t>096885</t>
  </si>
  <si>
    <t>Свеча для торта Красный металлик (большая) Цифра 4 С-1856</t>
  </si>
  <si>
    <t>С-1856</t>
  </si>
  <si>
    <t>4665305418569</t>
  </si>
  <si>
    <t>096886</t>
  </si>
  <si>
    <t>Свеча для торта Красный металлик (большая) Цифра 5 С-1857</t>
  </si>
  <si>
    <t>С-1857</t>
  </si>
  <si>
    <t>4665305418576</t>
  </si>
  <si>
    <t>096887</t>
  </si>
  <si>
    <t>Свеча для торта Красный металлик (большая) Цифра 6 С-1858</t>
  </si>
  <si>
    <t>С-1858</t>
  </si>
  <si>
    <t>4665305418583</t>
  </si>
  <si>
    <t>096891</t>
  </si>
  <si>
    <t>Свеча для торта Красный металлик (большая) Цифра 7 С-1859</t>
  </si>
  <si>
    <t>С-1859</t>
  </si>
  <si>
    <t>4665305418590</t>
  </si>
  <si>
    <t>096892</t>
  </si>
  <si>
    <t>Свеча для торта Красный металлик (большая) Цифра 8 С-1860</t>
  </si>
  <si>
    <t>С-1860</t>
  </si>
  <si>
    <t>4665305418606</t>
  </si>
  <si>
    <t>096893</t>
  </si>
  <si>
    <t>Свеча для торта Красный металлик (большая) Цифра 9 С-1861</t>
  </si>
  <si>
    <t>С-1861</t>
  </si>
  <si>
    <t>4665305418613</t>
  </si>
  <si>
    <t>122688</t>
  </si>
  <si>
    <t>Свеча для торта Милый единорог розовая Цифра 0 С-5934</t>
  </si>
  <si>
    <t>С-5934</t>
  </si>
  <si>
    <t>4665307359341</t>
  </si>
  <si>
    <t>122689</t>
  </si>
  <si>
    <t>Свеча для торта Милый единорог розовая Цифра 1 С-5935</t>
  </si>
  <si>
    <t>С-5935</t>
  </si>
  <si>
    <t>4665307359358</t>
  </si>
  <si>
    <t>122691</t>
  </si>
  <si>
    <t>Свеча для торта Милый единорог розовая Цифра 2 С-5936</t>
  </si>
  <si>
    <t>С-5936</t>
  </si>
  <si>
    <t>4665307359365</t>
  </si>
  <si>
    <t>122692</t>
  </si>
  <si>
    <t>Свеча для торта Милый единорог розовая Цифра 3 С-5937</t>
  </si>
  <si>
    <t>С-5937</t>
  </si>
  <si>
    <t>4665307359372</t>
  </si>
  <si>
    <t>122693</t>
  </si>
  <si>
    <t>Свеча для торта Милый единорог розовая Цифра 4 С-5938</t>
  </si>
  <si>
    <t>С-5938</t>
  </si>
  <si>
    <t>4665307359389</t>
  </si>
  <si>
    <t>122694</t>
  </si>
  <si>
    <t>Свеча для торта Милый единорог розовая Цифра 5 С-5939</t>
  </si>
  <si>
    <t>С-5939</t>
  </si>
  <si>
    <t>4665307359396</t>
  </si>
  <si>
    <t>122695</t>
  </si>
  <si>
    <t>Свеча для торта Милый единорог розовая Цифра 6 С-5940</t>
  </si>
  <si>
    <t>С-5940</t>
  </si>
  <si>
    <t>4665307359402</t>
  </si>
  <si>
    <t>122696</t>
  </si>
  <si>
    <t>Свеча для торта Милый единорог розовая Цифра 7 С-5941</t>
  </si>
  <si>
    <t>С-5941</t>
  </si>
  <si>
    <t>4665307359419</t>
  </si>
  <si>
    <t>122697</t>
  </si>
  <si>
    <t>Свеча для торта Милый единорог розовая Цифра 8 С-5942</t>
  </si>
  <si>
    <t>С-5942</t>
  </si>
  <si>
    <t>4665307359426</t>
  </si>
  <si>
    <t>122698</t>
  </si>
  <si>
    <t>Свеча для торта Милый единорог розовая Цифра 9 С-5943</t>
  </si>
  <si>
    <t>С-5943</t>
  </si>
  <si>
    <t>4665307359433</t>
  </si>
  <si>
    <t>194407</t>
  </si>
  <si>
    <t>Свеча для торта розовая цифра  0 с блестящим глиттером С-9579</t>
  </si>
  <si>
    <t>С-9579</t>
  </si>
  <si>
    <t>4610144895798</t>
  </si>
  <si>
    <t>194410</t>
  </si>
  <si>
    <t>Свеча для торта розовая цифра  3 с блестящим глиттером С-9582</t>
  </si>
  <si>
    <t>С-9582</t>
  </si>
  <si>
    <t>4610144895828</t>
  </si>
  <si>
    <t>194412</t>
  </si>
  <si>
    <t>Свеча для торта розовая цифра  4 с блестящим глиттером С-9583</t>
  </si>
  <si>
    <t>С-9583</t>
  </si>
  <si>
    <t>4610144895835</t>
  </si>
  <si>
    <t>194417</t>
  </si>
  <si>
    <t>Свеча для торта розовая цифра  6 с блестящим глиттером С-9585</t>
  </si>
  <si>
    <t>С-9585</t>
  </si>
  <si>
    <t>4610144895859</t>
  </si>
  <si>
    <t>194420</t>
  </si>
  <si>
    <t>Свеча для торта розовая цифра  7 с блестящим глиттером С-9586</t>
  </si>
  <si>
    <t>С-9586</t>
  </si>
  <si>
    <t>4610144895866</t>
  </si>
  <si>
    <t>194421</t>
  </si>
  <si>
    <t>Свеча для торта розовая цифра  8 с блестящим глиттером С-9587</t>
  </si>
  <si>
    <t>С-9587</t>
  </si>
  <si>
    <t>4610144895873</t>
  </si>
  <si>
    <t>194424</t>
  </si>
  <si>
    <t>Свеча для торта розовая цифра  9 с блестящим глиттером С-9588</t>
  </si>
  <si>
    <t>С-9588</t>
  </si>
  <si>
    <t>4610144895880</t>
  </si>
  <si>
    <t>175697</t>
  </si>
  <si>
    <t>Свеча для торта с глитером, Королевский праздник, Цифра 0 С-4939</t>
  </si>
  <si>
    <t>С-4939</t>
  </si>
  <si>
    <t>4610144849395</t>
  </si>
  <si>
    <t>175693</t>
  </si>
  <si>
    <t>Свеча для торта с глитером, Королевский праздник, Цифра 6 С-4935</t>
  </si>
  <si>
    <t>С-4935</t>
  </si>
  <si>
    <t>4610144849357</t>
  </si>
  <si>
    <t>175695</t>
  </si>
  <si>
    <t>Свеча для торта с глитером, Королевский праздник, Цифра 8 С-4937</t>
  </si>
  <si>
    <t>С-4937</t>
  </si>
  <si>
    <t>4610144849371</t>
  </si>
  <si>
    <t>175696</t>
  </si>
  <si>
    <t>Свеча для торта с глитером, Королевский праздник, Цифра 9 С-4938</t>
  </si>
  <si>
    <t>С-4938</t>
  </si>
  <si>
    <t>4610144849388</t>
  </si>
  <si>
    <t>175646</t>
  </si>
  <si>
    <t>Свеча для торта с глитером, Праздник, Цифра 2 С-4902</t>
  </si>
  <si>
    <t>С-4902</t>
  </si>
  <si>
    <t>4610144849029</t>
  </si>
  <si>
    <t>175650</t>
  </si>
  <si>
    <t>Свеча для торта с глитером, Праздник, Цифра 5 С-4905</t>
  </si>
  <si>
    <t>С-4905</t>
  </si>
  <si>
    <t>4610144849050</t>
  </si>
  <si>
    <t>175653</t>
  </si>
  <si>
    <t>Свеча для торта с глитером, Праздник, Цифра 7 С-4907</t>
  </si>
  <si>
    <t>С-4907</t>
  </si>
  <si>
    <t>4610144849074</t>
  </si>
  <si>
    <t>175648</t>
  </si>
  <si>
    <t>Свеча для торта с глитером,"Праздник", Цифра 3 С-4903</t>
  </si>
  <si>
    <t>С-4903</t>
  </si>
  <si>
    <t>4610144849036</t>
  </si>
  <si>
    <t>175666</t>
  </si>
  <si>
    <t>Свеча для торта с глитером,"Прекрасный праздник", Цифра 7 С-4917</t>
  </si>
  <si>
    <t>С-4917</t>
  </si>
  <si>
    <t>4610144849173</t>
  </si>
  <si>
    <t>122699</t>
  </si>
  <si>
    <t>Свеча для торта с золотой окантовкой (глиттер) Цифра 0 С-5944</t>
  </si>
  <si>
    <t>С-5944</t>
  </si>
  <si>
    <t>4665307359440</t>
  </si>
  <si>
    <t>122702</t>
  </si>
  <si>
    <t>Свеча для торта с золотой окантовкой (глиттер) Цифра 3 С-5947</t>
  </si>
  <si>
    <t>С-5947</t>
  </si>
  <si>
    <t>4665307359471</t>
  </si>
  <si>
    <t>122703</t>
  </si>
  <si>
    <t>Свеча для торта с золотой окантовкой (глиттер) Цифра 4 С-5948</t>
  </si>
  <si>
    <t>С-5948</t>
  </si>
  <si>
    <t>4665307359488</t>
  </si>
  <si>
    <t>122704</t>
  </si>
  <si>
    <t>Свеча для торта с золотой окантовкой (глиттер) Цифра 5 С-5949</t>
  </si>
  <si>
    <t>С-5949</t>
  </si>
  <si>
    <t>4665307359495</t>
  </si>
  <si>
    <t>122706</t>
  </si>
  <si>
    <t>Свеча для торта с золотой окантовкой (глиттер) Цифра 6 С-5950</t>
  </si>
  <si>
    <t>С-5950</t>
  </si>
  <si>
    <t>4665307359501</t>
  </si>
  <si>
    <t>122707</t>
  </si>
  <si>
    <t>Свеча для торта с золотой окантовкой (глиттер) Цифра 7 С-5951</t>
  </si>
  <si>
    <t>С-5951</t>
  </si>
  <si>
    <t>4665307359518</t>
  </si>
  <si>
    <t>122708</t>
  </si>
  <si>
    <t>Свеча для торта с золотой окантовкой (глиттер) Цифра 8 С-5952</t>
  </si>
  <si>
    <t>С-5952</t>
  </si>
  <si>
    <t>4665307359525</t>
  </si>
  <si>
    <t>122709</t>
  </si>
  <si>
    <t>Свеча для торта с золотой окантовкой (глиттер) Цифра 9 С-5953</t>
  </si>
  <si>
    <t>С-5953</t>
  </si>
  <si>
    <t>4665307359532</t>
  </si>
  <si>
    <t>131681</t>
  </si>
  <si>
    <t>Свеча для торта с красной окантовкой с блёстками Цифра 0 С-1096</t>
  </si>
  <si>
    <t>С-1096</t>
  </si>
  <si>
    <t>4665307410967</t>
  </si>
  <si>
    <t>113965</t>
  </si>
  <si>
    <t>Свеча для торта с красной окантовкой с блестками Цифра 6 С-2411</t>
  </si>
  <si>
    <t>С-2411</t>
  </si>
  <si>
    <t>4665306724119</t>
  </si>
  <si>
    <t>113967</t>
  </si>
  <si>
    <t>Свеча для торта с красной окантовкой с блестками Цифра 7 С-2412</t>
  </si>
  <si>
    <t>С-2412</t>
  </si>
  <si>
    <t>4665306724126</t>
  </si>
  <si>
    <t>113968</t>
  </si>
  <si>
    <t>Свеча для торта с красной окантовкой с блестками Цифра 8 С-2413</t>
  </si>
  <si>
    <t>С-2413</t>
  </si>
  <si>
    <t>4665306724133</t>
  </si>
  <si>
    <t>113969</t>
  </si>
  <si>
    <t>Свеча для торта с красной окантовкой с блестками Цифра 9 С-2414</t>
  </si>
  <si>
    <t>С-2414</t>
  </si>
  <si>
    <t>4665306724140</t>
  </si>
  <si>
    <t>113970</t>
  </si>
  <si>
    <t>Свеча для торта с разноцветной окантовкой с блестками Цифра 0 С-2415</t>
  </si>
  <si>
    <t>С-2415</t>
  </si>
  <si>
    <t>4665306724157</t>
  </si>
  <si>
    <t>113971</t>
  </si>
  <si>
    <t>Свеча для торта с разноцветной окантовкой с блестками Цифра 1 С-2416</t>
  </si>
  <si>
    <t>С-2416</t>
  </si>
  <si>
    <t>4665306724164</t>
  </si>
  <si>
    <t>113972</t>
  </si>
  <si>
    <t>Свеча для торта с разноцветной окантовкой с блестками Цифра 2 С-2417</t>
  </si>
  <si>
    <t>С-2417</t>
  </si>
  <si>
    <t>4665306724171</t>
  </si>
  <si>
    <t>113973</t>
  </si>
  <si>
    <t>Свеча для торта с разноцветной окантовкой с блестками Цифра 3 С-2418</t>
  </si>
  <si>
    <t>С-2418</t>
  </si>
  <si>
    <t>4665306724188</t>
  </si>
  <si>
    <t>113974</t>
  </si>
  <si>
    <t>Свеча для торта с разноцветной окантовкой с блестками Цифра 4 С-2419</t>
  </si>
  <si>
    <t>С-2419</t>
  </si>
  <si>
    <t>4665306724195</t>
  </si>
  <si>
    <t>113975</t>
  </si>
  <si>
    <t>Свеча для торта с разноцветной окантовкой с блестками Цифра 5 С-2420</t>
  </si>
  <si>
    <t>С-2420</t>
  </si>
  <si>
    <t>4665306724201</t>
  </si>
  <si>
    <t>113977</t>
  </si>
  <si>
    <t>Свеча для торта с разноцветной окантовкой с блестками Цифра 7 С-2422</t>
  </si>
  <si>
    <t>С-2422</t>
  </si>
  <si>
    <t>4665306724225</t>
  </si>
  <si>
    <t>113979</t>
  </si>
  <si>
    <t>Свеча для торта с разноцветной окантовкой с блестками Цифра 9 С-2424</t>
  </si>
  <si>
    <t>С-2424</t>
  </si>
  <si>
    <t>4665306724249</t>
  </si>
  <si>
    <t>113958</t>
  </si>
  <si>
    <t>Свеча для торта с розовой окантовкой с блестками Цифра 1 С-2406</t>
  </si>
  <si>
    <t>С-2406</t>
  </si>
  <si>
    <t>4665306724065</t>
  </si>
  <si>
    <t>113959</t>
  </si>
  <si>
    <t>Свеча для торта с розовой окантовкой с блестками Цифра 2 С-2407</t>
  </si>
  <si>
    <t>С-2407</t>
  </si>
  <si>
    <t>4665306724072</t>
  </si>
  <si>
    <t>113961</t>
  </si>
  <si>
    <t>Свеча для торта с розовой окантовкой с блестками Цифра 3 С-2408</t>
  </si>
  <si>
    <t>С-2408</t>
  </si>
  <si>
    <t>4665306724089</t>
  </si>
  <si>
    <t>113962</t>
  </si>
  <si>
    <t>Свеча для торта с розовой окантовкой с блестками Цифра 4 С-2409</t>
  </si>
  <si>
    <t>С-2409</t>
  </si>
  <si>
    <t>4665306724096</t>
  </si>
  <si>
    <t>113964</t>
  </si>
  <si>
    <t>Свеча для торта с розовой окантовкой с блестками Цифра 5 С-2410</t>
  </si>
  <si>
    <t>С-2410</t>
  </si>
  <si>
    <t>4665306724102</t>
  </si>
  <si>
    <t>122710</t>
  </si>
  <si>
    <t>Свеча для торта с серебряной окантовкой (глиттер) Цифра 0 С-5954</t>
  </si>
  <si>
    <t>С-5954</t>
  </si>
  <si>
    <t>4665307359549</t>
  </si>
  <si>
    <t>122808</t>
  </si>
  <si>
    <t>Свеча для торта с серебряной окантовкой (глиттер) Цифра 2 С-5956</t>
  </si>
  <si>
    <t>С-5956</t>
  </si>
  <si>
    <t>4665307359563</t>
  </si>
  <si>
    <t>122809</t>
  </si>
  <si>
    <t>Свеча для торта с серебряной окантовкой (глиттер) Цифра 3 С-5957</t>
  </si>
  <si>
    <t>С-5957</t>
  </si>
  <si>
    <t>4665307359570</t>
  </si>
  <si>
    <t>122810</t>
  </si>
  <si>
    <t>Свеча для торта с серебряной окантовкой (глиттер) Цифра 4 С-5958</t>
  </si>
  <si>
    <t>С-5958</t>
  </si>
  <si>
    <t>4665307359587</t>
  </si>
  <si>
    <t>122812</t>
  </si>
  <si>
    <t>Свеча для торта с серебряной окантовкой (глиттер) Цифра 5 С-5959</t>
  </si>
  <si>
    <t>С-5959</t>
  </si>
  <si>
    <t>4665307359594</t>
  </si>
  <si>
    <t>122813</t>
  </si>
  <si>
    <t>Свеча для торта с серебряной окантовкой (глиттер) Цифра 6 С-5960</t>
  </si>
  <si>
    <t>С-5960</t>
  </si>
  <si>
    <t>4665307359600</t>
  </si>
  <si>
    <t>122814</t>
  </si>
  <si>
    <t>Свеча для торта с серебряной окантовкой (глиттер) Цифра 7 С-5961</t>
  </si>
  <si>
    <t>С-5961</t>
  </si>
  <si>
    <t>4665307359617</t>
  </si>
  <si>
    <t>122815</t>
  </si>
  <si>
    <t>Свеча для торта с серебряной окантовкой (глиттер) Цифра 8 С-5962</t>
  </si>
  <si>
    <t>С-5962</t>
  </si>
  <si>
    <t>4665307359624</t>
  </si>
  <si>
    <t>122817</t>
  </si>
  <si>
    <t>Свеча для торта с серебряной окантовкой (глиттер) Цифра 9 С-5963</t>
  </si>
  <si>
    <t>С-5963</t>
  </si>
  <si>
    <t>4665307359631</t>
  </si>
  <si>
    <t>182673</t>
  </si>
  <si>
    <t>Свеча для торта с синей окантовкой с блёстками Цифра 0 С-9344</t>
  </si>
  <si>
    <t>С-9344</t>
  </si>
  <si>
    <t>4610144893442</t>
  </si>
  <si>
    <t>131682</t>
  </si>
  <si>
    <t>Свеча для торта с синей окантовкой с блёстками Цифра 1 С-1099</t>
  </si>
  <si>
    <t>С-1099</t>
  </si>
  <si>
    <t>4665307410998</t>
  </si>
  <si>
    <t>131683</t>
  </si>
  <si>
    <t>Свеча для торта с синей окантовкой с блёстками Цифра 2 С-1100</t>
  </si>
  <si>
    <t>С-1100</t>
  </si>
  <si>
    <t>4665307411001</t>
  </si>
  <si>
    <t>131684</t>
  </si>
  <si>
    <t>Свеча для торта с синей окантовкой с блёстками Цифра 3 С-1101</t>
  </si>
  <si>
    <t>С-1101</t>
  </si>
  <si>
    <t>4665307411018</t>
  </si>
  <si>
    <t>131685</t>
  </si>
  <si>
    <t>Свеча для торта с синей окантовкой с блёстками Цифра 4 С-1102</t>
  </si>
  <si>
    <t>С-1102</t>
  </si>
  <si>
    <t>4665307411025</t>
  </si>
  <si>
    <t>131686</t>
  </si>
  <si>
    <t>Свеча для торта с синей окантовкой с блёстками Цифра 5 С-1103</t>
  </si>
  <si>
    <t>С-1103</t>
  </si>
  <si>
    <t>4665307411032</t>
  </si>
  <si>
    <t>131687</t>
  </si>
  <si>
    <t>Свеча для торта с синей окантовкой с блёстками Цифра 6 С-1104</t>
  </si>
  <si>
    <t>С-1104</t>
  </si>
  <si>
    <t>4665307411049</t>
  </si>
  <si>
    <t>131688</t>
  </si>
  <si>
    <t>Свеча для торта с синей окантовкой с блёстками Цифра 7 С-1105</t>
  </si>
  <si>
    <t>С-1105</t>
  </si>
  <si>
    <t>4665307411056</t>
  </si>
  <si>
    <t>131689</t>
  </si>
  <si>
    <t>Свеча для торта с синей окантовкой с блёстками Цифра 8 С-1106</t>
  </si>
  <si>
    <t>С-1106</t>
  </si>
  <si>
    <t>4665307411063</t>
  </si>
  <si>
    <t>096773</t>
  </si>
  <si>
    <t>Свеча для торта с синей окантовкой с блестками Цифра 9 С-1777</t>
  </si>
  <si>
    <t>С-1777</t>
  </si>
  <si>
    <t>4665305417777</t>
  </si>
  <si>
    <t>096838</t>
  </si>
  <si>
    <t>Свеча для торта Серебряная Цифра 0 С-1808</t>
  </si>
  <si>
    <t>С-1808</t>
  </si>
  <si>
    <t>4665305418088</t>
  </si>
  <si>
    <t>096839</t>
  </si>
  <si>
    <t>Свеча для торта Серебряная Цифра 1 С-1809</t>
  </si>
  <si>
    <t>С-1809</t>
  </si>
  <si>
    <t>4665305418095</t>
  </si>
  <si>
    <t>096840</t>
  </si>
  <si>
    <t>Свеча для торта Серебряная Цифра 2 С-1810</t>
  </si>
  <si>
    <t>С-1810</t>
  </si>
  <si>
    <t>4665305418101</t>
  </si>
  <si>
    <t>096841</t>
  </si>
  <si>
    <t>Свеча для торта Серебряная Цифра 3 С-1811</t>
  </si>
  <si>
    <t>С-1811</t>
  </si>
  <si>
    <t>4665305418118</t>
  </si>
  <si>
    <t>096842</t>
  </si>
  <si>
    <t>Свеча для торта Серебряная Цифра 4 С-1812</t>
  </si>
  <si>
    <t>С-1812</t>
  </si>
  <si>
    <t>4665305418125</t>
  </si>
  <si>
    <t>096843</t>
  </si>
  <si>
    <t>Свеча для торта Серебряная Цифра 5 С-1813</t>
  </si>
  <si>
    <t>С-1813</t>
  </si>
  <si>
    <t>4665305418132</t>
  </si>
  <si>
    <t>096844</t>
  </si>
  <si>
    <t>Свеча для торта Серебряная Цифра 6 С-1814</t>
  </si>
  <si>
    <t>С-1814</t>
  </si>
  <si>
    <t>4665305418149</t>
  </si>
  <si>
    <t>096845</t>
  </si>
  <si>
    <t>Свеча для торта Серебряная Цифра 7 С-1815</t>
  </si>
  <si>
    <t>С-1815</t>
  </si>
  <si>
    <t>4665305418156</t>
  </si>
  <si>
    <t>096846</t>
  </si>
  <si>
    <t>Свеча для торта Серебряная Цифра 8 С-1816</t>
  </si>
  <si>
    <t>С-1816</t>
  </si>
  <si>
    <t>4665305418163</t>
  </si>
  <si>
    <t>096847</t>
  </si>
  <si>
    <t>Свеча для торта Серебряная Цифра 9 С-1817</t>
  </si>
  <si>
    <t>С-1817</t>
  </si>
  <si>
    <t>4665305418170</t>
  </si>
  <si>
    <t>096915</t>
  </si>
  <si>
    <t>Свеча для торта Серебряный глиттер (большая) Цифра 0 С-1882</t>
  </si>
  <si>
    <t>С-1882</t>
  </si>
  <si>
    <t>4665305418828</t>
  </si>
  <si>
    <t>096916</t>
  </si>
  <si>
    <t>Свеча для торта Серебряный глиттер (большая) Цифра 1 С-1883</t>
  </si>
  <si>
    <t>С-1883</t>
  </si>
  <si>
    <t>4665305418835</t>
  </si>
  <si>
    <t>096917</t>
  </si>
  <si>
    <t>Свеча для торта Серебряный глиттер (большая) Цифра 2 С-1884</t>
  </si>
  <si>
    <t>С-1884</t>
  </si>
  <si>
    <t>4665305418842</t>
  </si>
  <si>
    <t>096918</t>
  </si>
  <si>
    <t>Свеча для торта Серебряный глиттер (большая) Цифра 3 С-1885</t>
  </si>
  <si>
    <t>С-1885</t>
  </si>
  <si>
    <t>4665305418859</t>
  </si>
  <si>
    <t>096919</t>
  </si>
  <si>
    <t>Свеча для торта Серебряный глиттер (большая) Цифра 4 С-1886</t>
  </si>
  <si>
    <t>С-1886</t>
  </si>
  <si>
    <t>4665305418866</t>
  </si>
  <si>
    <t>096920</t>
  </si>
  <si>
    <t>Свеча для торта Серебряный глиттер (большая) Цифра 5 С-1887</t>
  </si>
  <si>
    <t>С-1887</t>
  </si>
  <si>
    <t>4665305418873</t>
  </si>
  <si>
    <t>096921</t>
  </si>
  <si>
    <t>Свеча для торта Серебряный глиттер (большая) Цифра 6 С-1888</t>
  </si>
  <si>
    <t>С-1888</t>
  </si>
  <si>
    <t>4665305418880</t>
  </si>
  <si>
    <t>096922</t>
  </si>
  <si>
    <t>Свеча для торта Серебряный глиттер (большая) Цифра 7 С-1889</t>
  </si>
  <si>
    <t>С-1889</t>
  </si>
  <si>
    <t>4665305418897</t>
  </si>
  <si>
    <t>096923</t>
  </si>
  <si>
    <t>Свеча для торта Серебряный глиттер (большая) Цифра 8 С-1890</t>
  </si>
  <si>
    <t>С-1890</t>
  </si>
  <si>
    <t>4665305418903</t>
  </si>
  <si>
    <t>096924</t>
  </si>
  <si>
    <t>Свеча для торта Серебряный глиттер (большая) Цифра 9 С-1891</t>
  </si>
  <si>
    <t>С-1891</t>
  </si>
  <si>
    <t>4665305418910</t>
  </si>
  <si>
    <t>096858</t>
  </si>
  <si>
    <t>Свеча для торта Серебряный глиттер (малая) Цифра 0 С-1828</t>
  </si>
  <si>
    <t>С-1828</t>
  </si>
  <si>
    <t>4665305418286</t>
  </si>
  <si>
    <t>096859</t>
  </si>
  <si>
    <t>Свеча для торта Серебряный глиттер (малая) Цифра 1 С-1829</t>
  </si>
  <si>
    <t>С-1829</t>
  </si>
  <si>
    <t>4665305418293</t>
  </si>
  <si>
    <t>096860</t>
  </si>
  <si>
    <t>Свеча для торта Серебряный глиттер (малая) Цифра 2 С-1830</t>
  </si>
  <si>
    <t>С-1830</t>
  </si>
  <si>
    <t>4665305418309</t>
  </si>
  <si>
    <t>096861</t>
  </si>
  <si>
    <t>Свеча для торта Серебряный глиттер (малая) Цифра 3 С-1831</t>
  </si>
  <si>
    <t>С-1831</t>
  </si>
  <si>
    <t>4665305418316</t>
  </si>
  <si>
    <t>096862</t>
  </si>
  <si>
    <t>Свеча для торта Серебряный глиттер (малая) Цифра 4 С-1832</t>
  </si>
  <si>
    <t>С-1832</t>
  </si>
  <si>
    <t>4665305418323</t>
  </si>
  <si>
    <t>096863</t>
  </si>
  <si>
    <t>Свеча для торта Серебряный глиттер (малая) Цифра 5 С-1833</t>
  </si>
  <si>
    <t>С-1833</t>
  </si>
  <si>
    <t>4665305418330</t>
  </si>
  <si>
    <t>096864</t>
  </si>
  <si>
    <t>Свеча для торта Серебряный глиттер (малая) Цифра 6 С-1834</t>
  </si>
  <si>
    <t>С-1834</t>
  </si>
  <si>
    <t>4665305418347</t>
  </si>
  <si>
    <t>096865</t>
  </si>
  <si>
    <t>Свеча для торта Серебряный глиттер (малая) Цифра 7 С-1835</t>
  </si>
  <si>
    <t>С-1835</t>
  </si>
  <si>
    <t>4665305418354</t>
  </si>
  <si>
    <t>096866</t>
  </si>
  <si>
    <t>Свеча для торта Серебряный глиттер (малая) Цифра 8 С-1836</t>
  </si>
  <si>
    <t>С-1836</t>
  </si>
  <si>
    <t>4665305418361</t>
  </si>
  <si>
    <t>096867</t>
  </si>
  <si>
    <t>Свеча для торта Серебряный глиттер (малая) Цифра 9 С-1837</t>
  </si>
  <si>
    <t>С-1837</t>
  </si>
  <si>
    <t>4665305418378</t>
  </si>
  <si>
    <t>122818</t>
  </si>
  <si>
    <t>Свеча для торта Серебряный глиттер с окантовкой Цифра 0 С-5964</t>
  </si>
  <si>
    <t>С-5964</t>
  </si>
  <si>
    <t>4665307359648</t>
  </si>
  <si>
    <t>122829</t>
  </si>
  <si>
    <t>Свеча для торта Серебряный глиттер с окантовкой Цифра 7 С-5971</t>
  </si>
  <si>
    <t>С-5971</t>
  </si>
  <si>
    <t>4665307359716</t>
  </si>
  <si>
    <t>096905</t>
  </si>
  <si>
    <t>Свеча для торта Серебряный металлик (большая) Цифра 0 С-1872</t>
  </si>
  <si>
    <t>С-1872</t>
  </si>
  <si>
    <t>4665305418729</t>
  </si>
  <si>
    <t>096906</t>
  </si>
  <si>
    <t>Свеча для торта Серебряный металлик (большая) Цифра 1 С-1873</t>
  </si>
  <si>
    <t>С-1873</t>
  </si>
  <si>
    <t>4665305418736</t>
  </si>
  <si>
    <t>096907</t>
  </si>
  <si>
    <t>Свеча для торта Серебряный металлик (большая) Цифра 2 С-1874</t>
  </si>
  <si>
    <t>С-1874</t>
  </si>
  <si>
    <t>4665305418743</t>
  </si>
  <si>
    <t>096908</t>
  </si>
  <si>
    <t>Свеча для торта Серебряный металлик (большая) Цифра 3 С-1875</t>
  </si>
  <si>
    <t>С-1875</t>
  </si>
  <si>
    <t>4665305418750</t>
  </si>
  <si>
    <t>096909</t>
  </si>
  <si>
    <t>Свеча для торта Серебряный металлик (большая) Цифра 4 С-1876</t>
  </si>
  <si>
    <t>С-1876</t>
  </si>
  <si>
    <t>4665305418767</t>
  </si>
  <si>
    <t>096910</t>
  </si>
  <si>
    <t>Свеча для торта Серебряный металлик (большая) Цифра 5 С-1877</t>
  </si>
  <si>
    <t>С-1877</t>
  </si>
  <si>
    <t>4665305418774</t>
  </si>
  <si>
    <t>096911</t>
  </si>
  <si>
    <t>Свеча для торта Серебряный металлик (большая) Цифра 6 С-1878</t>
  </si>
  <si>
    <t>С-1878</t>
  </si>
  <si>
    <t>4665305418781</t>
  </si>
  <si>
    <t>096912</t>
  </si>
  <si>
    <t>Свеча для торта Серебряный металлик (большая) Цифра 7 С-1879</t>
  </si>
  <si>
    <t>С-1879</t>
  </si>
  <si>
    <t>4665305418798</t>
  </si>
  <si>
    <t>096913</t>
  </si>
  <si>
    <t>Свеча для торта Серебряный металлик (большая) Цифра 8 С-1880</t>
  </si>
  <si>
    <t>С-1880</t>
  </si>
  <si>
    <t>4665305418804</t>
  </si>
  <si>
    <t>096914</t>
  </si>
  <si>
    <t>Свеча для торта Серебряный металлик (большая) Цифра 9 С-1881</t>
  </si>
  <si>
    <t>С-1881</t>
  </si>
  <si>
    <t>4665305418811</t>
  </si>
  <si>
    <t>163891</t>
  </si>
  <si>
    <t>Свеча для торта Серебряный стиль Цифра 0 С-2982, ш/б 72</t>
  </si>
  <si>
    <t>С-2982</t>
  </si>
  <si>
    <t>4610144829823</t>
  </si>
  <si>
    <t>163858</t>
  </si>
  <si>
    <t>Свеча для торта Серебряный стиль Цифра 1 С-2973</t>
  </si>
  <si>
    <t>С-2973</t>
  </si>
  <si>
    <t>4610144829731</t>
  </si>
  <si>
    <t>203123</t>
  </si>
  <si>
    <t>Свеча для торта Серебряный стиль Цифра 4 С-2976, ш/б 50</t>
  </si>
  <si>
    <t>С-2976</t>
  </si>
  <si>
    <t>4610144829762</t>
  </si>
  <si>
    <t>203124</t>
  </si>
  <si>
    <t>Свеча для торта Серебряный стиль Цифра 5 С-2977, ш/б 50</t>
  </si>
  <si>
    <t>С-2977</t>
  </si>
  <si>
    <t>4610144829779</t>
  </si>
  <si>
    <t>203125</t>
  </si>
  <si>
    <t>Свеча для торта Серебряный стиль Цифра 6 С-2978, ш/б 50</t>
  </si>
  <si>
    <t>С-2978</t>
  </si>
  <si>
    <t>4610144829786</t>
  </si>
  <si>
    <t>203126</t>
  </si>
  <si>
    <t>Свеча для торта Серебряный стиль Цифра 7 С-2979, ш/б 50</t>
  </si>
  <si>
    <t>С-2979</t>
  </si>
  <si>
    <t>4610144829793</t>
  </si>
  <si>
    <t>203127</t>
  </si>
  <si>
    <t>Свеча для торта Серебряный стиль Цифра 8 С-2980, ш/б 50</t>
  </si>
  <si>
    <t>С-2980</t>
  </si>
  <si>
    <t>4610144829809</t>
  </si>
  <si>
    <t>203128</t>
  </si>
  <si>
    <t>Свеча для торта Серебряный стиль Цифра 9 С-2981, ш/б 50</t>
  </si>
  <si>
    <t>С-2981</t>
  </si>
  <si>
    <t>4610144829816</t>
  </si>
  <si>
    <t>096868</t>
  </si>
  <si>
    <t>Свеча для торта Синий металлик (большая) Цифра 0 С-1842</t>
  </si>
  <si>
    <t>С-1842</t>
  </si>
  <si>
    <t>4665305418422</t>
  </si>
  <si>
    <t>096869</t>
  </si>
  <si>
    <t>Свеча для торта Синий металлик (большая) Цифра 1 С-1843</t>
  </si>
  <si>
    <t>С-1843</t>
  </si>
  <si>
    <t>4665305418439</t>
  </si>
  <si>
    <t>096870</t>
  </si>
  <si>
    <t>Свеча для торта Синий металлик (большая) Цифра 2 С-1844</t>
  </si>
  <si>
    <t>С-1844</t>
  </si>
  <si>
    <t>4665305418446</t>
  </si>
  <si>
    <t>096871</t>
  </si>
  <si>
    <t>Свеча для торта Синий металлик (большая) Цифра 3 С-1845</t>
  </si>
  <si>
    <t>С-1845</t>
  </si>
  <si>
    <t>4665305418453</t>
  </si>
  <si>
    <t>096872</t>
  </si>
  <si>
    <t>Свеча для торта Синий металлик (большая) Цифра 4 С-1846</t>
  </si>
  <si>
    <t>С-1846</t>
  </si>
  <si>
    <t>4665305418460</t>
  </si>
  <si>
    <t>096873</t>
  </si>
  <si>
    <t>Свеча для торта Синий металлик (большая) Цифра 5 С-1847</t>
  </si>
  <si>
    <t>С-1847</t>
  </si>
  <si>
    <t>4665305418477</t>
  </si>
  <si>
    <t>096874</t>
  </si>
  <si>
    <t>Свеча для торта Синий металлик (большая) Цифра 6 С-1848</t>
  </si>
  <si>
    <t>С-1848</t>
  </si>
  <si>
    <t>4665305418484</t>
  </si>
  <si>
    <t>096875</t>
  </si>
  <si>
    <t>Свеча для торта Синий металлик (большая) Цифра 7 С-1849</t>
  </si>
  <si>
    <t>С-1849</t>
  </si>
  <si>
    <t>4665305418491</t>
  </si>
  <si>
    <t>096876</t>
  </si>
  <si>
    <t>Свеча для торта Синий металлик (большая) Цифра 8 С-1850</t>
  </si>
  <si>
    <t>С-1850</t>
  </si>
  <si>
    <t>4665305418507</t>
  </si>
  <si>
    <t>096877</t>
  </si>
  <si>
    <t>Свеча для торта Синий металлик (большая) Цифра 9 С-1851</t>
  </si>
  <si>
    <t>С-1851</t>
  </si>
  <si>
    <t>4665305418514</t>
  </si>
  <si>
    <t>192890</t>
  </si>
  <si>
    <t>Свеча для торта Царская, золотая с глиттером Цифра 0 С-8347</t>
  </si>
  <si>
    <t>С-8347</t>
  </si>
  <si>
    <t>4610144883474</t>
  </si>
  <si>
    <t>192889</t>
  </si>
  <si>
    <t>Свеча для торта Царская, золотая с глиттером Цифра 9 С-8346</t>
  </si>
  <si>
    <t>С-8346</t>
  </si>
  <si>
    <t>4610144883467</t>
  </si>
  <si>
    <t>192902</t>
  </si>
  <si>
    <t>Свеча для торта Царская, розовая с глиттером Цифра 0 С-8357</t>
  </si>
  <si>
    <t>С-8357</t>
  </si>
  <si>
    <t>4610144883573</t>
  </si>
  <si>
    <t>192899</t>
  </si>
  <si>
    <t>Свеча для торта Царская, розовая с глиттером Цифра 7 С-8354</t>
  </si>
  <si>
    <t>С-8354</t>
  </si>
  <si>
    <t>4610144883542</t>
  </si>
  <si>
    <t>192901</t>
  </si>
  <si>
    <t>Свеча для торта Царская, розовая с глиттером Цифра 9 С-8356</t>
  </si>
  <si>
    <t>С-8356</t>
  </si>
  <si>
    <t>4610144883566</t>
  </si>
  <si>
    <t>192912</t>
  </si>
  <si>
    <t>Свеча для торта Царская, синяя с глиттером Цифра 0 С-8367</t>
  </si>
  <si>
    <t>С-8367</t>
  </si>
  <si>
    <t>4610144883672</t>
  </si>
  <si>
    <t>192904</t>
  </si>
  <si>
    <t>Свеча для торта Царская, синяя с глиттером Цифра 2 С-8359</t>
  </si>
  <si>
    <t>С-8359</t>
  </si>
  <si>
    <t>4610144883597</t>
  </si>
  <si>
    <t>192905</t>
  </si>
  <si>
    <t>Свеча для торта Царская, синяя с глиттером Цифра 3 С-8360</t>
  </si>
  <si>
    <t>С-8360</t>
  </si>
  <si>
    <t>4610144883603</t>
  </si>
  <si>
    <t>192906</t>
  </si>
  <si>
    <t>Свеча для торта Царская, синяя с глиттером Цифра 4 С-8361</t>
  </si>
  <si>
    <t>С-8361</t>
  </si>
  <si>
    <t>4610144883610</t>
  </si>
  <si>
    <t>192907</t>
  </si>
  <si>
    <t>Свеча для торта Царская, синяя с глиттером Цифра 5 С-8362</t>
  </si>
  <si>
    <t>С-8362</t>
  </si>
  <si>
    <t>4610144883627</t>
  </si>
  <si>
    <t>192908</t>
  </si>
  <si>
    <t>Свеча для торта Царская, синяя с глиттером Цифра 6 С-8363</t>
  </si>
  <si>
    <t>С-8363</t>
  </si>
  <si>
    <t>4610144883634</t>
  </si>
  <si>
    <t>192909</t>
  </si>
  <si>
    <t>Свеча для торта Царская, синяя с глиттером Цифра 7 С-8364</t>
  </si>
  <si>
    <t>С-8364</t>
  </si>
  <si>
    <t>4610144883641</t>
  </si>
  <si>
    <t>192910</t>
  </si>
  <si>
    <t>Свеча для торта Царская, синяя с глиттером Цифра 8 С-8365</t>
  </si>
  <si>
    <t>С-8365</t>
  </si>
  <si>
    <t>4610144883658</t>
  </si>
  <si>
    <t>192911</t>
  </si>
  <si>
    <t>Свеча для торта Царская, синяя с глиттером Цифра 9 С-8366</t>
  </si>
  <si>
    <t>С-8366</t>
  </si>
  <si>
    <t>4610144883665</t>
  </si>
  <si>
    <t>113998</t>
  </si>
  <si>
    <t>Свеча для торта. Значимые даты. Цифра 18, золотая С-2489</t>
  </si>
  <si>
    <t>С-2489</t>
  </si>
  <si>
    <t>4665306724898</t>
  </si>
  <si>
    <t>180096</t>
  </si>
  <si>
    <t>Свеча для торта. Значимые даты. Цифра 18, розовая С-1314</t>
  </si>
  <si>
    <t>С-1314</t>
  </si>
  <si>
    <t>4620129713146</t>
  </si>
  <si>
    <t>113991</t>
  </si>
  <si>
    <t>Свеча для торта. Значимые даты. Цифра 18, синяя С-2482</t>
  </si>
  <si>
    <t>С-2482</t>
  </si>
  <si>
    <t>4665306724829</t>
  </si>
  <si>
    <t>113999</t>
  </si>
  <si>
    <t>Свеча для торта. Значимые даты. Цифра 20, золотая С-2490</t>
  </si>
  <si>
    <t>С-2490</t>
  </si>
  <si>
    <t>4665306724904</t>
  </si>
  <si>
    <t>113985</t>
  </si>
  <si>
    <t>Свеча для торта. Значимые даты. Цифра 20, красная С-2476</t>
  </si>
  <si>
    <t>С-2476</t>
  </si>
  <si>
    <t>4665306724768</t>
  </si>
  <si>
    <t>180742</t>
  </si>
  <si>
    <t>Свеча для торта. Значимые даты. Цифра 20, розовая С-2371</t>
  </si>
  <si>
    <t>С-2371</t>
  </si>
  <si>
    <t>4620129723718</t>
  </si>
  <si>
    <t>113992</t>
  </si>
  <si>
    <t>Свеча для торта. Значимые даты. Цифра 20, синяя С-2483</t>
  </si>
  <si>
    <t>С-2483</t>
  </si>
  <si>
    <t>4665306724836</t>
  </si>
  <si>
    <t>114000</t>
  </si>
  <si>
    <t>Свеча для торта. Значимые даты. Цифра 25, золотая С-2491</t>
  </si>
  <si>
    <t>С-2491</t>
  </si>
  <si>
    <t>4665306724911</t>
  </si>
  <si>
    <t>113986</t>
  </si>
  <si>
    <t>Свеча для торта. Значимые даты. Цифра 25, красная С-2477</t>
  </si>
  <si>
    <t>С-2477</t>
  </si>
  <si>
    <t>4665306724775</t>
  </si>
  <si>
    <t>180097</t>
  </si>
  <si>
    <t>Свеча для торта. Значимые даты. Цифра 25, розовая С-1315</t>
  </si>
  <si>
    <t>С-1315</t>
  </si>
  <si>
    <t>4620129713153</t>
  </si>
  <si>
    <t>113993</t>
  </si>
  <si>
    <t>Свеча для торта. Значимые даты. Цифра 25, синяя С-2484</t>
  </si>
  <si>
    <t>С-2484</t>
  </si>
  <si>
    <t>4665306724843</t>
  </si>
  <si>
    <t>113987</t>
  </si>
  <si>
    <t>Свеча для торта. Значимые даты. Цифра 30, красная С-2478</t>
  </si>
  <si>
    <t>С-2478</t>
  </si>
  <si>
    <t>4665306724782</t>
  </si>
  <si>
    <t>180098</t>
  </si>
  <si>
    <t>Свеча для торта. Значимые даты. Цифра 30, розовая С-1316</t>
  </si>
  <si>
    <t>С-1316</t>
  </si>
  <si>
    <t>4620129713160</t>
  </si>
  <si>
    <t>113994</t>
  </si>
  <si>
    <t>Свеча для торта. Значимые даты. Цифра 30, синяя С-2485</t>
  </si>
  <si>
    <t>С-2485</t>
  </si>
  <si>
    <t>4665306724850</t>
  </si>
  <si>
    <t>113988</t>
  </si>
  <si>
    <t>Свеча для торта. Значимые даты. Цифра 50, красная С-2479</t>
  </si>
  <si>
    <t>С-2479</t>
  </si>
  <si>
    <t>4665306724799</t>
  </si>
  <si>
    <t>180100</t>
  </si>
  <si>
    <t>Свеча для торта. Значимые даты. Цифра 50, розовая С-1317</t>
  </si>
  <si>
    <t>С-1317</t>
  </si>
  <si>
    <t>4620129713177</t>
  </si>
  <si>
    <t>114006</t>
  </si>
  <si>
    <t>Свеча для торта. Значимые даты. Цифра 50, серебряная С-2496</t>
  </si>
  <si>
    <t>С-2496</t>
  </si>
  <si>
    <t>4665306724966</t>
  </si>
  <si>
    <t>113995</t>
  </si>
  <si>
    <t>Свеча для торта. Значимые даты. Цифра 50, синяя С-2486</t>
  </si>
  <si>
    <t>С-2486</t>
  </si>
  <si>
    <t>4665306724867</t>
  </si>
  <si>
    <t>114003</t>
  </si>
  <si>
    <t>Свеча для торта. Значимые даты. Цифра 55, золотая С-2494</t>
  </si>
  <si>
    <t>С-2494</t>
  </si>
  <si>
    <t>4665306724942</t>
  </si>
  <si>
    <t>113989</t>
  </si>
  <si>
    <t>Свеча для торта. Значимые даты. Цифра 55, красная С-2480</t>
  </si>
  <si>
    <t>С-2480</t>
  </si>
  <si>
    <t>4665306724805</t>
  </si>
  <si>
    <t>180103</t>
  </si>
  <si>
    <t>Свеча для торта. Значимые даты. Цифра 55, розовая С-1318</t>
  </si>
  <si>
    <t>С-1318</t>
  </si>
  <si>
    <t>4620129713184</t>
  </si>
  <si>
    <t>114007</t>
  </si>
  <si>
    <t>Свеча для торта. Значимые даты. Цифра 55, серебряная С-2497</t>
  </si>
  <si>
    <t>С-2497</t>
  </si>
  <si>
    <t>4665306724973</t>
  </si>
  <si>
    <t>113996</t>
  </si>
  <si>
    <t>Свеча для торта. Значимые даты. Цифра 55, синяя С-2487</t>
  </si>
  <si>
    <t>С-2487</t>
  </si>
  <si>
    <t>4665306724874</t>
  </si>
  <si>
    <t>113990</t>
  </si>
  <si>
    <t>Свеча для торта. Значимые даты. Цифра 60, красная С-2481</t>
  </si>
  <si>
    <t>С-2481</t>
  </si>
  <si>
    <t>4665306724812</t>
  </si>
  <si>
    <t>181702</t>
  </si>
  <si>
    <t>Свеча для торта. Значимые даты. Цифра 60, розовая С-2720</t>
  </si>
  <si>
    <t>С-2720</t>
  </si>
  <si>
    <t>4620129727204</t>
  </si>
  <si>
    <t>114009</t>
  </si>
  <si>
    <t>Свеча для торта. Значимые даты. Цифра 60, серебряная С-2498</t>
  </si>
  <si>
    <t>С-2498</t>
  </si>
  <si>
    <t>4665306724980</t>
  </si>
  <si>
    <t>113997</t>
  </si>
  <si>
    <t>Свеча для торта. Значимые даты. Цифра 60, синяя С-2488</t>
  </si>
  <si>
    <t>С-2488</t>
  </si>
  <si>
    <t>4665306724881</t>
  </si>
  <si>
    <t>114020</t>
  </si>
  <si>
    <t>Свеча для торта.Шебби шик, Цифра 0, золотая С-2509</t>
  </si>
  <si>
    <t>С-2509</t>
  </si>
  <si>
    <t>4665306725093</t>
  </si>
  <si>
    <t>114010</t>
  </si>
  <si>
    <t>Свеча для торта.Шебби шик, Цифра 0, серебряная С-2499</t>
  </si>
  <si>
    <t>С-2499</t>
  </si>
  <si>
    <t>4665306724997</t>
  </si>
  <si>
    <t>114021</t>
  </si>
  <si>
    <t>Свеча для торта.Шебби шик, Цифра 1, золотая С-2510</t>
  </si>
  <si>
    <t>С-2510</t>
  </si>
  <si>
    <t>4665306725109</t>
  </si>
  <si>
    <t>114011</t>
  </si>
  <si>
    <t>Свеча для торта.Шебби шик, Цифра 1, серебряная С-2500</t>
  </si>
  <si>
    <t>С-2500</t>
  </si>
  <si>
    <t>4665306725000</t>
  </si>
  <si>
    <t>114022</t>
  </si>
  <si>
    <t>Свеча для торта.Шебби шик, Цифра 2, золотая С-2511</t>
  </si>
  <si>
    <t>С-2511</t>
  </si>
  <si>
    <t>4665306725116</t>
  </si>
  <si>
    <t>114012</t>
  </si>
  <si>
    <t>Свеча для торта.Шебби шик, Цифра 2, серебряная С-2501</t>
  </si>
  <si>
    <t>С-2501</t>
  </si>
  <si>
    <t>4665306725017</t>
  </si>
  <si>
    <t>114023</t>
  </si>
  <si>
    <t>Свеча для торта.Шебби шик, Цифра 3, золотая С-2512</t>
  </si>
  <si>
    <t>С-2512</t>
  </si>
  <si>
    <t>4665306725123</t>
  </si>
  <si>
    <t>114013</t>
  </si>
  <si>
    <t>Свеча для торта.Шебби шик, Цифра 3, серебряная С-2502</t>
  </si>
  <si>
    <t>С-2502</t>
  </si>
  <si>
    <t>4665306725024</t>
  </si>
  <si>
    <t>114024</t>
  </si>
  <si>
    <t>Свеча для торта.Шебби шик, Цифра 4, золотая С-2513</t>
  </si>
  <si>
    <t>С-2513</t>
  </si>
  <si>
    <t>4665306725130</t>
  </si>
  <si>
    <t>114014</t>
  </si>
  <si>
    <t>Свеча для торта.Шебби шик, Цифра 4, серебряная С-2503</t>
  </si>
  <si>
    <t>С-2503</t>
  </si>
  <si>
    <t>4665306725031</t>
  </si>
  <si>
    <t>114025</t>
  </si>
  <si>
    <t>Свеча для торта.Шебби шик, Цифра 5, золотая С-2514</t>
  </si>
  <si>
    <t>С-2514</t>
  </si>
  <si>
    <t>4665306725147</t>
  </si>
  <si>
    <t>114015</t>
  </si>
  <si>
    <t>Свеча для торта.Шебби шик, Цифра 5, серебряная С-2504</t>
  </si>
  <si>
    <t>С-2504</t>
  </si>
  <si>
    <t>4665306725048</t>
  </si>
  <si>
    <t>114026</t>
  </si>
  <si>
    <t>Свеча для торта.Шебби шик, Цифра 6, золотая С-2515</t>
  </si>
  <si>
    <t>С-2515</t>
  </si>
  <si>
    <t>4665306725154</t>
  </si>
  <si>
    <t>114016</t>
  </si>
  <si>
    <t>Свеча для торта.Шебби шик, Цифра 6, серебряная С-2505</t>
  </si>
  <si>
    <t>С-2505</t>
  </si>
  <si>
    <t>4665306725055</t>
  </si>
  <si>
    <t>114028</t>
  </si>
  <si>
    <t>Свеча для торта.Шебби шик, Цифра 7, золотая С-2516</t>
  </si>
  <si>
    <t>С-2516</t>
  </si>
  <si>
    <t>4665306725161</t>
  </si>
  <si>
    <t>114017</t>
  </si>
  <si>
    <t>Свеча для торта.Шебби шик, Цифра 7, серебряная С-2506</t>
  </si>
  <si>
    <t>С-2506</t>
  </si>
  <si>
    <t>4665306725062</t>
  </si>
  <si>
    <t>114029</t>
  </si>
  <si>
    <t>Свеча для торта.Шебби шик, Цифра 8, золотая С-2517</t>
  </si>
  <si>
    <t>С-2517</t>
  </si>
  <si>
    <t>4665306725178</t>
  </si>
  <si>
    <t>114018</t>
  </si>
  <si>
    <t>Свеча для торта.Шебби шик, Цифра 8, серебряная С-2507</t>
  </si>
  <si>
    <t>С-2507</t>
  </si>
  <si>
    <t>4665306725079</t>
  </si>
  <si>
    <t>114030</t>
  </si>
  <si>
    <t>Свеча для торта.Шебби шик, Цифра 9, золотая С-2518</t>
  </si>
  <si>
    <t>С-2518</t>
  </si>
  <si>
    <t>4665306725185</t>
  </si>
  <si>
    <t>114019</t>
  </si>
  <si>
    <t>Свеча для торта.Шебби шик, Цифра 9, серебряная С-2508</t>
  </si>
  <si>
    <t>С-2508</t>
  </si>
  <si>
    <t>4665306725086</t>
  </si>
  <si>
    <t>072871</t>
  </si>
  <si>
    <t>Свечи с цветным узором с подставками 12 шт. + свеча-цифра "1"  С-0423</t>
  </si>
  <si>
    <t>С-0423</t>
  </si>
  <si>
    <t>4665303204232</t>
  </si>
  <si>
    <t>7,5х4,3 см</t>
  </si>
  <si>
    <t>072872</t>
  </si>
  <si>
    <t>Свечи с цветным узором с подставками. 12 шт. + свеча-цифра "2"  С-0424</t>
  </si>
  <si>
    <t>С-0424</t>
  </si>
  <si>
    <t>4665303204249</t>
  </si>
  <si>
    <t>072873</t>
  </si>
  <si>
    <t>Свечи с цветным узором с подставками. 12 шт. + свеча-цифра "3"  С-0425</t>
  </si>
  <si>
    <t>С-0425</t>
  </si>
  <si>
    <t>4665303204256</t>
  </si>
  <si>
    <t>072874</t>
  </si>
  <si>
    <t>Свечи с цветным узором с подставками. 12 шт. + свеча-цифра "4"  С-0426</t>
  </si>
  <si>
    <t>С-0426</t>
  </si>
  <si>
    <t>4665303204263</t>
  </si>
  <si>
    <t>072875</t>
  </si>
  <si>
    <t>Свечи с цветным узором с подставками. 12 шт. + свеча-цифра "5"  С-0427</t>
  </si>
  <si>
    <t>С-0427</t>
  </si>
  <si>
    <t>4665303204270</t>
  </si>
  <si>
    <t>02 Свечи без подставок</t>
  </si>
  <si>
    <t>041644</t>
  </si>
  <si>
    <t>Свечи для торта золотые 10 шт  С-1241</t>
  </si>
  <si>
    <t>С-1241</t>
  </si>
  <si>
    <t>4665295512414</t>
  </si>
  <si>
    <t>свеча 9 x 13 x 1</t>
  </si>
  <si>
    <t>041639</t>
  </si>
  <si>
    <t>Свечи для торта разноцветные 24 шт  С-1238</t>
  </si>
  <si>
    <t>С-1238</t>
  </si>
  <si>
    <t>4665295512384</t>
  </si>
  <si>
    <t>свеча 9 x 14 x 1</t>
  </si>
  <si>
    <t>041635</t>
  </si>
  <si>
    <t>Свечи для торта с цветным узором 12 шт  С-1234</t>
  </si>
  <si>
    <t>С-1234</t>
  </si>
  <si>
    <t>4665295512346</t>
  </si>
  <si>
    <t>03 Свечи с подставками</t>
  </si>
  <si>
    <t>244521</t>
  </si>
  <si>
    <t>Свечи для торта  на подставках "Металлические линии", 0.5*12.5+2 см, 12 шт, С-2001</t>
  </si>
  <si>
    <t>С-2001</t>
  </si>
  <si>
    <t>4640306920068</t>
  </si>
  <si>
    <t>0.5*12.5</t>
  </si>
  <si>
    <t>072906</t>
  </si>
  <si>
    <t>Свечи для торта  с подставками.  Точки и полосы,  голубые, 12шт. С-0458</t>
  </si>
  <si>
    <t>С-0458</t>
  </si>
  <si>
    <t>4665303204584</t>
  </si>
  <si>
    <t>высота 6 см</t>
  </si>
  <si>
    <t>072903</t>
  </si>
  <si>
    <t>Свечи для торта  с подставками. Весёлые точки, 12шт.  С-0455</t>
  </si>
  <si>
    <t>С-0455</t>
  </si>
  <si>
    <t>4665303204553</t>
  </si>
  <si>
    <t>041641</t>
  </si>
  <si>
    <t>Свечи для торта джамбо разноцветные 12 шт  С-1239</t>
  </si>
  <si>
    <t>С-1239</t>
  </si>
  <si>
    <t>4665295512391</t>
  </si>
  <si>
    <t>244539</t>
  </si>
  <si>
    <t>Свечи для торта на подставках "Веселый праздник", 0.4*10.5 + 3см, 6шт, золотистые, С-2019</t>
  </si>
  <si>
    <t>С-2019</t>
  </si>
  <si>
    <t>4640306920242</t>
  </si>
  <si>
    <t>0.4*10.5</t>
  </si>
  <si>
    <t>244541</t>
  </si>
  <si>
    <t>Свечи для торта на подставках "Веселый праздник", 0.4*10.5 + 3см, 6шт, розовые, С-2021</t>
  </si>
  <si>
    <t>С-2021</t>
  </si>
  <si>
    <t>4640306920266</t>
  </si>
  <si>
    <t>244542</t>
  </si>
  <si>
    <t>Свечи для торта на подставках "Веселый праздник", 0.4*10.5 + 3см, 6шт, синие, С-2022</t>
  </si>
  <si>
    <t>С-2022</t>
  </si>
  <si>
    <t>4640306920273</t>
  </si>
  <si>
    <t>244552</t>
  </si>
  <si>
    <t>Свечи для торта на подставках "Веселье", 0.4*10,5 + 3см, 6шт, синие, С-2032</t>
  </si>
  <si>
    <t>С-2032</t>
  </si>
  <si>
    <t>4640306920372</t>
  </si>
  <si>
    <t>244571</t>
  </si>
  <si>
    <t>Свечи для торта на подставках "Весельё", 0.4*5.5 + 4,5 см, 12шт,ассорти, С-2045</t>
  </si>
  <si>
    <t>С-2045</t>
  </si>
  <si>
    <t>4640306920501</t>
  </si>
  <si>
    <t>0.4*5.5</t>
  </si>
  <si>
    <t>244551</t>
  </si>
  <si>
    <t>Свечи для торта на подставках "Веселье",0.4*10,5 + 3см, 6шт, розовые, С-2031</t>
  </si>
  <si>
    <t>С-2031</t>
  </si>
  <si>
    <t>4640306920365</t>
  </si>
  <si>
    <t>244560</t>
  </si>
  <si>
    <t>Свечи для торта на подставках "Волшебство", 0.4*10,5 + 3см, 6шт,  фиолетово-розовые, С-2039</t>
  </si>
  <si>
    <t>С-2039</t>
  </si>
  <si>
    <t>4640306920440</t>
  </si>
  <si>
    <t>244562</t>
  </si>
  <si>
    <t>Свечи для торта на подставках "Волшебство", 0.4*10,5 + 3см, 6шт, розово-золотистые, С-2041</t>
  </si>
  <si>
    <t>С-2041</t>
  </si>
  <si>
    <t>4640306920464</t>
  </si>
  <si>
    <t>244561</t>
  </si>
  <si>
    <t>Свечи для торта на подставках "Волшебство", 0.4*10,5 + 3см, 6шт, розово-серебристые, С-2040</t>
  </si>
  <si>
    <t>С-2040</t>
  </si>
  <si>
    <t>4640306920457</t>
  </si>
  <si>
    <t>244563</t>
  </si>
  <si>
    <t>Свечи для торта на подставках "Волшебство", 0.4*10,5 + 3см, 6шт, фиолетово-синие, С-2042</t>
  </si>
  <si>
    <t>С-2042</t>
  </si>
  <si>
    <t>4640306920471</t>
  </si>
  <si>
    <t>244565</t>
  </si>
  <si>
    <t>Свечи для торта на подставках "Волшебство", 0.4*10,5 + 4,5 см, 10шт, ассорти, С-2044</t>
  </si>
  <si>
    <t>С-2044</t>
  </si>
  <si>
    <t>4640306920495</t>
  </si>
  <si>
    <t>244564</t>
  </si>
  <si>
    <t>Свечи для торта на подставках "Волшебство",0.4*10,5 + 3см, 6шт,розово-голубые, С-2043</t>
  </si>
  <si>
    <t>С-2043</t>
  </si>
  <si>
    <t>4640306920488</t>
  </si>
  <si>
    <t>244534</t>
  </si>
  <si>
    <t>Свечи для торта на подставках "Золотистые звездочки",0.7*7 + 2см, 6шт, С-2014</t>
  </si>
  <si>
    <t>С-2014</t>
  </si>
  <si>
    <t>4640306920198</t>
  </si>
  <si>
    <t>0.7*7</t>
  </si>
  <si>
    <t>244533</t>
  </si>
  <si>
    <t>Свечи для торта на подставках "Золотистые полосы",0.7*7 + 2см, 6шт, С-2013</t>
  </si>
  <si>
    <t>С-2013</t>
  </si>
  <si>
    <t>4640306920181</t>
  </si>
  <si>
    <t>244523</t>
  </si>
  <si>
    <t>Свечи для торта на подставках "Металлические звездочки", 0.5*12.5+2 см, 12 шт, С-2003</t>
  </si>
  <si>
    <t>С-2003</t>
  </si>
  <si>
    <t>4640306920082</t>
  </si>
  <si>
    <t>244524</t>
  </si>
  <si>
    <t>Свечи для торта на подставках "Металлический принт", 0.5*12.5+2 см, 12 шт, С-2004</t>
  </si>
  <si>
    <t>С-2004</t>
  </si>
  <si>
    <t>4640306920099</t>
  </si>
  <si>
    <t>244525</t>
  </si>
  <si>
    <t>Свечи для торта на подставках "Нежность", 0.4*12 + 4 см, 6 шт, С-2005</t>
  </si>
  <si>
    <t>С-2005</t>
  </si>
  <si>
    <t>4640306920105</t>
  </si>
  <si>
    <t>0.4*12</t>
  </si>
  <si>
    <t>244566</t>
  </si>
  <si>
    <t>Свечи для торта на подставках "Праздничный всплеск", 0.4*10,5 + 4,5 см, 10шт, белые, С-2046</t>
  </si>
  <si>
    <t>С-2046</t>
  </si>
  <si>
    <t>4640306920518</t>
  </si>
  <si>
    <t>244569</t>
  </si>
  <si>
    <t>Свечи для торта на подставках "Праздничный всплеск", 0.4*10,5 + 4,5 см, 10шт, разноцветные, С-2049</t>
  </si>
  <si>
    <t>С-2049</t>
  </si>
  <si>
    <t>4640306920549</t>
  </si>
  <si>
    <t>244570</t>
  </si>
  <si>
    <t>Свечи для торта на подставках "Праздничный всплеск", 0.4*10,5 + 4,5 см, 10шт, розовые, С-2050</t>
  </si>
  <si>
    <t>С-2050</t>
  </si>
  <si>
    <t>4640306920556</t>
  </si>
  <si>
    <t>244568</t>
  </si>
  <si>
    <t>Свечи для торта на подставках "Праздничный всплеск", 0.4*10,5 + 4,5 см, 10шт, черные, С-2048</t>
  </si>
  <si>
    <t>С-2048</t>
  </si>
  <si>
    <t>4640306920532</t>
  </si>
  <si>
    <t>244567</t>
  </si>
  <si>
    <t>Свечи для торта на подставках "Праздничный всплеск", 0.4*10,5 + 4,5 см,10шт, золотистые, С-2047</t>
  </si>
  <si>
    <t>С-2047</t>
  </si>
  <si>
    <t>4640306920525</t>
  </si>
  <si>
    <t>244535</t>
  </si>
  <si>
    <t>Свечи для торта на подставках "Серебристые звездочки",0.7*7 + 2см, 6шт, С-2015</t>
  </si>
  <si>
    <t>С-2015</t>
  </si>
  <si>
    <t>4640306920204</t>
  </si>
  <si>
    <t>244537</t>
  </si>
  <si>
    <t>Свечи для торта на подставках "Серебристые точки",0.7*7 + 2см, 6шт, С-2017</t>
  </si>
  <si>
    <t>С-2017</t>
  </si>
  <si>
    <t>4640306920228</t>
  </si>
  <si>
    <t>244573</t>
  </si>
  <si>
    <t>Свечи для торта на подставках "Сияние", 0.4*12 + 4 см, 6шт,  белые, С-2052</t>
  </si>
  <si>
    <t>С-2052</t>
  </si>
  <si>
    <t>4640306920570</t>
  </si>
  <si>
    <t>244575</t>
  </si>
  <si>
    <t>Свечи для торта на подставках "Сияние", 0.4*12 + 4 см, 6шт, бирюзовые, С-2054</t>
  </si>
  <si>
    <t>С-2054</t>
  </si>
  <si>
    <t>4640306920594</t>
  </si>
  <si>
    <t>244574</t>
  </si>
  <si>
    <t>Свечи для торта на подставках "Сияние", 0.4*12 + 4 см, 6шт, розовые, С-2053</t>
  </si>
  <si>
    <t>С-2053</t>
  </si>
  <si>
    <t>4640306920587</t>
  </si>
  <si>
    <t>244576</t>
  </si>
  <si>
    <t>Свечи для торта на подставках "Сияние", 0.4*12 + 4 см, 6шт, фиолетовые, С-2055</t>
  </si>
  <si>
    <t>С-2055</t>
  </si>
  <si>
    <t>4640306920600</t>
  </si>
  <si>
    <t>244572</t>
  </si>
  <si>
    <t>Свечи для торта на подставках "Сияние", 0.4*12 + 4 см, 6шт, черные, С-2051</t>
  </si>
  <si>
    <t>С-2051</t>
  </si>
  <si>
    <t>4640306920563</t>
  </si>
  <si>
    <t>244547</t>
  </si>
  <si>
    <t>Свечи для торта на подставках "Торжество", 0.5*13 + 2см, 6шт, ассорти, С-2027</t>
  </si>
  <si>
    <t>С-2027</t>
  </si>
  <si>
    <t>4640306920327</t>
  </si>
  <si>
    <t>0.5*13</t>
  </si>
  <si>
    <t>244543</t>
  </si>
  <si>
    <t>Свечи для торта на подставках "Торжество", 0.5*13 + 2см, 6шт, золотистые, С-2023</t>
  </si>
  <si>
    <t>С-2023</t>
  </si>
  <si>
    <t>4640306920280</t>
  </si>
  <si>
    <t>244546</t>
  </si>
  <si>
    <t>Свечи для торта на подставках "Торжество", 0.5*13 + 2см, 6шт, синие, С-2026</t>
  </si>
  <si>
    <t>С-2026</t>
  </si>
  <si>
    <t>4640306920310</t>
  </si>
  <si>
    <t>244548</t>
  </si>
  <si>
    <t>Свечи для торта на подставках "Торжество", 0.5*13 + 2см, 6шт, хром, С-2028</t>
  </si>
  <si>
    <t>С-2028</t>
  </si>
  <si>
    <t>4640306920334</t>
  </si>
  <si>
    <t>244544</t>
  </si>
  <si>
    <t>Свечи для торта на подставках "Торжество",0.5*13 + 2см, 6шт, серебристые, С-2024</t>
  </si>
  <si>
    <t>С-2024</t>
  </si>
  <si>
    <t>4640306920297</t>
  </si>
  <si>
    <t>244526</t>
  </si>
  <si>
    <t>Свечи для торта на подставках "Яркий блеск", 0.4*12 + 4 см, 6 шт, золотистые, С-2006</t>
  </si>
  <si>
    <t>С-2006</t>
  </si>
  <si>
    <t>4640306920112</t>
  </si>
  <si>
    <t>244528</t>
  </si>
  <si>
    <t>Свечи для торта на подставках "Яркий блеск", 0.4*12 + 4 см, 6 шт, розовые, С-2008</t>
  </si>
  <si>
    <t>С-2008</t>
  </si>
  <si>
    <t>4640306920136</t>
  </si>
  <si>
    <t>244527</t>
  </si>
  <si>
    <t>Свечи для торта на подставках "Яркий блеск", 0.4*12 + 4 см, 6 шт, серебристые, С-2007</t>
  </si>
  <si>
    <t>С-2007</t>
  </si>
  <si>
    <t>4640306920129</t>
  </si>
  <si>
    <t>244529</t>
  </si>
  <si>
    <t>Свечи для торта на подставках "Яркий блеск", 0.4*12 + 4 см, 6 шт, синие, С-2009</t>
  </si>
  <si>
    <t>С-2009</t>
  </si>
  <si>
    <t>4640306920143</t>
  </si>
  <si>
    <t>244554</t>
  </si>
  <si>
    <t>Свечи для торта на подставках "Яркий праздник", 0.4*10,5 + 3см, 6шт, золотистые, С-2034</t>
  </si>
  <si>
    <t>С-2034</t>
  </si>
  <si>
    <t>4640306920396</t>
  </si>
  <si>
    <t>244558</t>
  </si>
  <si>
    <t>Свечи для торта на подставках "Яркий праздник", 0.4*10,5 + 3см, 6шт, розово-серебристые, С-2038</t>
  </si>
  <si>
    <t>С-2038</t>
  </si>
  <si>
    <t>4640306920433</t>
  </si>
  <si>
    <t>244556</t>
  </si>
  <si>
    <t>Свечи для торта на подставках "Яркий праздник", 0.4*10,5 + 3см, 6шт, розовые, С-2036</t>
  </si>
  <si>
    <t>С-2036</t>
  </si>
  <si>
    <t>4640306920419</t>
  </si>
  <si>
    <t>244555</t>
  </si>
  <si>
    <t>Свечи для торта на подставках "Яркий праздник", 0.4*10,5 + 3см, 6шт, серебристые, С-2035</t>
  </si>
  <si>
    <t>С-2035</t>
  </si>
  <si>
    <t>4640306920402</t>
  </si>
  <si>
    <t>244557</t>
  </si>
  <si>
    <t>Свечи для торта на подставках "Яркий праздник", 0.4*10,5 + 3см, 6шт, синие, С-2037</t>
  </si>
  <si>
    <t>С-2037</t>
  </si>
  <si>
    <t>4640306920426</t>
  </si>
  <si>
    <t>041628</t>
  </si>
  <si>
    <t>Свечи для торта разноцветные 12 шт с подставками  С-1228</t>
  </si>
  <si>
    <t>С-1228</t>
  </si>
  <si>
    <t>4665295512285</t>
  </si>
  <si>
    <t>041631</t>
  </si>
  <si>
    <t>Свечи для торта разноцветные 24 шт с подставками  С-1231</t>
  </si>
  <si>
    <t>С-1231</t>
  </si>
  <si>
    <t>4665295512315</t>
  </si>
  <si>
    <t>072915</t>
  </si>
  <si>
    <t>Свечи для торта с подставками. Весёлая радуга,  24 шт.  С-0467</t>
  </si>
  <si>
    <t>С-0467</t>
  </si>
  <si>
    <t>4665303204676</t>
  </si>
  <si>
    <t>072904</t>
  </si>
  <si>
    <t>Свечи для торта с подставками. Озорные точки, 12шт.   С-0456</t>
  </si>
  <si>
    <t>С-0456</t>
  </si>
  <si>
    <t>4665303204560</t>
  </si>
  <si>
    <t>072917</t>
  </si>
  <si>
    <t>Свечи для торта с подставками. Радужные,  24 шт. С-0469</t>
  </si>
  <si>
    <t>С-0469</t>
  </si>
  <si>
    <t>4665303204690</t>
  </si>
  <si>
    <t>072911</t>
  </si>
  <si>
    <t>Свечи для торта с подставками. Ромбы, голубые, 24шт.  С-0463</t>
  </si>
  <si>
    <t>С-0463</t>
  </si>
  <si>
    <t>4665303204638</t>
  </si>
  <si>
    <t>072910</t>
  </si>
  <si>
    <t>Свечи для торта с подставками. Ромбы, розовые, 24шт.  С-0462</t>
  </si>
  <si>
    <t>С-0462</t>
  </si>
  <si>
    <t>4665303204621</t>
  </si>
  <si>
    <t>072913</t>
  </si>
  <si>
    <t>Свечи для торта с подставками. Яркие цвета,  24 шт. С-0465</t>
  </si>
  <si>
    <t>С-0465</t>
  </si>
  <si>
    <t>4665303204652</t>
  </si>
  <si>
    <t>122667</t>
  </si>
  <si>
    <t>Свечи для торта с цветным пламенем 6 шт. с подставками С-5905</t>
  </si>
  <si>
    <t>С-5905</t>
  </si>
  <si>
    <t>4665307359051</t>
  </si>
  <si>
    <t>041627</t>
  </si>
  <si>
    <t>Свечи для торта с цветным узором 12 шт с подставками  С-1227</t>
  </si>
  <si>
    <t>С-1227</t>
  </si>
  <si>
    <t>4665295512278</t>
  </si>
  <si>
    <t>163780</t>
  </si>
  <si>
    <t>Свечи для торта Счастливый праздник, Малиновые 10 шт  с подставками С-2988</t>
  </si>
  <si>
    <t>С-2988</t>
  </si>
  <si>
    <t>4610144829885</t>
  </si>
  <si>
    <t>163776</t>
  </si>
  <si>
    <t>Свечи для торта Счастливый праздник, Серебряные 10 шт  с подставками С-2986</t>
  </si>
  <si>
    <t>С-2986</t>
  </si>
  <si>
    <t>4610144829861</t>
  </si>
  <si>
    <t>163770</t>
  </si>
  <si>
    <t>Свечи для торта Счастливый праздник, Синие 10 шт с подставками С-2983</t>
  </si>
  <si>
    <t>С-2983</t>
  </si>
  <si>
    <t>4610144829830</t>
  </si>
  <si>
    <t>163771</t>
  </si>
  <si>
    <t>Свечи для торта Счастливый праздник, Фиолетовые 10 шт с подставками С-2984</t>
  </si>
  <si>
    <t>С-2984</t>
  </si>
  <si>
    <t>4610144829847</t>
  </si>
  <si>
    <t>05 Свечи на пиках</t>
  </si>
  <si>
    <t>192865</t>
  </si>
  <si>
    <t>Свечи для торта Благородное золото С Днем Рождения на пиках С-8335</t>
  </si>
  <si>
    <t>С-8335</t>
  </si>
  <si>
    <t>4610144883351</t>
  </si>
  <si>
    <t>192798</t>
  </si>
  <si>
    <t>Свечи для торта Игривые золотые С Днем Рождения на пиках С-8274</t>
  </si>
  <si>
    <t>С-8274</t>
  </si>
  <si>
    <t>4610144882743</t>
  </si>
  <si>
    <t>113983</t>
  </si>
  <si>
    <t>Свечи для торта на длинных пиках. Золотые звезды, 4 шт С-2466</t>
  </si>
  <si>
    <t>С-2466</t>
  </si>
  <si>
    <t>4665306724669</t>
  </si>
  <si>
    <t>113982</t>
  </si>
  <si>
    <t>Свечи для торта на длинных пиках. Серебряные звезды, 4 шт С-2465</t>
  </si>
  <si>
    <t>С-2465</t>
  </si>
  <si>
    <t>4665306724652</t>
  </si>
  <si>
    <t>122884</t>
  </si>
  <si>
    <t>Свечи для торта на пиках  "Ананасы и фламинго", 5 шт. С-6009</t>
  </si>
  <si>
    <t>С-6009</t>
  </si>
  <si>
    <t>4665307360095</t>
  </si>
  <si>
    <t>10*10,5 см (размер кор.)</t>
  </si>
  <si>
    <t>122839</t>
  </si>
  <si>
    <t>Свечи для торта на пиках "Ананасы", 5 шт. С-6246</t>
  </si>
  <si>
    <t>С-6246</t>
  </si>
  <si>
    <t>4665307362464</t>
  </si>
  <si>
    <t>072898</t>
  </si>
  <si>
    <t>Свечи для торта на пиках "Весёлая гонка", 5 шт. С-0450</t>
  </si>
  <si>
    <t>С-0450</t>
  </si>
  <si>
    <t>4665303204508</t>
  </si>
  <si>
    <t>122845</t>
  </si>
  <si>
    <t>Свечи для торта на пиках "Ламы и кактусы", 5 шт.  С-6244</t>
  </si>
  <si>
    <t>С-6244</t>
  </si>
  <si>
    <t>4665307362440</t>
  </si>
  <si>
    <t>122851</t>
  </si>
  <si>
    <t>Свечи для торта на пиках Весёлые единороги , 5 шт. С-6023</t>
  </si>
  <si>
    <t>С-6023</t>
  </si>
  <si>
    <t>4665307360231</t>
  </si>
  <si>
    <t>122865</t>
  </si>
  <si>
    <t>Свечи для торта на пиках Единорог и радуга, 5 шт. С-6018</t>
  </si>
  <si>
    <t>С-6018</t>
  </si>
  <si>
    <t>4665307360187</t>
  </si>
  <si>
    <t>122856</t>
  </si>
  <si>
    <t>Свечи для торта на пиках Кактусы , 5 шт. С-6021</t>
  </si>
  <si>
    <t>С-6021</t>
  </si>
  <si>
    <t>4665307360217</t>
  </si>
  <si>
    <t>122838</t>
  </si>
  <si>
    <t>Свечи для торта на пиках Полёт в космос, 5 шт. С-6247</t>
  </si>
  <si>
    <t>С-6247</t>
  </si>
  <si>
    <t>4665307362471</t>
  </si>
  <si>
    <t>122842</t>
  </si>
  <si>
    <t>Свечи для торта на пиках Яркий единорог  и радуга, 5 шт.  С-6245</t>
  </si>
  <si>
    <t>С-6245</t>
  </si>
  <si>
    <t>4665307362457</t>
  </si>
  <si>
    <t>164015</t>
  </si>
  <si>
    <t>Свечи для торта на пиках. "Розовые фламинго", 5 шт С-3000</t>
  </si>
  <si>
    <t>С-3000</t>
  </si>
  <si>
    <t>4610144830003</t>
  </si>
  <si>
    <t>114059</t>
  </si>
  <si>
    <t>Свечи для торта на пиках. Золотые звездочки, 5 шт. С-2542</t>
  </si>
  <si>
    <t>С-2542</t>
  </si>
  <si>
    <t>4665306725420</t>
  </si>
  <si>
    <t>114057</t>
  </si>
  <si>
    <t>Свечи для торта на пиках. Золотые сердечки, 5 шт.  С-2540</t>
  </si>
  <si>
    <t>С-2540</t>
  </si>
  <si>
    <t>4665306725406</t>
  </si>
  <si>
    <t>114060</t>
  </si>
  <si>
    <t>Свечи для торта на пиках. Золотые шарики, 5 шт. С-2543</t>
  </si>
  <si>
    <t>С-2543</t>
  </si>
  <si>
    <t>4665306725437</t>
  </si>
  <si>
    <t>114058</t>
  </si>
  <si>
    <t>Свечи для торта на пиках. Серебряные звездочки, 5 шт. С-2541</t>
  </si>
  <si>
    <t>С-2541</t>
  </si>
  <si>
    <t>4665306725413</t>
  </si>
  <si>
    <t>114056</t>
  </si>
  <si>
    <t>Свечи для торта на пиках. Серебряные сердечки, 5 шт.  С-2539</t>
  </si>
  <si>
    <t>С-2539</t>
  </si>
  <si>
    <t>4665306725390</t>
  </si>
  <si>
    <t>114061</t>
  </si>
  <si>
    <t>Свечи для торта на пиках. Серебряные шарики, 5 шт.  С-2544</t>
  </si>
  <si>
    <t>С-2544</t>
  </si>
  <si>
    <t>4665306725444</t>
  </si>
  <si>
    <t>192867</t>
  </si>
  <si>
    <t>Свечи для торта яркое настроение С Днем Рождения на пиках С-8337</t>
  </si>
  <si>
    <t>С-8337</t>
  </si>
  <si>
    <t>4610144883375</t>
  </si>
  <si>
    <t>07 Музыкальные и незатухаемые свечи</t>
  </si>
  <si>
    <t>122832</t>
  </si>
  <si>
    <t>Свеча для торта музыкальная красная С-6249</t>
  </si>
  <si>
    <t>С-6249</t>
  </si>
  <si>
    <t>4665307362495</t>
  </si>
  <si>
    <t>122830</t>
  </si>
  <si>
    <t>Свеча для торта музыкальная синяя С-6250</t>
  </si>
  <si>
    <t>С-6250</t>
  </si>
  <si>
    <t>4665307362501</t>
  </si>
  <si>
    <t>041654</t>
  </si>
  <si>
    <t>Свечи для торта "Волшебные свечи" (незатухаемые) 10 шт  С-1251</t>
  </si>
  <si>
    <t>С-1251</t>
  </si>
  <si>
    <t>4665295512513</t>
  </si>
  <si>
    <t>072909</t>
  </si>
  <si>
    <t>Свечи для торта с подставками. Чудесные (незатухаемые), 10шт.  С-0461</t>
  </si>
  <si>
    <t>С-0461</t>
  </si>
  <si>
    <t>4665303204614</t>
  </si>
  <si>
    <t>03 Воздушные шарики</t>
  </si>
  <si>
    <t>Аксессуары для воздушных шаров</t>
  </si>
  <si>
    <t>230976</t>
  </si>
  <si>
    <t>Подставка-держатель на 7 шаров "Праздник", 2 НАБОРА, 70 см ПШВ-7951</t>
  </si>
  <si>
    <t>ПШВ-7951</t>
  </si>
  <si>
    <t>4670159179511</t>
  </si>
  <si>
    <t>70 см</t>
  </si>
  <si>
    <t>230975</t>
  </si>
  <si>
    <t>Подставка-держатель на 7 шаров "Праздник", 70 см ПШВ-7950</t>
  </si>
  <si>
    <t>ПШВ-7950</t>
  </si>
  <si>
    <t>4670159179504</t>
  </si>
  <si>
    <t>226300</t>
  </si>
  <si>
    <t>Ручной насос для воздушных шариков, 28,5 см, зеленый РУН-6028</t>
  </si>
  <si>
    <t>РУН-6028</t>
  </si>
  <si>
    <t>4670159160281</t>
  </si>
  <si>
    <t>28.13.22.000</t>
  </si>
  <si>
    <t>8414208000</t>
  </si>
  <si>
    <t>28,5 см</t>
  </si>
  <si>
    <t>226296</t>
  </si>
  <si>
    <t>Ручной насос для воздушных шариков, 28,5 см, фиолетовый РУН-6025</t>
  </si>
  <si>
    <t>РУН-6025</t>
  </si>
  <si>
    <t>4670159160250</t>
  </si>
  <si>
    <t>206963</t>
  </si>
  <si>
    <t>Ручной насос для воздушных шариков, красный РУН-5691</t>
  </si>
  <si>
    <t>РУН-5691</t>
  </si>
  <si>
    <t>4670159056911</t>
  </si>
  <si>
    <t>226841</t>
  </si>
  <si>
    <t>Электронасос  для воздушных шаров,2 клапана плавного нажатия,600 Вт,200В, 14,5×19,5×14,5 см КМП-6270</t>
  </si>
  <si>
    <t>КМП-6270</t>
  </si>
  <si>
    <t>4670159162704</t>
  </si>
  <si>
    <t>28.13.28.190</t>
  </si>
  <si>
    <t>8414809000</t>
  </si>
  <si>
    <t>14,5×19,5×14,5 см</t>
  </si>
  <si>
    <t>Наборы воздушных шаров</t>
  </si>
  <si>
    <t xml:space="preserve"> Наборы воздушных шаров 5шт</t>
  </si>
  <si>
    <t>214272</t>
  </si>
  <si>
    <t>Набор шаров рис. 1ст.2цв "Взрывной мужчина" цветные, 30см,5диз(5шт/уп),собст.разр. ШВ-9823</t>
  </si>
  <si>
    <t>ШВ-9823</t>
  </si>
  <si>
    <t>4670159098232</t>
  </si>
  <si>
    <t>Пастель</t>
  </si>
  <si>
    <t>214270</t>
  </si>
  <si>
    <t>Набор шаров рис. 1ст.2цв "Королева вдохновения" розово-желтый, 30см,5диз(5шт/уп),собст.разр. ШВ-9821</t>
  </si>
  <si>
    <t>ШВ-9821</t>
  </si>
  <si>
    <t>4670159098218</t>
  </si>
  <si>
    <t>Кристал</t>
  </si>
  <si>
    <t>214264</t>
  </si>
  <si>
    <t>Набор шаров рис. 1ст.2цв "Лучший из лучших" сине-черный, 30см,5диз(5шт/уп),собст.разр. ШВ-9815</t>
  </si>
  <si>
    <t>ШВ-9815</t>
  </si>
  <si>
    <t>4670159098157</t>
  </si>
  <si>
    <t>Хром/перламутр (1 шар - хром, 4 шара - п</t>
  </si>
  <si>
    <t>214268</t>
  </si>
  <si>
    <t>Набор шаров рис. 1ст.2цв "С Днем Рождения!" розово-белый, 30см,5диз(5шт/уп),собст.разр. ШВ-9819</t>
  </si>
  <si>
    <t>ШВ-9819</t>
  </si>
  <si>
    <t>4670159098195</t>
  </si>
  <si>
    <t>Хром/перламутр (2 шара "Хром": 1 цвет "С</t>
  </si>
  <si>
    <t>214266</t>
  </si>
  <si>
    <t>Набор шаров рис. 1ст.2цв "С Днем Рождения!" серо-голубой, 30см,5диз(5шт/уп),собст.разр. ШВ-9817</t>
  </si>
  <si>
    <t>ШВ-9817</t>
  </si>
  <si>
    <t>4670159098171</t>
  </si>
  <si>
    <t>Хром/перламутр (2 шара "Хром" в цвете "С</t>
  </si>
  <si>
    <t>214258</t>
  </si>
  <si>
    <t>Набор шаров рис. 1ст.2цв "С Днем Рождения!" сине-оранжевый, 30см,5диз(5шт/уп),собст.разр. ШВ-9809</t>
  </si>
  <si>
    <t>ШВ-9809</t>
  </si>
  <si>
    <t>4670159098096</t>
  </si>
  <si>
    <t>Перламутр</t>
  </si>
  <si>
    <t>214253</t>
  </si>
  <si>
    <t>Набор шаров рис. 1ст.2цв "С Днем Рождения!" черно-золотой, 30см,5диз(5шт/уп),собст.разр. ШВ-9807</t>
  </si>
  <si>
    <t>ШВ-9807</t>
  </si>
  <si>
    <t>4670159098072</t>
  </si>
  <si>
    <t>Хром/пастель (1 шар "Хром" в цвете "Золо</t>
  </si>
  <si>
    <t>214262</t>
  </si>
  <si>
    <t>Набор шаров рис. 1ст.2цв "Умница и красавица" розово-фиолет.,30см,5диз(5шт/уп),собст.разр. ШВ-9813</t>
  </si>
  <si>
    <t>ШВ-9813</t>
  </si>
  <si>
    <t>4670159098133</t>
  </si>
  <si>
    <t>Хром/перламутр (1 шар "Хром" в цвете "Зо</t>
  </si>
  <si>
    <t>Наборы воздушных шаров 25шт</t>
  </si>
  <si>
    <t>214261</t>
  </si>
  <si>
    <t>Набор шаров рис. 1ст.2цв "Happy Birthday!" розово-голубой, 30см,5диз(25шт/уп),собст.разр. ШВ-9812</t>
  </si>
  <si>
    <t>ШВ-9812</t>
  </si>
  <si>
    <t>4670159098126</t>
  </si>
  <si>
    <t>214273</t>
  </si>
  <si>
    <t>Набор шаров рис. 1ст.2цв "Взрывной мужчина" цветные, 30см,5диз(25шт/уп),собст.разр. ШВ-9824</t>
  </si>
  <si>
    <t>ШВ-9824</t>
  </si>
  <si>
    <t>4670159098249</t>
  </si>
  <si>
    <t>214271</t>
  </si>
  <si>
    <t>Набор шаров рис. 1ст.2цв "Королева вдохновения" розово-желт.,30см,5диз(25шт/уп),собст.разр. ШВ-9822</t>
  </si>
  <si>
    <t>ШВ-9822</t>
  </si>
  <si>
    <t>4670159098225</t>
  </si>
  <si>
    <t>214265</t>
  </si>
  <si>
    <t>Набор шаров рис. 1ст.2цв "Лучший из лучших" сине-черный, 30см,5диз(25шт/уп),собст.разр. ШВ-9816</t>
  </si>
  <si>
    <t>ШВ-9816</t>
  </si>
  <si>
    <t>4670159098164</t>
  </si>
  <si>
    <t>Хром/перламутр (5 шаров - хром, 20 шаров</t>
  </si>
  <si>
    <t>214275</t>
  </si>
  <si>
    <t>Набор шаров рис. 1ст.2цв "Поздравляю!"  оранжево бирюзовый, 30см,5диз(25шт/уп),собст.разр. ШВ-9826</t>
  </si>
  <si>
    <t>ШВ-9826</t>
  </si>
  <si>
    <t>4670159098263</t>
  </si>
  <si>
    <t>214269</t>
  </si>
  <si>
    <t>Набор шаров рис. 1ст.2цв "С Днем Рождения!" розово-белый, 30см,5диз(25шт/уп),собст.разр. ШВ-9820</t>
  </si>
  <si>
    <t>ШВ-9820</t>
  </si>
  <si>
    <t>4670159098201</t>
  </si>
  <si>
    <t>Хром/перламутр (10 шаров "Хром": 5 цвета</t>
  </si>
  <si>
    <t>214267</t>
  </si>
  <si>
    <t>Набор шаров рис. 1ст.2цв "С Днем Рождения!" серо-голубой, 30см,5диз(25шт/уп),собст.разр. ШВ-9818</t>
  </si>
  <si>
    <t>ШВ-9818</t>
  </si>
  <si>
    <t>4670159098188</t>
  </si>
  <si>
    <t>Хром/перламутр (10 шаров "Хром" в цвете</t>
  </si>
  <si>
    <t>214259</t>
  </si>
  <si>
    <t>Набор шаров рис. 1ст.2цв "С Днем Рождения!" сине-оранжевый, 30см,5диз(25шт/уп),собст.разр. ШВ-9810</t>
  </si>
  <si>
    <t>ШВ-9810</t>
  </si>
  <si>
    <t>4670159098102</t>
  </si>
  <si>
    <t>214256</t>
  </si>
  <si>
    <t>Набор шаров рис. 1ст.2цв "С Днем Рождения!" черно-золотой, 30см,5диз(25шт/уп),собст.разр. ШВ-9808</t>
  </si>
  <si>
    <t>ШВ-9808</t>
  </si>
  <si>
    <t>4670159098089</t>
  </si>
  <si>
    <t>Хром/пастель (5 шаров "Хром" в цвете "Зо</t>
  </si>
  <si>
    <t>214263</t>
  </si>
  <si>
    <t>Набор шаров рис.1ст.2цв "Умница и красавица" розово-фиолет.,30см,5диз(25шт/уп),собст.разр. ШВ-9814</t>
  </si>
  <si>
    <t>ШВ-9814</t>
  </si>
  <si>
    <t>4670159098140</t>
  </si>
  <si>
    <t>Хром/перламутр (5 шаров "Хром" в цвете "</t>
  </si>
  <si>
    <t>Наборы воздушных шаров 50шт</t>
  </si>
  <si>
    <t>243463</t>
  </si>
  <si>
    <t>Воздушные надувные шары, в наборе. "Яркие цвета" 25см,10цветов(50шт/уп) ШВ-1762</t>
  </si>
  <si>
    <t>ШВ-1762</t>
  </si>
  <si>
    <t>4670159217626</t>
  </si>
  <si>
    <t>Фольгированные шары цифры</t>
  </si>
  <si>
    <t>Золото</t>
  </si>
  <si>
    <t>236649</t>
  </si>
  <si>
    <t>Воздушный шар Цифра "0", золотистый, фольга, 40'/101 см, ШВ-0756</t>
  </si>
  <si>
    <t>ШВ-0756</t>
  </si>
  <si>
    <t>4670159207566</t>
  </si>
  <si>
    <t>101 см</t>
  </si>
  <si>
    <t>236651</t>
  </si>
  <si>
    <t>Воздушный шар Цифра "2", золотистый, фольга, 40'/101 см  ШВ-0758</t>
  </si>
  <si>
    <t>ШВ-0758</t>
  </si>
  <si>
    <t>4670159207580</t>
  </si>
  <si>
    <t>236653</t>
  </si>
  <si>
    <t>Воздушный шар Цифра "4", золотистый, фольга, 40'/101 см ШВ-0760</t>
  </si>
  <si>
    <t>ШВ-0760</t>
  </si>
  <si>
    <t>4670159207603</t>
  </si>
  <si>
    <t>236655</t>
  </si>
  <si>
    <t>Воздушный шар Цифра "6", золотистый, фольга, 40'/101 см ШВ-0762</t>
  </si>
  <si>
    <t>ШВ-0762</t>
  </si>
  <si>
    <t>4670159207627</t>
  </si>
  <si>
    <t>236656</t>
  </si>
  <si>
    <t>Воздушный шар Цифра "7", золотистый, фольга, 40'/101 см  ШВ-0763</t>
  </si>
  <si>
    <t>ШВ-0763</t>
  </si>
  <si>
    <t>4670159207634</t>
  </si>
  <si>
    <t>236657</t>
  </si>
  <si>
    <t>Воздушный шар Цифра "8", золотистый, фольга, 40'/101 см ШВ-0764</t>
  </si>
  <si>
    <t>ШВ-0764</t>
  </si>
  <si>
    <t>4670159207641</t>
  </si>
  <si>
    <t>236658</t>
  </si>
  <si>
    <t>Воздушный шар Цифра "9", золотистый, фольга, 40'/101 см ШВ-0765</t>
  </si>
  <si>
    <t>ШВ-0765</t>
  </si>
  <si>
    <t>4670159207658</t>
  </si>
  <si>
    <t>Серебро</t>
  </si>
  <si>
    <t>236659</t>
  </si>
  <si>
    <t>Воздушный шар Цифра "0", серебристый, фольга, 40'/101 см  ШВ-0766</t>
  </si>
  <si>
    <t>ШВ-0766</t>
  </si>
  <si>
    <t>4670159207665</t>
  </si>
  <si>
    <t>236661</t>
  </si>
  <si>
    <t>Воздушный шар Цифра "2", серебристый, фольга, 40'/101 см ШВ-0768</t>
  </si>
  <si>
    <t>ШВ-0768</t>
  </si>
  <si>
    <t>4670159207689</t>
  </si>
  <si>
    <t>236662</t>
  </si>
  <si>
    <t>Воздушный шар Цифра "3", серебристый, фольга, 40'/101 см  ШВ-0769</t>
  </si>
  <si>
    <t>ШВ-0769</t>
  </si>
  <si>
    <t>4670159207696</t>
  </si>
  <si>
    <t>236663</t>
  </si>
  <si>
    <t>Воздушный шар Цифра "4", серебристый, фольга, 40'/101 см  ШВ-0770</t>
  </si>
  <si>
    <t>ШВ-0770</t>
  </si>
  <si>
    <t>4670159207702</t>
  </si>
  <si>
    <t>236665</t>
  </si>
  <si>
    <t>Воздушный шар Цифра "6", серебристый, фольга, 40'/101 см ШВ-0772</t>
  </si>
  <si>
    <t>ШВ-0772</t>
  </si>
  <si>
    <t>4670159207726</t>
  </si>
  <si>
    <t>236666</t>
  </si>
  <si>
    <t>Воздушный шар Цифра "7", серебристый, фольга, 40'/101 см ШВ-0773</t>
  </si>
  <si>
    <t>ШВ-0773</t>
  </si>
  <si>
    <t>4670159207733</t>
  </si>
  <si>
    <t>236667</t>
  </si>
  <si>
    <t>Воздушный шар Цифра "8", серебристый, фольга, 40'/101 см ШВ-0774</t>
  </si>
  <si>
    <t>ШВ-0774</t>
  </si>
  <si>
    <t>4670159207740</t>
  </si>
  <si>
    <t>236668</t>
  </si>
  <si>
    <t>Воздушный шар Цифра "9", серебристый, фольга, 40'/101 см  ШВ-0775</t>
  </si>
  <si>
    <t>ШВ-0775</t>
  </si>
  <si>
    <t>4670159207757</t>
  </si>
  <si>
    <t>04 Хэллоуин</t>
  </si>
  <si>
    <t>Аксессуары</t>
  </si>
  <si>
    <t>251238</t>
  </si>
  <si>
    <t>Гирлянда растяжка  тканевая "Тыквы и мыши" 3 м ГТ-2569</t>
  </si>
  <si>
    <t>ГТ-2569</t>
  </si>
  <si>
    <t>4640306925698</t>
  </si>
  <si>
    <t>229036</t>
  </si>
  <si>
    <t>Карнавальный аксессуар. Декоративная паутина на Хэллоуин.(2 паука в наборе,100г.),белая КРК-7339</t>
  </si>
  <si>
    <t>КРК-7339</t>
  </si>
  <si>
    <t>4670159173311</t>
  </si>
  <si>
    <t>229028</t>
  </si>
  <si>
    <t>Карнавальный аксессуар. Декоративная паутина на Хэллоуин.(2 паука в наборе,20г.),белая КРК-7337</t>
  </si>
  <si>
    <t>КРК-7337</t>
  </si>
  <si>
    <t>4670159173298</t>
  </si>
  <si>
    <t>229032</t>
  </si>
  <si>
    <t>Карнавальный аксессуар. Декоративная паутина на Хэллоуин.(2 паука в наборе,60г.),белая КРК-7338</t>
  </si>
  <si>
    <t>КРК-7338</t>
  </si>
  <si>
    <t>4670159173304</t>
  </si>
  <si>
    <t>04670159173304</t>
  </si>
  <si>
    <t>229021</t>
  </si>
  <si>
    <t>Карнавальный аксессуар. Накладные усы на липкой основе (в наборе 12шт), "Джентльмен" КРК-7334</t>
  </si>
  <si>
    <t>КРК-7334</t>
  </si>
  <si>
    <t>4670159173267</t>
  </si>
  <si>
    <t>229019</t>
  </si>
  <si>
    <t>Карнавальный аксессуар. Накладные усы на липкой основе (в наборе 6шт), "Джентльмен" КРК-7333</t>
  </si>
  <si>
    <t>КРК-7333</t>
  </si>
  <si>
    <t>4670159173250</t>
  </si>
  <si>
    <t>222527</t>
  </si>
  <si>
    <t>Карнавальный аксессуар. Ушки Эльфа, 2шт УД-3667</t>
  </si>
  <si>
    <t>УД-3667</t>
  </si>
  <si>
    <t>4670159136675</t>
  </si>
  <si>
    <t>222528</t>
  </si>
  <si>
    <t>Карнавальный аксессуар. Ушки Эльфа, 4шт УД-3668</t>
  </si>
  <si>
    <t>УД-3668</t>
  </si>
  <si>
    <t>4670159136682</t>
  </si>
  <si>
    <t>251241</t>
  </si>
  <si>
    <t>Мантия карнавальная.  "Привидение", бело-черный, 80 см КРК-2572</t>
  </si>
  <si>
    <t>КРК-2572</t>
  </si>
  <si>
    <t>4640306925728</t>
  </si>
  <si>
    <t>6211339000</t>
  </si>
  <si>
    <t>251247</t>
  </si>
  <si>
    <t>Мантия карнавальная. "Мантия вампира", черно-красная, 158 см КРК-2578</t>
  </si>
  <si>
    <t>КРК-2578</t>
  </si>
  <si>
    <t>4640306925780</t>
  </si>
  <si>
    <t>04640306925780</t>
  </si>
  <si>
    <t>251248</t>
  </si>
  <si>
    <t>Мантия карнавальная. "Мантия вампира", черно-красная, 170 см КРК-2579</t>
  </si>
  <si>
    <t>КРК-2579</t>
  </si>
  <si>
    <t>4640306925797</t>
  </si>
  <si>
    <t>251245</t>
  </si>
  <si>
    <t>Мантия карнавальная. "Мантия ужаса", черная, 158 см КРК-2576</t>
  </si>
  <si>
    <t>КРК-2576</t>
  </si>
  <si>
    <t>4640306925766</t>
  </si>
  <si>
    <t>251246</t>
  </si>
  <si>
    <t>Мантия карнавальная. "Мантия ужаса", черная, 170 см КРК-2577</t>
  </si>
  <si>
    <t>КРК-2577</t>
  </si>
  <si>
    <t>4640306925773</t>
  </si>
  <si>
    <t>249959</t>
  </si>
  <si>
    <t>Сувенир Девочка с косичками, в черном платье 45см Т-2566</t>
  </si>
  <si>
    <t>Т-2566</t>
  </si>
  <si>
    <t>4640306925667</t>
  </si>
  <si>
    <t>249819</t>
  </si>
  <si>
    <t>Сувенир Ползающая рука (двигается), 13*15*15см, работает от батареек 3*ААА(не в комплекте) И-2485</t>
  </si>
  <si>
    <t>И-2485</t>
  </si>
  <si>
    <t>4640306924851</t>
  </si>
  <si>
    <t>Гирлянды</t>
  </si>
  <si>
    <t>228265</t>
  </si>
  <si>
    <t>Гирлянда cветодиодная с насадками Летучие мышки 1,65м,батар. 2шт АА (не в компл), 10 ламп ГН-6859</t>
  </si>
  <si>
    <t>ГН-6859</t>
  </si>
  <si>
    <t>4670159168591</t>
  </si>
  <si>
    <t>04670159168591</t>
  </si>
  <si>
    <t>165 см</t>
  </si>
  <si>
    <t>228264</t>
  </si>
  <si>
    <t>Гирлянда cветодиодная с насадками Паучки фиолет. 1,65м,батар. 2шт АА (не в компл), 10 ламп ГН-6858</t>
  </si>
  <si>
    <t>ГН-6858</t>
  </si>
  <si>
    <t>4670159168584</t>
  </si>
  <si>
    <t>04670159168584</t>
  </si>
  <si>
    <t>228266</t>
  </si>
  <si>
    <t>Гирлянда cветодиодная с насадками Тыковки в шляпах 1,65м,батар. 2шт АА (не в компл), 10 ламп ГН-6860</t>
  </si>
  <si>
    <t>ГН-6860</t>
  </si>
  <si>
    <t>4670159168607</t>
  </si>
  <si>
    <t>04670159168607</t>
  </si>
  <si>
    <t>228262</t>
  </si>
  <si>
    <t>Гирлянда cветодиодная с насадками Черепки 1,65м, батар. 2шт АА (не в компл), 10 ламп, ГН-6857</t>
  </si>
  <si>
    <t>ГН-6857</t>
  </si>
  <si>
    <t>4670159168577</t>
  </si>
  <si>
    <t>04670159168577</t>
  </si>
  <si>
    <t>251242</t>
  </si>
  <si>
    <t>Гирлянда с насадками "Дух праздника", 2 м, 10LED ламп, работает от 2AA (не в комплекте)  ГН-2573</t>
  </si>
  <si>
    <t>ГН-2573</t>
  </si>
  <si>
    <t>4640306925735</t>
  </si>
  <si>
    <t>04640306925735</t>
  </si>
  <si>
    <t>251243</t>
  </si>
  <si>
    <t>Гирлянда с насадками "Ночной ужас", 1,8 м, 10LED ламп, работает от 2AA (не в комплекте) ГН-2574</t>
  </si>
  <si>
    <t>ГН-2574</t>
  </si>
  <si>
    <t>4640306925742</t>
  </si>
  <si>
    <t>04640306925742</t>
  </si>
  <si>
    <t>228996</t>
  </si>
  <si>
    <t>Гирлянда с насадками Тыковки 2 м работает от батареек 2AA ГН-7350</t>
  </si>
  <si>
    <t>ГН-7350</t>
  </si>
  <si>
    <t>4670159173502</t>
  </si>
  <si>
    <t>04670159173502</t>
  </si>
  <si>
    <t>2 м</t>
  </si>
  <si>
    <t>Костюмы</t>
  </si>
  <si>
    <t>209887</t>
  </si>
  <si>
    <t>Карнавальный набор 2 в 1 "Принцесса паучков" (юбка,крылья) КРК-7303</t>
  </si>
  <si>
    <t>КРК-7303</t>
  </si>
  <si>
    <t>4670159073031</t>
  </si>
  <si>
    <t>Крылья</t>
  </si>
  <si>
    <t>233146</t>
  </si>
  <si>
    <t>Карнавальные крылья. "Ангел ночи" 103*66см, черные, пластик, полиэстер КРК-8885</t>
  </si>
  <si>
    <t>КРК-8885</t>
  </si>
  <si>
    <t>4670159188858</t>
  </si>
  <si>
    <t>103*66 см</t>
  </si>
  <si>
    <t>233149</t>
  </si>
  <si>
    <t>Карнавальные крылья. "Ночной купидон" 75*55см, черные, перо, пластик КРК-8888</t>
  </si>
  <si>
    <t>КРК-8888</t>
  </si>
  <si>
    <t>4670159188889</t>
  </si>
  <si>
    <t>75*55</t>
  </si>
  <si>
    <t>Ободки</t>
  </si>
  <si>
    <t>209582</t>
  </si>
  <si>
    <t>Карнавальный ободок "Загадка", черный. КРК-6276</t>
  </si>
  <si>
    <t>КРК-6276</t>
  </si>
  <si>
    <t>4670159062769</t>
  </si>
  <si>
    <t>209583</t>
  </si>
  <si>
    <t>Карнавальный ободок "Лесная фея", черный. КРК-6277</t>
  </si>
  <si>
    <t>КРК-6277</t>
  </si>
  <si>
    <t>4670159062776</t>
  </si>
  <si>
    <t>122392</t>
  </si>
  <si>
    <t>Карнавальный ободок Забавные черепа КРК-5752</t>
  </si>
  <si>
    <t>КРК-5752</t>
  </si>
  <si>
    <t>4665307357521</t>
  </si>
  <si>
    <t>122393</t>
  </si>
  <si>
    <t>Карнавальный ободок Тыквы КРК-5753</t>
  </si>
  <si>
    <t>КРК-5753</t>
  </si>
  <si>
    <t>4665307357538</t>
  </si>
  <si>
    <t>207992</t>
  </si>
  <si>
    <t>Ободок карнавальный. "Красный трезубец", 19*21 см КРК-5593</t>
  </si>
  <si>
    <t>КРК-5593</t>
  </si>
  <si>
    <t>4670159055938</t>
  </si>
  <si>
    <t>Очки</t>
  </si>
  <si>
    <t>228283</t>
  </si>
  <si>
    <t>Карнавальная маска 3 в 1 День мертвых (очки, усы, шляпа) 18*12 см КРК-7032</t>
  </si>
  <si>
    <t>КРК-7032</t>
  </si>
  <si>
    <t>4670159170327</t>
  </si>
  <si>
    <t>18*12 см</t>
  </si>
  <si>
    <t>207998</t>
  </si>
  <si>
    <t>Карнавальная маска 3 в 1. "Озорной пират", ( очки, борода, шляпа), 24*26см КРК-5597</t>
  </si>
  <si>
    <t>КРК-5597</t>
  </si>
  <si>
    <t>4670159055976</t>
  </si>
  <si>
    <t>228277</t>
  </si>
  <si>
    <t>Карнавальные очки Летучие мышки 15.2*7 см КРК-7026</t>
  </si>
  <si>
    <t>КРК-7026</t>
  </si>
  <si>
    <t>4670159170266</t>
  </si>
  <si>
    <t>15.2*7 см</t>
  </si>
  <si>
    <t>228275</t>
  </si>
  <si>
    <t>Карнавальные очки Модный скелет 14.6*4.6 см КРК-7023</t>
  </si>
  <si>
    <t>КРК-7023</t>
  </si>
  <si>
    <t>4670159170235</t>
  </si>
  <si>
    <t>14.6*4.6 см</t>
  </si>
  <si>
    <t>228279</t>
  </si>
  <si>
    <t>Карнавальные очки Современный пират 14.5*6 см КРК-7028</t>
  </si>
  <si>
    <t>КРК-7028</t>
  </si>
  <si>
    <t>4670159170280</t>
  </si>
  <si>
    <t>14.5*6 см</t>
  </si>
  <si>
    <t>228285</t>
  </si>
  <si>
    <t>Карнавальные очки Счастливого Хеллоуина 14*9 см КРК-7037</t>
  </si>
  <si>
    <t>КРК-7037</t>
  </si>
  <si>
    <t>4670159170372</t>
  </si>
  <si>
    <t>14.3*9.5 см</t>
  </si>
  <si>
    <t>207996</t>
  </si>
  <si>
    <t>Очки карнавальные. "Глаза монстра ", 17*7.8 см КРК-5596</t>
  </si>
  <si>
    <t>КРК-5596</t>
  </si>
  <si>
    <t>4670159055969</t>
  </si>
  <si>
    <t>207993</t>
  </si>
  <si>
    <t>Очки карнавальные. "Леденящий взгляд", 14.5*4.8 см КРК-5594</t>
  </si>
  <si>
    <t>КРК-5594</t>
  </si>
  <si>
    <t>4670159055945</t>
  </si>
  <si>
    <t>228983</t>
  </si>
  <si>
    <t>Светильник декоративный на батарейках "Радостная тыковка", AG13*3 (не в компл), 6*9*13.5см УД-7334</t>
  </si>
  <si>
    <t>УД-7334</t>
  </si>
  <si>
    <t>4670159173342</t>
  </si>
  <si>
    <t>04670159173342</t>
  </si>
  <si>
    <t>6*9*13.5 см</t>
  </si>
  <si>
    <t>207715</t>
  </si>
  <si>
    <t>Свеча декоративная "Тыковки" с ароматом  цветка дикого апельсина,  7.5*7.5*11.5сm, оранжеваяУД-6209</t>
  </si>
  <si>
    <t>УД-6209</t>
  </si>
  <si>
    <t>4670159062097</t>
  </si>
  <si>
    <t>Шляпы</t>
  </si>
  <si>
    <t>251240</t>
  </si>
  <si>
    <t>Карнавальная шляпа "Пятна страха", черный с красным, 57 размер КРК-2571</t>
  </si>
  <si>
    <t>КРК-2571</t>
  </si>
  <si>
    <t>4640306925711</t>
  </si>
  <si>
    <t>228126</t>
  </si>
  <si>
    <t>Карнавальная шляпа Ведьмина вечеринка, черный с золотистым, 40*40*70 см КРК-6853</t>
  </si>
  <si>
    <t>КРК-6853</t>
  </si>
  <si>
    <t>4670159168539</t>
  </si>
  <si>
    <t>04640306926671</t>
  </si>
  <si>
    <t>40*40*70 см</t>
  </si>
  <si>
    <t>228129</t>
  </si>
  <si>
    <t>Карнавальная шляпа Милая ведьмочка, черный, 40*40*70 см КРК-6856</t>
  </si>
  <si>
    <t>КРК-6856</t>
  </si>
  <si>
    <t>4670159168560</t>
  </si>
  <si>
    <t>14.19.42.159</t>
  </si>
  <si>
    <t>04640306926688</t>
  </si>
  <si>
    <t>228128</t>
  </si>
  <si>
    <t>Карнавальная шляпа Ночное сияние, черный с золотистым, 40*40*55 см КРК-6855</t>
  </si>
  <si>
    <t>КРК-6855</t>
  </si>
  <si>
    <t>4670159168553</t>
  </si>
  <si>
    <t>04670159168553</t>
  </si>
  <si>
    <t>40*40*55 см</t>
  </si>
  <si>
    <t>228127</t>
  </si>
  <si>
    <t>Карнавальная шляпа Озорная ведьма черный, 40*40*55 см КРК-6854</t>
  </si>
  <si>
    <t>КРК-6854</t>
  </si>
  <si>
    <t>4670159168546</t>
  </si>
  <si>
    <t>04670159168546</t>
  </si>
  <si>
    <t>05 Карнавальная продукция</t>
  </si>
  <si>
    <t>Денежные пистолеты</t>
  </si>
  <si>
    <t>221604</t>
  </si>
  <si>
    <t>Аксессуар для карнавала. Пистолет с деньгами (100 купюр), механический,17*19 см, золотистый УД-3533</t>
  </si>
  <si>
    <t>УД-3533</t>
  </si>
  <si>
    <t>4670159135333</t>
  </si>
  <si>
    <t>9503007500</t>
  </si>
  <si>
    <t>17*19 СМ</t>
  </si>
  <si>
    <t>221603</t>
  </si>
  <si>
    <t>Аксессуар для карнавала. Пистолет с деньгами (100 купюр), механический,17*19 см, розовый УД-3532</t>
  </si>
  <si>
    <t>УД-3532</t>
  </si>
  <si>
    <t>4670159135326</t>
  </si>
  <si>
    <t>221601</t>
  </si>
  <si>
    <t>Аксессуар для карнавала. Пистолет с деньгами (100 купюр), механический,17*19 см, чёрный УД-3531</t>
  </si>
  <si>
    <t>УД-3531</t>
  </si>
  <si>
    <t>4670159135319</t>
  </si>
  <si>
    <t>Карнавальные крылья</t>
  </si>
  <si>
    <t>228289</t>
  </si>
  <si>
    <t>Карнавальные крылья "Ангелок", белый, 74*27см КРК-7039</t>
  </si>
  <si>
    <t>КРК-7039</t>
  </si>
  <si>
    <t>4670159170396</t>
  </si>
  <si>
    <t>74*27 см</t>
  </si>
  <si>
    <t>228291</t>
  </si>
  <si>
    <t>Карнавальные крылья "Свет ангела", белый, LED подсветка, 74*27см,батар. 3*AG13(в компл) КРК-7041</t>
  </si>
  <si>
    <t>КРК-7041</t>
  </si>
  <si>
    <t>4670159170419</t>
  </si>
  <si>
    <t>122364</t>
  </si>
  <si>
    <t>Карнавальные крылья Красивая бабочка КРК-5768</t>
  </si>
  <si>
    <t>КРК-5768</t>
  </si>
  <si>
    <t>4665307357682</t>
  </si>
  <si>
    <t>48х38</t>
  </si>
  <si>
    <t>122365</t>
  </si>
  <si>
    <t>Карнавальные крылья Разноцветная бабочка КРК-5769</t>
  </si>
  <si>
    <t>КРК-5769</t>
  </si>
  <si>
    <t>4665307357699</t>
  </si>
  <si>
    <t>122368</t>
  </si>
  <si>
    <t>Карнавальные крылья Яркая бабочка КРК-5771</t>
  </si>
  <si>
    <t>КРК-5771</t>
  </si>
  <si>
    <t>4665307357712</t>
  </si>
  <si>
    <t>50х40</t>
  </si>
  <si>
    <t>209848</t>
  </si>
  <si>
    <t>Карнавальные крылья. "Крылья любви" белые, 75*40см.  КРК-7281</t>
  </si>
  <si>
    <t>КРК-7281</t>
  </si>
  <si>
    <t>4670159072812</t>
  </si>
  <si>
    <t>233148</t>
  </si>
  <si>
    <t>Карнавальные крылья. "Любовь" 103*66см, белые, пластик, полиэстер КРК-8887</t>
  </si>
  <si>
    <t>КРК-8887</t>
  </si>
  <si>
    <t>4670159188872</t>
  </si>
  <si>
    <t>103*66</t>
  </si>
  <si>
    <t>233150</t>
  </si>
  <si>
    <t>Карнавальные крылья. "Нежный ангел" 75*55см, белые, перо, пластик КРК-8889</t>
  </si>
  <si>
    <t>КРК-8889</t>
  </si>
  <si>
    <t>4670159188896</t>
  </si>
  <si>
    <t>Костюмы всесезонные</t>
  </si>
  <si>
    <t>172261</t>
  </si>
  <si>
    <t>Карнавальная юбка "Нежность", в ассортименте КРК-9885</t>
  </si>
  <si>
    <t>КРК-9885</t>
  </si>
  <si>
    <t>4610144858854</t>
  </si>
  <si>
    <t>224708</t>
  </si>
  <si>
    <t>Карнавальная юбка "Нежность", фиолетовая КРК-5116</t>
  </si>
  <si>
    <t>КРК-5116</t>
  </si>
  <si>
    <t>4670159151166</t>
  </si>
  <si>
    <t>224711</t>
  </si>
  <si>
    <t>Карнавальная юбка "Нежность", чёрная КРК-5118</t>
  </si>
  <si>
    <t>КРК-5118</t>
  </si>
  <si>
    <t>4670159151180</t>
  </si>
  <si>
    <t>229012</t>
  </si>
  <si>
    <t>Карнавальный аксессуар. Борода на резинке "Разбойник", белая КРК-7329</t>
  </si>
  <si>
    <t>КРК-7329</t>
  </si>
  <si>
    <t>4670159173212</t>
  </si>
  <si>
    <t>Единый размер</t>
  </si>
  <si>
    <t>229010</t>
  </si>
  <si>
    <t>Карнавальный аксессуар. Борода на резинке "Разбойник", черная КРК-7328</t>
  </si>
  <si>
    <t>КРК-7328</t>
  </si>
  <si>
    <t>4670159173205</t>
  </si>
  <si>
    <t>122411</t>
  </si>
  <si>
    <t>Карнавальный костюм 3 в 1 Принцесса КРК-5779</t>
  </si>
  <si>
    <t>КРК-5779</t>
  </si>
  <si>
    <t>4665307357798</t>
  </si>
  <si>
    <t>корона 15х12 , юбка 30 см</t>
  </si>
  <si>
    <t>209877</t>
  </si>
  <si>
    <t>Карнавальный набор 2 в 1 "Весенняя нимфа" (юбка,крылья) КРК-7297</t>
  </si>
  <si>
    <t>КРК-7297</t>
  </si>
  <si>
    <t>4670159072973</t>
  </si>
  <si>
    <t>209868</t>
  </si>
  <si>
    <t>Карнавальный набор 2 в 1 "Весенняя фея" (юбка,крылья),фиолетовый. КРК-7295</t>
  </si>
  <si>
    <t>КРК-7295</t>
  </si>
  <si>
    <t>4670159072959</t>
  </si>
  <si>
    <t>122360</t>
  </si>
  <si>
    <t>Карнавальный набор 2 в 1 Сказочная принцесса КРК-5764</t>
  </si>
  <si>
    <t>КРК-5764</t>
  </si>
  <si>
    <t>4665307357644</t>
  </si>
  <si>
    <t>10х35</t>
  </si>
  <si>
    <t>122362</t>
  </si>
  <si>
    <t>Карнавальный набор 3 в 1  Волшебная бабочка, в ассортименте КРК-5767</t>
  </si>
  <si>
    <t>КРК-5767</t>
  </si>
  <si>
    <t>4665307357675</t>
  </si>
  <si>
    <t>122361</t>
  </si>
  <si>
    <t>Карнавальный набор 3 в 1  Нежная бабочка, в ассортименте КРК-5766</t>
  </si>
  <si>
    <t>КРК-5766</t>
  </si>
  <si>
    <t>4665307357668</t>
  </si>
  <si>
    <t>209858</t>
  </si>
  <si>
    <t>Карнавальный набор 3 в 1 "Сахарная фея" (юбка,палочка, ободок), розовый.КРК-7290</t>
  </si>
  <si>
    <t>КРК-7290</t>
  </si>
  <si>
    <t>4670159072904</t>
  </si>
  <si>
    <t>209885</t>
  </si>
  <si>
    <t>Карнавальный набор 3 в 1 "Фея грёз" (юбка, палочка, ободок) КРК-7301</t>
  </si>
  <si>
    <t>КРК-7301</t>
  </si>
  <si>
    <t>4670159073017</t>
  </si>
  <si>
    <t>122354</t>
  </si>
  <si>
    <t>Карнавальный набор 3 в 1 Кошка КРК-5734</t>
  </si>
  <si>
    <t>КРК-5734</t>
  </si>
  <si>
    <t>4665307357347</t>
  </si>
  <si>
    <t>20х22</t>
  </si>
  <si>
    <t>209584</t>
  </si>
  <si>
    <t>Карнавальный набор 3в1 "Праздничный зайчик" (бабочка,хвост, ободок) КРК-6274</t>
  </si>
  <si>
    <t>КРК-6274</t>
  </si>
  <si>
    <t>4670159062745</t>
  </si>
  <si>
    <t>209869</t>
  </si>
  <si>
    <t>Карнавальный набор 4 в 1 "Фея сновидений" (юбка,крылья,ободок, палочка) КРК-7296</t>
  </si>
  <si>
    <t>КРК-7296</t>
  </si>
  <si>
    <t>4670159072966</t>
  </si>
  <si>
    <t>209572</t>
  </si>
  <si>
    <t>Карнавальный набор 4в1 "Веселая пчёлка"(юбка,крылья,ободок,палочка) КРК-6264</t>
  </si>
  <si>
    <t>КРК-6264</t>
  </si>
  <si>
    <t>4670159062646</t>
  </si>
  <si>
    <t>Маски</t>
  </si>
  <si>
    <t>122462</t>
  </si>
  <si>
    <t>Карнавальная маска Красивая кошка КРК-5848</t>
  </si>
  <si>
    <t>КРК-5848</t>
  </si>
  <si>
    <t>4665307358481</t>
  </si>
  <si>
    <t>122463</t>
  </si>
  <si>
    <t>Карнавальная маска Незнакомка КРК-5849</t>
  </si>
  <si>
    <t>КРК-5849</t>
  </si>
  <si>
    <t>4665307358498</t>
  </si>
  <si>
    <t>122469</t>
  </si>
  <si>
    <t>Карнавальная маска Эффектная незнакомка КРК-5853</t>
  </si>
  <si>
    <t>КРК-5853</t>
  </si>
  <si>
    <t>4665307358535</t>
  </si>
  <si>
    <t>208003</t>
  </si>
  <si>
    <t>Карнавальная маска. "Барокко" АП-5603</t>
  </si>
  <si>
    <t>АП-5603</t>
  </si>
  <si>
    <t>4670159056034</t>
  </si>
  <si>
    <t>208006</t>
  </si>
  <si>
    <t>Карнавальная маска. "Загадка ночи" АП-5606</t>
  </si>
  <si>
    <t>АП-5606</t>
  </si>
  <si>
    <t>4670159056065</t>
  </si>
  <si>
    <t>208005</t>
  </si>
  <si>
    <t>Карнавальная маска. "Таинственный вечер" АП-5605</t>
  </si>
  <si>
    <t>АП-5605</t>
  </si>
  <si>
    <t>4670159056058</t>
  </si>
  <si>
    <t>254368</t>
  </si>
  <si>
    <t>Маска карнавальная. "Белый лебедь", белая КРК-2956</t>
  </si>
  <si>
    <t>КРК-2956</t>
  </si>
  <si>
    <t>4640306929566</t>
  </si>
  <si>
    <t>254351</t>
  </si>
  <si>
    <t>Маска карнавальная. "Венецианка", белая КРК-2950</t>
  </si>
  <si>
    <t>КРК-2950</t>
  </si>
  <si>
    <t>4640306929504</t>
  </si>
  <si>
    <t>254338</t>
  </si>
  <si>
    <t>Маска карнавальная. "Венецианка", чёрная КРК-2946</t>
  </si>
  <si>
    <t>КРК-2946</t>
  </si>
  <si>
    <t>4640306929467</t>
  </si>
  <si>
    <t>254341</t>
  </si>
  <si>
    <t>Маска карнавальная. "Загадка", чёрная КРК-2947</t>
  </si>
  <si>
    <t>КРК-2947</t>
  </si>
  <si>
    <t>4640306929474</t>
  </si>
  <si>
    <t>254361</t>
  </si>
  <si>
    <t>Маска карнавальная. "Загадочная дама", чёрная КРК-2954</t>
  </si>
  <si>
    <t>КРК-2954</t>
  </si>
  <si>
    <t>4640306929542</t>
  </si>
  <si>
    <t>254348</t>
  </si>
  <si>
    <t>Маска карнавальная. "Кружево", чёрная КРК-2949</t>
  </si>
  <si>
    <t>КРК-2949</t>
  </si>
  <si>
    <t>4640306929498</t>
  </si>
  <si>
    <t>254358</t>
  </si>
  <si>
    <t>Маска карнавальная. "Рыцарь", серебристая КРК-2953</t>
  </si>
  <si>
    <t>КРК-2953</t>
  </si>
  <si>
    <t>4640306929535</t>
  </si>
  <si>
    <t>254355</t>
  </si>
  <si>
    <t>Маска карнавальная. "Тайна ночи" КРК-2952</t>
  </si>
  <si>
    <t>КРК-2952</t>
  </si>
  <si>
    <t>4640306929528</t>
  </si>
  <si>
    <t>254344</t>
  </si>
  <si>
    <t>Маска карнавальная. "Тайна", чёрная КРК-2948</t>
  </si>
  <si>
    <t>КРК-2948</t>
  </si>
  <si>
    <t>4640306929481</t>
  </si>
  <si>
    <t>254365</t>
  </si>
  <si>
    <t>Маска карнавальная. "Чёрный лебедь", чёрная КРК-2955</t>
  </si>
  <si>
    <t>КРК-2955</t>
  </si>
  <si>
    <t>4640306929559</t>
  </si>
  <si>
    <t>254352</t>
  </si>
  <si>
    <t>Маска карнавальная. "Шпион", чёрная КРК-2951</t>
  </si>
  <si>
    <t>КРК-2951</t>
  </si>
  <si>
    <t>4640306929511</t>
  </si>
  <si>
    <t>Ободки всесезонные</t>
  </si>
  <si>
    <t>209581</t>
  </si>
  <si>
    <t>Карнавальный ободок "Весенний единорог" КРК-6273</t>
  </si>
  <si>
    <t>КРК-6273</t>
  </si>
  <si>
    <t>4670159062738</t>
  </si>
  <si>
    <t>209576</t>
  </si>
  <si>
    <t>Карнавальный ободок "Нежные ушки", белый. КРК-6268</t>
  </si>
  <si>
    <t>КРК-6268</t>
  </si>
  <si>
    <t>4670159062684</t>
  </si>
  <si>
    <t>209577</t>
  </si>
  <si>
    <t>Карнавальный ободок "Нежные ушки", черный. КРК-6269</t>
  </si>
  <si>
    <t>КРК-6269</t>
  </si>
  <si>
    <t>4670159062691</t>
  </si>
  <si>
    <t>122378</t>
  </si>
  <si>
    <t>Карнавальный ободок Единорог КРК-5740</t>
  </si>
  <si>
    <t>КРК-5740</t>
  </si>
  <si>
    <t>4665307357408</t>
  </si>
  <si>
    <t>20х25</t>
  </si>
  <si>
    <t>122386</t>
  </si>
  <si>
    <t>Карнавальный ободок Красивые ушки КРК-5747</t>
  </si>
  <si>
    <t>КРК-5747</t>
  </si>
  <si>
    <t>4665307357477</t>
  </si>
  <si>
    <t>18х14</t>
  </si>
  <si>
    <t>122391</t>
  </si>
  <si>
    <t>Карнавальный ободок Милые ушки КРК-5751</t>
  </si>
  <si>
    <t>КРК-5751</t>
  </si>
  <si>
    <t>4665307357514</t>
  </si>
  <si>
    <t>18х20</t>
  </si>
  <si>
    <t>Парики</t>
  </si>
  <si>
    <t>209851</t>
  </si>
  <si>
    <t>Карнавальный парик. "Жизель" 120г. КРК-7284</t>
  </si>
  <si>
    <t>КРК-7284</t>
  </si>
  <si>
    <t>4670159072843</t>
  </si>
  <si>
    <t>209855</t>
  </si>
  <si>
    <t>Карнавальный парик. "Яркие цвета" 100г КРК-7288</t>
  </si>
  <si>
    <t>КРК-7288</t>
  </si>
  <si>
    <t>4670159072881</t>
  </si>
  <si>
    <t>228999</t>
  </si>
  <si>
    <t>Карнавальная шляпа. "Фараон Египта" КРК-7320</t>
  </si>
  <si>
    <t>КРК-7320</t>
  </si>
  <si>
    <t>4670159173120</t>
  </si>
  <si>
    <t>56 см</t>
  </si>
  <si>
    <t>06 Гирлянды</t>
  </si>
  <si>
    <t>Полиграфические гирлянды</t>
  </si>
  <si>
    <t>Фигурные гирлянды</t>
  </si>
  <si>
    <t>154520</t>
  </si>
  <si>
    <t>Фигурная гирлянда "Единорог" (длина 1 м 10 см) НУ-8616</t>
  </si>
  <si>
    <t>НУ-8616</t>
  </si>
  <si>
    <t>4680088486161</t>
  </si>
  <si>
    <t>1 м 10 см</t>
  </si>
  <si>
    <t>07 Адвент-календарь</t>
  </si>
  <si>
    <t>217489</t>
  </si>
  <si>
    <t>Адвент-календарь, набор  складных коробок "Подарки от зверят" КОР-1604</t>
  </si>
  <si>
    <t>КОР-1604</t>
  </si>
  <si>
    <t>4670159116042</t>
  </si>
  <si>
    <t>207020</t>
  </si>
  <si>
    <t>Адвент-календарь, Набор складных коробок "Кусочки тортика"КОР-5764</t>
  </si>
  <si>
    <t>КОР-5764</t>
  </si>
  <si>
    <t>4670159057642</t>
  </si>
  <si>
    <t>08 Квесты</t>
  </si>
  <si>
    <t>207018</t>
  </si>
  <si>
    <t xml:space="preserve"> КВЕСТ по поиску подарка с наклейками "Яркий праздник" ИКВ-5754</t>
  </si>
  <si>
    <t>ИКВ-5754</t>
  </si>
  <si>
    <t>4670159057543</t>
  </si>
  <si>
    <t>04670159057543</t>
  </si>
  <si>
    <t>249551</t>
  </si>
  <si>
    <t>Игра-квест по поиску подарка "Весёлые зверята" ИКВ-5781</t>
  </si>
  <si>
    <t>ИКВ-5781</t>
  </si>
  <si>
    <t>4670159257813</t>
  </si>
  <si>
    <t>04670159257813</t>
  </si>
  <si>
    <t>249552</t>
  </si>
  <si>
    <t>Игра-квест по поиску подарка "КОТОквест" ИКВ-5782</t>
  </si>
  <si>
    <t>ИКВ-5782</t>
  </si>
  <si>
    <t>4670159257820</t>
  </si>
  <si>
    <t>04670159257820</t>
  </si>
  <si>
    <t>09 Дождик для фотосессии</t>
  </si>
  <si>
    <t>213033</t>
  </si>
  <si>
    <t>Дождик фольгир. для фотозоны с эффектом голографии, 1*2м, толщина: 0.016мм, серебристый ДЖ-9347</t>
  </si>
  <si>
    <t>ДЖ-9347</t>
  </si>
  <si>
    <t>4670159093473</t>
  </si>
  <si>
    <t>1X2M 1.6</t>
  </si>
  <si>
    <t>213032</t>
  </si>
  <si>
    <t>Дождик фольгированный для фотозоны "Вечеринка", 1*2м, толщина: 0.016мм, золотистый ДЖ-9346</t>
  </si>
  <si>
    <t>ДЖ-9346</t>
  </si>
  <si>
    <t>4670159093466</t>
  </si>
  <si>
    <t>213031</t>
  </si>
  <si>
    <t>Дождик фольгированный для фотозоны "Вечеринка", 1*2м, толщина: 0.016мм, красный ДЖ-9345</t>
  </si>
  <si>
    <t>ДЖ-9345</t>
  </si>
  <si>
    <t>4670159093459</t>
  </si>
  <si>
    <t>249484</t>
  </si>
  <si>
    <t>Дождик фольгированный для фотозоны "Вечеринка", 1*2м, толщина: 0.016мм, серебрист.,набор 4шт ДЖ-2476</t>
  </si>
  <si>
    <t>ДЖ-2476</t>
  </si>
  <si>
    <t>4640306924769</t>
  </si>
  <si>
    <t>213030</t>
  </si>
  <si>
    <t>Дождик фольгированный для фотозоны "Вечеринка", 1*2м, толщина: 0.016мм, серебристый ДЖ-9344</t>
  </si>
  <si>
    <t>ДЖ-9344</t>
  </si>
  <si>
    <t>4670159093442</t>
  </si>
  <si>
    <t>229369</t>
  </si>
  <si>
    <t>Дождик фольгированный для фотозоны "Карнавал", 1*2м,фрагмент 3*3см, золотистый, набор 2шт ДЖ-7519</t>
  </si>
  <si>
    <t>ДЖ-7519</t>
  </si>
  <si>
    <t>4670159175193</t>
  </si>
  <si>
    <t>1*2м</t>
  </si>
  <si>
    <t>229366</t>
  </si>
  <si>
    <t>Дождик фольгированный для фотозоны "Торжество", 1*2м,фрагмент 7*10см, серебристый, набор 2шт ДЖ-7518</t>
  </si>
  <si>
    <t>ДЖ-7518</t>
  </si>
  <si>
    <t>4670159175186</t>
  </si>
  <si>
    <t>229372</t>
  </si>
  <si>
    <t>Дождик фольгированный для фотозоны с эффектом голографии "Праздник", 1*2м, розовый ДЖ-7521</t>
  </si>
  <si>
    <t>ДЖ-7521</t>
  </si>
  <si>
    <t>4670159175216</t>
  </si>
  <si>
    <t>06 ШКОЛА И ДЕТСКИЙ САД</t>
  </si>
  <si>
    <t>01 Грамоты без отделки</t>
  </si>
  <si>
    <t>273767</t>
  </si>
  <si>
    <t>Благодарность классическая А4, символика РФ ГБ-2581</t>
  </si>
  <si>
    <t>ГБ-2581</t>
  </si>
  <si>
    <t>4680942625811</t>
  </si>
  <si>
    <t>58.19.11.200</t>
  </si>
  <si>
    <t>А4</t>
  </si>
  <si>
    <t>283166</t>
  </si>
  <si>
    <t>Грамота А4, Выпускники ГБ-6940</t>
  </si>
  <si>
    <t>ГБ-6940</t>
  </si>
  <si>
    <t>4680942669402</t>
  </si>
  <si>
    <t>283165</t>
  </si>
  <si>
    <t>Грамота А4, Малыши выпускники ГБ-6939</t>
  </si>
  <si>
    <t>ГБ-6939</t>
  </si>
  <si>
    <t>4680942669396</t>
  </si>
  <si>
    <t>283167</t>
  </si>
  <si>
    <t>Грамота А4, Спортивная ГБ-6941</t>
  </si>
  <si>
    <t>ГБ-6941</t>
  </si>
  <si>
    <t>4680942669419</t>
  </si>
  <si>
    <t>273770</t>
  </si>
  <si>
    <t>Грамота классическая А4, символика РФ, красная ГБ-2584</t>
  </si>
  <si>
    <t>ГБ-2584</t>
  </si>
  <si>
    <t>4680942625842</t>
  </si>
  <si>
    <t>273769</t>
  </si>
  <si>
    <t>Грамота классическая А4, символика РФ, синяя ГБ-2583</t>
  </si>
  <si>
    <t>ГБ-2583</t>
  </si>
  <si>
    <t>4680942625835</t>
  </si>
  <si>
    <t>273772</t>
  </si>
  <si>
    <t>Грамота классическая А4, символика РФ, синяя ГБ-2586</t>
  </si>
  <si>
    <t>ГБ-2586</t>
  </si>
  <si>
    <t>4680942625866</t>
  </si>
  <si>
    <t>273775</t>
  </si>
  <si>
    <t>Грамота классическая А4, символика РФ, синяя ГБ-2589</t>
  </si>
  <si>
    <t>ГБ-2589</t>
  </si>
  <si>
    <t>4680942625897</t>
  </si>
  <si>
    <t>273771</t>
  </si>
  <si>
    <t>Грамота школьная, А4 ГБ-2585</t>
  </si>
  <si>
    <t>ГБ-2585</t>
  </si>
  <si>
    <t>4680942625859</t>
  </si>
  <si>
    <t>273773</t>
  </si>
  <si>
    <t>Диплом с символикой РФ, А4, синий ГБ-2587</t>
  </si>
  <si>
    <t>ГБ-2587</t>
  </si>
  <si>
    <t>4680942625873</t>
  </si>
  <si>
    <t>273774</t>
  </si>
  <si>
    <t>Диплом с символикой РФ, А4, синий ГБ-2588</t>
  </si>
  <si>
    <t>ГБ-2588</t>
  </si>
  <si>
    <t>4680942625880</t>
  </si>
  <si>
    <t>02 Закладки</t>
  </si>
  <si>
    <t>1 Закладки-ляссе самоклеящиеся</t>
  </si>
  <si>
    <t xml:space="preserve"> Закладки-ляссе самоклеящиеся   А4</t>
  </si>
  <si>
    <t>252885</t>
  </si>
  <si>
    <t>Закладки-ляссе самоклеящиеся  А4 Color lights MEGA набо (20 шт) ЗЛ-6465</t>
  </si>
  <si>
    <t>ЗЛ-6465</t>
  </si>
  <si>
    <t>4670159264651</t>
  </si>
  <si>
    <t>17.23.13.199</t>
  </si>
  <si>
    <t>177412</t>
  </si>
  <si>
    <t>Закладки-ляссе самоклеящиеся  А4 Color lights MEGA набор (10 шт)  ЗЛ-0187</t>
  </si>
  <si>
    <t>ЗЛ-0187</t>
  </si>
  <si>
    <t>4620129701877</t>
  </si>
  <si>
    <t>252886</t>
  </si>
  <si>
    <t>Закладки-ляссе самоклеящиеся  А4 Flashing lights MEGA набо (20 шт)  ЗЛ-6466</t>
  </si>
  <si>
    <t>ЗЛ-6466</t>
  </si>
  <si>
    <t>4670159264668</t>
  </si>
  <si>
    <t>280415</t>
  </si>
  <si>
    <t>Закладки-ляссе самоклеящиеся "Весенние оттенки" 3 шт ЗЛ-6443</t>
  </si>
  <si>
    <t>ЗЛ-6443</t>
  </si>
  <si>
    <t>4680942664438</t>
  </si>
  <si>
    <t>280412</t>
  </si>
  <si>
    <t>Закладки-ляссе самоклеящиеся "Голубое море" 3 шт ЗЛ-6444</t>
  </si>
  <si>
    <t>ЗЛ-6444</t>
  </si>
  <si>
    <t>4680942664445</t>
  </si>
  <si>
    <t>280414</t>
  </si>
  <si>
    <t>Закладки-ляссе самоклеящиеся "Морские мотивы" 3 шт ЗЛ-6446</t>
  </si>
  <si>
    <t>ЗЛ-6446</t>
  </si>
  <si>
    <t>4680942664469</t>
  </si>
  <si>
    <t>280409</t>
  </si>
  <si>
    <t>Закладки-ляссе самоклеящиеся "Точки" 3 шт ЗЛ-6445</t>
  </si>
  <si>
    <t>ЗЛ-6445</t>
  </si>
  <si>
    <t>4680942664452</t>
  </si>
  <si>
    <t xml:space="preserve"> Закладки-ляссе самоклеящиеся  Стандарт</t>
  </si>
  <si>
    <t>280422</t>
  </si>
  <si>
    <t>Закладки-ляссе самоклеящиеся "Яркий акцент" 4 шт ЗЛ-6449</t>
  </si>
  <si>
    <t>ЗЛ-6449</t>
  </si>
  <si>
    <t>4680942664490</t>
  </si>
  <si>
    <t>282219</t>
  </si>
  <si>
    <t>Закладки-ляссе самоклеящиеся Летнее настроение 4шт ЗЛ-6450</t>
  </si>
  <si>
    <t>ЗЛ-6450</t>
  </si>
  <si>
    <t>4680942664506</t>
  </si>
  <si>
    <t>А5</t>
  </si>
  <si>
    <t xml:space="preserve"> Закладки-ляссе самоклеящиеся Премиум</t>
  </si>
  <si>
    <t>252887</t>
  </si>
  <si>
    <t>Закладки-ляссе самоклеящиеся  А5 Color lights MEGA набо (20 шт) ЗЛ-6467</t>
  </si>
  <si>
    <t>ЗЛ-6467</t>
  </si>
  <si>
    <t>4670159264675</t>
  </si>
  <si>
    <t>135364</t>
  </si>
  <si>
    <t>Закладки-ляссе самоклеящиеся  А5 Color lights MEGA набор (10 шт) ЗЛ-2172</t>
  </si>
  <si>
    <t>ЗЛ-2172</t>
  </si>
  <si>
    <t>4665307421727</t>
  </si>
  <si>
    <t>252888</t>
  </si>
  <si>
    <t>Закладки-ляссе самоклеящиеся  А5 Flashing lights MEGA набо (20 шт) ЗЛ-6468</t>
  </si>
  <si>
    <t>ЗЛ-6468</t>
  </si>
  <si>
    <t>4670159264682</t>
  </si>
  <si>
    <t>280417</t>
  </si>
  <si>
    <t>Закладки-ляссе самоклеящиеся "Контраст" 3 шт ЗЛ-6452</t>
  </si>
  <si>
    <t>ЗЛ-6452</t>
  </si>
  <si>
    <t>4680942664520</t>
  </si>
  <si>
    <t>280418</t>
  </si>
  <si>
    <t>Закладки-ляссе самоклеящиеся "Нежные цвета" 3 шт ЗЛ-6453</t>
  </si>
  <si>
    <t>ЗЛ-6453</t>
  </si>
  <si>
    <t>4680942664537</t>
  </si>
  <si>
    <t>280420</t>
  </si>
  <si>
    <t>Закладки-ляссе самоклеящиеся "Цвета моря" 3 шт ЗЛ-6454</t>
  </si>
  <si>
    <t>ЗЛ-6454</t>
  </si>
  <si>
    <t>4680942664544</t>
  </si>
  <si>
    <t>280416</t>
  </si>
  <si>
    <t>Закладки-ляссе самоклеящиеся "Цветочное настроение" 3 шт ЗЛ-6455</t>
  </si>
  <si>
    <t>ЗЛ-6455</t>
  </si>
  <si>
    <t>4680942664551</t>
  </si>
  <si>
    <t>280421</t>
  </si>
  <si>
    <t>Закладки-ляссе самоклеящиеся "Я Люблю Россию" ЗЛ-6456</t>
  </si>
  <si>
    <t>ЗЛ-6456</t>
  </si>
  <si>
    <t>4680942664568</t>
  </si>
  <si>
    <t>155972</t>
  </si>
  <si>
    <t>Закладки-ляссе самоклеящиеся А5 Flashing lights MEGA набор (10 шт) З-0001/ЗЛ-2173</t>
  </si>
  <si>
    <t>З-0001/ЗЛ-2173</t>
  </si>
  <si>
    <t>4680088493572</t>
  </si>
  <si>
    <t>282220</t>
  </si>
  <si>
    <t>Закладки-ляссе самоклеящиеся Радужная палитра 7 шт ЗЛ-6457</t>
  </si>
  <si>
    <t>ЗЛ-6457</t>
  </si>
  <si>
    <t>4680942664575</t>
  </si>
  <si>
    <t>042129</t>
  </si>
  <si>
    <t>Закладки-ляссе самоклеящиеся Яркий горошек  3 шт 3-20-0009</t>
  </si>
  <si>
    <t>3-20-0009</t>
  </si>
  <si>
    <t>978537822541500009</t>
  </si>
  <si>
    <t>Закладки-ляссе ПВХ собственная разработка</t>
  </si>
  <si>
    <t>271783</t>
  </si>
  <si>
    <t>Закладки-ляссе самоклящиеся ПВХ Звездочеты 6 шт в наборе ЗЛ-1681</t>
  </si>
  <si>
    <t>ЗЛ-1681</t>
  </si>
  <si>
    <t>4680942616819</t>
  </si>
  <si>
    <t>271788</t>
  </si>
  <si>
    <t>Закладки-ляссе самоклящиеся ПВХ Тропический микс, 12 шт ЗЛ-1686</t>
  </si>
  <si>
    <t>ЗЛ-1686</t>
  </si>
  <si>
    <t>4680942616864</t>
  </si>
  <si>
    <t>271785</t>
  </si>
  <si>
    <t>Закладки-ляссе самоклящиеся ПВХ фиолетовые, 6 шт ЗЛ-1683</t>
  </si>
  <si>
    <t>ЗЛ-1683</t>
  </si>
  <si>
    <t>4680942616833</t>
  </si>
  <si>
    <t>271787</t>
  </si>
  <si>
    <t>Закладки-ляссе самоклящиеся ПВХ Школьный переполох, 6 шт ЗЛ-1685</t>
  </si>
  <si>
    <t>ЗЛ-1685</t>
  </si>
  <si>
    <t>4680942616857</t>
  </si>
  <si>
    <t>03 Школьный альбом</t>
  </si>
  <si>
    <t>263720</t>
  </si>
  <si>
    <t>ШКОЛЬНЫЙ АЛЬБОМ — 3 АФ-9182</t>
  </si>
  <si>
    <t>АФ-9182</t>
  </si>
  <si>
    <t>4670159291824</t>
  </si>
  <si>
    <t>236600</t>
  </si>
  <si>
    <t>Школьный альбом 2 АФ-0587</t>
  </si>
  <si>
    <t>АФ-0587</t>
  </si>
  <si>
    <t>4670159205876</t>
  </si>
  <si>
    <t>178108</t>
  </si>
  <si>
    <t>Школьный альбом АФ-0524</t>
  </si>
  <si>
    <t>АФ-0524</t>
  </si>
  <si>
    <t>4620129705240</t>
  </si>
  <si>
    <t>07 ЗАПИСНЫЕ КНИЖКИ, СКЕТЧБУКИ</t>
  </si>
  <si>
    <t>01 Скетчбуки</t>
  </si>
  <si>
    <t>Скетчбуки HQ</t>
  </si>
  <si>
    <t>2. Скетчбуки А4</t>
  </si>
  <si>
    <t>Скетчбук А4 (7БЦ, мат лам+твин лак, 40л, 150г, офсет)</t>
  </si>
  <si>
    <t>181756</t>
  </si>
  <si>
    <t>Скетчбук А4 Ван Гог (7БЦ, мат лам+твин лак, 40л, 150г) С40-2715</t>
  </si>
  <si>
    <t>С40-2715</t>
  </si>
  <si>
    <t>4620129727150</t>
  </si>
  <si>
    <t>181758</t>
  </si>
  <si>
    <t>Скетчбук А4 Дали (7БЦ, мат лам+твин лак, 40л, 150г) С40-2717</t>
  </si>
  <si>
    <t>С40-2717</t>
  </si>
  <si>
    <t>4620129727174</t>
  </si>
  <si>
    <t>181757</t>
  </si>
  <si>
    <t>Скетчбук А4 Мона Лиза (7БЦ, мат лам+твин лак, 40л, 150г) С40-2716</t>
  </si>
  <si>
    <t>С40-2716</t>
  </si>
  <si>
    <t>4620129727167</t>
  </si>
  <si>
    <t>181759</t>
  </si>
  <si>
    <t>Скетчбук А4 Фрида (7БЦ, мат лам+твин лак, 40л, 150г) С40-2718</t>
  </si>
  <si>
    <t>С40-2718</t>
  </si>
  <si>
    <t>4620129727181</t>
  </si>
  <si>
    <t>Скетчбуки А4 7БЦ, гл лам, спираль, 20 л, 200 г (офсет)</t>
  </si>
  <si>
    <t>204183</t>
  </si>
  <si>
    <t>Скетчбук А4 Акварельный Девушка с птицей (7БЦ, гл лам, спираль, 20л, 200г) С20-4178</t>
  </si>
  <si>
    <t>С20-4178</t>
  </si>
  <si>
    <t>4670159041788</t>
  </si>
  <si>
    <t xml:space="preserve"> 20л, 200г</t>
  </si>
  <si>
    <t>Скетчбуки А4, мат лам + выб лак, 7БЦ, 64 л, ляссе, 100г (люкс крим)</t>
  </si>
  <si>
    <t>204142</t>
  </si>
  <si>
    <t>Cкетчбук А4 Чешуя (7БЦ, мат лам+выб лак, 64 л, ляссе, 100г) (айвори) С64-4180</t>
  </si>
  <si>
    <t>С64-4180</t>
  </si>
  <si>
    <t>4670159041801</t>
  </si>
  <si>
    <t>3. Скетчбуки А5</t>
  </si>
  <si>
    <t>Скетчбуки А5 7БЦ, soft touch+выб лак, 48л, 160г, белая бумага</t>
  </si>
  <si>
    <t>184299</t>
  </si>
  <si>
    <t>Скетчбук А5 Амстердам (7БЦ, soft touch+выб лак, 48л, 160г, белая бумага) С48-3788</t>
  </si>
  <si>
    <t>С48-3788</t>
  </si>
  <si>
    <t>4620129737883</t>
  </si>
  <si>
    <t>184296</t>
  </si>
  <si>
    <t>Скетчбук А5 Мюнхен (7БЦ, soft touch+выб лак, 48л, 160г, белая бумага) С48-3785</t>
  </si>
  <si>
    <t>С48-3785</t>
  </si>
  <si>
    <t>4620129737852</t>
  </si>
  <si>
    <t>184302</t>
  </si>
  <si>
    <t>Скетчбук А5 Нью-Йорк (7БЦ, soft touch+выб лак, 48л, 160г, белая бумага) С48-3790</t>
  </si>
  <si>
    <t>С48-3790</t>
  </si>
  <si>
    <t>4620129737906</t>
  </si>
  <si>
    <t>184294</t>
  </si>
  <si>
    <t>Скетчбук А5 Прага (7БЦ, soft touch+выб лак, 48л, 160г, белая бумага) С48-3783</t>
  </si>
  <si>
    <t>С48-3783</t>
  </si>
  <si>
    <t>4620129737838</t>
  </si>
  <si>
    <t>184298</t>
  </si>
  <si>
    <t>Скетчбук А5 Рим (7БЦ, soft touch+выб лак, 48л, 160г, белая бумага) С48-3787</t>
  </si>
  <si>
    <t>С48-3787</t>
  </si>
  <si>
    <t>4620129737876</t>
  </si>
  <si>
    <t>184297</t>
  </si>
  <si>
    <t>Скетчбук А5 Стамбул (7БЦ, soft touch+выб лак, 48л, 160г, белая бумага) С48-3786</t>
  </si>
  <si>
    <t>С48-3786</t>
  </si>
  <si>
    <t>4620129737869</t>
  </si>
  <si>
    <t>184295</t>
  </si>
  <si>
    <t>Скетчбук А5 Таджмахал (7БЦ, soft touch+выб лак, 48л, 160г, белая бумага) С48-3784</t>
  </si>
  <si>
    <t>С48-3784</t>
  </si>
  <si>
    <t>4620129737845</t>
  </si>
  <si>
    <t>184301</t>
  </si>
  <si>
    <t>Скетчбук А5 Шанхай (7БЦ, soft touch+выб лак, 48л, 160г, белая бумага) С48-3789</t>
  </si>
  <si>
    <t>С48-3789</t>
  </si>
  <si>
    <t>4620129737890</t>
  </si>
  <si>
    <t>Скетчбуки А5, 7БЦ, Soft touch, 64л, 100г, на резинке (люкс крим)</t>
  </si>
  <si>
    <t>179686</t>
  </si>
  <si>
    <t>Скетчбук А5 Soft Touch Canada (7БЦ, 64 л, 100 г, на резинке) C64-1561</t>
  </si>
  <si>
    <t>C64-1561</t>
  </si>
  <si>
    <t>4620129715614</t>
  </si>
  <si>
    <t>179676</t>
  </si>
  <si>
    <t>Скетчбук А5 Soft Touch Elephant (7БЦ, 64 л, 100 г, на резинке) C64-1555</t>
  </si>
  <si>
    <t>C64-1555</t>
  </si>
  <si>
    <t>4620129715553</t>
  </si>
  <si>
    <t>179682</t>
  </si>
  <si>
    <t>Скетчбук А5 Soft Touch Leopard (7БЦ, 64 л, 100 г, на резинке) C64-1559</t>
  </si>
  <si>
    <t>C64-1559</t>
  </si>
  <si>
    <t>4620129715591</t>
  </si>
  <si>
    <t>179677</t>
  </si>
  <si>
    <t>Скетчбук А5 Soft Touch Pineapple (7БЦ, 64 л, 100 г, на резинке) C64-1556</t>
  </si>
  <si>
    <t>C64-1556</t>
  </si>
  <si>
    <t>4620129715560</t>
  </si>
  <si>
    <t>179680</t>
  </si>
  <si>
    <t>Скетчбук А5 Soft Touch Tea time (7БЦ, 64 л, 100 г, на резинке) C64-1558</t>
  </si>
  <si>
    <t>C64-1558</t>
  </si>
  <si>
    <t>4620129715584</t>
  </si>
  <si>
    <t>Скетчбуки А5, 7БЦ, гл лам, 64л, 100г, спираль (люкс крим)</t>
  </si>
  <si>
    <t>204144</t>
  </si>
  <si>
    <t>Скетчбук Девушка с кудрями (А5, 64л, 100г, 7БЦ, спираль слева) (айвори) С64-4181</t>
  </si>
  <si>
    <t>С64-4181</t>
  </si>
  <si>
    <t>4670159041818</t>
  </si>
  <si>
    <t>204151</t>
  </si>
  <si>
    <t>Скетчбук Животный принт (А5, 64л, 100г, 7БЦ, спираль слева) (айвори) С64-4183</t>
  </si>
  <si>
    <t>С64-4183</t>
  </si>
  <si>
    <t>4670159041832</t>
  </si>
  <si>
    <t>204158</t>
  </si>
  <si>
    <t>Скетчбук Космос (А5, 64л, 100г, 7БЦ, спираль слева) (айвори) С64-4186</t>
  </si>
  <si>
    <t>С64-4186</t>
  </si>
  <si>
    <t>4670159041863</t>
  </si>
  <si>
    <t>Скетчбуки А5, 7БЦ, лён + гл лам, 96л, 100г (люкс крим)</t>
  </si>
  <si>
    <t>179393</t>
  </si>
  <si>
    <t>Скетчбук А5 Mountain (7БЦ, лён+гл лам, 96л, 100г) С96-1368</t>
  </si>
  <si>
    <t>С96-1368</t>
  </si>
  <si>
    <t>4620129713689</t>
  </si>
  <si>
    <t>179368</t>
  </si>
  <si>
    <t>Скетчбук А5 SHARK (7БЦ, лён+гл лам, 96л, 100г) С96-1364</t>
  </si>
  <si>
    <t>С96-1364</t>
  </si>
  <si>
    <t>4620129713641</t>
  </si>
  <si>
    <t>179398</t>
  </si>
  <si>
    <t>Скетчбук А5 Surfing (7БЦ, лён+гл лам, 96л, 100г) С96-1370</t>
  </si>
  <si>
    <t>С96-1370</t>
  </si>
  <si>
    <t>4620129713702</t>
  </si>
  <si>
    <t>179373</t>
  </si>
  <si>
    <t>Скетчбук А5 Воздушный шар (7БЦ, лён+гл лам, 96л, 100г) С96-1366</t>
  </si>
  <si>
    <t>С96-1366</t>
  </si>
  <si>
    <t>4620129713665</t>
  </si>
  <si>
    <t>179396</t>
  </si>
  <si>
    <t>Скетчбук А5 ЛИСА (7БЦ, лён+гл лам, 96л, 100г) С96-1369</t>
  </si>
  <si>
    <t>С96-1369</t>
  </si>
  <si>
    <t>4620129713696</t>
  </si>
  <si>
    <t>Скетчбуки А5, мат лам, 7БЦ, на резинке, 100г (люкс крим)</t>
  </si>
  <si>
    <t>40 л</t>
  </si>
  <si>
    <t>182836</t>
  </si>
  <si>
    <t>Скетчбук А5 Golden Fruit (7БЦ, мат лам., 40 л, на резинке, 100г ) С40-3056</t>
  </si>
  <si>
    <t>С40-3056</t>
  </si>
  <si>
    <t>4620129730563</t>
  </si>
  <si>
    <t>182838</t>
  </si>
  <si>
    <t>Скетчбук А5 Космонавт на луне (7БЦ, мат лам., 40 л, на резинке, 100г ) С40-3058</t>
  </si>
  <si>
    <t>С40-3058</t>
  </si>
  <si>
    <t>4620129730587</t>
  </si>
  <si>
    <t>182835</t>
  </si>
  <si>
    <t>Скетчбук А5 Фараон (7БЦ, мат лам., 40 л, на резинке, 100г ) С40-3055</t>
  </si>
  <si>
    <t>С40-3055</t>
  </si>
  <si>
    <t>4620129730556</t>
  </si>
  <si>
    <t>182837</t>
  </si>
  <si>
    <t>Скетчбук А5 Яркий кот (7БЦ, мат лам., 40 л, на резинке, 100г ) С40-3057</t>
  </si>
  <si>
    <t>С40-3057</t>
  </si>
  <si>
    <t>4620129730570</t>
  </si>
  <si>
    <t>80 л</t>
  </si>
  <si>
    <t>182842</t>
  </si>
  <si>
    <t>Скетчбук А5 Бабочки (7БЦ, мат лам., 80 л, на резинке, 100г ) С80-3062</t>
  </si>
  <si>
    <t>С80-3062</t>
  </si>
  <si>
    <t>4620129730624</t>
  </si>
  <si>
    <t>182840</t>
  </si>
  <si>
    <t>Скетчбук А5 Кот в очках (7БЦ, мат лам., 80 л, на резинке, 100г ) С80-3060</t>
  </si>
  <si>
    <t>С80-3060</t>
  </si>
  <si>
    <t>4620129730600</t>
  </si>
  <si>
    <t>182839</t>
  </si>
  <si>
    <t>Скетчбук А5 Краски (7БЦ, мат лам., 80 л, на резинке, 100г ) С80-3059</t>
  </si>
  <si>
    <t>С80-3059</t>
  </si>
  <si>
    <t>4620129730594</t>
  </si>
  <si>
    <t>182841</t>
  </si>
  <si>
    <t>Скетчбук А5 Перо (7БЦ, мат лам., 80 л, на резинке, 100г ) С80-3061</t>
  </si>
  <si>
    <t>С80-3061</t>
  </si>
  <si>
    <t>4620129730617</t>
  </si>
  <si>
    <t>Скетчбуки А5, мат лам+выб лак, 7БЦ, на резинке, 100г (люкс крим)</t>
  </si>
  <si>
    <t>204136</t>
  </si>
  <si>
    <t>Скетчбук А5 Зебра (7БЦ, 40 л, на резинке, 100г ) (айвори) С40-4207</t>
  </si>
  <si>
    <t>С40-4207</t>
  </si>
  <si>
    <t>4670159042075</t>
  </si>
  <si>
    <t>204135</t>
  </si>
  <si>
    <t>Скетчбук А5 Книга (7БЦ, 40 л, на резинке, 100г ) (айвори) С40-4206</t>
  </si>
  <si>
    <t>С40-4206</t>
  </si>
  <si>
    <t>4670159042068</t>
  </si>
  <si>
    <t>204137</t>
  </si>
  <si>
    <t>Скетчбук А5 Чешуя (7БЦ, 40 л, на резинке, 100г ) (айвори) С40-4208</t>
  </si>
  <si>
    <t>С40-4208</t>
  </si>
  <si>
    <t>4670159042082</t>
  </si>
  <si>
    <t>204124</t>
  </si>
  <si>
    <t>Скетчбук А5 Жираф (7БЦ, 80 л, на резинке, 100г ) (айвори) С80-4212</t>
  </si>
  <si>
    <t>С80-4212</t>
  </si>
  <si>
    <t>4670159042129</t>
  </si>
  <si>
    <t>204119</t>
  </si>
  <si>
    <t>Скетчбук А5 Львица (7БЦ, 80 л, на резинке, 100г ) (айвори) С80-4210</t>
  </si>
  <si>
    <t>С80-4210</t>
  </si>
  <si>
    <t>4670159042105</t>
  </si>
  <si>
    <t>Скетчбуки А5, мат лам+выб лак, 7БЦ, цв блок, 80 л, 120г</t>
  </si>
  <si>
    <t>184858</t>
  </si>
  <si>
    <t>Скетчбук А5 ART (7БЦ, цв блок, 80 л, 120г) С80-3837</t>
  </si>
  <si>
    <t>С80-3837</t>
  </si>
  <si>
    <t>4620129738378</t>
  </si>
  <si>
    <t>184854</t>
  </si>
  <si>
    <t>Скетчбук А5 Воздушный шар (7БЦ, цв блок, 80 л, 120г) С80-3833</t>
  </si>
  <si>
    <t>С80-3833</t>
  </si>
  <si>
    <t>4620129738330</t>
  </si>
  <si>
    <t>184855</t>
  </si>
  <si>
    <t>Скетчбук А5 Граффити (7БЦ, цв блок, 80 л, 120г) С80-3834</t>
  </si>
  <si>
    <t>С80-3834</t>
  </si>
  <si>
    <t>4620129738347</t>
  </si>
  <si>
    <t>184857</t>
  </si>
  <si>
    <t>Скетчбук А5 Кот шериф (7БЦ, цв блок, 80 л, 120г) С80-3836</t>
  </si>
  <si>
    <t>С80-3836</t>
  </si>
  <si>
    <t>4620129738361</t>
  </si>
  <si>
    <t>184859</t>
  </si>
  <si>
    <t>Скетчбук А5 Обезьяна (7БЦ, цв блок, 80 л, 120г) С80-3838</t>
  </si>
  <si>
    <t>С80-3838</t>
  </si>
  <si>
    <t>4620129738385</t>
  </si>
  <si>
    <t>184860</t>
  </si>
  <si>
    <t>Скетчбук А5 Попугай в цветах (7БЦ, цв блок, 80 л, 120г) С80-3839</t>
  </si>
  <si>
    <t>С80-3839</t>
  </si>
  <si>
    <t>4620129738392</t>
  </si>
  <si>
    <t>Скетчбуки А5, мат лам+выб лак, жест подложка, на спирали, 50л, 100 г (люкс крим)</t>
  </si>
  <si>
    <t>204110</t>
  </si>
  <si>
    <t>Скетчбук А5 Девочка и стакан (мат лам+выб лак, жест подл, на спирали, 50л, 100г) (айвори) С50-4215</t>
  </si>
  <si>
    <t>С50-4215</t>
  </si>
  <si>
    <t>4670159042150</t>
  </si>
  <si>
    <t>204106</t>
  </si>
  <si>
    <t>Скетчбук А5 Девочка с зайцем (мат лам+выб лак, жест подл, на спирали, 50л, 100г) (айвори) С50-4213</t>
  </si>
  <si>
    <t>С50-4213</t>
  </si>
  <si>
    <t>4670159042136</t>
  </si>
  <si>
    <t>204109</t>
  </si>
  <si>
    <t>Скетчбук А5 Девушка с перьями (мат лам+выб лак, жест подл, на спирали, 50л, 100г) (айвори) С50-4214</t>
  </si>
  <si>
    <t>С50-4214</t>
  </si>
  <si>
    <t>4670159042143</t>
  </si>
  <si>
    <t>Скетчбуки А5, мат лам+выб лак, жест подложка, на спирали, 50л, крафт блок, 78г</t>
  </si>
  <si>
    <t>204185</t>
  </si>
  <si>
    <t>Скетчбук А5 Девушка (жест подложка, на спирали, 50л, крафт блок) С50-4387</t>
  </si>
  <si>
    <t>С50-4387</t>
  </si>
  <si>
    <t>4670159043874</t>
  </si>
  <si>
    <t>204184</t>
  </si>
  <si>
    <t>Скетчбук А5 Кролик (жест подложка, на спирали, 50л, крафт блок) С50-4386</t>
  </si>
  <si>
    <t>С50-4386</t>
  </si>
  <si>
    <t>4670159043867</t>
  </si>
  <si>
    <t>204187</t>
  </si>
  <si>
    <t>Скетчбук А5 Чешуя (жест подложка, на спирали, 50л, крафт блок) С50-4389</t>
  </si>
  <si>
    <t>С50-4389</t>
  </si>
  <si>
    <t>4670159043898</t>
  </si>
  <si>
    <t>4. Скетчбуки А6/А6+</t>
  </si>
  <si>
    <t>Скетчбуки А6+, мат лам+выб лак, жест подложка, мягкая обл, на гребне, 40 л, 100г (люкс крим)</t>
  </si>
  <si>
    <t>204155</t>
  </si>
  <si>
    <t>Скетчбук А6+ Бабочка (жест подложка, мягкая обл, 40 л, 100г) (айвори) С40-4232</t>
  </si>
  <si>
    <t>С40-4232</t>
  </si>
  <si>
    <t>4670159042327</t>
  </si>
  <si>
    <t>204154</t>
  </si>
  <si>
    <t>Скетчбук А6+ Девушка в Париже (жест подложка, мягкая обл, 40 л, 100г) (айвори) С40-4231</t>
  </si>
  <si>
    <t>С40-4231</t>
  </si>
  <si>
    <t>4670159042310</t>
  </si>
  <si>
    <t>5. Скетчбуки нестандартный размер</t>
  </si>
  <si>
    <t>Скетчбук Colorful 200х200 мм 7БЦ, soft touch, блок 72л: цветной 120г, черный 120г, крафт 78г</t>
  </si>
  <si>
    <t>174697</t>
  </si>
  <si>
    <t>Скетчбук Colorful Blue 200х200мм (7БЦ,soft touch,блок 72л:цветной120г,крафт78г С72-9044</t>
  </si>
  <si>
    <t>С72-9044</t>
  </si>
  <si>
    <t>4610144890441</t>
  </si>
  <si>
    <t>Скетчбуки 160х160 7БЦ, мат лам+выб лак, 40л, 120г, черная бумага</t>
  </si>
  <si>
    <t>149456</t>
  </si>
  <si>
    <t>Скетчбук 160х160 Т-800 (7БЦ, мат лам+выб лак, 40л, 120г, черная бумага, на резинке) С40-4076</t>
  </si>
  <si>
    <t>С40-4076</t>
  </si>
  <si>
    <t>4680088440767</t>
  </si>
  <si>
    <t>Скетчбуки 165х165, гл лам,7БЦ, 40л, гребень сверху, (люкс крим)</t>
  </si>
  <si>
    <t>204098</t>
  </si>
  <si>
    <t>Скетчбук Ролики (100г, 165*165, гл лам, 7бц, 40л, гребень сверху) (айвори) С40-4172</t>
  </si>
  <si>
    <t>С40-4172</t>
  </si>
  <si>
    <t>4670159041726</t>
  </si>
  <si>
    <t>204102</t>
  </si>
  <si>
    <t>Скетчбук Солдат (100г, 165*165, гл лам, 7бц, 40л, гребень сверху) (айвори) С40-4174</t>
  </si>
  <si>
    <t>С40-4174</t>
  </si>
  <si>
    <t>4670159041740</t>
  </si>
  <si>
    <t>Скетчбуки 200х200 7БЦ, холодная фольга + твин лак, 40 л, 160г, белая бумага</t>
  </si>
  <si>
    <t>184990</t>
  </si>
  <si>
    <t>Скетчбук 200х200 Cyber World (7БЦ, холодная фольга + твин лак, 40 л, 160г, белая бумага) С40-4055</t>
  </si>
  <si>
    <t>С40-4055</t>
  </si>
  <si>
    <t>4620129740555</t>
  </si>
  <si>
    <t>190802</t>
  </si>
  <si>
    <t>Скетчбук 200х200 Грань будущего (7БЦ, холодная фольга + твин лак, 40л, 160г, белая бумага)  С40-7155</t>
  </si>
  <si>
    <t>С40-7155</t>
  </si>
  <si>
    <t>4620129771559</t>
  </si>
  <si>
    <t>184988</t>
  </si>
  <si>
    <t>Скетчбук 200х200 Кибер Вселенная (7БЦ, холодная фольга+ твин лак, 40 л, 160г, белая бумага) С40-4053</t>
  </si>
  <si>
    <t>С40-4053</t>
  </si>
  <si>
    <t>4620129740531</t>
  </si>
  <si>
    <t>184989</t>
  </si>
  <si>
    <t>Скетчбук 200х200 Пиксельная планета (7БЦ, хол. фольга + твин лак, 40л, 160г, белая бумага) С40-4054</t>
  </si>
  <si>
    <t>С40-4054</t>
  </si>
  <si>
    <t>4620129740548</t>
  </si>
  <si>
    <t>184987</t>
  </si>
  <si>
    <t>Скетчбук 200х200 Планета (7БЦ, холодная фольга + твин лак, 40 л, 160г, белая бумага) С40-4052</t>
  </si>
  <si>
    <t>С40-4052</t>
  </si>
  <si>
    <t>4620129740524</t>
  </si>
  <si>
    <t>190804</t>
  </si>
  <si>
    <t>Скетчбук 200х200 Солнце (7БЦ, холодная фольга + твин лак, 40 л, 160г, белая бумага) С40-7156</t>
  </si>
  <si>
    <t>С40-7156</t>
  </si>
  <si>
    <t>4620129771566</t>
  </si>
  <si>
    <t>Скетчбуки 200х200 Акварельный 7БЦ, мат лам+твин лак, 20л, 200г, на резинке, офсет</t>
  </si>
  <si>
    <t>149474</t>
  </si>
  <si>
    <t>Скетчбук 200х200 Акварельный Кот Фрида (7БЦ, мат лам+твин лак, 20л, 200г, на резинке) С20-4082</t>
  </si>
  <si>
    <t>С20-4082</t>
  </si>
  <si>
    <t>4680088440828</t>
  </si>
  <si>
    <t>149475</t>
  </si>
  <si>
    <t>Скетчбук 200х200 Акварельный Олдскул авто (7БЦ, мат лам+твин лак, 20л, 200г, на резинке) С20-4083</t>
  </si>
  <si>
    <t>С20-4083</t>
  </si>
  <si>
    <t>4680088440835</t>
  </si>
  <si>
    <t>Скетчбуки 225х174 Fashion  с закрытым гребнем</t>
  </si>
  <si>
    <t>185718</t>
  </si>
  <si>
    <t>Скетчбук  Fashion "Аполлон" с закрытым гребнем холодная фольга + твин лак С80-4643</t>
  </si>
  <si>
    <t>С80-4643</t>
  </si>
  <si>
    <t>4620129746434</t>
  </si>
  <si>
    <t>185720</t>
  </si>
  <si>
    <t>Скетчбук  Fashion "Венера" с закрытым гребнем холодная фольга + твин лак С80-4644</t>
  </si>
  <si>
    <t>С80-4644</t>
  </si>
  <si>
    <t>4620129746441</t>
  </si>
  <si>
    <t>185722</t>
  </si>
  <si>
    <t>Скетчбук  Fashion "Горы" с закрытым гребнем холодная фольга + твин лак С80-4646</t>
  </si>
  <si>
    <t>С80-4646</t>
  </si>
  <si>
    <t>4620129746465</t>
  </si>
  <si>
    <t>185719</t>
  </si>
  <si>
    <t>Скетчбук  Fashion "Флора" с закрытым гребнем холодная фольга + твин лак С80-4645</t>
  </si>
  <si>
    <t>С80-4645</t>
  </si>
  <si>
    <t>4620129746458</t>
  </si>
  <si>
    <t>Скетчбуки Стандарт</t>
  </si>
  <si>
    <t>Скетчбуки КБС, глянцевая ламинация</t>
  </si>
  <si>
    <t>Скетчбуки А5, 48л, КБС, люкс крим</t>
  </si>
  <si>
    <t>204169</t>
  </si>
  <si>
    <t>Скетчбук Девушка набросок А5, 48л, КБС (офсет) С48-4195</t>
  </si>
  <si>
    <t>С48-4195</t>
  </si>
  <si>
    <t>4670159041955</t>
  </si>
  <si>
    <t>204177</t>
  </si>
  <si>
    <t>Скетчбук Моторалли А5, 48л, КБС (офсет) С48-4203</t>
  </si>
  <si>
    <t>С48-4203</t>
  </si>
  <si>
    <t>4670159042037</t>
  </si>
  <si>
    <t>204173</t>
  </si>
  <si>
    <t>Скетчбук Обезьяна А5, 48л, КБС (офсет) С48-4199</t>
  </si>
  <si>
    <t>С48-4199</t>
  </si>
  <si>
    <t>4670159041993</t>
  </si>
  <si>
    <t>204165</t>
  </si>
  <si>
    <t>Скетчбук Парень в шлеме А5, 48л, КБС (офсет) С48-4191</t>
  </si>
  <si>
    <t>С48-4191</t>
  </si>
  <si>
    <t>4670159041917</t>
  </si>
  <si>
    <t>112627</t>
  </si>
  <si>
    <t>Скетчбук Русалка А5, 48л, КБС С48-2217</t>
  </si>
  <si>
    <t>С48-2217</t>
  </si>
  <si>
    <t>4665306722177</t>
  </si>
  <si>
    <t>02 Записные книжки</t>
  </si>
  <si>
    <t>Записные книжки А5 7БЦ, мат лам+выб лак, спираль, 96л</t>
  </si>
  <si>
    <t>210210</t>
  </si>
  <si>
    <t>Записная книга по мотивам сериала А5 Third day of the week (7БЦ,мат лам+выб лак,спираль,96л) 96-7559</t>
  </si>
  <si>
    <t>96-7559</t>
  </si>
  <si>
    <t>4670159075592</t>
  </si>
  <si>
    <t>210208</t>
  </si>
  <si>
    <t>Записная книга по мотивам сериала А5 Банда Шелби (7БЦ,мат лам+выб лак, спираль, 96л) 96-7558</t>
  </si>
  <si>
    <t>96-7558</t>
  </si>
  <si>
    <t>4670159075585</t>
  </si>
  <si>
    <t>210195</t>
  </si>
  <si>
    <t>Записная книга по мотивам сериала А5 Красный шарик (7БЦ,мат лам+выб лак, спираль, 96л) 96-7553</t>
  </si>
  <si>
    <t>96-7553</t>
  </si>
  <si>
    <t>4670159075530</t>
  </si>
  <si>
    <t>210197</t>
  </si>
  <si>
    <t>Записная книга по мотивам сериала А5 Ограбление (7БЦ,мат лам+выб лак, спираль, 96л) 96-7554</t>
  </si>
  <si>
    <t>96-7554</t>
  </si>
  <si>
    <t>4670159075547</t>
  </si>
  <si>
    <t>210193</t>
  </si>
  <si>
    <t>Записная книга по мотивам сериала А5 После апокалипсиса (7БЦ,мат лам+выб лак, спираль, 96л) 96-7552</t>
  </si>
  <si>
    <t>96-7552</t>
  </si>
  <si>
    <t>4670159075523</t>
  </si>
  <si>
    <t>210202</t>
  </si>
  <si>
    <t>Записная книга по мотивам сериала А5 Шахматы (7БЦ,мат лам+выб лак, спираль, 96л) 96-7556</t>
  </si>
  <si>
    <t>96-7556</t>
  </si>
  <si>
    <t>4670159075561</t>
  </si>
  <si>
    <t>Записные книжки А5 7БЦ, холодная фольга + твин лак 80л</t>
  </si>
  <si>
    <t>210194</t>
  </si>
  <si>
    <t>Записная книга А5  Гейша 7БЦ, холодная фольга + твин лак, 80л, 100г) 80-7560</t>
  </si>
  <si>
    <t>80-7560</t>
  </si>
  <si>
    <t>4670159075608</t>
  </si>
  <si>
    <t>210196</t>
  </si>
  <si>
    <t>Записная книга А5 Злой дух (7БЦ, холодная фольга + твин лак, 80л, 100г) 80-7561</t>
  </si>
  <si>
    <t>80-7561</t>
  </si>
  <si>
    <t>4670159075615</t>
  </si>
  <si>
    <t>210201</t>
  </si>
  <si>
    <t>Записная книга А5 Инугами (7БЦ, холодная фольга + твин лак, 80л, 100г) 80-7564</t>
  </si>
  <si>
    <t>80-7564</t>
  </si>
  <si>
    <t>4670159075646</t>
  </si>
  <si>
    <t>210207</t>
  </si>
  <si>
    <t>Записная книга А5 Кицуне (7БЦ, холодная фольга + твин лак, 80л, 100г) 80-7567</t>
  </si>
  <si>
    <t>80-7567</t>
  </si>
  <si>
    <t>4670159075677</t>
  </si>
  <si>
    <t>210198</t>
  </si>
  <si>
    <t>Записная книга А5 Самурай (7БЦ, холодная фольга + твин лак, 80л, 100г) 80-7562</t>
  </si>
  <si>
    <t>80-7562</t>
  </si>
  <si>
    <t>4670159075622</t>
  </si>
  <si>
    <t>210199</t>
  </si>
  <si>
    <t>Записная книга А5 Сёгун (7БЦ, холодная фольга + твин лак, 80л, 100г) 80-7563</t>
  </si>
  <si>
    <t>80-7563</t>
  </si>
  <si>
    <t>4670159075639</t>
  </si>
  <si>
    <t>210203</t>
  </si>
  <si>
    <t>Записная книга А5 Тануки (7БЦ, холодная фольга + твин лак, 80л, 100г) 80-7565</t>
  </si>
  <si>
    <t>80-7565</t>
  </si>
  <si>
    <t>4670159075653</t>
  </si>
  <si>
    <t>193653</t>
  </si>
  <si>
    <t>Записная книжка А5 Мечтай (7БЦ, холодная фольга+твин лак, 80л, 100 г.) З80-8266</t>
  </si>
  <si>
    <t>З80-8266</t>
  </si>
  <si>
    <t>4620129782661</t>
  </si>
  <si>
    <t>193652</t>
  </si>
  <si>
    <t>Записная книжка А5 Размышляй (7БЦ, холодная фольга+твин лак, 80л, 100 г.) З80-8265</t>
  </si>
  <si>
    <t>З80-8265</t>
  </si>
  <si>
    <t>4620129782654</t>
  </si>
  <si>
    <t>193651</t>
  </si>
  <si>
    <t>Записная книжка А5 Создавай (7БЦ, холодная фольга+твин лак, 80л, 100 г.) З80-8264</t>
  </si>
  <si>
    <t>З80-8264</t>
  </si>
  <si>
    <t>4620129782647</t>
  </si>
  <si>
    <t>193654</t>
  </si>
  <si>
    <t>Записная книжка А5 Твори (7БЦ, холодная фольга+твин лак, 80л, 100 г.) З80-8267</t>
  </si>
  <si>
    <t>З80-8267</t>
  </si>
  <si>
    <t>4620129782678</t>
  </si>
  <si>
    <t>03 Раскраски-антистресс</t>
  </si>
  <si>
    <t>А4 матовая ламинация+выборочный лак, скрепка, 24 л</t>
  </si>
  <si>
    <t>206381</t>
  </si>
  <si>
    <t>Раскраска-антистресс А4 Анимация (мат лам+выб лак, 24 л) Р24-5534</t>
  </si>
  <si>
    <t>Р24-5534</t>
  </si>
  <si>
    <t>4670159055341</t>
  </si>
  <si>
    <t>4903000000</t>
  </si>
  <si>
    <t>206410</t>
  </si>
  <si>
    <t>Раскраска-антистресс А4 Кавай (мат лам+выб лак, 24 л) Р24-5539</t>
  </si>
  <si>
    <t>Р24-5539</t>
  </si>
  <si>
    <t>4670159055396</t>
  </si>
  <si>
    <t>206399</t>
  </si>
  <si>
    <t>Раскраска-антистресс А4 Мир манги (мат лам+выб лак, 24 л) Р24-5535</t>
  </si>
  <si>
    <t>Р24-5535</t>
  </si>
  <si>
    <t>4670159055358</t>
  </si>
  <si>
    <t>А4 , 24 л</t>
  </si>
  <si>
    <t>А5 7БЦ, мат лам+высокий лак, 24 л</t>
  </si>
  <si>
    <t>182882</t>
  </si>
  <si>
    <t>Раскраска-антистресс А5 Космос (7БЦ, мат лам+высокий лак, 24 л) РМ24-3096</t>
  </si>
  <si>
    <t>РМ24-3096</t>
  </si>
  <si>
    <t>4620129730969</t>
  </si>
  <si>
    <t>А5 матовая ламинация+выборочный лак, скрепка, 24 л</t>
  </si>
  <si>
    <t>206415</t>
  </si>
  <si>
    <t>Раскраска-антистресс А5 Аниме (мат лам+выб лак, 24 л) Р24-5544</t>
  </si>
  <si>
    <t>Р24-5544</t>
  </si>
  <si>
    <t>4670159055440</t>
  </si>
  <si>
    <t>58.11.13</t>
  </si>
  <si>
    <t>206419</t>
  </si>
  <si>
    <t>Раскраска-антистресс А5 Когда всё задолбало (мат лам+выб лак, 24 л)  Р24-5548</t>
  </si>
  <si>
    <t>Р24-5548</t>
  </si>
  <si>
    <t>4670159055488</t>
  </si>
  <si>
    <t>206416</t>
  </si>
  <si>
    <t>Раскраска-антистресс А5 Манга (мат лам+выб лак, 24 л) Р24-5545</t>
  </si>
  <si>
    <t>Р24-5545</t>
  </si>
  <si>
    <t>4670159055457</t>
  </si>
  <si>
    <t>206417</t>
  </si>
  <si>
    <t>Раскраска-антистресс А5 Японский арт (мат лам+выб лак, 24 л) Р24-5546</t>
  </si>
  <si>
    <t>Р24-5546</t>
  </si>
  <si>
    <t>4670159055464</t>
  </si>
  <si>
    <t>04 Стикербуки "Собственная разработка"</t>
  </si>
  <si>
    <t>Стикербуки "Собственная разработка" А5 на скрепке</t>
  </si>
  <si>
    <t>208101</t>
  </si>
  <si>
    <t>Стикербук "Акварель и прованс" (А5, 16л.) СБ-6315</t>
  </si>
  <si>
    <t>СБ-6315</t>
  </si>
  <si>
    <t>4670159063155</t>
  </si>
  <si>
    <t>208106</t>
  </si>
  <si>
    <t>Стикербук "Интерьер и канцелярия" (А5, 16л.) СБ-6319</t>
  </si>
  <si>
    <t>СБ-6319</t>
  </si>
  <si>
    <t>4670159063193</t>
  </si>
  <si>
    <t>208102</t>
  </si>
  <si>
    <t>Стикербук "Хюгге и кошечки" (А5, 16л.) СБ-6316</t>
  </si>
  <si>
    <t>СБ-6316</t>
  </si>
  <si>
    <t>4670159063162</t>
  </si>
  <si>
    <t>208096</t>
  </si>
  <si>
    <t>Стикербук для оформления альбома первого года жизни ребенка "История начинается" (А5, 16л.) СБ-6313</t>
  </si>
  <si>
    <t>СБ-6313</t>
  </si>
  <si>
    <t>4670159063131</t>
  </si>
  <si>
    <t>208100</t>
  </si>
  <si>
    <t>Стикербук для оформления ежедневника "Мой блокнот" (А5, 16л.) СБ-6314</t>
  </si>
  <si>
    <t>СБ-6314</t>
  </si>
  <si>
    <t>4670159063148</t>
  </si>
  <si>
    <t>208094</t>
  </si>
  <si>
    <t>Стикербук для оформления семейного фотоальбома "Love Story" (А5, 16л.) СБ-6312</t>
  </si>
  <si>
    <t>СБ-6312</t>
  </si>
  <si>
    <t>4670159063124</t>
  </si>
  <si>
    <t>Стикербуки "Собственная разработка" А6 на гребне</t>
  </si>
  <si>
    <t>205729</t>
  </si>
  <si>
    <t>Стикербук  "Мой Кавай"  (А6, 16 л.) Собственная разработка СБ-5058</t>
  </si>
  <si>
    <t>СБ-5058</t>
  </si>
  <si>
    <t>4670159050582</t>
  </si>
  <si>
    <t>205731</t>
  </si>
  <si>
    <t>Стикербук "Мое Аниме" (А6, 16 л.) Собственная разработка СБ-5060</t>
  </si>
  <si>
    <t>СБ-5060</t>
  </si>
  <si>
    <t>4670159050605</t>
  </si>
  <si>
    <t>179172</t>
  </si>
  <si>
    <t>Стикербук "Мои приколы" (А6, 16 л.) СБ16-1377</t>
  </si>
  <si>
    <t>СБ16-1377</t>
  </si>
  <si>
    <t>4620129713771</t>
  </si>
  <si>
    <t>197687</t>
  </si>
  <si>
    <t>Стикербук "Мои смайлики" (А6, 16 л.)  СБ16-0414</t>
  </si>
  <si>
    <t>СБ16-0414</t>
  </si>
  <si>
    <t>4670159004141</t>
  </si>
  <si>
    <t>197689</t>
  </si>
  <si>
    <t>Стикербук "Мои стихии" (А6, 16 л.)  СБ16-0416</t>
  </si>
  <si>
    <t>СБ16-0416</t>
  </si>
  <si>
    <t>4670159004165</t>
  </si>
  <si>
    <t>179173</t>
  </si>
  <si>
    <t>Стикербук "Мои тату (А6, 16 л.) СБ16-1378</t>
  </si>
  <si>
    <t>СБ16-1378</t>
  </si>
  <si>
    <t>4620129713788</t>
  </si>
  <si>
    <t>230402</t>
  </si>
  <si>
    <t>Стикербук "Мой любимый кофе"  (А6, 16 л.) Собственная разработка СБ-7836</t>
  </si>
  <si>
    <t>СБ-7836</t>
  </si>
  <si>
    <t>4670159178361</t>
  </si>
  <si>
    <t>179174</t>
  </si>
  <si>
    <t>Стикербук "Мой прованс" (А6, 16 л.) СБ16-1379</t>
  </si>
  <si>
    <t>СБ16-1379</t>
  </si>
  <si>
    <t>4620129713795</t>
  </si>
  <si>
    <t>203036</t>
  </si>
  <si>
    <t>Стикербук "Мой Хэллоуин" (А6, 16 л.) "Собственная разработка" СБ-3602</t>
  </si>
  <si>
    <t>СБ-3602</t>
  </si>
  <si>
    <t>4670159036739</t>
  </si>
  <si>
    <t>05 Ежедневники</t>
  </si>
  <si>
    <t>Ежедневники полезных привычек  145х200 (интегральная обложка, матовая ламинация, 100 л, 70г, офсет)</t>
  </si>
  <si>
    <t>204641</t>
  </si>
  <si>
    <t>Ежедневник полезных привычек "Аниме" 145х200 (интегр.обл., мат. лам,100л. 70г, офсет) Е96-4674</t>
  </si>
  <si>
    <t>Е96-4674</t>
  </si>
  <si>
    <t>4670159046745</t>
  </si>
  <si>
    <t>Ежедневники с трафаретом 150х204  (7БЦ, глянцевая ламинация, 96 л, 70г, офсет)</t>
  </si>
  <si>
    <t>193502</t>
  </si>
  <si>
    <t>Ежедневник с трафаретом "Венера" 150х204  (7БЦ, глянцевая ламинация, 96 л, 70г, офсет)  Е96-8154</t>
  </si>
  <si>
    <t>Е96-8154</t>
  </si>
  <si>
    <t>4620129781541</t>
  </si>
  <si>
    <t>193503</t>
  </si>
  <si>
    <t>Ежедневник с трафаретом "Город" 150х204  (7БЦ, глянцевая ламинация, 96 л, 70г, офсет) Е96-8155</t>
  </si>
  <si>
    <t>Е96-8155</t>
  </si>
  <si>
    <t>4620129781558</t>
  </si>
  <si>
    <t>193501</t>
  </si>
  <si>
    <t>Ежедневник с трафаретом "Розы" 150х204  (7БЦ, глянцевая ламинация, 96 л, 70г, офсет) Е96-8153</t>
  </si>
  <si>
    <t>Е96-8153</t>
  </si>
  <si>
    <t>4620129781534</t>
  </si>
  <si>
    <t>08 КОНВЕРТЫ ДЛЯ ДЕНЕГ</t>
  </si>
  <si>
    <t>00 Свадебные конверты для денег</t>
  </si>
  <si>
    <t>2 Стандарт</t>
  </si>
  <si>
    <t>Стандарт (6+0 (золото/серебро))</t>
  </si>
  <si>
    <t>259513</t>
  </si>
  <si>
    <t>Конверт для денег "Свадебный. Поздравляю. Нежные цветы"  (6+0 (золото/серебро))  ЗСС-0060</t>
  </si>
  <si>
    <t>ЗСС-0060</t>
  </si>
  <si>
    <t>4630493777354</t>
  </si>
  <si>
    <t>3 Dream Cards</t>
  </si>
  <si>
    <t>2 Dream Cards (фольга)</t>
  </si>
  <si>
    <t>262351</t>
  </si>
  <si>
    <t>Dream Cards Конверт для денег С днем свадьбы!, 4+0, фольга (Ангел в цветах) КОН-7022</t>
  </si>
  <si>
    <t>КОН-7022</t>
  </si>
  <si>
    <t>4640520770227</t>
  </si>
  <si>
    <t>262354</t>
  </si>
  <si>
    <t>Dream Cards Конверт для денег С днем свадьбы!, 4+0, фольга (Торт) КОН-7023</t>
  </si>
  <si>
    <t>КОН-7023</t>
  </si>
  <si>
    <t>4640520770234</t>
  </si>
  <si>
    <t>3 Dream Cards (Soft Touch )</t>
  </si>
  <si>
    <t>262356</t>
  </si>
  <si>
    <t>Dream Cards Конверт для денег Soft Touch С днем свадьбы!, 4+0, фольга (Пара) КОН-7035</t>
  </si>
  <si>
    <t>КОН-7035</t>
  </si>
  <si>
    <t>4640520770357</t>
  </si>
  <si>
    <t>262359</t>
  </si>
  <si>
    <t>Dream Cards Конверт для денег Soft Touch С днем свадьбы!, 4+0, фольга (Сердце) КОН-7037</t>
  </si>
  <si>
    <t>КОН-7037</t>
  </si>
  <si>
    <t>4640520770371</t>
  </si>
  <si>
    <t>01 Серия "Optima"</t>
  </si>
  <si>
    <t>1 Optima Без обработки</t>
  </si>
  <si>
    <t>223471</t>
  </si>
  <si>
    <t>OPTIMA Конверт для денег "Happy Birthday" (монстрики) 1-04-0439</t>
  </si>
  <si>
    <t>1-04-0439</t>
  </si>
  <si>
    <t>466530320618200439</t>
  </si>
  <si>
    <t>272901</t>
  </si>
  <si>
    <t>Optima Конверт для денег "Благодарю"  (Оранжевый букет) 1-04-0675</t>
  </si>
  <si>
    <t>1-04-0675</t>
  </si>
  <si>
    <t>4680942623138</t>
  </si>
  <si>
    <t>272891</t>
  </si>
  <si>
    <t>Optima Конверт для денег "Для тебя"  (Мишка с шариком) 1-04-0666</t>
  </si>
  <si>
    <t>1-04-0666</t>
  </si>
  <si>
    <t>4680942623046</t>
  </si>
  <si>
    <t>272905</t>
  </si>
  <si>
    <t>Optima Конверт для денег "Для тебя" (Розовая нежность) 1-04-0650</t>
  </si>
  <si>
    <t>1-04-0650</t>
  </si>
  <si>
    <t>4680942622889</t>
  </si>
  <si>
    <t>272887</t>
  </si>
  <si>
    <t>Optima Конверт для денег "С наилучшими пожеланиями"  (Радостная собачка) 1-04-0662</t>
  </si>
  <si>
    <t>1-04-0662</t>
  </si>
  <si>
    <t>4680942623008</t>
  </si>
  <si>
    <t>272892</t>
  </si>
  <si>
    <t>Optima Конверт для денег "С праздником"  (Розовый бант) 1-04-0667</t>
  </si>
  <si>
    <t>1-04-0667</t>
  </si>
  <si>
    <t>4680942623053</t>
  </si>
  <si>
    <t>198666</t>
  </si>
  <si>
    <t>Optima Конверт для денег С днем рождения (мужские аксессуары) 1-04-0357</t>
  </si>
  <si>
    <t>1-04-0357</t>
  </si>
  <si>
    <t>466530320618200357</t>
  </si>
  <si>
    <t>3 Optima УФ-лак</t>
  </si>
  <si>
    <t>270166</t>
  </si>
  <si>
    <t>Optima Конверт для денег Поздравляем,  торт , УФ-лак 1-04-0637</t>
  </si>
  <si>
    <t>1-04-0637</t>
  </si>
  <si>
    <t>4680942608210</t>
  </si>
  <si>
    <t>270167</t>
  </si>
  <si>
    <t>Optima Конверт для денег Поздравляю подарки, УФ-лак 1-04-0638</t>
  </si>
  <si>
    <t>1-04-0638</t>
  </si>
  <si>
    <t>4680942608227</t>
  </si>
  <si>
    <t>270173</t>
  </si>
  <si>
    <t>Optima Конверт для денег Поздравляю,  розовый градиент, УФ-лак 1-04-0644</t>
  </si>
  <si>
    <t>1-04-0644</t>
  </si>
  <si>
    <t>4680942608289</t>
  </si>
  <si>
    <t>270171</t>
  </si>
  <si>
    <t>Optima Конверт для денег Поздравляю,  шляпа, УФ-лак 1-04-0642</t>
  </si>
  <si>
    <t>1-04-0642</t>
  </si>
  <si>
    <t>4680942608265</t>
  </si>
  <si>
    <t>270174</t>
  </si>
  <si>
    <t>Optima Конверт для денег Поздравляю, золотой бант,  УФ-лак 1-04-0645</t>
  </si>
  <si>
    <t>1-04-0645</t>
  </si>
  <si>
    <t>4680942608296</t>
  </si>
  <si>
    <t>270170</t>
  </si>
  <si>
    <t>Optima Конверт для денег Поздравляю, золотые соты  УФ-лак 1-04-0641</t>
  </si>
  <si>
    <t>1-04-0641</t>
  </si>
  <si>
    <t>4680942608258</t>
  </si>
  <si>
    <t>270169</t>
  </si>
  <si>
    <t>Optima Конверт для денег Поздравляю, синий бант, УФ-лак 1-04-0640</t>
  </si>
  <si>
    <t>1-04-0640</t>
  </si>
  <si>
    <t>4680942608241</t>
  </si>
  <si>
    <t>270165</t>
  </si>
  <si>
    <t>Optima Конверт для денег Поздравляю, Сияние, УФ-лак 1-04-0636</t>
  </si>
  <si>
    <t>1-04-0636</t>
  </si>
  <si>
    <t>4680942608203</t>
  </si>
  <si>
    <t>270176</t>
  </si>
  <si>
    <t>Optima Конверт для денег Поздравляю, узор на синем,  УФ-лак 1-04-0647</t>
  </si>
  <si>
    <t>1-04-0647</t>
  </si>
  <si>
    <t>4680942608319</t>
  </si>
  <si>
    <t>270168</t>
  </si>
  <si>
    <t>Optima Конверт для денег С днем рождения, капкейк, УФ-лак 1-04-0639</t>
  </si>
  <si>
    <t>1-04-0639</t>
  </si>
  <si>
    <t>4680942608234</t>
  </si>
  <si>
    <t>270164</t>
  </si>
  <si>
    <t>Optima Конверт для денег С Днем свадьбы, УФ-лак 1-04-0635</t>
  </si>
  <si>
    <t>1-04-0635</t>
  </si>
  <si>
    <t>4680942608197</t>
  </si>
  <si>
    <t>270172</t>
  </si>
  <si>
    <t>Optima Конверт для денег С наилучшими пожеланиями, полосы УФ-лак 1-04-0643</t>
  </si>
  <si>
    <t>1-04-0643</t>
  </si>
  <si>
    <t>4680942608272</t>
  </si>
  <si>
    <t>270175</t>
  </si>
  <si>
    <t>Optima Конверт для денег С праздником, цветы  УФ-лак 1-04-0646</t>
  </si>
  <si>
    <t>1-04-0646</t>
  </si>
  <si>
    <t>4680942608302</t>
  </si>
  <si>
    <t>02 Стандарт</t>
  </si>
  <si>
    <t>00 Набор конвертов</t>
  </si>
  <si>
    <t>271769</t>
  </si>
  <si>
    <t>Набор конвертов для денег, 5 шт "Пастель" КОН-1739</t>
  </si>
  <si>
    <t>КОН-1739</t>
  </si>
  <si>
    <t>4680942617397</t>
  </si>
  <si>
    <t>1 Без обработки</t>
  </si>
  <si>
    <t>247889</t>
  </si>
  <si>
    <t>Конверт для денег "Dont worry, be happy!" (веселая собачка) 1-05-0294</t>
  </si>
  <si>
    <t>1-05-0294</t>
  </si>
  <si>
    <t>466529551837900294</t>
  </si>
  <si>
    <t>220729</t>
  </si>
  <si>
    <t>Конверт для денег "Happy Birthday" (игристое) 1-05-0258</t>
  </si>
  <si>
    <t>1-05-0258</t>
  </si>
  <si>
    <t>466529551837900258</t>
  </si>
  <si>
    <t>238207</t>
  </si>
  <si>
    <t>Конверт для денег "Без текста" (котики и цветочки) 1-05-0287</t>
  </si>
  <si>
    <t>1-05-0287</t>
  </si>
  <si>
    <t>466529551837900287</t>
  </si>
  <si>
    <t>238206</t>
  </si>
  <si>
    <t>Конверт для денег "Без текста" (персики и веточки) 1-05-0286</t>
  </si>
  <si>
    <t>1-05-0286</t>
  </si>
  <si>
    <t>466529551837900286</t>
  </si>
  <si>
    <t>272873</t>
  </si>
  <si>
    <t>Конверт для денег "Без текста" (Цветочная нежность) 1-05-0345</t>
  </si>
  <si>
    <t>1-05-0345</t>
  </si>
  <si>
    <t>4680942623800</t>
  </si>
  <si>
    <t>247887</t>
  </si>
  <si>
    <t>Конверт для денег "Да пребудет с тобой сила!" (котик-герой) 1-05-0292</t>
  </si>
  <si>
    <t>1-05-0292</t>
  </si>
  <si>
    <t>466529551837900292</t>
  </si>
  <si>
    <t>272871</t>
  </si>
  <si>
    <t>Конверт для денег "Для тебя" (Красивая бирка) 1-05-0344</t>
  </si>
  <si>
    <t>1-05-0344</t>
  </si>
  <si>
    <t>4680942623794</t>
  </si>
  <si>
    <t>220480</t>
  </si>
  <si>
    <t>Конверт для денег "Поздравляю!" (девушка с жвачкой) 1-05-0253</t>
  </si>
  <si>
    <t>1-05-0253</t>
  </si>
  <si>
    <t>466529551837900253</t>
  </si>
  <si>
    <t>220739</t>
  </si>
  <si>
    <t>Конверт для денег "Поздравляю!" (профиль на розовом) 1-05-0268</t>
  </si>
  <si>
    <t>1-05-0268</t>
  </si>
  <si>
    <t>466529551837900268</t>
  </si>
  <si>
    <t>220738</t>
  </si>
  <si>
    <t>Конверт для денег "Поздравляю!" (розовые цветы) 1-05-0267</t>
  </si>
  <si>
    <t>1-05-0267</t>
  </si>
  <si>
    <t>466529551837900267</t>
  </si>
  <si>
    <t>272882</t>
  </si>
  <si>
    <t>Конверт для денег "Поздравляю" (Аксессуары успеха) 1-05-0351</t>
  </si>
  <si>
    <t>1-05-0351</t>
  </si>
  <si>
    <t>4680942623862</t>
  </si>
  <si>
    <t>272885</t>
  </si>
  <si>
    <t>Конверт для денег "Поздравляю" (Салют) 1-05-0354</t>
  </si>
  <si>
    <t>1-05-0354</t>
  </si>
  <si>
    <t>4680942623893</t>
  </si>
  <si>
    <t>227367</t>
  </si>
  <si>
    <t>Конверт для денег "С днем рождения!" (веселые котики) 1-05-0269</t>
  </si>
  <si>
    <t>1-05-0269</t>
  </si>
  <si>
    <t>466529551837900269</t>
  </si>
  <si>
    <t>227370</t>
  </si>
  <si>
    <t>Конверт для денег "С днем рождения!" (единорог с подарком) 1-05-0274</t>
  </si>
  <si>
    <t>1-05-0274</t>
  </si>
  <si>
    <t>466529551837900274</t>
  </si>
  <si>
    <t>220472</t>
  </si>
  <si>
    <t>Конверт для денег "С днем рождения!" (милый кролик) 1-05-0246</t>
  </si>
  <si>
    <t>1-05-0246</t>
  </si>
  <si>
    <t>466529551837900246</t>
  </si>
  <si>
    <t>227371</t>
  </si>
  <si>
    <t>Конверт для денег "С днем рождения!" (мужские аксессуары) 1-05-0276</t>
  </si>
  <si>
    <t>1-05-0276</t>
  </si>
  <si>
    <t>466529551837900276</t>
  </si>
  <si>
    <t>196090</t>
  </si>
  <si>
    <t>Конверт для денег "С днем рождения!" (панды) 1-05-0229</t>
  </si>
  <si>
    <t>1-05-0229</t>
  </si>
  <si>
    <t>466529551837900229</t>
  </si>
  <si>
    <t>247946</t>
  </si>
  <si>
    <t>Конверт для денег "С днем рождения!" (поздравление от котиков) 1-05-0307</t>
  </si>
  <si>
    <t>1-05-0307</t>
  </si>
  <si>
    <t>466529551837900307</t>
  </si>
  <si>
    <t>247960</t>
  </si>
  <si>
    <t>Конверт для денег "С днем рождения!" (рельефные шарики) 1-05-0321</t>
  </si>
  <si>
    <t>1-05-0321</t>
  </si>
  <si>
    <t>466529551837900321</t>
  </si>
  <si>
    <t>220737</t>
  </si>
  <si>
    <t>Конверт для денег "С днем рождения!" (розовый кабриолет) 1-05-0266</t>
  </si>
  <si>
    <t>1-05-0266</t>
  </si>
  <si>
    <t>466529551837900266</t>
  </si>
  <si>
    <t>247955</t>
  </si>
  <si>
    <t>Конверт для денег "С днем рождения!" (шарики и украшения) 1-05-0316</t>
  </si>
  <si>
    <t>1-05-0316</t>
  </si>
  <si>
    <t>466529551837900316</t>
  </si>
  <si>
    <t>227369</t>
  </si>
  <si>
    <t>Конверт для денег "С днем рождения!" (яркая абстракция) 1-05-0271</t>
  </si>
  <si>
    <t>1-05-0271</t>
  </si>
  <si>
    <t>466529551837900271</t>
  </si>
  <si>
    <t>272884</t>
  </si>
  <si>
    <t>Конверт для денег "С Днем рождения" (Строгий шик) 1-05-0353</t>
  </si>
  <si>
    <t>1-05-0353</t>
  </si>
  <si>
    <t>4680942623886</t>
  </si>
  <si>
    <t>247956</t>
  </si>
  <si>
    <t>Конверт для денег "С наилучшими пожеланиями!" (аниме-девочка с котиком) 1-05-0317</t>
  </si>
  <si>
    <t>1-05-0317</t>
  </si>
  <si>
    <t>466529551837900317</t>
  </si>
  <si>
    <t>272880</t>
  </si>
  <si>
    <t>Конверт для денег "С наилучшими пожеланиями" (Россыпь звезд) 1-05-0349</t>
  </si>
  <si>
    <t>1-05-0349</t>
  </si>
  <si>
    <t>4680942623848</t>
  </si>
  <si>
    <t>272858</t>
  </si>
  <si>
    <t>Конверт для денег "С праздником!" (Стиль и роскошь) 1-05-0341</t>
  </si>
  <si>
    <t>1-05-0341</t>
  </si>
  <si>
    <t>4680942623763</t>
  </si>
  <si>
    <t>238205</t>
  </si>
  <si>
    <t>Конверт для денег "С праздником" (шары и конфетти) 1-05-0285</t>
  </si>
  <si>
    <t>1-05-0285</t>
  </si>
  <si>
    <t>466529551837900285</t>
  </si>
  <si>
    <t>247898</t>
  </si>
  <si>
    <t>Конверт для денег "Сияй, как звезды!" (девушка и звезды) 1-05-0303</t>
  </si>
  <si>
    <t>1-05-0303</t>
  </si>
  <si>
    <t>466529551837900303</t>
  </si>
  <si>
    <t>238201</t>
  </si>
  <si>
    <t>Конверт для денег "Следуй за мечтой" (беседка) 1-05-0281</t>
  </si>
  <si>
    <t>1-05-0281</t>
  </si>
  <si>
    <t>466529551837900281</t>
  </si>
  <si>
    <t>238208</t>
  </si>
  <si>
    <t>Конверт для денег "Счастливых моментов" (зайчик) 1-05-0288</t>
  </si>
  <si>
    <t>1-05-0288</t>
  </si>
  <si>
    <t>466529551837900288</t>
  </si>
  <si>
    <t>247952</t>
  </si>
  <si>
    <t>Конверт для денег "Хэппи бездей ту ю!" (поздравление от котов) 1-05-0313</t>
  </si>
  <si>
    <t>1-05-0313</t>
  </si>
  <si>
    <t>466529551837900313</t>
  </si>
  <si>
    <t>220463</t>
  </si>
  <si>
    <t>Конверт для денег Без надписи (цветная абстракция) 1-05-0239</t>
  </si>
  <si>
    <t>1-05-0239</t>
  </si>
  <si>
    <t>466529551837900239</t>
  </si>
  <si>
    <t>247899</t>
  </si>
  <si>
    <t>Конверт для денег Без текста (коты отдыхают) 1-05-0304</t>
  </si>
  <si>
    <t>1-05-0304</t>
  </si>
  <si>
    <t>466529551837900304</t>
  </si>
  <si>
    <t>247951</t>
  </si>
  <si>
    <t>Конверт для денег Без текста (красная абстракция) 1-05-0312</t>
  </si>
  <si>
    <t>1-05-0312</t>
  </si>
  <si>
    <t>466529551837900312</t>
  </si>
  <si>
    <t>247896</t>
  </si>
  <si>
    <t>Конверт для денег Без текста (черные котики) 1-05-0301</t>
  </si>
  <si>
    <t>1-05-0301</t>
  </si>
  <si>
    <t>466529551837900301</t>
  </si>
  <si>
    <t>270142</t>
  </si>
  <si>
    <t>Конверт для денег Поздравляю! Жемчуг 1-05-0337</t>
  </si>
  <si>
    <t>1-05-0337</t>
  </si>
  <si>
    <t>4680942607381</t>
  </si>
  <si>
    <t>270137</t>
  </si>
  <si>
    <t>Конверт для денег Поздравляю! Подарки 1-05-0332</t>
  </si>
  <si>
    <t>1-05-0332</t>
  </si>
  <si>
    <t>4680942607336</t>
  </si>
  <si>
    <t>270140</t>
  </si>
  <si>
    <t>Конверт для денег Поздравляю! Синяя клетка 1-05-0335</t>
  </si>
  <si>
    <t>1-05-0335</t>
  </si>
  <si>
    <t>4680942607367</t>
  </si>
  <si>
    <t>270145</t>
  </si>
  <si>
    <t>Конверт для денег Поздравляю! Узор 1-05-0340</t>
  </si>
  <si>
    <t>1-05-0340</t>
  </si>
  <si>
    <t>4680942607411</t>
  </si>
  <si>
    <t>270143</t>
  </si>
  <si>
    <t>Конверт для денег Поздравляю! Цветы 1-05-0338</t>
  </si>
  <si>
    <t>1-05-0338</t>
  </si>
  <si>
    <t>4680942607398</t>
  </si>
  <si>
    <t>270144</t>
  </si>
  <si>
    <t>Конверт для денег С Днем рождения! Абстракция 1-05-0339</t>
  </si>
  <si>
    <t>1-05-0339</t>
  </si>
  <si>
    <t>4680942607404</t>
  </si>
  <si>
    <t>270139</t>
  </si>
  <si>
    <t>Конверт для денег С Днем рождения! Торт и шарики 1-05-0334</t>
  </si>
  <si>
    <t>1-05-0334</t>
  </si>
  <si>
    <t>4680942607350</t>
  </si>
  <si>
    <t>270141</t>
  </si>
  <si>
    <t>Конверт для денег С Днем рождения! Шарик 1-05-0336</t>
  </si>
  <si>
    <t>1-05-0336</t>
  </si>
  <si>
    <t>4680942607374</t>
  </si>
  <si>
    <t>270138</t>
  </si>
  <si>
    <t>Конверт для денег С наилучшими пожеланиями! Цветы 1-05-0333</t>
  </si>
  <si>
    <t>1-05-0333</t>
  </si>
  <si>
    <t>4680942607343</t>
  </si>
  <si>
    <t>2 Доп.пантон (5+0 (золото))</t>
  </si>
  <si>
    <t>270160</t>
  </si>
  <si>
    <t>Конверт для денег  Поздравляю. Косметика (5+0 (золото)) ЗСС-0786</t>
  </si>
  <si>
    <t>ЗСС-0786</t>
  </si>
  <si>
    <t>4680942607862</t>
  </si>
  <si>
    <t>270159</t>
  </si>
  <si>
    <t>Конверт для денег  Поздравляю. Панда (5+0 (золото)) ЗСС-0785</t>
  </si>
  <si>
    <t>ЗСС-0785</t>
  </si>
  <si>
    <t>4680942607855</t>
  </si>
  <si>
    <t>270158</t>
  </si>
  <si>
    <t>Конверт для денег  Поздравляю. Ромашки (5+0 (золото)) ЗСС-0784</t>
  </si>
  <si>
    <t>ЗСС-0784</t>
  </si>
  <si>
    <t>4680942607848</t>
  </si>
  <si>
    <t>270156</t>
  </si>
  <si>
    <t>Конверт для денег  Поздравляю. Цветы (5+0 (золото)) ЗСС-0782</t>
  </si>
  <si>
    <t>ЗСС-0782</t>
  </si>
  <si>
    <t>4680942607824</t>
  </si>
  <si>
    <t>270157</t>
  </si>
  <si>
    <t>Конверт для денег  Поздравляю. Шары (5+0 (золото)) ЗСС-0783</t>
  </si>
  <si>
    <t>ЗСС-0783</t>
  </si>
  <si>
    <t>4680942607831</t>
  </si>
  <si>
    <t>251550</t>
  </si>
  <si>
    <t>Конверт для денег "Без текста. Котики" (5+0 (золото)) ЗСС-0043</t>
  </si>
  <si>
    <t>ЗСС-0043</t>
  </si>
  <si>
    <t>467015905562400043</t>
  </si>
  <si>
    <t>251546</t>
  </si>
  <si>
    <t>Конверт для денег "Поздравляю Воздушные шары" (5+0 (золото)) ЗСС-0039</t>
  </si>
  <si>
    <t>ЗСС-0039</t>
  </si>
  <si>
    <t>467015905562400039</t>
  </si>
  <si>
    <t>251548</t>
  </si>
  <si>
    <t>Конверт для денег "С Днем Рождения. Забавные коты" (5+0 (золото)) ЗСС-0041</t>
  </si>
  <si>
    <t>ЗСС-0041</t>
  </si>
  <si>
    <t>467015905562400041</t>
  </si>
  <si>
    <t>3 Доп.пантон (6+0 (золото/серебро))</t>
  </si>
  <si>
    <t>278615</t>
  </si>
  <si>
    <t>Конверт для денег "Без текста. Бант"  (6+0 (золото/серебро)) ЗСС-0069</t>
  </si>
  <si>
    <t>ЗСС-0069</t>
  </si>
  <si>
    <t>4680942648728</t>
  </si>
  <si>
    <t>259496</t>
  </si>
  <si>
    <t>Конверт для денег "Без текста. Красивый закат"  (6+0 (золото/серебро))  ЗСС-0048</t>
  </si>
  <si>
    <t>ЗСС-0048</t>
  </si>
  <si>
    <t>4630493777231</t>
  </si>
  <si>
    <t>278619</t>
  </si>
  <si>
    <t>Конверт для денег "Без текста. Машина"  (6+0 (золото/серебро)) ЗСС-0073</t>
  </si>
  <si>
    <t>ЗСС-0073</t>
  </si>
  <si>
    <t>4680942648766</t>
  </si>
  <si>
    <t>278620</t>
  </si>
  <si>
    <t>Конверт для денег "Без текста. Яркий цветок"  (6+0 (золото/серебро)) ЗСС-0074</t>
  </si>
  <si>
    <t>ЗСС-0074</t>
  </si>
  <si>
    <t>4680942648773</t>
  </si>
  <si>
    <t>278604</t>
  </si>
  <si>
    <t>Конверт для денег "Поздравляем. Зайчик"  (6+0 (золото/серебро)) ЗСС-0061</t>
  </si>
  <si>
    <t>ЗСС-0061</t>
  </si>
  <si>
    <t>4680942648643</t>
  </si>
  <si>
    <t>278613</t>
  </si>
  <si>
    <t>Конверт для денег "Поздравляем. Часы, карты, успех"  (6+0 (золото/серебро)) ЗСС-0067</t>
  </si>
  <si>
    <t>ЗСС-0067</t>
  </si>
  <si>
    <t>4680942648704</t>
  </si>
  <si>
    <t>278621</t>
  </si>
  <si>
    <t>Конверт для денег "Поздравляю. Букет"  (6+0 (золото/серебро)) ЗСС-0075</t>
  </si>
  <si>
    <t>ЗСС-0075</t>
  </si>
  <si>
    <t>4680942648780</t>
  </si>
  <si>
    <t>259494</t>
  </si>
  <si>
    <t>Конверт для денег "Поздравляю. Воздушные шары-сердечки"  (6+0 (золото/серебро))  ЗСС-0046</t>
  </si>
  <si>
    <t>ЗСС-0046</t>
  </si>
  <si>
    <t>4630493777217</t>
  </si>
  <si>
    <t>278612</t>
  </si>
  <si>
    <t>Конверт для денег "Поздравляю. Звезды"  (6+0 (золото/серебро)) ЗСС-0066</t>
  </si>
  <si>
    <t>ЗСС-0066</t>
  </si>
  <si>
    <t>4680942648698</t>
  </si>
  <si>
    <t>259499</t>
  </si>
  <si>
    <t>Конверт для денег "Поздравляю. Тигр на вертолете"  (6+0 (золото/серебро))  ЗСС-0051</t>
  </si>
  <si>
    <t>ЗСС-0051</t>
  </si>
  <si>
    <t>4630493777262</t>
  </si>
  <si>
    <t>278610</t>
  </si>
  <si>
    <t>Конверт для денег "Поздравляю. Торт и звёзды"  (6+0 (золото/серебро)) ЗСС-0064</t>
  </si>
  <si>
    <t>ЗСС-0064</t>
  </si>
  <si>
    <t>4680942648674</t>
  </si>
  <si>
    <t>278618</t>
  </si>
  <si>
    <t>Конверт для денег "С Днем Рождения. Блеск, шары и подарки"  (6+0 (золото/серебро)) ЗСС-0072</t>
  </si>
  <si>
    <t>ЗСС-0072</t>
  </si>
  <si>
    <t>4680942648759</t>
  </si>
  <si>
    <t>278617</t>
  </si>
  <si>
    <t>Конверт для денег "С Днем Рождения. Звезды"  (6+0 (золото/серебро)) ЗСС-0071</t>
  </si>
  <si>
    <t>ЗСС-0071</t>
  </si>
  <si>
    <t>4680942648742</t>
  </si>
  <si>
    <t>278616</t>
  </si>
  <si>
    <t>Конверт для денег "С Днем Рождения. Кошечка"  (6+0 (золото/серебро)) ЗСС-0070</t>
  </si>
  <si>
    <t>ЗСС-0070</t>
  </si>
  <si>
    <t>4680942648735</t>
  </si>
  <si>
    <t>278607</t>
  </si>
  <si>
    <t>Конверт для денег "С Днем Рождения. Торт, шары, подарки"  (6+0 (золото/серебро)) ЗСС-0062</t>
  </si>
  <si>
    <t>ЗСС-0062</t>
  </si>
  <si>
    <t>4680942648650</t>
  </si>
  <si>
    <t>278614</t>
  </si>
  <si>
    <t>Конверт для денег "С Днем Рождения. Цветочная композиция"  (6+0 (золото/серебро)) ЗСС-0068</t>
  </si>
  <si>
    <t>ЗСС-0068</t>
  </si>
  <si>
    <t>4680942648711</t>
  </si>
  <si>
    <t>278608</t>
  </si>
  <si>
    <t>Конверт для денег "С Днем Рождения. Шары"  (6+0 (золото/серебро)) ЗСС-0063</t>
  </si>
  <si>
    <t>ЗСС-0063</t>
  </si>
  <si>
    <t>4680942648667</t>
  </si>
  <si>
    <t>278611</t>
  </si>
  <si>
    <t>Конверт для денег "Спасибо. Розы"  (6+0 (золото/серебро)) ЗСС-0065</t>
  </si>
  <si>
    <t>ЗСС-0065</t>
  </si>
  <si>
    <t>4680942648681</t>
  </si>
  <si>
    <t>4 Кожа</t>
  </si>
  <si>
    <t>244001</t>
  </si>
  <si>
    <t>Конверт для денег "С днем варенья" (клубничное варенье) 1-20-1156</t>
  </si>
  <si>
    <t>1-20-1156</t>
  </si>
  <si>
    <t>978537820682701156</t>
  </si>
  <si>
    <t>223487</t>
  </si>
  <si>
    <t>Конверт для денег "С днем рождения!" (абстракция на красном) 1-20-1133</t>
  </si>
  <si>
    <t>1-20-1133</t>
  </si>
  <si>
    <t>978537820682701133</t>
  </si>
  <si>
    <t>243998</t>
  </si>
  <si>
    <t>Конверт для денег "С КРЯздником" (веселые гуси) 1-20-1153</t>
  </si>
  <si>
    <t>1-20-1153</t>
  </si>
  <si>
    <t>978537820682701153</t>
  </si>
  <si>
    <t>272870</t>
  </si>
  <si>
    <t>Конверт для денег Без текста (Деловой набор) 1-20-1186</t>
  </si>
  <si>
    <t>1-20-1186</t>
  </si>
  <si>
    <t>4680942622513</t>
  </si>
  <si>
    <t>243992</t>
  </si>
  <si>
    <t>Конверт для денег Без текста (котики играют) 1-20-1147</t>
  </si>
  <si>
    <t>1-20-1147</t>
  </si>
  <si>
    <t>978537820682701147</t>
  </si>
  <si>
    <t>244004</t>
  </si>
  <si>
    <t>Конверт для денег Без текста (милые корги) 1-20-1159</t>
  </si>
  <si>
    <t>1-20-1159</t>
  </si>
  <si>
    <t>978537820682701159</t>
  </si>
  <si>
    <t>244005</t>
  </si>
  <si>
    <t>Конверт для денег Без текста (сочные апельсины) 1-20-1160</t>
  </si>
  <si>
    <t>1-20-1160</t>
  </si>
  <si>
    <t>978537820682701160</t>
  </si>
  <si>
    <t>264453</t>
  </si>
  <si>
    <t>Конверт для денег Вот подарок... (недовольный котик) 1-20-1171</t>
  </si>
  <si>
    <t>1-20-1171</t>
  </si>
  <si>
    <t>4640520773297</t>
  </si>
  <si>
    <t>272872</t>
  </si>
  <si>
    <t>Конверт для денег Для тебя (Букет и кофе) 1-20-1187</t>
  </si>
  <si>
    <t>1-20-1187</t>
  </si>
  <si>
    <t>4680942622520</t>
  </si>
  <si>
    <t>272867</t>
  </si>
  <si>
    <t>Конверт для денег Лучший имидж -быть самим собой (крутой мотоцикл) 1-20-1184</t>
  </si>
  <si>
    <t>1-20-1184</t>
  </si>
  <si>
    <t>4680942622490</t>
  </si>
  <si>
    <t>272861</t>
  </si>
  <si>
    <t>Конверт для денег Поздравляю (Акварельный пион) 1-20-1179</t>
  </si>
  <si>
    <t>1-20-1179</t>
  </si>
  <si>
    <t>4680942622445</t>
  </si>
  <si>
    <t>272859</t>
  </si>
  <si>
    <t>Конверт для денег Поздравляю (Гармония чёрного и золота) 1-20-1177</t>
  </si>
  <si>
    <t>1-20-1177</t>
  </si>
  <si>
    <t>4680942622421</t>
  </si>
  <si>
    <t>272866</t>
  </si>
  <si>
    <t>Конверт для денег Поздравляю (Элегантность в каждой детали) 1-20-1183</t>
  </si>
  <si>
    <t>1-20-1183</t>
  </si>
  <si>
    <t>4680942622483</t>
  </si>
  <si>
    <t>272864</t>
  </si>
  <si>
    <t>Конверт для денег С днем рождения (веселая собачка) 1-20-1182</t>
  </si>
  <si>
    <t>1-20-1182</t>
  </si>
  <si>
    <t>4680942622476</t>
  </si>
  <si>
    <t>272857</t>
  </si>
  <si>
    <t>Конверт для денег С днем рождения (Механизмы успеха) 1-20-1176</t>
  </si>
  <si>
    <t>1-20-1176</t>
  </si>
  <si>
    <t>4680942622414</t>
  </si>
  <si>
    <t>272862</t>
  </si>
  <si>
    <t>Конверт для денег С днем рождения! (Нежность в каждом оттенке) 1-20-1180</t>
  </si>
  <si>
    <t>1-20-1180</t>
  </si>
  <si>
    <t>4680942622452</t>
  </si>
  <si>
    <t>6 Soft Touch</t>
  </si>
  <si>
    <t>206242</t>
  </si>
  <si>
    <t>Конверт для денег Soft Touch  Без текста (Девочка аниме) КСТ-5326</t>
  </si>
  <si>
    <t>КСТ-5326</t>
  </si>
  <si>
    <t>4670159053262</t>
  </si>
  <si>
    <t>206239</t>
  </si>
  <si>
    <t>Конверт для денег Soft Touch  Без текста (Мальчик Аниме)  КСТ-5323</t>
  </si>
  <si>
    <t>КСТ-5323</t>
  </si>
  <si>
    <t>4670159053231</t>
  </si>
  <si>
    <t>206248</t>
  </si>
  <si>
    <t>Конверт для денег Soft Touch  Без текста (Мир Аниме)  КСТ-5330</t>
  </si>
  <si>
    <t>КСТ-5330</t>
  </si>
  <si>
    <t>4670159053309</t>
  </si>
  <si>
    <t>206240</t>
  </si>
  <si>
    <t>Конверт для денег Soft Touch  Поздравляю (Аниме) КСТ-5324</t>
  </si>
  <si>
    <t>КСТ-5324</t>
  </si>
  <si>
    <t>4670159053248</t>
  </si>
  <si>
    <t>206237</t>
  </si>
  <si>
    <t>Конверт для денег Soft Touch  С Днем Рождения (Зайка на звездочке)  КСТ-5322</t>
  </si>
  <si>
    <t>КСТ-5322</t>
  </si>
  <si>
    <t>4670159053224</t>
  </si>
  <si>
    <t>206241</t>
  </si>
  <si>
    <t>Конверт для денег Soft Touch  С Днем рождения (Кавай)  КСТ-5325</t>
  </si>
  <si>
    <t>КСТ-5325</t>
  </si>
  <si>
    <t>4670159053255</t>
  </si>
  <si>
    <t>206233</t>
  </si>
  <si>
    <t>Конверт для денег Soft Touch  С праздником (Мужской)  КСТ-5318</t>
  </si>
  <si>
    <t>КСТ-5318</t>
  </si>
  <si>
    <t>4670159053187</t>
  </si>
  <si>
    <t>213864</t>
  </si>
  <si>
    <t>Конверт для денег Soft Touch Don`t worry be happy!  (Котик-йога) КСТ-9552</t>
  </si>
  <si>
    <t>КСТ-9552</t>
  </si>
  <si>
    <t>4670159095521</t>
  </si>
  <si>
    <t>206245</t>
  </si>
  <si>
    <t>Конверт для денег Soft Touch Без текста (Анимешка)  КСТ-5328</t>
  </si>
  <si>
    <t>КСТ-5328</t>
  </si>
  <si>
    <t>4670159053286</t>
  </si>
  <si>
    <t>213865</t>
  </si>
  <si>
    <t>Конверт для денег Soft Touch Поздравляю! (Готика) КСТ-9553</t>
  </si>
  <si>
    <t>КСТ-9553</t>
  </si>
  <si>
    <t>4670159095538</t>
  </si>
  <si>
    <t>213857</t>
  </si>
  <si>
    <t>Конверт для денег Soft Touch Поздравляю! (Кот на черном) КСТ-9547</t>
  </si>
  <si>
    <t>КСТ-9547</t>
  </si>
  <si>
    <t>4670159095477</t>
  </si>
  <si>
    <t>213860</t>
  </si>
  <si>
    <t>Конверт для денег Soft Touch Поздравляю! (Огненный гонщик) КСТ-9549</t>
  </si>
  <si>
    <t>КСТ-9549</t>
  </si>
  <si>
    <t>4670159095491</t>
  </si>
  <si>
    <t>213855</t>
  </si>
  <si>
    <t>Конверт для денег Soft Touch Поздравляю! (Пёрышки на зеленом) КСТ-9545</t>
  </si>
  <si>
    <t>КСТ-9545</t>
  </si>
  <si>
    <t>4670159095453</t>
  </si>
  <si>
    <t>213853</t>
  </si>
  <si>
    <t>Конверт для денег Soft Touch Поздравляю! (Цветные перья) КСТ-9543</t>
  </si>
  <si>
    <t>КСТ-9543</t>
  </si>
  <si>
    <t>4670159095439</t>
  </si>
  <si>
    <t>213856</t>
  </si>
  <si>
    <t>Конверт для денег Soft Touch Поздравляю! (Яркая геометрия) КСТ-9546</t>
  </si>
  <si>
    <t>КСТ-9546</t>
  </si>
  <si>
    <t>4670159095460</t>
  </si>
  <si>
    <t>213862</t>
  </si>
  <si>
    <t>Конверт для денег Soft Touch С днем рождения! (Милые котики) КСТ-9550</t>
  </si>
  <si>
    <t>КСТ-9550</t>
  </si>
  <si>
    <t>4670159095507</t>
  </si>
  <si>
    <t>03 Dream Cards</t>
  </si>
  <si>
    <t xml:space="preserve"> 1 Dream Cards (крафт lux color)</t>
  </si>
  <si>
    <t>185819</t>
  </si>
  <si>
    <t xml:space="preserve"> Dream Cards  Конверты для денег крафт lux color "Поздравление зверей" КЯ-0016</t>
  </si>
  <si>
    <t>КЯ-0016</t>
  </si>
  <si>
    <t>466530742185700016</t>
  </si>
  <si>
    <t>185824</t>
  </si>
  <si>
    <t>Dream Cards Конверты для денег крафт lux color  Поздравляю (сова) КЯ-0019</t>
  </si>
  <si>
    <t>КЯ-0019</t>
  </si>
  <si>
    <t>466530742185700019</t>
  </si>
  <si>
    <t>185827</t>
  </si>
  <si>
    <t>Dream Cards Конверты для денег крафт lux color (Венера Котовская) КЯ-0022</t>
  </si>
  <si>
    <t>КЯ-0022</t>
  </si>
  <si>
    <t>466530742185700022</t>
  </si>
  <si>
    <t>185826</t>
  </si>
  <si>
    <t>Dream Cards Конверты для денег крафт lux color С днем Рождения (АвокаДОДо) КЯ-0021</t>
  </si>
  <si>
    <t>КЯ-0021</t>
  </si>
  <si>
    <t>466530742185700021</t>
  </si>
  <si>
    <t>185829</t>
  </si>
  <si>
    <t>Dream Cards Конверты для денег крафт lux color С днем Рождения (КОМИКС) КЯ-0024</t>
  </si>
  <si>
    <t>КЯ-0024</t>
  </si>
  <si>
    <t>466530742185700024</t>
  </si>
  <si>
    <t>185831</t>
  </si>
  <si>
    <t>Dream Cards Конверты для денег крафт lux color С днем Рождения (лето) КЯ-0026</t>
  </si>
  <si>
    <t>КЯ-0026</t>
  </si>
  <si>
    <t>466530742185700026</t>
  </si>
  <si>
    <t>185834</t>
  </si>
  <si>
    <t>Dream Cards Конверты для денег крафт lux color С днем Рождения (панда) КЯ-0029</t>
  </si>
  <si>
    <t>КЯ-0029</t>
  </si>
  <si>
    <t>466530742185700029</t>
  </si>
  <si>
    <t xml:space="preserve"> 3 Dream Cards (уф-лак)</t>
  </si>
  <si>
    <t>244608</t>
  </si>
  <si>
    <t>Dream Cards Конверт для денег "Hello, baby" (кот в очках) 1-11-0149</t>
  </si>
  <si>
    <t>1-11-0149</t>
  </si>
  <si>
    <t>466530176886610149</t>
  </si>
  <si>
    <t>278576</t>
  </si>
  <si>
    <t>Dream Cards Конверт для денег "Без текста" (воздушный шар) 1-11-0180</t>
  </si>
  <si>
    <t>1-11-0180</t>
  </si>
  <si>
    <t>4680942649121</t>
  </si>
  <si>
    <t>278582</t>
  </si>
  <si>
    <t>Dream Cards Конверт для денег "Без текста" (Классика письма) 1-11-0185</t>
  </si>
  <si>
    <t>1-11-0185</t>
  </si>
  <si>
    <t>4680942649176</t>
  </si>
  <si>
    <t>278583</t>
  </si>
  <si>
    <t>Dream Cards Конверт для денег "Поздравляю!" (Металлический шик) 1-11-0186</t>
  </si>
  <si>
    <t>1-11-0186</t>
  </si>
  <si>
    <t>4680942649183</t>
  </si>
  <si>
    <t>278572</t>
  </si>
  <si>
    <t>Dream Cards Конверт для денег "С Днем рождения!" (кекс) 1-11-0177</t>
  </si>
  <si>
    <t>1-11-0177</t>
  </si>
  <si>
    <t>4680942649091</t>
  </si>
  <si>
    <t>244620</t>
  </si>
  <si>
    <t>Dream Cards Конверт для денег "С днем рождения!" (собачка улыбается) 1-11-0161</t>
  </si>
  <si>
    <t>1-11-0161</t>
  </si>
  <si>
    <t>466530176886610161</t>
  </si>
  <si>
    <t>278591</t>
  </si>
  <si>
    <t>Dream Cards Конверт для денег "С Днем рождения!" (элегантный бант) 1-11-0191</t>
  </si>
  <si>
    <t>1-11-0191</t>
  </si>
  <si>
    <t>4680942649237</t>
  </si>
  <si>
    <t>244618</t>
  </si>
  <si>
    <t>Dream Cards Конверт для денег Без текста (парень в наушниках) 1-11-0159</t>
  </si>
  <si>
    <t>1-11-0159</t>
  </si>
  <si>
    <t>466530176886610159</t>
  </si>
  <si>
    <t>244617</t>
  </si>
  <si>
    <t>Dream Cards Конверт для денег Без текста (поддерживающие утята) 1-11-0158</t>
  </si>
  <si>
    <t>1-11-0158</t>
  </si>
  <si>
    <t>466530176886610158</t>
  </si>
  <si>
    <t>244609</t>
  </si>
  <si>
    <t>Dream Cards Конверт для денег Без текста (рыжий котенок) 1-11-0150</t>
  </si>
  <si>
    <t>1-11-0150</t>
  </si>
  <si>
    <t>466530176886610150</t>
  </si>
  <si>
    <t xml:space="preserve"> 4 Dream Cards (лен)</t>
  </si>
  <si>
    <t>278645</t>
  </si>
  <si>
    <t>Dream Cards Конверт для денег "Без текста" (макарон) ЛХ-0230</t>
  </si>
  <si>
    <t>ЛХ-0230</t>
  </si>
  <si>
    <t>4680942649589</t>
  </si>
  <si>
    <t>278655</t>
  </si>
  <si>
    <t>Dream Cards Конверт для денег "Без текста" (пастельный мрамор) ЛХ-0235</t>
  </si>
  <si>
    <t>ЛХ-0235</t>
  </si>
  <si>
    <t>4680942649633</t>
  </si>
  <si>
    <t>259276</t>
  </si>
  <si>
    <t>Dream Cards Конверт для денег "Без текста" (птичка в цветах) ЛХ-0194</t>
  </si>
  <si>
    <t>ЛХ-0194</t>
  </si>
  <si>
    <t>4630493777491</t>
  </si>
  <si>
    <t>278656</t>
  </si>
  <si>
    <t>Dream Cards Конверт для денег "Без текста" (черная машина) ЛХ-0236</t>
  </si>
  <si>
    <t>ЛХ-0236</t>
  </si>
  <si>
    <t>4680942649640</t>
  </si>
  <si>
    <t>259274</t>
  </si>
  <si>
    <t>Dream Cards Конверт для денег "Поздравляем!" (зайка) ЛХ-0192</t>
  </si>
  <si>
    <t>ЛХ-0192</t>
  </si>
  <si>
    <t>4630493777477</t>
  </si>
  <si>
    <t>259275</t>
  </si>
  <si>
    <t>Dream Cards Конверт для денег "Поздравляем!" (синие и белые шарики ) ЛХ-0193</t>
  </si>
  <si>
    <t>ЛХ-0193</t>
  </si>
  <si>
    <t>4630493777484</t>
  </si>
  <si>
    <t>278653</t>
  </si>
  <si>
    <t>Dream Cards Конверт для денег "Поздравляю!" (красивая машина) ЛХ-0234</t>
  </si>
  <si>
    <t>ЛХ-0234</t>
  </si>
  <si>
    <t>4680942649626</t>
  </si>
  <si>
    <t>278649</t>
  </si>
  <si>
    <t>Dream Cards Конверт для денег "Поздравляю!" (пузырьки игристого) ЛХ-0232</t>
  </si>
  <si>
    <t>ЛХ-0232</t>
  </si>
  <si>
    <t>4680942649602</t>
  </si>
  <si>
    <t>278647</t>
  </si>
  <si>
    <t>Dream Cards Конверт для денег "Поздравляю!" (Шары, звёзды) ЛХ-0231</t>
  </si>
  <si>
    <t>ЛХ-0231</t>
  </si>
  <si>
    <t>4680942649596</t>
  </si>
  <si>
    <t>278643</t>
  </si>
  <si>
    <t>Dream Cards Конверт для денег "Поздравляю" (котик с сердечком) ЛХ-0228</t>
  </si>
  <si>
    <t>ЛХ-0228</t>
  </si>
  <si>
    <t>4680942649565</t>
  </si>
  <si>
    <t>278641</t>
  </si>
  <si>
    <t>Dream Cards Конверт для денег "Поздравляю" (часы) ЛХ-0227</t>
  </si>
  <si>
    <t>ЛХ-0227</t>
  </si>
  <si>
    <t>4680942649558</t>
  </si>
  <si>
    <t>213060</t>
  </si>
  <si>
    <t>Dream Cards Конверт для денег "С днем рождения!" (девушка с коктейлем) ЛХ-0141</t>
  </si>
  <si>
    <t>ЛХ-0141</t>
  </si>
  <si>
    <t>466530176881100141</t>
  </si>
  <si>
    <t>259273</t>
  </si>
  <si>
    <t>Dream Cards Конверт для денег "С Днем рождения" (белый котик) ЛХ-0191</t>
  </si>
  <si>
    <t>ЛХ-0191</t>
  </si>
  <si>
    <t>4630493777460</t>
  </si>
  <si>
    <t>278661</t>
  </si>
  <si>
    <t>Dream Cards Конверт для денег "С Днем рождения" (женские штучки) ЛХ-0238</t>
  </si>
  <si>
    <t>ЛХ-0238</t>
  </si>
  <si>
    <t>4680942649664</t>
  </si>
  <si>
    <t>278664</t>
  </si>
  <si>
    <t>Dream Cards Конверт для денег "С Днем рождения" (котенок) ЛХ-0240</t>
  </si>
  <si>
    <t>ЛХ-0240</t>
  </si>
  <si>
    <t>4680942649688</t>
  </si>
  <si>
    <t>278640</t>
  </si>
  <si>
    <t>Dream Cards Конверт для денег "С Днем рождения" (красивые цветы) ЛХ-0226</t>
  </si>
  <si>
    <t>ЛХ-0226</t>
  </si>
  <si>
    <t>4680942649541</t>
  </si>
  <si>
    <t>278659</t>
  </si>
  <si>
    <t>Dream Cards Конверт для денег "С Днем рождения" (лев) ЛХ-0237</t>
  </si>
  <si>
    <t>ЛХ-0237</t>
  </si>
  <si>
    <t>4680942649657</t>
  </si>
  <si>
    <t>278662</t>
  </si>
  <si>
    <t>Dream Cards Конверт для денег "С Днем рождения" (подарки) ЛХ-0239</t>
  </si>
  <si>
    <t>ЛХ-0239</t>
  </si>
  <si>
    <t>4680942649671</t>
  </si>
  <si>
    <t>278644</t>
  </si>
  <si>
    <t>Dream Cards Конверт для денег "С Днем рождения" (с наилучшими пожеланиями) ЛХ-0229</t>
  </si>
  <si>
    <t>ЛХ-0229</t>
  </si>
  <si>
    <t>4680942649572</t>
  </si>
  <si>
    <t>278651</t>
  </si>
  <si>
    <t>Dream Cards Конверт для денег "С наилучшими пожеланиями!" (праздничные цветы) ЛХ-0233</t>
  </si>
  <si>
    <t>ЛХ-0233</t>
  </si>
  <si>
    <t>4680942649619</t>
  </si>
  <si>
    <t>259269</t>
  </si>
  <si>
    <t>Dream Cards Конверт для денег "Счастливых моментов!" (полосатый котик) ЛХ-0187</t>
  </si>
  <si>
    <t>ЛХ-0187</t>
  </si>
  <si>
    <t>4630493777422</t>
  </si>
  <si>
    <t>213057</t>
  </si>
  <si>
    <t>Dream Cards Конверт для денег (медведь в очках с наушниками) ЛХ-0138</t>
  </si>
  <si>
    <t>ЛХ-0138</t>
  </si>
  <si>
    <t>466530176881100138</t>
  </si>
  <si>
    <t>194071</t>
  </si>
  <si>
    <t>Dream Cards Конверт для денег С днем рождения (морской) ЛХ-0135</t>
  </si>
  <si>
    <t>ЛХ-0135</t>
  </si>
  <si>
    <t>466530176881100135</t>
  </si>
  <si>
    <t>194069</t>
  </si>
  <si>
    <t>Dream Cards Конверт для денег С днем рождения (шарики) ЛХ-0133</t>
  </si>
  <si>
    <t>ЛХ-0133</t>
  </si>
  <si>
    <t>466530176881100133</t>
  </si>
  <si>
    <t xml:space="preserve"> 5 Dream Cards (холст)</t>
  </si>
  <si>
    <t>259258</t>
  </si>
  <si>
    <t>Dream Cards Конверт для денег Happy Birthday (холст, торт и шарики) ЛХ-0207</t>
  </si>
  <si>
    <t>ЛХ-0207</t>
  </si>
  <si>
    <t>4630493777170</t>
  </si>
  <si>
    <t>259254</t>
  </si>
  <si>
    <t>Dream Cards Конверт для денег Без текста  (холст, машина) ЛХ-0203</t>
  </si>
  <si>
    <t>ЛХ-0203</t>
  </si>
  <si>
    <t>4630493777132</t>
  </si>
  <si>
    <t>227482</t>
  </si>
  <si>
    <t>Dream Cards Конверт для денег Без текста (холст, граффити) ЛХ-0173</t>
  </si>
  <si>
    <t>ЛХ-0173</t>
  </si>
  <si>
    <t>466530176881100173</t>
  </si>
  <si>
    <t>278564</t>
  </si>
  <si>
    <t>Dream Cards Конверт для денег Без текста (холст, машина) ЛХ-0221</t>
  </si>
  <si>
    <t>ЛХ-0221</t>
  </si>
  <si>
    <t>4680942648292</t>
  </si>
  <si>
    <t>278566</t>
  </si>
  <si>
    <t>Dream Cards Конверт для денег Без текста (холст, нежный букет) ЛХ-0222</t>
  </si>
  <si>
    <t>ЛХ-0222</t>
  </si>
  <si>
    <t>4680942648308</t>
  </si>
  <si>
    <t>278541</t>
  </si>
  <si>
    <t>Dream Cards Конверт для денег Денежка (холст) ЛХ-0212</t>
  </si>
  <si>
    <t>ЛХ-0212</t>
  </si>
  <si>
    <t>4680942648209</t>
  </si>
  <si>
    <t>259249</t>
  </si>
  <si>
    <t>Dream Cards Конверт для денег Желаю жить без всяких стрессов (холст, котик) ЛХ-0198</t>
  </si>
  <si>
    <t>ЛХ-0198</t>
  </si>
  <si>
    <t>4630493777088</t>
  </si>
  <si>
    <t>259250</t>
  </si>
  <si>
    <t>Dream Cards Конверт для денег Желаю много счастья (холст, лиса) ЛХ-0199</t>
  </si>
  <si>
    <t>ЛХ-0199</t>
  </si>
  <si>
    <t>4630493777095</t>
  </si>
  <si>
    <t>278554</t>
  </si>
  <si>
    <t>Dream Cards Конверт для денег Поздравляем (холст, Синие цветы) ЛХ-0219</t>
  </si>
  <si>
    <t>ЛХ-0219</t>
  </si>
  <si>
    <t>4680942648278</t>
  </si>
  <si>
    <t>259253</t>
  </si>
  <si>
    <t>Dream Cards Конверт для денег Поздравляем (холст, шарики) ЛХ-0202</t>
  </si>
  <si>
    <t>ЛХ-0202</t>
  </si>
  <si>
    <t>4630493777125</t>
  </si>
  <si>
    <t>278570</t>
  </si>
  <si>
    <t>Dream Cards Конверт для денег Поздравляю  (холст, динамичные зигзаги) ЛХ-0224</t>
  </si>
  <si>
    <t>ЛХ-0224</t>
  </si>
  <si>
    <t>4680942648322</t>
  </si>
  <si>
    <t>278569</t>
  </si>
  <si>
    <t>Dream Cards Конверт для денег Поздравляю  (холст, зайчик на велосипеде) ЛХ-0223</t>
  </si>
  <si>
    <t>ЛХ-0223</t>
  </si>
  <si>
    <t>4680942648315</t>
  </si>
  <si>
    <t>278558</t>
  </si>
  <si>
    <t>Dream Cards Конверт для денег Поздравляю  (холст, костюм) ЛХ-0220</t>
  </si>
  <si>
    <t>ЛХ-0220</t>
  </si>
  <si>
    <t>4680942648285</t>
  </si>
  <si>
    <t>259260</t>
  </si>
  <si>
    <t>Dream Cards Конверт для денег Поздравляю  (холст, нежные цветы) ЛХ-0209</t>
  </si>
  <si>
    <t>ЛХ-0209</t>
  </si>
  <si>
    <t>4630493777194</t>
  </si>
  <si>
    <t>278540</t>
  </si>
  <si>
    <t>Dream Cards Конверт для денег Поздравляю (холст, красно-золотой бант) ЛХ-0211</t>
  </si>
  <si>
    <t>ЛХ-0211</t>
  </si>
  <si>
    <t>4680942648193</t>
  </si>
  <si>
    <t>278546</t>
  </si>
  <si>
    <t>Dream Cards Конверт для денег Поздравляю (холст, украшения) ЛХ-0215</t>
  </si>
  <si>
    <t>ЛХ-0215</t>
  </si>
  <si>
    <t>4680942648230</t>
  </si>
  <si>
    <t>278544</t>
  </si>
  <si>
    <t>Dream Cards Конверт для денег Поздравляю (холст, часы, очки, кошелёк ) ЛХ-0213</t>
  </si>
  <si>
    <t>ЛХ-0213</t>
  </si>
  <si>
    <t>4680942648216</t>
  </si>
  <si>
    <t>227484</t>
  </si>
  <si>
    <t>Dream Cards Конверт для денег С днем рождения (холст, динозавры) ЛХ-0175</t>
  </si>
  <si>
    <t>ЛХ-0175</t>
  </si>
  <si>
    <t>466530176881100175</t>
  </si>
  <si>
    <t>259255</t>
  </si>
  <si>
    <t>Dream Cards Конверт для денег С Днем рождения (холст, зайка) ЛХ-0204</t>
  </si>
  <si>
    <t>ЛХ-0204</t>
  </si>
  <si>
    <t>4630493777149</t>
  </si>
  <si>
    <t>227485</t>
  </si>
  <si>
    <t>Dream Cards Конверт для денег С днем рождения (холст, леопард) ЛХ-0176</t>
  </si>
  <si>
    <t>ЛХ-0176</t>
  </si>
  <si>
    <t>466530176881100176</t>
  </si>
  <si>
    <t>278548</t>
  </si>
  <si>
    <t>Dream Cards Конверт для денег С Днем рождения (холст, нежные цветы) ЛХ-0217</t>
  </si>
  <si>
    <t>ЛХ-0217</t>
  </si>
  <si>
    <t>4680942648254</t>
  </si>
  <si>
    <t>278547</t>
  </si>
  <si>
    <t>Dream Cards Конверт для денег С Днем рождения (холст, полевые цветы) ЛХ-0216</t>
  </si>
  <si>
    <t>ЛХ-0216</t>
  </si>
  <si>
    <t>4680942648247</t>
  </si>
  <si>
    <t>278550</t>
  </si>
  <si>
    <t>Dream Cards Конверт для денег С Днем рождения (холст, шарики, подарки) ЛХ-0218</t>
  </si>
  <si>
    <t>ЛХ-0218</t>
  </si>
  <si>
    <t>4680942648261</t>
  </si>
  <si>
    <t>278545</t>
  </si>
  <si>
    <t>Dream Cards Конверт для денег С Днем рождения тебя (холст, вязанный котик) ЛХ-0214</t>
  </si>
  <si>
    <t>ЛХ-0214</t>
  </si>
  <si>
    <t>4680942648223</t>
  </si>
  <si>
    <t>259261</t>
  </si>
  <si>
    <t>Dream Cards Конверт для денег Самый лучший из лучших  (холст, аксессуары) ЛХ-0210</t>
  </si>
  <si>
    <t>ЛХ-0210</t>
  </si>
  <si>
    <t>4630493777200</t>
  </si>
  <si>
    <t>278571</t>
  </si>
  <si>
    <t>Dream Cards Конверт для денег Спасибо  (холст, бант) ЛХ-0225</t>
  </si>
  <si>
    <t>ЛХ-0225</t>
  </si>
  <si>
    <t>4680942648339</t>
  </si>
  <si>
    <t>259248</t>
  </si>
  <si>
    <t>Dream Cards Конверт для денег Счастливых моментов (холст, завтрак мечты) ЛХ-0197</t>
  </si>
  <si>
    <t>ЛХ-0197</t>
  </si>
  <si>
    <t>4630493777071</t>
  </si>
  <si>
    <t xml:space="preserve"> 6 Dream Cards Soft Touch </t>
  </si>
  <si>
    <t>263573</t>
  </si>
  <si>
    <t>Dream Cards Конверт для денег  "Поздравляю!" Серебряный подарок КОН-7216</t>
  </si>
  <si>
    <t>КОН-7216</t>
  </si>
  <si>
    <t>4640520772160</t>
  </si>
  <si>
    <t>244778</t>
  </si>
  <si>
    <t>Dream Cards Конверт для денег Soft Touch Happy birthday (Яркое поздравление) КОН-2076</t>
  </si>
  <si>
    <t>КОН-2076</t>
  </si>
  <si>
    <t>4640306920761</t>
  </si>
  <si>
    <t>244771</t>
  </si>
  <si>
    <t>Dream Cards Конверт для денег Soft Touch Без текста (Золотистый узор) КОН-2069</t>
  </si>
  <si>
    <t>КОН-2069</t>
  </si>
  <si>
    <t>4640306920693</t>
  </si>
  <si>
    <t>244764</t>
  </si>
  <si>
    <t>Dream Cards Конверт для денег Soft Touch Без текста (Милый Лисёнок) Без текста КОН-2063</t>
  </si>
  <si>
    <t>КОН-2063</t>
  </si>
  <si>
    <t>4640306920631</t>
  </si>
  <si>
    <t>244770</t>
  </si>
  <si>
    <t>Dream Cards Конверт для денег Soft Touch Без текста (Элегантные цветы) КОН-2068</t>
  </si>
  <si>
    <t>КОН-2068</t>
  </si>
  <si>
    <t>4640306920686</t>
  </si>
  <si>
    <t>244765</t>
  </si>
  <si>
    <t>Dream Cards Конверт для денег Soft Touch Для Тебя (Веселые зайки) КОН-2064</t>
  </si>
  <si>
    <t>КОН-2064</t>
  </si>
  <si>
    <t>4640306920648</t>
  </si>
  <si>
    <t>244768</t>
  </si>
  <si>
    <t>Dream Cards Конверт для денег Soft Touch Для тебя (Яркий лев) КОН-2066</t>
  </si>
  <si>
    <t>КОН-2066</t>
  </si>
  <si>
    <t>4640306920662</t>
  </si>
  <si>
    <t>244776</t>
  </si>
  <si>
    <t>Dream Cards Конверт для денег Soft Touch Загадывай желания (Розовые облака) КОН-2074</t>
  </si>
  <si>
    <t>КОН-2074</t>
  </si>
  <si>
    <t>4640306920747</t>
  </si>
  <si>
    <t>244767</t>
  </si>
  <si>
    <t>Dream Cards Конверт для денег Soft Touch Поздравляем (Зверята на шариках) КОН-2065</t>
  </si>
  <si>
    <t>КОН-2065</t>
  </si>
  <si>
    <t>4640306920655</t>
  </si>
  <si>
    <t>244773</t>
  </si>
  <si>
    <t>Dream Cards Конверт для денег Soft Touch Поздравляю (Нежный пейзаж) КОН-2071</t>
  </si>
  <si>
    <t>КОН-2071</t>
  </si>
  <si>
    <t>4640306920716</t>
  </si>
  <si>
    <t>263572</t>
  </si>
  <si>
    <t>Dream Cards Конверт для денег Soft-touch "Для тебя!" КОН-7215</t>
  </si>
  <si>
    <t>КОН-7215</t>
  </si>
  <si>
    <t>4640520772153</t>
  </si>
  <si>
    <t>263598</t>
  </si>
  <si>
    <t>Dream Cards Конверт для денег Soft-touch "Милые зверята" КОН-7224</t>
  </si>
  <si>
    <t>КОН-7224</t>
  </si>
  <si>
    <t>4640520772245</t>
  </si>
  <si>
    <t>263570</t>
  </si>
  <si>
    <t>Dream Cards Конверт для денег Soft-touch "Подарок Настоящему мужчине" КОН-7213</t>
  </si>
  <si>
    <t>КОН-7213</t>
  </si>
  <si>
    <t>4640520772139</t>
  </si>
  <si>
    <t>263571</t>
  </si>
  <si>
    <t>Dream Cards Конверт для денег Soft-touch "Поздравляю! Аксессуары" КОН-7214</t>
  </si>
  <si>
    <t>КОН-7214</t>
  </si>
  <si>
    <t>4640520772146</t>
  </si>
  <si>
    <t>263575</t>
  </si>
  <si>
    <t>Dream Cards Конверт для денег Soft-touch "Поздравляю!" Металл шарики КОН-7218</t>
  </si>
  <si>
    <t>КОН-7218</t>
  </si>
  <si>
    <t>4640520772184</t>
  </si>
  <si>
    <t>263595</t>
  </si>
  <si>
    <t>Dream Cards Конверт для денег Soft-touch "Поздравляю!" Цветные шарики КОН-7221</t>
  </si>
  <si>
    <t>КОН-7221</t>
  </si>
  <si>
    <t>4640520772214</t>
  </si>
  <si>
    <t>263568</t>
  </si>
  <si>
    <t>Dream Cards Конверт для денег Soft-touch "Полевые цветы" КОН-7211</t>
  </si>
  <si>
    <t>КОН-7211</t>
  </si>
  <si>
    <t>4640520772115</t>
  </si>
  <si>
    <t>263597</t>
  </si>
  <si>
    <t>Dream Cards Конверт для денег Soft-touch "Ромашки" КОН-7223</t>
  </si>
  <si>
    <t>КОН-7223</t>
  </si>
  <si>
    <t>4640520772238</t>
  </si>
  <si>
    <t>263578</t>
  </si>
  <si>
    <t>Dream Cards Конверт для денег Soft-touch "С днем рождения!" Яркий праздник КОН-7220</t>
  </si>
  <si>
    <t>КОН-7220</t>
  </si>
  <si>
    <t>4640520772207</t>
  </si>
  <si>
    <t>263596</t>
  </si>
  <si>
    <t>Dream Cards Конверт для денег Soft-touch "Спасибо!" Золотой бант КОН-7222</t>
  </si>
  <si>
    <t>КОН-7222</t>
  </si>
  <si>
    <t>4640520772221</t>
  </si>
  <si>
    <t>263599</t>
  </si>
  <si>
    <t>Dream Cards Конверт для денег Soft-touch Поздравляю! "Абстрактные шарики" КОН-7225</t>
  </si>
  <si>
    <t>КОН-7225</t>
  </si>
  <si>
    <t>4640520772252</t>
  </si>
  <si>
    <t>263569</t>
  </si>
  <si>
    <t>Dream Cards Конверт для денег Soft-touch Поздравляю! "Яркие точки" КОН-7212</t>
  </si>
  <si>
    <t>КОН-7212</t>
  </si>
  <si>
    <t>4640520772122</t>
  </si>
  <si>
    <t xml:space="preserve"> 7 Dream Cards Soft Touch (фольга)</t>
  </si>
  <si>
    <t>Dream Cards Soft Touch (фольга) 4+0</t>
  </si>
  <si>
    <t>243041</t>
  </si>
  <si>
    <t>Dream Cards Конверт для денег Soft Touch Без текста 4+0, фольга (разноцветный с золотым) КОН-2660</t>
  </si>
  <si>
    <t>КОН-2660</t>
  </si>
  <si>
    <t>4670159226604</t>
  </si>
  <si>
    <t>243043</t>
  </si>
  <si>
    <t>Dream Cards Конверт для денег Soft Touch Без текста 4+0, фольга (синий +золотая геометрия) КОН-2662</t>
  </si>
  <si>
    <t>КОН-2662</t>
  </si>
  <si>
    <t>4670159226628</t>
  </si>
  <si>
    <t>243047</t>
  </si>
  <si>
    <t>Dream Cards Конверт для денег Soft Touch Поздравляю, 4+0, фольга (бирюзовый+ черный мопс) КОН-2666</t>
  </si>
  <si>
    <t>КОН-2666</t>
  </si>
  <si>
    <t>4670159226666</t>
  </si>
  <si>
    <t>243036</t>
  </si>
  <si>
    <t>Dream Cards Конверт для денег Soft Touch Поздравляю, 4+0, фольга (зеленый + золотые розы) КОН-2655</t>
  </si>
  <si>
    <t>КОН-2655</t>
  </si>
  <si>
    <t>4670159226550</t>
  </si>
  <si>
    <t>262346</t>
  </si>
  <si>
    <t>Dream Cards Конверт для денег Soft Touch Поздравляю! Больших побед, 4+0, фольга (Смокинг) КОН-7038</t>
  </si>
  <si>
    <t>КОН-7038</t>
  </si>
  <si>
    <t>4640520770388</t>
  </si>
  <si>
    <t>262332</t>
  </si>
  <si>
    <t>Dream Cards Конверт для денег Soft Touch Поздравляю!, 4+0, фольга (Волны на красном) КОН-7028</t>
  </si>
  <si>
    <t>КОН-7028</t>
  </si>
  <si>
    <t>4640520770289</t>
  </si>
  <si>
    <t>262337</t>
  </si>
  <si>
    <t>Dream Cards Конверт для денег Soft Touch Поздравляю!, 4+0, фольга (Волны на синем) КОН-7030</t>
  </si>
  <si>
    <t>КОН-7030</t>
  </si>
  <si>
    <t>4640520770302</t>
  </si>
  <si>
    <t>262344</t>
  </si>
  <si>
    <t>Dream Cards Конверт для денег Soft Touch Поздравляю!, 4+0, фольга (Женские штучки) КОН-7036</t>
  </si>
  <si>
    <t>КОН-7036</t>
  </si>
  <si>
    <t>4640520770364</t>
  </si>
  <si>
    <t>262336</t>
  </si>
  <si>
    <t>Dream Cards Конверт для денег Soft Touch Поздравляю!, 4+0, фольга (Золотистые полосы) КОН-7029</t>
  </si>
  <si>
    <t>КОН-7029</t>
  </si>
  <si>
    <t>4640520770296</t>
  </si>
  <si>
    <t>262348</t>
  </si>
  <si>
    <t>Dream Cards Конверт для денег Soft Touch Поздравляю!, 4+0, фольга (Золотистый узор) КОН-7040</t>
  </si>
  <si>
    <t>КОН-7040</t>
  </si>
  <si>
    <t>4640520770401</t>
  </si>
  <si>
    <t>243040</t>
  </si>
  <si>
    <t>Dream Cards Конверт для денег Soft Touch С днём рождения! 4+0, фольга (конфетти на белом) КОН-2659</t>
  </si>
  <si>
    <t>КОН-2659</t>
  </si>
  <si>
    <t>4670159226598</t>
  </si>
  <si>
    <t>262347</t>
  </si>
  <si>
    <t>Dream Cards Конверт для денег Soft Touch С Днем Рождения!, 4+0, фольга (Мужские штучки) КОН-7039</t>
  </si>
  <si>
    <t>КОН-7039</t>
  </si>
  <si>
    <t>4640520770395</t>
  </si>
  <si>
    <t>262349</t>
  </si>
  <si>
    <t>Dream Cards Конверт для денег Soft Touch С днем Рождения!, 4+0, фольга (Подарок на шариках) КОН-7041</t>
  </si>
  <si>
    <t>КОН-7041</t>
  </si>
  <si>
    <t>4640520770418</t>
  </si>
  <si>
    <t>262338</t>
  </si>
  <si>
    <t>Dream Cards Конверт для денег Soft Touch С Днем Рождения!, 4+0, фольга (Розовые пионы) КОН-7031</t>
  </si>
  <si>
    <t>КОН-7031</t>
  </si>
  <si>
    <t>4640520770319</t>
  </si>
  <si>
    <t>262350</t>
  </si>
  <si>
    <t>Dream Cards Конверт для денег Soft Touch С днем Рождения!, 4+0, фольга (Стильный подарок) КОН-7042</t>
  </si>
  <si>
    <t>КОН-7042</t>
  </si>
  <si>
    <t>4640520770425</t>
  </si>
  <si>
    <t>262340</t>
  </si>
  <si>
    <t>Dream Cards Конверт для денегSoft Touch С Днем Рождения!, 4+0, фольга (Ежик с шарами) КОН-7032</t>
  </si>
  <si>
    <t>КОН-7032</t>
  </si>
  <si>
    <t>4640520770326</t>
  </si>
  <si>
    <t>Dream Cards Soft Touch (фольга) 4+4</t>
  </si>
  <si>
    <t>264558</t>
  </si>
  <si>
    <t>Dream Cards Конверт для денег Soft Touch Для самой лучшей! 4+4, фольга (пионы на розовом) КОН-7347</t>
  </si>
  <si>
    <t>КОН-7347</t>
  </si>
  <si>
    <t>4640520773471</t>
  </si>
  <si>
    <t>264560</t>
  </si>
  <si>
    <t>Dream Cards Конверт для денег Soft Touch Для тебя! 4+4, фольга (акварельные цветы) КОН-7350</t>
  </si>
  <si>
    <t>КОН-7350</t>
  </si>
  <si>
    <t>4640520773501</t>
  </si>
  <si>
    <t>264557</t>
  </si>
  <si>
    <t>Dream Cards Конверт для денег Soft Touch Лучшему во всем! 4+4, фольга (подарки) КОН-7346</t>
  </si>
  <si>
    <t>КОН-7346</t>
  </si>
  <si>
    <t>4640520773464</t>
  </si>
  <si>
    <t>264550</t>
  </si>
  <si>
    <t>Dream Cards Конверт для денег Soft Touch Настоящему мужчине! 4+4, фольга (синяя классика) КОН-7338</t>
  </si>
  <si>
    <t>КОН-7338</t>
  </si>
  <si>
    <t>4640520773389</t>
  </si>
  <si>
    <t>264552</t>
  </si>
  <si>
    <t>Dream Cards Конверт для денег Soft Touch Подарок 4+4, фольга (стильная абстракция) КОН-7341</t>
  </si>
  <si>
    <t>КОН-7341</t>
  </si>
  <si>
    <t>4640520773419</t>
  </si>
  <si>
    <t>264556</t>
  </si>
  <si>
    <t>Dream Cards Конверт для денег Soft Touch Поздравляю 4+4, фольга (сладкий торт) КОН-7345</t>
  </si>
  <si>
    <t>КОН-7345</t>
  </si>
  <si>
    <t>4640520773457</t>
  </si>
  <si>
    <t>264555</t>
  </si>
  <si>
    <t>Dream Cards Конверт для денег Soft Touch Поздравляю! 4+4, фольга (горные цветы) КОН-7344</t>
  </si>
  <si>
    <t>КОН-7344</t>
  </si>
  <si>
    <t>4640520773440</t>
  </si>
  <si>
    <t>264553</t>
  </si>
  <si>
    <t>Dream Cards Конверт для денег Soft Touch Поздравляю! 4+4, фольга (летние цветы) КОН-7342</t>
  </si>
  <si>
    <t>КОН-7342</t>
  </si>
  <si>
    <t>4640520773426</t>
  </si>
  <si>
    <t>264551</t>
  </si>
  <si>
    <t>Dream Cards Конверт для денег Soft Touch Поздравляю! 4+4, фольга (шары в облаках) КОН-7339</t>
  </si>
  <si>
    <t>КОН-7339</t>
  </si>
  <si>
    <t>4640520773396</t>
  </si>
  <si>
    <t>264554</t>
  </si>
  <si>
    <t>Dream Cards Конверт для денег Soft Touch С Днем Рождения! 4+4, фольга (восточные мотивы) КОН-7343</t>
  </si>
  <si>
    <t>КОН-7343</t>
  </si>
  <si>
    <t>4640520773433</t>
  </si>
  <si>
    <t>264549</t>
  </si>
  <si>
    <t>Dream Cards Конверт для денег Soft Touch С Днем Рождения! 4+4, фольга (золотистые шары) КОН-7337</t>
  </si>
  <si>
    <t>КОН-7337</t>
  </si>
  <si>
    <t>4640520773372</t>
  </si>
  <si>
    <t>264561</t>
  </si>
  <si>
    <t>Dream Cards Конверт для денег Soft Touch С днем свадьбы! 4+4, фольга (кольца) КОН-7340</t>
  </si>
  <si>
    <t>КОН-7340</t>
  </si>
  <si>
    <t>4640520773402</t>
  </si>
  <si>
    <t>264562</t>
  </si>
  <si>
    <t>Dream Cards Конверт для денег Soft Touch Свадебный 4+4, фольга (Белые цветы) КОН-7348</t>
  </si>
  <si>
    <t>КОН-7348</t>
  </si>
  <si>
    <t>4640520773488</t>
  </si>
  <si>
    <t xml:space="preserve"> 9 Dream Cards (холодная фольга+твин лак)</t>
  </si>
  <si>
    <t>206298</t>
  </si>
  <si>
    <t>Dream Cards Конверт для денег   "Без текста. Веточки" (хол.фольга+ твин лак)  ФХЛ-00045</t>
  </si>
  <si>
    <t>ФХЛ-00045</t>
  </si>
  <si>
    <t>466530672064700045</t>
  </si>
  <si>
    <t>206289</t>
  </si>
  <si>
    <t>Dream Cards Конверт для денег   "Без текста. Кавай" (хол.фольга+ твин лак)  ФХЛ-00041</t>
  </si>
  <si>
    <t>ФХЛ-00041</t>
  </si>
  <si>
    <t>466530672064700041</t>
  </si>
  <si>
    <t>206295</t>
  </si>
  <si>
    <t>Dream Cards Конверт для денег   "С днем рождения. Акварель" (хол.фольга+ твин лак)  ФХЛ-00044</t>
  </si>
  <si>
    <t>ФХЛ-00044</t>
  </si>
  <si>
    <t>466530672064700044</t>
  </si>
  <si>
    <t>206281</t>
  </si>
  <si>
    <t>Dream Cards Конверт для денег   "С днем рождения. Брутал" (хол.фольга+ твин лак) ФХЛ-00038</t>
  </si>
  <si>
    <t>ФХЛ-00038</t>
  </si>
  <si>
    <t>466530672064700038</t>
  </si>
  <si>
    <t>206290</t>
  </si>
  <si>
    <t>Dream Cards Конверт для денег   "С днем рождения. Букет шаров" (хол.фольга+ твин лак)  ФХЛ-00042</t>
  </si>
  <si>
    <t>ФХЛ-00042</t>
  </si>
  <si>
    <t>466530672064700042</t>
  </si>
  <si>
    <t>187007</t>
  </si>
  <si>
    <t>Dream Cards Конверт для денег  "Без текста. Абстракция" (хол.фольга+ твин лак) ФХЛ-00023</t>
  </si>
  <si>
    <t>ФХЛ-00023</t>
  </si>
  <si>
    <t>466530672064700023</t>
  </si>
  <si>
    <t>187011</t>
  </si>
  <si>
    <t>Dream Cards Конверт для денег  "С днем рождения. Кот" (хол.фольга+ твин лак) ФХЛ-00025</t>
  </si>
  <si>
    <t>ФХЛ-00025</t>
  </si>
  <si>
    <t>466530672064700025</t>
  </si>
  <si>
    <t>187014</t>
  </si>
  <si>
    <t>Dream Cards Конверт для денег  "С днем рождения. Кошка" (хол.фольга+ твин лак) ФХЛ-00026</t>
  </si>
  <si>
    <t>ФХЛ-00026</t>
  </si>
  <si>
    <t>466530672064700026</t>
  </si>
  <si>
    <t>187023</t>
  </si>
  <si>
    <t>Dream Cards Конверт для денег . "С днем рождения. Панда" (хол.фольга+ твин лак ) ФХЛ-00033</t>
  </si>
  <si>
    <t>ФХЛ-00033</t>
  </si>
  <si>
    <t>466530672064700033</t>
  </si>
  <si>
    <t>187029</t>
  </si>
  <si>
    <t>Dream Cards Конверт для денег " Поздравляю. Город и лилия" (хол.фольга+ твин лак ) ФХЛ-00037</t>
  </si>
  <si>
    <t>ФХЛ-00037</t>
  </si>
  <si>
    <t>466530672064700037</t>
  </si>
  <si>
    <t>187028</t>
  </si>
  <si>
    <t>Dream Cards Конверт для денег "Без текста. Черно-золотой" (хол.фольга+ твин лак ) ФХЛ-00036</t>
  </si>
  <si>
    <t>ФХЛ-00036</t>
  </si>
  <si>
    <t>466530672064700036</t>
  </si>
  <si>
    <t>187010</t>
  </si>
  <si>
    <t>Dream Cards Конверт для денег "Без текста.Девушки в цветах"   (хол.фольга+ твин лак ) ФХЛ-00024</t>
  </si>
  <si>
    <t>ФХЛ-00024</t>
  </si>
  <si>
    <t>466530672064700024</t>
  </si>
  <si>
    <t>245384</t>
  </si>
  <si>
    <t>Dream Cards Конверт для денег "Золотистые сердечки. Поздравляю" (хол.фольга+ твин лак) ФХЛ-00067</t>
  </si>
  <si>
    <t>ФХЛ-00067</t>
  </si>
  <si>
    <t>466530672064700067</t>
  </si>
  <si>
    <t>245370</t>
  </si>
  <si>
    <t>Dream Cards Конверт для денег "Золотистые шарики. Без текста" (хол.фольга+ твин лак) ФХЛ-00053</t>
  </si>
  <si>
    <t>ФХЛ-00053</t>
  </si>
  <si>
    <t>466530672064700053</t>
  </si>
  <si>
    <t>245379</t>
  </si>
  <si>
    <t>Dream Cards Конверт для денег "Золотистый подарок" (хол.фольга+ твин лак) ФХЛ-00062</t>
  </si>
  <si>
    <t>ФХЛ-00062</t>
  </si>
  <si>
    <t>466530672064700062</t>
  </si>
  <si>
    <t>245380</t>
  </si>
  <si>
    <t>Dream Cards Конверт для денег "Нежность. Без текста" (хол.фольга+ твин лак) ФХЛ-00063</t>
  </si>
  <si>
    <t>ФХЛ-00063</t>
  </si>
  <si>
    <t>466530672064700063</t>
  </si>
  <si>
    <t>206285</t>
  </si>
  <si>
    <t>Dream Cards Конверт для денег "Поздравляем. Акварельные цветы" (хол.фольга+ твин лак)  ФХЛ-00040</t>
  </si>
  <si>
    <t>ФХЛ-00040</t>
  </si>
  <si>
    <t>466530672064700040</t>
  </si>
  <si>
    <t>187015</t>
  </si>
  <si>
    <t>Dream Cards Конверт для денег "Поздравляем. Город и тюльпан" (хол.фольга+ твин лак) ФХЛ-00027</t>
  </si>
  <si>
    <t>ФХЛ-00027</t>
  </si>
  <si>
    <t>466530672064700027</t>
  </si>
  <si>
    <t>245376</t>
  </si>
  <si>
    <t>Dream Cards Конверт для денег "Праздничное пожелание.С днем рождения!" (хол.фол.+твин лак) ФХЛ-00059</t>
  </si>
  <si>
    <t>ФХЛ-00059</t>
  </si>
  <si>
    <t>466530672064700059</t>
  </si>
  <si>
    <t>245381</t>
  </si>
  <si>
    <t>Dream Cards Конверт для денег "Праздничный.Happy birthday" (хол.фольга+ твин лак) ФХЛ-00064</t>
  </si>
  <si>
    <t>ФХЛ-00064</t>
  </si>
  <si>
    <t>466530672064700064</t>
  </si>
  <si>
    <t>187026</t>
  </si>
  <si>
    <t>Dream Cards Конверт для денег "С днем рождения. Поцелуй" (хол.фольга+ твин лак ) ФХЛ-00035</t>
  </si>
  <si>
    <t>ФХЛ-00035</t>
  </si>
  <si>
    <t>466530672064700035</t>
  </si>
  <si>
    <t>187016</t>
  </si>
  <si>
    <t>Dream Cards Конверт для денег "С днем рождения. Тропики" (хол.фольга+ твин лак ) ФХЛ-00028</t>
  </si>
  <si>
    <t>ФХЛ-00028</t>
  </si>
  <si>
    <t>466530672064700028</t>
  </si>
  <si>
    <t>245371</t>
  </si>
  <si>
    <t>Dream Cards Конверт для денег "Сердечное поздравление. Поздравляю!" (хол.фольга+ твин лак) ФХЛ-00054</t>
  </si>
  <si>
    <t>ФХЛ-00054</t>
  </si>
  <si>
    <t>466530672064700054</t>
  </si>
  <si>
    <t>245377</t>
  </si>
  <si>
    <t>Dream Cards Конверт для денег "Стильный подарок. Поздравляю!" (хол.фольга+ твин лак) ФХЛ-00060</t>
  </si>
  <si>
    <t>ФХЛ-00060</t>
  </si>
  <si>
    <t>466530672064700060</t>
  </si>
  <si>
    <t>245373</t>
  </si>
  <si>
    <t>Dream Cards Конверт для денег "Строгий стиль. Поздравляю!" (хол.фольга+ твин лак) ФХЛ-00056</t>
  </si>
  <si>
    <t>ФХЛ-00056</t>
  </si>
  <si>
    <t>466530672064700056</t>
  </si>
  <si>
    <t>245382</t>
  </si>
  <si>
    <t>Dream Cards Конверт для денег "Суперпрезент. Без текста" (хол.фольга+ твин лак) ФХЛ-00065</t>
  </si>
  <si>
    <t>ФХЛ-00065</t>
  </si>
  <si>
    <t>466530672064700065</t>
  </si>
  <si>
    <t>245378</t>
  </si>
  <si>
    <t>Dream Cards Конверт для денег "Только для тебя" (хол.фольга+ твин лак) ФХЛ-00061</t>
  </si>
  <si>
    <t>ФХЛ-00061</t>
  </si>
  <si>
    <t>466530672064700061</t>
  </si>
  <si>
    <t>245383</t>
  </si>
  <si>
    <t>Dream Cards Конверт для денег "Элегантность. Поздравляю" (хол.фольга+ твин лак) ФХЛ-00066</t>
  </si>
  <si>
    <t>ФХЛ-00066</t>
  </si>
  <si>
    <t>466530672064700066</t>
  </si>
  <si>
    <t>245375</t>
  </si>
  <si>
    <t>Dream Cards Конверт для денег "Яркие фиалки. Без текста" (хол.фольга+ твин лак) ФХЛ-00058</t>
  </si>
  <si>
    <t>ФХЛ-00058</t>
  </si>
  <si>
    <t>466530672064700058</t>
  </si>
  <si>
    <t>10 Dream Cards (фольга)</t>
  </si>
  <si>
    <t>267626</t>
  </si>
  <si>
    <t>Dream Cards Конверт для денег Без текста, 4+0, фольга  (фиолетовые волны), КОН-7738</t>
  </si>
  <si>
    <t>КОН-7738</t>
  </si>
  <si>
    <t>4640520777387</t>
  </si>
  <si>
    <t>262321</t>
  </si>
  <si>
    <t>Dream Cards Конверт для денег Без текста!, 4+0, фольга (Золотистые круги) КОН-7017</t>
  </si>
  <si>
    <t>КОН-7017</t>
  </si>
  <si>
    <t>4640520770173</t>
  </si>
  <si>
    <t>262327</t>
  </si>
  <si>
    <t>Dream Cards Конверт для денег Настоящему мужчине!, 4+0, фольга (Джентельмен) КОН-7024</t>
  </si>
  <si>
    <t>КОН-7024</t>
  </si>
  <si>
    <t>4640520770241</t>
  </si>
  <si>
    <t>267623</t>
  </si>
  <si>
    <t>Dream Cards Конверт для денег Подарок, 4+0, фольга (золотые точки), КОН-7735</t>
  </si>
  <si>
    <t>КОН-7735</t>
  </si>
  <si>
    <t>4640520777356</t>
  </si>
  <si>
    <t>267628</t>
  </si>
  <si>
    <t>Dream Cards Конверт для денег Поздравляю, 4+0, фольга  (звезды), КОН-7740</t>
  </si>
  <si>
    <t>КОН-7740</t>
  </si>
  <si>
    <t>4640520777400</t>
  </si>
  <si>
    <t>267624</t>
  </si>
  <si>
    <t>Dream Cards Конверт для денег Поздравляю, 4+0, фольга (белый бант), КОН-7736</t>
  </si>
  <si>
    <t>КОН-7736</t>
  </si>
  <si>
    <t>4640520777363</t>
  </si>
  <si>
    <t>267632</t>
  </si>
  <si>
    <t>Dream Cards Конверт для денег Поздравляю, 4+0, фольга (золотой блеск), КОН-7743</t>
  </si>
  <si>
    <t>КОН-7743</t>
  </si>
  <si>
    <t>4640520777431</t>
  </si>
  <si>
    <t>267627</t>
  </si>
  <si>
    <t>Dream Cards Конверт для денег Поздравляю, 4+0, фольга (ромбовый шик), КОН-7739</t>
  </si>
  <si>
    <t>КОН-7739</t>
  </si>
  <si>
    <t>4640520777394</t>
  </si>
  <si>
    <t>262320</t>
  </si>
  <si>
    <t>Dream Cards Конверт для денег Поздравляю!, 4+0, фольга (Голубые цветы) КОН-7016</t>
  </si>
  <si>
    <t>КОН-7016</t>
  </si>
  <si>
    <t>4640520770166</t>
  </si>
  <si>
    <t>262331</t>
  </si>
  <si>
    <t>Dream Cards Конверт для денег Поздравляю!, 4+0, фольга (Зеленая классика) КОН-7027</t>
  </si>
  <si>
    <t>КОН-7027</t>
  </si>
  <si>
    <t>4640520770272</t>
  </si>
  <si>
    <t>262324</t>
  </si>
  <si>
    <t>Dream Cards Конверт для денег Поздравляю!, 4+0, фольга (Золотистая полоса) КОН-7019</t>
  </si>
  <si>
    <t>КОН-7019</t>
  </si>
  <si>
    <t>4640520770197</t>
  </si>
  <si>
    <t>262317</t>
  </si>
  <si>
    <t>Dream Cards Конверт для денег Поздравляю!, 4+0, фольга (Шары на синем) КОН-7013</t>
  </si>
  <si>
    <t>КОН-7013</t>
  </si>
  <si>
    <t>4640520770135</t>
  </si>
  <si>
    <t>267630</t>
  </si>
  <si>
    <t>Dream Cards Конверт для денег С Днем рождения, 4+0, фольга (цветочная радость), КОН-7742</t>
  </si>
  <si>
    <t>КОН-7742</t>
  </si>
  <si>
    <t>4640520777424</t>
  </si>
  <si>
    <t>262326</t>
  </si>
  <si>
    <t>Dream Cards Конверт для денег С днем рождения!, 4+0, фольга (Золотистый контур) КОН-7021</t>
  </si>
  <si>
    <t>КОН-7021</t>
  </si>
  <si>
    <t>4640520770210</t>
  </si>
  <si>
    <t>262322</t>
  </si>
  <si>
    <t>Dream Cards Конверт для денег С днем рождения!, 4+0, фольга (Мужские аксессуары) КОН-7018</t>
  </si>
  <si>
    <t>КОН-7018</t>
  </si>
  <si>
    <t>4640520770180</t>
  </si>
  <si>
    <t>262329</t>
  </si>
  <si>
    <t>Dream Cards Конверт для денег С днем рождения!, 4+0, фольга (Панда с тортом) КОН-7025</t>
  </si>
  <si>
    <t>КОН-7025</t>
  </si>
  <si>
    <t>4640520770258</t>
  </si>
  <si>
    <t>262330</t>
  </si>
  <si>
    <t>Dream Cards Конверт для денег С днем рождения!, 4+0, фольга (Подарки на синем) КОН-7026</t>
  </si>
  <si>
    <t>КОН-7026</t>
  </si>
  <si>
    <t>4640520770265</t>
  </si>
  <si>
    <t>262318</t>
  </si>
  <si>
    <t>Dream Cards Конверт для денег С Днем Рождения!, 4+0, фольга (Торт на синем) КОН-7014</t>
  </si>
  <si>
    <t>КОН-7014</t>
  </si>
  <si>
    <t>4640520770142</t>
  </si>
  <si>
    <t>267629</t>
  </si>
  <si>
    <t>Dream Cards Конверт для денег С наилучшими пожеланиями, 4+0, фольга  (розовые цветы), КОН-7741</t>
  </si>
  <si>
    <t>КОН-7741</t>
  </si>
  <si>
    <t>4640520777417</t>
  </si>
  <si>
    <t>267625</t>
  </si>
  <si>
    <t>Dream Cards Конверт для денег С наилучшими пожеланиями, 4+0, фольга  (узор на зеленом), КОН-7737</t>
  </si>
  <si>
    <t>КОН-7737</t>
  </si>
  <si>
    <t>4640520777370</t>
  </si>
  <si>
    <t>267622</t>
  </si>
  <si>
    <t>Dream Cards Конверт для денег С наилучшими пожеланиями, 4+0, фольга (узор на красном), КОН-7734</t>
  </si>
  <si>
    <t>КОН-7734</t>
  </si>
  <si>
    <t>4640520777349</t>
  </si>
  <si>
    <t>09 ШУТОЧНЫЕ ДЕНЬГИ</t>
  </si>
  <si>
    <t>Шуточные деньги (европодвес)</t>
  </si>
  <si>
    <t>040492</t>
  </si>
  <si>
    <t>Шуточные деньги 100 долларов 9-51-0004</t>
  </si>
  <si>
    <t>9-51-0004</t>
  </si>
  <si>
    <t>4670159004776</t>
  </si>
  <si>
    <t>160х70</t>
  </si>
  <si>
    <t>466529551082300004</t>
  </si>
  <si>
    <t>040494</t>
  </si>
  <si>
    <t>Шуточные деньги 100 дублей 9-51-0006</t>
  </si>
  <si>
    <t>9-51-0006</t>
  </si>
  <si>
    <t>4670159004783</t>
  </si>
  <si>
    <t>466529551082300006</t>
  </si>
  <si>
    <t>040493</t>
  </si>
  <si>
    <t>Шуточные деньги 100 евро  9-51-0005</t>
  </si>
  <si>
    <t>9-51-0005</t>
  </si>
  <si>
    <t>4670159004790</t>
  </si>
  <si>
    <t>466529551082300005</t>
  </si>
  <si>
    <t>040501</t>
  </si>
  <si>
    <t>Шуточные деньги 1000 долларов 9-51-0010</t>
  </si>
  <si>
    <t>9-51-0010</t>
  </si>
  <si>
    <t>4670159004806</t>
  </si>
  <si>
    <t>466529551082300010</t>
  </si>
  <si>
    <t>040503</t>
  </si>
  <si>
    <t>Шуточные деньги 1000 дублей 9-51-0011</t>
  </si>
  <si>
    <t>9-51-0011</t>
  </si>
  <si>
    <t>4670159004318</t>
  </si>
  <si>
    <t>466529551082300011</t>
  </si>
  <si>
    <t>040489</t>
  </si>
  <si>
    <t>Шуточные деньги 1000000 долларов 9-51-0001</t>
  </si>
  <si>
    <t>9-51-0001</t>
  </si>
  <si>
    <t>4670159004813</t>
  </si>
  <si>
    <t>076342</t>
  </si>
  <si>
    <t>Шуточные деньги 200 дублей 9-51-0019</t>
  </si>
  <si>
    <t>9-51-0019</t>
  </si>
  <si>
    <t>4670159004820</t>
  </si>
  <si>
    <t>040497</t>
  </si>
  <si>
    <t>Шуточные деньги 200 евро  9-51-0007</t>
  </si>
  <si>
    <t>9-51-0007</t>
  </si>
  <si>
    <t>4670159004837</t>
  </si>
  <si>
    <t>466529551082300007</t>
  </si>
  <si>
    <t>076343</t>
  </si>
  <si>
    <t>Шуточные деньги 2000 дублей 9-51-0018</t>
  </si>
  <si>
    <t>9-51-0018</t>
  </si>
  <si>
    <t>4670159004356</t>
  </si>
  <si>
    <t>040490</t>
  </si>
  <si>
    <t>Шуточные деньги 50 долларов  9-51-0002</t>
  </si>
  <si>
    <t>9-51-0002</t>
  </si>
  <si>
    <t>4670159004844</t>
  </si>
  <si>
    <t>040491</t>
  </si>
  <si>
    <t>Шуточные деньги 50 дублей 9-51-0003</t>
  </si>
  <si>
    <t>9-51-0003</t>
  </si>
  <si>
    <t>4670159004370</t>
  </si>
  <si>
    <t>466529551082300003</t>
  </si>
  <si>
    <t>040499</t>
  </si>
  <si>
    <t>Шуточные деньги 500 дублей 9-51-0009</t>
  </si>
  <si>
    <t>9-51-0009</t>
  </si>
  <si>
    <t>4670159004387</t>
  </si>
  <si>
    <t>466529551082300009</t>
  </si>
  <si>
    <t>040498</t>
  </si>
  <si>
    <t>Шуточные деньги 500 евро  9-51-0008</t>
  </si>
  <si>
    <t>9-51-0008</t>
  </si>
  <si>
    <t>4670159004394</t>
  </si>
  <si>
    <t>466529551082300008</t>
  </si>
  <si>
    <t>040504</t>
  </si>
  <si>
    <t>Шуточные деньги 5000 дублей 9-51-0012</t>
  </si>
  <si>
    <t>9-51-0012</t>
  </si>
  <si>
    <t>4670159004424</t>
  </si>
  <si>
    <t>466529551082300012</t>
  </si>
  <si>
    <t>Шуточные деньги под ленту</t>
  </si>
  <si>
    <t>266366</t>
  </si>
  <si>
    <t>Шуточные деньги 100 дублей, новый образец 9-50-0021</t>
  </si>
  <si>
    <t>9-50-0021</t>
  </si>
  <si>
    <t>4640520774843</t>
  </si>
  <si>
    <t>Стандартный размер</t>
  </si>
  <si>
    <t>039952</t>
  </si>
  <si>
    <t>Шуточные деньги 100 долларов 9-50-0005</t>
  </si>
  <si>
    <t>9-50-0005</t>
  </si>
  <si>
    <t>4670159004271</t>
  </si>
  <si>
    <t>039953</t>
  </si>
  <si>
    <t>Шуточные деньги 100 дублей 9-50-0006</t>
  </si>
  <si>
    <t>9-50-0006</t>
  </si>
  <si>
    <t>4670159004288</t>
  </si>
  <si>
    <t>039955</t>
  </si>
  <si>
    <t>Шуточные деньги 100 евро 9-50-0008</t>
  </si>
  <si>
    <t>9-50-0008</t>
  </si>
  <si>
    <t>4670159004851</t>
  </si>
  <si>
    <t>039957</t>
  </si>
  <si>
    <t>Шуточные деньги 1000 долларов 9-50-0010</t>
  </si>
  <si>
    <t>9-50-0010</t>
  </si>
  <si>
    <t>4670159004295</t>
  </si>
  <si>
    <t>039963</t>
  </si>
  <si>
    <t>Шуточные деньги 1000 дублей 9-50-0015</t>
  </si>
  <si>
    <t>9-50-0015</t>
  </si>
  <si>
    <t>4670159004301</t>
  </si>
  <si>
    <t>039965</t>
  </si>
  <si>
    <t>Шуточные деньги 1000000 долларов 9-50-0016</t>
  </si>
  <si>
    <t>9-50-0016</t>
  </si>
  <si>
    <t>4670159004325</t>
  </si>
  <si>
    <t>076348</t>
  </si>
  <si>
    <t>Шуточные деньги 200 дублей 9-50-0018</t>
  </si>
  <si>
    <t>9-50-0018</t>
  </si>
  <si>
    <t>4670159004332</t>
  </si>
  <si>
    <t>039958</t>
  </si>
  <si>
    <t>Шуточные деньги 200 евро 9-50-0011</t>
  </si>
  <si>
    <t>9-50-0011</t>
  </si>
  <si>
    <t>4670159004868</t>
  </si>
  <si>
    <t>076347</t>
  </si>
  <si>
    <t>Шуточные деньги 2000 дублей 9-50-0017</t>
  </si>
  <si>
    <t>9-50-0017</t>
  </si>
  <si>
    <t>4670159004349</t>
  </si>
  <si>
    <t>039962</t>
  </si>
  <si>
    <t>Шуточные деньги 50 долларов 9-50-0014</t>
  </si>
  <si>
    <t>9-50-0014</t>
  </si>
  <si>
    <t>4670159004875</t>
  </si>
  <si>
    <t>039954</t>
  </si>
  <si>
    <t>Шуточные деньги 50 дублей 9-50-0007</t>
  </si>
  <si>
    <t>9-50-0007</t>
  </si>
  <si>
    <t>4670159004882</t>
  </si>
  <si>
    <t>039960</t>
  </si>
  <si>
    <t>Шуточные деньги 500 дублей 9-50-0012</t>
  </si>
  <si>
    <t>9-50-0012</t>
  </si>
  <si>
    <t>4670159004363</t>
  </si>
  <si>
    <t>039956</t>
  </si>
  <si>
    <t>Шуточные деньги 500 евро 9-50-0009</t>
  </si>
  <si>
    <t>9-50-0009</t>
  </si>
  <si>
    <t>4670159004400</t>
  </si>
  <si>
    <t>039961</t>
  </si>
  <si>
    <t>Шуточные деньги 5000 дублей 9-50-0013</t>
  </si>
  <si>
    <t>9-50-0013</t>
  </si>
  <si>
    <t>4670159004417</t>
  </si>
  <si>
    <t>256308</t>
  </si>
  <si>
    <t>Шуточные деньги 5000 дублей, новый образец 9-50-0020</t>
  </si>
  <si>
    <t>9-50-0020</t>
  </si>
  <si>
    <t>4630493770867</t>
  </si>
  <si>
    <t>10 ИГРЫ</t>
  </si>
  <si>
    <t>01 Игральные карты</t>
  </si>
  <si>
    <t>01 Классические игральные карты</t>
  </si>
  <si>
    <t>Классические игральные карты "Производство Китай"</t>
  </si>
  <si>
    <t>071637</t>
  </si>
  <si>
    <t>Карты игральные 54 шт/колода ИН-0420</t>
  </si>
  <si>
    <t>ИН-0420</t>
  </si>
  <si>
    <t>4665303204201</t>
  </si>
  <si>
    <t>8,7х5,8х1,7 см</t>
  </si>
  <si>
    <t>Классические игральные карты "Собственное производство"</t>
  </si>
  <si>
    <t>226210</t>
  </si>
  <si>
    <t>Карты игральные Классика Азарта "54 шт" ИН-6029</t>
  </si>
  <si>
    <t>ИН-6029</t>
  </si>
  <si>
    <t>4670159160298</t>
  </si>
  <si>
    <t>093079</t>
  </si>
  <si>
    <t>Карты игральные Классика Азарта" 36 шт" ИН-1755</t>
  </si>
  <si>
    <t>ИН-1755</t>
  </si>
  <si>
    <t>4665303217553</t>
  </si>
  <si>
    <t>226213</t>
  </si>
  <si>
    <t>Карты игральные Король Игры "54 шт" ИН-6030</t>
  </si>
  <si>
    <t>ИН-6030</t>
  </si>
  <si>
    <t>4670159160304</t>
  </si>
  <si>
    <t>02 Профессиональные игральные карты</t>
  </si>
  <si>
    <t>Пластиковые покерные карты</t>
  </si>
  <si>
    <t>122483</t>
  </si>
  <si>
    <t>Карты игральные Блеск (54 шт), серебряные ИН-5916</t>
  </si>
  <si>
    <t>ИН-5916</t>
  </si>
  <si>
    <t>4665307357163</t>
  </si>
  <si>
    <t>210319</t>
  </si>
  <si>
    <t>Карты игральные пластиковые  "Столица", (54 шт), золотистые, 57х88мм ИН-7653</t>
  </si>
  <si>
    <t>ИН-7653</t>
  </si>
  <si>
    <t>4670159076636</t>
  </si>
  <si>
    <t>210316</t>
  </si>
  <si>
    <t>Карты игральные пластиковые  "Столица", (54 шт), серебристые, 57х88мм ИН-7652</t>
  </si>
  <si>
    <t>ИН-7652</t>
  </si>
  <si>
    <t>4670159076629</t>
  </si>
  <si>
    <t>231908</t>
  </si>
  <si>
    <t>Карты игральные пластиковые "Набережная", (54 шт), серебристые, 57х88мм (собст. разр.) ИН-2900</t>
  </si>
  <si>
    <t>ИН-2900</t>
  </si>
  <si>
    <t>4670159129004</t>
  </si>
  <si>
    <t>57х88 мм</t>
  </si>
  <si>
    <t>167809</t>
  </si>
  <si>
    <t>Карты игральные пластиковые золотистые с черным Череп (54 шт.) ИН-4386</t>
  </si>
  <si>
    <t>ИН-4386</t>
  </si>
  <si>
    <t>4610144843867</t>
  </si>
  <si>
    <t>57х88 mm</t>
  </si>
  <si>
    <t>167811</t>
  </si>
  <si>
    <t>Карты игральные пластиковые чёрные Круги (54 шт.) ИН-4388</t>
  </si>
  <si>
    <t>ИН-4388</t>
  </si>
  <si>
    <t>4610144843881</t>
  </si>
  <si>
    <t>122472</t>
  </si>
  <si>
    <t>Набор игральных карт  из 2-х колод Покер (54 шт), синяя и красная рубашка  ИН-5912</t>
  </si>
  <si>
    <t>ИН-5912</t>
  </si>
  <si>
    <t>4665307357125</t>
  </si>
  <si>
    <t>Серии карт</t>
  </si>
  <si>
    <t>01 Lewis&amp;Wolf</t>
  </si>
  <si>
    <t>076502</t>
  </si>
  <si>
    <t>Игральные карты серия "Lewis &amp; Wolf" blue 54 шт/колода (poker size index jumbo, 63*88 мм) ИН-3826</t>
  </si>
  <si>
    <t>ИН-3826</t>
  </si>
  <si>
    <t>4665303238268</t>
  </si>
  <si>
    <t>9х6х2 см</t>
  </si>
  <si>
    <t>076505</t>
  </si>
  <si>
    <t>Игральные карты серия "Lewis &amp; Wolf" blue 54 шт/колода (poker size index standard, 63*88 мм) ИН-3828</t>
  </si>
  <si>
    <t>ИН-3828</t>
  </si>
  <si>
    <t>4665303238282</t>
  </si>
  <si>
    <t>076501</t>
  </si>
  <si>
    <t>Игральные карты серия "Lewis &amp; Wolf" blue 54 шт/колода(bridge size index standard, 57*88 мм)ИН-3825</t>
  </si>
  <si>
    <t>ИН-3825</t>
  </si>
  <si>
    <t>4665303238251</t>
  </si>
  <si>
    <t>076506</t>
  </si>
  <si>
    <t>Игральные карты серия "Lewis &amp; Wolf" Gold Rush 54шт/колода(poker size index jumbo, 63*88 мм) ИН-3829</t>
  </si>
  <si>
    <t>ИН-3829</t>
  </si>
  <si>
    <t>4665303238299</t>
  </si>
  <si>
    <t>076499</t>
  </si>
  <si>
    <t>Игральные карты серия "Lewis &amp; Wolf" red  54 шт/колода(bridge size index standard, 57*88 мм)ИН-3823</t>
  </si>
  <si>
    <t>ИН-3823</t>
  </si>
  <si>
    <t>4665303238237</t>
  </si>
  <si>
    <t>076500</t>
  </si>
  <si>
    <t>Игральные карты серия "Lewis &amp; Wolf" red 54 шт/колода  (poker size index jumbo, 63*88 мм) ИН-3824</t>
  </si>
  <si>
    <t>ИН-3824</t>
  </si>
  <si>
    <t>4665303238244</t>
  </si>
  <si>
    <t>076504</t>
  </si>
  <si>
    <t>Игральные карты серия "Lewis &amp; Wolf" red 54 шт/колода (poker size index standard, 63*88 мм) ИН-3827</t>
  </si>
  <si>
    <t>ИН-3827</t>
  </si>
  <si>
    <t>4665303238275</t>
  </si>
  <si>
    <t>03 Golem</t>
  </si>
  <si>
    <t>076509</t>
  </si>
  <si>
    <t>Игральные карты серия "Golem" blue 54 шт/колода (poker size index jumbo, 63*88 мм) ИН-3832</t>
  </si>
  <si>
    <t>ИН-3832</t>
  </si>
  <si>
    <t>4665303238329</t>
  </si>
  <si>
    <t>076508</t>
  </si>
  <si>
    <t>Игральные карты серия "Golem" red 54 шт/колода (poker size index jumbo, 63*88 мм) ИН-3831</t>
  </si>
  <si>
    <t>ИН-3831</t>
  </si>
  <si>
    <t>4665303238312</t>
  </si>
  <si>
    <t>05 PokerGo</t>
  </si>
  <si>
    <t>083141</t>
  </si>
  <si>
    <t>Игральные карты серия "PokerGo" black  54 шт/колода (poker size index jumbo, 63*88 мм) ИН-9066</t>
  </si>
  <si>
    <t>ИН-9066</t>
  </si>
  <si>
    <t>4665305390667</t>
  </si>
  <si>
    <t>083140</t>
  </si>
  <si>
    <t>Игральные карты серия "PokerGo" blue  54 шт/колода (poker size index jumbo, 63*88 мм) ИН-9065</t>
  </si>
  <si>
    <t>ИН-9065</t>
  </si>
  <si>
    <t>4665305390650</t>
  </si>
  <si>
    <t>02 Карточные игры</t>
  </si>
  <si>
    <t>01 Карточные коммуникативные игры</t>
  </si>
  <si>
    <t>01 Малый формат</t>
  </si>
  <si>
    <t>092223</t>
  </si>
  <si>
    <t>Битва умов ИН-0666</t>
  </si>
  <si>
    <t>ИН-0666</t>
  </si>
  <si>
    <t>4665305406665</t>
  </si>
  <si>
    <t>04680942627020</t>
  </si>
  <si>
    <t>092221</t>
  </si>
  <si>
    <t>Загадки Шерлока. Загадочные дела 12+ ИН-0664</t>
  </si>
  <si>
    <t>ИН-0664</t>
  </si>
  <si>
    <t>4665305406641</t>
  </si>
  <si>
    <t>04680942627037</t>
  </si>
  <si>
    <t>092222</t>
  </si>
  <si>
    <t>Загадки Шерлока. Подозрительные обстоятельства ИН-0665</t>
  </si>
  <si>
    <t>ИН-0665</t>
  </si>
  <si>
    <t>4665305406658</t>
  </si>
  <si>
    <t>04680942627044</t>
  </si>
  <si>
    <t>113263</t>
  </si>
  <si>
    <t>Карточная игра Забавные шалости (32 карточки) 6+ ИН-2234</t>
  </si>
  <si>
    <t>ИН-2234</t>
  </si>
  <si>
    <t>4665306722344</t>
  </si>
  <si>
    <t>04680942627075</t>
  </si>
  <si>
    <t>113261</t>
  </si>
  <si>
    <t>Карточная игра Коммуникаторы (32 карточки) 12+ ИН-2232</t>
  </si>
  <si>
    <t>ИН-2232</t>
  </si>
  <si>
    <t>4665306722320</t>
  </si>
  <si>
    <t>04680942627082</t>
  </si>
  <si>
    <t>113264</t>
  </si>
  <si>
    <t>Карточная игра Объясни Вите (32 карточки) 12+ ИН-2235</t>
  </si>
  <si>
    <t>ИН-2235</t>
  </si>
  <si>
    <t>4665306722351</t>
  </si>
  <si>
    <t>04680942627099</t>
  </si>
  <si>
    <t>113265</t>
  </si>
  <si>
    <t>Карточная игра СловоСтоп (32 карточки) 12+ ИН-2236</t>
  </si>
  <si>
    <t>ИН-2236</t>
  </si>
  <si>
    <t>4665306722368</t>
  </si>
  <si>
    <t>04680942627105</t>
  </si>
  <si>
    <t>092215</t>
  </si>
  <si>
    <t>Крокозилла 6+ ИН-0658</t>
  </si>
  <si>
    <t>ИН-0658</t>
  </si>
  <si>
    <t>4665305406580</t>
  </si>
  <si>
    <t>04680942627112</t>
  </si>
  <si>
    <t>092217</t>
  </si>
  <si>
    <t>Крокослов 12+  ИН-0660</t>
  </si>
  <si>
    <t>ИН-0660</t>
  </si>
  <si>
    <t>4665305406603</t>
  </si>
  <si>
    <t>04680942627129</t>
  </si>
  <si>
    <t>092218</t>
  </si>
  <si>
    <t>Миникрокодильчик  6+  ИН-0661</t>
  </si>
  <si>
    <t>ИН-0661</t>
  </si>
  <si>
    <t>4665305406610</t>
  </si>
  <si>
    <t>04680942627136</t>
  </si>
  <si>
    <t>092212</t>
  </si>
  <si>
    <t>Пять запретов ИН-0656</t>
  </si>
  <si>
    <t>ИН-0656</t>
  </si>
  <si>
    <t>4665305406566</t>
  </si>
  <si>
    <t>04680942627150</t>
  </si>
  <si>
    <t>092220</t>
  </si>
  <si>
    <t>Сверхъестественная мафия  12+  ИН-0663</t>
  </si>
  <si>
    <t>ИН-0663</t>
  </si>
  <si>
    <t>4665305406634</t>
  </si>
  <si>
    <t>04680942627167</t>
  </si>
  <si>
    <t>02 Средний формат</t>
  </si>
  <si>
    <t>073401</t>
  </si>
  <si>
    <t>Веселый вопрос 12+  ИН-1746</t>
  </si>
  <si>
    <t>ИН-1746</t>
  </si>
  <si>
    <t>4665303217461</t>
  </si>
  <si>
    <t>04680942627174</t>
  </si>
  <si>
    <t>9.2х6х2 см</t>
  </si>
  <si>
    <t>236359</t>
  </si>
  <si>
    <t>Веселый вопрос 12+  ИН-1746 кр12</t>
  </si>
  <si>
    <t>068117</t>
  </si>
  <si>
    <t>Вето ТМ Игрополис 6+  ИН-1772</t>
  </si>
  <si>
    <t>ИН-1772</t>
  </si>
  <si>
    <t>4665303217720</t>
  </si>
  <si>
    <t>04680942627181</t>
  </si>
  <si>
    <t>9,2х6х2 см</t>
  </si>
  <si>
    <t>065243</t>
  </si>
  <si>
    <t>Игра для вечеринок Funny Random Cards Школьные Крас.сборник ТМ Игрополис ИН-0191</t>
  </si>
  <si>
    <t>ИН-0191</t>
  </si>
  <si>
    <t>4665303201910</t>
  </si>
  <si>
    <t>04680942627198</t>
  </si>
  <si>
    <t>065242</t>
  </si>
  <si>
    <t>Игра для вечеринок Funny Random Cards Школьные Синий сборник ТМ Игрополис</t>
  </si>
  <si>
    <t>ИН-0190</t>
  </si>
  <si>
    <t>4665303201903</t>
  </si>
  <si>
    <t>04680942627204</t>
  </si>
  <si>
    <t>068118</t>
  </si>
  <si>
    <t>Картодил. Выдумки ТМ Игрополис ИН-1773</t>
  </si>
  <si>
    <t>ИН-1773</t>
  </si>
  <si>
    <t>4665303217737</t>
  </si>
  <si>
    <t>04680942627211</t>
  </si>
  <si>
    <t>263166</t>
  </si>
  <si>
    <t>Картодил. Пантомима. (54 карточки) ИН-7114</t>
  </si>
  <si>
    <t>ИН-7114</t>
  </si>
  <si>
    <t>4640520771149</t>
  </si>
  <si>
    <t>04640520771149</t>
  </si>
  <si>
    <t>219383</t>
  </si>
  <si>
    <t>Карточная игра "Пара для капибары" ИК-2395</t>
  </si>
  <si>
    <t>ИК-2395</t>
  </si>
  <si>
    <t>4670159123958</t>
  </si>
  <si>
    <t>04670159123958</t>
  </si>
  <si>
    <t>189037</t>
  </si>
  <si>
    <t>Карточная игра Быстрословы ИК-6461</t>
  </si>
  <si>
    <t>ИК-6461</t>
  </si>
  <si>
    <t>4620129764513</t>
  </si>
  <si>
    <t>04620129764513</t>
  </si>
  <si>
    <t>176900</t>
  </si>
  <si>
    <t>Карточная игра Дабл-трабл. В поисках восьмого чуда света (55 карточек) 3+   ИН-9741</t>
  </si>
  <si>
    <t>ИН-9741</t>
  </si>
  <si>
    <t>4610144897419</t>
  </si>
  <si>
    <t>04610144897419</t>
  </si>
  <si>
    <t>189038</t>
  </si>
  <si>
    <t>Карточная игра Дешифратор ИК-6462</t>
  </si>
  <si>
    <t>ИК-6462</t>
  </si>
  <si>
    <t>4620129764520</t>
  </si>
  <si>
    <t>04620129764520</t>
  </si>
  <si>
    <t>176909</t>
  </si>
  <si>
    <t>Карточная игра Интуитивити (55 карточек) ИН-9748</t>
  </si>
  <si>
    <t>ИН-9748</t>
  </si>
  <si>
    <t>4610144897488</t>
  </si>
  <si>
    <t>04610144897488</t>
  </si>
  <si>
    <t>176905</t>
  </si>
  <si>
    <t>Карточная игра Иными словами (55 карточек) ИН-9745</t>
  </si>
  <si>
    <t>ИН-9745</t>
  </si>
  <si>
    <t>4610144897457</t>
  </si>
  <si>
    <t>04610144897457</t>
  </si>
  <si>
    <t>220608</t>
  </si>
  <si>
    <t>Карточная игра Иными словами (55 карточек) ИН-9745 кр 12</t>
  </si>
  <si>
    <t>176910</t>
  </si>
  <si>
    <t>Карточная игра Картодил против Крокомима (55 карточек) 12+  ИН-9749</t>
  </si>
  <si>
    <t>ИН-9749</t>
  </si>
  <si>
    <t>4610144897495</t>
  </si>
  <si>
    <t>04610144897495</t>
  </si>
  <si>
    <t>192283</t>
  </si>
  <si>
    <t>Карточная игра Лоботрясы (без европодвеса, 55 карточек) ИК-7752</t>
  </si>
  <si>
    <t>ИК-7752</t>
  </si>
  <si>
    <t>4620129777520</t>
  </si>
  <si>
    <t>04620129777520</t>
  </si>
  <si>
    <t>176903</t>
  </si>
  <si>
    <t>Карточная игра Мемасы (55 карточек) ИН-9743</t>
  </si>
  <si>
    <t>ИН-9743</t>
  </si>
  <si>
    <t>4610144897433</t>
  </si>
  <si>
    <t>04610144897433</t>
  </si>
  <si>
    <t>192281</t>
  </si>
  <si>
    <t>Карточная игра Один из нас (без европодвеса, 55 карточек) ИК-7747</t>
  </si>
  <si>
    <t>ИК-7747</t>
  </si>
  <si>
    <t>4620129777476</t>
  </si>
  <si>
    <t>04620129777476</t>
  </si>
  <si>
    <t>189032</t>
  </si>
  <si>
    <t>Карточная игра Отвечай или действуй ИК-6459</t>
  </si>
  <si>
    <t>ИК-6459</t>
  </si>
  <si>
    <t>4620129764490</t>
  </si>
  <si>
    <t>04620129764490</t>
  </si>
  <si>
    <t>192280</t>
  </si>
  <si>
    <t>Карточная игра Пять никогда (без европодвеса, 55 карточек) ИК-7745</t>
  </si>
  <si>
    <t>ИК-7745</t>
  </si>
  <si>
    <t>4620129777452</t>
  </si>
  <si>
    <t>04620129777452</t>
  </si>
  <si>
    <t>220557</t>
  </si>
  <si>
    <t>Карточная игра Пять никогда (без европодвеса, 55 карточек) ИК-7745 кр 12</t>
  </si>
  <si>
    <t>189035</t>
  </si>
  <si>
    <t>Карточная игра Самоцензор ИК-6460</t>
  </si>
  <si>
    <t>ИК-6460</t>
  </si>
  <si>
    <t>4620129764506</t>
  </si>
  <si>
    <t>04620129764506</t>
  </si>
  <si>
    <t>176904</t>
  </si>
  <si>
    <t>Карточная игра Толкователи (55 карточек) ИН-9744</t>
  </si>
  <si>
    <t>ИН-9744</t>
  </si>
  <si>
    <t>4610144897440</t>
  </si>
  <si>
    <t>04610144897440</t>
  </si>
  <si>
    <t>192282</t>
  </si>
  <si>
    <t>Карточная игра Фант за фантом (без европодвеса, 55 карточек) ИК-7749</t>
  </si>
  <si>
    <t>ИК-7749</t>
  </si>
  <si>
    <t>4620129777490</t>
  </si>
  <si>
    <t>04620129777490</t>
  </si>
  <si>
    <t>200982</t>
  </si>
  <si>
    <t>Карточная игра. Крокогений (55  карточек) 12+ ИН-2316</t>
  </si>
  <si>
    <t>ИН-2316</t>
  </si>
  <si>
    <t>4670159023166</t>
  </si>
  <si>
    <t>04670159023166</t>
  </si>
  <si>
    <t>200981</t>
  </si>
  <si>
    <t>Карточная игра. Крокодилиус  (55  карточек) 12+ ИН-2315</t>
  </si>
  <si>
    <t>ИН-2315</t>
  </si>
  <si>
    <t>4670159023159</t>
  </si>
  <si>
    <t>04670159023159</t>
  </si>
  <si>
    <t>194119</t>
  </si>
  <si>
    <t>Карточная игра. Правда или вызов (55  карточек) ИН-9514</t>
  </si>
  <si>
    <t>ИН-9514</t>
  </si>
  <si>
    <t>4620129785143</t>
  </si>
  <si>
    <t>04620129785143</t>
  </si>
  <si>
    <t>263168</t>
  </si>
  <si>
    <t>Короче говоря (55 карточек) ИН-7116</t>
  </si>
  <si>
    <t>ИН-7116</t>
  </si>
  <si>
    <t>4640520771163</t>
  </si>
  <si>
    <t>04640520771163</t>
  </si>
  <si>
    <t>236358</t>
  </si>
  <si>
    <t>Крокозилла 6+ ИН-0658 кр12</t>
  </si>
  <si>
    <t>263169</t>
  </si>
  <si>
    <t>Мемасы 2.0 (55 карточек) ИН-7117</t>
  </si>
  <si>
    <t>ИН-7117</t>
  </si>
  <si>
    <t>4640520771170</t>
  </si>
  <si>
    <t>04640520771170</t>
  </si>
  <si>
    <t>263171</t>
  </si>
  <si>
    <t>Ответ или вызов (55 карточек) ИН-7119</t>
  </si>
  <si>
    <t>ИН-7119</t>
  </si>
  <si>
    <t>4640520771194</t>
  </si>
  <si>
    <t>04640520771194</t>
  </si>
  <si>
    <t>263170</t>
  </si>
  <si>
    <t>Ответ или действие (55 карточек) ИН-7118</t>
  </si>
  <si>
    <t>ИН-7118</t>
  </si>
  <si>
    <t>4640520771187</t>
  </si>
  <si>
    <t>04640520771187</t>
  </si>
  <si>
    <t>263172</t>
  </si>
  <si>
    <t>Отгадай себя (55 карточек) ИН-7120</t>
  </si>
  <si>
    <t>ИН-7120</t>
  </si>
  <si>
    <t>4640520771200</t>
  </si>
  <si>
    <t>04640520771200</t>
  </si>
  <si>
    <t>263167</t>
  </si>
  <si>
    <t>Слова наперегонки (55 карточек) ИН-7115</t>
  </si>
  <si>
    <t>ИН-7115</t>
  </si>
  <si>
    <t>4640520771156</t>
  </si>
  <si>
    <t>04640520771156</t>
  </si>
  <si>
    <t>084250</t>
  </si>
  <si>
    <t>Угадай меня  ИН-9150</t>
  </si>
  <si>
    <t>ИН-9150</t>
  </si>
  <si>
    <t>4665305391503</t>
  </si>
  <si>
    <t>04680942627235</t>
  </si>
  <si>
    <t>03 Средний+ формат</t>
  </si>
  <si>
    <t>044125</t>
  </si>
  <si>
    <t>Картодил премиум ИН-1860</t>
  </si>
  <si>
    <t>ин-1860</t>
  </si>
  <si>
    <t>4665295518607</t>
  </si>
  <si>
    <t>04680942627242</t>
  </si>
  <si>
    <t>13 х 18</t>
  </si>
  <si>
    <t>04 Европодвес средний+  формат</t>
  </si>
  <si>
    <t>189068</t>
  </si>
  <si>
    <t>Карточные игры Крокомистер ИК-6497</t>
  </si>
  <si>
    <t>ИК-6497</t>
  </si>
  <si>
    <t>4620129764971</t>
  </si>
  <si>
    <t>04620129764971</t>
  </si>
  <si>
    <t>189074</t>
  </si>
  <si>
    <t>Карточные игры Так или иначе ИК-6501</t>
  </si>
  <si>
    <t>ИК-6501</t>
  </si>
  <si>
    <t>4620129765015</t>
  </si>
  <si>
    <t>04620129765015</t>
  </si>
  <si>
    <t>189070</t>
  </si>
  <si>
    <t>Карточные игры Тоже похожи ИК-6499</t>
  </si>
  <si>
    <t>ИК-6499</t>
  </si>
  <si>
    <t>4620129764995</t>
  </si>
  <si>
    <t>04620129764995</t>
  </si>
  <si>
    <t>05 Премиум формат в коммуникативных играх</t>
  </si>
  <si>
    <t>198440</t>
  </si>
  <si>
    <t>Карточная игра "Попробуй скажи"  (300 карт, песочные часы, 5 загубников) ИН-0774</t>
  </si>
  <si>
    <t>ИН-0774</t>
  </si>
  <si>
    <t>4665308685692</t>
  </si>
  <si>
    <t>02 Алкогольные и игры 18+</t>
  </si>
  <si>
    <t>119396</t>
  </si>
  <si>
    <t>Баттл под градусом 18+ (с европодвесом, 32 карточки) ИН-4596</t>
  </si>
  <si>
    <t>ИН-4596</t>
  </si>
  <si>
    <t>4665307345962</t>
  </si>
  <si>
    <t>113260</t>
  </si>
  <si>
    <t>Карточная игра Алкомикс (с европодвесом, 32 карточки) 18+  ИН-2231</t>
  </si>
  <si>
    <t>ИН-2231</t>
  </si>
  <si>
    <t>4665306722313</t>
  </si>
  <si>
    <t>092219</t>
  </si>
  <si>
    <t>Мафия. Бесславные парни 18+ ИН-0662</t>
  </si>
  <si>
    <t>ИН-0662</t>
  </si>
  <si>
    <t>4665305406627</t>
  </si>
  <si>
    <t>119398</t>
  </si>
  <si>
    <t>Честное пивонерское 18+ (с европодвесом, 32 карточки) ИН-4597</t>
  </si>
  <si>
    <t>ИН-4597</t>
  </si>
  <si>
    <t>4665307345979</t>
  </si>
  <si>
    <t>119401</t>
  </si>
  <si>
    <t>Алкослабо 18+ (без европодвеса, 54 карточки) ИН-4600</t>
  </si>
  <si>
    <t>ИН-4600</t>
  </si>
  <si>
    <t>4665307346006</t>
  </si>
  <si>
    <t>119406</t>
  </si>
  <si>
    <t>Горячие фантазии 18+ (без европодвеса, 55 карточек) ИН-4605</t>
  </si>
  <si>
    <t>ИН-4605</t>
  </si>
  <si>
    <t>4665307346051</t>
  </si>
  <si>
    <t>073417</t>
  </si>
  <si>
    <t>Забавы в офисе 18+ (без европодвеса, 55 карт) ИН-1747</t>
  </si>
  <si>
    <t>ИН-1747</t>
  </si>
  <si>
    <t>4665303217478</t>
  </si>
  <si>
    <t>065241</t>
  </si>
  <si>
    <t>Игра для вечеринок Funny Random Cards Партийные. ТМ Игрополис ИН-0189</t>
  </si>
  <si>
    <t>ИН-0189</t>
  </si>
  <si>
    <t>4665303201897</t>
  </si>
  <si>
    <t>219384</t>
  </si>
  <si>
    <t>Карточная игра "Испанский стыд" ИК-2396</t>
  </si>
  <si>
    <t>ИК-2396</t>
  </si>
  <si>
    <t>4670159123965</t>
  </si>
  <si>
    <t>189027</t>
  </si>
  <si>
    <t>Карточная игра Вдрабаданты 18+ ИК-6457</t>
  </si>
  <si>
    <t>ИК-6457</t>
  </si>
  <si>
    <t>4620129764476</t>
  </si>
  <si>
    <t>192275</t>
  </si>
  <si>
    <t>Карточная игра Один раз не... 18+ (без европодвеса, 55 карточек) ИК-7744</t>
  </si>
  <si>
    <t>ИК-7744</t>
  </si>
  <si>
    <t>4620129777445</t>
  </si>
  <si>
    <t>189018</t>
  </si>
  <si>
    <t>Карточная игра Отчаянные импровизаторы 18+ ИК-6454</t>
  </si>
  <si>
    <t>ИК-6454</t>
  </si>
  <si>
    <t>4620129764445</t>
  </si>
  <si>
    <t>189024</t>
  </si>
  <si>
    <t>Карточная игра Под покровом тайны 18+ ИК-6456</t>
  </si>
  <si>
    <t>ИК-6456</t>
  </si>
  <si>
    <t>4620129764469</t>
  </si>
  <si>
    <t>192279</t>
  </si>
  <si>
    <t>Карточная игра Провокаторы  18+ (без европодвеса, 55 карточек) ИК-7751</t>
  </si>
  <si>
    <t>ИК-7751</t>
  </si>
  <si>
    <t>4620129777513</t>
  </si>
  <si>
    <t>189021</t>
  </si>
  <si>
    <t>Карточная игра Скелеты в шкафу 18+ ИК-6455</t>
  </si>
  <si>
    <t>ИК-6455</t>
  </si>
  <si>
    <t>4620129764452</t>
  </si>
  <si>
    <t>192276</t>
  </si>
  <si>
    <t>Карточная игра Стрелочники  18+ (без европодвеса, 55 карточек) ИК-7746</t>
  </si>
  <si>
    <t>ИК-7746</t>
  </si>
  <si>
    <t>4620129777469</t>
  </si>
  <si>
    <t>208164</t>
  </si>
  <si>
    <t>Карточная игра Угадай меня Classic 18+ (55 карточек) ИН-6345</t>
  </si>
  <si>
    <t>ИН-6345</t>
  </si>
  <si>
    <t>4670159063254</t>
  </si>
  <si>
    <t>192277</t>
  </si>
  <si>
    <t>Карточная игра Фантазии на двоих 18+ (без европодвеса, 55 карточек) ИК-7748</t>
  </si>
  <si>
    <t>ИК-7748</t>
  </si>
  <si>
    <t>4620129777483</t>
  </si>
  <si>
    <t>176901</t>
  </si>
  <si>
    <t>Карточная игра Фантастические алконавты (55 карточек) ИН-9742</t>
  </si>
  <si>
    <t>ИН-9742</t>
  </si>
  <si>
    <t>4610144897426</t>
  </si>
  <si>
    <t>236360</t>
  </si>
  <si>
    <t>Карточная игра Фантастические алконавты (55 карточек) ИН-9742 кр12</t>
  </si>
  <si>
    <t>189029</t>
  </si>
  <si>
    <t>Карточная игра Что то, что это 18+ ИК-6458</t>
  </si>
  <si>
    <t>ИК-6458</t>
  </si>
  <si>
    <t>4620129764483</t>
  </si>
  <si>
    <t>192278</t>
  </si>
  <si>
    <t>Карточная игра Эрогениус  18+ (без европодвеса, 55 карточек) ИК-7750</t>
  </si>
  <si>
    <t>ИК-7750</t>
  </si>
  <si>
    <t>4620129777506</t>
  </si>
  <si>
    <t>200979</t>
  </si>
  <si>
    <t>Карточная игра. Бар Слезы бывших  (55  карточек) 18+ ИН-2317</t>
  </si>
  <si>
    <t>ИН-2317</t>
  </si>
  <si>
    <t>4670159023173</t>
  </si>
  <si>
    <t>200977</t>
  </si>
  <si>
    <t>Карточная игра. Безумные шляпники (55  карточек) 18+ ИН-2313</t>
  </si>
  <si>
    <t>ИН-2313</t>
  </si>
  <si>
    <t>4670159023135</t>
  </si>
  <si>
    <t>200980</t>
  </si>
  <si>
    <t>Карточная игра. БРЕДективы (55  карточек) 18+ ИН-2318</t>
  </si>
  <si>
    <t>ИН-2318</t>
  </si>
  <si>
    <t>4670159023180</t>
  </si>
  <si>
    <t>200983</t>
  </si>
  <si>
    <t>Карточная игра. Незваные гости (55  карточек) 18+ ИН-2319</t>
  </si>
  <si>
    <t>ИН-2319</t>
  </si>
  <si>
    <t>4670159023197</t>
  </si>
  <si>
    <t>200978</t>
  </si>
  <si>
    <t>Карточная игра. Опоздуны (55  карточек) 18+ ИН-2314</t>
  </si>
  <si>
    <t>ИН-2314</t>
  </si>
  <si>
    <t>4670159023142</t>
  </si>
  <si>
    <t>194122</t>
  </si>
  <si>
    <t>Карточная игра. Ресторан Миш и Лен (55  карточек) ИН-9515</t>
  </si>
  <si>
    <t>ИН-9515</t>
  </si>
  <si>
    <t>4620129785150</t>
  </si>
  <si>
    <t>263173</t>
  </si>
  <si>
    <t>Не опоздал, а задержался 18+ (55 карточек) ИН-7121</t>
  </si>
  <si>
    <t>ИН-7121</t>
  </si>
  <si>
    <t>4640520771217</t>
  </si>
  <si>
    <t>068123</t>
  </si>
  <si>
    <t>Пей бодрей 18+ (без европодвеса, 54 карточки) ТМ Игрополис ИН-1776</t>
  </si>
  <si>
    <t>ИН-1776</t>
  </si>
  <si>
    <t>4665303217768</t>
  </si>
  <si>
    <t>259084</t>
  </si>
  <si>
    <t>Пей бодрей 18+ (без европодвеса, 54 карточки) ТМ Игрополис ИН-1776 кр.5</t>
  </si>
  <si>
    <t>4665308907169</t>
  </si>
  <si>
    <t>119400</t>
  </si>
  <si>
    <t>По пьянке говоря 18+ (без европодвеса, 54 карточки) ИН-4599</t>
  </si>
  <si>
    <t>ИН-4599</t>
  </si>
  <si>
    <t>4665307345993</t>
  </si>
  <si>
    <t>263174</t>
  </si>
  <si>
    <t>Под градусом 18+ (55 карточек) ИН-7122</t>
  </si>
  <si>
    <t>ИН-7122</t>
  </si>
  <si>
    <t>4640520771224</t>
  </si>
  <si>
    <t>068463</t>
  </si>
  <si>
    <t>Пора по пабам 18+ ТМ Игрополис (без европодвеса, 54 карточки) ИН-8838</t>
  </si>
  <si>
    <t>ИН-8838</t>
  </si>
  <si>
    <t>4665301788383</t>
  </si>
  <si>
    <t>119399</t>
  </si>
  <si>
    <t>Правдорубы 18+ (без европодвеса, 55 карточек) ИН-4598</t>
  </si>
  <si>
    <t>ИН-4598</t>
  </si>
  <si>
    <t>4665307345986</t>
  </si>
  <si>
    <t>119402</t>
  </si>
  <si>
    <t>Пьяные пары 18+ (без европодвеса, 55 карточек) ИН-4601</t>
  </si>
  <si>
    <t>ИН-4601</t>
  </si>
  <si>
    <t>4665307346013</t>
  </si>
  <si>
    <t>119404</t>
  </si>
  <si>
    <t>Сексуалити 18+ (без европодвеса, 55 карточек) ИН-4603</t>
  </si>
  <si>
    <t>ИН-4603</t>
  </si>
  <si>
    <t>4665307346037</t>
  </si>
  <si>
    <t>220606</t>
  </si>
  <si>
    <t>Честное пивонерское 18+ (с европодвесом, 32 карточки) ИН-4597 кр 12</t>
  </si>
  <si>
    <t>119405</t>
  </si>
  <si>
    <t>Это FAKты 18+ (без европодвеса, 54 карточки) ИН-4604</t>
  </si>
  <si>
    <t>ИН-4604</t>
  </si>
  <si>
    <t>4665307346044</t>
  </si>
  <si>
    <t>119403</t>
  </si>
  <si>
    <t>Я никогда не... По-взрослому 18+ (без европодвеса, 54 карточки) ИН-4602</t>
  </si>
  <si>
    <t>ИН-4602</t>
  </si>
  <si>
    <t>4665307346020</t>
  </si>
  <si>
    <t>03 Средний+  формат</t>
  </si>
  <si>
    <t>208162</t>
  </si>
  <si>
    <t>Карточная игра Догадайся Classic 18+ (100 карточек) ИН-6347</t>
  </si>
  <si>
    <t>ИН-6347</t>
  </si>
  <si>
    <t>4670159063278</t>
  </si>
  <si>
    <t>208163</t>
  </si>
  <si>
    <t>Карточная игра Догадайся Hot version 21+ (100 карточек) ИН-6348</t>
  </si>
  <si>
    <t>ИН-6348</t>
  </si>
  <si>
    <t>4670159063285</t>
  </si>
  <si>
    <t>044124</t>
  </si>
  <si>
    <t>Карточная игра Мафия (Гангстер) премиум ИН-1856</t>
  </si>
  <si>
    <t>ин-1856</t>
  </si>
  <si>
    <t>4665295518560</t>
  </si>
  <si>
    <t>044122</t>
  </si>
  <si>
    <t>Карточная игра Мафия (Комиссар) премиум ИН-1855</t>
  </si>
  <si>
    <t>ин-1855</t>
  </si>
  <si>
    <t>4665295518553</t>
  </si>
  <si>
    <t>223805</t>
  </si>
  <si>
    <t>Карточные игры 2 в 1 Ни разу в жизни!/Кто скорее всего? (150 карточек) 18+ ИН-4870</t>
  </si>
  <si>
    <t>ИН-4870</t>
  </si>
  <si>
    <t>4670159148708</t>
  </si>
  <si>
    <t>189065</t>
  </si>
  <si>
    <t>Карточные игры Интимити 18+ ИК-6495</t>
  </si>
  <si>
    <t>ИК-6495</t>
  </si>
  <si>
    <t>4620129764957</t>
  </si>
  <si>
    <t>189061</t>
  </si>
  <si>
    <t>Карточные игры Мафия Викторианской эпохи. Шерлок против Мориарти 18+ ИК-6491</t>
  </si>
  <si>
    <t>ИК-6491</t>
  </si>
  <si>
    <t>4620129764919</t>
  </si>
  <si>
    <t>189063</t>
  </si>
  <si>
    <t>Карточные игры Откровенные признания 18+ ИК-6493</t>
  </si>
  <si>
    <t>ИК-6493</t>
  </si>
  <si>
    <t>4620129764933</t>
  </si>
  <si>
    <t>189064</t>
  </si>
  <si>
    <t>Карточные игры Пьяные слова 18+ ИК-6494</t>
  </si>
  <si>
    <t>ИК-6494</t>
  </si>
  <si>
    <t>4620129764940</t>
  </si>
  <si>
    <t>05 Премиум формат</t>
  </si>
  <si>
    <t>215692</t>
  </si>
  <si>
    <t>Игры для вечеринки 17 в 1 (54 карты, игральные кости, 20 стаканов,4 шар. для пинг-понга)18+ ИН-0756</t>
  </si>
  <si>
    <t>ИН-0756</t>
  </si>
  <si>
    <t>4670159106562</t>
  </si>
  <si>
    <t>216313</t>
  </si>
  <si>
    <t>Карточная игра  "Анонимное сообщение".16+  (зоо карт), ИК-0999</t>
  </si>
  <si>
    <t>ИК-0999</t>
  </si>
  <si>
    <t>4670159109990</t>
  </si>
  <si>
    <t>197574</t>
  </si>
  <si>
    <t>Карточная игра  "Крокодайл по-взрослому" 18+ (100 карт, песочные часы) ИН-1345</t>
  </si>
  <si>
    <t>ИН-1345</t>
  </si>
  <si>
    <t>4665308685715</t>
  </si>
  <si>
    <t>193716</t>
  </si>
  <si>
    <t>Карточная игра "Top memas Classic" 18+ (300 карт) ИН-8319</t>
  </si>
  <si>
    <t>ИН-8319</t>
  </si>
  <si>
    <t>4620129783194</t>
  </si>
  <si>
    <t>216315</t>
  </si>
  <si>
    <t>Карточная игра "Анонимное сообщение".  18+  (зоо карт), ИК-1000</t>
  </si>
  <si>
    <t>ИК-1000</t>
  </si>
  <si>
    <t>4670159110002</t>
  </si>
  <si>
    <t>208160</t>
  </si>
  <si>
    <t>Карточная игра Угадай меня Classic 18+ big box (200 карточек, песочные часы, 4 ободка) ИН-6349</t>
  </si>
  <si>
    <t>ИН-6349</t>
  </si>
  <si>
    <t>4670159063292</t>
  </si>
  <si>
    <t>208161</t>
  </si>
  <si>
    <t>Карточная игра Угадай меня Hot version 21+ big box (200 карточек, песочные часы, 4 ободка) ИН-6350</t>
  </si>
  <si>
    <t>ИН-6350</t>
  </si>
  <si>
    <t>4670159063308</t>
  </si>
  <si>
    <t>03 Настольные игры</t>
  </si>
  <si>
    <t>АВТОМАТ ПРИЗОВ</t>
  </si>
  <si>
    <t>218912</t>
  </si>
  <si>
    <t>Игрушка Хваталка. Автомат призов "Корги", 26,2*12,2*32,2см. ИХА-2150</t>
  </si>
  <si>
    <t>ИХА-2150</t>
  </si>
  <si>
    <t>4670159121503</t>
  </si>
  <si>
    <t>04670159121503</t>
  </si>
  <si>
    <t>218911</t>
  </si>
  <si>
    <t>Игрушка Хваталка. Автомат призов "Космический мишка", 48*22*22 см. ИХА-2149</t>
  </si>
  <si>
    <t>ИХА-2149</t>
  </si>
  <si>
    <t>4670159121497</t>
  </si>
  <si>
    <t>04670159121497</t>
  </si>
  <si>
    <t>245543</t>
  </si>
  <si>
    <t>Игрушка Хваталка. Автомат призов "Космос", синий, 32*27*23см ИХА-5753</t>
  </si>
  <si>
    <t>ИХА-5753</t>
  </si>
  <si>
    <t>4640163457530</t>
  </si>
  <si>
    <t>04640163457530</t>
  </si>
  <si>
    <t>218913</t>
  </si>
  <si>
    <t>Игрушка Хваталка. Автомат призов "Нежный зайка", 26,2*12,2*32,2см. ИХА-2151</t>
  </si>
  <si>
    <t>ИХА-2151</t>
  </si>
  <si>
    <t>4670159121510</t>
  </si>
  <si>
    <t>04670159121510</t>
  </si>
  <si>
    <t>218914</t>
  </si>
  <si>
    <t>Игрушка Хваталка. Автомат призов "Утенок", 24*30*21см. ИХА-2152</t>
  </si>
  <si>
    <t>ИХА-2152</t>
  </si>
  <si>
    <t>4670159121527</t>
  </si>
  <si>
    <t>04670159121527</t>
  </si>
  <si>
    <t>218910</t>
  </si>
  <si>
    <t>Игрушка. Автомат призов "Мишутка", 20*33*19 см. ИХА-2148</t>
  </si>
  <si>
    <t>ИХА-2148</t>
  </si>
  <si>
    <t>4670159121480</t>
  </si>
  <si>
    <t>04670159121480</t>
  </si>
  <si>
    <t>АЛКОГОЛЬНЫЕ ИГРЫ</t>
  </si>
  <si>
    <t>107827</t>
  </si>
  <si>
    <t>Алкогольная игра Морской бой ИН-1561</t>
  </si>
  <si>
    <t>ИН-1561</t>
  </si>
  <si>
    <t>4665306715612</t>
  </si>
  <si>
    <t>25x21x15 cm</t>
  </si>
  <si>
    <t>079690</t>
  </si>
  <si>
    <t>Алкогольная игра Рулетка, 30 см: 16 стопок ИН-3730</t>
  </si>
  <si>
    <t>ИН-3730</t>
  </si>
  <si>
    <t>4665303237308</t>
  </si>
  <si>
    <t>НАБОРЫ</t>
  </si>
  <si>
    <t>093467</t>
  </si>
  <si>
    <t>Шахматы, нарды, шашки деревянные 3 в 1 (поле 29 см) фигуры из дерева P00024 М</t>
  </si>
  <si>
    <t>P00024</t>
  </si>
  <si>
    <t>4665305391800</t>
  </si>
  <si>
    <t>230364</t>
  </si>
  <si>
    <t>Шахматы, шашки, нарды. Набор 3 в 1, малый. Доска и фигуры деревянные 290*145*38мм  ШК-6149</t>
  </si>
  <si>
    <t>ШК-6149</t>
  </si>
  <si>
    <t>4670159161493</t>
  </si>
  <si>
    <t>НАБОРЫ ДЛЯ ПОКЕРА</t>
  </si>
  <si>
    <t>067308</t>
  </si>
  <si>
    <t>Набор для покера "Игрок" 200 фишек без номинала ИН-0143</t>
  </si>
  <si>
    <t>ИН-0143</t>
  </si>
  <si>
    <t>4665303201439</t>
  </si>
  <si>
    <t>30*20.5*6</t>
  </si>
  <si>
    <t>235671</t>
  </si>
  <si>
    <t>Набор для покера "Казино" экокожа 200 фишек с номиналом, черный, 30*20.5*6см ИГН-0312</t>
  </si>
  <si>
    <t>ИГН-0312</t>
  </si>
  <si>
    <t>4670159203124</t>
  </si>
  <si>
    <t>200шт, 30*20.5*6 см с пластиковыми карта</t>
  </si>
  <si>
    <t>235672</t>
  </si>
  <si>
    <t>Набор для покера "Казино" экокожа 300 фишек с номиналом, черный 39*21*6.5см ИГН-0313</t>
  </si>
  <si>
    <t>ИГН-0313</t>
  </si>
  <si>
    <t>4670159203131</t>
  </si>
  <si>
    <t>300шт 39*21*6.5 см  с пластиковыми карта</t>
  </si>
  <si>
    <t>231892</t>
  </si>
  <si>
    <t>Набор для покера "Кикер" (Золотая лихорадка) 500 фишек с номиналом, золотистый, 56*8*20 см ИН-8255</t>
  </si>
  <si>
    <t>ИН-8255</t>
  </si>
  <si>
    <t>4670159182559</t>
  </si>
  <si>
    <t>560х80х200  мм</t>
  </si>
  <si>
    <t>211345</t>
  </si>
  <si>
    <t>Набор для покера "Крупье" (Золотая лихорадка), 200 фишек с номиналом, 30*20.5*6см ИН-7724</t>
  </si>
  <si>
    <t>ИН-7724</t>
  </si>
  <si>
    <t>4670159077244</t>
  </si>
  <si>
    <t>067309</t>
  </si>
  <si>
    <t>Набор для покера "Любитель" 100 фишек без номинала ИН-0144</t>
  </si>
  <si>
    <t>ИН-0144</t>
  </si>
  <si>
    <t>4665303201446</t>
  </si>
  <si>
    <t>211346</t>
  </si>
  <si>
    <t>Набор для покера "Овербет" (Золотая лихорадка), 300 фишек с номиналом, 39*21*6.5см ИН-7725</t>
  </si>
  <si>
    <t>ИН-7725</t>
  </si>
  <si>
    <t>4670159077251</t>
  </si>
  <si>
    <t>067307</t>
  </si>
  <si>
    <t>Набор для покера "Профи" 300 фишек без номинала ИН-0142</t>
  </si>
  <si>
    <t>ИН-0142</t>
  </si>
  <si>
    <t>4665303201422</t>
  </si>
  <si>
    <t>39*21*6.5</t>
  </si>
  <si>
    <t>231891</t>
  </si>
  <si>
    <t>Набор для покера в металл. коробке "Бэкдор", 500 фишек с номиналом, cукно, 29*7*33 см ИН-8290</t>
  </si>
  <si>
    <t>ИН-8290</t>
  </si>
  <si>
    <t>4670159182542</t>
  </si>
  <si>
    <t>290х70х330 мм</t>
  </si>
  <si>
    <t>ШАХМАТЫ</t>
  </si>
  <si>
    <t>267039</t>
  </si>
  <si>
    <t>Магнитные шахматы (магнитные шарики 20 шт) в картонной коробке 24*24*2см ИН-7534</t>
  </si>
  <si>
    <t>ИН-7534</t>
  </si>
  <si>
    <t>4640520775345</t>
  </si>
  <si>
    <t>226104</t>
  </si>
  <si>
    <t>ШАХМАТЫ. Обиходные, лакированные, с доской 240х120х30 мм (арт.ШК-4941)</t>
  </si>
  <si>
    <t>ШК-4941</t>
  </si>
  <si>
    <t>4670159121411</t>
  </si>
  <si>
    <t>04 Пазлы</t>
  </si>
  <si>
    <t>198290</t>
  </si>
  <si>
    <t>Пазлы. Весёлая азбука от А до Я.(Набор пазлов в чемоданчике. Собственная разработка) П24-0601</t>
  </si>
  <si>
    <t>П24-0601</t>
  </si>
  <si>
    <t>4670159006015</t>
  </si>
  <si>
    <t>04670159006015</t>
  </si>
  <si>
    <t>11 ТОВАРЫ ДЛЯ ДОМА</t>
  </si>
  <si>
    <t>Таблетницы</t>
  </si>
  <si>
    <t>223402</t>
  </si>
  <si>
    <t>Таблетница цветная на 7 дней, 4 приема 21.4*12.2*2 см ТЛ-4222</t>
  </si>
  <si>
    <t>ТЛ-4222</t>
  </si>
  <si>
    <t>4670159142225</t>
  </si>
  <si>
    <t xml:space="preserve"> 21.4*12.2*2 см</t>
  </si>
  <si>
    <t>223403</t>
  </si>
  <si>
    <t>Таблетница-органайзер на 7 дней, 4 приема 11.5*4.5*13 см ТЛ-4223</t>
  </si>
  <si>
    <t>ТЛ-4223</t>
  </si>
  <si>
    <t>4670159142232</t>
  </si>
  <si>
    <t>11.5*4.5*13 см</t>
  </si>
  <si>
    <t>Товары для ванной</t>
  </si>
  <si>
    <t>Коврики для ванной</t>
  </si>
  <si>
    <t>220697</t>
  </si>
  <si>
    <t>Набор из двух ковриков для ванны и туалета "Модный", бежевый, 50*80 см, 50*40 см БП-2879</t>
  </si>
  <si>
    <t>БП-2879</t>
  </si>
  <si>
    <t>4670159128793</t>
  </si>
  <si>
    <t>5705003000</t>
  </si>
  <si>
    <t>50*80 см, 50*40 см</t>
  </si>
  <si>
    <t>220696</t>
  </si>
  <si>
    <t>Набор из двух ковриков для ванны и туалета "Модный", белый, 50*80 см, 50*40 см БП-2878</t>
  </si>
  <si>
    <t>БП-2878</t>
  </si>
  <si>
    <t>4670159128786</t>
  </si>
  <si>
    <t>Шторы для ванной</t>
  </si>
  <si>
    <t>215181</t>
  </si>
  <si>
    <t>Штора для ванной комнаты "Рябь" с эффектом 3D, 180*200см ВШ-0323</t>
  </si>
  <si>
    <t>ВШ-0323</t>
  </si>
  <si>
    <t>4670159103233</t>
  </si>
  <si>
    <t>180*200см</t>
  </si>
  <si>
    <t>12 ЭЛЕКТРОНИКА</t>
  </si>
  <si>
    <t>1 Аксессуары для  ноутбука и компьютера</t>
  </si>
  <si>
    <t>Подставки для ноутбуков</t>
  </si>
  <si>
    <t>225430</t>
  </si>
  <si>
    <t>Складная подставка для ноутбука металлическая,  с диагональю от 38 до 44 см,25,5*18*15,8 см,ПНБ-4868</t>
  </si>
  <si>
    <t>ПНБ-4868</t>
  </si>
  <si>
    <t>4670159148685</t>
  </si>
  <si>
    <t>25,5*18*15,8см</t>
  </si>
  <si>
    <t>225428</t>
  </si>
  <si>
    <t>Складная подставка для ноутбука охлажд,диаг.от 30 до 44см, 2400об/мин,40*28*3см.питание:USB,ПНБ-4867</t>
  </si>
  <si>
    <t>ПНБ-4867</t>
  </si>
  <si>
    <t>4670159148678</t>
  </si>
  <si>
    <t>9403700008</t>
  </si>
  <si>
    <t>40*28*3см</t>
  </si>
  <si>
    <t>2 Аксессуары для смартфонов</t>
  </si>
  <si>
    <t>2 Защита для провода и блока</t>
  </si>
  <si>
    <t>239192</t>
  </si>
  <si>
    <t>Защита для блока и провода зарядного устройства "Классика" ЗЗ-1878</t>
  </si>
  <si>
    <t>ЗЗ-1878</t>
  </si>
  <si>
    <t>4670159218784</t>
  </si>
  <si>
    <t>4202921900</t>
  </si>
  <si>
    <t>239188</t>
  </si>
  <si>
    <t>Защита для блока и провода зарядного устройства "Нежность" ЗЗ-1874</t>
  </si>
  <si>
    <t>ЗЗ-1874</t>
  </si>
  <si>
    <t>4670159218746</t>
  </si>
  <si>
    <t>239190</t>
  </si>
  <si>
    <t>Защита для провода зарядного устройства "Белая лапка" ЗЗ-1876</t>
  </si>
  <si>
    <t>ЗЗ-1876</t>
  </si>
  <si>
    <t>4670159218760</t>
  </si>
  <si>
    <t>3 Подставки и держатели</t>
  </si>
  <si>
    <t>220333</t>
  </si>
  <si>
    <t>Умный держатель для смартфона (емкость батареи 1200 мАч, кабель в комплекте) TPH-2731</t>
  </si>
  <si>
    <t>TPH-2731</t>
  </si>
  <si>
    <t>4670159127314</t>
  </si>
  <si>
    <t>9620000006</t>
  </si>
  <si>
    <t>4 Беспроводные микрофоны</t>
  </si>
  <si>
    <t>222406</t>
  </si>
  <si>
    <t>Микрофон петличный беспроводной  Lighting 1шт "Симфония звука", чёрный МПБ-3861</t>
  </si>
  <si>
    <t>МПБ-3861</t>
  </si>
  <si>
    <t>4670159138617</t>
  </si>
  <si>
    <t>222407</t>
  </si>
  <si>
    <t>Микрофон петличный беспроводной  Type-c 1шт с  зарядным кейсом "Чистый звук" , чёрный МПБ-3862</t>
  </si>
  <si>
    <t>МПБ-3862</t>
  </si>
  <si>
    <t>4670159138624</t>
  </si>
  <si>
    <t>222409</t>
  </si>
  <si>
    <t>Микрофон петличный беспроводной  Type-c 2шт с  зарядным кейсом "Чистое звучание", чёрный МПБ-3864</t>
  </si>
  <si>
    <t>МПБ-3864</t>
  </si>
  <si>
    <t>4670159138648</t>
  </si>
  <si>
    <t>223585</t>
  </si>
  <si>
    <t>Микрофон петличный беспроводной Type-c 1шт "Звуковая волна", чёрный МПБ-4690</t>
  </si>
  <si>
    <t>МПБ-4690</t>
  </si>
  <si>
    <t>4670159146902</t>
  </si>
  <si>
    <t>223590</t>
  </si>
  <si>
    <t>Микрофон петличный беспроводной Type-c 1шт "Звуковая частота", чёрный МПБ-4692</t>
  </si>
  <si>
    <t>МПБ-4692</t>
  </si>
  <si>
    <t>4670159146926</t>
  </si>
  <si>
    <t>3 Портативное аудио</t>
  </si>
  <si>
    <t>1 Колонка беспроводная</t>
  </si>
  <si>
    <t>235122</t>
  </si>
  <si>
    <t>Портативная колонка "Яркая дискотека" 20,8*19*28 см КЛН-9992</t>
  </si>
  <si>
    <t>КЛН-9992</t>
  </si>
  <si>
    <t>4670159199922</t>
  </si>
  <si>
    <t>8519814500</t>
  </si>
  <si>
    <t>20,8*19*28 см</t>
  </si>
  <si>
    <t>216249</t>
  </si>
  <si>
    <t>Портативная колонка с микрофоном "Пошумим?" ПКЛ-0808</t>
  </si>
  <si>
    <t>ПКЛ-0808</t>
  </si>
  <si>
    <t>4670159108085</t>
  </si>
  <si>
    <t>18,6*16,2*28,1cm</t>
  </si>
  <si>
    <t>3 Аксессуары для наушников</t>
  </si>
  <si>
    <t>239196</t>
  </si>
  <si>
    <t>Чехол на наушники AP pro "Жемчужный блеск" Ч-1882</t>
  </si>
  <si>
    <t>Ч-1882</t>
  </si>
  <si>
    <t>4670159218821</t>
  </si>
  <si>
    <t>239197</t>
  </si>
  <si>
    <t>Чехол на наушники AP pro "Классика" Ч-1883</t>
  </si>
  <si>
    <t>Ч-1883</t>
  </si>
  <si>
    <t>4670159218838</t>
  </si>
  <si>
    <t>239195</t>
  </si>
  <si>
    <t>Чехол на наушники AP pro "Малыш корги" Ч-1881</t>
  </si>
  <si>
    <t>Ч-1881</t>
  </si>
  <si>
    <t>4670159218814</t>
  </si>
  <si>
    <t>4 Студийные лампы</t>
  </si>
  <si>
    <t>225624</t>
  </si>
  <si>
    <t>Лампа кольцевая с сумкой переноской, 3 режима, 21*(54см), 84-210см, 65 Вт, 560 диодов, USB, ЛМК-5113</t>
  </si>
  <si>
    <t>ЛМК-5113</t>
  </si>
  <si>
    <t>4670159151135</t>
  </si>
  <si>
    <t>54*84-210 см</t>
  </si>
  <si>
    <t>5 Бьюти-инвентарь</t>
  </si>
  <si>
    <t>Фены</t>
  </si>
  <si>
    <t>222869</t>
  </si>
  <si>
    <t>Фен д/волос "Прическа",5 насадок, кабель 1,8 м, 4 т.режима, 1600Вт,фиол-серый,25*7.7*9.8см HD-4034</t>
  </si>
  <si>
    <t>HD-4034</t>
  </si>
  <si>
    <t>4670159140344</t>
  </si>
  <si>
    <t>8516310009</t>
  </si>
  <si>
    <t>25*7.7*9.8cm</t>
  </si>
  <si>
    <t>222868</t>
  </si>
  <si>
    <t>Фен д/волос "Укладка",5 насадок, кабель 1,8 м, 4 темп.режима, 1600Вт,роз-серый,25*7.7*9.8см HD-4033</t>
  </si>
  <si>
    <t>HD-4033</t>
  </si>
  <si>
    <t>4670159140337</t>
  </si>
  <si>
    <t>6 Увлажнители воздуха</t>
  </si>
  <si>
    <t>234775</t>
  </si>
  <si>
    <t>Увлаж. воздуха ультразвук., "Камин" 350мл, с дистан.упр., 2 реж. подсв.,тип пит.: (от сети) УВ-6338</t>
  </si>
  <si>
    <t>УВ-6338</t>
  </si>
  <si>
    <t>4670159163381</t>
  </si>
  <si>
    <t>8509800000</t>
  </si>
  <si>
    <t>234774</t>
  </si>
  <si>
    <t>Увлаж. воздуха ультразвук., "Медуза" 230мл, с дистан.упр., 7 реж. подсв.,тип пит.: (от сети) УВ-6337</t>
  </si>
  <si>
    <t>УВ-6337</t>
  </si>
  <si>
    <t>4670159163374</t>
  </si>
  <si>
    <t>230 мл</t>
  </si>
  <si>
    <t>7 Обогреватели и вентиляторы</t>
  </si>
  <si>
    <t>Вентиляторы</t>
  </si>
  <si>
    <t>Напольные</t>
  </si>
  <si>
    <t>246314</t>
  </si>
  <si>
    <t>Вентилятор колонный механический, 3 скорости, 45Вт, 80см, серый MW SF-4149</t>
  </si>
  <si>
    <t>SF-4149</t>
  </si>
  <si>
    <t>4670159241492</t>
  </si>
  <si>
    <t>8414510000</t>
  </si>
  <si>
    <t>80 см</t>
  </si>
  <si>
    <t>246315</t>
  </si>
  <si>
    <t>Вентилятор колонный сенсорный, 3 скорости, со смартфона, пульт ДУ, 50Вт, 102см, белый MR MR-1102</t>
  </si>
  <si>
    <t>MR-1102</t>
  </si>
  <si>
    <t>4670159241508</t>
  </si>
  <si>
    <t>102 см</t>
  </si>
  <si>
    <t>246316</t>
  </si>
  <si>
    <t>Вентилятор колонный сенсорный, 3 скорости, со смартфона, пульт ДУ, 50Вт, 102см, белый MW SF-4151</t>
  </si>
  <si>
    <t>SF-4151</t>
  </si>
  <si>
    <t>4670159241515</t>
  </si>
  <si>
    <t>227782</t>
  </si>
  <si>
    <t>Вентилятор колонный, белый, 20×20×78.5 см  SF-3944</t>
  </si>
  <si>
    <t>SF-3944</t>
  </si>
  <si>
    <t>4670159139447</t>
  </si>
  <si>
    <t>20×20×78.5 см</t>
  </si>
  <si>
    <t>222863</t>
  </si>
  <si>
    <t>Вентилятор колонный, напольный, 3 режима,  45 Вт, белый, 80 см SF-3748</t>
  </si>
  <si>
    <t>SF-3748</t>
  </si>
  <si>
    <t>4670159137481</t>
  </si>
  <si>
    <t>222864</t>
  </si>
  <si>
    <t>Вентилятор колонный, напольный, 3 режима,  45 Вт, чёрный, 80 см SF-3749</t>
  </si>
  <si>
    <t>SF-3749</t>
  </si>
  <si>
    <t>4670159137498</t>
  </si>
  <si>
    <t>227783</t>
  </si>
  <si>
    <t>Вентилятор колонный, черный, 20×20×78.5 см  SF-3945</t>
  </si>
  <si>
    <t>SF-3945</t>
  </si>
  <si>
    <t>246312</t>
  </si>
  <si>
    <t>Вентилятор напольный механический хромированный,3 скорости,3 лопасти,60Вт,54см,серебрист. MW SF-4147</t>
  </si>
  <si>
    <t>SF-4147</t>
  </si>
  <si>
    <t>4670159241478</t>
  </si>
  <si>
    <t>54 см</t>
  </si>
  <si>
    <t>246308</t>
  </si>
  <si>
    <t>Вентилятор напольный механический, 3 скорости, 3 лопасти, 40Вт, 91см, белый MW SF-4146</t>
  </si>
  <si>
    <t>SF-4146</t>
  </si>
  <si>
    <t>4670159241461</t>
  </si>
  <si>
    <t>91 см</t>
  </si>
  <si>
    <t>246302</t>
  </si>
  <si>
    <t>Вентилятор напольный механический, 3 скорости, 3 лопасти, 45Вт, 120см белый/серый, MW SF-4141</t>
  </si>
  <si>
    <t>SF-4141</t>
  </si>
  <si>
    <t>4670159241416</t>
  </si>
  <si>
    <t>246295</t>
  </si>
  <si>
    <t>Вентилятор напольный механический, 3 скорости, 3 лопасти, 45Вт, 120см, белый, MW SF-4137</t>
  </si>
  <si>
    <t>SF-4137</t>
  </si>
  <si>
    <t>4670159241379</t>
  </si>
  <si>
    <t>246303</t>
  </si>
  <si>
    <t>Вентилятор напольный механический, 3 скорости, 3 лопасти, 45Вт, 120см, белый/голубой, MW SF-4142</t>
  </si>
  <si>
    <t>SF-4142</t>
  </si>
  <si>
    <t>4670159241423</t>
  </si>
  <si>
    <t>246292</t>
  </si>
  <si>
    <t>Вентилятор напольный механический, 3 скорости, 3 лопасти, 45Вт, 120см, серый, MW SF-4136</t>
  </si>
  <si>
    <t>SF-4136</t>
  </si>
  <si>
    <t>4670159241362</t>
  </si>
  <si>
    <t>246299</t>
  </si>
  <si>
    <t>Вентилятор напольный механический, 3 скорости, 3 лопасти, 45Вт, 120см, чёрный, MW SF-4139</t>
  </si>
  <si>
    <t>SF-4139</t>
  </si>
  <si>
    <t>4670159241393</t>
  </si>
  <si>
    <t>246301</t>
  </si>
  <si>
    <t>Вентилятор напольный механический, 3 скорости, 3 лопасти, 45Вт, 120см, чёрный, MW SF-4140</t>
  </si>
  <si>
    <t>SF-4140</t>
  </si>
  <si>
    <t>4670159241409</t>
  </si>
  <si>
    <t>246304</t>
  </si>
  <si>
    <t>Вентилятор напольный механический, 3 скорости, 5 лопастей, 45Вт, 120см, белый, MW SF-4143</t>
  </si>
  <si>
    <t>SF-4143</t>
  </si>
  <si>
    <t>4670159241430</t>
  </si>
  <si>
    <t>246306</t>
  </si>
  <si>
    <t>Вентилятор напольный сенсорный, 3 скорости, 3 лопасти, 45Вт, 120см, белый, пульт ДУ, MW SF-4144</t>
  </si>
  <si>
    <t>SF-4144</t>
  </si>
  <si>
    <t>246307</t>
  </si>
  <si>
    <t>Вентилятор напольный сенсорный, 3 скорости, 3 лопасти, 45Вт, 120см, пульт ДУ, черный, MW SF-4145</t>
  </si>
  <si>
    <t>SF-4145</t>
  </si>
  <si>
    <t>222861</t>
  </si>
  <si>
    <t>Вентилятор напольный, 2 режима работы, белый, пульт в комплекте, 120 см SF-3746</t>
  </si>
  <si>
    <t>SF-3746</t>
  </si>
  <si>
    <t>4670159137467</t>
  </si>
  <si>
    <t>от 100 до 120 см</t>
  </si>
  <si>
    <t>222862</t>
  </si>
  <si>
    <t>Вентилятор напольный, 2 режима работы, черный, пульт в комплекте, 120 см SF-3747</t>
  </si>
  <si>
    <t>SF-3747</t>
  </si>
  <si>
    <t>4670159137474</t>
  </si>
  <si>
    <t>222859</t>
  </si>
  <si>
    <t>Вентилятор напольный, 3 режима, белый,  40 Вт ± 5 Вт, 120 см, D-40см SF-3744</t>
  </si>
  <si>
    <t>SF-3744</t>
  </si>
  <si>
    <t>4670159137443</t>
  </si>
  <si>
    <t>222860</t>
  </si>
  <si>
    <t>Вентилятор напольный, 3 режима, чёрный,  40 Вт ± 5 Вт, 120 см, D-40см SF-3745</t>
  </si>
  <si>
    <t>SF-3745</t>
  </si>
  <si>
    <t>4670159137450</t>
  </si>
  <si>
    <t>Настольные</t>
  </si>
  <si>
    <t>246335</t>
  </si>
  <si>
    <t>Вентилятор настольный механический, 3 скорости, 36*50* 26см, 45Вт, белый, MW TF-4214</t>
  </si>
  <si>
    <t>TF-4214</t>
  </si>
  <si>
    <t>36*50*26  см</t>
  </si>
  <si>
    <t>246331</t>
  </si>
  <si>
    <t>Вентилятор настольный с увлаж. 500 мл 7 цвет USB 16*8* 23см, 3 скор, 10Вт, разм S, белый, MW HF-4209</t>
  </si>
  <si>
    <t>HF-4209</t>
  </si>
  <si>
    <t>4670159242093</t>
  </si>
  <si>
    <t>15.8 * 7.5 * 23 см</t>
  </si>
  <si>
    <t>246334</t>
  </si>
  <si>
    <t>Вентилятор настольный с увлаж. 500 мл 7 цвет USB 21*26*4см, 3 скор, 10Вт, разм М, черн, MW HF-4212</t>
  </si>
  <si>
    <t>HF-4212</t>
  </si>
  <si>
    <t>4670159242123</t>
  </si>
  <si>
    <t>21*26*4 см</t>
  </si>
  <si>
    <t>246332</t>
  </si>
  <si>
    <t>Вентилятор настольный с увлаж. 600 мл 7 цвет USB 21*26*4см, 3 скор, 10Вт, разм М, белый, MW HF-4210</t>
  </si>
  <si>
    <t>HF-4210</t>
  </si>
  <si>
    <t>4670159242109</t>
  </si>
  <si>
    <t>246326</t>
  </si>
  <si>
    <t>Вентилятор циклонный, настольный/настенный, 3 скорости, 5Вт, 19*20*20см, серый/фиол, MW CF-4221</t>
  </si>
  <si>
    <t>CF-4221</t>
  </si>
  <si>
    <t>4670159242215</t>
  </si>
  <si>
    <t>18,9*19,8*20,5 см</t>
  </si>
  <si>
    <t>Портативные</t>
  </si>
  <si>
    <t>246329</t>
  </si>
  <si>
    <t>Мини-вентилятор портативный на шею, USB, 8*12*4см, батарея 2000мАч, белый, MW PF-4228</t>
  </si>
  <si>
    <t>PF-4228</t>
  </si>
  <si>
    <t>4670159242284</t>
  </si>
  <si>
    <t>8,3*12,3*4,3 см</t>
  </si>
  <si>
    <t>246330</t>
  </si>
  <si>
    <t>Мини-вентилятор портативный на шею, USB, 8*12*4см, батарея 2000мАч, зелёный, MW PF-4229</t>
  </si>
  <si>
    <t>PF-4229</t>
  </si>
  <si>
    <t>4670159242291</t>
  </si>
  <si>
    <t>Обогреватели</t>
  </si>
  <si>
    <t>240458</t>
  </si>
  <si>
    <t>Вентилятор-обогреватель 2 в 1, 1000 Вт MR-1101</t>
  </si>
  <si>
    <t>MR-1101</t>
  </si>
  <si>
    <t>4670159218104</t>
  </si>
  <si>
    <t>8516299100</t>
  </si>
  <si>
    <t>230*235*310 мм</t>
  </si>
  <si>
    <t>217481</t>
  </si>
  <si>
    <t>Обогреватель керамический "Тепло", напольный/настольный,1500W,2 реж.раб,площ.обогрева:30квм ВН-1127</t>
  </si>
  <si>
    <t>ВН-1127</t>
  </si>
  <si>
    <t>4670159111276</t>
  </si>
  <si>
    <t>239903</t>
  </si>
  <si>
    <t>Обогреватель электрический "Модерн" 2000W, 3 режима работы, с режимом холодного обдува ВН-2057</t>
  </si>
  <si>
    <t>ВН-2057</t>
  </si>
  <si>
    <t>4670159220572</t>
  </si>
  <si>
    <t>21*21*29 см</t>
  </si>
  <si>
    <t>239902</t>
  </si>
  <si>
    <t>Электрический тепловентилятор "Пушка" 3000W, 3 режима работы, площ.обдува 40квм ВН-2056</t>
  </si>
  <si>
    <t>ВН-2056</t>
  </si>
  <si>
    <t>4670159220565</t>
  </si>
  <si>
    <t>22*20*28 см</t>
  </si>
  <si>
    <t>8 Сушилки для обуви</t>
  </si>
  <si>
    <t>226181</t>
  </si>
  <si>
    <t>Сушилка для обуви электрическая с таймером(3;6;9ч),тип пит. от сети;20Вт; 17*7,1*2,9см,белая СУ-5671</t>
  </si>
  <si>
    <t>СУ-5671</t>
  </si>
  <si>
    <t>4670159156710</t>
  </si>
  <si>
    <t>8516797000</t>
  </si>
  <si>
    <t>9 Фонарь налобный</t>
  </si>
  <si>
    <t>218905</t>
  </si>
  <si>
    <t>Фонарь налобный, светодиодный, тип питания: на батарейках( 3*AAA, не в комплекте), 5см*7см ФН-1879</t>
  </si>
  <si>
    <t>ФН-1879</t>
  </si>
  <si>
    <t>4670159118794</t>
  </si>
  <si>
    <t>8513100000</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</si>
</sst>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8" formatCode="0.000"/>
    <numFmt numFmtId="169" formatCode="0.00000"/>
    <numFmt numFmtId="170" formatCode="#\ ##0.00"/>
    <numFmt numFmtId="171" formatCode="0.0000"/>
    <numFmt numFmtId="172" formatCode="0.0"/>
    <numFmt numFmtId="173" formatCode="#\ ##0"/>
  </numFmts>
  <fonts count="15">
    <font>
      <sz val="8"/>
      <name val="Arial"/>
      <charset val="134"/>
    </font>
    <font>
      <b/>
      <sz val="10"/>
      <name val="Arial"/>
      <family val="2"/>
      <charset val="204"/>
    </font>
    <font>
      <b/>
      <sz val="12"/>
      <name val="Arial"/>
      <family val="2"/>
      <charset val="204"/>
    </font>
    <font>
      <b/>
      <sz val="18"/>
      <name val="Arial"/>
      <family val="2"/>
      <charset val="204"/>
    </font>
    <font>
      <b/>
      <sz val="12"/>
      <name val="Arial"/>
      <family val="2"/>
      <charset val="204"/>
    </font>
    <font>
      <b/>
      <sz val="8"/>
      <name val="Arial"/>
      <family val="2"/>
      <charset val="204"/>
    </font>
    <font>
      <b/>
      <u/>
      <sz val="12"/>
      <color rgb="FF0000FF"/>
      <name val="Arial"/>
      <family val="2"/>
      <charset val="204"/>
    </font>
    <font>
      <b/>
      <sz val="12"/>
      <color rgb="FF0000FF"/>
      <name val="Arial"/>
      <family val="2"/>
      <charset val="204"/>
    </font>
    <font>
      <b/>
      <i/>
      <u/>
      <sz val="9"/>
      <color rgb="FF000000"/>
      <name val="Arial"/>
      <family val="2"/>
      <charset val="204"/>
    </font>
    <font>
      <b/>
      <i/>
      <sz val="9"/>
      <color rgb="FF000000"/>
      <name val="Arial"/>
      <family val="2"/>
      <charset val="204"/>
    </font>
    <font>
      <b/>
      <sz val="10"/>
      <name val="Arial"/>
      <family val="2"/>
      <charset val="204"/>
    </font>
    <font>
      <b/>
      <sz val="12"/>
      <color rgb="FF000000"/>
      <name val="Arial"/>
      <family val="2"/>
      <charset val="204"/>
    </font>
    <font>
      <b/>
      <sz val="8"/>
      <color rgb="FFFF0000"/>
      <name val="Arial"/>
      <family val="2"/>
      <charset val="204"/>
    </font>
    <font>
      <b/>
      <sz val="12"/>
      <color rgb="FFFF0000"/>
      <name val="Arial"/>
      <family val="2"/>
      <charset val="204"/>
    </font>
    <font>
      <sz val="8"/>
      <name val="Arial"/>
      <family val="2"/>
      <charset val="204"/>
    </font>
  </fonts>
  <fills count="6">
    <fill>
      <patternFill patternType="none"/>
    </fill>
    <fill>
      <patternFill patternType="gray125"/>
    </fill>
    <fill>
      <patternFill patternType="solid">
        <fgColor rgb="FFFFFF00"/>
        <bgColor indexed="64"/>
      </patternFill>
    </fill>
    <fill>
      <patternFill patternType="solid">
        <fgColor indexed="27"/>
        <bgColor indexed="64"/>
      </patternFill>
    </fill>
    <fill>
      <patternFill patternType="solid">
        <fgColor rgb="FF7CFC00"/>
        <bgColor indexed="64"/>
      </patternFill>
    </fill>
    <fill>
      <patternFill patternType="solid">
        <fgColor rgb="FFFFA07A"/>
        <bgColor indexed="64"/>
      </patternFill>
    </fill>
  </fills>
  <borders count="8">
    <border>
      <left/>
      <right/>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9">
    <xf numFmtId="0" fontId="0" fillId="0" borderId="0" xfId="0"/>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1" fontId="0" fillId="2" borderId="6" xfId="0" applyNumberFormat="1" applyFill="1" applyBorder="1" applyAlignment="1">
      <alignment horizontal="center" vertical="center"/>
    </xf>
    <xf numFmtId="0" fontId="0" fillId="2" borderId="7" xfId="0" applyFill="1" applyBorder="1" applyAlignment="1">
      <alignment horizontal="center" vertical="center" wrapText="1"/>
    </xf>
    <xf numFmtId="0" fontId="0" fillId="2" borderId="7" xfId="0" applyFill="1" applyBorder="1" applyAlignment="1">
      <alignment horizontal="center" vertical="center"/>
    </xf>
    <xf numFmtId="0" fontId="1" fillId="2" borderId="7" xfId="0" applyFont="1" applyFill="1" applyBorder="1" applyAlignment="1">
      <alignment horizontal="center" vertical="center"/>
    </xf>
    <xf numFmtId="2" fontId="11" fillId="2" borderId="7" xfId="0" applyNumberFormat="1" applyFont="1" applyFill="1" applyBorder="1" applyAlignment="1">
      <alignment horizontal="center" vertical="center"/>
    </xf>
    <xf numFmtId="0" fontId="0" fillId="3" borderId="7" xfId="0" applyFill="1" applyBorder="1" applyAlignment="1" applyProtection="1">
      <alignment horizontal="center" vertical="center"/>
      <protection locked="0"/>
    </xf>
    <xf numFmtId="168" fontId="0" fillId="2" borderId="7" xfId="0" applyNumberFormat="1" applyFill="1" applyBorder="1" applyAlignment="1">
      <alignment horizontal="center" vertical="center"/>
    </xf>
    <xf numFmtId="169" fontId="0" fillId="2" borderId="7" xfId="0" applyNumberFormat="1" applyFill="1" applyBorder="1" applyAlignment="1">
      <alignment horizontal="center" vertical="center"/>
    </xf>
    <xf numFmtId="1" fontId="1" fillId="2" borderId="7" xfId="0" applyNumberFormat="1" applyFont="1" applyFill="1" applyBorder="1" applyAlignment="1">
      <alignment horizontal="center" vertical="center"/>
    </xf>
    <xf numFmtId="170" fontId="11" fillId="2" borderId="7" xfId="0" applyNumberFormat="1" applyFont="1" applyFill="1" applyBorder="1" applyAlignment="1">
      <alignment horizontal="center" vertical="center"/>
    </xf>
    <xf numFmtId="171" fontId="0" fillId="2" borderId="7" xfId="0" applyNumberFormat="1" applyFill="1" applyBorder="1" applyAlignment="1">
      <alignment horizontal="center" vertical="center"/>
    </xf>
    <xf numFmtId="0" fontId="12" fillId="2" borderId="7" xfId="0" applyFont="1" applyFill="1" applyBorder="1" applyAlignment="1">
      <alignment horizontal="center" vertical="center"/>
    </xf>
    <xf numFmtId="2" fontId="0" fillId="2" borderId="7" xfId="0" applyNumberFormat="1" applyFill="1" applyBorder="1" applyAlignment="1">
      <alignment horizontal="center" vertical="center"/>
    </xf>
    <xf numFmtId="172" fontId="0" fillId="2" borderId="7" xfId="0" applyNumberFormat="1" applyFill="1" applyBorder="1" applyAlignment="1">
      <alignment horizontal="center" vertical="center"/>
    </xf>
    <xf numFmtId="1" fontId="0" fillId="0" borderId="6" xfId="0" applyNumberFormat="1" applyBorder="1" applyAlignment="1">
      <alignment horizontal="center" vertical="center"/>
    </xf>
    <xf numFmtId="0" fontId="0" fillId="0" borderId="7" xfId="0" applyBorder="1" applyAlignment="1">
      <alignment horizontal="center" vertical="center" wrapText="1"/>
    </xf>
    <xf numFmtId="0" fontId="0" fillId="0" borderId="7" xfId="0" applyBorder="1" applyAlignment="1">
      <alignment horizontal="center" vertical="center"/>
    </xf>
    <xf numFmtId="0" fontId="1" fillId="0" borderId="7" xfId="0" applyFont="1" applyBorder="1" applyAlignment="1">
      <alignment horizontal="center" vertical="center"/>
    </xf>
    <xf numFmtId="2" fontId="11" fillId="0" borderId="7" xfId="0" applyNumberFormat="1" applyFont="1" applyBorder="1" applyAlignment="1">
      <alignment horizontal="center" vertical="center"/>
    </xf>
    <xf numFmtId="168" fontId="0" fillId="0" borderId="7" xfId="0" applyNumberFormat="1" applyBorder="1" applyAlignment="1">
      <alignment horizontal="center" vertical="center"/>
    </xf>
    <xf numFmtId="169" fontId="0" fillId="0" borderId="7" xfId="0" applyNumberFormat="1" applyBorder="1" applyAlignment="1">
      <alignment horizontal="center" vertical="center"/>
    </xf>
    <xf numFmtId="1" fontId="1" fillId="0" borderId="7" xfId="0" applyNumberFormat="1" applyFont="1" applyBorder="1" applyAlignment="1">
      <alignment horizontal="center" vertical="center"/>
    </xf>
    <xf numFmtId="2" fontId="0" fillId="0" borderId="7" xfId="0" applyNumberFormat="1" applyBorder="1" applyAlignment="1">
      <alignment horizontal="center" vertical="center"/>
    </xf>
    <xf numFmtId="171" fontId="0" fillId="0" borderId="7" xfId="0" applyNumberFormat="1" applyBorder="1" applyAlignment="1">
      <alignment horizontal="center" vertical="center"/>
    </xf>
    <xf numFmtId="0" fontId="12" fillId="0" borderId="7" xfId="0" applyFont="1" applyBorder="1" applyAlignment="1">
      <alignment horizontal="center" vertical="center"/>
    </xf>
    <xf numFmtId="0" fontId="11" fillId="2" borderId="7" xfId="0" applyFont="1" applyFill="1" applyBorder="1" applyAlignment="1">
      <alignment horizontal="center" vertical="center"/>
    </xf>
    <xf numFmtId="170" fontId="11" fillId="0" borderId="7" xfId="0" applyNumberFormat="1" applyFont="1" applyBorder="1" applyAlignment="1">
      <alignment horizontal="center" vertical="center"/>
    </xf>
    <xf numFmtId="172" fontId="0" fillId="0" borderId="7" xfId="0" applyNumberFormat="1" applyBorder="1" applyAlignment="1">
      <alignment horizontal="center" vertical="center"/>
    </xf>
    <xf numFmtId="1" fontId="0" fillId="4" borderId="6" xfId="0" applyNumberFormat="1" applyFill="1" applyBorder="1" applyAlignment="1">
      <alignment horizontal="center" vertical="center"/>
    </xf>
    <xf numFmtId="0" fontId="0" fillId="4" borderId="7" xfId="0" applyFill="1" applyBorder="1" applyAlignment="1">
      <alignment horizontal="center" vertical="center" wrapText="1"/>
    </xf>
    <xf numFmtId="0" fontId="0" fillId="4" borderId="7" xfId="0" applyFill="1" applyBorder="1" applyAlignment="1">
      <alignment horizontal="center" vertical="center"/>
    </xf>
    <xf numFmtId="1" fontId="0" fillId="5" borderId="6" xfId="0" applyNumberFormat="1" applyFill="1" applyBorder="1" applyAlignment="1">
      <alignment horizontal="center" vertical="center"/>
    </xf>
    <xf numFmtId="0" fontId="0" fillId="5" borderId="7" xfId="0" applyFill="1" applyBorder="1" applyAlignment="1">
      <alignment horizontal="center" vertical="center" wrapText="1"/>
    </xf>
    <xf numFmtId="0" fontId="0" fillId="5" borderId="7" xfId="0" applyFill="1" applyBorder="1" applyAlignment="1">
      <alignment horizontal="center" vertical="center"/>
    </xf>
    <xf numFmtId="1" fontId="1" fillId="4" borderId="7" xfId="0" applyNumberFormat="1" applyFont="1" applyFill="1" applyBorder="1" applyAlignment="1">
      <alignment horizontal="center" vertical="center"/>
    </xf>
    <xf numFmtId="2" fontId="13" fillId="4" borderId="7" xfId="0" applyNumberFormat="1" applyFont="1" applyFill="1" applyBorder="1" applyAlignment="1">
      <alignment horizontal="center" vertical="center"/>
    </xf>
    <xf numFmtId="168" fontId="0" fillId="4" borderId="7" xfId="0" applyNumberFormat="1" applyFill="1" applyBorder="1" applyAlignment="1">
      <alignment horizontal="center" vertical="center"/>
    </xf>
    <xf numFmtId="169" fontId="0" fillId="4" borderId="7" xfId="0" applyNumberFormat="1" applyFill="1" applyBorder="1" applyAlignment="1">
      <alignment horizontal="center" vertical="center"/>
    </xf>
    <xf numFmtId="1" fontId="1" fillId="5" borderId="7" xfId="0" applyNumberFormat="1" applyFont="1" applyFill="1" applyBorder="1" applyAlignment="1">
      <alignment horizontal="center" vertical="center"/>
    </xf>
    <xf numFmtId="2" fontId="0" fillId="5" borderId="7" xfId="0" applyNumberFormat="1" applyFill="1" applyBorder="1" applyAlignment="1">
      <alignment horizontal="center" vertical="center"/>
    </xf>
    <xf numFmtId="169" fontId="0" fillId="5" borderId="7" xfId="0" applyNumberFormat="1" applyFill="1" applyBorder="1" applyAlignment="1">
      <alignment horizontal="center" vertical="center"/>
    </xf>
    <xf numFmtId="2" fontId="0" fillId="4" borderId="7" xfId="0" applyNumberFormat="1" applyFill="1" applyBorder="1" applyAlignment="1">
      <alignment horizontal="center" vertical="center"/>
    </xf>
    <xf numFmtId="168" fontId="0" fillId="5" borderId="7" xfId="0" applyNumberFormat="1" applyFill="1" applyBorder="1" applyAlignment="1">
      <alignment horizontal="center" vertical="center"/>
    </xf>
    <xf numFmtId="171" fontId="0" fillId="5" borderId="7" xfId="0" applyNumberFormat="1" applyFill="1" applyBorder="1" applyAlignment="1">
      <alignment horizontal="center" vertical="center"/>
    </xf>
    <xf numFmtId="0" fontId="12" fillId="4" borderId="7" xfId="0" applyFont="1" applyFill="1" applyBorder="1" applyAlignment="1">
      <alignment horizontal="center" vertical="center"/>
    </xf>
    <xf numFmtId="0" fontId="12" fillId="5" borderId="7" xfId="0" applyFont="1" applyFill="1" applyBorder="1" applyAlignment="1">
      <alignment horizontal="center" vertical="center"/>
    </xf>
    <xf numFmtId="0" fontId="12" fillId="4" borderId="0" xfId="0" applyFont="1" applyFill="1" applyAlignment="1">
      <alignment horizontal="center" vertical="center"/>
    </xf>
    <xf numFmtId="0" fontId="12" fillId="5" borderId="0" xfId="0" applyFont="1" applyFill="1" applyAlignment="1">
      <alignment horizontal="center" vertical="center"/>
    </xf>
    <xf numFmtId="0" fontId="0" fillId="2" borderId="0" xfId="0" applyFill="1" applyAlignment="1">
      <alignment horizontal="center" vertical="center"/>
    </xf>
    <xf numFmtId="171" fontId="0" fillId="4" borderId="7" xfId="0" applyNumberFormat="1" applyFill="1" applyBorder="1" applyAlignment="1">
      <alignment horizontal="center" vertical="center"/>
    </xf>
    <xf numFmtId="0" fontId="1" fillId="4" borderId="7" xfId="0" applyFont="1" applyFill="1" applyBorder="1" applyAlignment="1">
      <alignment horizontal="center" vertical="center"/>
    </xf>
    <xf numFmtId="173" fontId="0" fillId="0" borderId="6" xfId="0" applyNumberFormat="1" applyBorder="1" applyAlignment="1">
      <alignment horizontal="center" vertical="center"/>
    </xf>
    <xf numFmtId="173" fontId="0" fillId="2" borderId="6" xfId="0" applyNumberFormat="1" applyFill="1" applyBorder="1" applyAlignment="1">
      <alignment horizontal="center" vertical="center"/>
    </xf>
    <xf numFmtId="173" fontId="0" fillId="4" borderId="6" xfId="0" applyNumberFormat="1" applyFill="1" applyBorder="1" applyAlignment="1">
      <alignment horizontal="center" vertical="center"/>
    </xf>
    <xf numFmtId="173" fontId="0" fillId="5" borderId="6" xfId="0" applyNumberFormat="1" applyFill="1" applyBorder="1" applyAlignment="1">
      <alignment horizontal="center" vertical="center"/>
    </xf>
    <xf numFmtId="172" fontId="0" fillId="4" borderId="7" xfId="0" applyNumberFormat="1" applyFill="1" applyBorder="1" applyAlignment="1">
      <alignment horizontal="center" vertical="center"/>
    </xf>
    <xf numFmtId="1" fontId="0" fillId="4" borderId="7" xfId="0" applyNumberFormat="1" applyFill="1" applyBorder="1" applyAlignment="1">
      <alignment horizontal="center" vertical="center"/>
    </xf>
    <xf numFmtId="1" fontId="0" fillId="0" borderId="7" xfId="0" applyNumberFormat="1" applyBorder="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wrapText="1"/>
    </xf>
    <xf numFmtId="0" fontId="10" fillId="0" borderId="0" xfId="0" applyFont="1" applyAlignment="1">
      <alignment horizontal="center" vertical="center"/>
    </xf>
    <xf numFmtId="0" fontId="6" fillId="0" borderId="0" xfId="0" applyFont="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0" fillId="2" borderId="7" xfId="0" applyFill="1" applyBorder="1" applyAlignment="1">
      <alignment horizontal="center" vertical="center" wrapText="1"/>
    </xf>
    <xf numFmtId="0" fontId="0" fillId="0" borderId="7" xfId="0" applyBorder="1" applyAlignment="1">
      <alignment horizontal="center" vertical="center" wrapText="1"/>
    </xf>
    <xf numFmtId="0" fontId="0" fillId="4" borderId="7" xfId="0" applyFill="1" applyBorder="1" applyAlignment="1">
      <alignment horizontal="center" vertical="center" wrapText="1"/>
    </xf>
    <xf numFmtId="0" fontId="0" fillId="5" borderId="7" xfId="0" applyFill="1" applyBorder="1" applyAlignment="1">
      <alignment horizontal="center" vertical="center" wrapText="1"/>
    </xf>
    <xf numFmtId="0" fontId="5" fillId="2" borderId="1"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xf>
    <xf numFmtId="0" fontId="10" fillId="2" borderId="1"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xf>
    <xf numFmtId="0" fontId="14" fillId="0" borderId="0" xfId="0" applyFont="1" applyAlignment="1">
      <alignment horizontal="center" vertical="center"/>
    </xf>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827" Type="http://schemas.openxmlformats.org/officeDocument/2006/relationships/image" Target="../media/image1827.jpeg"/><Relationship Id="rId3182" Type="http://schemas.openxmlformats.org/officeDocument/2006/relationships/image" Target="../media/image3182.jpeg"/><Relationship Id="rId4026" Type="http://schemas.openxmlformats.org/officeDocument/2006/relationships/image" Target="../media/image4026.jpeg"/><Relationship Id="rId4233" Type="http://schemas.openxmlformats.org/officeDocument/2006/relationships/image" Target="../media/image4233.jpeg"/><Relationship Id="rId4440" Type="http://schemas.openxmlformats.org/officeDocument/2006/relationships/image" Target="../media/image4440.jpeg"/><Relationship Id="rId3042" Type="http://schemas.openxmlformats.org/officeDocument/2006/relationships/image" Target="../media/image3042.jpeg"/><Relationship Id="rId3999" Type="http://schemas.openxmlformats.org/officeDocument/2006/relationships/image" Target="../media/image3999.jpeg"/><Relationship Id="rId4300" Type="http://schemas.openxmlformats.org/officeDocument/2006/relationships/image" Target="../media/image4300.jpeg"/><Relationship Id="rId170" Type="http://schemas.openxmlformats.org/officeDocument/2006/relationships/image" Target="../media/image170.jpeg"/><Relationship Id="rId3859" Type="http://schemas.openxmlformats.org/officeDocument/2006/relationships/image" Target="../media/image3859.jpeg"/><Relationship Id="rId987" Type="http://schemas.openxmlformats.org/officeDocument/2006/relationships/image" Target="../media/image987.jpeg"/><Relationship Id="rId2668" Type="http://schemas.openxmlformats.org/officeDocument/2006/relationships/image" Target="../media/image2668.jpeg"/><Relationship Id="rId2875" Type="http://schemas.openxmlformats.org/officeDocument/2006/relationships/image" Target="../media/image2875.jpeg"/><Relationship Id="rId3719" Type="http://schemas.openxmlformats.org/officeDocument/2006/relationships/image" Target="../media/image3719.jpeg"/><Relationship Id="rId3926" Type="http://schemas.openxmlformats.org/officeDocument/2006/relationships/image" Target="../media/image3926.jpeg"/><Relationship Id="rId4090" Type="http://schemas.openxmlformats.org/officeDocument/2006/relationships/image" Target="../media/image4090.jpeg"/><Relationship Id="rId847" Type="http://schemas.openxmlformats.org/officeDocument/2006/relationships/image" Target="../media/image847.jpeg"/><Relationship Id="rId1477" Type="http://schemas.openxmlformats.org/officeDocument/2006/relationships/image" Target="../media/image1477.jpeg"/><Relationship Id="rId1684" Type="http://schemas.openxmlformats.org/officeDocument/2006/relationships/image" Target="../media/image1684.jpeg"/><Relationship Id="rId1891" Type="http://schemas.openxmlformats.org/officeDocument/2006/relationships/image" Target="../media/image1891.jpeg"/><Relationship Id="rId2528" Type="http://schemas.openxmlformats.org/officeDocument/2006/relationships/image" Target="../media/image2528.jpeg"/><Relationship Id="rId2735" Type="http://schemas.openxmlformats.org/officeDocument/2006/relationships/image" Target="../media/image2735.jpeg"/><Relationship Id="rId2942" Type="http://schemas.openxmlformats.org/officeDocument/2006/relationships/image" Target="../media/image2942.jpeg"/><Relationship Id="rId707" Type="http://schemas.openxmlformats.org/officeDocument/2006/relationships/image" Target="../media/image707.jpeg"/><Relationship Id="rId914" Type="http://schemas.openxmlformats.org/officeDocument/2006/relationships/image" Target="../media/image914.jpeg"/><Relationship Id="rId1337" Type="http://schemas.openxmlformats.org/officeDocument/2006/relationships/image" Target="../media/image1337.jpeg"/><Relationship Id="rId1544" Type="http://schemas.openxmlformats.org/officeDocument/2006/relationships/image" Target="../media/image1544.jpeg"/><Relationship Id="rId1751" Type="http://schemas.openxmlformats.org/officeDocument/2006/relationships/image" Target="../media/image1751.jpeg"/><Relationship Id="rId2802" Type="http://schemas.openxmlformats.org/officeDocument/2006/relationships/image" Target="../media/image2802.jpeg"/><Relationship Id="rId43" Type="http://schemas.openxmlformats.org/officeDocument/2006/relationships/image" Target="../media/image43.jpeg"/><Relationship Id="rId1404" Type="http://schemas.openxmlformats.org/officeDocument/2006/relationships/image" Target="../media/image1404.jpeg"/><Relationship Id="rId1611" Type="http://schemas.openxmlformats.org/officeDocument/2006/relationships/image" Target="../media/image1611.jpeg"/><Relationship Id="rId4767" Type="http://schemas.openxmlformats.org/officeDocument/2006/relationships/image" Target="../media/image4767.jpeg"/><Relationship Id="rId3369" Type="http://schemas.openxmlformats.org/officeDocument/2006/relationships/image" Target="../media/image3369.jpeg"/><Relationship Id="rId3576" Type="http://schemas.openxmlformats.org/officeDocument/2006/relationships/image" Target="../media/image3576.jpeg"/><Relationship Id="rId4627" Type="http://schemas.openxmlformats.org/officeDocument/2006/relationships/image" Target="../media/image4627.jpeg"/><Relationship Id="rId4974" Type="http://schemas.openxmlformats.org/officeDocument/2006/relationships/image" Target="../media/image4974.jpeg"/><Relationship Id="rId497" Type="http://schemas.openxmlformats.org/officeDocument/2006/relationships/image" Target="../media/image497.jpeg"/><Relationship Id="rId2178" Type="http://schemas.openxmlformats.org/officeDocument/2006/relationships/image" Target="../media/image2178.jpeg"/><Relationship Id="rId2385" Type="http://schemas.openxmlformats.org/officeDocument/2006/relationships/image" Target="../media/image2385.jpeg"/><Relationship Id="rId3229" Type="http://schemas.openxmlformats.org/officeDocument/2006/relationships/image" Target="../media/image3229.jpeg"/><Relationship Id="rId3783" Type="http://schemas.openxmlformats.org/officeDocument/2006/relationships/image" Target="../media/image3783.jpeg"/><Relationship Id="rId3990" Type="http://schemas.openxmlformats.org/officeDocument/2006/relationships/image" Target="../media/image3990.jpeg"/><Relationship Id="rId4834" Type="http://schemas.openxmlformats.org/officeDocument/2006/relationships/image" Target="../media/image4834.jpeg"/><Relationship Id="rId357" Type="http://schemas.openxmlformats.org/officeDocument/2006/relationships/image" Target="../media/image357.jpeg"/><Relationship Id="rId1194" Type="http://schemas.openxmlformats.org/officeDocument/2006/relationships/image" Target="../media/image1194.jpeg"/><Relationship Id="rId2038" Type="http://schemas.openxmlformats.org/officeDocument/2006/relationships/image" Target="../media/image2038.jpeg"/><Relationship Id="rId2592" Type="http://schemas.openxmlformats.org/officeDocument/2006/relationships/image" Target="../media/image2592.jpeg"/><Relationship Id="rId3436" Type="http://schemas.openxmlformats.org/officeDocument/2006/relationships/image" Target="../media/image3436.jpeg"/><Relationship Id="rId3643" Type="http://schemas.openxmlformats.org/officeDocument/2006/relationships/image" Target="../media/image3643.jpeg"/><Relationship Id="rId3850" Type="http://schemas.openxmlformats.org/officeDocument/2006/relationships/image" Target="../media/image3850.jpeg"/><Relationship Id="rId4901" Type="http://schemas.openxmlformats.org/officeDocument/2006/relationships/image" Target="../media/image4901.jpeg"/><Relationship Id="rId217" Type="http://schemas.openxmlformats.org/officeDocument/2006/relationships/image" Target="../media/image217.jpeg"/><Relationship Id="rId564" Type="http://schemas.openxmlformats.org/officeDocument/2006/relationships/image" Target="../media/image564.jpeg"/><Relationship Id="rId771" Type="http://schemas.openxmlformats.org/officeDocument/2006/relationships/image" Target="../media/image771.jpeg"/><Relationship Id="rId2245" Type="http://schemas.openxmlformats.org/officeDocument/2006/relationships/image" Target="../media/image2245.jpeg"/><Relationship Id="rId2452" Type="http://schemas.openxmlformats.org/officeDocument/2006/relationships/image" Target="../media/image2452.jpeg"/><Relationship Id="rId3503" Type="http://schemas.openxmlformats.org/officeDocument/2006/relationships/image" Target="../media/image3503.jpeg"/><Relationship Id="rId3710" Type="http://schemas.openxmlformats.org/officeDocument/2006/relationships/image" Target="../media/image3710.jpeg"/><Relationship Id="rId424" Type="http://schemas.openxmlformats.org/officeDocument/2006/relationships/image" Target="../media/image424.jpeg"/><Relationship Id="rId631" Type="http://schemas.openxmlformats.org/officeDocument/2006/relationships/image" Target="../media/image631.jpeg"/><Relationship Id="rId1054" Type="http://schemas.openxmlformats.org/officeDocument/2006/relationships/image" Target="../media/image1054.jpeg"/><Relationship Id="rId1261" Type="http://schemas.openxmlformats.org/officeDocument/2006/relationships/image" Target="../media/image1261.jpeg"/><Relationship Id="rId2105" Type="http://schemas.openxmlformats.org/officeDocument/2006/relationships/image" Target="../media/image2105.jpeg"/><Relationship Id="rId2312" Type="http://schemas.openxmlformats.org/officeDocument/2006/relationships/image" Target="../media/image2312.jpeg"/><Relationship Id="rId1121" Type="http://schemas.openxmlformats.org/officeDocument/2006/relationships/image" Target="../media/image1121.jpeg"/><Relationship Id="rId4277" Type="http://schemas.openxmlformats.org/officeDocument/2006/relationships/image" Target="../media/image4277.jpeg"/><Relationship Id="rId4484" Type="http://schemas.openxmlformats.org/officeDocument/2006/relationships/image" Target="../media/image4484.jpeg"/><Relationship Id="rId4691" Type="http://schemas.openxmlformats.org/officeDocument/2006/relationships/image" Target="../media/image4691.jpeg"/><Relationship Id="rId3086" Type="http://schemas.openxmlformats.org/officeDocument/2006/relationships/image" Target="../media/image3086.jpeg"/><Relationship Id="rId3293" Type="http://schemas.openxmlformats.org/officeDocument/2006/relationships/image" Target="../media/image3293.jpeg"/><Relationship Id="rId4137" Type="http://schemas.openxmlformats.org/officeDocument/2006/relationships/image" Target="../media/image4137.jpeg"/><Relationship Id="rId4344" Type="http://schemas.openxmlformats.org/officeDocument/2006/relationships/image" Target="../media/image4344.jpeg"/><Relationship Id="rId4551" Type="http://schemas.openxmlformats.org/officeDocument/2006/relationships/image" Target="../media/image4551.jpeg"/><Relationship Id="rId1938" Type="http://schemas.openxmlformats.org/officeDocument/2006/relationships/image" Target="../media/image1938.jpeg"/><Relationship Id="rId3153" Type="http://schemas.openxmlformats.org/officeDocument/2006/relationships/image" Target="../media/image3153.jpeg"/><Relationship Id="rId3360" Type="http://schemas.openxmlformats.org/officeDocument/2006/relationships/image" Target="../media/image3360.jpeg"/><Relationship Id="rId4204" Type="http://schemas.openxmlformats.org/officeDocument/2006/relationships/image" Target="../media/image4204.jpeg"/><Relationship Id="rId281" Type="http://schemas.openxmlformats.org/officeDocument/2006/relationships/image" Target="../media/image281.jpeg"/><Relationship Id="rId3013" Type="http://schemas.openxmlformats.org/officeDocument/2006/relationships/image" Target="../media/image3013.jpeg"/><Relationship Id="rId4411" Type="http://schemas.openxmlformats.org/officeDocument/2006/relationships/image" Target="../media/image4411.jpeg"/><Relationship Id="rId141" Type="http://schemas.openxmlformats.org/officeDocument/2006/relationships/image" Target="../media/image141.jpeg"/><Relationship Id="rId3220" Type="http://schemas.openxmlformats.org/officeDocument/2006/relationships/image" Target="../media/image3220.jpeg"/><Relationship Id="rId7" Type="http://schemas.openxmlformats.org/officeDocument/2006/relationships/image" Target="../media/image7.jpeg"/><Relationship Id="rId2779" Type="http://schemas.openxmlformats.org/officeDocument/2006/relationships/image" Target="../media/image2779.jpeg"/><Relationship Id="rId2986" Type="http://schemas.openxmlformats.org/officeDocument/2006/relationships/image" Target="../media/image2986.jpeg"/><Relationship Id="rId958" Type="http://schemas.openxmlformats.org/officeDocument/2006/relationships/image" Target="../media/image958.jpeg"/><Relationship Id="rId1588" Type="http://schemas.openxmlformats.org/officeDocument/2006/relationships/image" Target="../media/image1588.jpeg"/><Relationship Id="rId1795" Type="http://schemas.openxmlformats.org/officeDocument/2006/relationships/image" Target="../media/image1795.jpeg"/><Relationship Id="rId2639" Type="http://schemas.openxmlformats.org/officeDocument/2006/relationships/image" Target="../media/image2639.jpeg"/><Relationship Id="rId2846" Type="http://schemas.openxmlformats.org/officeDocument/2006/relationships/image" Target="../media/image2846.jpeg"/><Relationship Id="rId87" Type="http://schemas.openxmlformats.org/officeDocument/2006/relationships/image" Target="../media/image87.jpeg"/><Relationship Id="rId818" Type="http://schemas.openxmlformats.org/officeDocument/2006/relationships/image" Target="../media/image818.jpeg"/><Relationship Id="rId1448" Type="http://schemas.openxmlformats.org/officeDocument/2006/relationships/image" Target="../media/image1448.jpeg"/><Relationship Id="rId1655" Type="http://schemas.openxmlformats.org/officeDocument/2006/relationships/image" Target="../media/image1655.jpeg"/><Relationship Id="rId2706" Type="http://schemas.openxmlformats.org/officeDocument/2006/relationships/image" Target="../media/image2706.jpeg"/><Relationship Id="rId4061" Type="http://schemas.openxmlformats.org/officeDocument/2006/relationships/image" Target="../media/image4061.jpeg"/><Relationship Id="rId1308" Type="http://schemas.openxmlformats.org/officeDocument/2006/relationships/image" Target="../media/image1308.jpeg"/><Relationship Id="rId1862" Type="http://schemas.openxmlformats.org/officeDocument/2006/relationships/image" Target="../media/image1862.jpeg"/><Relationship Id="rId2913" Type="http://schemas.openxmlformats.org/officeDocument/2006/relationships/image" Target="../media/image2913.jpeg"/><Relationship Id="rId1515" Type="http://schemas.openxmlformats.org/officeDocument/2006/relationships/image" Target="../media/image1515.jpeg"/><Relationship Id="rId1722" Type="http://schemas.openxmlformats.org/officeDocument/2006/relationships/image" Target="../media/image1722.jpeg"/><Relationship Id="rId4878" Type="http://schemas.openxmlformats.org/officeDocument/2006/relationships/image" Target="../media/image4878.jpeg"/><Relationship Id="rId14" Type="http://schemas.openxmlformats.org/officeDocument/2006/relationships/image" Target="../media/image14.jpeg"/><Relationship Id="rId3687" Type="http://schemas.openxmlformats.org/officeDocument/2006/relationships/image" Target="../media/image3687.jpeg"/><Relationship Id="rId3894" Type="http://schemas.openxmlformats.org/officeDocument/2006/relationships/image" Target="../media/image3894.jpeg"/><Relationship Id="rId4738" Type="http://schemas.openxmlformats.org/officeDocument/2006/relationships/image" Target="../media/image4738.jpeg"/><Relationship Id="rId4945" Type="http://schemas.openxmlformats.org/officeDocument/2006/relationships/image" Target="../media/image4945.jpeg"/><Relationship Id="rId2289" Type="http://schemas.openxmlformats.org/officeDocument/2006/relationships/image" Target="../media/image2289.jpeg"/><Relationship Id="rId2496" Type="http://schemas.openxmlformats.org/officeDocument/2006/relationships/image" Target="../media/image2496.jpeg"/><Relationship Id="rId3547" Type="http://schemas.openxmlformats.org/officeDocument/2006/relationships/image" Target="../media/image3547.jpeg"/><Relationship Id="rId3754" Type="http://schemas.openxmlformats.org/officeDocument/2006/relationships/image" Target="../media/image3754.jpeg"/><Relationship Id="rId3961" Type="http://schemas.openxmlformats.org/officeDocument/2006/relationships/image" Target="../media/image3961.jpeg"/><Relationship Id="rId4805" Type="http://schemas.openxmlformats.org/officeDocument/2006/relationships/image" Target="../media/image4805.jpeg"/><Relationship Id="rId468" Type="http://schemas.openxmlformats.org/officeDocument/2006/relationships/image" Target="../media/image468.jpeg"/><Relationship Id="rId675" Type="http://schemas.openxmlformats.org/officeDocument/2006/relationships/image" Target="../media/image675.jpeg"/><Relationship Id="rId882" Type="http://schemas.openxmlformats.org/officeDocument/2006/relationships/image" Target="../media/image882.jpeg"/><Relationship Id="rId1098" Type="http://schemas.openxmlformats.org/officeDocument/2006/relationships/image" Target="../media/image1098.jpeg"/><Relationship Id="rId2149" Type="http://schemas.openxmlformats.org/officeDocument/2006/relationships/image" Target="../media/image2149.jpeg"/><Relationship Id="rId2356" Type="http://schemas.openxmlformats.org/officeDocument/2006/relationships/image" Target="../media/image2356.jpeg"/><Relationship Id="rId2563" Type="http://schemas.openxmlformats.org/officeDocument/2006/relationships/image" Target="../media/image2563.jpeg"/><Relationship Id="rId2770" Type="http://schemas.openxmlformats.org/officeDocument/2006/relationships/image" Target="../media/image2770.jpeg"/><Relationship Id="rId3407" Type="http://schemas.openxmlformats.org/officeDocument/2006/relationships/image" Target="../media/image3407.jpeg"/><Relationship Id="rId3614" Type="http://schemas.openxmlformats.org/officeDocument/2006/relationships/image" Target="../media/image3614.jpeg"/><Relationship Id="rId3821" Type="http://schemas.openxmlformats.org/officeDocument/2006/relationships/image" Target="../media/image3821.jpeg"/><Relationship Id="rId328" Type="http://schemas.openxmlformats.org/officeDocument/2006/relationships/image" Target="../media/image328.jpeg"/><Relationship Id="rId535" Type="http://schemas.openxmlformats.org/officeDocument/2006/relationships/image" Target="../media/image535.jpeg"/><Relationship Id="rId742" Type="http://schemas.openxmlformats.org/officeDocument/2006/relationships/image" Target="../media/image742.jpeg"/><Relationship Id="rId1165" Type="http://schemas.openxmlformats.org/officeDocument/2006/relationships/image" Target="../media/image1165.jpeg"/><Relationship Id="rId1372" Type="http://schemas.openxmlformats.org/officeDocument/2006/relationships/image" Target="../media/image1372.jpeg"/><Relationship Id="rId2009" Type="http://schemas.openxmlformats.org/officeDocument/2006/relationships/image" Target="../media/image2009.jpeg"/><Relationship Id="rId2216" Type="http://schemas.openxmlformats.org/officeDocument/2006/relationships/image" Target="../media/image2216.jpeg"/><Relationship Id="rId2423" Type="http://schemas.openxmlformats.org/officeDocument/2006/relationships/image" Target="../media/image2423.jpeg"/><Relationship Id="rId2630" Type="http://schemas.openxmlformats.org/officeDocument/2006/relationships/image" Target="../media/image2630.jpeg"/><Relationship Id="rId602" Type="http://schemas.openxmlformats.org/officeDocument/2006/relationships/image" Target="../media/image602.jpeg"/><Relationship Id="rId1025" Type="http://schemas.openxmlformats.org/officeDocument/2006/relationships/image" Target="../media/image1025.jpeg"/><Relationship Id="rId1232" Type="http://schemas.openxmlformats.org/officeDocument/2006/relationships/image" Target="../media/image1232.jpeg"/><Relationship Id="rId4388" Type="http://schemas.openxmlformats.org/officeDocument/2006/relationships/image" Target="../media/image4388.jpeg"/><Relationship Id="rId4595" Type="http://schemas.openxmlformats.org/officeDocument/2006/relationships/image" Target="../media/image4595.jpeg"/><Relationship Id="rId3197" Type="http://schemas.openxmlformats.org/officeDocument/2006/relationships/image" Target="../media/image3197.jpeg"/><Relationship Id="rId4248" Type="http://schemas.openxmlformats.org/officeDocument/2006/relationships/image" Target="../media/image4248.jpeg"/><Relationship Id="rId3057" Type="http://schemas.openxmlformats.org/officeDocument/2006/relationships/image" Target="../media/image3057.jpeg"/><Relationship Id="rId4108" Type="http://schemas.openxmlformats.org/officeDocument/2006/relationships/image" Target="../media/image4108.jpeg"/><Relationship Id="rId4455" Type="http://schemas.openxmlformats.org/officeDocument/2006/relationships/image" Target="../media/image4455.jpeg"/><Relationship Id="rId4662" Type="http://schemas.openxmlformats.org/officeDocument/2006/relationships/image" Target="../media/image4662.jpeg"/><Relationship Id="rId185" Type="http://schemas.openxmlformats.org/officeDocument/2006/relationships/image" Target="../media/image185.jpeg"/><Relationship Id="rId1909" Type="http://schemas.openxmlformats.org/officeDocument/2006/relationships/image" Target="../media/image1909.jpeg"/><Relationship Id="rId3264" Type="http://schemas.openxmlformats.org/officeDocument/2006/relationships/image" Target="../media/image3264.jpeg"/><Relationship Id="rId3471" Type="http://schemas.openxmlformats.org/officeDocument/2006/relationships/image" Target="../media/image3471.jpeg"/><Relationship Id="rId4315" Type="http://schemas.openxmlformats.org/officeDocument/2006/relationships/image" Target="../media/image4315.jpeg"/><Relationship Id="rId4522" Type="http://schemas.openxmlformats.org/officeDocument/2006/relationships/image" Target="../media/image4522.jpeg"/><Relationship Id="rId392" Type="http://schemas.openxmlformats.org/officeDocument/2006/relationships/image" Target="../media/image392.jpeg"/><Relationship Id="rId2073" Type="http://schemas.openxmlformats.org/officeDocument/2006/relationships/image" Target="../media/image2073.jpeg"/><Relationship Id="rId2280" Type="http://schemas.openxmlformats.org/officeDocument/2006/relationships/image" Target="../media/image2280.jpeg"/><Relationship Id="rId3124" Type="http://schemas.openxmlformats.org/officeDocument/2006/relationships/image" Target="../media/image3124.jpeg"/><Relationship Id="rId3331" Type="http://schemas.openxmlformats.org/officeDocument/2006/relationships/image" Target="../media/image3331.jpeg"/><Relationship Id="rId252" Type="http://schemas.openxmlformats.org/officeDocument/2006/relationships/image" Target="../media/image252.jpeg"/><Relationship Id="rId2140" Type="http://schemas.openxmlformats.org/officeDocument/2006/relationships/image" Target="../media/image2140.jpeg"/><Relationship Id="rId112" Type="http://schemas.openxmlformats.org/officeDocument/2006/relationships/image" Target="../media/image112.jpeg"/><Relationship Id="rId1699" Type="http://schemas.openxmlformats.org/officeDocument/2006/relationships/image" Target="../media/image1699.jpeg"/><Relationship Id="rId2000" Type="http://schemas.openxmlformats.org/officeDocument/2006/relationships/image" Target="../media/image2000.jpeg"/><Relationship Id="rId2957" Type="http://schemas.openxmlformats.org/officeDocument/2006/relationships/image" Target="../media/image2957.jpeg"/><Relationship Id="rId4172" Type="http://schemas.openxmlformats.org/officeDocument/2006/relationships/image" Target="../media/image4172.jpeg"/><Relationship Id="rId929" Type="http://schemas.openxmlformats.org/officeDocument/2006/relationships/image" Target="../media/image929.jpeg"/><Relationship Id="rId1559" Type="http://schemas.openxmlformats.org/officeDocument/2006/relationships/image" Target="../media/image1559.jpeg"/><Relationship Id="rId1766" Type="http://schemas.openxmlformats.org/officeDocument/2006/relationships/image" Target="../media/image1766.jpeg"/><Relationship Id="rId1973" Type="http://schemas.openxmlformats.org/officeDocument/2006/relationships/image" Target="../media/image1973.jpeg"/><Relationship Id="rId2817" Type="http://schemas.openxmlformats.org/officeDocument/2006/relationships/image" Target="../media/image2817.jpeg"/><Relationship Id="rId4032" Type="http://schemas.openxmlformats.org/officeDocument/2006/relationships/image" Target="../media/image4032.jpeg"/><Relationship Id="rId58" Type="http://schemas.openxmlformats.org/officeDocument/2006/relationships/image" Target="../media/image58.jpeg"/><Relationship Id="rId1419" Type="http://schemas.openxmlformats.org/officeDocument/2006/relationships/image" Target="../media/image1419.jpeg"/><Relationship Id="rId1626" Type="http://schemas.openxmlformats.org/officeDocument/2006/relationships/image" Target="../media/image1626.jpeg"/><Relationship Id="rId1833" Type="http://schemas.openxmlformats.org/officeDocument/2006/relationships/image" Target="../media/image1833.jpeg"/><Relationship Id="rId1900" Type="http://schemas.openxmlformats.org/officeDocument/2006/relationships/image" Target="../media/image1900.jpeg"/><Relationship Id="rId3798" Type="http://schemas.openxmlformats.org/officeDocument/2006/relationships/image" Target="../media/image3798.jpeg"/><Relationship Id="rId4849" Type="http://schemas.openxmlformats.org/officeDocument/2006/relationships/image" Target="../media/image4849.jpeg"/><Relationship Id="rId3658" Type="http://schemas.openxmlformats.org/officeDocument/2006/relationships/image" Target="../media/image3658.jpeg"/><Relationship Id="rId3865" Type="http://schemas.openxmlformats.org/officeDocument/2006/relationships/image" Target="../media/image3865.jpeg"/><Relationship Id="rId4709" Type="http://schemas.openxmlformats.org/officeDocument/2006/relationships/image" Target="../media/image4709.jpeg"/><Relationship Id="rId4916" Type="http://schemas.openxmlformats.org/officeDocument/2006/relationships/image" Target="../media/image4916.jpeg"/><Relationship Id="rId579" Type="http://schemas.openxmlformats.org/officeDocument/2006/relationships/image" Target="../media/image579.jpeg"/><Relationship Id="rId786" Type="http://schemas.openxmlformats.org/officeDocument/2006/relationships/image" Target="../media/image786.jpeg"/><Relationship Id="rId993" Type="http://schemas.openxmlformats.org/officeDocument/2006/relationships/image" Target="../media/image993.jpeg"/><Relationship Id="rId2467" Type="http://schemas.openxmlformats.org/officeDocument/2006/relationships/image" Target="../media/image2467.jpeg"/><Relationship Id="rId2674" Type="http://schemas.openxmlformats.org/officeDocument/2006/relationships/image" Target="../media/image2674.jpeg"/><Relationship Id="rId3518" Type="http://schemas.openxmlformats.org/officeDocument/2006/relationships/image" Target="../media/image3518.jpeg"/><Relationship Id="rId439" Type="http://schemas.openxmlformats.org/officeDocument/2006/relationships/image" Target="../media/image439.jpeg"/><Relationship Id="rId646" Type="http://schemas.openxmlformats.org/officeDocument/2006/relationships/image" Target="../media/image646.jpeg"/><Relationship Id="rId1069" Type="http://schemas.openxmlformats.org/officeDocument/2006/relationships/image" Target="../media/image1069.jpeg"/><Relationship Id="rId1276" Type="http://schemas.openxmlformats.org/officeDocument/2006/relationships/image" Target="../media/image1276.jpeg"/><Relationship Id="rId1483" Type="http://schemas.openxmlformats.org/officeDocument/2006/relationships/image" Target="../media/image1483.jpeg"/><Relationship Id="rId2327" Type="http://schemas.openxmlformats.org/officeDocument/2006/relationships/image" Target="../media/image2327.jpeg"/><Relationship Id="rId2881" Type="http://schemas.openxmlformats.org/officeDocument/2006/relationships/image" Target="../media/image2881.jpeg"/><Relationship Id="rId3725" Type="http://schemas.openxmlformats.org/officeDocument/2006/relationships/image" Target="../media/image3725.jpeg"/><Relationship Id="rId3932" Type="http://schemas.openxmlformats.org/officeDocument/2006/relationships/image" Target="../media/image3932.jpeg"/><Relationship Id="rId506" Type="http://schemas.openxmlformats.org/officeDocument/2006/relationships/image" Target="../media/image506.jpeg"/><Relationship Id="rId853" Type="http://schemas.openxmlformats.org/officeDocument/2006/relationships/image" Target="../media/image853.jpeg"/><Relationship Id="rId1136" Type="http://schemas.openxmlformats.org/officeDocument/2006/relationships/image" Target="../media/image1136.jpeg"/><Relationship Id="rId1690" Type="http://schemas.openxmlformats.org/officeDocument/2006/relationships/image" Target="../media/image1690.jpeg"/><Relationship Id="rId2534" Type="http://schemas.openxmlformats.org/officeDocument/2006/relationships/image" Target="../media/image2534.jpeg"/><Relationship Id="rId2741" Type="http://schemas.openxmlformats.org/officeDocument/2006/relationships/image" Target="../media/image2741.jpeg"/><Relationship Id="rId713" Type="http://schemas.openxmlformats.org/officeDocument/2006/relationships/image" Target="../media/image713.jpeg"/><Relationship Id="rId920" Type="http://schemas.openxmlformats.org/officeDocument/2006/relationships/image" Target="../media/image920.jpeg"/><Relationship Id="rId1343" Type="http://schemas.openxmlformats.org/officeDocument/2006/relationships/image" Target="../media/image1343.jpeg"/><Relationship Id="rId1550" Type="http://schemas.openxmlformats.org/officeDocument/2006/relationships/image" Target="../media/image1550.jpeg"/><Relationship Id="rId2601" Type="http://schemas.openxmlformats.org/officeDocument/2006/relationships/image" Target="../media/image2601.jpeg"/><Relationship Id="rId4499" Type="http://schemas.openxmlformats.org/officeDocument/2006/relationships/image" Target="../media/image4499.jpeg"/><Relationship Id="rId1203" Type="http://schemas.openxmlformats.org/officeDocument/2006/relationships/image" Target="../media/image1203.jpeg"/><Relationship Id="rId1410" Type="http://schemas.openxmlformats.org/officeDocument/2006/relationships/image" Target="../media/image1410.jpeg"/><Relationship Id="rId4359" Type="http://schemas.openxmlformats.org/officeDocument/2006/relationships/image" Target="../media/image4359.jpeg"/><Relationship Id="rId4566" Type="http://schemas.openxmlformats.org/officeDocument/2006/relationships/image" Target="../media/image4566.jpeg"/><Relationship Id="rId4773" Type="http://schemas.openxmlformats.org/officeDocument/2006/relationships/image" Target="../media/image4773.jpeg"/><Relationship Id="rId4980" Type="http://schemas.openxmlformats.org/officeDocument/2006/relationships/image" Target="../media/image4980.jpeg"/><Relationship Id="rId3168" Type="http://schemas.openxmlformats.org/officeDocument/2006/relationships/image" Target="../media/image3168.jpeg"/><Relationship Id="rId3375" Type="http://schemas.openxmlformats.org/officeDocument/2006/relationships/image" Target="../media/image3375.jpeg"/><Relationship Id="rId3582" Type="http://schemas.openxmlformats.org/officeDocument/2006/relationships/image" Target="../media/image3582.jpeg"/><Relationship Id="rId4219" Type="http://schemas.openxmlformats.org/officeDocument/2006/relationships/image" Target="../media/image4219.jpeg"/><Relationship Id="rId4426" Type="http://schemas.openxmlformats.org/officeDocument/2006/relationships/image" Target="../media/image4426.jpeg"/><Relationship Id="rId4633" Type="http://schemas.openxmlformats.org/officeDocument/2006/relationships/image" Target="../media/image4633.jpeg"/><Relationship Id="rId4840" Type="http://schemas.openxmlformats.org/officeDocument/2006/relationships/image" Target="../media/image4840.jpeg"/><Relationship Id="rId296" Type="http://schemas.openxmlformats.org/officeDocument/2006/relationships/image" Target="../media/image296.jpeg"/><Relationship Id="rId2184" Type="http://schemas.openxmlformats.org/officeDocument/2006/relationships/image" Target="../media/image2184.jpeg"/><Relationship Id="rId2391" Type="http://schemas.openxmlformats.org/officeDocument/2006/relationships/image" Target="../media/image2391.jpeg"/><Relationship Id="rId3028" Type="http://schemas.openxmlformats.org/officeDocument/2006/relationships/image" Target="../media/image3028.jpeg"/><Relationship Id="rId3235" Type="http://schemas.openxmlformats.org/officeDocument/2006/relationships/image" Target="../media/image3235.jpeg"/><Relationship Id="rId3442" Type="http://schemas.openxmlformats.org/officeDocument/2006/relationships/image" Target="../media/image3442.jpeg"/><Relationship Id="rId156" Type="http://schemas.openxmlformats.org/officeDocument/2006/relationships/image" Target="../media/image156.jpeg"/><Relationship Id="rId363" Type="http://schemas.openxmlformats.org/officeDocument/2006/relationships/image" Target="../media/image363.jpeg"/><Relationship Id="rId570" Type="http://schemas.openxmlformats.org/officeDocument/2006/relationships/image" Target="../media/image570.jpeg"/><Relationship Id="rId2044" Type="http://schemas.openxmlformats.org/officeDocument/2006/relationships/image" Target="../media/image2044.jpeg"/><Relationship Id="rId2251" Type="http://schemas.openxmlformats.org/officeDocument/2006/relationships/image" Target="../media/image2251.jpeg"/><Relationship Id="rId3302" Type="http://schemas.openxmlformats.org/officeDocument/2006/relationships/image" Target="../media/image3302.jpeg"/><Relationship Id="rId4700" Type="http://schemas.openxmlformats.org/officeDocument/2006/relationships/image" Target="../media/image4700.jpeg"/><Relationship Id="rId223" Type="http://schemas.openxmlformats.org/officeDocument/2006/relationships/image" Target="../media/image223.jpeg"/><Relationship Id="rId430" Type="http://schemas.openxmlformats.org/officeDocument/2006/relationships/image" Target="../media/image430.jpeg"/><Relationship Id="rId1060" Type="http://schemas.openxmlformats.org/officeDocument/2006/relationships/image" Target="../media/image1060.jpeg"/><Relationship Id="rId2111" Type="http://schemas.openxmlformats.org/officeDocument/2006/relationships/image" Target="../media/image2111.jpeg"/><Relationship Id="rId4076" Type="http://schemas.openxmlformats.org/officeDocument/2006/relationships/image" Target="../media/image4076.jpeg"/><Relationship Id="rId1877" Type="http://schemas.openxmlformats.org/officeDocument/2006/relationships/image" Target="../media/image1877.jpeg"/><Relationship Id="rId2928" Type="http://schemas.openxmlformats.org/officeDocument/2006/relationships/image" Target="../media/image2928.jpeg"/><Relationship Id="rId4283" Type="http://schemas.openxmlformats.org/officeDocument/2006/relationships/image" Target="../media/image4283.jpeg"/><Relationship Id="rId4490" Type="http://schemas.openxmlformats.org/officeDocument/2006/relationships/image" Target="../media/image4490.jpeg"/><Relationship Id="rId1737" Type="http://schemas.openxmlformats.org/officeDocument/2006/relationships/image" Target="../media/image1737.jpeg"/><Relationship Id="rId1944" Type="http://schemas.openxmlformats.org/officeDocument/2006/relationships/image" Target="../media/image1944.jpeg"/><Relationship Id="rId3092" Type="http://schemas.openxmlformats.org/officeDocument/2006/relationships/image" Target="../media/image3092.jpeg"/><Relationship Id="rId4143" Type="http://schemas.openxmlformats.org/officeDocument/2006/relationships/image" Target="../media/image4143.jpeg"/><Relationship Id="rId4350" Type="http://schemas.openxmlformats.org/officeDocument/2006/relationships/image" Target="../media/image4350.jpeg"/><Relationship Id="rId29" Type="http://schemas.openxmlformats.org/officeDocument/2006/relationships/image" Target="../media/image29.jpeg"/><Relationship Id="rId4003" Type="http://schemas.openxmlformats.org/officeDocument/2006/relationships/image" Target="../media/image4003.jpeg"/><Relationship Id="rId4210" Type="http://schemas.openxmlformats.org/officeDocument/2006/relationships/image" Target="../media/image4210.jpeg"/><Relationship Id="rId1804" Type="http://schemas.openxmlformats.org/officeDocument/2006/relationships/image" Target="../media/image1804.jpeg"/><Relationship Id="rId3769" Type="http://schemas.openxmlformats.org/officeDocument/2006/relationships/image" Target="../media/image3769.jpeg"/><Relationship Id="rId3976" Type="http://schemas.openxmlformats.org/officeDocument/2006/relationships/image" Target="../media/image3976.jpeg"/><Relationship Id="rId897" Type="http://schemas.openxmlformats.org/officeDocument/2006/relationships/image" Target="../media/image897.jpeg"/><Relationship Id="rId2578" Type="http://schemas.openxmlformats.org/officeDocument/2006/relationships/image" Target="../media/image2578.jpeg"/><Relationship Id="rId2785" Type="http://schemas.openxmlformats.org/officeDocument/2006/relationships/image" Target="../media/image2785.jpeg"/><Relationship Id="rId2992" Type="http://schemas.openxmlformats.org/officeDocument/2006/relationships/image" Target="../media/image2992.jpeg"/><Relationship Id="rId3629" Type="http://schemas.openxmlformats.org/officeDocument/2006/relationships/image" Target="../media/image3629.jpeg"/><Relationship Id="rId3836" Type="http://schemas.openxmlformats.org/officeDocument/2006/relationships/image" Target="../media/image3836.jpeg"/><Relationship Id="rId757" Type="http://schemas.openxmlformats.org/officeDocument/2006/relationships/image" Target="../media/image757.jpeg"/><Relationship Id="rId964" Type="http://schemas.openxmlformats.org/officeDocument/2006/relationships/image" Target="../media/image964.jpeg"/><Relationship Id="rId1387" Type="http://schemas.openxmlformats.org/officeDocument/2006/relationships/image" Target="../media/image1387.jpeg"/><Relationship Id="rId1594" Type="http://schemas.openxmlformats.org/officeDocument/2006/relationships/image" Target="../media/image1594.jpeg"/><Relationship Id="rId2438" Type="http://schemas.openxmlformats.org/officeDocument/2006/relationships/image" Target="../media/image2438.jpeg"/><Relationship Id="rId2645" Type="http://schemas.openxmlformats.org/officeDocument/2006/relationships/image" Target="../media/image2645.jpeg"/><Relationship Id="rId2852" Type="http://schemas.openxmlformats.org/officeDocument/2006/relationships/image" Target="../media/image2852.jpeg"/><Relationship Id="rId3903" Type="http://schemas.openxmlformats.org/officeDocument/2006/relationships/image" Target="../media/image3903.jpeg"/><Relationship Id="rId93" Type="http://schemas.openxmlformats.org/officeDocument/2006/relationships/image" Target="../media/image93.jpeg"/><Relationship Id="rId617" Type="http://schemas.openxmlformats.org/officeDocument/2006/relationships/image" Target="../media/image617.jpeg"/><Relationship Id="rId824" Type="http://schemas.openxmlformats.org/officeDocument/2006/relationships/image" Target="../media/image824.jpeg"/><Relationship Id="rId1247" Type="http://schemas.openxmlformats.org/officeDocument/2006/relationships/image" Target="../media/image1247.jpeg"/><Relationship Id="rId1454" Type="http://schemas.openxmlformats.org/officeDocument/2006/relationships/image" Target="../media/image1454.jpeg"/><Relationship Id="rId1661" Type="http://schemas.openxmlformats.org/officeDocument/2006/relationships/image" Target="../media/image1661.jpeg"/><Relationship Id="rId2505" Type="http://schemas.openxmlformats.org/officeDocument/2006/relationships/image" Target="../media/image2505.jpeg"/><Relationship Id="rId2712" Type="http://schemas.openxmlformats.org/officeDocument/2006/relationships/image" Target="../media/image2712.jpeg"/><Relationship Id="rId1107" Type="http://schemas.openxmlformats.org/officeDocument/2006/relationships/image" Target="../media/image1107.jpeg"/><Relationship Id="rId1314" Type="http://schemas.openxmlformats.org/officeDocument/2006/relationships/image" Target="../media/image1314.jpeg"/><Relationship Id="rId1521" Type="http://schemas.openxmlformats.org/officeDocument/2006/relationships/image" Target="../media/image1521.jpeg"/><Relationship Id="rId4677" Type="http://schemas.openxmlformats.org/officeDocument/2006/relationships/image" Target="../media/image4677.jpeg"/><Relationship Id="rId4884" Type="http://schemas.openxmlformats.org/officeDocument/2006/relationships/image" Target="../media/image4884.jpeg"/><Relationship Id="rId3279" Type="http://schemas.openxmlformats.org/officeDocument/2006/relationships/image" Target="../media/image3279.jpeg"/><Relationship Id="rId3486" Type="http://schemas.openxmlformats.org/officeDocument/2006/relationships/image" Target="../media/image3486.jpeg"/><Relationship Id="rId3693" Type="http://schemas.openxmlformats.org/officeDocument/2006/relationships/image" Target="../media/image3693.jpeg"/><Relationship Id="rId4537" Type="http://schemas.openxmlformats.org/officeDocument/2006/relationships/image" Target="../media/image4537.jpeg"/><Relationship Id="rId20" Type="http://schemas.openxmlformats.org/officeDocument/2006/relationships/image" Target="../media/image20.jpeg"/><Relationship Id="rId2088" Type="http://schemas.openxmlformats.org/officeDocument/2006/relationships/image" Target="../media/image2088.jpeg"/><Relationship Id="rId2295" Type="http://schemas.openxmlformats.org/officeDocument/2006/relationships/image" Target="../media/image2295.jpeg"/><Relationship Id="rId3139" Type="http://schemas.openxmlformats.org/officeDocument/2006/relationships/image" Target="../media/image3139.jpeg"/><Relationship Id="rId3346" Type="http://schemas.openxmlformats.org/officeDocument/2006/relationships/image" Target="../media/image3346.jpeg"/><Relationship Id="rId4744" Type="http://schemas.openxmlformats.org/officeDocument/2006/relationships/image" Target="../media/image4744.jpeg"/><Relationship Id="rId4951" Type="http://schemas.openxmlformats.org/officeDocument/2006/relationships/image" Target="../media/image4951.jpeg"/><Relationship Id="rId267" Type="http://schemas.openxmlformats.org/officeDocument/2006/relationships/image" Target="../media/image267.jpeg"/><Relationship Id="rId474" Type="http://schemas.openxmlformats.org/officeDocument/2006/relationships/image" Target="../media/image474.jpeg"/><Relationship Id="rId2155" Type="http://schemas.openxmlformats.org/officeDocument/2006/relationships/image" Target="../media/image2155.jpeg"/><Relationship Id="rId3553" Type="http://schemas.openxmlformats.org/officeDocument/2006/relationships/image" Target="../media/image3553.jpeg"/><Relationship Id="rId3760" Type="http://schemas.openxmlformats.org/officeDocument/2006/relationships/image" Target="../media/image3760.jpeg"/><Relationship Id="rId4604" Type="http://schemas.openxmlformats.org/officeDocument/2006/relationships/image" Target="../media/image4604.jpeg"/><Relationship Id="rId4811" Type="http://schemas.openxmlformats.org/officeDocument/2006/relationships/image" Target="../media/image4811.jpeg"/><Relationship Id="rId127" Type="http://schemas.openxmlformats.org/officeDocument/2006/relationships/image" Target="../media/image127.jpeg"/><Relationship Id="rId681" Type="http://schemas.openxmlformats.org/officeDocument/2006/relationships/image" Target="../media/image681.jpeg"/><Relationship Id="rId2362" Type="http://schemas.openxmlformats.org/officeDocument/2006/relationships/image" Target="../media/image2362.jpeg"/><Relationship Id="rId3206" Type="http://schemas.openxmlformats.org/officeDocument/2006/relationships/image" Target="../media/image3206.jpeg"/><Relationship Id="rId3413" Type="http://schemas.openxmlformats.org/officeDocument/2006/relationships/image" Target="../media/image3413.jpeg"/><Relationship Id="rId3620" Type="http://schemas.openxmlformats.org/officeDocument/2006/relationships/image" Target="../media/image3620.jpeg"/><Relationship Id="rId334" Type="http://schemas.openxmlformats.org/officeDocument/2006/relationships/image" Target="../media/image334.jpeg"/><Relationship Id="rId541" Type="http://schemas.openxmlformats.org/officeDocument/2006/relationships/image" Target="../media/image541.jpeg"/><Relationship Id="rId1171" Type="http://schemas.openxmlformats.org/officeDocument/2006/relationships/image" Target="../media/image1171.jpeg"/><Relationship Id="rId2015" Type="http://schemas.openxmlformats.org/officeDocument/2006/relationships/image" Target="../media/image2015.jpeg"/><Relationship Id="rId2222" Type="http://schemas.openxmlformats.org/officeDocument/2006/relationships/image" Target="../media/image2222.jpeg"/><Relationship Id="rId401" Type="http://schemas.openxmlformats.org/officeDocument/2006/relationships/image" Target="../media/image401.jpeg"/><Relationship Id="rId1031" Type="http://schemas.openxmlformats.org/officeDocument/2006/relationships/image" Target="../media/image1031.jpeg"/><Relationship Id="rId1988" Type="http://schemas.openxmlformats.org/officeDocument/2006/relationships/image" Target="../media/image1988.jpeg"/><Relationship Id="rId4187" Type="http://schemas.openxmlformats.org/officeDocument/2006/relationships/image" Target="../media/image4187.jpeg"/><Relationship Id="rId4394" Type="http://schemas.openxmlformats.org/officeDocument/2006/relationships/image" Target="../media/image4394.jpeg"/><Relationship Id="rId4047" Type="http://schemas.openxmlformats.org/officeDocument/2006/relationships/image" Target="../media/image4047.jpeg"/><Relationship Id="rId4254" Type="http://schemas.openxmlformats.org/officeDocument/2006/relationships/image" Target="../media/image4254.jpeg"/><Relationship Id="rId4461" Type="http://schemas.openxmlformats.org/officeDocument/2006/relationships/image" Target="../media/image4461.jpeg"/><Relationship Id="rId1848" Type="http://schemas.openxmlformats.org/officeDocument/2006/relationships/image" Target="../media/image1848.jpeg"/><Relationship Id="rId3063" Type="http://schemas.openxmlformats.org/officeDocument/2006/relationships/image" Target="../media/image3063.jpeg"/><Relationship Id="rId3270" Type="http://schemas.openxmlformats.org/officeDocument/2006/relationships/image" Target="../media/image3270.jpeg"/><Relationship Id="rId4114" Type="http://schemas.openxmlformats.org/officeDocument/2006/relationships/image" Target="../media/image4114.jpeg"/><Relationship Id="rId4321" Type="http://schemas.openxmlformats.org/officeDocument/2006/relationships/image" Target="../media/image4321.jpeg"/><Relationship Id="rId191" Type="http://schemas.openxmlformats.org/officeDocument/2006/relationships/image" Target="../media/image191.jpeg"/><Relationship Id="rId1708" Type="http://schemas.openxmlformats.org/officeDocument/2006/relationships/image" Target="../media/image1708.jpeg"/><Relationship Id="rId1915" Type="http://schemas.openxmlformats.org/officeDocument/2006/relationships/image" Target="../media/image1915.jpeg"/><Relationship Id="rId3130" Type="http://schemas.openxmlformats.org/officeDocument/2006/relationships/image" Target="../media/image3130.jpeg"/><Relationship Id="rId2689" Type="http://schemas.openxmlformats.org/officeDocument/2006/relationships/image" Target="../media/image2689.jpeg"/><Relationship Id="rId2896" Type="http://schemas.openxmlformats.org/officeDocument/2006/relationships/image" Target="../media/image2896.jpeg"/><Relationship Id="rId3947" Type="http://schemas.openxmlformats.org/officeDocument/2006/relationships/image" Target="../media/image3947.jpeg"/><Relationship Id="rId868" Type="http://schemas.openxmlformats.org/officeDocument/2006/relationships/image" Target="../media/image868.jpeg"/><Relationship Id="rId1498" Type="http://schemas.openxmlformats.org/officeDocument/2006/relationships/image" Target="../media/image1498.jpeg"/><Relationship Id="rId2549" Type="http://schemas.openxmlformats.org/officeDocument/2006/relationships/image" Target="../media/image2549.jpeg"/><Relationship Id="rId2756" Type="http://schemas.openxmlformats.org/officeDocument/2006/relationships/image" Target="../media/image2756.jpeg"/><Relationship Id="rId2963" Type="http://schemas.openxmlformats.org/officeDocument/2006/relationships/image" Target="../media/image2963.jpeg"/><Relationship Id="rId3807" Type="http://schemas.openxmlformats.org/officeDocument/2006/relationships/image" Target="../media/image3807.jpeg"/><Relationship Id="rId728" Type="http://schemas.openxmlformats.org/officeDocument/2006/relationships/image" Target="../media/image728.jpeg"/><Relationship Id="rId935" Type="http://schemas.openxmlformats.org/officeDocument/2006/relationships/image" Target="../media/image935.jpeg"/><Relationship Id="rId1358" Type="http://schemas.openxmlformats.org/officeDocument/2006/relationships/image" Target="../media/image1358.jpeg"/><Relationship Id="rId1565" Type="http://schemas.openxmlformats.org/officeDocument/2006/relationships/image" Target="../media/image1565.jpeg"/><Relationship Id="rId1772" Type="http://schemas.openxmlformats.org/officeDocument/2006/relationships/image" Target="../media/image1772.jpeg"/><Relationship Id="rId2409" Type="http://schemas.openxmlformats.org/officeDocument/2006/relationships/image" Target="../media/image2409.jpeg"/><Relationship Id="rId2616" Type="http://schemas.openxmlformats.org/officeDocument/2006/relationships/image" Target="../media/image2616.jpeg"/><Relationship Id="rId64" Type="http://schemas.openxmlformats.org/officeDocument/2006/relationships/image" Target="../media/image64.jpeg"/><Relationship Id="rId1218" Type="http://schemas.openxmlformats.org/officeDocument/2006/relationships/image" Target="../media/image1218.jpeg"/><Relationship Id="rId1425" Type="http://schemas.openxmlformats.org/officeDocument/2006/relationships/image" Target="../media/image1425.jpeg"/><Relationship Id="rId2823" Type="http://schemas.openxmlformats.org/officeDocument/2006/relationships/image" Target="../media/image2823.jpeg"/><Relationship Id="rId1632" Type="http://schemas.openxmlformats.org/officeDocument/2006/relationships/image" Target="../media/image1632.jpeg"/><Relationship Id="rId4788" Type="http://schemas.openxmlformats.org/officeDocument/2006/relationships/image" Target="../media/image4788.jpeg"/><Relationship Id="rId2199" Type="http://schemas.openxmlformats.org/officeDocument/2006/relationships/image" Target="../media/image2199.jpeg"/><Relationship Id="rId3597" Type="http://schemas.openxmlformats.org/officeDocument/2006/relationships/image" Target="../media/image3597.jpeg"/><Relationship Id="rId4648" Type="http://schemas.openxmlformats.org/officeDocument/2006/relationships/image" Target="../media/image4648.jpeg"/><Relationship Id="rId4855" Type="http://schemas.openxmlformats.org/officeDocument/2006/relationships/image" Target="../media/image4855.jpeg"/><Relationship Id="rId3457" Type="http://schemas.openxmlformats.org/officeDocument/2006/relationships/image" Target="../media/image3457.jpeg"/><Relationship Id="rId3664" Type="http://schemas.openxmlformats.org/officeDocument/2006/relationships/image" Target="../media/image3664.jpeg"/><Relationship Id="rId3871" Type="http://schemas.openxmlformats.org/officeDocument/2006/relationships/image" Target="../media/image3871.jpeg"/><Relationship Id="rId4508" Type="http://schemas.openxmlformats.org/officeDocument/2006/relationships/image" Target="../media/image4508.jpeg"/><Relationship Id="rId4715" Type="http://schemas.openxmlformats.org/officeDocument/2006/relationships/image" Target="../media/image4715.jpeg"/><Relationship Id="rId4922" Type="http://schemas.openxmlformats.org/officeDocument/2006/relationships/image" Target="../media/image4922.jpeg"/><Relationship Id="rId378" Type="http://schemas.openxmlformats.org/officeDocument/2006/relationships/image" Target="../media/image378.jpeg"/><Relationship Id="rId585" Type="http://schemas.openxmlformats.org/officeDocument/2006/relationships/image" Target="../media/image585.jpeg"/><Relationship Id="rId792" Type="http://schemas.openxmlformats.org/officeDocument/2006/relationships/image" Target="../media/image792.jpeg"/><Relationship Id="rId2059" Type="http://schemas.openxmlformats.org/officeDocument/2006/relationships/image" Target="../media/image2059.jpeg"/><Relationship Id="rId2266" Type="http://schemas.openxmlformats.org/officeDocument/2006/relationships/image" Target="../media/image2266.jpeg"/><Relationship Id="rId2473" Type="http://schemas.openxmlformats.org/officeDocument/2006/relationships/image" Target="../media/image2473.jpeg"/><Relationship Id="rId2680" Type="http://schemas.openxmlformats.org/officeDocument/2006/relationships/image" Target="../media/image2680.jpeg"/><Relationship Id="rId3317" Type="http://schemas.openxmlformats.org/officeDocument/2006/relationships/image" Target="../media/image3317.jpeg"/><Relationship Id="rId3524" Type="http://schemas.openxmlformats.org/officeDocument/2006/relationships/image" Target="../media/image3524.jpeg"/><Relationship Id="rId3731" Type="http://schemas.openxmlformats.org/officeDocument/2006/relationships/image" Target="../media/image3731.jpeg"/><Relationship Id="rId238" Type="http://schemas.openxmlformats.org/officeDocument/2006/relationships/image" Target="../media/image238.jpeg"/><Relationship Id="rId445" Type="http://schemas.openxmlformats.org/officeDocument/2006/relationships/image" Target="../media/image445.jpeg"/><Relationship Id="rId652" Type="http://schemas.openxmlformats.org/officeDocument/2006/relationships/image" Target="../media/image652.jpeg"/><Relationship Id="rId1075" Type="http://schemas.openxmlformats.org/officeDocument/2006/relationships/image" Target="../media/image1075.jpeg"/><Relationship Id="rId1282" Type="http://schemas.openxmlformats.org/officeDocument/2006/relationships/image" Target="../media/image1282.jpeg"/><Relationship Id="rId2126" Type="http://schemas.openxmlformats.org/officeDocument/2006/relationships/image" Target="../media/image2126.jpeg"/><Relationship Id="rId2333" Type="http://schemas.openxmlformats.org/officeDocument/2006/relationships/image" Target="../media/image2333.jpeg"/><Relationship Id="rId2540" Type="http://schemas.openxmlformats.org/officeDocument/2006/relationships/image" Target="../media/image2540.jpeg"/><Relationship Id="rId305" Type="http://schemas.openxmlformats.org/officeDocument/2006/relationships/image" Target="../media/image305.jpeg"/><Relationship Id="rId512" Type="http://schemas.openxmlformats.org/officeDocument/2006/relationships/image" Target="../media/image512.jpeg"/><Relationship Id="rId1142" Type="http://schemas.openxmlformats.org/officeDocument/2006/relationships/image" Target="../media/image1142.jpeg"/><Relationship Id="rId2400" Type="http://schemas.openxmlformats.org/officeDocument/2006/relationships/image" Target="../media/image2400.jpeg"/><Relationship Id="rId4298" Type="http://schemas.openxmlformats.org/officeDocument/2006/relationships/image" Target="../media/image4298.jpeg"/><Relationship Id="rId1002" Type="http://schemas.openxmlformats.org/officeDocument/2006/relationships/image" Target="../media/image1002.jpeg"/><Relationship Id="rId4158" Type="http://schemas.openxmlformats.org/officeDocument/2006/relationships/image" Target="../media/image4158.jpeg"/><Relationship Id="rId4365" Type="http://schemas.openxmlformats.org/officeDocument/2006/relationships/image" Target="../media/image4365.jpeg"/><Relationship Id="rId1959" Type="http://schemas.openxmlformats.org/officeDocument/2006/relationships/image" Target="../media/image1959.jpeg"/><Relationship Id="rId3174" Type="http://schemas.openxmlformats.org/officeDocument/2006/relationships/image" Target="../media/image3174.jpeg"/><Relationship Id="rId4018" Type="http://schemas.openxmlformats.org/officeDocument/2006/relationships/image" Target="../media/image4018.jpeg"/><Relationship Id="rId4572" Type="http://schemas.openxmlformats.org/officeDocument/2006/relationships/image" Target="../media/image4572.jpeg"/><Relationship Id="rId1819" Type="http://schemas.openxmlformats.org/officeDocument/2006/relationships/image" Target="../media/image1819.jpeg"/><Relationship Id="rId3381" Type="http://schemas.openxmlformats.org/officeDocument/2006/relationships/image" Target="../media/image3381.jpeg"/><Relationship Id="rId4225" Type="http://schemas.openxmlformats.org/officeDocument/2006/relationships/image" Target="../media/image4225.jpeg"/><Relationship Id="rId4432" Type="http://schemas.openxmlformats.org/officeDocument/2006/relationships/image" Target="../media/image4432.jpeg"/><Relationship Id="rId2190" Type="http://schemas.openxmlformats.org/officeDocument/2006/relationships/image" Target="../media/image2190.jpeg"/><Relationship Id="rId3034" Type="http://schemas.openxmlformats.org/officeDocument/2006/relationships/image" Target="../media/image3034.jpeg"/><Relationship Id="rId3241" Type="http://schemas.openxmlformats.org/officeDocument/2006/relationships/image" Target="../media/image3241.jpeg"/><Relationship Id="rId162" Type="http://schemas.openxmlformats.org/officeDocument/2006/relationships/image" Target="../media/image162.jpeg"/><Relationship Id="rId2050" Type="http://schemas.openxmlformats.org/officeDocument/2006/relationships/image" Target="../media/image2050.jpeg"/><Relationship Id="rId3101" Type="http://schemas.openxmlformats.org/officeDocument/2006/relationships/image" Target="../media/image3101.jpeg"/><Relationship Id="rId979" Type="http://schemas.openxmlformats.org/officeDocument/2006/relationships/image" Target="../media/image979.jpeg"/><Relationship Id="rId839" Type="http://schemas.openxmlformats.org/officeDocument/2006/relationships/image" Target="../media/image839.jpeg"/><Relationship Id="rId1469" Type="http://schemas.openxmlformats.org/officeDocument/2006/relationships/image" Target="../media/image1469.jpeg"/><Relationship Id="rId2867" Type="http://schemas.openxmlformats.org/officeDocument/2006/relationships/image" Target="../media/image2867.jpeg"/><Relationship Id="rId3918" Type="http://schemas.openxmlformats.org/officeDocument/2006/relationships/image" Target="../media/image3918.jpeg"/><Relationship Id="rId4082" Type="http://schemas.openxmlformats.org/officeDocument/2006/relationships/image" Target="../media/image4082.jpeg"/><Relationship Id="rId1676" Type="http://schemas.openxmlformats.org/officeDocument/2006/relationships/image" Target="../media/image1676.jpeg"/><Relationship Id="rId1883" Type="http://schemas.openxmlformats.org/officeDocument/2006/relationships/image" Target="../media/image1883.jpeg"/><Relationship Id="rId2727" Type="http://schemas.openxmlformats.org/officeDocument/2006/relationships/image" Target="../media/image2727.jpeg"/><Relationship Id="rId2934" Type="http://schemas.openxmlformats.org/officeDocument/2006/relationships/image" Target="../media/image2934.jpeg"/><Relationship Id="rId906" Type="http://schemas.openxmlformats.org/officeDocument/2006/relationships/image" Target="../media/image906.jpeg"/><Relationship Id="rId1329" Type="http://schemas.openxmlformats.org/officeDocument/2006/relationships/image" Target="../media/image1329.jpeg"/><Relationship Id="rId1536" Type="http://schemas.openxmlformats.org/officeDocument/2006/relationships/image" Target="../media/image1536.jpeg"/><Relationship Id="rId1743" Type="http://schemas.openxmlformats.org/officeDocument/2006/relationships/image" Target="../media/image1743.jpeg"/><Relationship Id="rId1950" Type="http://schemas.openxmlformats.org/officeDocument/2006/relationships/image" Target="../media/image1950.jpeg"/><Relationship Id="rId4899" Type="http://schemas.openxmlformats.org/officeDocument/2006/relationships/image" Target="../media/image4899.jpeg"/><Relationship Id="rId35" Type="http://schemas.openxmlformats.org/officeDocument/2006/relationships/image" Target="../media/image35.jpeg"/><Relationship Id="rId1603" Type="http://schemas.openxmlformats.org/officeDocument/2006/relationships/image" Target="../media/image1603.jpeg"/><Relationship Id="rId1810" Type="http://schemas.openxmlformats.org/officeDocument/2006/relationships/image" Target="../media/image1810.jpeg"/><Relationship Id="rId4759" Type="http://schemas.openxmlformats.org/officeDocument/2006/relationships/image" Target="../media/image4759.jpeg"/><Relationship Id="rId4966" Type="http://schemas.openxmlformats.org/officeDocument/2006/relationships/image" Target="../media/image4966.jpeg"/><Relationship Id="rId3568" Type="http://schemas.openxmlformats.org/officeDocument/2006/relationships/image" Target="../media/image3568.jpeg"/><Relationship Id="rId3775" Type="http://schemas.openxmlformats.org/officeDocument/2006/relationships/image" Target="../media/image3775.jpeg"/><Relationship Id="rId3982" Type="http://schemas.openxmlformats.org/officeDocument/2006/relationships/image" Target="../media/image3982.jpeg"/><Relationship Id="rId4619" Type="http://schemas.openxmlformats.org/officeDocument/2006/relationships/image" Target="../media/image4619.jpeg"/><Relationship Id="rId4826" Type="http://schemas.openxmlformats.org/officeDocument/2006/relationships/image" Target="../media/image4826.jpeg"/><Relationship Id="rId489" Type="http://schemas.openxmlformats.org/officeDocument/2006/relationships/image" Target="../media/image489.jpeg"/><Relationship Id="rId696" Type="http://schemas.openxmlformats.org/officeDocument/2006/relationships/image" Target="../media/image696.jpeg"/><Relationship Id="rId2377" Type="http://schemas.openxmlformats.org/officeDocument/2006/relationships/image" Target="../media/image2377.jpeg"/><Relationship Id="rId2584" Type="http://schemas.openxmlformats.org/officeDocument/2006/relationships/image" Target="../media/image2584.jpeg"/><Relationship Id="rId2791" Type="http://schemas.openxmlformats.org/officeDocument/2006/relationships/image" Target="../media/image2791.jpeg"/><Relationship Id="rId3428" Type="http://schemas.openxmlformats.org/officeDocument/2006/relationships/image" Target="../media/image3428.jpeg"/><Relationship Id="rId3635" Type="http://schemas.openxmlformats.org/officeDocument/2006/relationships/image" Target="../media/image3635.jpeg"/><Relationship Id="rId349" Type="http://schemas.openxmlformats.org/officeDocument/2006/relationships/image" Target="../media/image349.jpeg"/><Relationship Id="rId556" Type="http://schemas.openxmlformats.org/officeDocument/2006/relationships/image" Target="../media/image556.jpeg"/><Relationship Id="rId763" Type="http://schemas.openxmlformats.org/officeDocument/2006/relationships/image" Target="../media/image763.jpeg"/><Relationship Id="rId1186" Type="http://schemas.openxmlformats.org/officeDocument/2006/relationships/image" Target="../media/image1186.jpeg"/><Relationship Id="rId1393" Type="http://schemas.openxmlformats.org/officeDocument/2006/relationships/image" Target="../media/image1393.jpeg"/><Relationship Id="rId2237" Type="http://schemas.openxmlformats.org/officeDocument/2006/relationships/image" Target="../media/image2237.jpeg"/><Relationship Id="rId2444" Type="http://schemas.openxmlformats.org/officeDocument/2006/relationships/image" Target="../media/image2444.jpeg"/><Relationship Id="rId3842" Type="http://schemas.openxmlformats.org/officeDocument/2006/relationships/image" Target="../media/image3842.jpeg"/><Relationship Id="rId209" Type="http://schemas.openxmlformats.org/officeDocument/2006/relationships/image" Target="../media/image209.jpeg"/><Relationship Id="rId416" Type="http://schemas.openxmlformats.org/officeDocument/2006/relationships/image" Target="../media/image416.jpeg"/><Relationship Id="rId970" Type="http://schemas.openxmlformats.org/officeDocument/2006/relationships/image" Target="../media/image970.jpeg"/><Relationship Id="rId1046" Type="http://schemas.openxmlformats.org/officeDocument/2006/relationships/image" Target="../media/image1046.jpeg"/><Relationship Id="rId1253" Type="http://schemas.openxmlformats.org/officeDocument/2006/relationships/image" Target="../media/image1253.jpeg"/><Relationship Id="rId2651" Type="http://schemas.openxmlformats.org/officeDocument/2006/relationships/image" Target="../media/image2651.jpeg"/><Relationship Id="rId3702" Type="http://schemas.openxmlformats.org/officeDocument/2006/relationships/image" Target="../media/image3702.jpeg"/><Relationship Id="rId623" Type="http://schemas.openxmlformats.org/officeDocument/2006/relationships/image" Target="../media/image623.jpeg"/><Relationship Id="rId830" Type="http://schemas.openxmlformats.org/officeDocument/2006/relationships/image" Target="../media/image830.jpeg"/><Relationship Id="rId1460" Type="http://schemas.openxmlformats.org/officeDocument/2006/relationships/image" Target="../media/image1460.jpeg"/><Relationship Id="rId2304" Type="http://schemas.openxmlformats.org/officeDocument/2006/relationships/image" Target="../media/image2304.jpeg"/><Relationship Id="rId2511" Type="http://schemas.openxmlformats.org/officeDocument/2006/relationships/image" Target="../media/image2511.jpeg"/><Relationship Id="rId1113" Type="http://schemas.openxmlformats.org/officeDocument/2006/relationships/image" Target="../media/image1113.jpeg"/><Relationship Id="rId1320" Type="http://schemas.openxmlformats.org/officeDocument/2006/relationships/image" Target="../media/image1320.jpeg"/><Relationship Id="rId4269" Type="http://schemas.openxmlformats.org/officeDocument/2006/relationships/image" Target="../media/image4269.jpeg"/><Relationship Id="rId4476" Type="http://schemas.openxmlformats.org/officeDocument/2006/relationships/image" Target="../media/image4476.jpeg"/><Relationship Id="rId4683" Type="http://schemas.openxmlformats.org/officeDocument/2006/relationships/image" Target="../media/image4683.jpeg"/><Relationship Id="rId4890" Type="http://schemas.openxmlformats.org/officeDocument/2006/relationships/image" Target="../media/image4890.jpeg"/><Relationship Id="rId3078" Type="http://schemas.openxmlformats.org/officeDocument/2006/relationships/image" Target="../media/image3078.jpeg"/><Relationship Id="rId3285" Type="http://schemas.openxmlformats.org/officeDocument/2006/relationships/image" Target="../media/image3285.jpeg"/><Relationship Id="rId3492" Type="http://schemas.openxmlformats.org/officeDocument/2006/relationships/image" Target="../media/image3492.jpeg"/><Relationship Id="rId4129" Type="http://schemas.openxmlformats.org/officeDocument/2006/relationships/image" Target="../media/image4129.jpeg"/><Relationship Id="rId4336" Type="http://schemas.openxmlformats.org/officeDocument/2006/relationships/image" Target="../media/image4336.jpeg"/><Relationship Id="rId4543" Type="http://schemas.openxmlformats.org/officeDocument/2006/relationships/image" Target="../media/image4543.jpeg"/><Relationship Id="rId4750" Type="http://schemas.openxmlformats.org/officeDocument/2006/relationships/image" Target="../media/image4750.jpeg"/><Relationship Id="rId2094" Type="http://schemas.openxmlformats.org/officeDocument/2006/relationships/image" Target="../media/image2094.jpeg"/><Relationship Id="rId3145" Type="http://schemas.openxmlformats.org/officeDocument/2006/relationships/image" Target="../media/image3145.jpeg"/><Relationship Id="rId3352" Type="http://schemas.openxmlformats.org/officeDocument/2006/relationships/image" Target="../media/image3352.jpeg"/><Relationship Id="rId4403" Type="http://schemas.openxmlformats.org/officeDocument/2006/relationships/image" Target="../media/image4403.jpeg"/><Relationship Id="rId4610" Type="http://schemas.openxmlformats.org/officeDocument/2006/relationships/image" Target="../media/image4610.jpeg"/><Relationship Id="rId273" Type="http://schemas.openxmlformats.org/officeDocument/2006/relationships/image" Target="../media/image273.jpeg"/><Relationship Id="rId480" Type="http://schemas.openxmlformats.org/officeDocument/2006/relationships/image" Target="../media/image480.jpeg"/><Relationship Id="rId2161" Type="http://schemas.openxmlformats.org/officeDocument/2006/relationships/image" Target="../media/image2161.jpeg"/><Relationship Id="rId3005" Type="http://schemas.openxmlformats.org/officeDocument/2006/relationships/image" Target="../media/image3005.jpeg"/><Relationship Id="rId3212" Type="http://schemas.openxmlformats.org/officeDocument/2006/relationships/image" Target="../media/image3212.jpeg"/><Relationship Id="rId133" Type="http://schemas.openxmlformats.org/officeDocument/2006/relationships/image" Target="../media/image133.jpeg"/><Relationship Id="rId340" Type="http://schemas.openxmlformats.org/officeDocument/2006/relationships/image" Target="../media/image340.jpeg"/><Relationship Id="rId2021" Type="http://schemas.openxmlformats.org/officeDocument/2006/relationships/image" Target="../media/image2021.jpeg"/><Relationship Id="rId200" Type="http://schemas.openxmlformats.org/officeDocument/2006/relationships/image" Target="../media/image200.jpeg"/><Relationship Id="rId2978" Type="http://schemas.openxmlformats.org/officeDocument/2006/relationships/image" Target="../media/image2978.jpeg"/><Relationship Id="rId4193" Type="http://schemas.openxmlformats.org/officeDocument/2006/relationships/image" Target="../media/image4193.jpeg"/><Relationship Id="rId1787" Type="http://schemas.openxmlformats.org/officeDocument/2006/relationships/image" Target="../media/image1787.jpeg"/><Relationship Id="rId1994" Type="http://schemas.openxmlformats.org/officeDocument/2006/relationships/image" Target="../media/image1994.jpeg"/><Relationship Id="rId2838" Type="http://schemas.openxmlformats.org/officeDocument/2006/relationships/image" Target="../media/image2838.jpeg"/><Relationship Id="rId79" Type="http://schemas.openxmlformats.org/officeDocument/2006/relationships/image" Target="../media/image79.jpeg"/><Relationship Id="rId1647" Type="http://schemas.openxmlformats.org/officeDocument/2006/relationships/image" Target="../media/image1647.jpeg"/><Relationship Id="rId1854" Type="http://schemas.openxmlformats.org/officeDocument/2006/relationships/image" Target="../media/image1854.jpeg"/><Relationship Id="rId2905" Type="http://schemas.openxmlformats.org/officeDocument/2006/relationships/image" Target="../media/image2905.jpeg"/><Relationship Id="rId4053" Type="http://schemas.openxmlformats.org/officeDocument/2006/relationships/image" Target="../media/image4053.jpeg"/><Relationship Id="rId4260" Type="http://schemas.openxmlformats.org/officeDocument/2006/relationships/image" Target="../media/image4260.jpeg"/><Relationship Id="rId1507" Type="http://schemas.openxmlformats.org/officeDocument/2006/relationships/image" Target="../media/image1507.jpeg"/><Relationship Id="rId1714" Type="http://schemas.openxmlformats.org/officeDocument/2006/relationships/image" Target="../media/image1714.jpeg"/><Relationship Id="rId4120" Type="http://schemas.openxmlformats.org/officeDocument/2006/relationships/image" Target="../media/image4120.jpeg"/><Relationship Id="rId1921" Type="http://schemas.openxmlformats.org/officeDocument/2006/relationships/image" Target="../media/image1921.jpeg"/><Relationship Id="rId3679" Type="http://schemas.openxmlformats.org/officeDocument/2006/relationships/image" Target="../media/image3679.jpeg"/><Relationship Id="rId2488" Type="http://schemas.openxmlformats.org/officeDocument/2006/relationships/image" Target="../media/image2488.jpeg"/><Relationship Id="rId3886" Type="http://schemas.openxmlformats.org/officeDocument/2006/relationships/image" Target="../media/image3886.jpeg"/><Relationship Id="rId4937" Type="http://schemas.openxmlformats.org/officeDocument/2006/relationships/image" Target="../media/image4937.jpeg"/><Relationship Id="rId1297" Type="http://schemas.openxmlformats.org/officeDocument/2006/relationships/image" Target="../media/image1297.jpeg"/><Relationship Id="rId2695" Type="http://schemas.openxmlformats.org/officeDocument/2006/relationships/image" Target="../media/image2695.jpeg"/><Relationship Id="rId3539" Type="http://schemas.openxmlformats.org/officeDocument/2006/relationships/image" Target="../media/image3539.jpeg"/><Relationship Id="rId3746" Type="http://schemas.openxmlformats.org/officeDocument/2006/relationships/image" Target="../media/image3746.jpeg"/><Relationship Id="rId3953" Type="http://schemas.openxmlformats.org/officeDocument/2006/relationships/image" Target="../media/image3953.jpeg"/><Relationship Id="rId667" Type="http://schemas.openxmlformats.org/officeDocument/2006/relationships/image" Target="../media/image667.jpeg"/><Relationship Id="rId874" Type="http://schemas.openxmlformats.org/officeDocument/2006/relationships/image" Target="../media/image874.jpeg"/><Relationship Id="rId2348" Type="http://schemas.openxmlformats.org/officeDocument/2006/relationships/image" Target="../media/image2348.jpeg"/><Relationship Id="rId2555" Type="http://schemas.openxmlformats.org/officeDocument/2006/relationships/image" Target="../media/image2555.jpeg"/><Relationship Id="rId2762" Type="http://schemas.openxmlformats.org/officeDocument/2006/relationships/image" Target="../media/image2762.jpeg"/><Relationship Id="rId3606" Type="http://schemas.openxmlformats.org/officeDocument/2006/relationships/image" Target="../media/image3606.jpeg"/><Relationship Id="rId3813" Type="http://schemas.openxmlformats.org/officeDocument/2006/relationships/image" Target="../media/image3813.jpeg"/><Relationship Id="rId527" Type="http://schemas.openxmlformats.org/officeDocument/2006/relationships/image" Target="../media/image527.jpeg"/><Relationship Id="rId734" Type="http://schemas.openxmlformats.org/officeDocument/2006/relationships/image" Target="../media/image734.jpeg"/><Relationship Id="rId941" Type="http://schemas.openxmlformats.org/officeDocument/2006/relationships/image" Target="../media/image941.jpeg"/><Relationship Id="rId1157" Type="http://schemas.openxmlformats.org/officeDocument/2006/relationships/image" Target="../media/image1157.jpeg"/><Relationship Id="rId1364" Type="http://schemas.openxmlformats.org/officeDocument/2006/relationships/image" Target="../media/image1364.jpeg"/><Relationship Id="rId1571" Type="http://schemas.openxmlformats.org/officeDocument/2006/relationships/image" Target="../media/image1571.jpeg"/><Relationship Id="rId2208" Type="http://schemas.openxmlformats.org/officeDocument/2006/relationships/image" Target="../media/image2208.jpeg"/><Relationship Id="rId2415" Type="http://schemas.openxmlformats.org/officeDocument/2006/relationships/image" Target="../media/image2415.jpeg"/><Relationship Id="rId2622" Type="http://schemas.openxmlformats.org/officeDocument/2006/relationships/image" Target="../media/image2622.jpeg"/><Relationship Id="rId70" Type="http://schemas.openxmlformats.org/officeDocument/2006/relationships/image" Target="../media/image70.jpeg"/><Relationship Id="rId801" Type="http://schemas.openxmlformats.org/officeDocument/2006/relationships/image" Target="../media/image801.jpeg"/><Relationship Id="rId1017" Type="http://schemas.openxmlformats.org/officeDocument/2006/relationships/image" Target="../media/image1017.jpeg"/><Relationship Id="rId1224" Type="http://schemas.openxmlformats.org/officeDocument/2006/relationships/image" Target="../media/image1224.jpeg"/><Relationship Id="rId1431" Type="http://schemas.openxmlformats.org/officeDocument/2006/relationships/image" Target="../media/image1431.jpeg"/><Relationship Id="rId4587" Type="http://schemas.openxmlformats.org/officeDocument/2006/relationships/image" Target="../media/image4587.jpeg"/><Relationship Id="rId4794" Type="http://schemas.openxmlformats.org/officeDocument/2006/relationships/image" Target="../media/image4794.jpeg"/><Relationship Id="rId3189" Type="http://schemas.openxmlformats.org/officeDocument/2006/relationships/image" Target="../media/image3189.jpeg"/><Relationship Id="rId3396" Type="http://schemas.openxmlformats.org/officeDocument/2006/relationships/image" Target="../media/image3396.jpeg"/><Relationship Id="rId4447" Type="http://schemas.openxmlformats.org/officeDocument/2006/relationships/image" Target="../media/image4447.jpeg"/><Relationship Id="rId4654" Type="http://schemas.openxmlformats.org/officeDocument/2006/relationships/image" Target="../media/image4654.jpeg"/><Relationship Id="rId3049" Type="http://schemas.openxmlformats.org/officeDocument/2006/relationships/image" Target="../media/image3049.jpeg"/><Relationship Id="rId3256" Type="http://schemas.openxmlformats.org/officeDocument/2006/relationships/image" Target="../media/image3256.jpeg"/><Relationship Id="rId3463" Type="http://schemas.openxmlformats.org/officeDocument/2006/relationships/image" Target="../media/image3463.jpeg"/><Relationship Id="rId4307" Type="http://schemas.openxmlformats.org/officeDocument/2006/relationships/image" Target="../media/image4307.jpeg"/><Relationship Id="rId4861" Type="http://schemas.openxmlformats.org/officeDocument/2006/relationships/image" Target="../media/image4861.jpeg"/><Relationship Id="rId177" Type="http://schemas.openxmlformats.org/officeDocument/2006/relationships/image" Target="../media/image177.jpeg"/><Relationship Id="rId384" Type="http://schemas.openxmlformats.org/officeDocument/2006/relationships/image" Target="../media/image384.jpeg"/><Relationship Id="rId591" Type="http://schemas.openxmlformats.org/officeDocument/2006/relationships/image" Target="../media/image591.jpeg"/><Relationship Id="rId2065" Type="http://schemas.openxmlformats.org/officeDocument/2006/relationships/image" Target="../media/image2065.jpeg"/><Relationship Id="rId2272" Type="http://schemas.openxmlformats.org/officeDocument/2006/relationships/image" Target="../media/image2272.jpeg"/><Relationship Id="rId3116" Type="http://schemas.openxmlformats.org/officeDocument/2006/relationships/image" Target="../media/image3116.jpeg"/><Relationship Id="rId3670" Type="http://schemas.openxmlformats.org/officeDocument/2006/relationships/image" Target="../media/image3670.jpeg"/><Relationship Id="rId4514" Type="http://schemas.openxmlformats.org/officeDocument/2006/relationships/image" Target="../media/image4514.jpeg"/><Relationship Id="rId4721" Type="http://schemas.openxmlformats.org/officeDocument/2006/relationships/image" Target="../media/image4721.jpeg"/><Relationship Id="rId244" Type="http://schemas.openxmlformats.org/officeDocument/2006/relationships/image" Target="../media/image244.jpeg"/><Relationship Id="rId1081" Type="http://schemas.openxmlformats.org/officeDocument/2006/relationships/image" Target="../media/image1081.jpeg"/><Relationship Id="rId3323" Type="http://schemas.openxmlformats.org/officeDocument/2006/relationships/image" Target="../media/image3323.jpeg"/><Relationship Id="rId3530" Type="http://schemas.openxmlformats.org/officeDocument/2006/relationships/image" Target="../media/image3530.jpeg"/><Relationship Id="rId451" Type="http://schemas.openxmlformats.org/officeDocument/2006/relationships/image" Target="../media/image451.jpeg"/><Relationship Id="rId2132" Type="http://schemas.openxmlformats.org/officeDocument/2006/relationships/image" Target="../media/image2132.jpeg"/><Relationship Id="rId104" Type="http://schemas.openxmlformats.org/officeDocument/2006/relationships/image" Target="../media/image104.jpeg"/><Relationship Id="rId311" Type="http://schemas.openxmlformats.org/officeDocument/2006/relationships/image" Target="../media/image311.jpeg"/><Relationship Id="rId1898" Type="http://schemas.openxmlformats.org/officeDocument/2006/relationships/image" Target="../media/image1898.jpeg"/><Relationship Id="rId2949" Type="http://schemas.openxmlformats.org/officeDocument/2006/relationships/image" Target="../media/image2949.jpeg"/><Relationship Id="rId4097" Type="http://schemas.openxmlformats.org/officeDocument/2006/relationships/image" Target="../media/image4097.jpeg"/><Relationship Id="rId1758" Type="http://schemas.openxmlformats.org/officeDocument/2006/relationships/image" Target="../media/image1758.jpeg"/><Relationship Id="rId2809" Type="http://schemas.openxmlformats.org/officeDocument/2006/relationships/image" Target="../media/image2809.jpeg"/><Relationship Id="rId4164" Type="http://schemas.openxmlformats.org/officeDocument/2006/relationships/image" Target="../media/image4164.jpeg"/><Relationship Id="rId4371" Type="http://schemas.openxmlformats.org/officeDocument/2006/relationships/image" Target="../media/image4371.jpeg"/><Relationship Id="rId1965" Type="http://schemas.openxmlformats.org/officeDocument/2006/relationships/image" Target="../media/image1965.jpeg"/><Relationship Id="rId3180" Type="http://schemas.openxmlformats.org/officeDocument/2006/relationships/image" Target="../media/image3180.jpeg"/><Relationship Id="rId4024" Type="http://schemas.openxmlformats.org/officeDocument/2006/relationships/image" Target="../media/image4024.jpeg"/><Relationship Id="rId4231" Type="http://schemas.openxmlformats.org/officeDocument/2006/relationships/image" Target="../media/image4231.jpeg"/><Relationship Id="rId1618" Type="http://schemas.openxmlformats.org/officeDocument/2006/relationships/image" Target="../media/image1618.jpeg"/><Relationship Id="rId1825" Type="http://schemas.openxmlformats.org/officeDocument/2006/relationships/image" Target="../media/image1825.jpeg"/><Relationship Id="rId3040" Type="http://schemas.openxmlformats.org/officeDocument/2006/relationships/image" Target="../media/image3040.jpeg"/><Relationship Id="rId3997" Type="http://schemas.openxmlformats.org/officeDocument/2006/relationships/image" Target="../media/image3997.jpeg"/><Relationship Id="rId2599" Type="http://schemas.openxmlformats.org/officeDocument/2006/relationships/image" Target="../media/image2599.jpeg"/><Relationship Id="rId3857" Type="http://schemas.openxmlformats.org/officeDocument/2006/relationships/image" Target="../media/image3857.jpeg"/><Relationship Id="rId4908" Type="http://schemas.openxmlformats.org/officeDocument/2006/relationships/image" Target="../media/image4908.jpeg"/><Relationship Id="rId778" Type="http://schemas.openxmlformats.org/officeDocument/2006/relationships/image" Target="../media/image778.jpeg"/><Relationship Id="rId985" Type="http://schemas.openxmlformats.org/officeDocument/2006/relationships/image" Target="../media/image985.jpeg"/><Relationship Id="rId2459" Type="http://schemas.openxmlformats.org/officeDocument/2006/relationships/image" Target="../media/image2459.jpeg"/><Relationship Id="rId2666" Type="http://schemas.openxmlformats.org/officeDocument/2006/relationships/image" Target="../media/image2666.jpeg"/><Relationship Id="rId2873" Type="http://schemas.openxmlformats.org/officeDocument/2006/relationships/image" Target="../media/image2873.jpeg"/><Relationship Id="rId3717" Type="http://schemas.openxmlformats.org/officeDocument/2006/relationships/image" Target="../media/image3717.jpeg"/><Relationship Id="rId3924" Type="http://schemas.openxmlformats.org/officeDocument/2006/relationships/image" Target="../media/image3924.jpeg"/><Relationship Id="rId638" Type="http://schemas.openxmlformats.org/officeDocument/2006/relationships/image" Target="../media/image638.jpeg"/><Relationship Id="rId845" Type="http://schemas.openxmlformats.org/officeDocument/2006/relationships/image" Target="../media/image845.jpeg"/><Relationship Id="rId1268" Type="http://schemas.openxmlformats.org/officeDocument/2006/relationships/image" Target="../media/image1268.jpeg"/><Relationship Id="rId1475" Type="http://schemas.openxmlformats.org/officeDocument/2006/relationships/image" Target="../media/image1475.jpeg"/><Relationship Id="rId1682" Type="http://schemas.openxmlformats.org/officeDocument/2006/relationships/image" Target="../media/image1682.jpeg"/><Relationship Id="rId2319" Type="http://schemas.openxmlformats.org/officeDocument/2006/relationships/image" Target="../media/image2319.jpeg"/><Relationship Id="rId2526" Type="http://schemas.openxmlformats.org/officeDocument/2006/relationships/image" Target="../media/image2526.jpeg"/><Relationship Id="rId2733" Type="http://schemas.openxmlformats.org/officeDocument/2006/relationships/image" Target="../media/image2733.jpeg"/><Relationship Id="rId705" Type="http://schemas.openxmlformats.org/officeDocument/2006/relationships/image" Target="../media/image705.jpeg"/><Relationship Id="rId1128" Type="http://schemas.openxmlformats.org/officeDocument/2006/relationships/image" Target="../media/image1128.jpeg"/><Relationship Id="rId1335" Type="http://schemas.openxmlformats.org/officeDocument/2006/relationships/image" Target="../media/image1335.jpeg"/><Relationship Id="rId1542" Type="http://schemas.openxmlformats.org/officeDocument/2006/relationships/image" Target="../media/image1542.jpeg"/><Relationship Id="rId2940" Type="http://schemas.openxmlformats.org/officeDocument/2006/relationships/image" Target="../media/image2940.jpeg"/><Relationship Id="rId4698" Type="http://schemas.openxmlformats.org/officeDocument/2006/relationships/image" Target="../media/image4698.jpeg"/><Relationship Id="rId912" Type="http://schemas.openxmlformats.org/officeDocument/2006/relationships/image" Target="../media/image912.jpeg"/><Relationship Id="rId2800" Type="http://schemas.openxmlformats.org/officeDocument/2006/relationships/image" Target="../media/image2800.jpeg"/><Relationship Id="rId41" Type="http://schemas.openxmlformats.org/officeDocument/2006/relationships/image" Target="../media/image41.jpeg"/><Relationship Id="rId1402" Type="http://schemas.openxmlformats.org/officeDocument/2006/relationships/image" Target="../media/image1402.jpeg"/><Relationship Id="rId4558" Type="http://schemas.openxmlformats.org/officeDocument/2006/relationships/image" Target="../media/image4558.jpeg"/><Relationship Id="rId4765" Type="http://schemas.openxmlformats.org/officeDocument/2006/relationships/image" Target="../media/image4765.jpeg"/><Relationship Id="rId4972" Type="http://schemas.openxmlformats.org/officeDocument/2006/relationships/image" Target="../media/image4972.jpeg"/><Relationship Id="rId288" Type="http://schemas.openxmlformats.org/officeDocument/2006/relationships/image" Target="../media/image288.jpeg"/><Relationship Id="rId3367" Type="http://schemas.openxmlformats.org/officeDocument/2006/relationships/image" Target="../media/image3367.jpeg"/><Relationship Id="rId3574" Type="http://schemas.openxmlformats.org/officeDocument/2006/relationships/image" Target="../media/image3574.jpeg"/><Relationship Id="rId3781" Type="http://schemas.openxmlformats.org/officeDocument/2006/relationships/image" Target="../media/image3781.jpeg"/><Relationship Id="rId4418" Type="http://schemas.openxmlformats.org/officeDocument/2006/relationships/image" Target="../media/image4418.jpeg"/><Relationship Id="rId4625" Type="http://schemas.openxmlformats.org/officeDocument/2006/relationships/image" Target="../media/image4625.jpeg"/><Relationship Id="rId4832" Type="http://schemas.openxmlformats.org/officeDocument/2006/relationships/image" Target="../media/image4832.jpeg"/><Relationship Id="rId495" Type="http://schemas.openxmlformats.org/officeDocument/2006/relationships/image" Target="../media/image495.jpeg"/><Relationship Id="rId2176" Type="http://schemas.openxmlformats.org/officeDocument/2006/relationships/image" Target="../media/image2176.jpeg"/><Relationship Id="rId2383" Type="http://schemas.openxmlformats.org/officeDocument/2006/relationships/image" Target="../media/image2383.jpeg"/><Relationship Id="rId2590" Type="http://schemas.openxmlformats.org/officeDocument/2006/relationships/image" Target="../media/image2590.jpeg"/><Relationship Id="rId3227" Type="http://schemas.openxmlformats.org/officeDocument/2006/relationships/image" Target="../media/image3227.jpeg"/><Relationship Id="rId3434" Type="http://schemas.openxmlformats.org/officeDocument/2006/relationships/image" Target="../media/image3434.jpeg"/><Relationship Id="rId3641" Type="http://schemas.openxmlformats.org/officeDocument/2006/relationships/image" Target="../media/image3641.jpeg"/><Relationship Id="rId148" Type="http://schemas.openxmlformats.org/officeDocument/2006/relationships/image" Target="../media/image148.jpeg"/><Relationship Id="rId355" Type="http://schemas.openxmlformats.org/officeDocument/2006/relationships/image" Target="../media/image355.jpeg"/><Relationship Id="rId562" Type="http://schemas.openxmlformats.org/officeDocument/2006/relationships/image" Target="../media/image562.jpeg"/><Relationship Id="rId1192" Type="http://schemas.openxmlformats.org/officeDocument/2006/relationships/image" Target="../media/image1192.jpeg"/><Relationship Id="rId2036" Type="http://schemas.openxmlformats.org/officeDocument/2006/relationships/image" Target="../media/image2036.jpeg"/><Relationship Id="rId2243" Type="http://schemas.openxmlformats.org/officeDocument/2006/relationships/image" Target="../media/image2243.jpeg"/><Relationship Id="rId2450" Type="http://schemas.openxmlformats.org/officeDocument/2006/relationships/image" Target="../media/image2450.jpeg"/><Relationship Id="rId3501" Type="http://schemas.openxmlformats.org/officeDocument/2006/relationships/image" Target="../media/image3501.jpeg"/><Relationship Id="rId215" Type="http://schemas.openxmlformats.org/officeDocument/2006/relationships/image" Target="../media/image215.jpeg"/><Relationship Id="rId422" Type="http://schemas.openxmlformats.org/officeDocument/2006/relationships/image" Target="../media/image422.jpeg"/><Relationship Id="rId1052" Type="http://schemas.openxmlformats.org/officeDocument/2006/relationships/image" Target="../media/image1052.jpeg"/><Relationship Id="rId2103" Type="http://schemas.openxmlformats.org/officeDocument/2006/relationships/image" Target="../media/image2103.jpeg"/><Relationship Id="rId2310" Type="http://schemas.openxmlformats.org/officeDocument/2006/relationships/image" Target="../media/image2310.jpeg"/><Relationship Id="rId4068" Type="http://schemas.openxmlformats.org/officeDocument/2006/relationships/image" Target="../media/image4068.jpeg"/><Relationship Id="rId4275" Type="http://schemas.openxmlformats.org/officeDocument/2006/relationships/image" Target="../media/image4275.jpeg"/><Relationship Id="rId4482" Type="http://schemas.openxmlformats.org/officeDocument/2006/relationships/image" Target="../media/image4482.jpeg"/><Relationship Id="rId1869" Type="http://schemas.openxmlformats.org/officeDocument/2006/relationships/image" Target="../media/image1869.jpeg"/><Relationship Id="rId3084" Type="http://schemas.openxmlformats.org/officeDocument/2006/relationships/image" Target="../media/image3084.jpeg"/><Relationship Id="rId3291" Type="http://schemas.openxmlformats.org/officeDocument/2006/relationships/image" Target="../media/image3291.jpeg"/><Relationship Id="rId4135" Type="http://schemas.openxmlformats.org/officeDocument/2006/relationships/image" Target="../media/image4135.jpeg"/><Relationship Id="rId1729" Type="http://schemas.openxmlformats.org/officeDocument/2006/relationships/image" Target="../media/image1729.jpeg"/><Relationship Id="rId1936" Type="http://schemas.openxmlformats.org/officeDocument/2006/relationships/image" Target="../media/image1936.jpeg"/><Relationship Id="rId4342" Type="http://schemas.openxmlformats.org/officeDocument/2006/relationships/image" Target="../media/image4342.jpeg"/><Relationship Id="rId3151" Type="http://schemas.openxmlformats.org/officeDocument/2006/relationships/image" Target="../media/image3151.jpeg"/><Relationship Id="rId4202" Type="http://schemas.openxmlformats.org/officeDocument/2006/relationships/image" Target="../media/image4202.jpeg"/><Relationship Id="rId3011" Type="http://schemas.openxmlformats.org/officeDocument/2006/relationships/image" Target="../media/image3011.jpeg"/><Relationship Id="rId3968" Type="http://schemas.openxmlformats.org/officeDocument/2006/relationships/image" Target="../media/image3968.jpeg"/><Relationship Id="rId5" Type="http://schemas.openxmlformats.org/officeDocument/2006/relationships/image" Target="../media/image5.jpeg"/><Relationship Id="rId889" Type="http://schemas.openxmlformats.org/officeDocument/2006/relationships/image" Target="../media/image889.jpeg"/><Relationship Id="rId2777" Type="http://schemas.openxmlformats.org/officeDocument/2006/relationships/image" Target="../media/image2777.jpeg"/><Relationship Id="rId749" Type="http://schemas.openxmlformats.org/officeDocument/2006/relationships/image" Target="../media/image749.jpeg"/><Relationship Id="rId1379" Type="http://schemas.openxmlformats.org/officeDocument/2006/relationships/image" Target="../media/image1379.jpeg"/><Relationship Id="rId1586" Type="http://schemas.openxmlformats.org/officeDocument/2006/relationships/image" Target="../media/image1586.jpeg"/><Relationship Id="rId2984" Type="http://schemas.openxmlformats.org/officeDocument/2006/relationships/image" Target="../media/image2984.jpeg"/><Relationship Id="rId3828" Type="http://schemas.openxmlformats.org/officeDocument/2006/relationships/image" Target="../media/image3828.jpeg"/><Relationship Id="rId609" Type="http://schemas.openxmlformats.org/officeDocument/2006/relationships/image" Target="../media/image609.jpeg"/><Relationship Id="rId956" Type="http://schemas.openxmlformats.org/officeDocument/2006/relationships/image" Target="../media/image956.jpeg"/><Relationship Id="rId1239" Type="http://schemas.openxmlformats.org/officeDocument/2006/relationships/image" Target="../media/image1239.jpeg"/><Relationship Id="rId1793" Type="http://schemas.openxmlformats.org/officeDocument/2006/relationships/image" Target="../media/image1793.jpeg"/><Relationship Id="rId2637" Type="http://schemas.openxmlformats.org/officeDocument/2006/relationships/image" Target="../media/image2637.jpeg"/><Relationship Id="rId2844" Type="http://schemas.openxmlformats.org/officeDocument/2006/relationships/image" Target="../media/image2844.jpeg"/><Relationship Id="rId85" Type="http://schemas.openxmlformats.org/officeDocument/2006/relationships/image" Target="../media/image85.jpeg"/><Relationship Id="rId816" Type="http://schemas.openxmlformats.org/officeDocument/2006/relationships/image" Target="../media/image816.jpeg"/><Relationship Id="rId1446" Type="http://schemas.openxmlformats.org/officeDocument/2006/relationships/image" Target="../media/image1446.jpeg"/><Relationship Id="rId1653" Type="http://schemas.openxmlformats.org/officeDocument/2006/relationships/image" Target="../media/image1653.jpeg"/><Relationship Id="rId1860" Type="http://schemas.openxmlformats.org/officeDocument/2006/relationships/image" Target="../media/image1860.jpeg"/><Relationship Id="rId2704" Type="http://schemas.openxmlformats.org/officeDocument/2006/relationships/image" Target="../media/image2704.jpeg"/><Relationship Id="rId2911" Type="http://schemas.openxmlformats.org/officeDocument/2006/relationships/image" Target="../media/image2911.jpeg"/><Relationship Id="rId1306" Type="http://schemas.openxmlformats.org/officeDocument/2006/relationships/image" Target="../media/image1306.jpeg"/><Relationship Id="rId1513" Type="http://schemas.openxmlformats.org/officeDocument/2006/relationships/image" Target="../media/image1513.jpeg"/><Relationship Id="rId1720" Type="http://schemas.openxmlformats.org/officeDocument/2006/relationships/image" Target="../media/image1720.jpeg"/><Relationship Id="rId4669" Type="http://schemas.openxmlformats.org/officeDocument/2006/relationships/image" Target="../media/image4669.jpeg"/><Relationship Id="rId4876" Type="http://schemas.openxmlformats.org/officeDocument/2006/relationships/image" Target="../media/image4876.jpeg"/><Relationship Id="rId12" Type="http://schemas.openxmlformats.org/officeDocument/2006/relationships/image" Target="../media/image12.jpeg"/><Relationship Id="rId3478" Type="http://schemas.openxmlformats.org/officeDocument/2006/relationships/image" Target="../media/image3478.jpeg"/><Relationship Id="rId3685" Type="http://schemas.openxmlformats.org/officeDocument/2006/relationships/image" Target="../media/image3685.jpeg"/><Relationship Id="rId3892" Type="http://schemas.openxmlformats.org/officeDocument/2006/relationships/image" Target="../media/image3892.jpeg"/><Relationship Id="rId4529" Type="http://schemas.openxmlformats.org/officeDocument/2006/relationships/image" Target="../media/image4529.jpeg"/><Relationship Id="rId4736" Type="http://schemas.openxmlformats.org/officeDocument/2006/relationships/image" Target="../media/image4736.jpeg"/><Relationship Id="rId4943" Type="http://schemas.openxmlformats.org/officeDocument/2006/relationships/image" Target="../media/image4943.jpeg"/><Relationship Id="rId399" Type="http://schemas.openxmlformats.org/officeDocument/2006/relationships/image" Target="../media/image399.jpeg"/><Relationship Id="rId2287" Type="http://schemas.openxmlformats.org/officeDocument/2006/relationships/image" Target="../media/image2287.jpeg"/><Relationship Id="rId2494" Type="http://schemas.openxmlformats.org/officeDocument/2006/relationships/image" Target="../media/image2494.jpeg"/><Relationship Id="rId3338" Type="http://schemas.openxmlformats.org/officeDocument/2006/relationships/image" Target="../media/image3338.jpeg"/><Relationship Id="rId3545" Type="http://schemas.openxmlformats.org/officeDocument/2006/relationships/image" Target="../media/image3545.jpeg"/><Relationship Id="rId3752" Type="http://schemas.openxmlformats.org/officeDocument/2006/relationships/image" Target="../media/image3752.jpeg"/><Relationship Id="rId259" Type="http://schemas.openxmlformats.org/officeDocument/2006/relationships/image" Target="../media/image259.jpeg"/><Relationship Id="rId466" Type="http://schemas.openxmlformats.org/officeDocument/2006/relationships/image" Target="../media/image466.jpeg"/><Relationship Id="rId673" Type="http://schemas.openxmlformats.org/officeDocument/2006/relationships/image" Target="../media/image673.jpeg"/><Relationship Id="rId880" Type="http://schemas.openxmlformats.org/officeDocument/2006/relationships/image" Target="../media/image880.jpeg"/><Relationship Id="rId1096" Type="http://schemas.openxmlformats.org/officeDocument/2006/relationships/image" Target="../media/image1096.jpeg"/><Relationship Id="rId2147" Type="http://schemas.openxmlformats.org/officeDocument/2006/relationships/image" Target="../media/image2147.jpeg"/><Relationship Id="rId2354" Type="http://schemas.openxmlformats.org/officeDocument/2006/relationships/image" Target="../media/image2354.jpeg"/><Relationship Id="rId2561" Type="http://schemas.openxmlformats.org/officeDocument/2006/relationships/image" Target="../media/image2561.jpeg"/><Relationship Id="rId3405" Type="http://schemas.openxmlformats.org/officeDocument/2006/relationships/image" Target="../media/image3405.jpeg"/><Relationship Id="rId4803" Type="http://schemas.openxmlformats.org/officeDocument/2006/relationships/image" Target="../media/image4803.jpeg"/><Relationship Id="rId119" Type="http://schemas.openxmlformats.org/officeDocument/2006/relationships/image" Target="../media/image119.jpeg"/><Relationship Id="rId326" Type="http://schemas.openxmlformats.org/officeDocument/2006/relationships/image" Target="../media/image326.jpeg"/><Relationship Id="rId533" Type="http://schemas.openxmlformats.org/officeDocument/2006/relationships/image" Target="../media/image533.jpeg"/><Relationship Id="rId1163" Type="http://schemas.openxmlformats.org/officeDocument/2006/relationships/image" Target="../media/image1163.jpeg"/><Relationship Id="rId1370" Type="http://schemas.openxmlformats.org/officeDocument/2006/relationships/image" Target="../media/image1370.jpeg"/><Relationship Id="rId2007" Type="http://schemas.openxmlformats.org/officeDocument/2006/relationships/image" Target="../media/image2007.jpeg"/><Relationship Id="rId2214" Type="http://schemas.openxmlformats.org/officeDocument/2006/relationships/image" Target="../media/image2214.jpeg"/><Relationship Id="rId3612" Type="http://schemas.openxmlformats.org/officeDocument/2006/relationships/image" Target="../media/image3612.jpeg"/><Relationship Id="rId740" Type="http://schemas.openxmlformats.org/officeDocument/2006/relationships/image" Target="../media/image740.jpeg"/><Relationship Id="rId1023" Type="http://schemas.openxmlformats.org/officeDocument/2006/relationships/image" Target="../media/image1023.jpeg"/><Relationship Id="rId2421" Type="http://schemas.openxmlformats.org/officeDocument/2006/relationships/image" Target="../media/image2421.jpeg"/><Relationship Id="rId4179" Type="http://schemas.openxmlformats.org/officeDocument/2006/relationships/image" Target="../media/image4179.jpeg"/><Relationship Id="rId600" Type="http://schemas.openxmlformats.org/officeDocument/2006/relationships/image" Target="../media/image600.jpeg"/><Relationship Id="rId1230" Type="http://schemas.openxmlformats.org/officeDocument/2006/relationships/image" Target="../media/image1230.jpeg"/><Relationship Id="rId4386" Type="http://schemas.openxmlformats.org/officeDocument/2006/relationships/image" Target="../media/image4386.jpeg"/><Relationship Id="rId4593" Type="http://schemas.openxmlformats.org/officeDocument/2006/relationships/image" Target="../media/image4593.jpeg"/><Relationship Id="rId3195" Type="http://schemas.openxmlformats.org/officeDocument/2006/relationships/image" Target="../media/image3195.jpeg"/><Relationship Id="rId4039" Type="http://schemas.openxmlformats.org/officeDocument/2006/relationships/image" Target="../media/image4039.jpeg"/><Relationship Id="rId4246" Type="http://schemas.openxmlformats.org/officeDocument/2006/relationships/image" Target="../media/image4246.jpeg"/><Relationship Id="rId4453" Type="http://schemas.openxmlformats.org/officeDocument/2006/relationships/image" Target="../media/image4453.jpeg"/><Relationship Id="rId4660" Type="http://schemas.openxmlformats.org/officeDocument/2006/relationships/image" Target="../media/image4660.jpeg"/><Relationship Id="rId3055" Type="http://schemas.openxmlformats.org/officeDocument/2006/relationships/image" Target="../media/image3055.jpeg"/><Relationship Id="rId3262" Type="http://schemas.openxmlformats.org/officeDocument/2006/relationships/image" Target="../media/image3262.jpeg"/><Relationship Id="rId4106" Type="http://schemas.openxmlformats.org/officeDocument/2006/relationships/image" Target="../media/image4106.jpeg"/><Relationship Id="rId4313" Type="http://schemas.openxmlformats.org/officeDocument/2006/relationships/image" Target="../media/image4313.jpeg"/><Relationship Id="rId4520" Type="http://schemas.openxmlformats.org/officeDocument/2006/relationships/image" Target="../media/image4520.jpeg"/><Relationship Id="rId183" Type="http://schemas.openxmlformats.org/officeDocument/2006/relationships/image" Target="../media/image183.jpeg"/><Relationship Id="rId390" Type="http://schemas.openxmlformats.org/officeDocument/2006/relationships/image" Target="../media/image390.jpeg"/><Relationship Id="rId1907" Type="http://schemas.openxmlformats.org/officeDocument/2006/relationships/image" Target="../media/image1907.jpeg"/><Relationship Id="rId2071" Type="http://schemas.openxmlformats.org/officeDocument/2006/relationships/image" Target="../media/image2071.jpeg"/><Relationship Id="rId3122" Type="http://schemas.openxmlformats.org/officeDocument/2006/relationships/image" Target="../media/image3122.jpeg"/><Relationship Id="rId250" Type="http://schemas.openxmlformats.org/officeDocument/2006/relationships/image" Target="../media/image250.jpeg"/><Relationship Id="rId110" Type="http://schemas.openxmlformats.org/officeDocument/2006/relationships/image" Target="../media/image110.jpeg"/><Relationship Id="rId2888" Type="http://schemas.openxmlformats.org/officeDocument/2006/relationships/image" Target="../media/image2888.jpeg"/><Relationship Id="rId3939" Type="http://schemas.openxmlformats.org/officeDocument/2006/relationships/image" Target="../media/image3939.jpeg"/><Relationship Id="rId1697" Type="http://schemas.openxmlformats.org/officeDocument/2006/relationships/image" Target="../media/image1697.jpeg"/><Relationship Id="rId2748" Type="http://schemas.openxmlformats.org/officeDocument/2006/relationships/image" Target="../media/image2748.jpeg"/><Relationship Id="rId2955" Type="http://schemas.openxmlformats.org/officeDocument/2006/relationships/image" Target="../media/image2955.jpeg"/><Relationship Id="rId927" Type="http://schemas.openxmlformats.org/officeDocument/2006/relationships/image" Target="../media/image927.jpeg"/><Relationship Id="rId1557" Type="http://schemas.openxmlformats.org/officeDocument/2006/relationships/image" Target="../media/image1557.jpeg"/><Relationship Id="rId1764" Type="http://schemas.openxmlformats.org/officeDocument/2006/relationships/image" Target="../media/image1764.jpeg"/><Relationship Id="rId1971" Type="http://schemas.openxmlformats.org/officeDocument/2006/relationships/image" Target="../media/image1971.jpeg"/><Relationship Id="rId2608" Type="http://schemas.openxmlformats.org/officeDocument/2006/relationships/image" Target="../media/image2608.jpeg"/><Relationship Id="rId2815" Type="http://schemas.openxmlformats.org/officeDocument/2006/relationships/image" Target="../media/image2815.jpeg"/><Relationship Id="rId4170" Type="http://schemas.openxmlformats.org/officeDocument/2006/relationships/image" Target="../media/image4170.jpeg"/><Relationship Id="rId56" Type="http://schemas.openxmlformats.org/officeDocument/2006/relationships/image" Target="../media/image56.jpeg"/><Relationship Id="rId1417" Type="http://schemas.openxmlformats.org/officeDocument/2006/relationships/image" Target="../media/image1417.jpeg"/><Relationship Id="rId1624" Type="http://schemas.openxmlformats.org/officeDocument/2006/relationships/image" Target="../media/image1624.jpeg"/><Relationship Id="rId1831" Type="http://schemas.openxmlformats.org/officeDocument/2006/relationships/image" Target="../media/image1831.jpeg"/><Relationship Id="rId4030" Type="http://schemas.openxmlformats.org/officeDocument/2006/relationships/image" Target="../media/image4030.jpeg"/><Relationship Id="rId4987" Type="http://schemas.openxmlformats.org/officeDocument/2006/relationships/image" Target="../media/image4987.jpeg"/><Relationship Id="rId3589" Type="http://schemas.openxmlformats.org/officeDocument/2006/relationships/image" Target="../media/image3589.jpeg"/><Relationship Id="rId3796" Type="http://schemas.openxmlformats.org/officeDocument/2006/relationships/image" Target="../media/image3796.jpeg"/><Relationship Id="rId2398" Type="http://schemas.openxmlformats.org/officeDocument/2006/relationships/image" Target="../media/image2398.jpeg"/><Relationship Id="rId3449" Type="http://schemas.openxmlformats.org/officeDocument/2006/relationships/image" Target="../media/image3449.jpeg"/><Relationship Id="rId4847" Type="http://schemas.openxmlformats.org/officeDocument/2006/relationships/image" Target="../media/image4847.jpeg"/><Relationship Id="rId577" Type="http://schemas.openxmlformats.org/officeDocument/2006/relationships/image" Target="../media/image577.jpeg"/><Relationship Id="rId2258" Type="http://schemas.openxmlformats.org/officeDocument/2006/relationships/image" Target="../media/image2258.jpeg"/><Relationship Id="rId3656" Type="http://schemas.openxmlformats.org/officeDocument/2006/relationships/image" Target="../media/image3656.jpeg"/><Relationship Id="rId3863" Type="http://schemas.openxmlformats.org/officeDocument/2006/relationships/image" Target="../media/image3863.jpeg"/><Relationship Id="rId4707" Type="http://schemas.openxmlformats.org/officeDocument/2006/relationships/image" Target="../media/image4707.jpeg"/><Relationship Id="rId4914" Type="http://schemas.openxmlformats.org/officeDocument/2006/relationships/image" Target="../media/image4914.jpeg"/><Relationship Id="rId784" Type="http://schemas.openxmlformats.org/officeDocument/2006/relationships/image" Target="../media/image784.jpeg"/><Relationship Id="rId991" Type="http://schemas.openxmlformats.org/officeDocument/2006/relationships/image" Target="../media/image991.jpeg"/><Relationship Id="rId1067" Type="http://schemas.openxmlformats.org/officeDocument/2006/relationships/image" Target="../media/image1067.jpeg"/><Relationship Id="rId2465" Type="http://schemas.openxmlformats.org/officeDocument/2006/relationships/image" Target="../media/image2465.jpeg"/><Relationship Id="rId2672" Type="http://schemas.openxmlformats.org/officeDocument/2006/relationships/image" Target="../media/image2672.jpeg"/><Relationship Id="rId3309" Type="http://schemas.openxmlformats.org/officeDocument/2006/relationships/image" Target="../media/image3309.jpeg"/><Relationship Id="rId3516" Type="http://schemas.openxmlformats.org/officeDocument/2006/relationships/image" Target="../media/image3516.jpeg"/><Relationship Id="rId3723" Type="http://schemas.openxmlformats.org/officeDocument/2006/relationships/image" Target="../media/image3723.jpeg"/><Relationship Id="rId3930" Type="http://schemas.openxmlformats.org/officeDocument/2006/relationships/image" Target="../media/image3930.jpeg"/><Relationship Id="rId437" Type="http://schemas.openxmlformats.org/officeDocument/2006/relationships/image" Target="../media/image437.jpeg"/><Relationship Id="rId644" Type="http://schemas.openxmlformats.org/officeDocument/2006/relationships/image" Target="../media/image644.jpeg"/><Relationship Id="rId851" Type="http://schemas.openxmlformats.org/officeDocument/2006/relationships/image" Target="../media/image851.jpeg"/><Relationship Id="rId1274" Type="http://schemas.openxmlformats.org/officeDocument/2006/relationships/image" Target="../media/image1274.jpeg"/><Relationship Id="rId1481" Type="http://schemas.openxmlformats.org/officeDocument/2006/relationships/image" Target="../media/image1481.jpeg"/><Relationship Id="rId2118" Type="http://schemas.openxmlformats.org/officeDocument/2006/relationships/image" Target="../media/image2118.jpeg"/><Relationship Id="rId2325" Type="http://schemas.openxmlformats.org/officeDocument/2006/relationships/image" Target="../media/image2325.jpeg"/><Relationship Id="rId2532" Type="http://schemas.openxmlformats.org/officeDocument/2006/relationships/image" Target="../media/image2532.jpeg"/><Relationship Id="rId504" Type="http://schemas.openxmlformats.org/officeDocument/2006/relationships/image" Target="../media/image504.jpeg"/><Relationship Id="rId711" Type="http://schemas.openxmlformats.org/officeDocument/2006/relationships/image" Target="../media/image711.jpeg"/><Relationship Id="rId1134" Type="http://schemas.openxmlformats.org/officeDocument/2006/relationships/image" Target="../media/image1134.jpeg"/><Relationship Id="rId1341" Type="http://schemas.openxmlformats.org/officeDocument/2006/relationships/image" Target="../media/image1341.jpeg"/><Relationship Id="rId4497" Type="http://schemas.openxmlformats.org/officeDocument/2006/relationships/image" Target="../media/image4497.jpeg"/><Relationship Id="rId1201" Type="http://schemas.openxmlformats.org/officeDocument/2006/relationships/image" Target="../media/image1201.jpeg"/><Relationship Id="rId3099" Type="http://schemas.openxmlformats.org/officeDocument/2006/relationships/image" Target="../media/image3099.jpeg"/><Relationship Id="rId4357" Type="http://schemas.openxmlformats.org/officeDocument/2006/relationships/image" Target="../media/image4357.jpeg"/><Relationship Id="rId4564" Type="http://schemas.openxmlformats.org/officeDocument/2006/relationships/image" Target="../media/image4564.jpeg"/><Relationship Id="rId4771" Type="http://schemas.openxmlformats.org/officeDocument/2006/relationships/image" Target="../media/image4771.jpeg"/><Relationship Id="rId3166" Type="http://schemas.openxmlformats.org/officeDocument/2006/relationships/image" Target="../media/image3166.jpeg"/><Relationship Id="rId3373" Type="http://schemas.openxmlformats.org/officeDocument/2006/relationships/image" Target="../media/image3373.jpeg"/><Relationship Id="rId3580" Type="http://schemas.openxmlformats.org/officeDocument/2006/relationships/image" Target="../media/image3580.jpeg"/><Relationship Id="rId4217" Type="http://schemas.openxmlformats.org/officeDocument/2006/relationships/image" Target="../media/image4217.jpeg"/><Relationship Id="rId4424" Type="http://schemas.openxmlformats.org/officeDocument/2006/relationships/image" Target="../media/image4424.jpeg"/><Relationship Id="rId294" Type="http://schemas.openxmlformats.org/officeDocument/2006/relationships/image" Target="../media/image294.jpeg"/><Relationship Id="rId2182" Type="http://schemas.openxmlformats.org/officeDocument/2006/relationships/image" Target="../media/image2182.jpeg"/><Relationship Id="rId3026" Type="http://schemas.openxmlformats.org/officeDocument/2006/relationships/image" Target="../media/image3026.jpeg"/><Relationship Id="rId3233" Type="http://schemas.openxmlformats.org/officeDocument/2006/relationships/image" Target="../media/image3233.jpeg"/><Relationship Id="rId4631" Type="http://schemas.openxmlformats.org/officeDocument/2006/relationships/image" Target="../media/image4631.jpeg"/><Relationship Id="rId154" Type="http://schemas.openxmlformats.org/officeDocument/2006/relationships/image" Target="../media/image154.jpeg"/><Relationship Id="rId361" Type="http://schemas.openxmlformats.org/officeDocument/2006/relationships/image" Target="../media/image361.jpeg"/><Relationship Id="rId2042" Type="http://schemas.openxmlformats.org/officeDocument/2006/relationships/image" Target="../media/image2042.jpeg"/><Relationship Id="rId3440" Type="http://schemas.openxmlformats.org/officeDocument/2006/relationships/image" Target="../media/image3440.jpeg"/><Relationship Id="rId2999" Type="http://schemas.openxmlformats.org/officeDocument/2006/relationships/image" Target="../media/image2999.jpeg"/><Relationship Id="rId3300" Type="http://schemas.openxmlformats.org/officeDocument/2006/relationships/image" Target="../media/image3300.jpeg"/><Relationship Id="rId221" Type="http://schemas.openxmlformats.org/officeDocument/2006/relationships/image" Target="../media/image221.jpeg"/><Relationship Id="rId2859" Type="http://schemas.openxmlformats.org/officeDocument/2006/relationships/image" Target="../media/image2859.jpeg"/><Relationship Id="rId1668" Type="http://schemas.openxmlformats.org/officeDocument/2006/relationships/image" Target="../media/image1668.jpeg"/><Relationship Id="rId1875" Type="http://schemas.openxmlformats.org/officeDocument/2006/relationships/image" Target="../media/image1875.jpeg"/><Relationship Id="rId2719" Type="http://schemas.openxmlformats.org/officeDocument/2006/relationships/image" Target="../media/image2719.jpeg"/><Relationship Id="rId4074" Type="http://schemas.openxmlformats.org/officeDocument/2006/relationships/image" Target="../media/image4074.jpeg"/><Relationship Id="rId4281" Type="http://schemas.openxmlformats.org/officeDocument/2006/relationships/image" Target="../media/image4281.jpeg"/><Relationship Id="rId1528" Type="http://schemas.openxmlformats.org/officeDocument/2006/relationships/image" Target="../media/image1528.jpeg"/><Relationship Id="rId2926" Type="http://schemas.openxmlformats.org/officeDocument/2006/relationships/image" Target="../media/image2926.jpeg"/><Relationship Id="rId3090" Type="http://schemas.openxmlformats.org/officeDocument/2006/relationships/image" Target="../media/image3090.jpeg"/><Relationship Id="rId4141" Type="http://schemas.openxmlformats.org/officeDocument/2006/relationships/image" Target="../media/image4141.jpeg"/><Relationship Id="rId1735" Type="http://schemas.openxmlformats.org/officeDocument/2006/relationships/image" Target="../media/image1735.jpeg"/><Relationship Id="rId1942" Type="http://schemas.openxmlformats.org/officeDocument/2006/relationships/image" Target="../media/image1942.jpeg"/><Relationship Id="rId4001" Type="http://schemas.openxmlformats.org/officeDocument/2006/relationships/image" Target="../media/image4001.jpeg"/><Relationship Id="rId27" Type="http://schemas.openxmlformats.org/officeDocument/2006/relationships/image" Target="../media/image27.jpeg"/><Relationship Id="rId1802" Type="http://schemas.openxmlformats.org/officeDocument/2006/relationships/image" Target="../media/image1802.jpeg"/><Relationship Id="rId4958" Type="http://schemas.openxmlformats.org/officeDocument/2006/relationships/image" Target="../media/image4958.jpeg"/><Relationship Id="rId3767" Type="http://schemas.openxmlformats.org/officeDocument/2006/relationships/image" Target="../media/image3767.jpeg"/><Relationship Id="rId3974" Type="http://schemas.openxmlformats.org/officeDocument/2006/relationships/image" Target="../media/image3974.jpeg"/><Relationship Id="rId4818" Type="http://schemas.openxmlformats.org/officeDocument/2006/relationships/image" Target="../media/image4818.jpeg"/><Relationship Id="rId688" Type="http://schemas.openxmlformats.org/officeDocument/2006/relationships/image" Target="../media/image688.jpeg"/><Relationship Id="rId895" Type="http://schemas.openxmlformats.org/officeDocument/2006/relationships/image" Target="../media/image895.jpeg"/><Relationship Id="rId2369" Type="http://schemas.openxmlformats.org/officeDocument/2006/relationships/image" Target="../media/image2369.jpeg"/><Relationship Id="rId2576" Type="http://schemas.openxmlformats.org/officeDocument/2006/relationships/image" Target="../media/image2576.jpeg"/><Relationship Id="rId2783" Type="http://schemas.openxmlformats.org/officeDocument/2006/relationships/image" Target="../media/image2783.jpeg"/><Relationship Id="rId2990" Type="http://schemas.openxmlformats.org/officeDocument/2006/relationships/image" Target="../media/image2990.jpeg"/><Relationship Id="rId3627" Type="http://schemas.openxmlformats.org/officeDocument/2006/relationships/image" Target="../media/image3627.jpeg"/><Relationship Id="rId3834" Type="http://schemas.openxmlformats.org/officeDocument/2006/relationships/image" Target="../media/image3834.jpeg"/><Relationship Id="rId548" Type="http://schemas.openxmlformats.org/officeDocument/2006/relationships/image" Target="../media/image548.jpeg"/><Relationship Id="rId755" Type="http://schemas.openxmlformats.org/officeDocument/2006/relationships/image" Target="../media/image755.jpeg"/><Relationship Id="rId962" Type="http://schemas.openxmlformats.org/officeDocument/2006/relationships/image" Target="../media/image962.jpeg"/><Relationship Id="rId1178" Type="http://schemas.openxmlformats.org/officeDocument/2006/relationships/image" Target="../media/image1178.jpeg"/><Relationship Id="rId1385" Type="http://schemas.openxmlformats.org/officeDocument/2006/relationships/image" Target="../media/image1385.jpeg"/><Relationship Id="rId1592" Type="http://schemas.openxmlformats.org/officeDocument/2006/relationships/image" Target="../media/image1592.jpeg"/><Relationship Id="rId2229" Type="http://schemas.openxmlformats.org/officeDocument/2006/relationships/image" Target="../media/image2229.jpeg"/><Relationship Id="rId2436" Type="http://schemas.openxmlformats.org/officeDocument/2006/relationships/image" Target="../media/image2436.jpeg"/><Relationship Id="rId2643" Type="http://schemas.openxmlformats.org/officeDocument/2006/relationships/image" Target="../media/image2643.jpeg"/><Relationship Id="rId2850" Type="http://schemas.openxmlformats.org/officeDocument/2006/relationships/image" Target="../media/image2850.jpeg"/><Relationship Id="rId91" Type="http://schemas.openxmlformats.org/officeDocument/2006/relationships/image" Target="../media/image91.jpeg"/><Relationship Id="rId408" Type="http://schemas.openxmlformats.org/officeDocument/2006/relationships/image" Target="../media/image408.jpeg"/><Relationship Id="rId615" Type="http://schemas.openxmlformats.org/officeDocument/2006/relationships/image" Target="../media/image615.jpeg"/><Relationship Id="rId822" Type="http://schemas.openxmlformats.org/officeDocument/2006/relationships/image" Target="../media/image822.jpeg"/><Relationship Id="rId1038" Type="http://schemas.openxmlformats.org/officeDocument/2006/relationships/image" Target="../media/image1038.jpeg"/><Relationship Id="rId1245" Type="http://schemas.openxmlformats.org/officeDocument/2006/relationships/image" Target="../media/image1245.jpeg"/><Relationship Id="rId1452" Type="http://schemas.openxmlformats.org/officeDocument/2006/relationships/image" Target="../media/image1452.jpeg"/><Relationship Id="rId2503" Type="http://schemas.openxmlformats.org/officeDocument/2006/relationships/image" Target="../media/image2503.jpeg"/><Relationship Id="rId3901" Type="http://schemas.openxmlformats.org/officeDocument/2006/relationships/image" Target="../media/image3901.jpeg"/><Relationship Id="rId1105" Type="http://schemas.openxmlformats.org/officeDocument/2006/relationships/image" Target="../media/image1105.jpeg"/><Relationship Id="rId1312" Type="http://schemas.openxmlformats.org/officeDocument/2006/relationships/image" Target="../media/image1312.jpeg"/><Relationship Id="rId2710" Type="http://schemas.openxmlformats.org/officeDocument/2006/relationships/image" Target="../media/image2710.jpeg"/><Relationship Id="rId4468" Type="http://schemas.openxmlformats.org/officeDocument/2006/relationships/image" Target="../media/image4468.jpeg"/><Relationship Id="rId3277" Type="http://schemas.openxmlformats.org/officeDocument/2006/relationships/image" Target="../media/image3277.jpeg"/><Relationship Id="rId4675" Type="http://schemas.openxmlformats.org/officeDocument/2006/relationships/image" Target="../media/image4675.jpeg"/><Relationship Id="rId4882" Type="http://schemas.openxmlformats.org/officeDocument/2006/relationships/image" Target="../media/image4882.jpeg"/><Relationship Id="rId198" Type="http://schemas.openxmlformats.org/officeDocument/2006/relationships/image" Target="../media/image198.jpeg"/><Relationship Id="rId2086" Type="http://schemas.openxmlformats.org/officeDocument/2006/relationships/image" Target="../media/image2086.jpeg"/><Relationship Id="rId3484" Type="http://schemas.openxmlformats.org/officeDocument/2006/relationships/image" Target="../media/image3484.jpeg"/><Relationship Id="rId3691" Type="http://schemas.openxmlformats.org/officeDocument/2006/relationships/image" Target="../media/image3691.jpeg"/><Relationship Id="rId4328" Type="http://schemas.openxmlformats.org/officeDocument/2006/relationships/image" Target="../media/image4328.jpeg"/><Relationship Id="rId4535" Type="http://schemas.openxmlformats.org/officeDocument/2006/relationships/image" Target="../media/image4535.jpeg"/><Relationship Id="rId4742" Type="http://schemas.openxmlformats.org/officeDocument/2006/relationships/image" Target="../media/image4742.jpeg"/><Relationship Id="rId2293" Type="http://schemas.openxmlformats.org/officeDocument/2006/relationships/image" Target="../media/image2293.jpeg"/><Relationship Id="rId3137" Type="http://schemas.openxmlformats.org/officeDocument/2006/relationships/image" Target="../media/image3137.jpeg"/><Relationship Id="rId3344" Type="http://schemas.openxmlformats.org/officeDocument/2006/relationships/image" Target="../media/image3344.jpeg"/><Relationship Id="rId3551" Type="http://schemas.openxmlformats.org/officeDocument/2006/relationships/image" Target="../media/image3551.jpeg"/><Relationship Id="rId4602" Type="http://schemas.openxmlformats.org/officeDocument/2006/relationships/image" Target="../media/image4602.jpeg"/><Relationship Id="rId265" Type="http://schemas.openxmlformats.org/officeDocument/2006/relationships/image" Target="../media/image265.jpeg"/><Relationship Id="rId472" Type="http://schemas.openxmlformats.org/officeDocument/2006/relationships/image" Target="../media/image472.jpeg"/><Relationship Id="rId2153" Type="http://schemas.openxmlformats.org/officeDocument/2006/relationships/image" Target="../media/image2153.jpeg"/><Relationship Id="rId2360" Type="http://schemas.openxmlformats.org/officeDocument/2006/relationships/image" Target="../media/image2360.jpeg"/><Relationship Id="rId3204" Type="http://schemas.openxmlformats.org/officeDocument/2006/relationships/image" Target="../media/image3204.jpeg"/><Relationship Id="rId3411" Type="http://schemas.openxmlformats.org/officeDocument/2006/relationships/image" Target="../media/image3411.jpeg"/><Relationship Id="rId125" Type="http://schemas.openxmlformats.org/officeDocument/2006/relationships/image" Target="../media/image125.jpeg"/><Relationship Id="rId332" Type="http://schemas.openxmlformats.org/officeDocument/2006/relationships/image" Target="../media/image332.jpeg"/><Relationship Id="rId2013" Type="http://schemas.openxmlformats.org/officeDocument/2006/relationships/image" Target="../media/image2013.jpeg"/><Relationship Id="rId2220" Type="http://schemas.openxmlformats.org/officeDocument/2006/relationships/image" Target="../media/image2220.jpeg"/><Relationship Id="rId4185" Type="http://schemas.openxmlformats.org/officeDocument/2006/relationships/image" Target="../media/image4185.jpeg"/><Relationship Id="rId4392" Type="http://schemas.openxmlformats.org/officeDocument/2006/relationships/image" Target="../media/image4392.jpeg"/><Relationship Id="rId1779" Type="http://schemas.openxmlformats.org/officeDocument/2006/relationships/image" Target="../media/image1779.jpeg"/><Relationship Id="rId1986" Type="http://schemas.openxmlformats.org/officeDocument/2006/relationships/image" Target="../media/image1986.jpeg"/><Relationship Id="rId4045" Type="http://schemas.openxmlformats.org/officeDocument/2006/relationships/image" Target="../media/image4045.jpeg"/><Relationship Id="rId4252" Type="http://schemas.openxmlformats.org/officeDocument/2006/relationships/image" Target="../media/image4252.jpeg"/><Relationship Id="rId1639" Type="http://schemas.openxmlformats.org/officeDocument/2006/relationships/image" Target="../media/image1639.jpeg"/><Relationship Id="rId1846" Type="http://schemas.openxmlformats.org/officeDocument/2006/relationships/image" Target="../media/image1846.jpeg"/><Relationship Id="rId3061" Type="http://schemas.openxmlformats.org/officeDocument/2006/relationships/image" Target="../media/image3061.jpeg"/><Relationship Id="rId1706" Type="http://schemas.openxmlformats.org/officeDocument/2006/relationships/image" Target="../media/image1706.jpeg"/><Relationship Id="rId1913" Type="http://schemas.openxmlformats.org/officeDocument/2006/relationships/image" Target="../media/image1913.jpeg"/><Relationship Id="rId4112" Type="http://schemas.openxmlformats.org/officeDocument/2006/relationships/image" Target="../media/image4112.jpeg"/><Relationship Id="rId3878" Type="http://schemas.openxmlformats.org/officeDocument/2006/relationships/image" Target="../media/image3878.jpeg"/><Relationship Id="rId4929" Type="http://schemas.openxmlformats.org/officeDocument/2006/relationships/image" Target="../media/image4929.jpeg"/><Relationship Id="rId799" Type="http://schemas.openxmlformats.org/officeDocument/2006/relationships/image" Target="../media/image799.jpeg"/><Relationship Id="rId2687" Type="http://schemas.openxmlformats.org/officeDocument/2006/relationships/image" Target="../media/image2687.jpeg"/><Relationship Id="rId2894" Type="http://schemas.openxmlformats.org/officeDocument/2006/relationships/image" Target="../media/image2894.jpeg"/><Relationship Id="rId3738" Type="http://schemas.openxmlformats.org/officeDocument/2006/relationships/image" Target="../media/image3738.jpeg"/><Relationship Id="rId659" Type="http://schemas.openxmlformats.org/officeDocument/2006/relationships/image" Target="../media/image659.jpeg"/><Relationship Id="rId866" Type="http://schemas.openxmlformats.org/officeDocument/2006/relationships/image" Target="../media/image866.jpeg"/><Relationship Id="rId1289" Type="http://schemas.openxmlformats.org/officeDocument/2006/relationships/image" Target="../media/image1289.jpeg"/><Relationship Id="rId1496" Type="http://schemas.openxmlformats.org/officeDocument/2006/relationships/image" Target="../media/image1496.jpeg"/><Relationship Id="rId2547" Type="http://schemas.openxmlformats.org/officeDocument/2006/relationships/image" Target="../media/image2547.jpeg"/><Relationship Id="rId3945" Type="http://schemas.openxmlformats.org/officeDocument/2006/relationships/image" Target="../media/image3945.jpeg"/><Relationship Id="rId519" Type="http://schemas.openxmlformats.org/officeDocument/2006/relationships/image" Target="../media/image519.jpeg"/><Relationship Id="rId1149" Type="http://schemas.openxmlformats.org/officeDocument/2006/relationships/image" Target="../media/image1149.jpeg"/><Relationship Id="rId1356" Type="http://schemas.openxmlformats.org/officeDocument/2006/relationships/image" Target="../media/image1356.jpeg"/><Relationship Id="rId2754" Type="http://schemas.openxmlformats.org/officeDocument/2006/relationships/image" Target="../media/image2754.jpeg"/><Relationship Id="rId2961" Type="http://schemas.openxmlformats.org/officeDocument/2006/relationships/image" Target="../media/image2961.jpeg"/><Relationship Id="rId3805" Type="http://schemas.openxmlformats.org/officeDocument/2006/relationships/image" Target="../media/image3805.jpeg"/><Relationship Id="rId726" Type="http://schemas.openxmlformats.org/officeDocument/2006/relationships/image" Target="../media/image726.jpeg"/><Relationship Id="rId933" Type="http://schemas.openxmlformats.org/officeDocument/2006/relationships/image" Target="../media/image933.jpeg"/><Relationship Id="rId1009" Type="http://schemas.openxmlformats.org/officeDocument/2006/relationships/image" Target="../media/image1009.jpeg"/><Relationship Id="rId1563" Type="http://schemas.openxmlformats.org/officeDocument/2006/relationships/image" Target="../media/image1563.jpeg"/><Relationship Id="rId1770" Type="http://schemas.openxmlformats.org/officeDocument/2006/relationships/image" Target="../media/image1770.jpeg"/><Relationship Id="rId2407" Type="http://schemas.openxmlformats.org/officeDocument/2006/relationships/image" Target="../media/image2407.jpeg"/><Relationship Id="rId2614" Type="http://schemas.openxmlformats.org/officeDocument/2006/relationships/image" Target="../media/image2614.jpeg"/><Relationship Id="rId2821" Type="http://schemas.openxmlformats.org/officeDocument/2006/relationships/image" Target="../media/image2821.jpeg"/><Relationship Id="rId62" Type="http://schemas.openxmlformats.org/officeDocument/2006/relationships/image" Target="../media/image62.jpeg"/><Relationship Id="rId1216" Type="http://schemas.openxmlformats.org/officeDocument/2006/relationships/image" Target="../media/image1216.jpeg"/><Relationship Id="rId1423" Type="http://schemas.openxmlformats.org/officeDocument/2006/relationships/image" Target="../media/image1423.jpeg"/><Relationship Id="rId1630" Type="http://schemas.openxmlformats.org/officeDocument/2006/relationships/image" Target="../media/image1630.jpeg"/><Relationship Id="rId4579" Type="http://schemas.openxmlformats.org/officeDocument/2006/relationships/image" Target="../media/image4579.jpeg"/><Relationship Id="rId4786" Type="http://schemas.openxmlformats.org/officeDocument/2006/relationships/image" Target="../media/image4786.jpeg"/><Relationship Id="rId3388" Type="http://schemas.openxmlformats.org/officeDocument/2006/relationships/image" Target="../media/image3388.jpeg"/><Relationship Id="rId3595" Type="http://schemas.openxmlformats.org/officeDocument/2006/relationships/image" Target="../media/image3595.jpeg"/><Relationship Id="rId4439" Type="http://schemas.openxmlformats.org/officeDocument/2006/relationships/image" Target="../media/image4439.jpeg"/><Relationship Id="rId4646" Type="http://schemas.openxmlformats.org/officeDocument/2006/relationships/image" Target="../media/image4646.jpeg"/><Relationship Id="rId4853" Type="http://schemas.openxmlformats.org/officeDocument/2006/relationships/image" Target="../media/image4853.jpeg"/><Relationship Id="rId2197" Type="http://schemas.openxmlformats.org/officeDocument/2006/relationships/image" Target="../media/image2197.jpeg"/><Relationship Id="rId3248" Type="http://schemas.openxmlformats.org/officeDocument/2006/relationships/image" Target="../media/image3248.jpeg"/><Relationship Id="rId3455" Type="http://schemas.openxmlformats.org/officeDocument/2006/relationships/image" Target="../media/image3455.jpeg"/><Relationship Id="rId3662" Type="http://schemas.openxmlformats.org/officeDocument/2006/relationships/image" Target="../media/image3662.jpeg"/><Relationship Id="rId4506" Type="http://schemas.openxmlformats.org/officeDocument/2006/relationships/image" Target="../media/image4506.jpeg"/><Relationship Id="rId4713" Type="http://schemas.openxmlformats.org/officeDocument/2006/relationships/image" Target="../media/image4713.jpeg"/><Relationship Id="rId169" Type="http://schemas.openxmlformats.org/officeDocument/2006/relationships/image" Target="../media/image169.jpeg"/><Relationship Id="rId376" Type="http://schemas.openxmlformats.org/officeDocument/2006/relationships/image" Target="../media/image376.jpeg"/><Relationship Id="rId583" Type="http://schemas.openxmlformats.org/officeDocument/2006/relationships/image" Target="../media/image583.jpeg"/><Relationship Id="rId790" Type="http://schemas.openxmlformats.org/officeDocument/2006/relationships/image" Target="../media/image790.jpeg"/><Relationship Id="rId2057" Type="http://schemas.openxmlformats.org/officeDocument/2006/relationships/image" Target="../media/image2057.jpeg"/><Relationship Id="rId2264" Type="http://schemas.openxmlformats.org/officeDocument/2006/relationships/image" Target="../media/image2264.jpeg"/><Relationship Id="rId2471" Type="http://schemas.openxmlformats.org/officeDocument/2006/relationships/image" Target="../media/image2471.jpeg"/><Relationship Id="rId3108" Type="http://schemas.openxmlformats.org/officeDocument/2006/relationships/image" Target="../media/image3108.jpeg"/><Relationship Id="rId3315" Type="http://schemas.openxmlformats.org/officeDocument/2006/relationships/image" Target="../media/image3315.jpeg"/><Relationship Id="rId3522" Type="http://schemas.openxmlformats.org/officeDocument/2006/relationships/image" Target="../media/image3522.jpeg"/><Relationship Id="rId4920" Type="http://schemas.openxmlformats.org/officeDocument/2006/relationships/image" Target="../media/image4920.jpeg"/><Relationship Id="rId236" Type="http://schemas.openxmlformats.org/officeDocument/2006/relationships/image" Target="../media/image236.jpeg"/><Relationship Id="rId443" Type="http://schemas.openxmlformats.org/officeDocument/2006/relationships/image" Target="../media/image443.jpeg"/><Relationship Id="rId650" Type="http://schemas.openxmlformats.org/officeDocument/2006/relationships/image" Target="../media/image650.jpeg"/><Relationship Id="rId1073" Type="http://schemas.openxmlformats.org/officeDocument/2006/relationships/image" Target="../media/image1073.jpeg"/><Relationship Id="rId1280" Type="http://schemas.openxmlformats.org/officeDocument/2006/relationships/image" Target="../media/image1280.jpeg"/><Relationship Id="rId2124" Type="http://schemas.openxmlformats.org/officeDocument/2006/relationships/image" Target="../media/image2124.jpeg"/><Relationship Id="rId2331" Type="http://schemas.openxmlformats.org/officeDocument/2006/relationships/image" Target="../media/image2331.jpeg"/><Relationship Id="rId303" Type="http://schemas.openxmlformats.org/officeDocument/2006/relationships/image" Target="../media/image303.jpeg"/><Relationship Id="rId1140" Type="http://schemas.openxmlformats.org/officeDocument/2006/relationships/image" Target="../media/image1140.jpeg"/><Relationship Id="rId4089" Type="http://schemas.openxmlformats.org/officeDocument/2006/relationships/image" Target="../media/image4089.jpeg"/><Relationship Id="rId4296" Type="http://schemas.openxmlformats.org/officeDocument/2006/relationships/image" Target="../media/image4296.jpeg"/><Relationship Id="rId510" Type="http://schemas.openxmlformats.org/officeDocument/2006/relationships/image" Target="../media/image510.jpeg"/><Relationship Id="rId1000" Type="http://schemas.openxmlformats.org/officeDocument/2006/relationships/image" Target="../media/image1000.jpeg"/><Relationship Id="rId1957" Type="http://schemas.openxmlformats.org/officeDocument/2006/relationships/image" Target="../media/image1957.jpeg"/><Relationship Id="rId4156" Type="http://schemas.openxmlformats.org/officeDocument/2006/relationships/image" Target="../media/image4156.jpeg"/><Relationship Id="rId4363" Type="http://schemas.openxmlformats.org/officeDocument/2006/relationships/image" Target="../media/image4363.jpeg"/><Relationship Id="rId4570" Type="http://schemas.openxmlformats.org/officeDocument/2006/relationships/image" Target="../media/image4570.jpeg"/><Relationship Id="rId1817" Type="http://schemas.openxmlformats.org/officeDocument/2006/relationships/image" Target="../media/image1817.jpeg"/><Relationship Id="rId3172" Type="http://schemas.openxmlformats.org/officeDocument/2006/relationships/image" Target="../media/image3172.jpeg"/><Relationship Id="rId4016" Type="http://schemas.openxmlformats.org/officeDocument/2006/relationships/image" Target="../media/image4016.jpeg"/><Relationship Id="rId4223" Type="http://schemas.openxmlformats.org/officeDocument/2006/relationships/image" Target="../media/image4223.jpeg"/><Relationship Id="rId4430" Type="http://schemas.openxmlformats.org/officeDocument/2006/relationships/image" Target="../media/image4430.jpeg"/><Relationship Id="rId3032" Type="http://schemas.openxmlformats.org/officeDocument/2006/relationships/image" Target="../media/image3032.jpeg"/><Relationship Id="rId160" Type="http://schemas.openxmlformats.org/officeDocument/2006/relationships/image" Target="../media/image160.jpeg"/><Relationship Id="rId3989" Type="http://schemas.openxmlformats.org/officeDocument/2006/relationships/image" Target="../media/image3989.jpeg"/><Relationship Id="rId2798" Type="http://schemas.openxmlformats.org/officeDocument/2006/relationships/image" Target="../media/image2798.jpeg"/><Relationship Id="rId3849" Type="http://schemas.openxmlformats.org/officeDocument/2006/relationships/image" Target="../media/image3849.jpeg"/><Relationship Id="rId977" Type="http://schemas.openxmlformats.org/officeDocument/2006/relationships/image" Target="../media/image977.jpeg"/><Relationship Id="rId2658" Type="http://schemas.openxmlformats.org/officeDocument/2006/relationships/image" Target="../media/image2658.jpeg"/><Relationship Id="rId2865" Type="http://schemas.openxmlformats.org/officeDocument/2006/relationships/image" Target="../media/image2865.jpeg"/><Relationship Id="rId3709" Type="http://schemas.openxmlformats.org/officeDocument/2006/relationships/image" Target="../media/image3709.jpeg"/><Relationship Id="rId3916" Type="http://schemas.openxmlformats.org/officeDocument/2006/relationships/image" Target="../media/image3916.jpeg"/><Relationship Id="rId4080" Type="http://schemas.openxmlformats.org/officeDocument/2006/relationships/image" Target="../media/image4080.jpeg"/><Relationship Id="rId837" Type="http://schemas.openxmlformats.org/officeDocument/2006/relationships/image" Target="../media/image837.jpeg"/><Relationship Id="rId1467" Type="http://schemas.openxmlformats.org/officeDocument/2006/relationships/image" Target="../media/image1467.jpeg"/><Relationship Id="rId1674" Type="http://schemas.openxmlformats.org/officeDocument/2006/relationships/image" Target="../media/image1674.jpeg"/><Relationship Id="rId1881" Type="http://schemas.openxmlformats.org/officeDocument/2006/relationships/image" Target="../media/image1881.jpeg"/><Relationship Id="rId2518" Type="http://schemas.openxmlformats.org/officeDocument/2006/relationships/image" Target="../media/image2518.jpeg"/><Relationship Id="rId2725" Type="http://schemas.openxmlformats.org/officeDocument/2006/relationships/image" Target="../media/image2725.jpeg"/><Relationship Id="rId2932" Type="http://schemas.openxmlformats.org/officeDocument/2006/relationships/image" Target="../media/image2932.jpeg"/><Relationship Id="rId904" Type="http://schemas.openxmlformats.org/officeDocument/2006/relationships/image" Target="../media/image904.jpeg"/><Relationship Id="rId1327" Type="http://schemas.openxmlformats.org/officeDocument/2006/relationships/image" Target="../media/image1327.jpeg"/><Relationship Id="rId1534" Type="http://schemas.openxmlformats.org/officeDocument/2006/relationships/image" Target="../media/image1534.jpeg"/><Relationship Id="rId1741" Type="http://schemas.openxmlformats.org/officeDocument/2006/relationships/image" Target="../media/image1741.jpeg"/><Relationship Id="rId4897" Type="http://schemas.openxmlformats.org/officeDocument/2006/relationships/image" Target="../media/image4897.jpeg"/><Relationship Id="rId33" Type="http://schemas.openxmlformats.org/officeDocument/2006/relationships/image" Target="../media/image33.jpeg"/><Relationship Id="rId1601" Type="http://schemas.openxmlformats.org/officeDocument/2006/relationships/image" Target="../media/image1601.jpeg"/><Relationship Id="rId3499" Type="http://schemas.openxmlformats.org/officeDocument/2006/relationships/image" Target="../media/image3499.jpeg"/><Relationship Id="rId4757" Type="http://schemas.openxmlformats.org/officeDocument/2006/relationships/image" Target="../media/image4757.jpeg"/><Relationship Id="rId3359" Type="http://schemas.openxmlformats.org/officeDocument/2006/relationships/image" Target="../media/image3359.jpeg"/><Relationship Id="rId3566" Type="http://schemas.openxmlformats.org/officeDocument/2006/relationships/image" Target="../media/image3566.jpeg"/><Relationship Id="rId4964" Type="http://schemas.openxmlformats.org/officeDocument/2006/relationships/image" Target="../media/image4964.jpeg"/><Relationship Id="rId487" Type="http://schemas.openxmlformats.org/officeDocument/2006/relationships/image" Target="../media/image487.jpeg"/><Relationship Id="rId694" Type="http://schemas.openxmlformats.org/officeDocument/2006/relationships/image" Target="../media/image694.jpeg"/><Relationship Id="rId2168" Type="http://schemas.openxmlformats.org/officeDocument/2006/relationships/image" Target="../media/image2168.jpeg"/><Relationship Id="rId2375" Type="http://schemas.openxmlformats.org/officeDocument/2006/relationships/image" Target="../media/image2375.jpeg"/><Relationship Id="rId3219" Type="http://schemas.openxmlformats.org/officeDocument/2006/relationships/image" Target="../media/image3219.jpeg"/><Relationship Id="rId3773" Type="http://schemas.openxmlformats.org/officeDocument/2006/relationships/image" Target="../media/image3773.jpeg"/><Relationship Id="rId3980" Type="http://schemas.openxmlformats.org/officeDocument/2006/relationships/image" Target="../media/image3980.jpeg"/><Relationship Id="rId4617" Type="http://schemas.openxmlformats.org/officeDocument/2006/relationships/image" Target="../media/image4617.jpeg"/><Relationship Id="rId4824" Type="http://schemas.openxmlformats.org/officeDocument/2006/relationships/image" Target="../media/image4824.jpeg"/><Relationship Id="rId347" Type="http://schemas.openxmlformats.org/officeDocument/2006/relationships/image" Target="../media/image347.jpeg"/><Relationship Id="rId1184" Type="http://schemas.openxmlformats.org/officeDocument/2006/relationships/image" Target="../media/image1184.jpeg"/><Relationship Id="rId2028" Type="http://schemas.openxmlformats.org/officeDocument/2006/relationships/image" Target="../media/image2028.jpeg"/><Relationship Id="rId2582" Type="http://schemas.openxmlformats.org/officeDocument/2006/relationships/image" Target="../media/image2582.jpeg"/><Relationship Id="rId3426" Type="http://schemas.openxmlformats.org/officeDocument/2006/relationships/image" Target="../media/image3426.jpeg"/><Relationship Id="rId3633" Type="http://schemas.openxmlformats.org/officeDocument/2006/relationships/image" Target="../media/image3633.jpeg"/><Relationship Id="rId3840" Type="http://schemas.openxmlformats.org/officeDocument/2006/relationships/image" Target="../media/image3840.jpeg"/><Relationship Id="rId554" Type="http://schemas.openxmlformats.org/officeDocument/2006/relationships/image" Target="../media/image554.jpeg"/><Relationship Id="rId761" Type="http://schemas.openxmlformats.org/officeDocument/2006/relationships/image" Target="../media/image761.jpeg"/><Relationship Id="rId1391" Type="http://schemas.openxmlformats.org/officeDocument/2006/relationships/image" Target="../media/image1391.jpeg"/><Relationship Id="rId2235" Type="http://schemas.openxmlformats.org/officeDocument/2006/relationships/image" Target="../media/image2235.jpeg"/><Relationship Id="rId2442" Type="http://schemas.openxmlformats.org/officeDocument/2006/relationships/image" Target="../media/image2442.jpeg"/><Relationship Id="rId3700" Type="http://schemas.openxmlformats.org/officeDocument/2006/relationships/image" Target="../media/image3700.jpeg"/><Relationship Id="rId207" Type="http://schemas.openxmlformats.org/officeDocument/2006/relationships/image" Target="../media/image207.jpeg"/><Relationship Id="rId414" Type="http://schemas.openxmlformats.org/officeDocument/2006/relationships/image" Target="../media/image414.jpeg"/><Relationship Id="rId621" Type="http://schemas.openxmlformats.org/officeDocument/2006/relationships/image" Target="../media/image621.jpeg"/><Relationship Id="rId1044" Type="http://schemas.openxmlformats.org/officeDocument/2006/relationships/image" Target="../media/image1044.jpeg"/><Relationship Id="rId1251" Type="http://schemas.openxmlformats.org/officeDocument/2006/relationships/image" Target="../media/image1251.jpeg"/><Relationship Id="rId2302" Type="http://schemas.openxmlformats.org/officeDocument/2006/relationships/image" Target="../media/image2302.jpeg"/><Relationship Id="rId1111" Type="http://schemas.openxmlformats.org/officeDocument/2006/relationships/image" Target="../media/image1111.jpeg"/><Relationship Id="rId4267" Type="http://schemas.openxmlformats.org/officeDocument/2006/relationships/image" Target="../media/image4267.jpeg"/><Relationship Id="rId4474" Type="http://schemas.openxmlformats.org/officeDocument/2006/relationships/image" Target="../media/image4474.jpeg"/><Relationship Id="rId4681" Type="http://schemas.openxmlformats.org/officeDocument/2006/relationships/image" Target="../media/image4681.jpeg"/><Relationship Id="rId3076" Type="http://schemas.openxmlformats.org/officeDocument/2006/relationships/image" Target="../media/image3076.jpeg"/><Relationship Id="rId3283" Type="http://schemas.openxmlformats.org/officeDocument/2006/relationships/image" Target="../media/image3283.jpeg"/><Relationship Id="rId3490" Type="http://schemas.openxmlformats.org/officeDocument/2006/relationships/image" Target="../media/image3490.jpeg"/><Relationship Id="rId4127" Type="http://schemas.openxmlformats.org/officeDocument/2006/relationships/image" Target="../media/image4127.jpeg"/><Relationship Id="rId4334" Type="http://schemas.openxmlformats.org/officeDocument/2006/relationships/image" Target="../media/image4334.jpeg"/><Relationship Id="rId4541" Type="http://schemas.openxmlformats.org/officeDocument/2006/relationships/image" Target="../media/image4541.jpeg"/><Relationship Id="rId1928" Type="http://schemas.openxmlformats.org/officeDocument/2006/relationships/image" Target="../media/image1928.jpeg"/><Relationship Id="rId2092" Type="http://schemas.openxmlformats.org/officeDocument/2006/relationships/image" Target="../media/image2092.jpeg"/><Relationship Id="rId3143" Type="http://schemas.openxmlformats.org/officeDocument/2006/relationships/image" Target="../media/image3143.jpeg"/><Relationship Id="rId3350" Type="http://schemas.openxmlformats.org/officeDocument/2006/relationships/image" Target="../media/image3350.jpeg"/><Relationship Id="rId271" Type="http://schemas.openxmlformats.org/officeDocument/2006/relationships/image" Target="../media/image271.jpeg"/><Relationship Id="rId3003" Type="http://schemas.openxmlformats.org/officeDocument/2006/relationships/image" Target="../media/image3003.jpeg"/><Relationship Id="rId4401" Type="http://schemas.openxmlformats.org/officeDocument/2006/relationships/image" Target="../media/image4401.jpeg"/><Relationship Id="rId131" Type="http://schemas.openxmlformats.org/officeDocument/2006/relationships/image" Target="../media/image131.jpeg"/><Relationship Id="rId3210" Type="http://schemas.openxmlformats.org/officeDocument/2006/relationships/image" Target="../media/image3210.jpeg"/><Relationship Id="rId2769" Type="http://schemas.openxmlformats.org/officeDocument/2006/relationships/image" Target="../media/image2769.jpeg"/><Relationship Id="rId2976" Type="http://schemas.openxmlformats.org/officeDocument/2006/relationships/image" Target="../media/image2976.jpeg"/><Relationship Id="rId948" Type="http://schemas.openxmlformats.org/officeDocument/2006/relationships/image" Target="../media/image948.jpeg"/><Relationship Id="rId1578" Type="http://schemas.openxmlformats.org/officeDocument/2006/relationships/image" Target="../media/image1578.jpeg"/><Relationship Id="rId1785" Type="http://schemas.openxmlformats.org/officeDocument/2006/relationships/image" Target="../media/image1785.jpeg"/><Relationship Id="rId1992" Type="http://schemas.openxmlformats.org/officeDocument/2006/relationships/image" Target="../media/image1992.jpeg"/><Relationship Id="rId2629" Type="http://schemas.openxmlformats.org/officeDocument/2006/relationships/image" Target="../media/image2629.jpeg"/><Relationship Id="rId2836" Type="http://schemas.openxmlformats.org/officeDocument/2006/relationships/image" Target="../media/image2836.jpeg"/><Relationship Id="rId4191" Type="http://schemas.openxmlformats.org/officeDocument/2006/relationships/image" Target="../media/image4191.jpeg"/><Relationship Id="rId77" Type="http://schemas.openxmlformats.org/officeDocument/2006/relationships/image" Target="../media/image77.jpeg"/><Relationship Id="rId808" Type="http://schemas.openxmlformats.org/officeDocument/2006/relationships/image" Target="../media/image808.jpeg"/><Relationship Id="rId1438" Type="http://schemas.openxmlformats.org/officeDocument/2006/relationships/image" Target="../media/image1438.jpeg"/><Relationship Id="rId1645" Type="http://schemas.openxmlformats.org/officeDocument/2006/relationships/image" Target="../media/image1645.jpeg"/><Relationship Id="rId4051" Type="http://schemas.openxmlformats.org/officeDocument/2006/relationships/image" Target="../media/image4051.jpeg"/><Relationship Id="rId1852" Type="http://schemas.openxmlformats.org/officeDocument/2006/relationships/image" Target="../media/image1852.jpeg"/><Relationship Id="rId2903" Type="http://schemas.openxmlformats.org/officeDocument/2006/relationships/image" Target="../media/image2903.jpeg"/><Relationship Id="rId1505" Type="http://schemas.openxmlformats.org/officeDocument/2006/relationships/image" Target="../media/image1505.jpeg"/><Relationship Id="rId1712" Type="http://schemas.openxmlformats.org/officeDocument/2006/relationships/image" Target="../media/image1712.jpeg"/><Relationship Id="rId4868" Type="http://schemas.openxmlformats.org/officeDocument/2006/relationships/image" Target="../media/image4868.jpeg"/><Relationship Id="rId3677" Type="http://schemas.openxmlformats.org/officeDocument/2006/relationships/image" Target="../media/image3677.jpeg"/><Relationship Id="rId3884" Type="http://schemas.openxmlformats.org/officeDocument/2006/relationships/image" Target="../media/image3884.jpeg"/><Relationship Id="rId4728" Type="http://schemas.openxmlformats.org/officeDocument/2006/relationships/image" Target="../media/image4728.jpeg"/><Relationship Id="rId4935" Type="http://schemas.openxmlformats.org/officeDocument/2006/relationships/image" Target="../media/image4935.jpeg"/><Relationship Id="rId598" Type="http://schemas.openxmlformats.org/officeDocument/2006/relationships/image" Target="../media/image598.jpeg"/><Relationship Id="rId2279" Type="http://schemas.openxmlformats.org/officeDocument/2006/relationships/image" Target="../media/image2279.jpeg"/><Relationship Id="rId2486" Type="http://schemas.openxmlformats.org/officeDocument/2006/relationships/image" Target="../media/image2486.jpeg"/><Relationship Id="rId2693" Type="http://schemas.openxmlformats.org/officeDocument/2006/relationships/image" Target="../media/image2693.jpeg"/><Relationship Id="rId3537" Type="http://schemas.openxmlformats.org/officeDocument/2006/relationships/image" Target="../media/image3537.jpeg"/><Relationship Id="rId3744" Type="http://schemas.openxmlformats.org/officeDocument/2006/relationships/image" Target="../media/image3744.jpeg"/><Relationship Id="rId3951" Type="http://schemas.openxmlformats.org/officeDocument/2006/relationships/image" Target="../media/image3951.jpeg"/><Relationship Id="rId458" Type="http://schemas.openxmlformats.org/officeDocument/2006/relationships/image" Target="../media/image458.jpeg"/><Relationship Id="rId665" Type="http://schemas.openxmlformats.org/officeDocument/2006/relationships/image" Target="../media/image665.jpeg"/><Relationship Id="rId872" Type="http://schemas.openxmlformats.org/officeDocument/2006/relationships/image" Target="../media/image872.jpeg"/><Relationship Id="rId1088" Type="http://schemas.openxmlformats.org/officeDocument/2006/relationships/image" Target="../media/image1088.jpeg"/><Relationship Id="rId1295" Type="http://schemas.openxmlformats.org/officeDocument/2006/relationships/image" Target="../media/image1295.jpeg"/><Relationship Id="rId2139" Type="http://schemas.openxmlformats.org/officeDocument/2006/relationships/image" Target="../media/image2139.jpeg"/><Relationship Id="rId2346" Type="http://schemas.openxmlformats.org/officeDocument/2006/relationships/image" Target="../media/image2346.jpeg"/><Relationship Id="rId2553" Type="http://schemas.openxmlformats.org/officeDocument/2006/relationships/image" Target="../media/image2553.jpeg"/><Relationship Id="rId2760" Type="http://schemas.openxmlformats.org/officeDocument/2006/relationships/image" Target="../media/image2760.jpeg"/><Relationship Id="rId3604" Type="http://schemas.openxmlformats.org/officeDocument/2006/relationships/image" Target="../media/image3604.jpeg"/><Relationship Id="rId3811" Type="http://schemas.openxmlformats.org/officeDocument/2006/relationships/image" Target="../media/image3811.jpeg"/><Relationship Id="rId318" Type="http://schemas.openxmlformats.org/officeDocument/2006/relationships/image" Target="../media/image318.jpeg"/><Relationship Id="rId525" Type="http://schemas.openxmlformats.org/officeDocument/2006/relationships/image" Target="../media/image525.jpeg"/><Relationship Id="rId732" Type="http://schemas.openxmlformats.org/officeDocument/2006/relationships/image" Target="../media/image732.jpeg"/><Relationship Id="rId1155" Type="http://schemas.openxmlformats.org/officeDocument/2006/relationships/image" Target="../media/image1155.jpeg"/><Relationship Id="rId1362" Type="http://schemas.openxmlformats.org/officeDocument/2006/relationships/image" Target="../media/image1362.jpeg"/><Relationship Id="rId2206" Type="http://schemas.openxmlformats.org/officeDocument/2006/relationships/image" Target="../media/image2206.jpeg"/><Relationship Id="rId2413" Type="http://schemas.openxmlformats.org/officeDocument/2006/relationships/image" Target="../media/image2413.jpeg"/><Relationship Id="rId2620" Type="http://schemas.openxmlformats.org/officeDocument/2006/relationships/image" Target="../media/image2620.jpeg"/><Relationship Id="rId1015" Type="http://schemas.openxmlformats.org/officeDocument/2006/relationships/image" Target="../media/image1015.jpeg"/><Relationship Id="rId1222" Type="http://schemas.openxmlformats.org/officeDocument/2006/relationships/image" Target="../media/image1222.jpeg"/><Relationship Id="rId4378" Type="http://schemas.openxmlformats.org/officeDocument/2006/relationships/image" Target="../media/image4378.jpeg"/><Relationship Id="rId4585" Type="http://schemas.openxmlformats.org/officeDocument/2006/relationships/image" Target="../media/image4585.jpeg"/><Relationship Id="rId3187" Type="http://schemas.openxmlformats.org/officeDocument/2006/relationships/image" Target="../media/image3187.jpeg"/><Relationship Id="rId3394" Type="http://schemas.openxmlformats.org/officeDocument/2006/relationships/image" Target="../media/image3394.jpeg"/><Relationship Id="rId4238" Type="http://schemas.openxmlformats.org/officeDocument/2006/relationships/image" Target="../media/image4238.jpeg"/><Relationship Id="rId4792" Type="http://schemas.openxmlformats.org/officeDocument/2006/relationships/image" Target="../media/image4792.jpeg"/><Relationship Id="rId3047" Type="http://schemas.openxmlformats.org/officeDocument/2006/relationships/image" Target="../media/image3047.jpeg"/><Relationship Id="rId4445" Type="http://schemas.openxmlformats.org/officeDocument/2006/relationships/image" Target="../media/image4445.jpeg"/><Relationship Id="rId4652" Type="http://schemas.openxmlformats.org/officeDocument/2006/relationships/image" Target="../media/image4652.jpeg"/><Relationship Id="rId175" Type="http://schemas.openxmlformats.org/officeDocument/2006/relationships/image" Target="../media/image175.jpeg"/><Relationship Id="rId3254" Type="http://schemas.openxmlformats.org/officeDocument/2006/relationships/image" Target="../media/image3254.jpeg"/><Relationship Id="rId3461" Type="http://schemas.openxmlformats.org/officeDocument/2006/relationships/image" Target="../media/image3461.jpeg"/><Relationship Id="rId4305" Type="http://schemas.openxmlformats.org/officeDocument/2006/relationships/image" Target="../media/image4305.jpeg"/><Relationship Id="rId4512" Type="http://schemas.openxmlformats.org/officeDocument/2006/relationships/image" Target="../media/image4512.jpeg"/><Relationship Id="rId382" Type="http://schemas.openxmlformats.org/officeDocument/2006/relationships/image" Target="../media/image382.jpeg"/><Relationship Id="rId2063" Type="http://schemas.openxmlformats.org/officeDocument/2006/relationships/image" Target="../media/image2063.jpeg"/><Relationship Id="rId2270" Type="http://schemas.openxmlformats.org/officeDocument/2006/relationships/image" Target="../media/image2270.jpeg"/><Relationship Id="rId3114" Type="http://schemas.openxmlformats.org/officeDocument/2006/relationships/image" Target="../media/image3114.jpeg"/><Relationship Id="rId3321" Type="http://schemas.openxmlformats.org/officeDocument/2006/relationships/image" Target="../media/image3321.jpeg"/><Relationship Id="rId242" Type="http://schemas.openxmlformats.org/officeDocument/2006/relationships/image" Target="../media/image242.jpeg"/><Relationship Id="rId2130" Type="http://schemas.openxmlformats.org/officeDocument/2006/relationships/image" Target="../media/image2130.jpeg"/><Relationship Id="rId102" Type="http://schemas.openxmlformats.org/officeDocument/2006/relationships/image" Target="../media/image102.jpeg"/><Relationship Id="rId1689" Type="http://schemas.openxmlformats.org/officeDocument/2006/relationships/image" Target="../media/image1689.jpeg"/><Relationship Id="rId4095" Type="http://schemas.openxmlformats.org/officeDocument/2006/relationships/image" Target="../media/image4095.jpeg"/><Relationship Id="rId1896" Type="http://schemas.openxmlformats.org/officeDocument/2006/relationships/image" Target="../media/image1896.jpeg"/><Relationship Id="rId2947" Type="http://schemas.openxmlformats.org/officeDocument/2006/relationships/image" Target="../media/image2947.jpeg"/><Relationship Id="rId4162" Type="http://schemas.openxmlformats.org/officeDocument/2006/relationships/image" Target="../media/image4162.jpeg"/><Relationship Id="rId919" Type="http://schemas.openxmlformats.org/officeDocument/2006/relationships/image" Target="../media/image919.jpeg"/><Relationship Id="rId1549" Type="http://schemas.openxmlformats.org/officeDocument/2006/relationships/image" Target="../media/image1549.jpeg"/><Relationship Id="rId1756" Type="http://schemas.openxmlformats.org/officeDocument/2006/relationships/image" Target="../media/image1756.jpeg"/><Relationship Id="rId1963" Type="http://schemas.openxmlformats.org/officeDocument/2006/relationships/image" Target="../media/image1963.jpeg"/><Relationship Id="rId2807" Type="http://schemas.openxmlformats.org/officeDocument/2006/relationships/image" Target="../media/image2807.jpeg"/><Relationship Id="rId4022" Type="http://schemas.openxmlformats.org/officeDocument/2006/relationships/image" Target="../media/image4022.jpeg"/><Relationship Id="rId48" Type="http://schemas.openxmlformats.org/officeDocument/2006/relationships/image" Target="../media/image48.jpeg"/><Relationship Id="rId1409" Type="http://schemas.openxmlformats.org/officeDocument/2006/relationships/image" Target="../media/image1409.jpeg"/><Relationship Id="rId1616" Type="http://schemas.openxmlformats.org/officeDocument/2006/relationships/image" Target="../media/image1616.jpeg"/><Relationship Id="rId1823" Type="http://schemas.openxmlformats.org/officeDocument/2006/relationships/image" Target="../media/image1823.jpeg"/><Relationship Id="rId4979" Type="http://schemas.openxmlformats.org/officeDocument/2006/relationships/image" Target="../media/image4979.jpeg"/><Relationship Id="rId3788" Type="http://schemas.openxmlformats.org/officeDocument/2006/relationships/image" Target="../media/image3788.jpeg"/><Relationship Id="rId3995" Type="http://schemas.openxmlformats.org/officeDocument/2006/relationships/image" Target="../media/image3995.jpeg"/><Relationship Id="rId4839" Type="http://schemas.openxmlformats.org/officeDocument/2006/relationships/image" Target="../media/image4839.jpeg"/><Relationship Id="rId2597" Type="http://schemas.openxmlformats.org/officeDocument/2006/relationships/image" Target="../media/image2597.jpeg"/><Relationship Id="rId3648" Type="http://schemas.openxmlformats.org/officeDocument/2006/relationships/image" Target="../media/image3648.jpeg"/><Relationship Id="rId3855" Type="http://schemas.openxmlformats.org/officeDocument/2006/relationships/image" Target="../media/image3855.jpeg"/><Relationship Id="rId569" Type="http://schemas.openxmlformats.org/officeDocument/2006/relationships/image" Target="../media/image569.jpeg"/><Relationship Id="rId776" Type="http://schemas.openxmlformats.org/officeDocument/2006/relationships/image" Target="../media/image776.jpeg"/><Relationship Id="rId983" Type="http://schemas.openxmlformats.org/officeDocument/2006/relationships/image" Target="../media/image983.jpeg"/><Relationship Id="rId1199" Type="http://schemas.openxmlformats.org/officeDocument/2006/relationships/image" Target="../media/image1199.jpeg"/><Relationship Id="rId2457" Type="http://schemas.openxmlformats.org/officeDocument/2006/relationships/image" Target="../media/image2457.jpeg"/><Relationship Id="rId2664" Type="http://schemas.openxmlformats.org/officeDocument/2006/relationships/image" Target="../media/image2664.jpeg"/><Relationship Id="rId3508" Type="http://schemas.openxmlformats.org/officeDocument/2006/relationships/image" Target="../media/image3508.jpeg"/><Relationship Id="rId4906" Type="http://schemas.openxmlformats.org/officeDocument/2006/relationships/image" Target="../media/image4906.jpeg"/><Relationship Id="rId429" Type="http://schemas.openxmlformats.org/officeDocument/2006/relationships/image" Target="../media/image429.jpeg"/><Relationship Id="rId636" Type="http://schemas.openxmlformats.org/officeDocument/2006/relationships/image" Target="../media/image636.jpeg"/><Relationship Id="rId1059" Type="http://schemas.openxmlformats.org/officeDocument/2006/relationships/image" Target="../media/image1059.jpeg"/><Relationship Id="rId1266" Type="http://schemas.openxmlformats.org/officeDocument/2006/relationships/image" Target="../media/image1266.jpeg"/><Relationship Id="rId1473" Type="http://schemas.openxmlformats.org/officeDocument/2006/relationships/image" Target="../media/image1473.jpeg"/><Relationship Id="rId2317" Type="http://schemas.openxmlformats.org/officeDocument/2006/relationships/image" Target="../media/image2317.jpeg"/><Relationship Id="rId2871" Type="http://schemas.openxmlformats.org/officeDocument/2006/relationships/image" Target="../media/image2871.jpeg"/><Relationship Id="rId3715" Type="http://schemas.openxmlformats.org/officeDocument/2006/relationships/image" Target="../media/image3715.jpeg"/><Relationship Id="rId3922" Type="http://schemas.openxmlformats.org/officeDocument/2006/relationships/image" Target="../media/image3922.jpeg"/><Relationship Id="rId843" Type="http://schemas.openxmlformats.org/officeDocument/2006/relationships/image" Target="../media/image843.jpeg"/><Relationship Id="rId1126" Type="http://schemas.openxmlformats.org/officeDocument/2006/relationships/image" Target="../media/image1126.jpeg"/><Relationship Id="rId1680" Type="http://schemas.openxmlformats.org/officeDocument/2006/relationships/image" Target="../media/image1680.jpeg"/><Relationship Id="rId2524" Type="http://schemas.openxmlformats.org/officeDocument/2006/relationships/image" Target="../media/image2524.jpeg"/><Relationship Id="rId2731" Type="http://schemas.openxmlformats.org/officeDocument/2006/relationships/image" Target="../media/image2731.jpeg"/><Relationship Id="rId703" Type="http://schemas.openxmlformats.org/officeDocument/2006/relationships/image" Target="../media/image703.jpeg"/><Relationship Id="rId910" Type="http://schemas.openxmlformats.org/officeDocument/2006/relationships/image" Target="../media/image910.jpeg"/><Relationship Id="rId1333" Type="http://schemas.openxmlformats.org/officeDocument/2006/relationships/image" Target="../media/image1333.jpeg"/><Relationship Id="rId1540" Type="http://schemas.openxmlformats.org/officeDocument/2006/relationships/image" Target="../media/image1540.jpeg"/><Relationship Id="rId4489" Type="http://schemas.openxmlformats.org/officeDocument/2006/relationships/image" Target="../media/image4489.jpeg"/><Relationship Id="rId4696" Type="http://schemas.openxmlformats.org/officeDocument/2006/relationships/image" Target="../media/image4696.jpeg"/><Relationship Id="rId1400" Type="http://schemas.openxmlformats.org/officeDocument/2006/relationships/image" Target="../media/image1400.jpeg"/><Relationship Id="rId3298" Type="http://schemas.openxmlformats.org/officeDocument/2006/relationships/image" Target="../media/image3298.jpeg"/><Relationship Id="rId4349" Type="http://schemas.openxmlformats.org/officeDocument/2006/relationships/image" Target="../media/image4349.jpeg"/><Relationship Id="rId4556" Type="http://schemas.openxmlformats.org/officeDocument/2006/relationships/image" Target="../media/image4556.jpeg"/><Relationship Id="rId4763" Type="http://schemas.openxmlformats.org/officeDocument/2006/relationships/image" Target="../media/image4763.jpeg"/><Relationship Id="rId4970" Type="http://schemas.openxmlformats.org/officeDocument/2006/relationships/image" Target="../media/image4970.jpeg"/><Relationship Id="rId3158" Type="http://schemas.openxmlformats.org/officeDocument/2006/relationships/image" Target="../media/image3158.jpeg"/><Relationship Id="rId3365" Type="http://schemas.openxmlformats.org/officeDocument/2006/relationships/image" Target="../media/image3365.jpeg"/><Relationship Id="rId3572" Type="http://schemas.openxmlformats.org/officeDocument/2006/relationships/image" Target="../media/image3572.jpeg"/><Relationship Id="rId4209" Type="http://schemas.openxmlformats.org/officeDocument/2006/relationships/image" Target="../media/image4209.jpeg"/><Relationship Id="rId4416" Type="http://schemas.openxmlformats.org/officeDocument/2006/relationships/image" Target="../media/image4416.jpeg"/><Relationship Id="rId4623" Type="http://schemas.openxmlformats.org/officeDocument/2006/relationships/image" Target="../media/image4623.jpeg"/><Relationship Id="rId4830" Type="http://schemas.openxmlformats.org/officeDocument/2006/relationships/image" Target="../media/image4830.jpeg"/><Relationship Id="rId286" Type="http://schemas.openxmlformats.org/officeDocument/2006/relationships/image" Target="../media/image286.jpeg"/><Relationship Id="rId493" Type="http://schemas.openxmlformats.org/officeDocument/2006/relationships/image" Target="../media/image493.jpeg"/><Relationship Id="rId2174" Type="http://schemas.openxmlformats.org/officeDocument/2006/relationships/image" Target="../media/image2174.jpeg"/><Relationship Id="rId2381" Type="http://schemas.openxmlformats.org/officeDocument/2006/relationships/image" Target="../media/image2381.jpeg"/><Relationship Id="rId3018" Type="http://schemas.openxmlformats.org/officeDocument/2006/relationships/image" Target="../media/image3018.jpeg"/><Relationship Id="rId3225" Type="http://schemas.openxmlformats.org/officeDocument/2006/relationships/image" Target="../media/image3225.jpeg"/><Relationship Id="rId3432" Type="http://schemas.openxmlformats.org/officeDocument/2006/relationships/image" Target="../media/image3432.jpeg"/><Relationship Id="rId146" Type="http://schemas.openxmlformats.org/officeDocument/2006/relationships/image" Target="../media/image146.jpeg"/><Relationship Id="rId353" Type="http://schemas.openxmlformats.org/officeDocument/2006/relationships/image" Target="../media/image353.jpeg"/><Relationship Id="rId560" Type="http://schemas.openxmlformats.org/officeDocument/2006/relationships/image" Target="../media/image560.jpeg"/><Relationship Id="rId1190" Type="http://schemas.openxmlformats.org/officeDocument/2006/relationships/image" Target="../media/image1190.jpeg"/><Relationship Id="rId2034" Type="http://schemas.openxmlformats.org/officeDocument/2006/relationships/image" Target="../media/image2034.jpeg"/><Relationship Id="rId2241" Type="http://schemas.openxmlformats.org/officeDocument/2006/relationships/image" Target="../media/image2241.jpeg"/><Relationship Id="rId213" Type="http://schemas.openxmlformats.org/officeDocument/2006/relationships/image" Target="../media/image213.jpeg"/><Relationship Id="rId420" Type="http://schemas.openxmlformats.org/officeDocument/2006/relationships/image" Target="../media/image420.jpeg"/><Relationship Id="rId1050" Type="http://schemas.openxmlformats.org/officeDocument/2006/relationships/image" Target="../media/image1050.jpeg"/><Relationship Id="rId2101" Type="http://schemas.openxmlformats.org/officeDocument/2006/relationships/image" Target="../media/image2101.jpeg"/><Relationship Id="rId4066" Type="http://schemas.openxmlformats.org/officeDocument/2006/relationships/image" Target="../media/image4066.jpeg"/><Relationship Id="rId1867" Type="http://schemas.openxmlformats.org/officeDocument/2006/relationships/image" Target="../media/image1867.jpeg"/><Relationship Id="rId2918" Type="http://schemas.openxmlformats.org/officeDocument/2006/relationships/image" Target="../media/image2918.jpeg"/><Relationship Id="rId4273" Type="http://schemas.openxmlformats.org/officeDocument/2006/relationships/image" Target="../media/image4273.jpeg"/><Relationship Id="rId4480" Type="http://schemas.openxmlformats.org/officeDocument/2006/relationships/image" Target="../media/image4480.jpeg"/><Relationship Id="rId1727" Type="http://schemas.openxmlformats.org/officeDocument/2006/relationships/image" Target="../media/image1727.jpeg"/><Relationship Id="rId1934" Type="http://schemas.openxmlformats.org/officeDocument/2006/relationships/image" Target="../media/image1934.jpeg"/><Relationship Id="rId3082" Type="http://schemas.openxmlformats.org/officeDocument/2006/relationships/image" Target="../media/image3082.jpeg"/><Relationship Id="rId4133" Type="http://schemas.openxmlformats.org/officeDocument/2006/relationships/image" Target="../media/image4133.jpeg"/><Relationship Id="rId4340" Type="http://schemas.openxmlformats.org/officeDocument/2006/relationships/image" Target="../media/image4340.jpeg"/><Relationship Id="rId19" Type="http://schemas.openxmlformats.org/officeDocument/2006/relationships/image" Target="../media/image19.jpeg"/><Relationship Id="rId3899" Type="http://schemas.openxmlformats.org/officeDocument/2006/relationships/image" Target="../media/image3899.jpeg"/><Relationship Id="rId4200" Type="http://schemas.openxmlformats.org/officeDocument/2006/relationships/image" Target="../media/image4200.jpeg"/><Relationship Id="rId3759" Type="http://schemas.openxmlformats.org/officeDocument/2006/relationships/image" Target="../media/image3759.jpeg"/><Relationship Id="rId3966" Type="http://schemas.openxmlformats.org/officeDocument/2006/relationships/image" Target="../media/image3966.jpeg"/><Relationship Id="rId3" Type="http://schemas.openxmlformats.org/officeDocument/2006/relationships/image" Target="../media/image3.jpeg"/><Relationship Id="rId887" Type="http://schemas.openxmlformats.org/officeDocument/2006/relationships/image" Target="../media/image887.jpeg"/><Relationship Id="rId2568" Type="http://schemas.openxmlformats.org/officeDocument/2006/relationships/image" Target="../media/image2568.jpeg"/><Relationship Id="rId2775" Type="http://schemas.openxmlformats.org/officeDocument/2006/relationships/image" Target="../media/image2775.jpeg"/><Relationship Id="rId2982" Type="http://schemas.openxmlformats.org/officeDocument/2006/relationships/image" Target="../media/image2982.jpeg"/><Relationship Id="rId3619" Type="http://schemas.openxmlformats.org/officeDocument/2006/relationships/image" Target="../media/image3619.jpeg"/><Relationship Id="rId3826" Type="http://schemas.openxmlformats.org/officeDocument/2006/relationships/image" Target="../media/image3826.jpeg"/><Relationship Id="rId747" Type="http://schemas.openxmlformats.org/officeDocument/2006/relationships/image" Target="../media/image747.jpeg"/><Relationship Id="rId954" Type="http://schemas.openxmlformats.org/officeDocument/2006/relationships/image" Target="../media/image954.jpeg"/><Relationship Id="rId1377" Type="http://schemas.openxmlformats.org/officeDocument/2006/relationships/image" Target="../media/image1377.jpeg"/><Relationship Id="rId1584" Type="http://schemas.openxmlformats.org/officeDocument/2006/relationships/image" Target="../media/image1584.jpeg"/><Relationship Id="rId1791" Type="http://schemas.openxmlformats.org/officeDocument/2006/relationships/image" Target="../media/image1791.jpeg"/><Relationship Id="rId2428" Type="http://schemas.openxmlformats.org/officeDocument/2006/relationships/image" Target="../media/image2428.jpeg"/><Relationship Id="rId2635" Type="http://schemas.openxmlformats.org/officeDocument/2006/relationships/image" Target="../media/image2635.jpeg"/><Relationship Id="rId2842" Type="http://schemas.openxmlformats.org/officeDocument/2006/relationships/image" Target="../media/image2842.jpeg"/><Relationship Id="rId83" Type="http://schemas.openxmlformats.org/officeDocument/2006/relationships/image" Target="../media/image83.jpeg"/><Relationship Id="rId607" Type="http://schemas.openxmlformats.org/officeDocument/2006/relationships/image" Target="../media/image607.jpeg"/><Relationship Id="rId814" Type="http://schemas.openxmlformats.org/officeDocument/2006/relationships/image" Target="../media/image814.jpeg"/><Relationship Id="rId1237" Type="http://schemas.openxmlformats.org/officeDocument/2006/relationships/image" Target="../media/image1237.jpeg"/><Relationship Id="rId1444" Type="http://schemas.openxmlformats.org/officeDocument/2006/relationships/image" Target="../media/image1444.jpeg"/><Relationship Id="rId1651" Type="http://schemas.openxmlformats.org/officeDocument/2006/relationships/image" Target="../media/image1651.jpeg"/><Relationship Id="rId2702" Type="http://schemas.openxmlformats.org/officeDocument/2006/relationships/image" Target="../media/image2702.jpeg"/><Relationship Id="rId1304" Type="http://schemas.openxmlformats.org/officeDocument/2006/relationships/image" Target="../media/image1304.jpeg"/><Relationship Id="rId1511" Type="http://schemas.openxmlformats.org/officeDocument/2006/relationships/image" Target="../media/image1511.jpeg"/><Relationship Id="rId4667" Type="http://schemas.openxmlformats.org/officeDocument/2006/relationships/image" Target="../media/image4667.jpeg"/><Relationship Id="rId4874" Type="http://schemas.openxmlformats.org/officeDocument/2006/relationships/image" Target="../media/image4874.jpeg"/><Relationship Id="rId3269" Type="http://schemas.openxmlformats.org/officeDocument/2006/relationships/image" Target="../media/image3269.jpeg"/><Relationship Id="rId3476" Type="http://schemas.openxmlformats.org/officeDocument/2006/relationships/image" Target="../media/image3476.jpeg"/><Relationship Id="rId3683" Type="http://schemas.openxmlformats.org/officeDocument/2006/relationships/image" Target="../media/image3683.jpeg"/><Relationship Id="rId4527" Type="http://schemas.openxmlformats.org/officeDocument/2006/relationships/image" Target="../media/image4527.jpeg"/><Relationship Id="rId10" Type="http://schemas.openxmlformats.org/officeDocument/2006/relationships/image" Target="../media/image10.jpeg"/><Relationship Id="rId397" Type="http://schemas.openxmlformats.org/officeDocument/2006/relationships/image" Target="../media/image397.jpeg"/><Relationship Id="rId2078" Type="http://schemas.openxmlformats.org/officeDocument/2006/relationships/image" Target="../media/image2078.jpeg"/><Relationship Id="rId2285" Type="http://schemas.openxmlformats.org/officeDocument/2006/relationships/image" Target="../media/image2285.jpeg"/><Relationship Id="rId2492" Type="http://schemas.openxmlformats.org/officeDocument/2006/relationships/image" Target="../media/image2492.jpeg"/><Relationship Id="rId3129" Type="http://schemas.openxmlformats.org/officeDocument/2006/relationships/image" Target="../media/image3129.jpeg"/><Relationship Id="rId3336" Type="http://schemas.openxmlformats.org/officeDocument/2006/relationships/image" Target="../media/image3336.jpeg"/><Relationship Id="rId3890" Type="http://schemas.openxmlformats.org/officeDocument/2006/relationships/image" Target="../media/image3890.jpeg"/><Relationship Id="rId4734" Type="http://schemas.openxmlformats.org/officeDocument/2006/relationships/image" Target="../media/image4734.jpeg"/><Relationship Id="rId4941" Type="http://schemas.openxmlformats.org/officeDocument/2006/relationships/image" Target="../media/image4941.jpeg"/><Relationship Id="rId257" Type="http://schemas.openxmlformats.org/officeDocument/2006/relationships/image" Target="../media/image257.jpeg"/><Relationship Id="rId464" Type="http://schemas.openxmlformats.org/officeDocument/2006/relationships/image" Target="../media/image464.jpeg"/><Relationship Id="rId1094" Type="http://schemas.openxmlformats.org/officeDocument/2006/relationships/image" Target="../media/image1094.jpeg"/><Relationship Id="rId2145" Type="http://schemas.openxmlformats.org/officeDocument/2006/relationships/image" Target="../media/image2145.jpeg"/><Relationship Id="rId3543" Type="http://schemas.openxmlformats.org/officeDocument/2006/relationships/image" Target="../media/image3543.jpeg"/><Relationship Id="rId3750" Type="http://schemas.openxmlformats.org/officeDocument/2006/relationships/image" Target="../media/image3750.jpeg"/><Relationship Id="rId4801" Type="http://schemas.openxmlformats.org/officeDocument/2006/relationships/image" Target="../media/image4801.jpeg"/><Relationship Id="rId117" Type="http://schemas.openxmlformats.org/officeDocument/2006/relationships/image" Target="../media/image117.jpeg"/><Relationship Id="rId671" Type="http://schemas.openxmlformats.org/officeDocument/2006/relationships/image" Target="../media/image671.jpeg"/><Relationship Id="rId2352" Type="http://schemas.openxmlformats.org/officeDocument/2006/relationships/image" Target="../media/image2352.jpeg"/><Relationship Id="rId3403" Type="http://schemas.openxmlformats.org/officeDocument/2006/relationships/image" Target="../media/image3403.jpeg"/><Relationship Id="rId3610" Type="http://schemas.openxmlformats.org/officeDocument/2006/relationships/image" Target="../media/image3610.jpeg"/><Relationship Id="rId324" Type="http://schemas.openxmlformats.org/officeDocument/2006/relationships/image" Target="../media/image324.jpeg"/><Relationship Id="rId531" Type="http://schemas.openxmlformats.org/officeDocument/2006/relationships/image" Target="../media/image531.jpeg"/><Relationship Id="rId1161" Type="http://schemas.openxmlformats.org/officeDocument/2006/relationships/image" Target="../media/image1161.jpeg"/><Relationship Id="rId2005" Type="http://schemas.openxmlformats.org/officeDocument/2006/relationships/image" Target="../media/image2005.jpeg"/><Relationship Id="rId2212" Type="http://schemas.openxmlformats.org/officeDocument/2006/relationships/image" Target="../media/image2212.jpeg"/><Relationship Id="rId1021" Type="http://schemas.openxmlformats.org/officeDocument/2006/relationships/image" Target="../media/image1021.jpeg"/><Relationship Id="rId1978" Type="http://schemas.openxmlformats.org/officeDocument/2006/relationships/image" Target="../media/image1978.jpeg"/><Relationship Id="rId4177" Type="http://schemas.openxmlformats.org/officeDocument/2006/relationships/image" Target="../media/image4177.jpeg"/><Relationship Id="rId4384" Type="http://schemas.openxmlformats.org/officeDocument/2006/relationships/image" Target="../media/image4384.jpeg"/><Relationship Id="rId4591" Type="http://schemas.openxmlformats.org/officeDocument/2006/relationships/image" Target="../media/image4591.jpeg"/><Relationship Id="rId3193" Type="http://schemas.openxmlformats.org/officeDocument/2006/relationships/image" Target="../media/image3193.jpeg"/><Relationship Id="rId4037" Type="http://schemas.openxmlformats.org/officeDocument/2006/relationships/image" Target="../media/image4037.jpeg"/><Relationship Id="rId4244" Type="http://schemas.openxmlformats.org/officeDocument/2006/relationships/image" Target="../media/image4244.jpeg"/><Relationship Id="rId4451" Type="http://schemas.openxmlformats.org/officeDocument/2006/relationships/image" Target="../media/image4451.jpeg"/><Relationship Id="rId1838" Type="http://schemas.openxmlformats.org/officeDocument/2006/relationships/image" Target="../media/image1838.jpeg"/><Relationship Id="rId3053" Type="http://schemas.openxmlformats.org/officeDocument/2006/relationships/image" Target="../media/image3053.jpeg"/><Relationship Id="rId3260" Type="http://schemas.openxmlformats.org/officeDocument/2006/relationships/image" Target="../media/image3260.jpeg"/><Relationship Id="rId4104" Type="http://schemas.openxmlformats.org/officeDocument/2006/relationships/image" Target="../media/image4104.jpeg"/><Relationship Id="rId4311" Type="http://schemas.openxmlformats.org/officeDocument/2006/relationships/image" Target="../media/image4311.jpeg"/><Relationship Id="rId181" Type="http://schemas.openxmlformats.org/officeDocument/2006/relationships/image" Target="../media/image181.jpeg"/><Relationship Id="rId1905" Type="http://schemas.openxmlformats.org/officeDocument/2006/relationships/image" Target="../media/image1905.jpeg"/><Relationship Id="rId3120" Type="http://schemas.openxmlformats.org/officeDocument/2006/relationships/image" Target="../media/image3120.jpeg"/><Relationship Id="rId998" Type="http://schemas.openxmlformats.org/officeDocument/2006/relationships/image" Target="../media/image998.jpeg"/><Relationship Id="rId2679" Type="http://schemas.openxmlformats.org/officeDocument/2006/relationships/image" Target="../media/image2679.jpeg"/><Relationship Id="rId2886" Type="http://schemas.openxmlformats.org/officeDocument/2006/relationships/image" Target="../media/image2886.jpeg"/><Relationship Id="rId3937" Type="http://schemas.openxmlformats.org/officeDocument/2006/relationships/image" Target="../media/image3937.jpeg"/><Relationship Id="rId858" Type="http://schemas.openxmlformats.org/officeDocument/2006/relationships/image" Target="../media/image858.jpeg"/><Relationship Id="rId1488" Type="http://schemas.openxmlformats.org/officeDocument/2006/relationships/image" Target="../media/image1488.jpeg"/><Relationship Id="rId1695" Type="http://schemas.openxmlformats.org/officeDocument/2006/relationships/image" Target="../media/image1695.jpeg"/><Relationship Id="rId2539" Type="http://schemas.openxmlformats.org/officeDocument/2006/relationships/image" Target="../media/image2539.jpeg"/><Relationship Id="rId2746" Type="http://schemas.openxmlformats.org/officeDocument/2006/relationships/image" Target="../media/image2746.jpeg"/><Relationship Id="rId2953" Type="http://schemas.openxmlformats.org/officeDocument/2006/relationships/image" Target="../media/image2953.jpeg"/><Relationship Id="rId718" Type="http://schemas.openxmlformats.org/officeDocument/2006/relationships/image" Target="../media/image718.jpeg"/><Relationship Id="rId925" Type="http://schemas.openxmlformats.org/officeDocument/2006/relationships/image" Target="../media/image925.jpeg"/><Relationship Id="rId1348" Type="http://schemas.openxmlformats.org/officeDocument/2006/relationships/image" Target="../media/image1348.jpeg"/><Relationship Id="rId1555" Type="http://schemas.openxmlformats.org/officeDocument/2006/relationships/image" Target="../media/image1555.jpeg"/><Relationship Id="rId1762" Type="http://schemas.openxmlformats.org/officeDocument/2006/relationships/image" Target="../media/image1762.jpeg"/><Relationship Id="rId2606" Type="http://schemas.openxmlformats.org/officeDocument/2006/relationships/image" Target="../media/image2606.jpeg"/><Relationship Id="rId1208" Type="http://schemas.openxmlformats.org/officeDocument/2006/relationships/image" Target="../media/image1208.jpeg"/><Relationship Id="rId1415" Type="http://schemas.openxmlformats.org/officeDocument/2006/relationships/image" Target="../media/image1415.jpeg"/><Relationship Id="rId2813" Type="http://schemas.openxmlformats.org/officeDocument/2006/relationships/image" Target="../media/image2813.jpeg"/><Relationship Id="rId54" Type="http://schemas.openxmlformats.org/officeDocument/2006/relationships/image" Target="../media/image54.jpeg"/><Relationship Id="rId1622" Type="http://schemas.openxmlformats.org/officeDocument/2006/relationships/image" Target="../media/image1622.jpeg"/><Relationship Id="rId4778" Type="http://schemas.openxmlformats.org/officeDocument/2006/relationships/image" Target="../media/image4778.jpeg"/><Relationship Id="rId4985" Type="http://schemas.openxmlformats.org/officeDocument/2006/relationships/image" Target="../media/image4985.jpeg"/><Relationship Id="rId2189" Type="http://schemas.openxmlformats.org/officeDocument/2006/relationships/image" Target="../media/image2189.jpeg"/><Relationship Id="rId3587" Type="http://schemas.openxmlformats.org/officeDocument/2006/relationships/image" Target="../media/image3587.jpeg"/><Relationship Id="rId3794" Type="http://schemas.openxmlformats.org/officeDocument/2006/relationships/image" Target="../media/image3794.jpeg"/><Relationship Id="rId4638" Type="http://schemas.openxmlformats.org/officeDocument/2006/relationships/image" Target="../media/image4638.jpeg"/><Relationship Id="rId4845" Type="http://schemas.openxmlformats.org/officeDocument/2006/relationships/image" Target="../media/image4845.jpeg"/><Relationship Id="rId2396" Type="http://schemas.openxmlformats.org/officeDocument/2006/relationships/image" Target="../media/image2396.jpeg"/><Relationship Id="rId3447" Type="http://schemas.openxmlformats.org/officeDocument/2006/relationships/image" Target="../media/image3447.jpeg"/><Relationship Id="rId3654" Type="http://schemas.openxmlformats.org/officeDocument/2006/relationships/image" Target="../media/image3654.jpeg"/><Relationship Id="rId3861" Type="http://schemas.openxmlformats.org/officeDocument/2006/relationships/image" Target="../media/image3861.jpeg"/><Relationship Id="rId4705" Type="http://schemas.openxmlformats.org/officeDocument/2006/relationships/image" Target="../media/image4705.jpeg"/><Relationship Id="rId4912" Type="http://schemas.openxmlformats.org/officeDocument/2006/relationships/image" Target="../media/image4912.jpeg"/><Relationship Id="rId368" Type="http://schemas.openxmlformats.org/officeDocument/2006/relationships/image" Target="../media/image368.jpeg"/><Relationship Id="rId575" Type="http://schemas.openxmlformats.org/officeDocument/2006/relationships/image" Target="../media/image575.jpeg"/><Relationship Id="rId782" Type="http://schemas.openxmlformats.org/officeDocument/2006/relationships/image" Target="../media/image782.jpeg"/><Relationship Id="rId2049" Type="http://schemas.openxmlformats.org/officeDocument/2006/relationships/image" Target="../media/image2049.jpeg"/><Relationship Id="rId2256" Type="http://schemas.openxmlformats.org/officeDocument/2006/relationships/image" Target="../media/image2256.jpeg"/><Relationship Id="rId2463" Type="http://schemas.openxmlformats.org/officeDocument/2006/relationships/image" Target="../media/image2463.jpeg"/><Relationship Id="rId2670" Type="http://schemas.openxmlformats.org/officeDocument/2006/relationships/image" Target="../media/image2670.jpeg"/><Relationship Id="rId3307" Type="http://schemas.openxmlformats.org/officeDocument/2006/relationships/image" Target="../media/image3307.jpeg"/><Relationship Id="rId3514" Type="http://schemas.openxmlformats.org/officeDocument/2006/relationships/image" Target="../media/image3514.jpeg"/><Relationship Id="rId3721" Type="http://schemas.openxmlformats.org/officeDocument/2006/relationships/image" Target="../media/image3721.jpeg"/><Relationship Id="rId228" Type="http://schemas.openxmlformats.org/officeDocument/2006/relationships/image" Target="../media/image228.jpeg"/><Relationship Id="rId435" Type="http://schemas.openxmlformats.org/officeDocument/2006/relationships/image" Target="../media/image435.jpeg"/><Relationship Id="rId642" Type="http://schemas.openxmlformats.org/officeDocument/2006/relationships/image" Target="../media/image642.jpeg"/><Relationship Id="rId1065" Type="http://schemas.openxmlformats.org/officeDocument/2006/relationships/image" Target="../media/image1065.jpeg"/><Relationship Id="rId1272" Type="http://schemas.openxmlformats.org/officeDocument/2006/relationships/image" Target="../media/image1272.jpeg"/><Relationship Id="rId2116" Type="http://schemas.openxmlformats.org/officeDocument/2006/relationships/image" Target="../media/image2116.jpeg"/><Relationship Id="rId2323" Type="http://schemas.openxmlformats.org/officeDocument/2006/relationships/image" Target="../media/image2323.jpeg"/><Relationship Id="rId2530" Type="http://schemas.openxmlformats.org/officeDocument/2006/relationships/image" Target="../media/image2530.jpeg"/><Relationship Id="rId502" Type="http://schemas.openxmlformats.org/officeDocument/2006/relationships/image" Target="../media/image502.jpeg"/><Relationship Id="rId1132" Type="http://schemas.openxmlformats.org/officeDocument/2006/relationships/image" Target="../media/image1132.jpeg"/><Relationship Id="rId4288" Type="http://schemas.openxmlformats.org/officeDocument/2006/relationships/image" Target="../media/image4288.jpeg"/><Relationship Id="rId4495" Type="http://schemas.openxmlformats.org/officeDocument/2006/relationships/image" Target="../media/image4495.jpeg"/><Relationship Id="rId3097" Type="http://schemas.openxmlformats.org/officeDocument/2006/relationships/image" Target="../media/image3097.jpeg"/><Relationship Id="rId4148" Type="http://schemas.openxmlformats.org/officeDocument/2006/relationships/image" Target="../media/image4148.jpeg"/><Relationship Id="rId4355" Type="http://schemas.openxmlformats.org/officeDocument/2006/relationships/image" Target="../media/image4355.jpeg"/><Relationship Id="rId1949" Type="http://schemas.openxmlformats.org/officeDocument/2006/relationships/image" Target="../media/image1949.jpeg"/><Relationship Id="rId3164" Type="http://schemas.openxmlformats.org/officeDocument/2006/relationships/image" Target="../media/image3164.jpeg"/><Relationship Id="rId4008" Type="http://schemas.openxmlformats.org/officeDocument/2006/relationships/image" Target="../media/image4008.jpeg"/><Relationship Id="rId4562" Type="http://schemas.openxmlformats.org/officeDocument/2006/relationships/image" Target="../media/image4562.jpeg"/><Relationship Id="rId292" Type="http://schemas.openxmlformats.org/officeDocument/2006/relationships/image" Target="../media/image292.jpeg"/><Relationship Id="rId1809" Type="http://schemas.openxmlformats.org/officeDocument/2006/relationships/image" Target="../media/image1809.jpeg"/><Relationship Id="rId3371" Type="http://schemas.openxmlformats.org/officeDocument/2006/relationships/image" Target="../media/image3371.jpeg"/><Relationship Id="rId4215" Type="http://schemas.openxmlformats.org/officeDocument/2006/relationships/image" Target="../media/image4215.jpeg"/><Relationship Id="rId4422" Type="http://schemas.openxmlformats.org/officeDocument/2006/relationships/image" Target="../media/image4422.jpeg"/><Relationship Id="rId2180" Type="http://schemas.openxmlformats.org/officeDocument/2006/relationships/image" Target="../media/image2180.jpeg"/><Relationship Id="rId3024" Type="http://schemas.openxmlformats.org/officeDocument/2006/relationships/image" Target="../media/image3024.jpeg"/><Relationship Id="rId3231" Type="http://schemas.openxmlformats.org/officeDocument/2006/relationships/image" Target="../media/image3231.jpeg"/><Relationship Id="rId152" Type="http://schemas.openxmlformats.org/officeDocument/2006/relationships/image" Target="../media/image152.jpeg"/><Relationship Id="rId2040" Type="http://schemas.openxmlformats.org/officeDocument/2006/relationships/image" Target="../media/image2040.jpeg"/><Relationship Id="rId2997" Type="http://schemas.openxmlformats.org/officeDocument/2006/relationships/image" Target="../media/image2997.jpeg"/><Relationship Id="rId969" Type="http://schemas.openxmlformats.org/officeDocument/2006/relationships/image" Target="../media/image969.jpeg"/><Relationship Id="rId1599" Type="http://schemas.openxmlformats.org/officeDocument/2006/relationships/image" Target="../media/image1599.jpeg"/><Relationship Id="rId1459" Type="http://schemas.openxmlformats.org/officeDocument/2006/relationships/image" Target="../media/image1459.jpeg"/><Relationship Id="rId2857" Type="http://schemas.openxmlformats.org/officeDocument/2006/relationships/image" Target="../media/image2857.jpeg"/><Relationship Id="rId3908" Type="http://schemas.openxmlformats.org/officeDocument/2006/relationships/image" Target="../media/image3908.jpeg"/><Relationship Id="rId4072" Type="http://schemas.openxmlformats.org/officeDocument/2006/relationships/image" Target="../media/image4072.jpeg"/><Relationship Id="rId98" Type="http://schemas.openxmlformats.org/officeDocument/2006/relationships/image" Target="../media/image98.jpeg"/><Relationship Id="rId829" Type="http://schemas.openxmlformats.org/officeDocument/2006/relationships/image" Target="../media/image829.jpeg"/><Relationship Id="rId1666" Type="http://schemas.openxmlformats.org/officeDocument/2006/relationships/image" Target="../media/image1666.jpeg"/><Relationship Id="rId1873" Type="http://schemas.openxmlformats.org/officeDocument/2006/relationships/image" Target="../media/image1873.jpeg"/><Relationship Id="rId2717" Type="http://schemas.openxmlformats.org/officeDocument/2006/relationships/image" Target="../media/image2717.jpeg"/><Relationship Id="rId2924" Type="http://schemas.openxmlformats.org/officeDocument/2006/relationships/image" Target="../media/image2924.jpeg"/><Relationship Id="rId1319" Type="http://schemas.openxmlformats.org/officeDocument/2006/relationships/image" Target="../media/image1319.jpeg"/><Relationship Id="rId1526" Type="http://schemas.openxmlformats.org/officeDocument/2006/relationships/image" Target="../media/image1526.jpeg"/><Relationship Id="rId1733" Type="http://schemas.openxmlformats.org/officeDocument/2006/relationships/image" Target="../media/image1733.jpeg"/><Relationship Id="rId1940" Type="http://schemas.openxmlformats.org/officeDocument/2006/relationships/image" Target="../media/image1940.jpeg"/><Relationship Id="rId4889" Type="http://schemas.openxmlformats.org/officeDocument/2006/relationships/image" Target="../media/image4889.jpeg"/><Relationship Id="rId25" Type="http://schemas.openxmlformats.org/officeDocument/2006/relationships/image" Target="../media/image25.jpeg"/><Relationship Id="rId1800" Type="http://schemas.openxmlformats.org/officeDocument/2006/relationships/image" Target="../media/image1800.jpeg"/><Relationship Id="rId3698" Type="http://schemas.openxmlformats.org/officeDocument/2006/relationships/image" Target="../media/image3698.jpeg"/><Relationship Id="rId4749" Type="http://schemas.openxmlformats.org/officeDocument/2006/relationships/image" Target="../media/image4749.jpeg"/><Relationship Id="rId4956" Type="http://schemas.openxmlformats.org/officeDocument/2006/relationships/image" Target="../media/image4956.jpeg"/><Relationship Id="rId3558" Type="http://schemas.openxmlformats.org/officeDocument/2006/relationships/image" Target="../media/image3558.jpeg"/><Relationship Id="rId3765" Type="http://schemas.openxmlformats.org/officeDocument/2006/relationships/image" Target="../media/image3765.jpeg"/><Relationship Id="rId3972" Type="http://schemas.openxmlformats.org/officeDocument/2006/relationships/image" Target="../media/image3972.jpeg"/><Relationship Id="rId4609" Type="http://schemas.openxmlformats.org/officeDocument/2006/relationships/image" Target="../media/image4609.jpeg"/><Relationship Id="rId4816" Type="http://schemas.openxmlformats.org/officeDocument/2006/relationships/image" Target="../media/image4816.jpeg"/><Relationship Id="rId479" Type="http://schemas.openxmlformats.org/officeDocument/2006/relationships/image" Target="../media/image479.jpeg"/><Relationship Id="rId686" Type="http://schemas.openxmlformats.org/officeDocument/2006/relationships/image" Target="../media/image686.jpeg"/><Relationship Id="rId893" Type="http://schemas.openxmlformats.org/officeDocument/2006/relationships/image" Target="../media/image893.jpeg"/><Relationship Id="rId2367" Type="http://schemas.openxmlformats.org/officeDocument/2006/relationships/image" Target="../media/image2367.jpeg"/><Relationship Id="rId2574" Type="http://schemas.openxmlformats.org/officeDocument/2006/relationships/image" Target="../media/image2574.jpeg"/><Relationship Id="rId2781" Type="http://schemas.openxmlformats.org/officeDocument/2006/relationships/image" Target="../media/image2781.jpeg"/><Relationship Id="rId3418" Type="http://schemas.openxmlformats.org/officeDocument/2006/relationships/image" Target="../media/image3418.jpeg"/><Relationship Id="rId3625" Type="http://schemas.openxmlformats.org/officeDocument/2006/relationships/image" Target="../media/image3625.jpeg"/><Relationship Id="rId339" Type="http://schemas.openxmlformats.org/officeDocument/2006/relationships/image" Target="../media/image339.jpeg"/><Relationship Id="rId546" Type="http://schemas.openxmlformats.org/officeDocument/2006/relationships/image" Target="../media/image546.jpeg"/><Relationship Id="rId753" Type="http://schemas.openxmlformats.org/officeDocument/2006/relationships/image" Target="../media/image753.jpeg"/><Relationship Id="rId1176" Type="http://schemas.openxmlformats.org/officeDocument/2006/relationships/image" Target="../media/image1176.jpeg"/><Relationship Id="rId1383" Type="http://schemas.openxmlformats.org/officeDocument/2006/relationships/image" Target="../media/image1383.jpeg"/><Relationship Id="rId2227" Type="http://schemas.openxmlformats.org/officeDocument/2006/relationships/image" Target="../media/image2227.jpeg"/><Relationship Id="rId2434" Type="http://schemas.openxmlformats.org/officeDocument/2006/relationships/image" Target="../media/image2434.jpeg"/><Relationship Id="rId3832" Type="http://schemas.openxmlformats.org/officeDocument/2006/relationships/image" Target="../media/image3832.jpeg"/><Relationship Id="rId406" Type="http://schemas.openxmlformats.org/officeDocument/2006/relationships/image" Target="../media/image406.jpeg"/><Relationship Id="rId960" Type="http://schemas.openxmlformats.org/officeDocument/2006/relationships/image" Target="../media/image960.jpeg"/><Relationship Id="rId1036" Type="http://schemas.openxmlformats.org/officeDocument/2006/relationships/image" Target="../media/image1036.jpeg"/><Relationship Id="rId1243" Type="http://schemas.openxmlformats.org/officeDocument/2006/relationships/image" Target="../media/image1243.jpeg"/><Relationship Id="rId1590" Type="http://schemas.openxmlformats.org/officeDocument/2006/relationships/image" Target="../media/image1590.jpeg"/><Relationship Id="rId2641" Type="http://schemas.openxmlformats.org/officeDocument/2006/relationships/image" Target="../media/image2641.jpeg"/><Relationship Id="rId4399" Type="http://schemas.openxmlformats.org/officeDocument/2006/relationships/image" Target="../media/image4399.jpeg"/><Relationship Id="rId613" Type="http://schemas.openxmlformats.org/officeDocument/2006/relationships/image" Target="../media/image613.jpeg"/><Relationship Id="rId820" Type="http://schemas.openxmlformats.org/officeDocument/2006/relationships/image" Target="../media/image820.jpeg"/><Relationship Id="rId1450" Type="http://schemas.openxmlformats.org/officeDocument/2006/relationships/image" Target="../media/image1450.jpeg"/><Relationship Id="rId2501" Type="http://schemas.openxmlformats.org/officeDocument/2006/relationships/image" Target="../media/image2501.jpeg"/><Relationship Id="rId1103" Type="http://schemas.openxmlformats.org/officeDocument/2006/relationships/image" Target="../media/image1103.jpeg"/><Relationship Id="rId1310" Type="http://schemas.openxmlformats.org/officeDocument/2006/relationships/image" Target="../media/image1310.jpeg"/><Relationship Id="rId4259" Type="http://schemas.openxmlformats.org/officeDocument/2006/relationships/image" Target="../media/image4259.jpeg"/><Relationship Id="rId4466" Type="http://schemas.openxmlformats.org/officeDocument/2006/relationships/image" Target="../media/image4466.jpeg"/><Relationship Id="rId4673" Type="http://schemas.openxmlformats.org/officeDocument/2006/relationships/image" Target="../media/image4673.jpeg"/><Relationship Id="rId4880" Type="http://schemas.openxmlformats.org/officeDocument/2006/relationships/image" Target="../media/image4880.jpeg"/><Relationship Id="rId3068" Type="http://schemas.openxmlformats.org/officeDocument/2006/relationships/image" Target="../media/image3068.jpeg"/><Relationship Id="rId3275" Type="http://schemas.openxmlformats.org/officeDocument/2006/relationships/image" Target="../media/image3275.jpeg"/><Relationship Id="rId3482" Type="http://schemas.openxmlformats.org/officeDocument/2006/relationships/image" Target="../media/image3482.jpeg"/><Relationship Id="rId4119" Type="http://schemas.openxmlformats.org/officeDocument/2006/relationships/image" Target="../media/image4119.jpeg"/><Relationship Id="rId4326" Type="http://schemas.openxmlformats.org/officeDocument/2006/relationships/image" Target="../media/image4326.jpeg"/><Relationship Id="rId4533" Type="http://schemas.openxmlformats.org/officeDocument/2006/relationships/image" Target="../media/image4533.jpeg"/><Relationship Id="rId4740" Type="http://schemas.openxmlformats.org/officeDocument/2006/relationships/image" Target="../media/image4740.jpeg"/><Relationship Id="rId196" Type="http://schemas.openxmlformats.org/officeDocument/2006/relationships/image" Target="../media/image196.jpeg"/><Relationship Id="rId2084" Type="http://schemas.openxmlformats.org/officeDocument/2006/relationships/image" Target="../media/image2084.jpeg"/><Relationship Id="rId2291" Type="http://schemas.openxmlformats.org/officeDocument/2006/relationships/image" Target="../media/image2291.jpeg"/><Relationship Id="rId3135" Type="http://schemas.openxmlformats.org/officeDocument/2006/relationships/image" Target="../media/image3135.jpeg"/><Relationship Id="rId3342" Type="http://schemas.openxmlformats.org/officeDocument/2006/relationships/image" Target="../media/image3342.jpeg"/><Relationship Id="rId4600" Type="http://schemas.openxmlformats.org/officeDocument/2006/relationships/image" Target="../media/image4600.jpeg"/><Relationship Id="rId263" Type="http://schemas.openxmlformats.org/officeDocument/2006/relationships/image" Target="../media/image263.jpeg"/><Relationship Id="rId470" Type="http://schemas.openxmlformats.org/officeDocument/2006/relationships/image" Target="../media/image470.jpeg"/><Relationship Id="rId2151" Type="http://schemas.openxmlformats.org/officeDocument/2006/relationships/image" Target="../media/image2151.jpeg"/><Relationship Id="rId3202" Type="http://schemas.openxmlformats.org/officeDocument/2006/relationships/image" Target="../media/image3202.jpeg"/><Relationship Id="rId123" Type="http://schemas.openxmlformats.org/officeDocument/2006/relationships/image" Target="../media/image123.jpeg"/><Relationship Id="rId330" Type="http://schemas.openxmlformats.org/officeDocument/2006/relationships/image" Target="../media/image330.jpeg"/><Relationship Id="rId2011" Type="http://schemas.openxmlformats.org/officeDocument/2006/relationships/image" Target="../media/image2011.jpeg"/><Relationship Id="rId2968" Type="http://schemas.openxmlformats.org/officeDocument/2006/relationships/image" Target="../media/image2968.jpeg"/><Relationship Id="rId4183" Type="http://schemas.openxmlformats.org/officeDocument/2006/relationships/image" Target="../media/image4183.jpeg"/><Relationship Id="rId1777" Type="http://schemas.openxmlformats.org/officeDocument/2006/relationships/image" Target="../media/image1777.jpeg"/><Relationship Id="rId1984" Type="http://schemas.openxmlformats.org/officeDocument/2006/relationships/image" Target="../media/image1984.jpeg"/><Relationship Id="rId2828" Type="http://schemas.openxmlformats.org/officeDocument/2006/relationships/image" Target="../media/image2828.jpeg"/><Relationship Id="rId4390" Type="http://schemas.openxmlformats.org/officeDocument/2006/relationships/image" Target="../media/image4390.jpeg"/><Relationship Id="rId69" Type="http://schemas.openxmlformats.org/officeDocument/2006/relationships/image" Target="../media/image69.jpeg"/><Relationship Id="rId1637" Type="http://schemas.openxmlformats.org/officeDocument/2006/relationships/image" Target="../media/image1637.jpeg"/><Relationship Id="rId1844" Type="http://schemas.openxmlformats.org/officeDocument/2006/relationships/image" Target="../media/image1844.jpeg"/><Relationship Id="rId4043" Type="http://schemas.openxmlformats.org/officeDocument/2006/relationships/image" Target="../media/image4043.jpeg"/><Relationship Id="rId4250" Type="http://schemas.openxmlformats.org/officeDocument/2006/relationships/image" Target="../media/image4250.jpeg"/><Relationship Id="rId1704" Type="http://schemas.openxmlformats.org/officeDocument/2006/relationships/image" Target="../media/image1704.jpeg"/><Relationship Id="rId4110" Type="http://schemas.openxmlformats.org/officeDocument/2006/relationships/image" Target="../media/image4110.jpeg"/><Relationship Id="rId1911" Type="http://schemas.openxmlformats.org/officeDocument/2006/relationships/image" Target="../media/image1911.jpeg"/><Relationship Id="rId3669" Type="http://schemas.openxmlformats.org/officeDocument/2006/relationships/image" Target="../media/image3669.jpeg"/><Relationship Id="rId797" Type="http://schemas.openxmlformats.org/officeDocument/2006/relationships/image" Target="../media/image797.jpeg"/><Relationship Id="rId2478" Type="http://schemas.openxmlformats.org/officeDocument/2006/relationships/image" Target="../media/image2478.jpeg"/><Relationship Id="rId3876" Type="http://schemas.openxmlformats.org/officeDocument/2006/relationships/image" Target="../media/image3876.jpeg"/><Relationship Id="rId4927" Type="http://schemas.openxmlformats.org/officeDocument/2006/relationships/image" Target="../media/image4927.jpeg"/><Relationship Id="rId1287" Type="http://schemas.openxmlformats.org/officeDocument/2006/relationships/image" Target="../media/image1287.jpeg"/><Relationship Id="rId2685" Type="http://schemas.openxmlformats.org/officeDocument/2006/relationships/image" Target="../media/image2685.jpeg"/><Relationship Id="rId2892" Type="http://schemas.openxmlformats.org/officeDocument/2006/relationships/image" Target="../media/image2892.jpeg"/><Relationship Id="rId3529" Type="http://schemas.openxmlformats.org/officeDocument/2006/relationships/image" Target="../media/image3529.jpeg"/><Relationship Id="rId3736" Type="http://schemas.openxmlformats.org/officeDocument/2006/relationships/image" Target="../media/image3736.jpeg"/><Relationship Id="rId3943" Type="http://schemas.openxmlformats.org/officeDocument/2006/relationships/image" Target="../media/image3943.jpeg"/><Relationship Id="rId657" Type="http://schemas.openxmlformats.org/officeDocument/2006/relationships/image" Target="../media/image657.jpeg"/><Relationship Id="rId864" Type="http://schemas.openxmlformats.org/officeDocument/2006/relationships/image" Target="../media/image864.jpeg"/><Relationship Id="rId1494" Type="http://schemas.openxmlformats.org/officeDocument/2006/relationships/image" Target="../media/image1494.jpeg"/><Relationship Id="rId2338" Type="http://schemas.openxmlformats.org/officeDocument/2006/relationships/image" Target="../media/image2338.jpeg"/><Relationship Id="rId2545" Type="http://schemas.openxmlformats.org/officeDocument/2006/relationships/image" Target="../media/image2545.jpeg"/><Relationship Id="rId2752" Type="http://schemas.openxmlformats.org/officeDocument/2006/relationships/image" Target="../media/image2752.jpeg"/><Relationship Id="rId3803" Type="http://schemas.openxmlformats.org/officeDocument/2006/relationships/image" Target="../media/image3803.jpeg"/><Relationship Id="rId517" Type="http://schemas.openxmlformats.org/officeDocument/2006/relationships/image" Target="../media/image517.jpeg"/><Relationship Id="rId724" Type="http://schemas.openxmlformats.org/officeDocument/2006/relationships/image" Target="../media/image724.jpeg"/><Relationship Id="rId931" Type="http://schemas.openxmlformats.org/officeDocument/2006/relationships/image" Target="../media/image931.jpeg"/><Relationship Id="rId1147" Type="http://schemas.openxmlformats.org/officeDocument/2006/relationships/image" Target="../media/image1147.jpeg"/><Relationship Id="rId1354" Type="http://schemas.openxmlformats.org/officeDocument/2006/relationships/image" Target="../media/image1354.jpeg"/><Relationship Id="rId1561" Type="http://schemas.openxmlformats.org/officeDocument/2006/relationships/image" Target="../media/image1561.jpeg"/><Relationship Id="rId2405" Type="http://schemas.openxmlformats.org/officeDocument/2006/relationships/image" Target="../media/image2405.jpeg"/><Relationship Id="rId2612" Type="http://schemas.openxmlformats.org/officeDocument/2006/relationships/image" Target="../media/image2612.jpeg"/><Relationship Id="rId60" Type="http://schemas.openxmlformats.org/officeDocument/2006/relationships/image" Target="../media/image60.jpeg"/><Relationship Id="rId1007" Type="http://schemas.openxmlformats.org/officeDocument/2006/relationships/image" Target="../media/image1007.jpeg"/><Relationship Id="rId1214" Type="http://schemas.openxmlformats.org/officeDocument/2006/relationships/image" Target="../media/image1214.jpeg"/><Relationship Id="rId1421" Type="http://schemas.openxmlformats.org/officeDocument/2006/relationships/image" Target="../media/image1421.jpeg"/><Relationship Id="rId4577" Type="http://schemas.openxmlformats.org/officeDocument/2006/relationships/image" Target="../media/image4577.jpeg"/><Relationship Id="rId4784" Type="http://schemas.openxmlformats.org/officeDocument/2006/relationships/image" Target="../media/image4784.jpeg"/><Relationship Id="rId3179" Type="http://schemas.openxmlformats.org/officeDocument/2006/relationships/image" Target="../media/image3179.jpeg"/><Relationship Id="rId3386" Type="http://schemas.openxmlformats.org/officeDocument/2006/relationships/image" Target="../media/image3386.jpeg"/><Relationship Id="rId3593" Type="http://schemas.openxmlformats.org/officeDocument/2006/relationships/image" Target="../media/image3593.jpeg"/><Relationship Id="rId4437" Type="http://schemas.openxmlformats.org/officeDocument/2006/relationships/image" Target="../media/image4437.jpeg"/><Relationship Id="rId4644" Type="http://schemas.openxmlformats.org/officeDocument/2006/relationships/image" Target="../media/image4644.jpeg"/><Relationship Id="rId2195" Type="http://schemas.openxmlformats.org/officeDocument/2006/relationships/image" Target="../media/image2195.jpeg"/><Relationship Id="rId3039" Type="http://schemas.openxmlformats.org/officeDocument/2006/relationships/image" Target="../media/image3039.jpeg"/><Relationship Id="rId3246" Type="http://schemas.openxmlformats.org/officeDocument/2006/relationships/image" Target="../media/image3246.jpeg"/><Relationship Id="rId3453" Type="http://schemas.openxmlformats.org/officeDocument/2006/relationships/image" Target="../media/image3453.jpeg"/><Relationship Id="rId4851" Type="http://schemas.openxmlformats.org/officeDocument/2006/relationships/image" Target="../media/image4851.jpeg"/><Relationship Id="rId167" Type="http://schemas.openxmlformats.org/officeDocument/2006/relationships/image" Target="../media/image167.jpeg"/><Relationship Id="rId374" Type="http://schemas.openxmlformats.org/officeDocument/2006/relationships/image" Target="../media/image374.jpeg"/><Relationship Id="rId581" Type="http://schemas.openxmlformats.org/officeDocument/2006/relationships/image" Target="../media/image581.jpeg"/><Relationship Id="rId2055" Type="http://schemas.openxmlformats.org/officeDocument/2006/relationships/image" Target="../media/image2055.jpeg"/><Relationship Id="rId2262" Type="http://schemas.openxmlformats.org/officeDocument/2006/relationships/image" Target="../media/image2262.jpeg"/><Relationship Id="rId3106" Type="http://schemas.openxmlformats.org/officeDocument/2006/relationships/image" Target="../media/image3106.jpeg"/><Relationship Id="rId3660" Type="http://schemas.openxmlformats.org/officeDocument/2006/relationships/image" Target="../media/image3660.jpeg"/><Relationship Id="rId4504" Type="http://schemas.openxmlformats.org/officeDocument/2006/relationships/image" Target="../media/image4504.jpeg"/><Relationship Id="rId4711" Type="http://schemas.openxmlformats.org/officeDocument/2006/relationships/image" Target="../media/image4711.jpeg"/><Relationship Id="rId234" Type="http://schemas.openxmlformats.org/officeDocument/2006/relationships/image" Target="../media/image234.jpeg"/><Relationship Id="rId3313" Type="http://schemas.openxmlformats.org/officeDocument/2006/relationships/image" Target="../media/image3313.jpeg"/><Relationship Id="rId3520" Type="http://schemas.openxmlformats.org/officeDocument/2006/relationships/image" Target="../media/image3520.jpeg"/><Relationship Id="rId441" Type="http://schemas.openxmlformats.org/officeDocument/2006/relationships/image" Target="../media/image441.jpeg"/><Relationship Id="rId1071" Type="http://schemas.openxmlformats.org/officeDocument/2006/relationships/image" Target="../media/image1071.jpeg"/><Relationship Id="rId2122" Type="http://schemas.openxmlformats.org/officeDocument/2006/relationships/image" Target="../media/image2122.jpeg"/><Relationship Id="rId301" Type="http://schemas.openxmlformats.org/officeDocument/2006/relationships/image" Target="../media/image301.jpeg"/><Relationship Id="rId1888" Type="http://schemas.openxmlformats.org/officeDocument/2006/relationships/image" Target="../media/image1888.jpeg"/><Relationship Id="rId2939" Type="http://schemas.openxmlformats.org/officeDocument/2006/relationships/image" Target="../media/image2939.jpeg"/><Relationship Id="rId4087" Type="http://schemas.openxmlformats.org/officeDocument/2006/relationships/image" Target="../media/image4087.jpeg"/><Relationship Id="rId4294" Type="http://schemas.openxmlformats.org/officeDocument/2006/relationships/image" Target="../media/image4294.jpeg"/><Relationship Id="rId1748" Type="http://schemas.openxmlformats.org/officeDocument/2006/relationships/image" Target="../media/image1748.jpeg"/><Relationship Id="rId4154" Type="http://schemas.openxmlformats.org/officeDocument/2006/relationships/image" Target="../media/image4154.jpeg"/><Relationship Id="rId4361" Type="http://schemas.openxmlformats.org/officeDocument/2006/relationships/image" Target="../media/image4361.jpeg"/><Relationship Id="rId1955" Type="http://schemas.openxmlformats.org/officeDocument/2006/relationships/image" Target="../media/image1955.jpeg"/><Relationship Id="rId3170" Type="http://schemas.openxmlformats.org/officeDocument/2006/relationships/image" Target="../media/image3170.jpeg"/><Relationship Id="rId4014" Type="http://schemas.openxmlformats.org/officeDocument/2006/relationships/image" Target="../media/image4014.jpeg"/><Relationship Id="rId4221" Type="http://schemas.openxmlformats.org/officeDocument/2006/relationships/image" Target="../media/image4221.jpeg"/><Relationship Id="rId1608" Type="http://schemas.openxmlformats.org/officeDocument/2006/relationships/image" Target="../media/image1608.jpeg"/><Relationship Id="rId1815" Type="http://schemas.openxmlformats.org/officeDocument/2006/relationships/image" Target="../media/image1815.jpeg"/><Relationship Id="rId3030" Type="http://schemas.openxmlformats.org/officeDocument/2006/relationships/image" Target="../media/image3030.jpeg"/><Relationship Id="rId3987" Type="http://schemas.openxmlformats.org/officeDocument/2006/relationships/image" Target="../media/image3987.jpeg"/><Relationship Id="rId2589" Type="http://schemas.openxmlformats.org/officeDocument/2006/relationships/image" Target="../media/image2589.jpeg"/><Relationship Id="rId2796" Type="http://schemas.openxmlformats.org/officeDocument/2006/relationships/image" Target="../media/image2796.jpeg"/><Relationship Id="rId3847" Type="http://schemas.openxmlformats.org/officeDocument/2006/relationships/image" Target="../media/image3847.jpeg"/><Relationship Id="rId768" Type="http://schemas.openxmlformats.org/officeDocument/2006/relationships/image" Target="../media/image768.jpeg"/><Relationship Id="rId975" Type="http://schemas.openxmlformats.org/officeDocument/2006/relationships/image" Target="../media/image975.jpeg"/><Relationship Id="rId1398" Type="http://schemas.openxmlformats.org/officeDocument/2006/relationships/image" Target="../media/image1398.jpeg"/><Relationship Id="rId2449" Type="http://schemas.openxmlformats.org/officeDocument/2006/relationships/image" Target="../media/image2449.jpeg"/><Relationship Id="rId2656" Type="http://schemas.openxmlformats.org/officeDocument/2006/relationships/image" Target="../media/image2656.jpeg"/><Relationship Id="rId2863" Type="http://schemas.openxmlformats.org/officeDocument/2006/relationships/image" Target="../media/image2863.jpeg"/><Relationship Id="rId3707" Type="http://schemas.openxmlformats.org/officeDocument/2006/relationships/image" Target="../media/image3707.jpeg"/><Relationship Id="rId3914" Type="http://schemas.openxmlformats.org/officeDocument/2006/relationships/image" Target="../media/image3914.jpeg"/><Relationship Id="rId628" Type="http://schemas.openxmlformats.org/officeDocument/2006/relationships/image" Target="../media/image628.jpeg"/><Relationship Id="rId835" Type="http://schemas.openxmlformats.org/officeDocument/2006/relationships/image" Target="../media/image835.jpeg"/><Relationship Id="rId1258" Type="http://schemas.openxmlformats.org/officeDocument/2006/relationships/image" Target="../media/image1258.jpeg"/><Relationship Id="rId1465" Type="http://schemas.openxmlformats.org/officeDocument/2006/relationships/image" Target="../media/image1465.jpeg"/><Relationship Id="rId1672" Type="http://schemas.openxmlformats.org/officeDocument/2006/relationships/image" Target="../media/image1672.jpeg"/><Relationship Id="rId2309" Type="http://schemas.openxmlformats.org/officeDocument/2006/relationships/image" Target="../media/image2309.jpeg"/><Relationship Id="rId2516" Type="http://schemas.openxmlformats.org/officeDocument/2006/relationships/image" Target="../media/image2516.jpeg"/><Relationship Id="rId2723" Type="http://schemas.openxmlformats.org/officeDocument/2006/relationships/image" Target="../media/image2723.jpeg"/><Relationship Id="rId1118" Type="http://schemas.openxmlformats.org/officeDocument/2006/relationships/image" Target="../media/image1118.jpeg"/><Relationship Id="rId1325" Type="http://schemas.openxmlformats.org/officeDocument/2006/relationships/image" Target="../media/image1325.jpeg"/><Relationship Id="rId1532" Type="http://schemas.openxmlformats.org/officeDocument/2006/relationships/image" Target="../media/image1532.jpeg"/><Relationship Id="rId2930" Type="http://schemas.openxmlformats.org/officeDocument/2006/relationships/image" Target="../media/image2930.jpeg"/><Relationship Id="rId4688" Type="http://schemas.openxmlformats.org/officeDocument/2006/relationships/image" Target="../media/image4688.jpeg"/><Relationship Id="rId902" Type="http://schemas.openxmlformats.org/officeDocument/2006/relationships/image" Target="../media/image902.jpeg"/><Relationship Id="rId3497" Type="http://schemas.openxmlformats.org/officeDocument/2006/relationships/image" Target="../media/image3497.jpeg"/><Relationship Id="rId4895" Type="http://schemas.openxmlformats.org/officeDocument/2006/relationships/image" Target="../media/image4895.jpeg"/><Relationship Id="rId31" Type="http://schemas.openxmlformats.org/officeDocument/2006/relationships/image" Target="../media/image31.jpeg"/><Relationship Id="rId2099" Type="http://schemas.openxmlformats.org/officeDocument/2006/relationships/image" Target="../media/image2099.jpeg"/><Relationship Id="rId4548" Type="http://schemas.openxmlformats.org/officeDocument/2006/relationships/image" Target="../media/image4548.jpeg"/><Relationship Id="rId4755" Type="http://schemas.openxmlformats.org/officeDocument/2006/relationships/image" Target="../media/image4755.jpeg"/><Relationship Id="rId4962" Type="http://schemas.openxmlformats.org/officeDocument/2006/relationships/image" Target="../media/image4962.jpeg"/><Relationship Id="rId278" Type="http://schemas.openxmlformats.org/officeDocument/2006/relationships/image" Target="../media/image278.jpeg"/><Relationship Id="rId3357" Type="http://schemas.openxmlformats.org/officeDocument/2006/relationships/image" Target="../media/image3357.jpeg"/><Relationship Id="rId3564" Type="http://schemas.openxmlformats.org/officeDocument/2006/relationships/image" Target="../media/image3564.jpeg"/><Relationship Id="rId3771" Type="http://schemas.openxmlformats.org/officeDocument/2006/relationships/image" Target="../media/image3771.jpeg"/><Relationship Id="rId4408" Type="http://schemas.openxmlformats.org/officeDocument/2006/relationships/image" Target="../media/image4408.jpeg"/><Relationship Id="rId4615" Type="http://schemas.openxmlformats.org/officeDocument/2006/relationships/image" Target="../media/image4615.jpeg"/><Relationship Id="rId4822" Type="http://schemas.openxmlformats.org/officeDocument/2006/relationships/image" Target="../media/image4822.jpeg"/><Relationship Id="rId485" Type="http://schemas.openxmlformats.org/officeDocument/2006/relationships/image" Target="../media/image485.jpeg"/><Relationship Id="rId692" Type="http://schemas.openxmlformats.org/officeDocument/2006/relationships/image" Target="../media/image692.jpeg"/><Relationship Id="rId2166" Type="http://schemas.openxmlformats.org/officeDocument/2006/relationships/image" Target="../media/image2166.jpeg"/><Relationship Id="rId2373" Type="http://schemas.openxmlformats.org/officeDocument/2006/relationships/image" Target="../media/image2373.jpeg"/><Relationship Id="rId2580" Type="http://schemas.openxmlformats.org/officeDocument/2006/relationships/image" Target="../media/image2580.jpeg"/><Relationship Id="rId3217" Type="http://schemas.openxmlformats.org/officeDocument/2006/relationships/image" Target="../media/image3217.jpeg"/><Relationship Id="rId3424" Type="http://schemas.openxmlformats.org/officeDocument/2006/relationships/image" Target="../media/image3424.jpeg"/><Relationship Id="rId3631" Type="http://schemas.openxmlformats.org/officeDocument/2006/relationships/image" Target="../media/image3631.jpeg"/><Relationship Id="rId3869" Type="http://schemas.openxmlformats.org/officeDocument/2006/relationships/image" Target="../media/image3869.jpeg"/><Relationship Id="rId138" Type="http://schemas.openxmlformats.org/officeDocument/2006/relationships/image" Target="../media/image138.jpeg"/><Relationship Id="rId345" Type="http://schemas.openxmlformats.org/officeDocument/2006/relationships/image" Target="../media/image345.jpeg"/><Relationship Id="rId552" Type="http://schemas.openxmlformats.org/officeDocument/2006/relationships/image" Target="../media/image552.jpeg"/><Relationship Id="rId997" Type="http://schemas.openxmlformats.org/officeDocument/2006/relationships/image" Target="../media/image997.jpeg"/><Relationship Id="rId1182" Type="http://schemas.openxmlformats.org/officeDocument/2006/relationships/image" Target="../media/image1182.jpeg"/><Relationship Id="rId2026" Type="http://schemas.openxmlformats.org/officeDocument/2006/relationships/image" Target="../media/image2026.jpeg"/><Relationship Id="rId2233" Type="http://schemas.openxmlformats.org/officeDocument/2006/relationships/image" Target="../media/image2233.jpeg"/><Relationship Id="rId2440" Type="http://schemas.openxmlformats.org/officeDocument/2006/relationships/image" Target="../media/image2440.jpeg"/><Relationship Id="rId2678" Type="http://schemas.openxmlformats.org/officeDocument/2006/relationships/image" Target="../media/image2678.jpeg"/><Relationship Id="rId2885" Type="http://schemas.openxmlformats.org/officeDocument/2006/relationships/image" Target="../media/image2885.jpeg"/><Relationship Id="rId3729" Type="http://schemas.openxmlformats.org/officeDocument/2006/relationships/image" Target="../media/image3729.jpeg"/><Relationship Id="rId3936" Type="http://schemas.openxmlformats.org/officeDocument/2006/relationships/image" Target="../media/image3936.jpeg"/><Relationship Id="rId205" Type="http://schemas.openxmlformats.org/officeDocument/2006/relationships/image" Target="../media/image205.jpeg"/><Relationship Id="rId412" Type="http://schemas.openxmlformats.org/officeDocument/2006/relationships/image" Target="../media/image412.jpeg"/><Relationship Id="rId857" Type="http://schemas.openxmlformats.org/officeDocument/2006/relationships/image" Target="../media/image857.jpeg"/><Relationship Id="rId1042" Type="http://schemas.openxmlformats.org/officeDocument/2006/relationships/image" Target="../media/image1042.jpeg"/><Relationship Id="rId1487" Type="http://schemas.openxmlformats.org/officeDocument/2006/relationships/image" Target="../media/image1487.jpeg"/><Relationship Id="rId1694" Type="http://schemas.openxmlformats.org/officeDocument/2006/relationships/image" Target="../media/image1694.jpeg"/><Relationship Id="rId2300" Type="http://schemas.openxmlformats.org/officeDocument/2006/relationships/image" Target="../media/image2300.jpeg"/><Relationship Id="rId2538" Type="http://schemas.openxmlformats.org/officeDocument/2006/relationships/image" Target="../media/image2538.jpeg"/><Relationship Id="rId2745" Type="http://schemas.openxmlformats.org/officeDocument/2006/relationships/image" Target="../media/image2745.jpeg"/><Relationship Id="rId2952" Type="http://schemas.openxmlformats.org/officeDocument/2006/relationships/image" Target="../media/image2952.jpeg"/><Relationship Id="rId4198" Type="http://schemas.openxmlformats.org/officeDocument/2006/relationships/image" Target="../media/image4198.jpeg"/><Relationship Id="rId717" Type="http://schemas.openxmlformats.org/officeDocument/2006/relationships/image" Target="../media/image717.jpeg"/><Relationship Id="rId924" Type="http://schemas.openxmlformats.org/officeDocument/2006/relationships/image" Target="../media/image924.jpeg"/><Relationship Id="rId1347" Type="http://schemas.openxmlformats.org/officeDocument/2006/relationships/image" Target="../media/image1347.jpeg"/><Relationship Id="rId1554" Type="http://schemas.openxmlformats.org/officeDocument/2006/relationships/image" Target="../media/image1554.jpeg"/><Relationship Id="rId1761" Type="http://schemas.openxmlformats.org/officeDocument/2006/relationships/image" Target="../media/image1761.jpeg"/><Relationship Id="rId1999" Type="http://schemas.openxmlformats.org/officeDocument/2006/relationships/image" Target="../media/image1999.jpeg"/><Relationship Id="rId2605" Type="http://schemas.openxmlformats.org/officeDocument/2006/relationships/image" Target="../media/image2605.jpeg"/><Relationship Id="rId2812" Type="http://schemas.openxmlformats.org/officeDocument/2006/relationships/image" Target="../media/image2812.jpeg"/><Relationship Id="rId4058" Type="http://schemas.openxmlformats.org/officeDocument/2006/relationships/image" Target="../media/image4058.jpeg"/><Relationship Id="rId4265" Type="http://schemas.openxmlformats.org/officeDocument/2006/relationships/image" Target="../media/image4265.jpeg"/><Relationship Id="rId4472" Type="http://schemas.openxmlformats.org/officeDocument/2006/relationships/image" Target="../media/image4472.jpeg"/><Relationship Id="rId53" Type="http://schemas.openxmlformats.org/officeDocument/2006/relationships/image" Target="../media/image53.jpeg"/><Relationship Id="rId1207" Type="http://schemas.openxmlformats.org/officeDocument/2006/relationships/image" Target="../media/image1207.jpeg"/><Relationship Id="rId1414" Type="http://schemas.openxmlformats.org/officeDocument/2006/relationships/image" Target="../media/image1414.jpeg"/><Relationship Id="rId1621" Type="http://schemas.openxmlformats.org/officeDocument/2006/relationships/image" Target="../media/image1621.jpeg"/><Relationship Id="rId1859" Type="http://schemas.openxmlformats.org/officeDocument/2006/relationships/image" Target="../media/image1859.jpeg"/><Relationship Id="rId3074" Type="http://schemas.openxmlformats.org/officeDocument/2006/relationships/image" Target="../media/image3074.jpeg"/><Relationship Id="rId4125" Type="http://schemas.openxmlformats.org/officeDocument/2006/relationships/image" Target="../media/image4125.jpeg"/><Relationship Id="rId4777" Type="http://schemas.openxmlformats.org/officeDocument/2006/relationships/image" Target="../media/image4777.jpeg"/><Relationship Id="rId4984" Type="http://schemas.openxmlformats.org/officeDocument/2006/relationships/image" Target="../media/image4984.jpeg"/><Relationship Id="rId1719" Type="http://schemas.openxmlformats.org/officeDocument/2006/relationships/image" Target="../media/image1719.jpeg"/><Relationship Id="rId1926" Type="http://schemas.openxmlformats.org/officeDocument/2006/relationships/image" Target="../media/image1926.jpeg"/><Relationship Id="rId3281" Type="http://schemas.openxmlformats.org/officeDocument/2006/relationships/image" Target="../media/image3281.jpeg"/><Relationship Id="rId3379" Type="http://schemas.openxmlformats.org/officeDocument/2006/relationships/image" Target="../media/image3379.jpeg"/><Relationship Id="rId3586" Type="http://schemas.openxmlformats.org/officeDocument/2006/relationships/image" Target="../media/image3586.jpeg"/><Relationship Id="rId3793" Type="http://schemas.openxmlformats.org/officeDocument/2006/relationships/image" Target="../media/image3793.jpeg"/><Relationship Id="rId4332" Type="http://schemas.openxmlformats.org/officeDocument/2006/relationships/image" Target="../media/image4332.jpeg"/><Relationship Id="rId4637" Type="http://schemas.openxmlformats.org/officeDocument/2006/relationships/image" Target="../media/image4637.jpeg"/><Relationship Id="rId2090" Type="http://schemas.openxmlformats.org/officeDocument/2006/relationships/image" Target="../media/image2090.jpeg"/><Relationship Id="rId2188" Type="http://schemas.openxmlformats.org/officeDocument/2006/relationships/image" Target="../media/image2188.jpeg"/><Relationship Id="rId2395" Type="http://schemas.openxmlformats.org/officeDocument/2006/relationships/image" Target="../media/image2395.jpeg"/><Relationship Id="rId3141" Type="http://schemas.openxmlformats.org/officeDocument/2006/relationships/image" Target="../media/image3141.jpeg"/><Relationship Id="rId3239" Type="http://schemas.openxmlformats.org/officeDocument/2006/relationships/image" Target="../media/image3239.jpeg"/><Relationship Id="rId3446" Type="http://schemas.openxmlformats.org/officeDocument/2006/relationships/image" Target="../media/image3446.jpeg"/><Relationship Id="rId4844" Type="http://schemas.openxmlformats.org/officeDocument/2006/relationships/image" Target="../media/image4844.jpeg"/><Relationship Id="rId367" Type="http://schemas.openxmlformats.org/officeDocument/2006/relationships/image" Target="../media/image367.jpeg"/><Relationship Id="rId574" Type="http://schemas.openxmlformats.org/officeDocument/2006/relationships/image" Target="../media/image574.jpeg"/><Relationship Id="rId2048" Type="http://schemas.openxmlformats.org/officeDocument/2006/relationships/image" Target="../media/image2048.jpeg"/><Relationship Id="rId2255" Type="http://schemas.openxmlformats.org/officeDocument/2006/relationships/image" Target="../media/image2255.jpeg"/><Relationship Id="rId3001" Type="http://schemas.openxmlformats.org/officeDocument/2006/relationships/image" Target="../media/image3001.jpeg"/><Relationship Id="rId3653" Type="http://schemas.openxmlformats.org/officeDocument/2006/relationships/image" Target="../media/image3653.jpeg"/><Relationship Id="rId3860" Type="http://schemas.openxmlformats.org/officeDocument/2006/relationships/image" Target="../media/image3860.jpeg"/><Relationship Id="rId3958" Type="http://schemas.openxmlformats.org/officeDocument/2006/relationships/image" Target="../media/image3958.jpeg"/><Relationship Id="rId4704" Type="http://schemas.openxmlformats.org/officeDocument/2006/relationships/image" Target="../media/image4704.jpeg"/><Relationship Id="rId4911" Type="http://schemas.openxmlformats.org/officeDocument/2006/relationships/image" Target="../media/image4911.jpeg"/><Relationship Id="rId227" Type="http://schemas.openxmlformats.org/officeDocument/2006/relationships/image" Target="../media/image227.jpeg"/><Relationship Id="rId781" Type="http://schemas.openxmlformats.org/officeDocument/2006/relationships/image" Target="../media/image781.jpeg"/><Relationship Id="rId879" Type="http://schemas.openxmlformats.org/officeDocument/2006/relationships/image" Target="../media/image879.jpeg"/><Relationship Id="rId2462" Type="http://schemas.openxmlformats.org/officeDocument/2006/relationships/image" Target="../media/image2462.jpeg"/><Relationship Id="rId2767" Type="http://schemas.openxmlformats.org/officeDocument/2006/relationships/image" Target="../media/image2767.jpeg"/><Relationship Id="rId3306" Type="http://schemas.openxmlformats.org/officeDocument/2006/relationships/image" Target="../media/image3306.jpeg"/><Relationship Id="rId3513" Type="http://schemas.openxmlformats.org/officeDocument/2006/relationships/image" Target="../media/image3513.jpeg"/><Relationship Id="rId3720" Type="http://schemas.openxmlformats.org/officeDocument/2006/relationships/image" Target="../media/image3720.jpeg"/><Relationship Id="rId434" Type="http://schemas.openxmlformats.org/officeDocument/2006/relationships/image" Target="../media/image434.jpeg"/><Relationship Id="rId641" Type="http://schemas.openxmlformats.org/officeDocument/2006/relationships/image" Target="../media/image641.jpeg"/><Relationship Id="rId739" Type="http://schemas.openxmlformats.org/officeDocument/2006/relationships/image" Target="../media/image739.jpeg"/><Relationship Id="rId1064" Type="http://schemas.openxmlformats.org/officeDocument/2006/relationships/image" Target="../media/image1064.jpeg"/><Relationship Id="rId1271" Type="http://schemas.openxmlformats.org/officeDocument/2006/relationships/image" Target="../media/image1271.jpeg"/><Relationship Id="rId1369" Type="http://schemas.openxmlformats.org/officeDocument/2006/relationships/image" Target="../media/image1369.jpeg"/><Relationship Id="rId1576" Type="http://schemas.openxmlformats.org/officeDocument/2006/relationships/image" Target="../media/image1576.jpeg"/><Relationship Id="rId2115" Type="http://schemas.openxmlformats.org/officeDocument/2006/relationships/image" Target="../media/image2115.jpeg"/><Relationship Id="rId2322" Type="http://schemas.openxmlformats.org/officeDocument/2006/relationships/image" Target="../media/image2322.jpeg"/><Relationship Id="rId2974" Type="http://schemas.openxmlformats.org/officeDocument/2006/relationships/image" Target="../media/image2974.jpeg"/><Relationship Id="rId3818" Type="http://schemas.openxmlformats.org/officeDocument/2006/relationships/image" Target="../media/image3818.jpeg"/><Relationship Id="rId501" Type="http://schemas.openxmlformats.org/officeDocument/2006/relationships/image" Target="../media/image501.jpeg"/><Relationship Id="rId946" Type="http://schemas.openxmlformats.org/officeDocument/2006/relationships/image" Target="../media/image946.jpeg"/><Relationship Id="rId1131" Type="http://schemas.openxmlformats.org/officeDocument/2006/relationships/image" Target="../media/image1131.jpeg"/><Relationship Id="rId1229" Type="http://schemas.openxmlformats.org/officeDocument/2006/relationships/image" Target="../media/image1229.jpeg"/><Relationship Id="rId1783" Type="http://schemas.openxmlformats.org/officeDocument/2006/relationships/image" Target="../media/image1783.jpeg"/><Relationship Id="rId1990" Type="http://schemas.openxmlformats.org/officeDocument/2006/relationships/image" Target="../media/image1990.jpeg"/><Relationship Id="rId2627" Type="http://schemas.openxmlformats.org/officeDocument/2006/relationships/image" Target="../media/image2627.jpeg"/><Relationship Id="rId2834" Type="http://schemas.openxmlformats.org/officeDocument/2006/relationships/image" Target="../media/image2834.jpeg"/><Relationship Id="rId4287" Type="http://schemas.openxmlformats.org/officeDocument/2006/relationships/image" Target="../media/image4287.jpeg"/><Relationship Id="rId4494" Type="http://schemas.openxmlformats.org/officeDocument/2006/relationships/image" Target="../media/image4494.jpeg"/><Relationship Id="rId75" Type="http://schemas.openxmlformats.org/officeDocument/2006/relationships/image" Target="../media/image75.jpeg"/><Relationship Id="rId806" Type="http://schemas.openxmlformats.org/officeDocument/2006/relationships/image" Target="../media/image806.jpeg"/><Relationship Id="rId1436" Type="http://schemas.openxmlformats.org/officeDocument/2006/relationships/image" Target="../media/image1436.jpeg"/><Relationship Id="rId1643" Type="http://schemas.openxmlformats.org/officeDocument/2006/relationships/image" Target="../media/image1643.jpeg"/><Relationship Id="rId1850" Type="http://schemas.openxmlformats.org/officeDocument/2006/relationships/image" Target="../media/image1850.jpeg"/><Relationship Id="rId2901" Type="http://schemas.openxmlformats.org/officeDocument/2006/relationships/image" Target="../media/image2901.jpeg"/><Relationship Id="rId3096" Type="http://schemas.openxmlformats.org/officeDocument/2006/relationships/image" Target="../media/image3096.jpeg"/><Relationship Id="rId4147" Type="http://schemas.openxmlformats.org/officeDocument/2006/relationships/image" Target="../media/image4147.jpeg"/><Relationship Id="rId4354" Type="http://schemas.openxmlformats.org/officeDocument/2006/relationships/image" Target="../media/image4354.jpeg"/><Relationship Id="rId4561" Type="http://schemas.openxmlformats.org/officeDocument/2006/relationships/image" Target="../media/image4561.jpeg"/><Relationship Id="rId4799" Type="http://schemas.openxmlformats.org/officeDocument/2006/relationships/image" Target="../media/image4799.jpeg"/><Relationship Id="rId1503" Type="http://schemas.openxmlformats.org/officeDocument/2006/relationships/image" Target="../media/image1503.jpeg"/><Relationship Id="rId1710" Type="http://schemas.openxmlformats.org/officeDocument/2006/relationships/image" Target="../media/image1710.jpeg"/><Relationship Id="rId1948" Type="http://schemas.openxmlformats.org/officeDocument/2006/relationships/image" Target="../media/image1948.jpeg"/><Relationship Id="rId3163" Type="http://schemas.openxmlformats.org/officeDocument/2006/relationships/image" Target="../media/image3163.jpeg"/><Relationship Id="rId3370" Type="http://schemas.openxmlformats.org/officeDocument/2006/relationships/image" Target="../media/image3370.jpeg"/><Relationship Id="rId4007" Type="http://schemas.openxmlformats.org/officeDocument/2006/relationships/image" Target="../media/image4007.jpeg"/><Relationship Id="rId4214" Type="http://schemas.openxmlformats.org/officeDocument/2006/relationships/image" Target="../media/image4214.jpeg"/><Relationship Id="rId4421" Type="http://schemas.openxmlformats.org/officeDocument/2006/relationships/image" Target="../media/image4421.jpeg"/><Relationship Id="rId4659" Type="http://schemas.openxmlformats.org/officeDocument/2006/relationships/image" Target="../media/image4659.jpeg"/><Relationship Id="rId4866" Type="http://schemas.openxmlformats.org/officeDocument/2006/relationships/image" Target="../media/image4866.jpeg"/><Relationship Id="rId291" Type="http://schemas.openxmlformats.org/officeDocument/2006/relationships/image" Target="../media/image291.jpeg"/><Relationship Id="rId1808" Type="http://schemas.openxmlformats.org/officeDocument/2006/relationships/image" Target="../media/image1808.jpeg"/><Relationship Id="rId3023" Type="http://schemas.openxmlformats.org/officeDocument/2006/relationships/image" Target="../media/image3023.jpeg"/><Relationship Id="rId3468" Type="http://schemas.openxmlformats.org/officeDocument/2006/relationships/image" Target="../media/image3468.jpeg"/><Relationship Id="rId3675" Type="http://schemas.openxmlformats.org/officeDocument/2006/relationships/image" Target="../media/image3675.jpeg"/><Relationship Id="rId3882" Type="http://schemas.openxmlformats.org/officeDocument/2006/relationships/image" Target="../media/image3882.jpeg"/><Relationship Id="rId4519" Type="http://schemas.openxmlformats.org/officeDocument/2006/relationships/image" Target="../media/image4519.jpeg"/><Relationship Id="rId4726" Type="http://schemas.openxmlformats.org/officeDocument/2006/relationships/image" Target="../media/image4726.jpeg"/><Relationship Id="rId4933" Type="http://schemas.openxmlformats.org/officeDocument/2006/relationships/image" Target="../media/image4933.jpeg"/><Relationship Id="rId151" Type="http://schemas.openxmlformats.org/officeDocument/2006/relationships/image" Target="../media/image151.jpeg"/><Relationship Id="rId389" Type="http://schemas.openxmlformats.org/officeDocument/2006/relationships/image" Target="../media/image389.jpeg"/><Relationship Id="rId596" Type="http://schemas.openxmlformats.org/officeDocument/2006/relationships/image" Target="../media/image596.jpeg"/><Relationship Id="rId2277" Type="http://schemas.openxmlformats.org/officeDocument/2006/relationships/image" Target="../media/image2277.jpeg"/><Relationship Id="rId2484" Type="http://schemas.openxmlformats.org/officeDocument/2006/relationships/image" Target="../media/image2484.jpeg"/><Relationship Id="rId2691" Type="http://schemas.openxmlformats.org/officeDocument/2006/relationships/image" Target="../media/image2691.jpeg"/><Relationship Id="rId3230" Type="http://schemas.openxmlformats.org/officeDocument/2006/relationships/image" Target="../media/image3230.jpeg"/><Relationship Id="rId3328" Type="http://schemas.openxmlformats.org/officeDocument/2006/relationships/image" Target="../media/image3328.jpeg"/><Relationship Id="rId3535" Type="http://schemas.openxmlformats.org/officeDocument/2006/relationships/image" Target="../media/image3535.jpeg"/><Relationship Id="rId3742" Type="http://schemas.openxmlformats.org/officeDocument/2006/relationships/image" Target="../media/image3742.jpeg"/><Relationship Id="rId249" Type="http://schemas.openxmlformats.org/officeDocument/2006/relationships/image" Target="../media/image249.jpeg"/><Relationship Id="rId456" Type="http://schemas.openxmlformats.org/officeDocument/2006/relationships/image" Target="../media/image456.jpeg"/><Relationship Id="rId663" Type="http://schemas.openxmlformats.org/officeDocument/2006/relationships/image" Target="../media/image663.jpeg"/><Relationship Id="rId870" Type="http://schemas.openxmlformats.org/officeDocument/2006/relationships/image" Target="../media/image870.jpeg"/><Relationship Id="rId1086" Type="http://schemas.openxmlformats.org/officeDocument/2006/relationships/image" Target="../media/image1086.jpeg"/><Relationship Id="rId1293" Type="http://schemas.openxmlformats.org/officeDocument/2006/relationships/image" Target="../media/image1293.jpeg"/><Relationship Id="rId2137" Type="http://schemas.openxmlformats.org/officeDocument/2006/relationships/image" Target="../media/image2137.jpeg"/><Relationship Id="rId2344" Type="http://schemas.openxmlformats.org/officeDocument/2006/relationships/image" Target="../media/image2344.jpeg"/><Relationship Id="rId2551" Type="http://schemas.openxmlformats.org/officeDocument/2006/relationships/image" Target="../media/image2551.jpeg"/><Relationship Id="rId2789" Type="http://schemas.openxmlformats.org/officeDocument/2006/relationships/image" Target="../media/image2789.jpeg"/><Relationship Id="rId2996" Type="http://schemas.openxmlformats.org/officeDocument/2006/relationships/image" Target="../media/image2996.jpeg"/><Relationship Id="rId109" Type="http://schemas.openxmlformats.org/officeDocument/2006/relationships/image" Target="../media/image109.jpeg"/><Relationship Id="rId316" Type="http://schemas.openxmlformats.org/officeDocument/2006/relationships/image" Target="../media/image316.jpeg"/><Relationship Id="rId523" Type="http://schemas.openxmlformats.org/officeDocument/2006/relationships/image" Target="../media/image523.jpeg"/><Relationship Id="rId968" Type="http://schemas.openxmlformats.org/officeDocument/2006/relationships/image" Target="../media/image968.jpeg"/><Relationship Id="rId1153" Type="http://schemas.openxmlformats.org/officeDocument/2006/relationships/image" Target="../media/image1153.jpeg"/><Relationship Id="rId1598" Type="http://schemas.openxmlformats.org/officeDocument/2006/relationships/image" Target="../media/image1598.jpeg"/><Relationship Id="rId2204" Type="http://schemas.openxmlformats.org/officeDocument/2006/relationships/image" Target="../media/image2204.jpeg"/><Relationship Id="rId2649" Type="http://schemas.openxmlformats.org/officeDocument/2006/relationships/image" Target="../media/image2649.jpeg"/><Relationship Id="rId2856" Type="http://schemas.openxmlformats.org/officeDocument/2006/relationships/image" Target="../media/image2856.jpeg"/><Relationship Id="rId3602" Type="http://schemas.openxmlformats.org/officeDocument/2006/relationships/image" Target="../media/image3602.jpeg"/><Relationship Id="rId3907" Type="http://schemas.openxmlformats.org/officeDocument/2006/relationships/image" Target="../media/image3907.jpeg"/><Relationship Id="rId97" Type="http://schemas.openxmlformats.org/officeDocument/2006/relationships/image" Target="../media/image97.jpeg"/><Relationship Id="rId730" Type="http://schemas.openxmlformats.org/officeDocument/2006/relationships/image" Target="../media/image730.jpeg"/><Relationship Id="rId828" Type="http://schemas.openxmlformats.org/officeDocument/2006/relationships/image" Target="../media/image828.jpeg"/><Relationship Id="rId1013" Type="http://schemas.openxmlformats.org/officeDocument/2006/relationships/image" Target="../media/image1013.jpeg"/><Relationship Id="rId1360" Type="http://schemas.openxmlformats.org/officeDocument/2006/relationships/image" Target="../media/image1360.jpeg"/><Relationship Id="rId1458" Type="http://schemas.openxmlformats.org/officeDocument/2006/relationships/image" Target="../media/image1458.jpeg"/><Relationship Id="rId1665" Type="http://schemas.openxmlformats.org/officeDocument/2006/relationships/image" Target="../media/image1665.jpeg"/><Relationship Id="rId1872" Type="http://schemas.openxmlformats.org/officeDocument/2006/relationships/image" Target="../media/image1872.jpeg"/><Relationship Id="rId2411" Type="http://schemas.openxmlformats.org/officeDocument/2006/relationships/image" Target="../media/image2411.jpeg"/><Relationship Id="rId2509" Type="http://schemas.openxmlformats.org/officeDocument/2006/relationships/image" Target="../media/image2509.jpeg"/><Relationship Id="rId2716" Type="http://schemas.openxmlformats.org/officeDocument/2006/relationships/image" Target="../media/image2716.jpeg"/><Relationship Id="rId4071" Type="http://schemas.openxmlformats.org/officeDocument/2006/relationships/image" Target="../media/image4071.jpeg"/><Relationship Id="rId4169" Type="http://schemas.openxmlformats.org/officeDocument/2006/relationships/image" Target="../media/image4169.jpeg"/><Relationship Id="rId1220" Type="http://schemas.openxmlformats.org/officeDocument/2006/relationships/image" Target="../media/image1220.jpeg"/><Relationship Id="rId1318" Type="http://schemas.openxmlformats.org/officeDocument/2006/relationships/image" Target="../media/image1318.jpeg"/><Relationship Id="rId1525" Type="http://schemas.openxmlformats.org/officeDocument/2006/relationships/image" Target="../media/image1525.jpeg"/><Relationship Id="rId2923" Type="http://schemas.openxmlformats.org/officeDocument/2006/relationships/image" Target="../media/image2923.jpeg"/><Relationship Id="rId4376" Type="http://schemas.openxmlformats.org/officeDocument/2006/relationships/image" Target="../media/image4376.jpeg"/><Relationship Id="rId4583" Type="http://schemas.openxmlformats.org/officeDocument/2006/relationships/image" Target="../media/image4583.jpeg"/><Relationship Id="rId4790" Type="http://schemas.openxmlformats.org/officeDocument/2006/relationships/image" Target="../media/image4790.jpeg"/><Relationship Id="rId1732" Type="http://schemas.openxmlformats.org/officeDocument/2006/relationships/image" Target="../media/image1732.jpeg"/><Relationship Id="rId3185" Type="http://schemas.openxmlformats.org/officeDocument/2006/relationships/image" Target="../media/image3185.jpeg"/><Relationship Id="rId3392" Type="http://schemas.openxmlformats.org/officeDocument/2006/relationships/image" Target="../media/image3392.jpeg"/><Relationship Id="rId4029" Type="http://schemas.openxmlformats.org/officeDocument/2006/relationships/image" Target="../media/image4029.jpeg"/><Relationship Id="rId4236" Type="http://schemas.openxmlformats.org/officeDocument/2006/relationships/image" Target="../media/image4236.jpeg"/><Relationship Id="rId4443" Type="http://schemas.openxmlformats.org/officeDocument/2006/relationships/image" Target="../media/image4443.jpeg"/><Relationship Id="rId4650" Type="http://schemas.openxmlformats.org/officeDocument/2006/relationships/image" Target="../media/image4650.jpeg"/><Relationship Id="rId4888" Type="http://schemas.openxmlformats.org/officeDocument/2006/relationships/image" Target="../media/image4888.jpeg"/><Relationship Id="rId24" Type="http://schemas.openxmlformats.org/officeDocument/2006/relationships/image" Target="../media/image24.jpeg"/><Relationship Id="rId2299" Type="http://schemas.openxmlformats.org/officeDocument/2006/relationships/image" Target="../media/image2299.jpeg"/><Relationship Id="rId3045" Type="http://schemas.openxmlformats.org/officeDocument/2006/relationships/image" Target="../media/image3045.jpeg"/><Relationship Id="rId3252" Type="http://schemas.openxmlformats.org/officeDocument/2006/relationships/image" Target="../media/image3252.jpeg"/><Relationship Id="rId3697" Type="http://schemas.openxmlformats.org/officeDocument/2006/relationships/image" Target="../media/image3697.jpeg"/><Relationship Id="rId4303" Type="http://schemas.openxmlformats.org/officeDocument/2006/relationships/image" Target="../media/image4303.jpeg"/><Relationship Id="rId4510" Type="http://schemas.openxmlformats.org/officeDocument/2006/relationships/image" Target="../media/image4510.jpeg"/><Relationship Id="rId4748" Type="http://schemas.openxmlformats.org/officeDocument/2006/relationships/image" Target="../media/image4748.jpeg"/><Relationship Id="rId4955" Type="http://schemas.openxmlformats.org/officeDocument/2006/relationships/image" Target="../media/image4955.jpeg"/><Relationship Id="rId173" Type="http://schemas.openxmlformats.org/officeDocument/2006/relationships/image" Target="../media/image173.jpeg"/><Relationship Id="rId380" Type="http://schemas.openxmlformats.org/officeDocument/2006/relationships/image" Target="../media/image380.jpeg"/><Relationship Id="rId2061" Type="http://schemas.openxmlformats.org/officeDocument/2006/relationships/image" Target="../media/image2061.jpeg"/><Relationship Id="rId3112" Type="http://schemas.openxmlformats.org/officeDocument/2006/relationships/image" Target="../media/image3112.jpeg"/><Relationship Id="rId3557" Type="http://schemas.openxmlformats.org/officeDocument/2006/relationships/image" Target="../media/image3557.jpeg"/><Relationship Id="rId3764" Type="http://schemas.openxmlformats.org/officeDocument/2006/relationships/image" Target="../media/image3764.jpeg"/><Relationship Id="rId3971" Type="http://schemas.openxmlformats.org/officeDocument/2006/relationships/image" Target="../media/image3971.jpeg"/><Relationship Id="rId4608" Type="http://schemas.openxmlformats.org/officeDocument/2006/relationships/image" Target="../media/image4608.jpeg"/><Relationship Id="rId4815" Type="http://schemas.openxmlformats.org/officeDocument/2006/relationships/image" Target="../media/image4815.jpeg"/><Relationship Id="rId240" Type="http://schemas.openxmlformats.org/officeDocument/2006/relationships/image" Target="../media/image240.jpeg"/><Relationship Id="rId478" Type="http://schemas.openxmlformats.org/officeDocument/2006/relationships/image" Target="../media/image478.jpeg"/><Relationship Id="rId685" Type="http://schemas.openxmlformats.org/officeDocument/2006/relationships/image" Target="../media/image685.jpeg"/><Relationship Id="rId892" Type="http://schemas.openxmlformats.org/officeDocument/2006/relationships/image" Target="../media/image892.jpeg"/><Relationship Id="rId2159" Type="http://schemas.openxmlformats.org/officeDocument/2006/relationships/image" Target="../media/image2159.jpeg"/><Relationship Id="rId2366" Type="http://schemas.openxmlformats.org/officeDocument/2006/relationships/image" Target="../media/image2366.jpeg"/><Relationship Id="rId2573" Type="http://schemas.openxmlformats.org/officeDocument/2006/relationships/image" Target="../media/image2573.jpeg"/><Relationship Id="rId2780" Type="http://schemas.openxmlformats.org/officeDocument/2006/relationships/image" Target="../media/image2780.jpeg"/><Relationship Id="rId3417" Type="http://schemas.openxmlformats.org/officeDocument/2006/relationships/image" Target="../media/image3417.jpeg"/><Relationship Id="rId3624" Type="http://schemas.openxmlformats.org/officeDocument/2006/relationships/image" Target="../media/image3624.jpeg"/><Relationship Id="rId3831" Type="http://schemas.openxmlformats.org/officeDocument/2006/relationships/image" Target="../media/image3831.jpeg"/><Relationship Id="rId100" Type="http://schemas.openxmlformats.org/officeDocument/2006/relationships/image" Target="../media/image100.jpeg"/><Relationship Id="rId338" Type="http://schemas.openxmlformats.org/officeDocument/2006/relationships/image" Target="../media/image338.jpeg"/><Relationship Id="rId545" Type="http://schemas.openxmlformats.org/officeDocument/2006/relationships/image" Target="../media/image545.jpeg"/><Relationship Id="rId752" Type="http://schemas.openxmlformats.org/officeDocument/2006/relationships/image" Target="../media/image752.jpeg"/><Relationship Id="rId1175" Type="http://schemas.openxmlformats.org/officeDocument/2006/relationships/image" Target="../media/image1175.jpeg"/><Relationship Id="rId1382" Type="http://schemas.openxmlformats.org/officeDocument/2006/relationships/image" Target="../media/image1382.jpeg"/><Relationship Id="rId2019" Type="http://schemas.openxmlformats.org/officeDocument/2006/relationships/image" Target="../media/image2019.jpeg"/><Relationship Id="rId2226" Type="http://schemas.openxmlformats.org/officeDocument/2006/relationships/image" Target="../media/image2226.jpeg"/><Relationship Id="rId2433" Type="http://schemas.openxmlformats.org/officeDocument/2006/relationships/image" Target="../media/image2433.jpeg"/><Relationship Id="rId2640" Type="http://schemas.openxmlformats.org/officeDocument/2006/relationships/image" Target="../media/image2640.jpeg"/><Relationship Id="rId2878" Type="http://schemas.openxmlformats.org/officeDocument/2006/relationships/image" Target="../media/image2878.jpeg"/><Relationship Id="rId3929" Type="http://schemas.openxmlformats.org/officeDocument/2006/relationships/image" Target="../media/image3929.jpeg"/><Relationship Id="rId4093" Type="http://schemas.openxmlformats.org/officeDocument/2006/relationships/image" Target="../media/image4093.jpeg"/><Relationship Id="rId405" Type="http://schemas.openxmlformats.org/officeDocument/2006/relationships/image" Target="../media/image405.jpeg"/><Relationship Id="rId612" Type="http://schemas.openxmlformats.org/officeDocument/2006/relationships/image" Target="../media/image612.jpeg"/><Relationship Id="rId1035" Type="http://schemas.openxmlformats.org/officeDocument/2006/relationships/image" Target="../media/image1035.jpeg"/><Relationship Id="rId1242" Type="http://schemas.openxmlformats.org/officeDocument/2006/relationships/image" Target="../media/image1242.jpeg"/><Relationship Id="rId1687" Type="http://schemas.openxmlformats.org/officeDocument/2006/relationships/image" Target="../media/image1687.jpeg"/><Relationship Id="rId1894" Type="http://schemas.openxmlformats.org/officeDocument/2006/relationships/image" Target="../media/image1894.jpeg"/><Relationship Id="rId2500" Type="http://schemas.openxmlformats.org/officeDocument/2006/relationships/image" Target="../media/image2500.jpeg"/><Relationship Id="rId2738" Type="http://schemas.openxmlformats.org/officeDocument/2006/relationships/image" Target="../media/image2738.jpeg"/><Relationship Id="rId2945" Type="http://schemas.openxmlformats.org/officeDocument/2006/relationships/image" Target="../media/image2945.jpeg"/><Relationship Id="rId4398" Type="http://schemas.openxmlformats.org/officeDocument/2006/relationships/image" Target="../media/image4398.jpeg"/><Relationship Id="rId917" Type="http://schemas.openxmlformats.org/officeDocument/2006/relationships/image" Target="../media/image917.jpeg"/><Relationship Id="rId1102" Type="http://schemas.openxmlformats.org/officeDocument/2006/relationships/image" Target="../media/image1102.jpeg"/><Relationship Id="rId1547" Type="http://schemas.openxmlformats.org/officeDocument/2006/relationships/image" Target="../media/image1547.jpeg"/><Relationship Id="rId1754" Type="http://schemas.openxmlformats.org/officeDocument/2006/relationships/image" Target="../media/image1754.jpeg"/><Relationship Id="rId1961" Type="http://schemas.openxmlformats.org/officeDocument/2006/relationships/image" Target="../media/image1961.jpeg"/><Relationship Id="rId2805" Type="http://schemas.openxmlformats.org/officeDocument/2006/relationships/image" Target="../media/image2805.jpeg"/><Relationship Id="rId4160" Type="http://schemas.openxmlformats.org/officeDocument/2006/relationships/image" Target="../media/image4160.jpeg"/><Relationship Id="rId4258" Type="http://schemas.openxmlformats.org/officeDocument/2006/relationships/image" Target="../media/image4258.jpeg"/><Relationship Id="rId4465" Type="http://schemas.openxmlformats.org/officeDocument/2006/relationships/image" Target="../media/image4465.jpeg"/><Relationship Id="rId46" Type="http://schemas.openxmlformats.org/officeDocument/2006/relationships/image" Target="../media/image46.jpeg"/><Relationship Id="rId1407" Type="http://schemas.openxmlformats.org/officeDocument/2006/relationships/image" Target="../media/image1407.jpeg"/><Relationship Id="rId1614" Type="http://schemas.openxmlformats.org/officeDocument/2006/relationships/image" Target="../media/image1614.jpeg"/><Relationship Id="rId1821" Type="http://schemas.openxmlformats.org/officeDocument/2006/relationships/image" Target="../media/image1821.jpeg"/><Relationship Id="rId3067" Type="http://schemas.openxmlformats.org/officeDocument/2006/relationships/image" Target="../media/image3067.jpeg"/><Relationship Id="rId3274" Type="http://schemas.openxmlformats.org/officeDocument/2006/relationships/image" Target="../media/image3274.jpeg"/><Relationship Id="rId4020" Type="http://schemas.openxmlformats.org/officeDocument/2006/relationships/image" Target="../media/image4020.jpeg"/><Relationship Id="rId4118" Type="http://schemas.openxmlformats.org/officeDocument/2006/relationships/image" Target="../media/image4118.jpeg"/><Relationship Id="rId4672" Type="http://schemas.openxmlformats.org/officeDocument/2006/relationships/image" Target="../media/image4672.jpeg"/><Relationship Id="rId4977" Type="http://schemas.openxmlformats.org/officeDocument/2006/relationships/image" Target="../media/image4977.jpeg"/><Relationship Id="rId195" Type="http://schemas.openxmlformats.org/officeDocument/2006/relationships/image" Target="../media/image195.jpeg"/><Relationship Id="rId1919" Type="http://schemas.openxmlformats.org/officeDocument/2006/relationships/image" Target="../media/image1919.jpeg"/><Relationship Id="rId3481" Type="http://schemas.openxmlformats.org/officeDocument/2006/relationships/image" Target="../media/image3481.jpeg"/><Relationship Id="rId3579" Type="http://schemas.openxmlformats.org/officeDocument/2006/relationships/image" Target="../media/image3579.jpeg"/><Relationship Id="rId3786" Type="http://schemas.openxmlformats.org/officeDocument/2006/relationships/image" Target="../media/image3786.jpeg"/><Relationship Id="rId4325" Type="http://schemas.openxmlformats.org/officeDocument/2006/relationships/image" Target="../media/image4325.jpeg"/><Relationship Id="rId4532" Type="http://schemas.openxmlformats.org/officeDocument/2006/relationships/image" Target="../media/image4532.jpeg"/><Relationship Id="rId2083" Type="http://schemas.openxmlformats.org/officeDocument/2006/relationships/image" Target="../media/image2083.jpeg"/><Relationship Id="rId2290" Type="http://schemas.openxmlformats.org/officeDocument/2006/relationships/image" Target="../media/image2290.jpeg"/><Relationship Id="rId2388" Type="http://schemas.openxmlformats.org/officeDocument/2006/relationships/image" Target="../media/image2388.jpeg"/><Relationship Id="rId2595" Type="http://schemas.openxmlformats.org/officeDocument/2006/relationships/image" Target="../media/image2595.jpeg"/><Relationship Id="rId3134" Type="http://schemas.openxmlformats.org/officeDocument/2006/relationships/image" Target="../media/image3134.jpeg"/><Relationship Id="rId3341" Type="http://schemas.openxmlformats.org/officeDocument/2006/relationships/image" Target="../media/image3341.jpeg"/><Relationship Id="rId3439" Type="http://schemas.openxmlformats.org/officeDocument/2006/relationships/image" Target="../media/image3439.jpeg"/><Relationship Id="rId3993" Type="http://schemas.openxmlformats.org/officeDocument/2006/relationships/image" Target="../media/image3993.jpeg"/><Relationship Id="rId4837" Type="http://schemas.openxmlformats.org/officeDocument/2006/relationships/image" Target="../media/image4837.jpeg"/><Relationship Id="rId262" Type="http://schemas.openxmlformats.org/officeDocument/2006/relationships/image" Target="../media/image262.jpeg"/><Relationship Id="rId567" Type="http://schemas.openxmlformats.org/officeDocument/2006/relationships/image" Target="../media/image567.jpeg"/><Relationship Id="rId1197" Type="http://schemas.openxmlformats.org/officeDocument/2006/relationships/image" Target="../media/image1197.jpeg"/><Relationship Id="rId2150" Type="http://schemas.openxmlformats.org/officeDocument/2006/relationships/image" Target="../media/image2150.jpeg"/><Relationship Id="rId2248" Type="http://schemas.openxmlformats.org/officeDocument/2006/relationships/image" Target="../media/image2248.jpeg"/><Relationship Id="rId3201" Type="http://schemas.openxmlformats.org/officeDocument/2006/relationships/image" Target="../media/image3201.jpeg"/><Relationship Id="rId3646" Type="http://schemas.openxmlformats.org/officeDocument/2006/relationships/image" Target="../media/image3646.jpeg"/><Relationship Id="rId3853" Type="http://schemas.openxmlformats.org/officeDocument/2006/relationships/image" Target="../media/image3853.jpeg"/><Relationship Id="rId4904" Type="http://schemas.openxmlformats.org/officeDocument/2006/relationships/image" Target="../media/image4904.jpeg"/><Relationship Id="rId122" Type="http://schemas.openxmlformats.org/officeDocument/2006/relationships/image" Target="../media/image122.jpeg"/><Relationship Id="rId774" Type="http://schemas.openxmlformats.org/officeDocument/2006/relationships/image" Target="../media/image774.jpeg"/><Relationship Id="rId981" Type="http://schemas.openxmlformats.org/officeDocument/2006/relationships/image" Target="../media/image981.jpeg"/><Relationship Id="rId1057" Type="http://schemas.openxmlformats.org/officeDocument/2006/relationships/image" Target="../media/image1057.jpeg"/><Relationship Id="rId2010" Type="http://schemas.openxmlformats.org/officeDocument/2006/relationships/image" Target="../media/image2010.jpeg"/><Relationship Id="rId2455" Type="http://schemas.openxmlformats.org/officeDocument/2006/relationships/image" Target="../media/image2455.jpeg"/><Relationship Id="rId2662" Type="http://schemas.openxmlformats.org/officeDocument/2006/relationships/image" Target="../media/image2662.jpeg"/><Relationship Id="rId3506" Type="http://schemas.openxmlformats.org/officeDocument/2006/relationships/image" Target="../media/image3506.jpeg"/><Relationship Id="rId3713" Type="http://schemas.openxmlformats.org/officeDocument/2006/relationships/image" Target="../media/image3713.jpeg"/><Relationship Id="rId3920" Type="http://schemas.openxmlformats.org/officeDocument/2006/relationships/image" Target="../media/image3920.jpeg"/><Relationship Id="rId427" Type="http://schemas.openxmlformats.org/officeDocument/2006/relationships/image" Target="../media/image427.jpeg"/><Relationship Id="rId634" Type="http://schemas.openxmlformats.org/officeDocument/2006/relationships/image" Target="../media/image634.jpeg"/><Relationship Id="rId841" Type="http://schemas.openxmlformats.org/officeDocument/2006/relationships/image" Target="../media/image841.jpeg"/><Relationship Id="rId1264" Type="http://schemas.openxmlformats.org/officeDocument/2006/relationships/image" Target="../media/image1264.jpeg"/><Relationship Id="rId1471" Type="http://schemas.openxmlformats.org/officeDocument/2006/relationships/image" Target="../media/image1471.jpeg"/><Relationship Id="rId1569" Type="http://schemas.openxmlformats.org/officeDocument/2006/relationships/image" Target="../media/image1569.jpeg"/><Relationship Id="rId2108" Type="http://schemas.openxmlformats.org/officeDocument/2006/relationships/image" Target="../media/image2108.jpeg"/><Relationship Id="rId2315" Type="http://schemas.openxmlformats.org/officeDocument/2006/relationships/image" Target="../media/image2315.jpeg"/><Relationship Id="rId2522" Type="http://schemas.openxmlformats.org/officeDocument/2006/relationships/image" Target="../media/image2522.jpeg"/><Relationship Id="rId2967" Type="http://schemas.openxmlformats.org/officeDocument/2006/relationships/image" Target="../media/image2967.jpeg"/><Relationship Id="rId4182" Type="http://schemas.openxmlformats.org/officeDocument/2006/relationships/image" Target="../media/image4182.jpeg"/><Relationship Id="rId701" Type="http://schemas.openxmlformats.org/officeDocument/2006/relationships/image" Target="../media/image701.jpeg"/><Relationship Id="rId939" Type="http://schemas.openxmlformats.org/officeDocument/2006/relationships/image" Target="../media/image939.jpeg"/><Relationship Id="rId1124" Type="http://schemas.openxmlformats.org/officeDocument/2006/relationships/image" Target="../media/image1124.jpeg"/><Relationship Id="rId1331" Type="http://schemas.openxmlformats.org/officeDocument/2006/relationships/image" Target="../media/image1331.jpeg"/><Relationship Id="rId1776" Type="http://schemas.openxmlformats.org/officeDocument/2006/relationships/image" Target="../media/image1776.jpeg"/><Relationship Id="rId1983" Type="http://schemas.openxmlformats.org/officeDocument/2006/relationships/image" Target="../media/image1983.jpeg"/><Relationship Id="rId2827" Type="http://schemas.openxmlformats.org/officeDocument/2006/relationships/image" Target="../media/image2827.jpeg"/><Relationship Id="rId4042" Type="http://schemas.openxmlformats.org/officeDocument/2006/relationships/image" Target="../media/image4042.jpeg"/><Relationship Id="rId4487" Type="http://schemas.openxmlformats.org/officeDocument/2006/relationships/image" Target="../media/image4487.jpeg"/><Relationship Id="rId4694" Type="http://schemas.openxmlformats.org/officeDocument/2006/relationships/image" Target="../media/image4694.jpeg"/><Relationship Id="rId68" Type="http://schemas.openxmlformats.org/officeDocument/2006/relationships/image" Target="../media/image68.jpeg"/><Relationship Id="rId1429" Type="http://schemas.openxmlformats.org/officeDocument/2006/relationships/image" Target="../media/image1429.jpeg"/><Relationship Id="rId1636" Type="http://schemas.openxmlformats.org/officeDocument/2006/relationships/image" Target="../media/image1636.jpeg"/><Relationship Id="rId1843" Type="http://schemas.openxmlformats.org/officeDocument/2006/relationships/image" Target="../media/image1843.jpeg"/><Relationship Id="rId3089" Type="http://schemas.openxmlformats.org/officeDocument/2006/relationships/image" Target="../media/image3089.jpeg"/><Relationship Id="rId3296" Type="http://schemas.openxmlformats.org/officeDocument/2006/relationships/image" Target="../media/image3296.jpeg"/><Relationship Id="rId4347" Type="http://schemas.openxmlformats.org/officeDocument/2006/relationships/image" Target="../media/image4347.jpeg"/><Relationship Id="rId4554" Type="http://schemas.openxmlformats.org/officeDocument/2006/relationships/image" Target="../media/image4554.jpeg"/><Relationship Id="rId4761" Type="http://schemas.openxmlformats.org/officeDocument/2006/relationships/image" Target="../media/image4761.jpeg"/><Relationship Id="rId1703" Type="http://schemas.openxmlformats.org/officeDocument/2006/relationships/image" Target="../media/image1703.jpeg"/><Relationship Id="rId1910" Type="http://schemas.openxmlformats.org/officeDocument/2006/relationships/image" Target="../media/image1910.jpeg"/><Relationship Id="rId3156" Type="http://schemas.openxmlformats.org/officeDocument/2006/relationships/image" Target="../media/image3156.jpeg"/><Relationship Id="rId3363" Type="http://schemas.openxmlformats.org/officeDocument/2006/relationships/image" Target="../media/image3363.jpeg"/><Relationship Id="rId4207" Type="http://schemas.openxmlformats.org/officeDocument/2006/relationships/image" Target="../media/image4207.jpeg"/><Relationship Id="rId4414" Type="http://schemas.openxmlformats.org/officeDocument/2006/relationships/image" Target="../media/image4414.jpeg"/><Relationship Id="rId4859" Type="http://schemas.openxmlformats.org/officeDocument/2006/relationships/image" Target="../media/image4859.jpeg"/><Relationship Id="rId284" Type="http://schemas.openxmlformats.org/officeDocument/2006/relationships/image" Target="../media/image284.jpeg"/><Relationship Id="rId491" Type="http://schemas.openxmlformats.org/officeDocument/2006/relationships/image" Target="../media/image491.jpeg"/><Relationship Id="rId2172" Type="http://schemas.openxmlformats.org/officeDocument/2006/relationships/image" Target="../media/image2172.jpeg"/><Relationship Id="rId3016" Type="http://schemas.openxmlformats.org/officeDocument/2006/relationships/image" Target="../media/image3016.jpeg"/><Relationship Id="rId3223" Type="http://schemas.openxmlformats.org/officeDocument/2006/relationships/image" Target="../media/image3223.jpeg"/><Relationship Id="rId3570" Type="http://schemas.openxmlformats.org/officeDocument/2006/relationships/image" Target="../media/image3570.jpeg"/><Relationship Id="rId3668" Type="http://schemas.openxmlformats.org/officeDocument/2006/relationships/image" Target="../media/image3668.jpeg"/><Relationship Id="rId3875" Type="http://schemas.openxmlformats.org/officeDocument/2006/relationships/image" Target="../media/image3875.jpeg"/><Relationship Id="rId4621" Type="http://schemas.openxmlformats.org/officeDocument/2006/relationships/image" Target="../media/image4621.jpeg"/><Relationship Id="rId4719" Type="http://schemas.openxmlformats.org/officeDocument/2006/relationships/image" Target="../media/image4719.jpeg"/><Relationship Id="rId4926" Type="http://schemas.openxmlformats.org/officeDocument/2006/relationships/image" Target="../media/image4926.jpeg"/><Relationship Id="rId144" Type="http://schemas.openxmlformats.org/officeDocument/2006/relationships/image" Target="../media/image144.jpeg"/><Relationship Id="rId589" Type="http://schemas.openxmlformats.org/officeDocument/2006/relationships/image" Target="../media/image589.jpeg"/><Relationship Id="rId796" Type="http://schemas.openxmlformats.org/officeDocument/2006/relationships/image" Target="../media/image796.jpeg"/><Relationship Id="rId2477" Type="http://schemas.openxmlformats.org/officeDocument/2006/relationships/image" Target="../media/image2477.jpeg"/><Relationship Id="rId2684" Type="http://schemas.openxmlformats.org/officeDocument/2006/relationships/image" Target="../media/image2684.jpeg"/><Relationship Id="rId3430" Type="http://schemas.openxmlformats.org/officeDocument/2006/relationships/image" Target="../media/image3430.jpeg"/><Relationship Id="rId3528" Type="http://schemas.openxmlformats.org/officeDocument/2006/relationships/image" Target="../media/image3528.jpeg"/><Relationship Id="rId3735" Type="http://schemas.openxmlformats.org/officeDocument/2006/relationships/image" Target="../media/image3735.jpeg"/><Relationship Id="rId351" Type="http://schemas.openxmlformats.org/officeDocument/2006/relationships/image" Target="../media/image351.jpeg"/><Relationship Id="rId449" Type="http://schemas.openxmlformats.org/officeDocument/2006/relationships/image" Target="../media/image449.jpeg"/><Relationship Id="rId656" Type="http://schemas.openxmlformats.org/officeDocument/2006/relationships/image" Target="../media/image656.jpeg"/><Relationship Id="rId863" Type="http://schemas.openxmlformats.org/officeDocument/2006/relationships/image" Target="../media/image863.jpeg"/><Relationship Id="rId1079" Type="http://schemas.openxmlformats.org/officeDocument/2006/relationships/image" Target="../media/image1079.jpeg"/><Relationship Id="rId1286" Type="http://schemas.openxmlformats.org/officeDocument/2006/relationships/image" Target="../media/image1286.jpeg"/><Relationship Id="rId1493" Type="http://schemas.openxmlformats.org/officeDocument/2006/relationships/image" Target="../media/image1493.jpeg"/><Relationship Id="rId2032" Type="http://schemas.openxmlformats.org/officeDocument/2006/relationships/image" Target="../media/image2032.jpeg"/><Relationship Id="rId2337" Type="http://schemas.openxmlformats.org/officeDocument/2006/relationships/image" Target="../media/image2337.jpeg"/><Relationship Id="rId2544" Type="http://schemas.openxmlformats.org/officeDocument/2006/relationships/image" Target="../media/image2544.jpeg"/><Relationship Id="rId2891" Type="http://schemas.openxmlformats.org/officeDocument/2006/relationships/image" Target="../media/image2891.jpeg"/><Relationship Id="rId2989" Type="http://schemas.openxmlformats.org/officeDocument/2006/relationships/image" Target="../media/image2989.jpeg"/><Relationship Id="rId3942" Type="http://schemas.openxmlformats.org/officeDocument/2006/relationships/image" Target="../media/image3942.jpeg"/><Relationship Id="rId211" Type="http://schemas.openxmlformats.org/officeDocument/2006/relationships/image" Target="../media/image211.jpeg"/><Relationship Id="rId309" Type="http://schemas.openxmlformats.org/officeDocument/2006/relationships/image" Target="../media/image309.jpeg"/><Relationship Id="rId516" Type="http://schemas.openxmlformats.org/officeDocument/2006/relationships/image" Target="../media/image516.jpeg"/><Relationship Id="rId1146" Type="http://schemas.openxmlformats.org/officeDocument/2006/relationships/image" Target="../media/image1146.jpeg"/><Relationship Id="rId1798" Type="http://schemas.openxmlformats.org/officeDocument/2006/relationships/image" Target="../media/image1798.jpeg"/><Relationship Id="rId2751" Type="http://schemas.openxmlformats.org/officeDocument/2006/relationships/image" Target="../media/image2751.jpeg"/><Relationship Id="rId2849" Type="http://schemas.openxmlformats.org/officeDocument/2006/relationships/image" Target="../media/image2849.jpeg"/><Relationship Id="rId3802" Type="http://schemas.openxmlformats.org/officeDocument/2006/relationships/image" Target="../media/image3802.jpeg"/><Relationship Id="rId723" Type="http://schemas.openxmlformats.org/officeDocument/2006/relationships/image" Target="../media/image723.jpeg"/><Relationship Id="rId930" Type="http://schemas.openxmlformats.org/officeDocument/2006/relationships/image" Target="../media/image930.jpeg"/><Relationship Id="rId1006" Type="http://schemas.openxmlformats.org/officeDocument/2006/relationships/image" Target="../media/image1006.jpeg"/><Relationship Id="rId1353" Type="http://schemas.openxmlformats.org/officeDocument/2006/relationships/image" Target="../media/image1353.jpeg"/><Relationship Id="rId1560" Type="http://schemas.openxmlformats.org/officeDocument/2006/relationships/image" Target="../media/image1560.jpeg"/><Relationship Id="rId1658" Type="http://schemas.openxmlformats.org/officeDocument/2006/relationships/image" Target="../media/image1658.jpeg"/><Relationship Id="rId1865" Type="http://schemas.openxmlformats.org/officeDocument/2006/relationships/image" Target="../media/image1865.jpeg"/><Relationship Id="rId2404" Type="http://schemas.openxmlformats.org/officeDocument/2006/relationships/image" Target="../media/image2404.jpeg"/><Relationship Id="rId2611" Type="http://schemas.openxmlformats.org/officeDocument/2006/relationships/image" Target="../media/image2611.jpeg"/><Relationship Id="rId2709" Type="http://schemas.openxmlformats.org/officeDocument/2006/relationships/image" Target="../media/image2709.jpeg"/><Relationship Id="rId4064" Type="http://schemas.openxmlformats.org/officeDocument/2006/relationships/image" Target="../media/image4064.jpeg"/><Relationship Id="rId4271" Type="http://schemas.openxmlformats.org/officeDocument/2006/relationships/image" Target="../media/image4271.jpeg"/><Relationship Id="rId1213" Type="http://schemas.openxmlformats.org/officeDocument/2006/relationships/image" Target="../media/image1213.jpeg"/><Relationship Id="rId1420" Type="http://schemas.openxmlformats.org/officeDocument/2006/relationships/image" Target="../media/image1420.jpeg"/><Relationship Id="rId1518" Type="http://schemas.openxmlformats.org/officeDocument/2006/relationships/image" Target="../media/image1518.jpeg"/><Relationship Id="rId2916" Type="http://schemas.openxmlformats.org/officeDocument/2006/relationships/image" Target="../media/image2916.jpeg"/><Relationship Id="rId3080" Type="http://schemas.openxmlformats.org/officeDocument/2006/relationships/image" Target="../media/image3080.jpeg"/><Relationship Id="rId4131" Type="http://schemas.openxmlformats.org/officeDocument/2006/relationships/image" Target="../media/image4131.jpeg"/><Relationship Id="rId4369" Type="http://schemas.openxmlformats.org/officeDocument/2006/relationships/image" Target="../media/image4369.jpeg"/><Relationship Id="rId4576" Type="http://schemas.openxmlformats.org/officeDocument/2006/relationships/image" Target="../media/image4576.jpeg"/><Relationship Id="rId4783" Type="http://schemas.openxmlformats.org/officeDocument/2006/relationships/image" Target="../media/image4783.jpeg"/><Relationship Id="rId1725" Type="http://schemas.openxmlformats.org/officeDocument/2006/relationships/image" Target="../media/image1725.jpeg"/><Relationship Id="rId1932" Type="http://schemas.openxmlformats.org/officeDocument/2006/relationships/image" Target="../media/image1932.jpeg"/><Relationship Id="rId3178" Type="http://schemas.openxmlformats.org/officeDocument/2006/relationships/image" Target="../media/image3178.jpeg"/><Relationship Id="rId3385" Type="http://schemas.openxmlformats.org/officeDocument/2006/relationships/image" Target="../media/image3385.jpeg"/><Relationship Id="rId3592" Type="http://schemas.openxmlformats.org/officeDocument/2006/relationships/image" Target="../media/image3592.jpeg"/><Relationship Id="rId4229" Type="http://schemas.openxmlformats.org/officeDocument/2006/relationships/image" Target="../media/image4229.jpeg"/><Relationship Id="rId4436" Type="http://schemas.openxmlformats.org/officeDocument/2006/relationships/image" Target="../media/image4436.jpeg"/><Relationship Id="rId4643" Type="http://schemas.openxmlformats.org/officeDocument/2006/relationships/image" Target="../media/image4643.jpeg"/><Relationship Id="rId4850" Type="http://schemas.openxmlformats.org/officeDocument/2006/relationships/image" Target="../media/image4850.jpeg"/><Relationship Id="rId17" Type="http://schemas.openxmlformats.org/officeDocument/2006/relationships/image" Target="../media/image17.jpeg"/><Relationship Id="rId2194" Type="http://schemas.openxmlformats.org/officeDocument/2006/relationships/image" Target="../media/image2194.jpeg"/><Relationship Id="rId3038" Type="http://schemas.openxmlformats.org/officeDocument/2006/relationships/image" Target="../media/image3038.jpeg"/><Relationship Id="rId3245" Type="http://schemas.openxmlformats.org/officeDocument/2006/relationships/image" Target="../media/image3245.jpeg"/><Relationship Id="rId3452" Type="http://schemas.openxmlformats.org/officeDocument/2006/relationships/image" Target="../media/image3452.jpeg"/><Relationship Id="rId3897" Type="http://schemas.openxmlformats.org/officeDocument/2006/relationships/image" Target="../media/image3897.jpeg"/><Relationship Id="rId4503" Type="http://schemas.openxmlformats.org/officeDocument/2006/relationships/image" Target="../media/image4503.jpeg"/><Relationship Id="rId4710" Type="http://schemas.openxmlformats.org/officeDocument/2006/relationships/image" Target="../media/image4710.jpeg"/><Relationship Id="rId4948" Type="http://schemas.openxmlformats.org/officeDocument/2006/relationships/image" Target="../media/image4948.jpeg"/><Relationship Id="rId166" Type="http://schemas.openxmlformats.org/officeDocument/2006/relationships/image" Target="../media/image166.jpeg"/><Relationship Id="rId373" Type="http://schemas.openxmlformats.org/officeDocument/2006/relationships/image" Target="../media/image373.jpeg"/><Relationship Id="rId580" Type="http://schemas.openxmlformats.org/officeDocument/2006/relationships/image" Target="../media/image580.jpeg"/><Relationship Id="rId2054" Type="http://schemas.openxmlformats.org/officeDocument/2006/relationships/image" Target="../media/image2054.jpeg"/><Relationship Id="rId2261" Type="http://schemas.openxmlformats.org/officeDocument/2006/relationships/image" Target="../media/image2261.jpeg"/><Relationship Id="rId2499" Type="http://schemas.openxmlformats.org/officeDocument/2006/relationships/image" Target="../media/image2499.jpeg"/><Relationship Id="rId3105" Type="http://schemas.openxmlformats.org/officeDocument/2006/relationships/image" Target="../media/image3105.jpeg"/><Relationship Id="rId3312" Type="http://schemas.openxmlformats.org/officeDocument/2006/relationships/image" Target="../media/image3312.jpeg"/><Relationship Id="rId3757" Type="http://schemas.openxmlformats.org/officeDocument/2006/relationships/image" Target="../media/image3757.jpeg"/><Relationship Id="rId3964" Type="http://schemas.openxmlformats.org/officeDocument/2006/relationships/image" Target="../media/image3964.jpeg"/><Relationship Id="rId4808" Type="http://schemas.openxmlformats.org/officeDocument/2006/relationships/image" Target="../media/image4808.jpeg"/><Relationship Id="rId1" Type="http://schemas.openxmlformats.org/officeDocument/2006/relationships/image" Target="../media/image1.jpeg"/><Relationship Id="rId233" Type="http://schemas.openxmlformats.org/officeDocument/2006/relationships/image" Target="../media/image233.jpeg"/><Relationship Id="rId440" Type="http://schemas.openxmlformats.org/officeDocument/2006/relationships/image" Target="../media/image440.jpeg"/><Relationship Id="rId678" Type="http://schemas.openxmlformats.org/officeDocument/2006/relationships/image" Target="../media/image678.jpeg"/><Relationship Id="rId885" Type="http://schemas.openxmlformats.org/officeDocument/2006/relationships/image" Target="../media/image885.jpeg"/><Relationship Id="rId1070" Type="http://schemas.openxmlformats.org/officeDocument/2006/relationships/image" Target="../media/image1070.jpeg"/><Relationship Id="rId2121" Type="http://schemas.openxmlformats.org/officeDocument/2006/relationships/image" Target="../media/image2121.jpeg"/><Relationship Id="rId2359" Type="http://schemas.openxmlformats.org/officeDocument/2006/relationships/image" Target="../media/image2359.jpeg"/><Relationship Id="rId2566" Type="http://schemas.openxmlformats.org/officeDocument/2006/relationships/image" Target="../media/image2566.jpeg"/><Relationship Id="rId2773" Type="http://schemas.openxmlformats.org/officeDocument/2006/relationships/image" Target="../media/image2773.jpeg"/><Relationship Id="rId2980" Type="http://schemas.openxmlformats.org/officeDocument/2006/relationships/image" Target="../media/image2980.jpeg"/><Relationship Id="rId3617" Type="http://schemas.openxmlformats.org/officeDocument/2006/relationships/image" Target="../media/image3617.jpeg"/><Relationship Id="rId3824" Type="http://schemas.openxmlformats.org/officeDocument/2006/relationships/image" Target="../media/image3824.jpeg"/><Relationship Id="rId300" Type="http://schemas.openxmlformats.org/officeDocument/2006/relationships/image" Target="../media/image300.jpeg"/><Relationship Id="rId538" Type="http://schemas.openxmlformats.org/officeDocument/2006/relationships/image" Target="../media/image538.jpeg"/><Relationship Id="rId745" Type="http://schemas.openxmlformats.org/officeDocument/2006/relationships/image" Target="../media/image745.jpeg"/><Relationship Id="rId952" Type="http://schemas.openxmlformats.org/officeDocument/2006/relationships/image" Target="../media/image952.jpeg"/><Relationship Id="rId1168" Type="http://schemas.openxmlformats.org/officeDocument/2006/relationships/image" Target="../media/image1168.jpeg"/><Relationship Id="rId1375" Type="http://schemas.openxmlformats.org/officeDocument/2006/relationships/image" Target="../media/image1375.jpeg"/><Relationship Id="rId1582" Type="http://schemas.openxmlformats.org/officeDocument/2006/relationships/image" Target="../media/image1582.jpeg"/><Relationship Id="rId2219" Type="http://schemas.openxmlformats.org/officeDocument/2006/relationships/image" Target="../media/image2219.jpeg"/><Relationship Id="rId2426" Type="http://schemas.openxmlformats.org/officeDocument/2006/relationships/image" Target="../media/image2426.jpeg"/><Relationship Id="rId2633" Type="http://schemas.openxmlformats.org/officeDocument/2006/relationships/image" Target="../media/image2633.jpeg"/><Relationship Id="rId4086" Type="http://schemas.openxmlformats.org/officeDocument/2006/relationships/image" Target="../media/image4086.jpeg"/><Relationship Id="rId81" Type="http://schemas.openxmlformats.org/officeDocument/2006/relationships/image" Target="../media/image81.jpeg"/><Relationship Id="rId605" Type="http://schemas.openxmlformats.org/officeDocument/2006/relationships/image" Target="../media/image605.jpeg"/><Relationship Id="rId812" Type="http://schemas.openxmlformats.org/officeDocument/2006/relationships/image" Target="../media/image812.jpeg"/><Relationship Id="rId1028" Type="http://schemas.openxmlformats.org/officeDocument/2006/relationships/image" Target="../media/image1028.jpeg"/><Relationship Id="rId1235" Type="http://schemas.openxmlformats.org/officeDocument/2006/relationships/image" Target="../media/image1235.jpeg"/><Relationship Id="rId1442" Type="http://schemas.openxmlformats.org/officeDocument/2006/relationships/image" Target="../media/image1442.jpeg"/><Relationship Id="rId1887" Type="http://schemas.openxmlformats.org/officeDocument/2006/relationships/image" Target="../media/image1887.jpeg"/><Relationship Id="rId2840" Type="http://schemas.openxmlformats.org/officeDocument/2006/relationships/image" Target="../media/image2840.jpeg"/><Relationship Id="rId2938" Type="http://schemas.openxmlformats.org/officeDocument/2006/relationships/image" Target="../media/image2938.jpeg"/><Relationship Id="rId4293" Type="http://schemas.openxmlformats.org/officeDocument/2006/relationships/image" Target="../media/image4293.jpeg"/><Relationship Id="rId4598" Type="http://schemas.openxmlformats.org/officeDocument/2006/relationships/image" Target="../media/image4598.jpeg"/><Relationship Id="rId1302" Type="http://schemas.openxmlformats.org/officeDocument/2006/relationships/image" Target="../media/image1302.jpeg"/><Relationship Id="rId1747" Type="http://schemas.openxmlformats.org/officeDocument/2006/relationships/image" Target="../media/image1747.jpeg"/><Relationship Id="rId1954" Type="http://schemas.openxmlformats.org/officeDocument/2006/relationships/image" Target="../media/image1954.jpeg"/><Relationship Id="rId2700" Type="http://schemas.openxmlformats.org/officeDocument/2006/relationships/image" Target="../media/image2700.jpeg"/><Relationship Id="rId4153" Type="http://schemas.openxmlformats.org/officeDocument/2006/relationships/image" Target="../media/image4153.jpeg"/><Relationship Id="rId4360" Type="http://schemas.openxmlformats.org/officeDocument/2006/relationships/image" Target="../media/image4360.jpeg"/><Relationship Id="rId4458" Type="http://schemas.openxmlformats.org/officeDocument/2006/relationships/image" Target="../media/image4458.jpeg"/><Relationship Id="rId39" Type="http://schemas.openxmlformats.org/officeDocument/2006/relationships/image" Target="../media/image39.jpeg"/><Relationship Id="rId1607" Type="http://schemas.openxmlformats.org/officeDocument/2006/relationships/image" Target="../media/image1607.jpeg"/><Relationship Id="rId1814" Type="http://schemas.openxmlformats.org/officeDocument/2006/relationships/image" Target="../media/image1814.jpeg"/><Relationship Id="rId3267" Type="http://schemas.openxmlformats.org/officeDocument/2006/relationships/image" Target="../media/image3267.jpeg"/><Relationship Id="rId4013" Type="http://schemas.openxmlformats.org/officeDocument/2006/relationships/image" Target="../media/image4013.jpeg"/><Relationship Id="rId4220" Type="http://schemas.openxmlformats.org/officeDocument/2006/relationships/image" Target="../media/image4220.jpeg"/><Relationship Id="rId4665" Type="http://schemas.openxmlformats.org/officeDocument/2006/relationships/image" Target="../media/image4665.jpeg"/><Relationship Id="rId4872" Type="http://schemas.openxmlformats.org/officeDocument/2006/relationships/image" Target="../media/image4872.jpeg"/><Relationship Id="rId188" Type="http://schemas.openxmlformats.org/officeDocument/2006/relationships/image" Target="../media/image188.jpeg"/><Relationship Id="rId395" Type="http://schemas.openxmlformats.org/officeDocument/2006/relationships/image" Target="../media/image395.jpeg"/><Relationship Id="rId2076" Type="http://schemas.openxmlformats.org/officeDocument/2006/relationships/image" Target="../media/image2076.jpeg"/><Relationship Id="rId3474" Type="http://schemas.openxmlformats.org/officeDocument/2006/relationships/image" Target="../media/image3474.jpeg"/><Relationship Id="rId3681" Type="http://schemas.openxmlformats.org/officeDocument/2006/relationships/image" Target="../media/image3681.jpeg"/><Relationship Id="rId3779" Type="http://schemas.openxmlformats.org/officeDocument/2006/relationships/image" Target="../media/image3779.jpeg"/><Relationship Id="rId4318" Type="http://schemas.openxmlformats.org/officeDocument/2006/relationships/image" Target="../media/image4318.jpeg"/><Relationship Id="rId4525" Type="http://schemas.openxmlformats.org/officeDocument/2006/relationships/image" Target="../media/image4525.jpeg"/><Relationship Id="rId4732" Type="http://schemas.openxmlformats.org/officeDocument/2006/relationships/image" Target="../media/image4732.jpeg"/><Relationship Id="rId2283" Type="http://schemas.openxmlformats.org/officeDocument/2006/relationships/image" Target="../media/image2283.jpeg"/><Relationship Id="rId2490" Type="http://schemas.openxmlformats.org/officeDocument/2006/relationships/image" Target="../media/image2490.jpeg"/><Relationship Id="rId2588" Type="http://schemas.openxmlformats.org/officeDocument/2006/relationships/image" Target="../media/image2588.jpeg"/><Relationship Id="rId3127" Type="http://schemas.openxmlformats.org/officeDocument/2006/relationships/image" Target="../media/image3127.jpeg"/><Relationship Id="rId3334" Type="http://schemas.openxmlformats.org/officeDocument/2006/relationships/image" Target="../media/image3334.jpeg"/><Relationship Id="rId3541" Type="http://schemas.openxmlformats.org/officeDocument/2006/relationships/image" Target="../media/image3541.jpeg"/><Relationship Id="rId3986" Type="http://schemas.openxmlformats.org/officeDocument/2006/relationships/image" Target="../media/image3986.jpeg"/><Relationship Id="rId255" Type="http://schemas.openxmlformats.org/officeDocument/2006/relationships/image" Target="../media/image255.jpeg"/><Relationship Id="rId462" Type="http://schemas.openxmlformats.org/officeDocument/2006/relationships/image" Target="../media/image462.jpeg"/><Relationship Id="rId1092" Type="http://schemas.openxmlformats.org/officeDocument/2006/relationships/image" Target="../media/image1092.jpeg"/><Relationship Id="rId1397" Type="http://schemas.openxmlformats.org/officeDocument/2006/relationships/image" Target="../media/image1397.jpeg"/><Relationship Id="rId2143" Type="http://schemas.openxmlformats.org/officeDocument/2006/relationships/image" Target="../media/image2143.jpeg"/><Relationship Id="rId2350" Type="http://schemas.openxmlformats.org/officeDocument/2006/relationships/image" Target="../media/image2350.jpeg"/><Relationship Id="rId2795" Type="http://schemas.openxmlformats.org/officeDocument/2006/relationships/image" Target="../media/image2795.jpeg"/><Relationship Id="rId3401" Type="http://schemas.openxmlformats.org/officeDocument/2006/relationships/image" Target="../media/image3401.jpeg"/><Relationship Id="rId3639" Type="http://schemas.openxmlformats.org/officeDocument/2006/relationships/image" Target="../media/image3639.jpeg"/><Relationship Id="rId3846" Type="http://schemas.openxmlformats.org/officeDocument/2006/relationships/image" Target="../media/image3846.jpeg"/><Relationship Id="rId115" Type="http://schemas.openxmlformats.org/officeDocument/2006/relationships/image" Target="../media/image115.jpeg"/><Relationship Id="rId322" Type="http://schemas.openxmlformats.org/officeDocument/2006/relationships/image" Target="../media/image322.jpeg"/><Relationship Id="rId767" Type="http://schemas.openxmlformats.org/officeDocument/2006/relationships/image" Target="../media/image767.jpeg"/><Relationship Id="rId974" Type="http://schemas.openxmlformats.org/officeDocument/2006/relationships/image" Target="../media/image974.jpeg"/><Relationship Id="rId2003" Type="http://schemas.openxmlformats.org/officeDocument/2006/relationships/image" Target="../media/image2003.jpeg"/><Relationship Id="rId2210" Type="http://schemas.openxmlformats.org/officeDocument/2006/relationships/image" Target="../media/image2210.jpeg"/><Relationship Id="rId2448" Type="http://schemas.openxmlformats.org/officeDocument/2006/relationships/image" Target="../media/image2448.jpeg"/><Relationship Id="rId2655" Type="http://schemas.openxmlformats.org/officeDocument/2006/relationships/image" Target="../media/image2655.jpeg"/><Relationship Id="rId2862" Type="http://schemas.openxmlformats.org/officeDocument/2006/relationships/image" Target="../media/image2862.jpeg"/><Relationship Id="rId3706" Type="http://schemas.openxmlformats.org/officeDocument/2006/relationships/image" Target="../media/image3706.jpeg"/><Relationship Id="rId3913" Type="http://schemas.openxmlformats.org/officeDocument/2006/relationships/image" Target="../media/image3913.jpeg"/><Relationship Id="rId627" Type="http://schemas.openxmlformats.org/officeDocument/2006/relationships/image" Target="../media/image627.jpeg"/><Relationship Id="rId834" Type="http://schemas.openxmlformats.org/officeDocument/2006/relationships/image" Target="../media/image834.jpeg"/><Relationship Id="rId1257" Type="http://schemas.openxmlformats.org/officeDocument/2006/relationships/image" Target="../media/image1257.jpeg"/><Relationship Id="rId1464" Type="http://schemas.openxmlformats.org/officeDocument/2006/relationships/image" Target="../media/image1464.jpeg"/><Relationship Id="rId1671" Type="http://schemas.openxmlformats.org/officeDocument/2006/relationships/image" Target="../media/image1671.jpeg"/><Relationship Id="rId2308" Type="http://schemas.openxmlformats.org/officeDocument/2006/relationships/image" Target="../media/image2308.jpeg"/><Relationship Id="rId2515" Type="http://schemas.openxmlformats.org/officeDocument/2006/relationships/image" Target="../media/image2515.jpeg"/><Relationship Id="rId2722" Type="http://schemas.openxmlformats.org/officeDocument/2006/relationships/image" Target="../media/image2722.jpeg"/><Relationship Id="rId4175" Type="http://schemas.openxmlformats.org/officeDocument/2006/relationships/image" Target="../media/image4175.jpeg"/><Relationship Id="rId4382" Type="http://schemas.openxmlformats.org/officeDocument/2006/relationships/image" Target="../media/image4382.jpeg"/><Relationship Id="rId901" Type="http://schemas.openxmlformats.org/officeDocument/2006/relationships/image" Target="../media/image901.jpeg"/><Relationship Id="rId1117" Type="http://schemas.openxmlformats.org/officeDocument/2006/relationships/image" Target="../media/image1117.jpeg"/><Relationship Id="rId1324" Type="http://schemas.openxmlformats.org/officeDocument/2006/relationships/image" Target="../media/image1324.jpeg"/><Relationship Id="rId1531" Type="http://schemas.openxmlformats.org/officeDocument/2006/relationships/image" Target="../media/image1531.jpeg"/><Relationship Id="rId1769" Type="http://schemas.openxmlformats.org/officeDocument/2006/relationships/image" Target="../media/image1769.jpeg"/><Relationship Id="rId1976" Type="http://schemas.openxmlformats.org/officeDocument/2006/relationships/image" Target="../media/image1976.jpeg"/><Relationship Id="rId3191" Type="http://schemas.openxmlformats.org/officeDocument/2006/relationships/image" Target="../media/image3191.jpeg"/><Relationship Id="rId4035" Type="http://schemas.openxmlformats.org/officeDocument/2006/relationships/image" Target="../media/image4035.jpeg"/><Relationship Id="rId4242" Type="http://schemas.openxmlformats.org/officeDocument/2006/relationships/image" Target="../media/image4242.jpeg"/><Relationship Id="rId4687" Type="http://schemas.openxmlformats.org/officeDocument/2006/relationships/image" Target="../media/image4687.jpeg"/><Relationship Id="rId4894" Type="http://schemas.openxmlformats.org/officeDocument/2006/relationships/image" Target="../media/image4894.jpeg"/><Relationship Id="rId30" Type="http://schemas.openxmlformats.org/officeDocument/2006/relationships/image" Target="../media/image30.jpeg"/><Relationship Id="rId1629" Type="http://schemas.openxmlformats.org/officeDocument/2006/relationships/image" Target="../media/image1629.jpeg"/><Relationship Id="rId1836" Type="http://schemas.openxmlformats.org/officeDocument/2006/relationships/image" Target="../media/image1836.jpeg"/><Relationship Id="rId3289" Type="http://schemas.openxmlformats.org/officeDocument/2006/relationships/image" Target="../media/image3289.jpeg"/><Relationship Id="rId3496" Type="http://schemas.openxmlformats.org/officeDocument/2006/relationships/image" Target="../media/image3496.jpeg"/><Relationship Id="rId4547" Type="http://schemas.openxmlformats.org/officeDocument/2006/relationships/image" Target="../media/image4547.jpeg"/><Relationship Id="rId4754" Type="http://schemas.openxmlformats.org/officeDocument/2006/relationships/image" Target="../media/image4754.jpeg"/><Relationship Id="rId1903" Type="http://schemas.openxmlformats.org/officeDocument/2006/relationships/image" Target="../media/image1903.jpeg"/><Relationship Id="rId2098" Type="http://schemas.openxmlformats.org/officeDocument/2006/relationships/image" Target="../media/image2098.jpeg"/><Relationship Id="rId3051" Type="http://schemas.openxmlformats.org/officeDocument/2006/relationships/image" Target="../media/image3051.jpeg"/><Relationship Id="rId3149" Type="http://schemas.openxmlformats.org/officeDocument/2006/relationships/image" Target="../media/image3149.jpeg"/><Relationship Id="rId3356" Type="http://schemas.openxmlformats.org/officeDocument/2006/relationships/image" Target="../media/image3356.jpeg"/><Relationship Id="rId3563" Type="http://schemas.openxmlformats.org/officeDocument/2006/relationships/image" Target="../media/image3563.jpeg"/><Relationship Id="rId4102" Type="http://schemas.openxmlformats.org/officeDocument/2006/relationships/image" Target="../media/image4102.jpeg"/><Relationship Id="rId4407" Type="http://schemas.openxmlformats.org/officeDocument/2006/relationships/image" Target="../media/image4407.jpeg"/><Relationship Id="rId4961" Type="http://schemas.openxmlformats.org/officeDocument/2006/relationships/image" Target="../media/image4961.jpeg"/><Relationship Id="rId277" Type="http://schemas.openxmlformats.org/officeDocument/2006/relationships/image" Target="../media/image277.jpeg"/><Relationship Id="rId484" Type="http://schemas.openxmlformats.org/officeDocument/2006/relationships/image" Target="../media/image484.jpeg"/><Relationship Id="rId2165" Type="http://schemas.openxmlformats.org/officeDocument/2006/relationships/image" Target="../media/image2165.jpeg"/><Relationship Id="rId3009" Type="http://schemas.openxmlformats.org/officeDocument/2006/relationships/image" Target="../media/image3009.jpeg"/><Relationship Id="rId3216" Type="http://schemas.openxmlformats.org/officeDocument/2006/relationships/image" Target="../media/image3216.jpeg"/><Relationship Id="rId3770" Type="http://schemas.openxmlformats.org/officeDocument/2006/relationships/image" Target="../media/image3770.jpeg"/><Relationship Id="rId3868" Type="http://schemas.openxmlformats.org/officeDocument/2006/relationships/image" Target="../media/image3868.jpeg"/><Relationship Id="rId4614" Type="http://schemas.openxmlformats.org/officeDocument/2006/relationships/image" Target="../media/image4614.jpeg"/><Relationship Id="rId4821" Type="http://schemas.openxmlformats.org/officeDocument/2006/relationships/image" Target="../media/image4821.jpeg"/><Relationship Id="rId4919" Type="http://schemas.openxmlformats.org/officeDocument/2006/relationships/image" Target="../media/image4919.jpeg"/><Relationship Id="rId137" Type="http://schemas.openxmlformats.org/officeDocument/2006/relationships/image" Target="../media/image137.jpeg"/><Relationship Id="rId344" Type="http://schemas.openxmlformats.org/officeDocument/2006/relationships/image" Target="../media/image344.jpeg"/><Relationship Id="rId691" Type="http://schemas.openxmlformats.org/officeDocument/2006/relationships/image" Target="../media/image691.jpeg"/><Relationship Id="rId789" Type="http://schemas.openxmlformats.org/officeDocument/2006/relationships/image" Target="../media/image789.jpeg"/><Relationship Id="rId996" Type="http://schemas.openxmlformats.org/officeDocument/2006/relationships/image" Target="../media/image996.jpeg"/><Relationship Id="rId2025" Type="http://schemas.openxmlformats.org/officeDocument/2006/relationships/image" Target="../media/image2025.jpeg"/><Relationship Id="rId2372" Type="http://schemas.openxmlformats.org/officeDocument/2006/relationships/image" Target="../media/image2372.jpeg"/><Relationship Id="rId2677" Type="http://schemas.openxmlformats.org/officeDocument/2006/relationships/image" Target="../media/image2677.jpeg"/><Relationship Id="rId2884" Type="http://schemas.openxmlformats.org/officeDocument/2006/relationships/image" Target="../media/image2884.jpeg"/><Relationship Id="rId3423" Type="http://schemas.openxmlformats.org/officeDocument/2006/relationships/image" Target="../media/image3423.jpeg"/><Relationship Id="rId3630" Type="http://schemas.openxmlformats.org/officeDocument/2006/relationships/image" Target="../media/image3630.jpeg"/><Relationship Id="rId3728" Type="http://schemas.openxmlformats.org/officeDocument/2006/relationships/image" Target="../media/image3728.jpeg"/><Relationship Id="rId551" Type="http://schemas.openxmlformats.org/officeDocument/2006/relationships/image" Target="../media/image551.jpeg"/><Relationship Id="rId649" Type="http://schemas.openxmlformats.org/officeDocument/2006/relationships/image" Target="../media/image649.jpeg"/><Relationship Id="rId856" Type="http://schemas.openxmlformats.org/officeDocument/2006/relationships/image" Target="../media/image856.jpeg"/><Relationship Id="rId1181" Type="http://schemas.openxmlformats.org/officeDocument/2006/relationships/image" Target="../media/image1181.jpeg"/><Relationship Id="rId1279" Type="http://schemas.openxmlformats.org/officeDocument/2006/relationships/image" Target="../media/image1279.jpeg"/><Relationship Id="rId1486" Type="http://schemas.openxmlformats.org/officeDocument/2006/relationships/image" Target="../media/image1486.jpeg"/><Relationship Id="rId2232" Type="http://schemas.openxmlformats.org/officeDocument/2006/relationships/image" Target="../media/image2232.jpeg"/><Relationship Id="rId2537" Type="http://schemas.openxmlformats.org/officeDocument/2006/relationships/image" Target="../media/image2537.jpeg"/><Relationship Id="rId3935" Type="http://schemas.openxmlformats.org/officeDocument/2006/relationships/image" Target="../media/image3935.jpeg"/><Relationship Id="rId204" Type="http://schemas.openxmlformats.org/officeDocument/2006/relationships/image" Target="../media/image204.jpeg"/><Relationship Id="rId411" Type="http://schemas.openxmlformats.org/officeDocument/2006/relationships/image" Target="../media/image411.jpeg"/><Relationship Id="rId509" Type="http://schemas.openxmlformats.org/officeDocument/2006/relationships/image" Target="../media/image509.jpeg"/><Relationship Id="rId1041" Type="http://schemas.openxmlformats.org/officeDocument/2006/relationships/image" Target="../media/image1041.jpeg"/><Relationship Id="rId1139" Type="http://schemas.openxmlformats.org/officeDocument/2006/relationships/image" Target="../media/image1139.jpeg"/><Relationship Id="rId1346" Type="http://schemas.openxmlformats.org/officeDocument/2006/relationships/image" Target="../media/image1346.jpeg"/><Relationship Id="rId1693" Type="http://schemas.openxmlformats.org/officeDocument/2006/relationships/image" Target="../media/image1693.jpeg"/><Relationship Id="rId1998" Type="http://schemas.openxmlformats.org/officeDocument/2006/relationships/image" Target="../media/image1998.jpeg"/><Relationship Id="rId2744" Type="http://schemas.openxmlformats.org/officeDocument/2006/relationships/image" Target="../media/image2744.jpeg"/><Relationship Id="rId2951" Type="http://schemas.openxmlformats.org/officeDocument/2006/relationships/image" Target="../media/image2951.jpeg"/><Relationship Id="rId4197" Type="http://schemas.openxmlformats.org/officeDocument/2006/relationships/image" Target="../media/image4197.jpeg"/><Relationship Id="rId716" Type="http://schemas.openxmlformats.org/officeDocument/2006/relationships/image" Target="../media/image716.jpeg"/><Relationship Id="rId923" Type="http://schemas.openxmlformats.org/officeDocument/2006/relationships/image" Target="../media/image923.jpeg"/><Relationship Id="rId1553" Type="http://schemas.openxmlformats.org/officeDocument/2006/relationships/image" Target="../media/image1553.jpeg"/><Relationship Id="rId1760" Type="http://schemas.openxmlformats.org/officeDocument/2006/relationships/image" Target="../media/image1760.jpeg"/><Relationship Id="rId1858" Type="http://schemas.openxmlformats.org/officeDocument/2006/relationships/image" Target="../media/image1858.jpeg"/><Relationship Id="rId2604" Type="http://schemas.openxmlformats.org/officeDocument/2006/relationships/image" Target="../media/image2604.jpeg"/><Relationship Id="rId2811" Type="http://schemas.openxmlformats.org/officeDocument/2006/relationships/image" Target="../media/image2811.jpeg"/><Relationship Id="rId4057" Type="http://schemas.openxmlformats.org/officeDocument/2006/relationships/image" Target="../media/image4057.jpeg"/><Relationship Id="rId4264" Type="http://schemas.openxmlformats.org/officeDocument/2006/relationships/image" Target="../media/image4264.jpeg"/><Relationship Id="rId4471" Type="http://schemas.openxmlformats.org/officeDocument/2006/relationships/image" Target="../media/image4471.jpeg"/><Relationship Id="rId52" Type="http://schemas.openxmlformats.org/officeDocument/2006/relationships/image" Target="../media/image52.jpeg"/><Relationship Id="rId1206" Type="http://schemas.openxmlformats.org/officeDocument/2006/relationships/image" Target="../media/image1206.jpeg"/><Relationship Id="rId1413" Type="http://schemas.openxmlformats.org/officeDocument/2006/relationships/image" Target="../media/image1413.jpeg"/><Relationship Id="rId1620" Type="http://schemas.openxmlformats.org/officeDocument/2006/relationships/image" Target="../media/image1620.jpeg"/><Relationship Id="rId2909" Type="http://schemas.openxmlformats.org/officeDocument/2006/relationships/image" Target="../media/image2909.jpeg"/><Relationship Id="rId3073" Type="http://schemas.openxmlformats.org/officeDocument/2006/relationships/image" Target="../media/image3073.jpeg"/><Relationship Id="rId3280" Type="http://schemas.openxmlformats.org/officeDocument/2006/relationships/image" Target="../media/image3280.jpeg"/><Relationship Id="rId4124" Type="http://schemas.openxmlformats.org/officeDocument/2006/relationships/image" Target="../media/image4124.jpeg"/><Relationship Id="rId4331" Type="http://schemas.openxmlformats.org/officeDocument/2006/relationships/image" Target="../media/image4331.jpeg"/><Relationship Id="rId4569" Type="http://schemas.openxmlformats.org/officeDocument/2006/relationships/image" Target="../media/image4569.jpeg"/><Relationship Id="rId4776" Type="http://schemas.openxmlformats.org/officeDocument/2006/relationships/image" Target="../media/image4776.jpeg"/><Relationship Id="rId4983" Type="http://schemas.openxmlformats.org/officeDocument/2006/relationships/image" Target="../media/image4983.jpeg"/><Relationship Id="rId1718" Type="http://schemas.openxmlformats.org/officeDocument/2006/relationships/image" Target="../media/image1718.jpeg"/><Relationship Id="rId1925" Type="http://schemas.openxmlformats.org/officeDocument/2006/relationships/image" Target="../media/image1925.jpeg"/><Relationship Id="rId3140" Type="http://schemas.openxmlformats.org/officeDocument/2006/relationships/image" Target="../media/image3140.jpeg"/><Relationship Id="rId3378" Type="http://schemas.openxmlformats.org/officeDocument/2006/relationships/image" Target="../media/image3378.jpeg"/><Relationship Id="rId3585" Type="http://schemas.openxmlformats.org/officeDocument/2006/relationships/image" Target="../media/image3585.jpeg"/><Relationship Id="rId3792" Type="http://schemas.openxmlformats.org/officeDocument/2006/relationships/image" Target="../media/image3792.jpeg"/><Relationship Id="rId4429" Type="http://schemas.openxmlformats.org/officeDocument/2006/relationships/image" Target="../media/image4429.jpeg"/><Relationship Id="rId4636" Type="http://schemas.openxmlformats.org/officeDocument/2006/relationships/image" Target="../media/image4636.jpeg"/><Relationship Id="rId4843" Type="http://schemas.openxmlformats.org/officeDocument/2006/relationships/image" Target="../media/image4843.jpeg"/><Relationship Id="rId299" Type="http://schemas.openxmlformats.org/officeDocument/2006/relationships/image" Target="../media/image299.jpeg"/><Relationship Id="rId2187" Type="http://schemas.openxmlformats.org/officeDocument/2006/relationships/image" Target="../media/image2187.jpeg"/><Relationship Id="rId2394" Type="http://schemas.openxmlformats.org/officeDocument/2006/relationships/image" Target="../media/image2394.jpeg"/><Relationship Id="rId3238" Type="http://schemas.openxmlformats.org/officeDocument/2006/relationships/image" Target="../media/image3238.jpeg"/><Relationship Id="rId3445" Type="http://schemas.openxmlformats.org/officeDocument/2006/relationships/image" Target="../media/image3445.jpeg"/><Relationship Id="rId3652" Type="http://schemas.openxmlformats.org/officeDocument/2006/relationships/image" Target="../media/image3652.jpeg"/><Relationship Id="rId4703" Type="http://schemas.openxmlformats.org/officeDocument/2006/relationships/image" Target="../media/image4703.jpeg"/><Relationship Id="rId159" Type="http://schemas.openxmlformats.org/officeDocument/2006/relationships/image" Target="../media/image159.jpeg"/><Relationship Id="rId366" Type="http://schemas.openxmlformats.org/officeDocument/2006/relationships/image" Target="../media/image366.jpeg"/><Relationship Id="rId573" Type="http://schemas.openxmlformats.org/officeDocument/2006/relationships/image" Target="../media/image573.jpeg"/><Relationship Id="rId780" Type="http://schemas.openxmlformats.org/officeDocument/2006/relationships/image" Target="../media/image780.jpeg"/><Relationship Id="rId2047" Type="http://schemas.openxmlformats.org/officeDocument/2006/relationships/image" Target="../media/image2047.jpeg"/><Relationship Id="rId2254" Type="http://schemas.openxmlformats.org/officeDocument/2006/relationships/image" Target="../media/image2254.jpeg"/><Relationship Id="rId2461" Type="http://schemas.openxmlformats.org/officeDocument/2006/relationships/image" Target="../media/image2461.jpeg"/><Relationship Id="rId2699" Type="http://schemas.openxmlformats.org/officeDocument/2006/relationships/image" Target="../media/image2699.jpeg"/><Relationship Id="rId3000" Type="http://schemas.openxmlformats.org/officeDocument/2006/relationships/image" Target="../media/image3000.jpeg"/><Relationship Id="rId3305" Type="http://schemas.openxmlformats.org/officeDocument/2006/relationships/image" Target="../media/image3305.jpeg"/><Relationship Id="rId3512" Type="http://schemas.openxmlformats.org/officeDocument/2006/relationships/image" Target="../media/image3512.jpeg"/><Relationship Id="rId3957" Type="http://schemas.openxmlformats.org/officeDocument/2006/relationships/image" Target="../media/image3957.jpeg"/><Relationship Id="rId4910" Type="http://schemas.openxmlformats.org/officeDocument/2006/relationships/image" Target="../media/image4910.jpeg"/><Relationship Id="rId226" Type="http://schemas.openxmlformats.org/officeDocument/2006/relationships/image" Target="../media/image226.jpeg"/><Relationship Id="rId433" Type="http://schemas.openxmlformats.org/officeDocument/2006/relationships/image" Target="../media/image433.jpeg"/><Relationship Id="rId878" Type="http://schemas.openxmlformats.org/officeDocument/2006/relationships/image" Target="../media/image878.jpeg"/><Relationship Id="rId1063" Type="http://schemas.openxmlformats.org/officeDocument/2006/relationships/image" Target="../media/image1063.jpeg"/><Relationship Id="rId1270" Type="http://schemas.openxmlformats.org/officeDocument/2006/relationships/image" Target="../media/image1270.jpeg"/><Relationship Id="rId2114" Type="http://schemas.openxmlformats.org/officeDocument/2006/relationships/image" Target="../media/image2114.jpeg"/><Relationship Id="rId2559" Type="http://schemas.openxmlformats.org/officeDocument/2006/relationships/image" Target="../media/image2559.jpeg"/><Relationship Id="rId2766" Type="http://schemas.openxmlformats.org/officeDocument/2006/relationships/image" Target="../media/image2766.jpeg"/><Relationship Id="rId2973" Type="http://schemas.openxmlformats.org/officeDocument/2006/relationships/image" Target="../media/image2973.jpeg"/><Relationship Id="rId3817" Type="http://schemas.openxmlformats.org/officeDocument/2006/relationships/image" Target="../media/image3817.jpeg"/><Relationship Id="rId640" Type="http://schemas.openxmlformats.org/officeDocument/2006/relationships/image" Target="../media/image640.jpeg"/><Relationship Id="rId738" Type="http://schemas.openxmlformats.org/officeDocument/2006/relationships/image" Target="../media/image738.jpeg"/><Relationship Id="rId945" Type="http://schemas.openxmlformats.org/officeDocument/2006/relationships/image" Target="../media/image945.jpeg"/><Relationship Id="rId1368" Type="http://schemas.openxmlformats.org/officeDocument/2006/relationships/image" Target="../media/image1368.jpeg"/><Relationship Id="rId1575" Type="http://schemas.openxmlformats.org/officeDocument/2006/relationships/image" Target="../media/image1575.jpeg"/><Relationship Id="rId1782" Type="http://schemas.openxmlformats.org/officeDocument/2006/relationships/image" Target="../media/image1782.jpeg"/><Relationship Id="rId2321" Type="http://schemas.openxmlformats.org/officeDocument/2006/relationships/image" Target="../media/image2321.jpeg"/><Relationship Id="rId2419" Type="http://schemas.openxmlformats.org/officeDocument/2006/relationships/image" Target="../media/image2419.jpeg"/><Relationship Id="rId2626" Type="http://schemas.openxmlformats.org/officeDocument/2006/relationships/image" Target="../media/image2626.jpeg"/><Relationship Id="rId2833" Type="http://schemas.openxmlformats.org/officeDocument/2006/relationships/image" Target="../media/image2833.jpeg"/><Relationship Id="rId4079" Type="http://schemas.openxmlformats.org/officeDocument/2006/relationships/image" Target="../media/image4079.jpeg"/><Relationship Id="rId4286" Type="http://schemas.openxmlformats.org/officeDocument/2006/relationships/image" Target="../media/image4286.jpeg"/><Relationship Id="rId74" Type="http://schemas.openxmlformats.org/officeDocument/2006/relationships/image" Target="../media/image74.jpeg"/><Relationship Id="rId500" Type="http://schemas.openxmlformats.org/officeDocument/2006/relationships/image" Target="../media/image500.jpeg"/><Relationship Id="rId805" Type="http://schemas.openxmlformats.org/officeDocument/2006/relationships/image" Target="../media/image805.jpeg"/><Relationship Id="rId1130" Type="http://schemas.openxmlformats.org/officeDocument/2006/relationships/image" Target="../media/image1130.jpeg"/><Relationship Id="rId1228" Type="http://schemas.openxmlformats.org/officeDocument/2006/relationships/image" Target="../media/image1228.jpeg"/><Relationship Id="rId1435" Type="http://schemas.openxmlformats.org/officeDocument/2006/relationships/image" Target="../media/image1435.jpeg"/><Relationship Id="rId4493" Type="http://schemas.openxmlformats.org/officeDocument/2006/relationships/image" Target="../media/image4493.jpeg"/><Relationship Id="rId4798" Type="http://schemas.openxmlformats.org/officeDocument/2006/relationships/image" Target="../media/image4798.jpeg"/><Relationship Id="rId1642" Type="http://schemas.openxmlformats.org/officeDocument/2006/relationships/image" Target="../media/image1642.jpeg"/><Relationship Id="rId1947" Type="http://schemas.openxmlformats.org/officeDocument/2006/relationships/image" Target="../media/image1947.jpeg"/><Relationship Id="rId2900" Type="http://schemas.openxmlformats.org/officeDocument/2006/relationships/image" Target="../media/image2900.jpeg"/><Relationship Id="rId3095" Type="http://schemas.openxmlformats.org/officeDocument/2006/relationships/image" Target="../media/image3095.jpeg"/><Relationship Id="rId4146" Type="http://schemas.openxmlformats.org/officeDocument/2006/relationships/image" Target="../media/image4146.jpeg"/><Relationship Id="rId4353" Type="http://schemas.openxmlformats.org/officeDocument/2006/relationships/image" Target="../media/image4353.jpeg"/><Relationship Id="rId4560" Type="http://schemas.openxmlformats.org/officeDocument/2006/relationships/image" Target="../media/image4560.jpeg"/><Relationship Id="rId1502" Type="http://schemas.openxmlformats.org/officeDocument/2006/relationships/image" Target="../media/image1502.jpeg"/><Relationship Id="rId1807" Type="http://schemas.openxmlformats.org/officeDocument/2006/relationships/image" Target="../media/image1807.jpeg"/><Relationship Id="rId3162" Type="http://schemas.openxmlformats.org/officeDocument/2006/relationships/image" Target="../media/image3162.jpeg"/><Relationship Id="rId4006" Type="http://schemas.openxmlformats.org/officeDocument/2006/relationships/image" Target="../media/image4006.jpeg"/><Relationship Id="rId4213" Type="http://schemas.openxmlformats.org/officeDocument/2006/relationships/image" Target="../media/image4213.jpeg"/><Relationship Id="rId4420" Type="http://schemas.openxmlformats.org/officeDocument/2006/relationships/image" Target="../media/image4420.jpeg"/><Relationship Id="rId4658" Type="http://schemas.openxmlformats.org/officeDocument/2006/relationships/image" Target="../media/image4658.jpeg"/><Relationship Id="rId4865" Type="http://schemas.openxmlformats.org/officeDocument/2006/relationships/image" Target="../media/image4865.jpeg"/><Relationship Id="rId290" Type="http://schemas.openxmlformats.org/officeDocument/2006/relationships/image" Target="../media/image290.jpeg"/><Relationship Id="rId388" Type="http://schemas.openxmlformats.org/officeDocument/2006/relationships/image" Target="../media/image388.jpeg"/><Relationship Id="rId2069" Type="http://schemas.openxmlformats.org/officeDocument/2006/relationships/image" Target="../media/image2069.jpeg"/><Relationship Id="rId3022" Type="http://schemas.openxmlformats.org/officeDocument/2006/relationships/image" Target="../media/image3022.jpeg"/><Relationship Id="rId3467" Type="http://schemas.openxmlformats.org/officeDocument/2006/relationships/image" Target="../media/image3467.jpeg"/><Relationship Id="rId3674" Type="http://schemas.openxmlformats.org/officeDocument/2006/relationships/image" Target="../media/image3674.jpeg"/><Relationship Id="rId3881" Type="http://schemas.openxmlformats.org/officeDocument/2006/relationships/image" Target="../media/image3881.jpeg"/><Relationship Id="rId4518" Type="http://schemas.openxmlformats.org/officeDocument/2006/relationships/image" Target="../media/image4518.jpeg"/><Relationship Id="rId4725" Type="http://schemas.openxmlformats.org/officeDocument/2006/relationships/image" Target="../media/image4725.jpeg"/><Relationship Id="rId4932" Type="http://schemas.openxmlformats.org/officeDocument/2006/relationships/image" Target="../media/image4932.jpeg"/><Relationship Id="rId150" Type="http://schemas.openxmlformats.org/officeDocument/2006/relationships/image" Target="../media/image150.jpeg"/><Relationship Id="rId595" Type="http://schemas.openxmlformats.org/officeDocument/2006/relationships/image" Target="../media/image595.jpeg"/><Relationship Id="rId2276" Type="http://schemas.openxmlformats.org/officeDocument/2006/relationships/image" Target="../media/image2276.jpeg"/><Relationship Id="rId2483" Type="http://schemas.openxmlformats.org/officeDocument/2006/relationships/image" Target="../media/image2483.jpeg"/><Relationship Id="rId2690" Type="http://schemas.openxmlformats.org/officeDocument/2006/relationships/image" Target="../media/image2690.jpeg"/><Relationship Id="rId3327" Type="http://schemas.openxmlformats.org/officeDocument/2006/relationships/image" Target="../media/image3327.jpeg"/><Relationship Id="rId3534" Type="http://schemas.openxmlformats.org/officeDocument/2006/relationships/image" Target="../media/image3534.jpeg"/><Relationship Id="rId3741" Type="http://schemas.openxmlformats.org/officeDocument/2006/relationships/image" Target="../media/image3741.jpeg"/><Relationship Id="rId3979" Type="http://schemas.openxmlformats.org/officeDocument/2006/relationships/image" Target="../media/image3979.jpeg"/><Relationship Id="rId248" Type="http://schemas.openxmlformats.org/officeDocument/2006/relationships/image" Target="../media/image248.jpeg"/><Relationship Id="rId455" Type="http://schemas.openxmlformats.org/officeDocument/2006/relationships/image" Target="../media/image455.jpeg"/><Relationship Id="rId662" Type="http://schemas.openxmlformats.org/officeDocument/2006/relationships/image" Target="../media/image662.jpeg"/><Relationship Id="rId1085" Type="http://schemas.openxmlformats.org/officeDocument/2006/relationships/image" Target="../media/image1085.jpeg"/><Relationship Id="rId1292" Type="http://schemas.openxmlformats.org/officeDocument/2006/relationships/image" Target="../media/image1292.jpeg"/><Relationship Id="rId2136" Type="http://schemas.openxmlformats.org/officeDocument/2006/relationships/image" Target="../media/image2136.jpeg"/><Relationship Id="rId2343" Type="http://schemas.openxmlformats.org/officeDocument/2006/relationships/image" Target="../media/image2343.jpeg"/><Relationship Id="rId2550" Type="http://schemas.openxmlformats.org/officeDocument/2006/relationships/image" Target="../media/image2550.jpeg"/><Relationship Id="rId2788" Type="http://schemas.openxmlformats.org/officeDocument/2006/relationships/image" Target="../media/image2788.jpeg"/><Relationship Id="rId2995" Type="http://schemas.openxmlformats.org/officeDocument/2006/relationships/image" Target="../media/image2995.jpeg"/><Relationship Id="rId3601" Type="http://schemas.openxmlformats.org/officeDocument/2006/relationships/image" Target="../media/image3601.jpeg"/><Relationship Id="rId3839" Type="http://schemas.openxmlformats.org/officeDocument/2006/relationships/image" Target="../media/image3839.jpeg"/><Relationship Id="rId108" Type="http://schemas.openxmlformats.org/officeDocument/2006/relationships/image" Target="../media/image108.jpeg"/><Relationship Id="rId315" Type="http://schemas.openxmlformats.org/officeDocument/2006/relationships/image" Target="../media/image315.jpeg"/><Relationship Id="rId522" Type="http://schemas.openxmlformats.org/officeDocument/2006/relationships/image" Target="../media/image522.jpeg"/><Relationship Id="rId967" Type="http://schemas.openxmlformats.org/officeDocument/2006/relationships/image" Target="../media/image967.jpeg"/><Relationship Id="rId1152" Type="http://schemas.openxmlformats.org/officeDocument/2006/relationships/image" Target="../media/image1152.jpeg"/><Relationship Id="rId1597" Type="http://schemas.openxmlformats.org/officeDocument/2006/relationships/image" Target="../media/image1597.jpeg"/><Relationship Id="rId2203" Type="http://schemas.openxmlformats.org/officeDocument/2006/relationships/image" Target="../media/image2203.jpeg"/><Relationship Id="rId2410" Type="http://schemas.openxmlformats.org/officeDocument/2006/relationships/image" Target="../media/image2410.jpeg"/><Relationship Id="rId2648" Type="http://schemas.openxmlformats.org/officeDocument/2006/relationships/image" Target="../media/image2648.jpeg"/><Relationship Id="rId2855" Type="http://schemas.openxmlformats.org/officeDocument/2006/relationships/image" Target="../media/image2855.jpeg"/><Relationship Id="rId3906" Type="http://schemas.openxmlformats.org/officeDocument/2006/relationships/image" Target="../media/image3906.jpeg"/><Relationship Id="rId96" Type="http://schemas.openxmlformats.org/officeDocument/2006/relationships/image" Target="../media/image96.jpeg"/><Relationship Id="rId827" Type="http://schemas.openxmlformats.org/officeDocument/2006/relationships/image" Target="../media/image827.jpeg"/><Relationship Id="rId1012" Type="http://schemas.openxmlformats.org/officeDocument/2006/relationships/image" Target="../media/image1012.jpeg"/><Relationship Id="rId1457" Type="http://schemas.openxmlformats.org/officeDocument/2006/relationships/image" Target="../media/image1457.jpeg"/><Relationship Id="rId1664" Type="http://schemas.openxmlformats.org/officeDocument/2006/relationships/image" Target="../media/image1664.jpeg"/><Relationship Id="rId1871" Type="http://schemas.openxmlformats.org/officeDocument/2006/relationships/image" Target="../media/image1871.jpeg"/><Relationship Id="rId2508" Type="http://schemas.openxmlformats.org/officeDocument/2006/relationships/image" Target="../media/image2508.jpeg"/><Relationship Id="rId2715" Type="http://schemas.openxmlformats.org/officeDocument/2006/relationships/image" Target="../media/image2715.jpeg"/><Relationship Id="rId2922" Type="http://schemas.openxmlformats.org/officeDocument/2006/relationships/image" Target="../media/image2922.jpeg"/><Relationship Id="rId4070" Type="http://schemas.openxmlformats.org/officeDocument/2006/relationships/image" Target="../media/image4070.jpeg"/><Relationship Id="rId4168" Type="http://schemas.openxmlformats.org/officeDocument/2006/relationships/image" Target="../media/image4168.jpeg"/><Relationship Id="rId4375" Type="http://schemas.openxmlformats.org/officeDocument/2006/relationships/image" Target="../media/image4375.jpeg"/><Relationship Id="rId1317" Type="http://schemas.openxmlformats.org/officeDocument/2006/relationships/image" Target="../media/image1317.jpeg"/><Relationship Id="rId1524" Type="http://schemas.openxmlformats.org/officeDocument/2006/relationships/image" Target="../media/image1524.jpeg"/><Relationship Id="rId1731" Type="http://schemas.openxmlformats.org/officeDocument/2006/relationships/image" Target="../media/image1731.jpeg"/><Relationship Id="rId1969" Type="http://schemas.openxmlformats.org/officeDocument/2006/relationships/image" Target="../media/image1969.jpeg"/><Relationship Id="rId3184" Type="http://schemas.openxmlformats.org/officeDocument/2006/relationships/image" Target="../media/image3184.jpeg"/><Relationship Id="rId4028" Type="http://schemas.openxmlformats.org/officeDocument/2006/relationships/image" Target="../media/image4028.jpeg"/><Relationship Id="rId4235" Type="http://schemas.openxmlformats.org/officeDocument/2006/relationships/image" Target="../media/image4235.jpeg"/><Relationship Id="rId4582" Type="http://schemas.openxmlformats.org/officeDocument/2006/relationships/image" Target="../media/image4582.jpeg"/><Relationship Id="rId4887" Type="http://schemas.openxmlformats.org/officeDocument/2006/relationships/image" Target="../media/image4887.jpeg"/><Relationship Id="rId23" Type="http://schemas.openxmlformats.org/officeDocument/2006/relationships/image" Target="../media/image23.jpeg"/><Relationship Id="rId1829" Type="http://schemas.openxmlformats.org/officeDocument/2006/relationships/image" Target="../media/image1829.jpeg"/><Relationship Id="rId3391" Type="http://schemas.openxmlformats.org/officeDocument/2006/relationships/image" Target="../media/image3391.jpeg"/><Relationship Id="rId3489" Type="http://schemas.openxmlformats.org/officeDocument/2006/relationships/image" Target="../media/image3489.jpeg"/><Relationship Id="rId3696" Type="http://schemas.openxmlformats.org/officeDocument/2006/relationships/image" Target="../media/image3696.jpeg"/><Relationship Id="rId4442" Type="http://schemas.openxmlformats.org/officeDocument/2006/relationships/image" Target="../media/image4442.jpeg"/><Relationship Id="rId4747" Type="http://schemas.openxmlformats.org/officeDocument/2006/relationships/image" Target="../media/image4747.jpeg"/><Relationship Id="rId2298" Type="http://schemas.openxmlformats.org/officeDocument/2006/relationships/image" Target="../media/image2298.jpeg"/><Relationship Id="rId3044" Type="http://schemas.openxmlformats.org/officeDocument/2006/relationships/image" Target="../media/image3044.jpeg"/><Relationship Id="rId3251" Type="http://schemas.openxmlformats.org/officeDocument/2006/relationships/image" Target="../media/image3251.jpeg"/><Relationship Id="rId3349" Type="http://schemas.openxmlformats.org/officeDocument/2006/relationships/image" Target="../media/image3349.jpeg"/><Relationship Id="rId3556" Type="http://schemas.openxmlformats.org/officeDocument/2006/relationships/image" Target="../media/image3556.jpeg"/><Relationship Id="rId4302" Type="http://schemas.openxmlformats.org/officeDocument/2006/relationships/image" Target="../media/image4302.jpeg"/><Relationship Id="rId4954" Type="http://schemas.openxmlformats.org/officeDocument/2006/relationships/image" Target="../media/image4954.jpeg"/><Relationship Id="rId172" Type="http://schemas.openxmlformats.org/officeDocument/2006/relationships/image" Target="../media/image172.jpeg"/><Relationship Id="rId477" Type="http://schemas.openxmlformats.org/officeDocument/2006/relationships/image" Target="../media/image477.jpeg"/><Relationship Id="rId684" Type="http://schemas.openxmlformats.org/officeDocument/2006/relationships/image" Target="../media/image684.jpeg"/><Relationship Id="rId2060" Type="http://schemas.openxmlformats.org/officeDocument/2006/relationships/image" Target="../media/image2060.jpeg"/><Relationship Id="rId2158" Type="http://schemas.openxmlformats.org/officeDocument/2006/relationships/image" Target="../media/image2158.jpeg"/><Relationship Id="rId2365" Type="http://schemas.openxmlformats.org/officeDocument/2006/relationships/image" Target="../media/image2365.jpeg"/><Relationship Id="rId3111" Type="http://schemas.openxmlformats.org/officeDocument/2006/relationships/image" Target="../media/image3111.jpeg"/><Relationship Id="rId3209" Type="http://schemas.openxmlformats.org/officeDocument/2006/relationships/image" Target="../media/image3209.jpeg"/><Relationship Id="rId3763" Type="http://schemas.openxmlformats.org/officeDocument/2006/relationships/image" Target="../media/image3763.jpeg"/><Relationship Id="rId3970" Type="http://schemas.openxmlformats.org/officeDocument/2006/relationships/image" Target="../media/image3970.jpeg"/><Relationship Id="rId4607" Type="http://schemas.openxmlformats.org/officeDocument/2006/relationships/image" Target="../media/image4607.jpeg"/><Relationship Id="rId4814" Type="http://schemas.openxmlformats.org/officeDocument/2006/relationships/image" Target="../media/image4814.jpeg"/><Relationship Id="rId337" Type="http://schemas.openxmlformats.org/officeDocument/2006/relationships/image" Target="../media/image337.jpeg"/><Relationship Id="rId891" Type="http://schemas.openxmlformats.org/officeDocument/2006/relationships/image" Target="../media/image891.jpeg"/><Relationship Id="rId989" Type="http://schemas.openxmlformats.org/officeDocument/2006/relationships/image" Target="../media/image989.jpeg"/><Relationship Id="rId2018" Type="http://schemas.openxmlformats.org/officeDocument/2006/relationships/image" Target="../media/image2018.jpeg"/><Relationship Id="rId2572" Type="http://schemas.openxmlformats.org/officeDocument/2006/relationships/image" Target="../media/image2572.jpeg"/><Relationship Id="rId2877" Type="http://schemas.openxmlformats.org/officeDocument/2006/relationships/image" Target="../media/image2877.jpeg"/><Relationship Id="rId3416" Type="http://schemas.openxmlformats.org/officeDocument/2006/relationships/image" Target="../media/image3416.jpeg"/><Relationship Id="rId3623" Type="http://schemas.openxmlformats.org/officeDocument/2006/relationships/image" Target="../media/image3623.jpeg"/><Relationship Id="rId3830" Type="http://schemas.openxmlformats.org/officeDocument/2006/relationships/image" Target="../media/image3830.jpeg"/><Relationship Id="rId544" Type="http://schemas.openxmlformats.org/officeDocument/2006/relationships/image" Target="../media/image544.jpeg"/><Relationship Id="rId751" Type="http://schemas.openxmlformats.org/officeDocument/2006/relationships/image" Target="../media/image751.jpeg"/><Relationship Id="rId849" Type="http://schemas.openxmlformats.org/officeDocument/2006/relationships/image" Target="../media/image849.jpeg"/><Relationship Id="rId1174" Type="http://schemas.openxmlformats.org/officeDocument/2006/relationships/image" Target="../media/image1174.jpeg"/><Relationship Id="rId1381" Type="http://schemas.openxmlformats.org/officeDocument/2006/relationships/image" Target="../media/image1381.jpeg"/><Relationship Id="rId1479" Type="http://schemas.openxmlformats.org/officeDocument/2006/relationships/image" Target="../media/image1479.jpeg"/><Relationship Id="rId1686" Type="http://schemas.openxmlformats.org/officeDocument/2006/relationships/image" Target="../media/image1686.jpeg"/><Relationship Id="rId2225" Type="http://schemas.openxmlformats.org/officeDocument/2006/relationships/image" Target="../media/image2225.jpeg"/><Relationship Id="rId2432" Type="http://schemas.openxmlformats.org/officeDocument/2006/relationships/image" Target="../media/image2432.jpeg"/><Relationship Id="rId3928" Type="http://schemas.openxmlformats.org/officeDocument/2006/relationships/image" Target="../media/image3928.jpeg"/><Relationship Id="rId4092" Type="http://schemas.openxmlformats.org/officeDocument/2006/relationships/image" Target="../media/image4092.jpeg"/><Relationship Id="rId404" Type="http://schemas.openxmlformats.org/officeDocument/2006/relationships/image" Target="../media/image404.jpeg"/><Relationship Id="rId611" Type="http://schemas.openxmlformats.org/officeDocument/2006/relationships/image" Target="../media/image611.jpeg"/><Relationship Id="rId1034" Type="http://schemas.openxmlformats.org/officeDocument/2006/relationships/image" Target="../media/image1034.jpeg"/><Relationship Id="rId1241" Type="http://schemas.openxmlformats.org/officeDocument/2006/relationships/image" Target="../media/image1241.jpeg"/><Relationship Id="rId1339" Type="http://schemas.openxmlformats.org/officeDocument/2006/relationships/image" Target="../media/image1339.jpeg"/><Relationship Id="rId1893" Type="http://schemas.openxmlformats.org/officeDocument/2006/relationships/image" Target="../media/image1893.jpeg"/><Relationship Id="rId2737" Type="http://schemas.openxmlformats.org/officeDocument/2006/relationships/image" Target="../media/image2737.jpeg"/><Relationship Id="rId2944" Type="http://schemas.openxmlformats.org/officeDocument/2006/relationships/image" Target="../media/image2944.jpeg"/><Relationship Id="rId4397" Type="http://schemas.openxmlformats.org/officeDocument/2006/relationships/image" Target="../media/image4397.jpeg"/><Relationship Id="rId709" Type="http://schemas.openxmlformats.org/officeDocument/2006/relationships/image" Target="../media/image709.jpeg"/><Relationship Id="rId916" Type="http://schemas.openxmlformats.org/officeDocument/2006/relationships/image" Target="../media/image916.jpeg"/><Relationship Id="rId1101" Type="http://schemas.openxmlformats.org/officeDocument/2006/relationships/image" Target="../media/image1101.jpeg"/><Relationship Id="rId1546" Type="http://schemas.openxmlformats.org/officeDocument/2006/relationships/image" Target="../media/image1546.jpeg"/><Relationship Id="rId1753" Type="http://schemas.openxmlformats.org/officeDocument/2006/relationships/image" Target="../media/image1753.jpeg"/><Relationship Id="rId1960" Type="http://schemas.openxmlformats.org/officeDocument/2006/relationships/image" Target="../media/image1960.jpeg"/><Relationship Id="rId2804" Type="http://schemas.openxmlformats.org/officeDocument/2006/relationships/image" Target="../media/image2804.jpeg"/><Relationship Id="rId4257" Type="http://schemas.openxmlformats.org/officeDocument/2006/relationships/image" Target="../media/image4257.jpeg"/><Relationship Id="rId4464" Type="http://schemas.openxmlformats.org/officeDocument/2006/relationships/image" Target="../media/image4464.jpeg"/><Relationship Id="rId4671" Type="http://schemas.openxmlformats.org/officeDocument/2006/relationships/image" Target="../media/image4671.jpeg"/><Relationship Id="rId45" Type="http://schemas.openxmlformats.org/officeDocument/2006/relationships/image" Target="../media/image45.jpeg"/><Relationship Id="rId1406" Type="http://schemas.openxmlformats.org/officeDocument/2006/relationships/image" Target="../media/image1406.jpeg"/><Relationship Id="rId1613" Type="http://schemas.openxmlformats.org/officeDocument/2006/relationships/image" Target="../media/image1613.jpeg"/><Relationship Id="rId1820" Type="http://schemas.openxmlformats.org/officeDocument/2006/relationships/image" Target="../media/image1820.jpeg"/><Relationship Id="rId3066" Type="http://schemas.openxmlformats.org/officeDocument/2006/relationships/image" Target="../media/image3066.jpeg"/><Relationship Id="rId3273" Type="http://schemas.openxmlformats.org/officeDocument/2006/relationships/image" Target="../media/image3273.jpeg"/><Relationship Id="rId3480" Type="http://schemas.openxmlformats.org/officeDocument/2006/relationships/image" Target="../media/image3480.jpeg"/><Relationship Id="rId4117" Type="http://schemas.openxmlformats.org/officeDocument/2006/relationships/image" Target="../media/image4117.jpeg"/><Relationship Id="rId4324" Type="http://schemas.openxmlformats.org/officeDocument/2006/relationships/image" Target="../media/image4324.jpeg"/><Relationship Id="rId4531" Type="http://schemas.openxmlformats.org/officeDocument/2006/relationships/image" Target="../media/image4531.jpeg"/><Relationship Id="rId4769" Type="http://schemas.openxmlformats.org/officeDocument/2006/relationships/image" Target="../media/image4769.jpeg"/><Relationship Id="rId4976" Type="http://schemas.openxmlformats.org/officeDocument/2006/relationships/image" Target="../media/image4976.jpeg"/><Relationship Id="rId194" Type="http://schemas.openxmlformats.org/officeDocument/2006/relationships/image" Target="../media/image194.jpeg"/><Relationship Id="rId1918" Type="http://schemas.openxmlformats.org/officeDocument/2006/relationships/image" Target="../media/image1918.jpeg"/><Relationship Id="rId2082" Type="http://schemas.openxmlformats.org/officeDocument/2006/relationships/image" Target="../media/image2082.jpeg"/><Relationship Id="rId3133" Type="http://schemas.openxmlformats.org/officeDocument/2006/relationships/image" Target="../media/image3133.jpeg"/><Relationship Id="rId3578" Type="http://schemas.openxmlformats.org/officeDocument/2006/relationships/image" Target="../media/image3578.jpeg"/><Relationship Id="rId3785" Type="http://schemas.openxmlformats.org/officeDocument/2006/relationships/image" Target="../media/image3785.jpeg"/><Relationship Id="rId3992" Type="http://schemas.openxmlformats.org/officeDocument/2006/relationships/image" Target="../media/image3992.jpeg"/><Relationship Id="rId4629" Type="http://schemas.openxmlformats.org/officeDocument/2006/relationships/image" Target="../media/image4629.jpeg"/><Relationship Id="rId4836" Type="http://schemas.openxmlformats.org/officeDocument/2006/relationships/image" Target="../media/image4836.jpeg"/><Relationship Id="rId261" Type="http://schemas.openxmlformats.org/officeDocument/2006/relationships/image" Target="../media/image261.jpeg"/><Relationship Id="rId499" Type="http://schemas.openxmlformats.org/officeDocument/2006/relationships/image" Target="../media/image499.jpeg"/><Relationship Id="rId2387" Type="http://schemas.openxmlformats.org/officeDocument/2006/relationships/image" Target="../media/image2387.jpeg"/><Relationship Id="rId2594" Type="http://schemas.openxmlformats.org/officeDocument/2006/relationships/image" Target="../media/image2594.jpeg"/><Relationship Id="rId3340" Type="http://schemas.openxmlformats.org/officeDocument/2006/relationships/image" Target="../media/image3340.jpeg"/><Relationship Id="rId3438" Type="http://schemas.openxmlformats.org/officeDocument/2006/relationships/image" Target="../media/image3438.jpeg"/><Relationship Id="rId3645" Type="http://schemas.openxmlformats.org/officeDocument/2006/relationships/image" Target="../media/image3645.jpeg"/><Relationship Id="rId3852" Type="http://schemas.openxmlformats.org/officeDocument/2006/relationships/image" Target="../media/image3852.jpeg"/><Relationship Id="rId359" Type="http://schemas.openxmlformats.org/officeDocument/2006/relationships/image" Target="../media/image359.jpeg"/><Relationship Id="rId566" Type="http://schemas.openxmlformats.org/officeDocument/2006/relationships/image" Target="../media/image566.jpeg"/><Relationship Id="rId773" Type="http://schemas.openxmlformats.org/officeDocument/2006/relationships/image" Target="../media/image773.jpeg"/><Relationship Id="rId1196" Type="http://schemas.openxmlformats.org/officeDocument/2006/relationships/image" Target="../media/image1196.jpeg"/><Relationship Id="rId2247" Type="http://schemas.openxmlformats.org/officeDocument/2006/relationships/image" Target="../media/image2247.jpeg"/><Relationship Id="rId2454" Type="http://schemas.openxmlformats.org/officeDocument/2006/relationships/image" Target="../media/image2454.jpeg"/><Relationship Id="rId2899" Type="http://schemas.openxmlformats.org/officeDocument/2006/relationships/image" Target="../media/image2899.jpeg"/><Relationship Id="rId3200" Type="http://schemas.openxmlformats.org/officeDocument/2006/relationships/image" Target="../media/image3200.jpeg"/><Relationship Id="rId3505" Type="http://schemas.openxmlformats.org/officeDocument/2006/relationships/image" Target="../media/image3505.jpeg"/><Relationship Id="rId4903" Type="http://schemas.openxmlformats.org/officeDocument/2006/relationships/image" Target="../media/image4903.jpeg"/><Relationship Id="rId121" Type="http://schemas.openxmlformats.org/officeDocument/2006/relationships/image" Target="../media/image121.jpeg"/><Relationship Id="rId219" Type="http://schemas.openxmlformats.org/officeDocument/2006/relationships/image" Target="../media/image219.jpeg"/><Relationship Id="rId426" Type="http://schemas.openxmlformats.org/officeDocument/2006/relationships/image" Target="../media/image426.jpeg"/><Relationship Id="rId633" Type="http://schemas.openxmlformats.org/officeDocument/2006/relationships/image" Target="../media/image633.jpeg"/><Relationship Id="rId980" Type="http://schemas.openxmlformats.org/officeDocument/2006/relationships/image" Target="../media/image980.jpeg"/><Relationship Id="rId1056" Type="http://schemas.openxmlformats.org/officeDocument/2006/relationships/image" Target="../media/image1056.jpeg"/><Relationship Id="rId1263" Type="http://schemas.openxmlformats.org/officeDocument/2006/relationships/image" Target="../media/image1263.jpeg"/><Relationship Id="rId2107" Type="http://schemas.openxmlformats.org/officeDocument/2006/relationships/image" Target="../media/image2107.jpeg"/><Relationship Id="rId2314" Type="http://schemas.openxmlformats.org/officeDocument/2006/relationships/image" Target="../media/image2314.jpeg"/><Relationship Id="rId2661" Type="http://schemas.openxmlformats.org/officeDocument/2006/relationships/image" Target="../media/image2661.jpeg"/><Relationship Id="rId2759" Type="http://schemas.openxmlformats.org/officeDocument/2006/relationships/image" Target="../media/image2759.jpeg"/><Relationship Id="rId2966" Type="http://schemas.openxmlformats.org/officeDocument/2006/relationships/image" Target="../media/image2966.jpeg"/><Relationship Id="rId3712" Type="http://schemas.openxmlformats.org/officeDocument/2006/relationships/image" Target="../media/image3712.jpeg"/><Relationship Id="rId840" Type="http://schemas.openxmlformats.org/officeDocument/2006/relationships/image" Target="../media/image840.jpeg"/><Relationship Id="rId938" Type="http://schemas.openxmlformats.org/officeDocument/2006/relationships/image" Target="../media/image938.jpeg"/><Relationship Id="rId1470" Type="http://schemas.openxmlformats.org/officeDocument/2006/relationships/image" Target="../media/image1470.jpeg"/><Relationship Id="rId1568" Type="http://schemas.openxmlformats.org/officeDocument/2006/relationships/image" Target="../media/image1568.jpeg"/><Relationship Id="rId1775" Type="http://schemas.openxmlformats.org/officeDocument/2006/relationships/image" Target="../media/image1775.jpeg"/><Relationship Id="rId2521" Type="http://schemas.openxmlformats.org/officeDocument/2006/relationships/image" Target="../media/image2521.jpeg"/><Relationship Id="rId2619" Type="http://schemas.openxmlformats.org/officeDocument/2006/relationships/image" Target="../media/image2619.jpeg"/><Relationship Id="rId2826" Type="http://schemas.openxmlformats.org/officeDocument/2006/relationships/image" Target="../media/image2826.jpeg"/><Relationship Id="rId4181" Type="http://schemas.openxmlformats.org/officeDocument/2006/relationships/image" Target="../media/image4181.jpeg"/><Relationship Id="rId4279" Type="http://schemas.openxmlformats.org/officeDocument/2006/relationships/image" Target="../media/image4279.jpeg"/><Relationship Id="rId67" Type="http://schemas.openxmlformats.org/officeDocument/2006/relationships/image" Target="../media/image67.jpeg"/><Relationship Id="rId700" Type="http://schemas.openxmlformats.org/officeDocument/2006/relationships/image" Target="../media/image700.jpeg"/><Relationship Id="rId1123" Type="http://schemas.openxmlformats.org/officeDocument/2006/relationships/image" Target="../media/image1123.jpeg"/><Relationship Id="rId1330" Type="http://schemas.openxmlformats.org/officeDocument/2006/relationships/image" Target="../media/image1330.jpeg"/><Relationship Id="rId1428" Type="http://schemas.openxmlformats.org/officeDocument/2006/relationships/image" Target="../media/image1428.jpeg"/><Relationship Id="rId1635" Type="http://schemas.openxmlformats.org/officeDocument/2006/relationships/image" Target="../media/image1635.jpeg"/><Relationship Id="rId1982" Type="http://schemas.openxmlformats.org/officeDocument/2006/relationships/image" Target="../media/image1982.jpeg"/><Relationship Id="rId3088" Type="http://schemas.openxmlformats.org/officeDocument/2006/relationships/image" Target="../media/image3088.jpeg"/><Relationship Id="rId4041" Type="http://schemas.openxmlformats.org/officeDocument/2006/relationships/image" Target="../media/image4041.jpeg"/><Relationship Id="rId4486" Type="http://schemas.openxmlformats.org/officeDocument/2006/relationships/image" Target="../media/image4486.jpeg"/><Relationship Id="rId4693" Type="http://schemas.openxmlformats.org/officeDocument/2006/relationships/image" Target="../media/image4693.jpeg"/><Relationship Id="rId1842" Type="http://schemas.openxmlformats.org/officeDocument/2006/relationships/image" Target="../media/image1842.jpeg"/><Relationship Id="rId3295" Type="http://schemas.openxmlformats.org/officeDocument/2006/relationships/image" Target="../media/image3295.jpeg"/><Relationship Id="rId4139" Type="http://schemas.openxmlformats.org/officeDocument/2006/relationships/image" Target="../media/image4139.jpeg"/><Relationship Id="rId4346" Type="http://schemas.openxmlformats.org/officeDocument/2006/relationships/image" Target="../media/image4346.jpeg"/><Relationship Id="rId4553" Type="http://schemas.openxmlformats.org/officeDocument/2006/relationships/image" Target="../media/image4553.jpeg"/><Relationship Id="rId4760" Type="http://schemas.openxmlformats.org/officeDocument/2006/relationships/image" Target="../media/image4760.jpeg"/><Relationship Id="rId1702" Type="http://schemas.openxmlformats.org/officeDocument/2006/relationships/image" Target="../media/image1702.jpeg"/><Relationship Id="rId3155" Type="http://schemas.openxmlformats.org/officeDocument/2006/relationships/image" Target="../media/image3155.jpeg"/><Relationship Id="rId3362" Type="http://schemas.openxmlformats.org/officeDocument/2006/relationships/image" Target="../media/image3362.jpeg"/><Relationship Id="rId4206" Type="http://schemas.openxmlformats.org/officeDocument/2006/relationships/image" Target="../media/image4206.jpeg"/><Relationship Id="rId4413" Type="http://schemas.openxmlformats.org/officeDocument/2006/relationships/image" Target="../media/image4413.jpeg"/><Relationship Id="rId4620" Type="http://schemas.openxmlformats.org/officeDocument/2006/relationships/image" Target="../media/image4620.jpeg"/><Relationship Id="rId4858" Type="http://schemas.openxmlformats.org/officeDocument/2006/relationships/image" Target="../media/image4858.jpeg"/><Relationship Id="rId283" Type="http://schemas.openxmlformats.org/officeDocument/2006/relationships/image" Target="../media/image283.jpeg"/><Relationship Id="rId490" Type="http://schemas.openxmlformats.org/officeDocument/2006/relationships/image" Target="../media/image490.jpeg"/><Relationship Id="rId2171" Type="http://schemas.openxmlformats.org/officeDocument/2006/relationships/image" Target="../media/image2171.jpeg"/><Relationship Id="rId3015" Type="http://schemas.openxmlformats.org/officeDocument/2006/relationships/image" Target="../media/image3015.jpeg"/><Relationship Id="rId3222" Type="http://schemas.openxmlformats.org/officeDocument/2006/relationships/image" Target="../media/image3222.jpeg"/><Relationship Id="rId3667" Type="http://schemas.openxmlformats.org/officeDocument/2006/relationships/image" Target="../media/image3667.jpeg"/><Relationship Id="rId3874" Type="http://schemas.openxmlformats.org/officeDocument/2006/relationships/image" Target="../media/image3874.jpeg"/><Relationship Id="rId4718" Type="http://schemas.openxmlformats.org/officeDocument/2006/relationships/image" Target="../media/image4718.jpeg"/><Relationship Id="rId4925" Type="http://schemas.openxmlformats.org/officeDocument/2006/relationships/image" Target="../media/image4925.jpeg"/><Relationship Id="rId143" Type="http://schemas.openxmlformats.org/officeDocument/2006/relationships/image" Target="../media/image143.jpeg"/><Relationship Id="rId350" Type="http://schemas.openxmlformats.org/officeDocument/2006/relationships/image" Target="../media/image350.jpeg"/><Relationship Id="rId588" Type="http://schemas.openxmlformats.org/officeDocument/2006/relationships/image" Target="../media/image588.jpeg"/><Relationship Id="rId795" Type="http://schemas.openxmlformats.org/officeDocument/2006/relationships/image" Target="../media/image795.jpeg"/><Relationship Id="rId2031" Type="http://schemas.openxmlformats.org/officeDocument/2006/relationships/image" Target="../media/image2031.jpeg"/><Relationship Id="rId2269" Type="http://schemas.openxmlformats.org/officeDocument/2006/relationships/image" Target="../media/image2269.jpeg"/><Relationship Id="rId2476" Type="http://schemas.openxmlformats.org/officeDocument/2006/relationships/image" Target="../media/image2476.jpeg"/><Relationship Id="rId2683" Type="http://schemas.openxmlformats.org/officeDocument/2006/relationships/image" Target="../media/image2683.jpeg"/><Relationship Id="rId2890" Type="http://schemas.openxmlformats.org/officeDocument/2006/relationships/image" Target="../media/image2890.jpeg"/><Relationship Id="rId3527" Type="http://schemas.openxmlformats.org/officeDocument/2006/relationships/image" Target="../media/image3527.jpeg"/><Relationship Id="rId3734" Type="http://schemas.openxmlformats.org/officeDocument/2006/relationships/image" Target="../media/image3734.jpeg"/><Relationship Id="rId3941" Type="http://schemas.openxmlformats.org/officeDocument/2006/relationships/image" Target="../media/image3941.jpeg"/><Relationship Id="rId9" Type="http://schemas.openxmlformats.org/officeDocument/2006/relationships/image" Target="../media/image9.jpeg"/><Relationship Id="rId210" Type="http://schemas.openxmlformats.org/officeDocument/2006/relationships/image" Target="../media/image210.jpeg"/><Relationship Id="rId448" Type="http://schemas.openxmlformats.org/officeDocument/2006/relationships/image" Target="../media/image448.jpeg"/><Relationship Id="rId655" Type="http://schemas.openxmlformats.org/officeDocument/2006/relationships/image" Target="../media/image655.jpeg"/><Relationship Id="rId862" Type="http://schemas.openxmlformats.org/officeDocument/2006/relationships/image" Target="../media/image862.jpeg"/><Relationship Id="rId1078" Type="http://schemas.openxmlformats.org/officeDocument/2006/relationships/image" Target="../media/image1078.jpeg"/><Relationship Id="rId1285" Type="http://schemas.openxmlformats.org/officeDocument/2006/relationships/image" Target="../media/image1285.jpeg"/><Relationship Id="rId1492" Type="http://schemas.openxmlformats.org/officeDocument/2006/relationships/image" Target="../media/image1492.jpeg"/><Relationship Id="rId2129" Type="http://schemas.openxmlformats.org/officeDocument/2006/relationships/image" Target="../media/image2129.jpeg"/><Relationship Id="rId2336" Type="http://schemas.openxmlformats.org/officeDocument/2006/relationships/image" Target="../media/image2336.jpeg"/><Relationship Id="rId2543" Type="http://schemas.openxmlformats.org/officeDocument/2006/relationships/image" Target="../media/image2543.jpeg"/><Relationship Id="rId2750" Type="http://schemas.openxmlformats.org/officeDocument/2006/relationships/image" Target="../media/image2750.jpeg"/><Relationship Id="rId2988" Type="http://schemas.openxmlformats.org/officeDocument/2006/relationships/image" Target="../media/image2988.jpeg"/><Relationship Id="rId3801" Type="http://schemas.openxmlformats.org/officeDocument/2006/relationships/image" Target="../media/image3801.jpeg"/><Relationship Id="rId308" Type="http://schemas.openxmlformats.org/officeDocument/2006/relationships/image" Target="../media/image308.jpeg"/><Relationship Id="rId515" Type="http://schemas.openxmlformats.org/officeDocument/2006/relationships/image" Target="../media/image515.jpeg"/><Relationship Id="rId722" Type="http://schemas.openxmlformats.org/officeDocument/2006/relationships/image" Target="../media/image722.jpeg"/><Relationship Id="rId1145" Type="http://schemas.openxmlformats.org/officeDocument/2006/relationships/image" Target="../media/image1145.jpeg"/><Relationship Id="rId1352" Type="http://schemas.openxmlformats.org/officeDocument/2006/relationships/image" Target="../media/image1352.jpeg"/><Relationship Id="rId1797" Type="http://schemas.openxmlformats.org/officeDocument/2006/relationships/image" Target="../media/image1797.jpeg"/><Relationship Id="rId2403" Type="http://schemas.openxmlformats.org/officeDocument/2006/relationships/image" Target="../media/image2403.jpeg"/><Relationship Id="rId2848" Type="http://schemas.openxmlformats.org/officeDocument/2006/relationships/image" Target="../media/image2848.jpeg"/><Relationship Id="rId89" Type="http://schemas.openxmlformats.org/officeDocument/2006/relationships/image" Target="../media/image89.jpeg"/><Relationship Id="rId1005" Type="http://schemas.openxmlformats.org/officeDocument/2006/relationships/image" Target="../media/image1005.jpeg"/><Relationship Id="rId1212" Type="http://schemas.openxmlformats.org/officeDocument/2006/relationships/image" Target="../media/image1212.jpeg"/><Relationship Id="rId1657" Type="http://schemas.openxmlformats.org/officeDocument/2006/relationships/image" Target="../media/image1657.jpeg"/><Relationship Id="rId1864" Type="http://schemas.openxmlformats.org/officeDocument/2006/relationships/image" Target="../media/image1864.jpeg"/><Relationship Id="rId2610" Type="http://schemas.openxmlformats.org/officeDocument/2006/relationships/image" Target="../media/image2610.jpeg"/><Relationship Id="rId2708" Type="http://schemas.openxmlformats.org/officeDocument/2006/relationships/image" Target="../media/image2708.jpeg"/><Relationship Id="rId2915" Type="http://schemas.openxmlformats.org/officeDocument/2006/relationships/image" Target="../media/image2915.jpeg"/><Relationship Id="rId4063" Type="http://schemas.openxmlformats.org/officeDocument/2006/relationships/image" Target="../media/image4063.jpeg"/><Relationship Id="rId4270" Type="http://schemas.openxmlformats.org/officeDocument/2006/relationships/image" Target="../media/image4270.jpeg"/><Relationship Id="rId4368" Type="http://schemas.openxmlformats.org/officeDocument/2006/relationships/image" Target="../media/image4368.jpeg"/><Relationship Id="rId4575" Type="http://schemas.openxmlformats.org/officeDocument/2006/relationships/image" Target="../media/image4575.jpeg"/><Relationship Id="rId1517" Type="http://schemas.openxmlformats.org/officeDocument/2006/relationships/image" Target="../media/image1517.jpeg"/><Relationship Id="rId1724" Type="http://schemas.openxmlformats.org/officeDocument/2006/relationships/image" Target="../media/image1724.jpeg"/><Relationship Id="rId3177" Type="http://schemas.openxmlformats.org/officeDocument/2006/relationships/image" Target="../media/image3177.jpeg"/><Relationship Id="rId4130" Type="http://schemas.openxmlformats.org/officeDocument/2006/relationships/image" Target="../media/image4130.jpeg"/><Relationship Id="rId4228" Type="http://schemas.openxmlformats.org/officeDocument/2006/relationships/image" Target="../media/image4228.jpeg"/><Relationship Id="rId4782" Type="http://schemas.openxmlformats.org/officeDocument/2006/relationships/image" Target="../media/image4782.jpeg"/><Relationship Id="rId16" Type="http://schemas.openxmlformats.org/officeDocument/2006/relationships/image" Target="../media/image16.jpeg"/><Relationship Id="rId1931" Type="http://schemas.openxmlformats.org/officeDocument/2006/relationships/image" Target="../media/image1931.jpeg"/><Relationship Id="rId3037" Type="http://schemas.openxmlformats.org/officeDocument/2006/relationships/image" Target="../media/image3037.jpeg"/><Relationship Id="rId3384" Type="http://schemas.openxmlformats.org/officeDocument/2006/relationships/image" Target="../media/image3384.jpeg"/><Relationship Id="rId3591" Type="http://schemas.openxmlformats.org/officeDocument/2006/relationships/image" Target="../media/image3591.jpeg"/><Relationship Id="rId3689" Type="http://schemas.openxmlformats.org/officeDocument/2006/relationships/image" Target="../media/image3689.jpeg"/><Relationship Id="rId3896" Type="http://schemas.openxmlformats.org/officeDocument/2006/relationships/image" Target="../media/image3896.jpeg"/><Relationship Id="rId4435" Type="http://schemas.openxmlformats.org/officeDocument/2006/relationships/image" Target="../media/image4435.jpeg"/><Relationship Id="rId4642" Type="http://schemas.openxmlformats.org/officeDocument/2006/relationships/image" Target="../media/image4642.jpeg"/><Relationship Id="rId2193" Type="http://schemas.openxmlformats.org/officeDocument/2006/relationships/image" Target="../media/image2193.jpeg"/><Relationship Id="rId2498" Type="http://schemas.openxmlformats.org/officeDocument/2006/relationships/image" Target="../media/image2498.jpeg"/><Relationship Id="rId3244" Type="http://schemas.openxmlformats.org/officeDocument/2006/relationships/image" Target="../media/image3244.jpeg"/><Relationship Id="rId3451" Type="http://schemas.openxmlformats.org/officeDocument/2006/relationships/image" Target="../media/image3451.jpeg"/><Relationship Id="rId3549" Type="http://schemas.openxmlformats.org/officeDocument/2006/relationships/image" Target="../media/image3549.jpeg"/><Relationship Id="rId4502" Type="http://schemas.openxmlformats.org/officeDocument/2006/relationships/image" Target="../media/image4502.jpeg"/><Relationship Id="rId4947" Type="http://schemas.openxmlformats.org/officeDocument/2006/relationships/image" Target="../media/image4947.jpeg"/><Relationship Id="rId165" Type="http://schemas.openxmlformats.org/officeDocument/2006/relationships/image" Target="../media/image165.jpeg"/><Relationship Id="rId372" Type="http://schemas.openxmlformats.org/officeDocument/2006/relationships/image" Target="../media/image372.jpeg"/><Relationship Id="rId677" Type="http://schemas.openxmlformats.org/officeDocument/2006/relationships/image" Target="../media/image677.jpeg"/><Relationship Id="rId2053" Type="http://schemas.openxmlformats.org/officeDocument/2006/relationships/image" Target="../media/image2053.jpeg"/><Relationship Id="rId2260" Type="http://schemas.openxmlformats.org/officeDocument/2006/relationships/image" Target="../media/image2260.jpeg"/><Relationship Id="rId2358" Type="http://schemas.openxmlformats.org/officeDocument/2006/relationships/image" Target="../media/image2358.jpeg"/><Relationship Id="rId3104" Type="http://schemas.openxmlformats.org/officeDocument/2006/relationships/image" Target="../media/image3104.jpeg"/><Relationship Id="rId3311" Type="http://schemas.openxmlformats.org/officeDocument/2006/relationships/image" Target="../media/image3311.jpeg"/><Relationship Id="rId3756" Type="http://schemas.openxmlformats.org/officeDocument/2006/relationships/image" Target="../media/image3756.jpeg"/><Relationship Id="rId3963" Type="http://schemas.openxmlformats.org/officeDocument/2006/relationships/image" Target="../media/image3963.jpeg"/><Relationship Id="rId4807" Type="http://schemas.openxmlformats.org/officeDocument/2006/relationships/image" Target="../media/image4807.jpeg"/><Relationship Id="rId232" Type="http://schemas.openxmlformats.org/officeDocument/2006/relationships/image" Target="../media/image232.jpeg"/><Relationship Id="rId884" Type="http://schemas.openxmlformats.org/officeDocument/2006/relationships/image" Target="../media/image884.jpeg"/><Relationship Id="rId2120" Type="http://schemas.openxmlformats.org/officeDocument/2006/relationships/image" Target="../media/image2120.jpeg"/><Relationship Id="rId2565" Type="http://schemas.openxmlformats.org/officeDocument/2006/relationships/image" Target="../media/image2565.jpeg"/><Relationship Id="rId2772" Type="http://schemas.openxmlformats.org/officeDocument/2006/relationships/image" Target="../media/image2772.jpeg"/><Relationship Id="rId3409" Type="http://schemas.openxmlformats.org/officeDocument/2006/relationships/image" Target="../media/image3409.jpeg"/><Relationship Id="rId3616" Type="http://schemas.openxmlformats.org/officeDocument/2006/relationships/image" Target="../media/image3616.jpeg"/><Relationship Id="rId3823" Type="http://schemas.openxmlformats.org/officeDocument/2006/relationships/image" Target="../media/image3823.jpeg"/><Relationship Id="rId537" Type="http://schemas.openxmlformats.org/officeDocument/2006/relationships/image" Target="../media/image537.jpeg"/><Relationship Id="rId744" Type="http://schemas.openxmlformats.org/officeDocument/2006/relationships/image" Target="../media/image744.jpeg"/><Relationship Id="rId951" Type="http://schemas.openxmlformats.org/officeDocument/2006/relationships/image" Target="../media/image951.jpeg"/><Relationship Id="rId1167" Type="http://schemas.openxmlformats.org/officeDocument/2006/relationships/image" Target="../media/image1167.jpeg"/><Relationship Id="rId1374" Type="http://schemas.openxmlformats.org/officeDocument/2006/relationships/image" Target="../media/image1374.jpeg"/><Relationship Id="rId1581" Type="http://schemas.openxmlformats.org/officeDocument/2006/relationships/image" Target="../media/image1581.jpeg"/><Relationship Id="rId1679" Type="http://schemas.openxmlformats.org/officeDocument/2006/relationships/image" Target="../media/image1679.jpeg"/><Relationship Id="rId2218" Type="http://schemas.openxmlformats.org/officeDocument/2006/relationships/image" Target="../media/image2218.jpeg"/><Relationship Id="rId2425" Type="http://schemas.openxmlformats.org/officeDocument/2006/relationships/image" Target="../media/image2425.jpeg"/><Relationship Id="rId2632" Type="http://schemas.openxmlformats.org/officeDocument/2006/relationships/image" Target="../media/image2632.jpeg"/><Relationship Id="rId4085" Type="http://schemas.openxmlformats.org/officeDocument/2006/relationships/image" Target="../media/image4085.jpeg"/><Relationship Id="rId4292" Type="http://schemas.openxmlformats.org/officeDocument/2006/relationships/image" Target="../media/image4292.jpeg"/><Relationship Id="rId80" Type="http://schemas.openxmlformats.org/officeDocument/2006/relationships/image" Target="../media/image80.jpeg"/><Relationship Id="rId604" Type="http://schemas.openxmlformats.org/officeDocument/2006/relationships/image" Target="../media/image604.jpeg"/><Relationship Id="rId811" Type="http://schemas.openxmlformats.org/officeDocument/2006/relationships/image" Target="../media/image811.jpeg"/><Relationship Id="rId1027" Type="http://schemas.openxmlformats.org/officeDocument/2006/relationships/image" Target="../media/image1027.jpeg"/><Relationship Id="rId1234" Type="http://schemas.openxmlformats.org/officeDocument/2006/relationships/image" Target="../media/image1234.jpeg"/><Relationship Id="rId1441" Type="http://schemas.openxmlformats.org/officeDocument/2006/relationships/image" Target="../media/image1441.jpeg"/><Relationship Id="rId1886" Type="http://schemas.openxmlformats.org/officeDocument/2006/relationships/image" Target="../media/image1886.jpeg"/><Relationship Id="rId2937" Type="http://schemas.openxmlformats.org/officeDocument/2006/relationships/image" Target="../media/image2937.jpeg"/><Relationship Id="rId4152" Type="http://schemas.openxmlformats.org/officeDocument/2006/relationships/image" Target="../media/image4152.jpeg"/><Relationship Id="rId4597" Type="http://schemas.openxmlformats.org/officeDocument/2006/relationships/image" Target="../media/image4597.jpeg"/><Relationship Id="rId909" Type="http://schemas.openxmlformats.org/officeDocument/2006/relationships/image" Target="../media/image909.jpeg"/><Relationship Id="rId1301" Type="http://schemas.openxmlformats.org/officeDocument/2006/relationships/image" Target="../media/image1301.jpeg"/><Relationship Id="rId1539" Type="http://schemas.openxmlformats.org/officeDocument/2006/relationships/image" Target="../media/image1539.jpeg"/><Relationship Id="rId1746" Type="http://schemas.openxmlformats.org/officeDocument/2006/relationships/image" Target="../media/image1746.jpeg"/><Relationship Id="rId1953" Type="http://schemas.openxmlformats.org/officeDocument/2006/relationships/image" Target="../media/image1953.jpeg"/><Relationship Id="rId3199" Type="http://schemas.openxmlformats.org/officeDocument/2006/relationships/image" Target="../media/image3199.jpeg"/><Relationship Id="rId4457" Type="http://schemas.openxmlformats.org/officeDocument/2006/relationships/image" Target="../media/image4457.jpeg"/><Relationship Id="rId4664" Type="http://schemas.openxmlformats.org/officeDocument/2006/relationships/image" Target="../media/image4664.jpeg"/><Relationship Id="rId38" Type="http://schemas.openxmlformats.org/officeDocument/2006/relationships/image" Target="../media/image38.jpeg"/><Relationship Id="rId1606" Type="http://schemas.openxmlformats.org/officeDocument/2006/relationships/image" Target="../media/image1606.jpeg"/><Relationship Id="rId1813" Type="http://schemas.openxmlformats.org/officeDocument/2006/relationships/image" Target="../media/image1813.jpeg"/><Relationship Id="rId3059" Type="http://schemas.openxmlformats.org/officeDocument/2006/relationships/image" Target="../media/image3059.jpeg"/><Relationship Id="rId3266" Type="http://schemas.openxmlformats.org/officeDocument/2006/relationships/image" Target="../media/image3266.jpeg"/><Relationship Id="rId3473" Type="http://schemas.openxmlformats.org/officeDocument/2006/relationships/image" Target="../media/image3473.jpeg"/><Relationship Id="rId4012" Type="http://schemas.openxmlformats.org/officeDocument/2006/relationships/image" Target="../media/image4012.jpeg"/><Relationship Id="rId4317" Type="http://schemas.openxmlformats.org/officeDocument/2006/relationships/image" Target="../media/image4317.jpeg"/><Relationship Id="rId4524" Type="http://schemas.openxmlformats.org/officeDocument/2006/relationships/image" Target="../media/image4524.jpeg"/><Relationship Id="rId4871" Type="http://schemas.openxmlformats.org/officeDocument/2006/relationships/image" Target="../media/image4871.jpeg"/><Relationship Id="rId4969" Type="http://schemas.openxmlformats.org/officeDocument/2006/relationships/image" Target="../media/image4969.jpeg"/><Relationship Id="rId187" Type="http://schemas.openxmlformats.org/officeDocument/2006/relationships/image" Target="../media/image187.jpeg"/><Relationship Id="rId394" Type="http://schemas.openxmlformats.org/officeDocument/2006/relationships/image" Target="../media/image394.jpeg"/><Relationship Id="rId2075" Type="http://schemas.openxmlformats.org/officeDocument/2006/relationships/image" Target="../media/image2075.jpeg"/><Relationship Id="rId2282" Type="http://schemas.openxmlformats.org/officeDocument/2006/relationships/image" Target="../media/image2282.jpeg"/><Relationship Id="rId3126" Type="http://schemas.openxmlformats.org/officeDocument/2006/relationships/image" Target="../media/image3126.jpeg"/><Relationship Id="rId3680" Type="http://schemas.openxmlformats.org/officeDocument/2006/relationships/image" Target="../media/image3680.jpeg"/><Relationship Id="rId3778" Type="http://schemas.openxmlformats.org/officeDocument/2006/relationships/image" Target="../media/image3778.jpeg"/><Relationship Id="rId3985" Type="http://schemas.openxmlformats.org/officeDocument/2006/relationships/image" Target="../media/image3985.jpeg"/><Relationship Id="rId4731" Type="http://schemas.openxmlformats.org/officeDocument/2006/relationships/image" Target="../media/image4731.jpeg"/><Relationship Id="rId4829" Type="http://schemas.openxmlformats.org/officeDocument/2006/relationships/image" Target="../media/image4829.jpeg"/><Relationship Id="rId254" Type="http://schemas.openxmlformats.org/officeDocument/2006/relationships/image" Target="../media/image254.jpeg"/><Relationship Id="rId699" Type="http://schemas.openxmlformats.org/officeDocument/2006/relationships/image" Target="../media/image699.jpeg"/><Relationship Id="rId1091" Type="http://schemas.openxmlformats.org/officeDocument/2006/relationships/image" Target="../media/image1091.jpeg"/><Relationship Id="rId2587" Type="http://schemas.openxmlformats.org/officeDocument/2006/relationships/image" Target="../media/image2587.jpeg"/><Relationship Id="rId2794" Type="http://schemas.openxmlformats.org/officeDocument/2006/relationships/image" Target="../media/image2794.jpeg"/><Relationship Id="rId3333" Type="http://schemas.openxmlformats.org/officeDocument/2006/relationships/image" Target="../media/image3333.jpeg"/><Relationship Id="rId3540" Type="http://schemas.openxmlformats.org/officeDocument/2006/relationships/image" Target="../media/image3540.jpeg"/><Relationship Id="rId3638" Type="http://schemas.openxmlformats.org/officeDocument/2006/relationships/image" Target="../media/image3638.jpeg"/><Relationship Id="rId3845" Type="http://schemas.openxmlformats.org/officeDocument/2006/relationships/image" Target="../media/image3845.jpeg"/><Relationship Id="rId114" Type="http://schemas.openxmlformats.org/officeDocument/2006/relationships/image" Target="../media/image114.jpeg"/><Relationship Id="rId461" Type="http://schemas.openxmlformats.org/officeDocument/2006/relationships/image" Target="../media/image461.jpeg"/><Relationship Id="rId559" Type="http://schemas.openxmlformats.org/officeDocument/2006/relationships/image" Target="../media/image559.jpeg"/><Relationship Id="rId766" Type="http://schemas.openxmlformats.org/officeDocument/2006/relationships/image" Target="../media/image766.jpeg"/><Relationship Id="rId1189" Type="http://schemas.openxmlformats.org/officeDocument/2006/relationships/image" Target="../media/image1189.jpeg"/><Relationship Id="rId1396" Type="http://schemas.openxmlformats.org/officeDocument/2006/relationships/image" Target="../media/image1396.jpeg"/><Relationship Id="rId2142" Type="http://schemas.openxmlformats.org/officeDocument/2006/relationships/image" Target="../media/image2142.jpeg"/><Relationship Id="rId2447" Type="http://schemas.openxmlformats.org/officeDocument/2006/relationships/image" Target="../media/image2447.jpeg"/><Relationship Id="rId3400" Type="http://schemas.openxmlformats.org/officeDocument/2006/relationships/image" Target="../media/image3400.jpeg"/><Relationship Id="rId321" Type="http://schemas.openxmlformats.org/officeDocument/2006/relationships/image" Target="../media/image321.jpeg"/><Relationship Id="rId419" Type="http://schemas.openxmlformats.org/officeDocument/2006/relationships/image" Target="../media/image419.jpeg"/><Relationship Id="rId626" Type="http://schemas.openxmlformats.org/officeDocument/2006/relationships/image" Target="../media/image626.jpeg"/><Relationship Id="rId973" Type="http://schemas.openxmlformats.org/officeDocument/2006/relationships/image" Target="../media/image973.jpeg"/><Relationship Id="rId1049" Type="http://schemas.openxmlformats.org/officeDocument/2006/relationships/image" Target="../media/image1049.jpeg"/><Relationship Id="rId1256" Type="http://schemas.openxmlformats.org/officeDocument/2006/relationships/image" Target="../media/image1256.jpeg"/><Relationship Id="rId2002" Type="http://schemas.openxmlformats.org/officeDocument/2006/relationships/image" Target="../media/image2002.jpeg"/><Relationship Id="rId2307" Type="http://schemas.openxmlformats.org/officeDocument/2006/relationships/image" Target="../media/image2307.jpeg"/><Relationship Id="rId2654" Type="http://schemas.openxmlformats.org/officeDocument/2006/relationships/image" Target="../media/image2654.jpeg"/><Relationship Id="rId2861" Type="http://schemas.openxmlformats.org/officeDocument/2006/relationships/image" Target="../media/image2861.jpeg"/><Relationship Id="rId2959" Type="http://schemas.openxmlformats.org/officeDocument/2006/relationships/image" Target="../media/image2959.jpeg"/><Relationship Id="rId3705" Type="http://schemas.openxmlformats.org/officeDocument/2006/relationships/image" Target="../media/image3705.jpeg"/><Relationship Id="rId3912" Type="http://schemas.openxmlformats.org/officeDocument/2006/relationships/image" Target="../media/image3912.jpeg"/><Relationship Id="rId833" Type="http://schemas.openxmlformats.org/officeDocument/2006/relationships/image" Target="../media/image833.jpeg"/><Relationship Id="rId1116" Type="http://schemas.openxmlformats.org/officeDocument/2006/relationships/image" Target="../media/image1116.jpeg"/><Relationship Id="rId1463" Type="http://schemas.openxmlformats.org/officeDocument/2006/relationships/image" Target="../media/image1463.jpeg"/><Relationship Id="rId1670" Type="http://schemas.openxmlformats.org/officeDocument/2006/relationships/image" Target="../media/image1670.jpeg"/><Relationship Id="rId1768" Type="http://schemas.openxmlformats.org/officeDocument/2006/relationships/image" Target="../media/image1768.jpeg"/><Relationship Id="rId2514" Type="http://schemas.openxmlformats.org/officeDocument/2006/relationships/image" Target="../media/image2514.jpeg"/><Relationship Id="rId2721" Type="http://schemas.openxmlformats.org/officeDocument/2006/relationships/image" Target="../media/image2721.jpeg"/><Relationship Id="rId2819" Type="http://schemas.openxmlformats.org/officeDocument/2006/relationships/image" Target="../media/image2819.jpeg"/><Relationship Id="rId4174" Type="http://schemas.openxmlformats.org/officeDocument/2006/relationships/image" Target="../media/image4174.jpeg"/><Relationship Id="rId4381" Type="http://schemas.openxmlformats.org/officeDocument/2006/relationships/image" Target="../media/image4381.jpeg"/><Relationship Id="rId900" Type="http://schemas.openxmlformats.org/officeDocument/2006/relationships/image" Target="../media/image900.jpeg"/><Relationship Id="rId1323" Type="http://schemas.openxmlformats.org/officeDocument/2006/relationships/image" Target="../media/image1323.jpeg"/><Relationship Id="rId1530" Type="http://schemas.openxmlformats.org/officeDocument/2006/relationships/image" Target="../media/image1530.jpeg"/><Relationship Id="rId1628" Type="http://schemas.openxmlformats.org/officeDocument/2006/relationships/image" Target="../media/image1628.jpeg"/><Relationship Id="rId1975" Type="http://schemas.openxmlformats.org/officeDocument/2006/relationships/image" Target="../media/image1975.jpeg"/><Relationship Id="rId3190" Type="http://schemas.openxmlformats.org/officeDocument/2006/relationships/image" Target="../media/image3190.jpeg"/><Relationship Id="rId4034" Type="http://schemas.openxmlformats.org/officeDocument/2006/relationships/image" Target="../media/image4034.jpeg"/><Relationship Id="rId4241" Type="http://schemas.openxmlformats.org/officeDocument/2006/relationships/image" Target="../media/image4241.jpeg"/><Relationship Id="rId4479" Type="http://schemas.openxmlformats.org/officeDocument/2006/relationships/image" Target="../media/image4479.jpeg"/><Relationship Id="rId4686" Type="http://schemas.openxmlformats.org/officeDocument/2006/relationships/image" Target="../media/image4686.jpeg"/><Relationship Id="rId4893" Type="http://schemas.openxmlformats.org/officeDocument/2006/relationships/image" Target="../media/image4893.jpeg"/><Relationship Id="rId1835" Type="http://schemas.openxmlformats.org/officeDocument/2006/relationships/image" Target="../media/image1835.jpeg"/><Relationship Id="rId3050" Type="http://schemas.openxmlformats.org/officeDocument/2006/relationships/image" Target="../media/image3050.jpeg"/><Relationship Id="rId3288" Type="http://schemas.openxmlformats.org/officeDocument/2006/relationships/image" Target="../media/image3288.jpeg"/><Relationship Id="rId3495" Type="http://schemas.openxmlformats.org/officeDocument/2006/relationships/image" Target="../media/image3495.jpeg"/><Relationship Id="rId4101" Type="http://schemas.openxmlformats.org/officeDocument/2006/relationships/image" Target="../media/image4101.jpeg"/><Relationship Id="rId4339" Type="http://schemas.openxmlformats.org/officeDocument/2006/relationships/image" Target="../media/image4339.jpeg"/><Relationship Id="rId4546" Type="http://schemas.openxmlformats.org/officeDocument/2006/relationships/image" Target="../media/image4546.jpeg"/><Relationship Id="rId4753" Type="http://schemas.openxmlformats.org/officeDocument/2006/relationships/image" Target="../media/image4753.jpeg"/><Relationship Id="rId4960" Type="http://schemas.openxmlformats.org/officeDocument/2006/relationships/image" Target="../media/image4960.jpeg"/><Relationship Id="rId1902" Type="http://schemas.openxmlformats.org/officeDocument/2006/relationships/image" Target="../media/image1902.jpeg"/><Relationship Id="rId2097" Type="http://schemas.openxmlformats.org/officeDocument/2006/relationships/image" Target="../media/image2097.jpeg"/><Relationship Id="rId3148" Type="http://schemas.openxmlformats.org/officeDocument/2006/relationships/image" Target="../media/image3148.jpeg"/><Relationship Id="rId3355" Type="http://schemas.openxmlformats.org/officeDocument/2006/relationships/image" Target="../media/image3355.jpeg"/><Relationship Id="rId3562" Type="http://schemas.openxmlformats.org/officeDocument/2006/relationships/image" Target="../media/image3562.jpeg"/><Relationship Id="rId4406" Type="http://schemas.openxmlformats.org/officeDocument/2006/relationships/image" Target="../media/image4406.jpeg"/><Relationship Id="rId4613" Type="http://schemas.openxmlformats.org/officeDocument/2006/relationships/image" Target="../media/image4613.jpeg"/><Relationship Id="rId276" Type="http://schemas.openxmlformats.org/officeDocument/2006/relationships/image" Target="../media/image276.jpeg"/><Relationship Id="rId483" Type="http://schemas.openxmlformats.org/officeDocument/2006/relationships/image" Target="../media/image483.jpeg"/><Relationship Id="rId690" Type="http://schemas.openxmlformats.org/officeDocument/2006/relationships/image" Target="../media/image690.jpeg"/><Relationship Id="rId2164" Type="http://schemas.openxmlformats.org/officeDocument/2006/relationships/image" Target="../media/image2164.jpeg"/><Relationship Id="rId2371" Type="http://schemas.openxmlformats.org/officeDocument/2006/relationships/image" Target="../media/image2371.jpeg"/><Relationship Id="rId3008" Type="http://schemas.openxmlformats.org/officeDocument/2006/relationships/image" Target="../media/image3008.jpeg"/><Relationship Id="rId3215" Type="http://schemas.openxmlformats.org/officeDocument/2006/relationships/image" Target="../media/image3215.jpeg"/><Relationship Id="rId3422" Type="http://schemas.openxmlformats.org/officeDocument/2006/relationships/image" Target="../media/image3422.jpeg"/><Relationship Id="rId3867" Type="http://schemas.openxmlformats.org/officeDocument/2006/relationships/image" Target="../media/image3867.jpeg"/><Relationship Id="rId4820" Type="http://schemas.openxmlformats.org/officeDocument/2006/relationships/image" Target="../media/image4820.jpeg"/><Relationship Id="rId4918" Type="http://schemas.openxmlformats.org/officeDocument/2006/relationships/image" Target="../media/image4918.jpeg"/><Relationship Id="rId136" Type="http://schemas.openxmlformats.org/officeDocument/2006/relationships/image" Target="../media/image136.jpeg"/><Relationship Id="rId343" Type="http://schemas.openxmlformats.org/officeDocument/2006/relationships/image" Target="../media/image343.jpeg"/><Relationship Id="rId550" Type="http://schemas.openxmlformats.org/officeDocument/2006/relationships/image" Target="../media/image550.jpeg"/><Relationship Id="rId788" Type="http://schemas.openxmlformats.org/officeDocument/2006/relationships/image" Target="../media/image788.jpeg"/><Relationship Id="rId995" Type="http://schemas.openxmlformats.org/officeDocument/2006/relationships/image" Target="../media/image995.jpeg"/><Relationship Id="rId1180" Type="http://schemas.openxmlformats.org/officeDocument/2006/relationships/image" Target="../media/image1180.jpeg"/><Relationship Id="rId2024" Type="http://schemas.openxmlformats.org/officeDocument/2006/relationships/image" Target="../media/image2024.jpeg"/><Relationship Id="rId2231" Type="http://schemas.openxmlformats.org/officeDocument/2006/relationships/image" Target="../media/image2231.jpeg"/><Relationship Id="rId2469" Type="http://schemas.openxmlformats.org/officeDocument/2006/relationships/image" Target="../media/image2469.jpeg"/><Relationship Id="rId2676" Type="http://schemas.openxmlformats.org/officeDocument/2006/relationships/image" Target="../media/image2676.jpeg"/><Relationship Id="rId2883" Type="http://schemas.openxmlformats.org/officeDocument/2006/relationships/image" Target="../media/image2883.jpeg"/><Relationship Id="rId3727" Type="http://schemas.openxmlformats.org/officeDocument/2006/relationships/image" Target="../media/image3727.jpeg"/><Relationship Id="rId3934" Type="http://schemas.openxmlformats.org/officeDocument/2006/relationships/image" Target="../media/image3934.jpeg"/><Relationship Id="rId203" Type="http://schemas.openxmlformats.org/officeDocument/2006/relationships/image" Target="../media/image203.jpeg"/><Relationship Id="rId648" Type="http://schemas.openxmlformats.org/officeDocument/2006/relationships/image" Target="../media/image648.jpeg"/><Relationship Id="rId855" Type="http://schemas.openxmlformats.org/officeDocument/2006/relationships/image" Target="../media/image855.jpeg"/><Relationship Id="rId1040" Type="http://schemas.openxmlformats.org/officeDocument/2006/relationships/image" Target="../media/image1040.jpeg"/><Relationship Id="rId1278" Type="http://schemas.openxmlformats.org/officeDocument/2006/relationships/image" Target="../media/image1278.jpeg"/><Relationship Id="rId1485" Type="http://schemas.openxmlformats.org/officeDocument/2006/relationships/image" Target="../media/image1485.jpeg"/><Relationship Id="rId1692" Type="http://schemas.openxmlformats.org/officeDocument/2006/relationships/image" Target="../media/image1692.jpeg"/><Relationship Id="rId2329" Type="http://schemas.openxmlformats.org/officeDocument/2006/relationships/image" Target="../media/image2329.jpeg"/><Relationship Id="rId2536" Type="http://schemas.openxmlformats.org/officeDocument/2006/relationships/image" Target="../media/image2536.jpeg"/><Relationship Id="rId2743" Type="http://schemas.openxmlformats.org/officeDocument/2006/relationships/image" Target="../media/image2743.jpeg"/><Relationship Id="rId4196" Type="http://schemas.openxmlformats.org/officeDocument/2006/relationships/image" Target="../media/image4196.jpeg"/><Relationship Id="rId410" Type="http://schemas.openxmlformats.org/officeDocument/2006/relationships/image" Target="../media/image410.jpeg"/><Relationship Id="rId508" Type="http://schemas.openxmlformats.org/officeDocument/2006/relationships/image" Target="../media/image508.jpeg"/><Relationship Id="rId715" Type="http://schemas.openxmlformats.org/officeDocument/2006/relationships/image" Target="../media/image715.jpeg"/><Relationship Id="rId922" Type="http://schemas.openxmlformats.org/officeDocument/2006/relationships/image" Target="../media/image922.jpeg"/><Relationship Id="rId1138" Type="http://schemas.openxmlformats.org/officeDocument/2006/relationships/image" Target="../media/image1138.jpeg"/><Relationship Id="rId1345" Type="http://schemas.openxmlformats.org/officeDocument/2006/relationships/image" Target="../media/image1345.jpeg"/><Relationship Id="rId1552" Type="http://schemas.openxmlformats.org/officeDocument/2006/relationships/image" Target="../media/image1552.jpeg"/><Relationship Id="rId1997" Type="http://schemas.openxmlformats.org/officeDocument/2006/relationships/image" Target="../media/image1997.jpeg"/><Relationship Id="rId2603" Type="http://schemas.openxmlformats.org/officeDocument/2006/relationships/image" Target="../media/image2603.jpeg"/><Relationship Id="rId2950" Type="http://schemas.openxmlformats.org/officeDocument/2006/relationships/image" Target="../media/image2950.jpeg"/><Relationship Id="rId4056" Type="http://schemas.openxmlformats.org/officeDocument/2006/relationships/image" Target="../media/image4056.jpeg"/><Relationship Id="rId1205" Type="http://schemas.openxmlformats.org/officeDocument/2006/relationships/image" Target="../media/image1205.jpeg"/><Relationship Id="rId1857" Type="http://schemas.openxmlformats.org/officeDocument/2006/relationships/image" Target="../media/image1857.jpeg"/><Relationship Id="rId2810" Type="http://schemas.openxmlformats.org/officeDocument/2006/relationships/image" Target="../media/image2810.jpeg"/><Relationship Id="rId2908" Type="http://schemas.openxmlformats.org/officeDocument/2006/relationships/image" Target="../media/image2908.jpeg"/><Relationship Id="rId4263" Type="http://schemas.openxmlformats.org/officeDocument/2006/relationships/image" Target="../media/image4263.jpeg"/><Relationship Id="rId4470" Type="http://schemas.openxmlformats.org/officeDocument/2006/relationships/image" Target="../media/image4470.jpeg"/><Relationship Id="rId4568" Type="http://schemas.openxmlformats.org/officeDocument/2006/relationships/image" Target="../media/image4568.jpeg"/><Relationship Id="rId51" Type="http://schemas.openxmlformats.org/officeDocument/2006/relationships/image" Target="../media/image51.jpeg"/><Relationship Id="rId1412" Type="http://schemas.openxmlformats.org/officeDocument/2006/relationships/image" Target="../media/image1412.jpeg"/><Relationship Id="rId1717" Type="http://schemas.openxmlformats.org/officeDocument/2006/relationships/image" Target="../media/image1717.jpeg"/><Relationship Id="rId1924" Type="http://schemas.openxmlformats.org/officeDocument/2006/relationships/image" Target="../media/image1924.jpeg"/><Relationship Id="rId3072" Type="http://schemas.openxmlformats.org/officeDocument/2006/relationships/image" Target="../media/image3072.jpeg"/><Relationship Id="rId3377" Type="http://schemas.openxmlformats.org/officeDocument/2006/relationships/image" Target="../media/image3377.jpeg"/><Relationship Id="rId4123" Type="http://schemas.openxmlformats.org/officeDocument/2006/relationships/image" Target="../media/image4123.jpeg"/><Relationship Id="rId4330" Type="http://schemas.openxmlformats.org/officeDocument/2006/relationships/image" Target="../media/image4330.jpeg"/><Relationship Id="rId4775" Type="http://schemas.openxmlformats.org/officeDocument/2006/relationships/image" Target="../media/image4775.jpeg"/><Relationship Id="rId4982" Type="http://schemas.openxmlformats.org/officeDocument/2006/relationships/image" Target="../media/image4982.jpeg"/><Relationship Id="rId298" Type="http://schemas.openxmlformats.org/officeDocument/2006/relationships/image" Target="../media/image298.jpeg"/><Relationship Id="rId3584" Type="http://schemas.openxmlformats.org/officeDocument/2006/relationships/image" Target="../media/image3584.jpeg"/><Relationship Id="rId3791" Type="http://schemas.openxmlformats.org/officeDocument/2006/relationships/image" Target="../media/image3791.jpeg"/><Relationship Id="rId3889" Type="http://schemas.openxmlformats.org/officeDocument/2006/relationships/image" Target="../media/image3889.jpeg"/><Relationship Id="rId4428" Type="http://schemas.openxmlformats.org/officeDocument/2006/relationships/image" Target="../media/image4428.jpeg"/><Relationship Id="rId4635" Type="http://schemas.openxmlformats.org/officeDocument/2006/relationships/image" Target="../media/image4635.jpeg"/><Relationship Id="rId4842" Type="http://schemas.openxmlformats.org/officeDocument/2006/relationships/image" Target="../media/image4842.jpeg"/><Relationship Id="rId158" Type="http://schemas.openxmlformats.org/officeDocument/2006/relationships/image" Target="../media/image158.jpeg"/><Relationship Id="rId2186" Type="http://schemas.openxmlformats.org/officeDocument/2006/relationships/image" Target="../media/image2186.jpeg"/><Relationship Id="rId2393" Type="http://schemas.openxmlformats.org/officeDocument/2006/relationships/image" Target="../media/image2393.jpeg"/><Relationship Id="rId2698" Type="http://schemas.openxmlformats.org/officeDocument/2006/relationships/image" Target="../media/image2698.jpeg"/><Relationship Id="rId3237" Type="http://schemas.openxmlformats.org/officeDocument/2006/relationships/image" Target="../media/image3237.jpeg"/><Relationship Id="rId3444" Type="http://schemas.openxmlformats.org/officeDocument/2006/relationships/image" Target="../media/image3444.jpeg"/><Relationship Id="rId3651" Type="http://schemas.openxmlformats.org/officeDocument/2006/relationships/image" Target="../media/image3651.jpeg"/><Relationship Id="rId4702" Type="http://schemas.openxmlformats.org/officeDocument/2006/relationships/image" Target="../media/image4702.jpeg"/><Relationship Id="rId365" Type="http://schemas.openxmlformats.org/officeDocument/2006/relationships/image" Target="../media/image365.jpeg"/><Relationship Id="rId572" Type="http://schemas.openxmlformats.org/officeDocument/2006/relationships/image" Target="../media/image572.jpeg"/><Relationship Id="rId2046" Type="http://schemas.openxmlformats.org/officeDocument/2006/relationships/image" Target="../media/image2046.jpeg"/><Relationship Id="rId2253" Type="http://schemas.openxmlformats.org/officeDocument/2006/relationships/image" Target="../media/image2253.jpeg"/><Relationship Id="rId2460" Type="http://schemas.openxmlformats.org/officeDocument/2006/relationships/image" Target="../media/image2460.jpeg"/><Relationship Id="rId3304" Type="http://schemas.openxmlformats.org/officeDocument/2006/relationships/image" Target="../media/image3304.jpeg"/><Relationship Id="rId3511" Type="http://schemas.openxmlformats.org/officeDocument/2006/relationships/image" Target="../media/image3511.jpeg"/><Relationship Id="rId3749" Type="http://schemas.openxmlformats.org/officeDocument/2006/relationships/image" Target="../media/image3749.jpeg"/><Relationship Id="rId3956" Type="http://schemas.openxmlformats.org/officeDocument/2006/relationships/image" Target="../media/image3956.jpeg"/><Relationship Id="rId225" Type="http://schemas.openxmlformats.org/officeDocument/2006/relationships/image" Target="../media/image225.jpeg"/><Relationship Id="rId432" Type="http://schemas.openxmlformats.org/officeDocument/2006/relationships/image" Target="../media/image432.jpeg"/><Relationship Id="rId877" Type="http://schemas.openxmlformats.org/officeDocument/2006/relationships/image" Target="../media/image877.jpeg"/><Relationship Id="rId1062" Type="http://schemas.openxmlformats.org/officeDocument/2006/relationships/image" Target="../media/image1062.jpeg"/><Relationship Id="rId2113" Type="http://schemas.openxmlformats.org/officeDocument/2006/relationships/image" Target="../media/image2113.jpeg"/><Relationship Id="rId2320" Type="http://schemas.openxmlformats.org/officeDocument/2006/relationships/image" Target="../media/image2320.jpeg"/><Relationship Id="rId2558" Type="http://schemas.openxmlformats.org/officeDocument/2006/relationships/image" Target="../media/image2558.jpeg"/><Relationship Id="rId2765" Type="http://schemas.openxmlformats.org/officeDocument/2006/relationships/image" Target="../media/image2765.jpeg"/><Relationship Id="rId2972" Type="http://schemas.openxmlformats.org/officeDocument/2006/relationships/image" Target="../media/image2972.jpeg"/><Relationship Id="rId3609" Type="http://schemas.openxmlformats.org/officeDocument/2006/relationships/image" Target="../media/image3609.jpeg"/><Relationship Id="rId3816" Type="http://schemas.openxmlformats.org/officeDocument/2006/relationships/image" Target="../media/image3816.jpeg"/><Relationship Id="rId737" Type="http://schemas.openxmlformats.org/officeDocument/2006/relationships/image" Target="../media/image737.jpeg"/><Relationship Id="rId944" Type="http://schemas.openxmlformats.org/officeDocument/2006/relationships/image" Target="../media/image944.jpeg"/><Relationship Id="rId1367" Type="http://schemas.openxmlformats.org/officeDocument/2006/relationships/image" Target="../media/image1367.jpeg"/><Relationship Id="rId1574" Type="http://schemas.openxmlformats.org/officeDocument/2006/relationships/image" Target="../media/image1574.jpeg"/><Relationship Id="rId1781" Type="http://schemas.openxmlformats.org/officeDocument/2006/relationships/image" Target="../media/image1781.jpeg"/><Relationship Id="rId2418" Type="http://schemas.openxmlformats.org/officeDocument/2006/relationships/image" Target="../media/image2418.jpeg"/><Relationship Id="rId2625" Type="http://schemas.openxmlformats.org/officeDocument/2006/relationships/image" Target="../media/image2625.jpeg"/><Relationship Id="rId2832" Type="http://schemas.openxmlformats.org/officeDocument/2006/relationships/image" Target="../media/image2832.jpeg"/><Relationship Id="rId4078" Type="http://schemas.openxmlformats.org/officeDocument/2006/relationships/image" Target="../media/image4078.jpeg"/><Relationship Id="rId4285" Type="http://schemas.openxmlformats.org/officeDocument/2006/relationships/image" Target="../media/image4285.jpeg"/><Relationship Id="rId4492" Type="http://schemas.openxmlformats.org/officeDocument/2006/relationships/image" Target="../media/image4492.jpeg"/><Relationship Id="rId73" Type="http://schemas.openxmlformats.org/officeDocument/2006/relationships/image" Target="../media/image73.jpeg"/><Relationship Id="rId804" Type="http://schemas.openxmlformats.org/officeDocument/2006/relationships/image" Target="../media/image804.jpeg"/><Relationship Id="rId1227" Type="http://schemas.openxmlformats.org/officeDocument/2006/relationships/image" Target="../media/image1227.jpeg"/><Relationship Id="rId1434" Type="http://schemas.openxmlformats.org/officeDocument/2006/relationships/image" Target="../media/image1434.jpeg"/><Relationship Id="rId1641" Type="http://schemas.openxmlformats.org/officeDocument/2006/relationships/image" Target="../media/image1641.jpeg"/><Relationship Id="rId1879" Type="http://schemas.openxmlformats.org/officeDocument/2006/relationships/image" Target="../media/image1879.jpeg"/><Relationship Id="rId3094" Type="http://schemas.openxmlformats.org/officeDocument/2006/relationships/image" Target="../media/image3094.jpeg"/><Relationship Id="rId4145" Type="http://schemas.openxmlformats.org/officeDocument/2006/relationships/image" Target="../media/image4145.jpeg"/><Relationship Id="rId4797" Type="http://schemas.openxmlformats.org/officeDocument/2006/relationships/image" Target="../media/image4797.jpeg"/><Relationship Id="rId1501" Type="http://schemas.openxmlformats.org/officeDocument/2006/relationships/image" Target="../media/image1501.jpeg"/><Relationship Id="rId1739" Type="http://schemas.openxmlformats.org/officeDocument/2006/relationships/image" Target="../media/image1739.jpeg"/><Relationship Id="rId1946" Type="http://schemas.openxmlformats.org/officeDocument/2006/relationships/image" Target="../media/image1946.jpeg"/><Relationship Id="rId3399" Type="http://schemas.openxmlformats.org/officeDocument/2006/relationships/image" Target="../media/image3399.jpeg"/><Relationship Id="rId4005" Type="http://schemas.openxmlformats.org/officeDocument/2006/relationships/image" Target="../media/image4005.jpeg"/><Relationship Id="rId4352" Type="http://schemas.openxmlformats.org/officeDocument/2006/relationships/image" Target="../media/image4352.jpeg"/><Relationship Id="rId4657" Type="http://schemas.openxmlformats.org/officeDocument/2006/relationships/image" Target="../media/image4657.jpeg"/><Relationship Id="rId4864" Type="http://schemas.openxmlformats.org/officeDocument/2006/relationships/image" Target="../media/image4864.jpeg"/><Relationship Id="rId1806" Type="http://schemas.openxmlformats.org/officeDocument/2006/relationships/image" Target="../media/image1806.jpeg"/><Relationship Id="rId3161" Type="http://schemas.openxmlformats.org/officeDocument/2006/relationships/image" Target="../media/image3161.jpeg"/><Relationship Id="rId3259" Type="http://schemas.openxmlformats.org/officeDocument/2006/relationships/image" Target="../media/image3259.jpeg"/><Relationship Id="rId3466" Type="http://schemas.openxmlformats.org/officeDocument/2006/relationships/image" Target="../media/image3466.jpeg"/><Relationship Id="rId4212" Type="http://schemas.openxmlformats.org/officeDocument/2006/relationships/image" Target="../media/image4212.jpeg"/><Relationship Id="rId4517" Type="http://schemas.openxmlformats.org/officeDocument/2006/relationships/image" Target="../media/image4517.jpeg"/><Relationship Id="rId387" Type="http://schemas.openxmlformats.org/officeDocument/2006/relationships/image" Target="../media/image387.jpeg"/><Relationship Id="rId594" Type="http://schemas.openxmlformats.org/officeDocument/2006/relationships/image" Target="../media/image594.jpeg"/><Relationship Id="rId2068" Type="http://schemas.openxmlformats.org/officeDocument/2006/relationships/image" Target="../media/image2068.jpeg"/><Relationship Id="rId2275" Type="http://schemas.openxmlformats.org/officeDocument/2006/relationships/image" Target="../media/image2275.jpeg"/><Relationship Id="rId3021" Type="http://schemas.openxmlformats.org/officeDocument/2006/relationships/image" Target="../media/image3021.jpeg"/><Relationship Id="rId3119" Type="http://schemas.openxmlformats.org/officeDocument/2006/relationships/image" Target="../media/image3119.jpeg"/><Relationship Id="rId3326" Type="http://schemas.openxmlformats.org/officeDocument/2006/relationships/image" Target="../media/image3326.jpeg"/><Relationship Id="rId3673" Type="http://schemas.openxmlformats.org/officeDocument/2006/relationships/image" Target="../media/image3673.jpeg"/><Relationship Id="rId3880" Type="http://schemas.openxmlformats.org/officeDocument/2006/relationships/image" Target="../media/image3880.jpeg"/><Relationship Id="rId3978" Type="http://schemas.openxmlformats.org/officeDocument/2006/relationships/image" Target="../media/image3978.jpeg"/><Relationship Id="rId4724" Type="http://schemas.openxmlformats.org/officeDocument/2006/relationships/image" Target="../media/image4724.jpeg"/><Relationship Id="rId4931" Type="http://schemas.openxmlformats.org/officeDocument/2006/relationships/image" Target="../media/image4931.jpeg"/><Relationship Id="rId247" Type="http://schemas.openxmlformats.org/officeDocument/2006/relationships/image" Target="../media/image247.jpeg"/><Relationship Id="rId899" Type="http://schemas.openxmlformats.org/officeDocument/2006/relationships/image" Target="../media/image899.jpeg"/><Relationship Id="rId1084" Type="http://schemas.openxmlformats.org/officeDocument/2006/relationships/image" Target="../media/image1084.jpeg"/><Relationship Id="rId2482" Type="http://schemas.openxmlformats.org/officeDocument/2006/relationships/image" Target="../media/image2482.jpeg"/><Relationship Id="rId2787" Type="http://schemas.openxmlformats.org/officeDocument/2006/relationships/image" Target="../media/image2787.jpeg"/><Relationship Id="rId3533" Type="http://schemas.openxmlformats.org/officeDocument/2006/relationships/image" Target="../media/image3533.jpeg"/><Relationship Id="rId3740" Type="http://schemas.openxmlformats.org/officeDocument/2006/relationships/image" Target="../media/image3740.jpeg"/><Relationship Id="rId3838" Type="http://schemas.openxmlformats.org/officeDocument/2006/relationships/image" Target="../media/image3838.jpeg"/><Relationship Id="rId107" Type="http://schemas.openxmlformats.org/officeDocument/2006/relationships/image" Target="../media/image107.jpeg"/><Relationship Id="rId454" Type="http://schemas.openxmlformats.org/officeDocument/2006/relationships/image" Target="../media/image454.jpeg"/><Relationship Id="rId661" Type="http://schemas.openxmlformats.org/officeDocument/2006/relationships/image" Target="../media/image661.jpeg"/><Relationship Id="rId759" Type="http://schemas.openxmlformats.org/officeDocument/2006/relationships/image" Target="../media/image759.jpeg"/><Relationship Id="rId966" Type="http://schemas.openxmlformats.org/officeDocument/2006/relationships/image" Target="../media/image966.jpeg"/><Relationship Id="rId1291" Type="http://schemas.openxmlformats.org/officeDocument/2006/relationships/image" Target="../media/image1291.jpeg"/><Relationship Id="rId1389" Type="http://schemas.openxmlformats.org/officeDocument/2006/relationships/image" Target="../media/image1389.jpeg"/><Relationship Id="rId1596" Type="http://schemas.openxmlformats.org/officeDocument/2006/relationships/image" Target="../media/image1596.jpeg"/><Relationship Id="rId2135" Type="http://schemas.openxmlformats.org/officeDocument/2006/relationships/image" Target="../media/image2135.jpeg"/><Relationship Id="rId2342" Type="http://schemas.openxmlformats.org/officeDocument/2006/relationships/image" Target="../media/image2342.jpeg"/><Relationship Id="rId2647" Type="http://schemas.openxmlformats.org/officeDocument/2006/relationships/image" Target="../media/image2647.jpeg"/><Relationship Id="rId2994" Type="http://schemas.openxmlformats.org/officeDocument/2006/relationships/image" Target="../media/image2994.jpeg"/><Relationship Id="rId3600" Type="http://schemas.openxmlformats.org/officeDocument/2006/relationships/image" Target="../media/image3600.jpeg"/><Relationship Id="rId314" Type="http://schemas.openxmlformats.org/officeDocument/2006/relationships/image" Target="../media/image314.jpeg"/><Relationship Id="rId521" Type="http://schemas.openxmlformats.org/officeDocument/2006/relationships/image" Target="../media/image521.jpeg"/><Relationship Id="rId619" Type="http://schemas.openxmlformats.org/officeDocument/2006/relationships/image" Target="../media/image619.jpeg"/><Relationship Id="rId1151" Type="http://schemas.openxmlformats.org/officeDocument/2006/relationships/image" Target="../media/image1151.jpeg"/><Relationship Id="rId1249" Type="http://schemas.openxmlformats.org/officeDocument/2006/relationships/image" Target="../media/image1249.jpeg"/><Relationship Id="rId2202" Type="http://schemas.openxmlformats.org/officeDocument/2006/relationships/image" Target="../media/image2202.jpeg"/><Relationship Id="rId2854" Type="http://schemas.openxmlformats.org/officeDocument/2006/relationships/image" Target="../media/image2854.jpeg"/><Relationship Id="rId3905" Type="http://schemas.openxmlformats.org/officeDocument/2006/relationships/image" Target="../media/image3905.jpeg"/><Relationship Id="rId95" Type="http://schemas.openxmlformats.org/officeDocument/2006/relationships/image" Target="../media/image95.jpeg"/><Relationship Id="rId826" Type="http://schemas.openxmlformats.org/officeDocument/2006/relationships/image" Target="../media/image826.jpeg"/><Relationship Id="rId1011" Type="http://schemas.openxmlformats.org/officeDocument/2006/relationships/image" Target="../media/image1011.jpeg"/><Relationship Id="rId1109" Type="http://schemas.openxmlformats.org/officeDocument/2006/relationships/image" Target="../media/image1109.jpeg"/><Relationship Id="rId1456" Type="http://schemas.openxmlformats.org/officeDocument/2006/relationships/image" Target="../media/image1456.jpeg"/><Relationship Id="rId1663" Type="http://schemas.openxmlformats.org/officeDocument/2006/relationships/image" Target="../media/image1663.jpeg"/><Relationship Id="rId1870" Type="http://schemas.openxmlformats.org/officeDocument/2006/relationships/image" Target="../media/image1870.jpeg"/><Relationship Id="rId1968" Type="http://schemas.openxmlformats.org/officeDocument/2006/relationships/image" Target="../media/image1968.jpeg"/><Relationship Id="rId2507" Type="http://schemas.openxmlformats.org/officeDocument/2006/relationships/image" Target="../media/image2507.jpeg"/><Relationship Id="rId2714" Type="http://schemas.openxmlformats.org/officeDocument/2006/relationships/image" Target="../media/image2714.jpeg"/><Relationship Id="rId2921" Type="http://schemas.openxmlformats.org/officeDocument/2006/relationships/image" Target="../media/image2921.jpeg"/><Relationship Id="rId4167" Type="http://schemas.openxmlformats.org/officeDocument/2006/relationships/image" Target="../media/image4167.jpeg"/><Relationship Id="rId4374" Type="http://schemas.openxmlformats.org/officeDocument/2006/relationships/image" Target="../media/image4374.jpeg"/><Relationship Id="rId4581" Type="http://schemas.openxmlformats.org/officeDocument/2006/relationships/image" Target="../media/image4581.jpeg"/><Relationship Id="rId1316" Type="http://schemas.openxmlformats.org/officeDocument/2006/relationships/image" Target="../media/image1316.jpeg"/><Relationship Id="rId1523" Type="http://schemas.openxmlformats.org/officeDocument/2006/relationships/image" Target="../media/image1523.jpeg"/><Relationship Id="rId1730" Type="http://schemas.openxmlformats.org/officeDocument/2006/relationships/image" Target="../media/image1730.jpeg"/><Relationship Id="rId3183" Type="http://schemas.openxmlformats.org/officeDocument/2006/relationships/image" Target="../media/image3183.jpeg"/><Relationship Id="rId3390" Type="http://schemas.openxmlformats.org/officeDocument/2006/relationships/image" Target="../media/image3390.jpeg"/><Relationship Id="rId4027" Type="http://schemas.openxmlformats.org/officeDocument/2006/relationships/image" Target="../media/image4027.jpeg"/><Relationship Id="rId4234" Type="http://schemas.openxmlformats.org/officeDocument/2006/relationships/image" Target="../media/image4234.jpeg"/><Relationship Id="rId4441" Type="http://schemas.openxmlformats.org/officeDocument/2006/relationships/image" Target="../media/image4441.jpeg"/><Relationship Id="rId4679" Type="http://schemas.openxmlformats.org/officeDocument/2006/relationships/image" Target="../media/image4679.jpeg"/><Relationship Id="rId4886" Type="http://schemas.openxmlformats.org/officeDocument/2006/relationships/image" Target="../media/image4886.jpeg"/><Relationship Id="rId22" Type="http://schemas.openxmlformats.org/officeDocument/2006/relationships/image" Target="../media/image22.jpeg"/><Relationship Id="rId1828" Type="http://schemas.openxmlformats.org/officeDocument/2006/relationships/image" Target="../media/image1828.jpeg"/><Relationship Id="rId3043" Type="http://schemas.openxmlformats.org/officeDocument/2006/relationships/image" Target="../media/image3043.jpeg"/><Relationship Id="rId3250" Type="http://schemas.openxmlformats.org/officeDocument/2006/relationships/image" Target="../media/image3250.jpeg"/><Relationship Id="rId3488" Type="http://schemas.openxmlformats.org/officeDocument/2006/relationships/image" Target="../media/image3488.jpeg"/><Relationship Id="rId3695" Type="http://schemas.openxmlformats.org/officeDocument/2006/relationships/image" Target="../media/image3695.jpeg"/><Relationship Id="rId4539" Type="http://schemas.openxmlformats.org/officeDocument/2006/relationships/image" Target="../media/image4539.jpeg"/><Relationship Id="rId4746" Type="http://schemas.openxmlformats.org/officeDocument/2006/relationships/image" Target="../media/image4746.jpeg"/><Relationship Id="rId4953" Type="http://schemas.openxmlformats.org/officeDocument/2006/relationships/image" Target="../media/image4953.jpeg"/><Relationship Id="rId171" Type="http://schemas.openxmlformats.org/officeDocument/2006/relationships/image" Target="../media/image171.jpeg"/><Relationship Id="rId2297" Type="http://schemas.openxmlformats.org/officeDocument/2006/relationships/image" Target="../media/image2297.jpeg"/><Relationship Id="rId3348" Type="http://schemas.openxmlformats.org/officeDocument/2006/relationships/image" Target="../media/image3348.jpeg"/><Relationship Id="rId3555" Type="http://schemas.openxmlformats.org/officeDocument/2006/relationships/image" Target="../media/image3555.jpeg"/><Relationship Id="rId3762" Type="http://schemas.openxmlformats.org/officeDocument/2006/relationships/image" Target="../media/image3762.jpeg"/><Relationship Id="rId4301" Type="http://schemas.openxmlformats.org/officeDocument/2006/relationships/image" Target="../media/image4301.jpeg"/><Relationship Id="rId4606" Type="http://schemas.openxmlformats.org/officeDocument/2006/relationships/image" Target="../media/image4606.jpeg"/><Relationship Id="rId4813" Type="http://schemas.openxmlformats.org/officeDocument/2006/relationships/image" Target="../media/image4813.jpeg"/><Relationship Id="rId269" Type="http://schemas.openxmlformats.org/officeDocument/2006/relationships/image" Target="../media/image269.jpeg"/><Relationship Id="rId476" Type="http://schemas.openxmlformats.org/officeDocument/2006/relationships/image" Target="../media/image476.jpeg"/><Relationship Id="rId683" Type="http://schemas.openxmlformats.org/officeDocument/2006/relationships/image" Target="../media/image683.jpeg"/><Relationship Id="rId890" Type="http://schemas.openxmlformats.org/officeDocument/2006/relationships/image" Target="../media/image890.jpeg"/><Relationship Id="rId2157" Type="http://schemas.openxmlformats.org/officeDocument/2006/relationships/image" Target="../media/image2157.jpeg"/><Relationship Id="rId2364" Type="http://schemas.openxmlformats.org/officeDocument/2006/relationships/image" Target="../media/image2364.jpeg"/><Relationship Id="rId2571" Type="http://schemas.openxmlformats.org/officeDocument/2006/relationships/image" Target="../media/image2571.jpeg"/><Relationship Id="rId3110" Type="http://schemas.openxmlformats.org/officeDocument/2006/relationships/image" Target="../media/image3110.jpeg"/><Relationship Id="rId3208" Type="http://schemas.openxmlformats.org/officeDocument/2006/relationships/image" Target="../media/image3208.jpeg"/><Relationship Id="rId3415" Type="http://schemas.openxmlformats.org/officeDocument/2006/relationships/image" Target="../media/image3415.jpeg"/><Relationship Id="rId129" Type="http://schemas.openxmlformats.org/officeDocument/2006/relationships/image" Target="../media/image129.jpeg"/><Relationship Id="rId336" Type="http://schemas.openxmlformats.org/officeDocument/2006/relationships/image" Target="../media/image336.jpeg"/><Relationship Id="rId543" Type="http://schemas.openxmlformats.org/officeDocument/2006/relationships/image" Target="../media/image543.jpeg"/><Relationship Id="rId988" Type="http://schemas.openxmlformats.org/officeDocument/2006/relationships/image" Target="../media/image988.jpeg"/><Relationship Id="rId1173" Type="http://schemas.openxmlformats.org/officeDocument/2006/relationships/image" Target="../media/image1173.jpeg"/><Relationship Id="rId1380" Type="http://schemas.openxmlformats.org/officeDocument/2006/relationships/image" Target="../media/image1380.jpeg"/><Relationship Id="rId2017" Type="http://schemas.openxmlformats.org/officeDocument/2006/relationships/image" Target="../media/image2017.jpeg"/><Relationship Id="rId2224" Type="http://schemas.openxmlformats.org/officeDocument/2006/relationships/image" Target="../media/image2224.jpeg"/><Relationship Id="rId2669" Type="http://schemas.openxmlformats.org/officeDocument/2006/relationships/image" Target="../media/image2669.jpeg"/><Relationship Id="rId2876" Type="http://schemas.openxmlformats.org/officeDocument/2006/relationships/image" Target="../media/image2876.jpeg"/><Relationship Id="rId3622" Type="http://schemas.openxmlformats.org/officeDocument/2006/relationships/image" Target="../media/image3622.jpeg"/><Relationship Id="rId3927" Type="http://schemas.openxmlformats.org/officeDocument/2006/relationships/image" Target="../media/image3927.jpeg"/><Relationship Id="rId403" Type="http://schemas.openxmlformats.org/officeDocument/2006/relationships/image" Target="../media/image403.jpeg"/><Relationship Id="rId750" Type="http://schemas.openxmlformats.org/officeDocument/2006/relationships/image" Target="../media/image750.jpeg"/><Relationship Id="rId848" Type="http://schemas.openxmlformats.org/officeDocument/2006/relationships/image" Target="../media/image848.jpeg"/><Relationship Id="rId1033" Type="http://schemas.openxmlformats.org/officeDocument/2006/relationships/image" Target="../media/image1033.jpeg"/><Relationship Id="rId1478" Type="http://schemas.openxmlformats.org/officeDocument/2006/relationships/image" Target="../media/image1478.jpeg"/><Relationship Id="rId1685" Type="http://schemas.openxmlformats.org/officeDocument/2006/relationships/image" Target="../media/image1685.jpeg"/><Relationship Id="rId1892" Type="http://schemas.openxmlformats.org/officeDocument/2006/relationships/image" Target="../media/image1892.jpeg"/><Relationship Id="rId2431" Type="http://schemas.openxmlformats.org/officeDocument/2006/relationships/image" Target="../media/image2431.jpeg"/><Relationship Id="rId2529" Type="http://schemas.openxmlformats.org/officeDocument/2006/relationships/image" Target="../media/image2529.jpeg"/><Relationship Id="rId2736" Type="http://schemas.openxmlformats.org/officeDocument/2006/relationships/image" Target="../media/image2736.jpeg"/><Relationship Id="rId4091" Type="http://schemas.openxmlformats.org/officeDocument/2006/relationships/image" Target="../media/image4091.jpeg"/><Relationship Id="rId4189" Type="http://schemas.openxmlformats.org/officeDocument/2006/relationships/image" Target="../media/image4189.jpeg"/><Relationship Id="rId610" Type="http://schemas.openxmlformats.org/officeDocument/2006/relationships/image" Target="../media/image610.jpeg"/><Relationship Id="rId708" Type="http://schemas.openxmlformats.org/officeDocument/2006/relationships/image" Target="../media/image708.jpeg"/><Relationship Id="rId915" Type="http://schemas.openxmlformats.org/officeDocument/2006/relationships/image" Target="../media/image915.jpeg"/><Relationship Id="rId1240" Type="http://schemas.openxmlformats.org/officeDocument/2006/relationships/image" Target="../media/image1240.jpeg"/><Relationship Id="rId1338" Type="http://schemas.openxmlformats.org/officeDocument/2006/relationships/image" Target="../media/image1338.jpeg"/><Relationship Id="rId1545" Type="http://schemas.openxmlformats.org/officeDocument/2006/relationships/image" Target="../media/image1545.jpeg"/><Relationship Id="rId2943" Type="http://schemas.openxmlformats.org/officeDocument/2006/relationships/image" Target="../media/image2943.jpeg"/><Relationship Id="rId4049" Type="http://schemas.openxmlformats.org/officeDocument/2006/relationships/image" Target="../media/image4049.jpeg"/><Relationship Id="rId4396" Type="http://schemas.openxmlformats.org/officeDocument/2006/relationships/image" Target="../media/image4396.jpeg"/><Relationship Id="rId1100" Type="http://schemas.openxmlformats.org/officeDocument/2006/relationships/image" Target="../media/image1100.jpeg"/><Relationship Id="rId1405" Type="http://schemas.openxmlformats.org/officeDocument/2006/relationships/image" Target="../media/image1405.jpeg"/><Relationship Id="rId1752" Type="http://schemas.openxmlformats.org/officeDocument/2006/relationships/image" Target="../media/image1752.jpeg"/><Relationship Id="rId2803" Type="http://schemas.openxmlformats.org/officeDocument/2006/relationships/image" Target="../media/image2803.jpeg"/><Relationship Id="rId4256" Type="http://schemas.openxmlformats.org/officeDocument/2006/relationships/image" Target="../media/image4256.jpeg"/><Relationship Id="rId4463" Type="http://schemas.openxmlformats.org/officeDocument/2006/relationships/image" Target="../media/image4463.jpeg"/><Relationship Id="rId4670" Type="http://schemas.openxmlformats.org/officeDocument/2006/relationships/image" Target="../media/image4670.jpeg"/><Relationship Id="rId44" Type="http://schemas.openxmlformats.org/officeDocument/2006/relationships/image" Target="../media/image44.jpeg"/><Relationship Id="rId1612" Type="http://schemas.openxmlformats.org/officeDocument/2006/relationships/image" Target="../media/image1612.jpeg"/><Relationship Id="rId1917" Type="http://schemas.openxmlformats.org/officeDocument/2006/relationships/image" Target="../media/image1917.jpeg"/><Relationship Id="rId3065" Type="http://schemas.openxmlformats.org/officeDocument/2006/relationships/image" Target="../media/image3065.jpeg"/><Relationship Id="rId3272" Type="http://schemas.openxmlformats.org/officeDocument/2006/relationships/image" Target="../media/image3272.jpeg"/><Relationship Id="rId4116" Type="http://schemas.openxmlformats.org/officeDocument/2006/relationships/image" Target="../media/image4116.jpeg"/><Relationship Id="rId4323" Type="http://schemas.openxmlformats.org/officeDocument/2006/relationships/image" Target="../media/image4323.jpeg"/><Relationship Id="rId4530" Type="http://schemas.openxmlformats.org/officeDocument/2006/relationships/image" Target="../media/image4530.jpeg"/><Relationship Id="rId4768" Type="http://schemas.openxmlformats.org/officeDocument/2006/relationships/image" Target="../media/image4768.jpeg"/><Relationship Id="rId4975" Type="http://schemas.openxmlformats.org/officeDocument/2006/relationships/image" Target="../media/image4975.jpeg"/><Relationship Id="rId193" Type="http://schemas.openxmlformats.org/officeDocument/2006/relationships/image" Target="../media/image193.jpeg"/><Relationship Id="rId498" Type="http://schemas.openxmlformats.org/officeDocument/2006/relationships/image" Target="../media/image498.jpeg"/><Relationship Id="rId2081" Type="http://schemas.openxmlformats.org/officeDocument/2006/relationships/image" Target="../media/image2081.jpeg"/><Relationship Id="rId2179" Type="http://schemas.openxmlformats.org/officeDocument/2006/relationships/image" Target="../media/image2179.jpeg"/><Relationship Id="rId3132" Type="http://schemas.openxmlformats.org/officeDocument/2006/relationships/image" Target="../media/image3132.jpeg"/><Relationship Id="rId3577" Type="http://schemas.openxmlformats.org/officeDocument/2006/relationships/image" Target="../media/image3577.jpeg"/><Relationship Id="rId3784" Type="http://schemas.openxmlformats.org/officeDocument/2006/relationships/image" Target="../media/image3784.jpeg"/><Relationship Id="rId3991" Type="http://schemas.openxmlformats.org/officeDocument/2006/relationships/image" Target="../media/image3991.jpeg"/><Relationship Id="rId4628" Type="http://schemas.openxmlformats.org/officeDocument/2006/relationships/image" Target="../media/image4628.jpeg"/><Relationship Id="rId4835" Type="http://schemas.openxmlformats.org/officeDocument/2006/relationships/image" Target="../media/image4835.jpeg"/><Relationship Id="rId260" Type="http://schemas.openxmlformats.org/officeDocument/2006/relationships/image" Target="../media/image260.jpeg"/><Relationship Id="rId2386" Type="http://schemas.openxmlformats.org/officeDocument/2006/relationships/image" Target="../media/image2386.jpeg"/><Relationship Id="rId2593" Type="http://schemas.openxmlformats.org/officeDocument/2006/relationships/image" Target="../media/image2593.jpeg"/><Relationship Id="rId3437" Type="http://schemas.openxmlformats.org/officeDocument/2006/relationships/image" Target="../media/image3437.jpeg"/><Relationship Id="rId3644" Type="http://schemas.openxmlformats.org/officeDocument/2006/relationships/image" Target="../media/image3644.jpeg"/><Relationship Id="rId3851" Type="http://schemas.openxmlformats.org/officeDocument/2006/relationships/image" Target="../media/image3851.jpeg"/><Relationship Id="rId4902" Type="http://schemas.openxmlformats.org/officeDocument/2006/relationships/image" Target="../media/image4902.jpeg"/><Relationship Id="rId120" Type="http://schemas.openxmlformats.org/officeDocument/2006/relationships/image" Target="../media/image120.jpeg"/><Relationship Id="rId358" Type="http://schemas.openxmlformats.org/officeDocument/2006/relationships/image" Target="../media/image358.jpeg"/><Relationship Id="rId565" Type="http://schemas.openxmlformats.org/officeDocument/2006/relationships/image" Target="../media/image565.jpeg"/><Relationship Id="rId772" Type="http://schemas.openxmlformats.org/officeDocument/2006/relationships/image" Target="../media/image772.jpeg"/><Relationship Id="rId1195" Type="http://schemas.openxmlformats.org/officeDocument/2006/relationships/image" Target="../media/image1195.jpeg"/><Relationship Id="rId2039" Type="http://schemas.openxmlformats.org/officeDocument/2006/relationships/image" Target="../media/image2039.jpeg"/><Relationship Id="rId2246" Type="http://schemas.openxmlformats.org/officeDocument/2006/relationships/image" Target="../media/image2246.jpeg"/><Relationship Id="rId2453" Type="http://schemas.openxmlformats.org/officeDocument/2006/relationships/image" Target="../media/image2453.jpeg"/><Relationship Id="rId2660" Type="http://schemas.openxmlformats.org/officeDocument/2006/relationships/image" Target="../media/image2660.jpeg"/><Relationship Id="rId2898" Type="http://schemas.openxmlformats.org/officeDocument/2006/relationships/image" Target="../media/image2898.jpeg"/><Relationship Id="rId3504" Type="http://schemas.openxmlformats.org/officeDocument/2006/relationships/image" Target="../media/image3504.jpeg"/><Relationship Id="rId3711" Type="http://schemas.openxmlformats.org/officeDocument/2006/relationships/image" Target="../media/image3711.jpeg"/><Relationship Id="rId3949" Type="http://schemas.openxmlformats.org/officeDocument/2006/relationships/image" Target="../media/image3949.jpeg"/><Relationship Id="rId218" Type="http://schemas.openxmlformats.org/officeDocument/2006/relationships/image" Target="../media/image218.jpeg"/><Relationship Id="rId425" Type="http://schemas.openxmlformats.org/officeDocument/2006/relationships/image" Target="../media/image425.jpeg"/><Relationship Id="rId632" Type="http://schemas.openxmlformats.org/officeDocument/2006/relationships/image" Target="../media/image632.jpeg"/><Relationship Id="rId1055" Type="http://schemas.openxmlformats.org/officeDocument/2006/relationships/image" Target="../media/image1055.jpeg"/><Relationship Id="rId1262" Type="http://schemas.openxmlformats.org/officeDocument/2006/relationships/image" Target="../media/image1262.jpeg"/><Relationship Id="rId2106" Type="http://schemas.openxmlformats.org/officeDocument/2006/relationships/image" Target="../media/image2106.jpeg"/><Relationship Id="rId2313" Type="http://schemas.openxmlformats.org/officeDocument/2006/relationships/image" Target="../media/image2313.jpeg"/><Relationship Id="rId2520" Type="http://schemas.openxmlformats.org/officeDocument/2006/relationships/image" Target="../media/image2520.jpeg"/><Relationship Id="rId2758" Type="http://schemas.openxmlformats.org/officeDocument/2006/relationships/image" Target="../media/image2758.jpeg"/><Relationship Id="rId2965" Type="http://schemas.openxmlformats.org/officeDocument/2006/relationships/image" Target="../media/image2965.jpeg"/><Relationship Id="rId3809" Type="http://schemas.openxmlformats.org/officeDocument/2006/relationships/image" Target="../media/image3809.jpeg"/><Relationship Id="rId937" Type="http://schemas.openxmlformats.org/officeDocument/2006/relationships/image" Target="../media/image937.jpeg"/><Relationship Id="rId1122" Type="http://schemas.openxmlformats.org/officeDocument/2006/relationships/image" Target="../media/image1122.jpeg"/><Relationship Id="rId1567" Type="http://schemas.openxmlformats.org/officeDocument/2006/relationships/image" Target="../media/image1567.jpeg"/><Relationship Id="rId1774" Type="http://schemas.openxmlformats.org/officeDocument/2006/relationships/image" Target="../media/image1774.jpeg"/><Relationship Id="rId1981" Type="http://schemas.openxmlformats.org/officeDocument/2006/relationships/image" Target="../media/image1981.jpeg"/><Relationship Id="rId2618" Type="http://schemas.openxmlformats.org/officeDocument/2006/relationships/image" Target="../media/image2618.jpeg"/><Relationship Id="rId2825" Type="http://schemas.openxmlformats.org/officeDocument/2006/relationships/image" Target="../media/image2825.jpeg"/><Relationship Id="rId4180" Type="http://schemas.openxmlformats.org/officeDocument/2006/relationships/image" Target="../media/image4180.jpeg"/><Relationship Id="rId4278" Type="http://schemas.openxmlformats.org/officeDocument/2006/relationships/image" Target="../media/image4278.jpeg"/><Relationship Id="rId4485" Type="http://schemas.openxmlformats.org/officeDocument/2006/relationships/image" Target="../media/image4485.jpeg"/><Relationship Id="rId66" Type="http://schemas.openxmlformats.org/officeDocument/2006/relationships/image" Target="../media/image66.jpeg"/><Relationship Id="rId1427" Type="http://schemas.openxmlformats.org/officeDocument/2006/relationships/image" Target="../media/image1427.jpeg"/><Relationship Id="rId1634" Type="http://schemas.openxmlformats.org/officeDocument/2006/relationships/image" Target="../media/image1634.jpeg"/><Relationship Id="rId1841" Type="http://schemas.openxmlformats.org/officeDocument/2006/relationships/image" Target="../media/image1841.jpeg"/><Relationship Id="rId3087" Type="http://schemas.openxmlformats.org/officeDocument/2006/relationships/image" Target="../media/image3087.jpeg"/><Relationship Id="rId3294" Type="http://schemas.openxmlformats.org/officeDocument/2006/relationships/image" Target="../media/image3294.jpeg"/><Relationship Id="rId4040" Type="http://schemas.openxmlformats.org/officeDocument/2006/relationships/image" Target="../media/image4040.jpeg"/><Relationship Id="rId4138" Type="http://schemas.openxmlformats.org/officeDocument/2006/relationships/image" Target="../media/image4138.jpeg"/><Relationship Id="rId4345" Type="http://schemas.openxmlformats.org/officeDocument/2006/relationships/image" Target="../media/image4345.jpeg"/><Relationship Id="rId4692" Type="http://schemas.openxmlformats.org/officeDocument/2006/relationships/image" Target="../media/image4692.jpeg"/><Relationship Id="rId1939" Type="http://schemas.openxmlformats.org/officeDocument/2006/relationships/image" Target="../media/image1939.jpeg"/><Relationship Id="rId3599" Type="http://schemas.openxmlformats.org/officeDocument/2006/relationships/image" Target="../media/image3599.jpeg"/><Relationship Id="rId4552" Type="http://schemas.openxmlformats.org/officeDocument/2006/relationships/image" Target="../media/image4552.jpeg"/><Relationship Id="rId4857" Type="http://schemas.openxmlformats.org/officeDocument/2006/relationships/image" Target="../media/image4857.jpeg"/><Relationship Id="rId1701" Type="http://schemas.openxmlformats.org/officeDocument/2006/relationships/image" Target="../media/image1701.jpeg"/><Relationship Id="rId3154" Type="http://schemas.openxmlformats.org/officeDocument/2006/relationships/image" Target="../media/image3154.jpeg"/><Relationship Id="rId3361" Type="http://schemas.openxmlformats.org/officeDocument/2006/relationships/image" Target="../media/image3361.jpeg"/><Relationship Id="rId3459" Type="http://schemas.openxmlformats.org/officeDocument/2006/relationships/image" Target="../media/image3459.jpeg"/><Relationship Id="rId3666" Type="http://schemas.openxmlformats.org/officeDocument/2006/relationships/image" Target="../media/image3666.jpeg"/><Relationship Id="rId4205" Type="http://schemas.openxmlformats.org/officeDocument/2006/relationships/image" Target="../media/image4205.jpeg"/><Relationship Id="rId4412" Type="http://schemas.openxmlformats.org/officeDocument/2006/relationships/image" Target="../media/image4412.jpeg"/><Relationship Id="rId282" Type="http://schemas.openxmlformats.org/officeDocument/2006/relationships/image" Target="../media/image282.jpeg"/><Relationship Id="rId587" Type="http://schemas.openxmlformats.org/officeDocument/2006/relationships/image" Target="../media/image587.jpeg"/><Relationship Id="rId2170" Type="http://schemas.openxmlformats.org/officeDocument/2006/relationships/image" Target="../media/image2170.jpeg"/><Relationship Id="rId2268" Type="http://schemas.openxmlformats.org/officeDocument/2006/relationships/image" Target="../media/image2268.jpeg"/><Relationship Id="rId3014" Type="http://schemas.openxmlformats.org/officeDocument/2006/relationships/image" Target="../media/image3014.jpeg"/><Relationship Id="rId3221" Type="http://schemas.openxmlformats.org/officeDocument/2006/relationships/image" Target="../media/image3221.jpeg"/><Relationship Id="rId3319" Type="http://schemas.openxmlformats.org/officeDocument/2006/relationships/image" Target="../media/image3319.jpeg"/><Relationship Id="rId3873" Type="http://schemas.openxmlformats.org/officeDocument/2006/relationships/image" Target="../media/image3873.jpeg"/><Relationship Id="rId4717" Type="http://schemas.openxmlformats.org/officeDocument/2006/relationships/image" Target="../media/image4717.jpeg"/><Relationship Id="rId4924" Type="http://schemas.openxmlformats.org/officeDocument/2006/relationships/image" Target="../media/image4924.jpeg"/><Relationship Id="rId8" Type="http://schemas.openxmlformats.org/officeDocument/2006/relationships/image" Target="../media/image8.jpeg"/><Relationship Id="rId142" Type="http://schemas.openxmlformats.org/officeDocument/2006/relationships/image" Target="../media/image142.jpeg"/><Relationship Id="rId447" Type="http://schemas.openxmlformats.org/officeDocument/2006/relationships/image" Target="../media/image447.jpeg"/><Relationship Id="rId794" Type="http://schemas.openxmlformats.org/officeDocument/2006/relationships/image" Target="../media/image794.jpeg"/><Relationship Id="rId1077" Type="http://schemas.openxmlformats.org/officeDocument/2006/relationships/image" Target="../media/image1077.jpeg"/><Relationship Id="rId2030" Type="http://schemas.openxmlformats.org/officeDocument/2006/relationships/image" Target="../media/image2030.jpeg"/><Relationship Id="rId2128" Type="http://schemas.openxmlformats.org/officeDocument/2006/relationships/image" Target="../media/image2128.jpeg"/><Relationship Id="rId2475" Type="http://schemas.openxmlformats.org/officeDocument/2006/relationships/image" Target="../media/image2475.jpeg"/><Relationship Id="rId2682" Type="http://schemas.openxmlformats.org/officeDocument/2006/relationships/image" Target="../media/image2682.jpeg"/><Relationship Id="rId2987" Type="http://schemas.openxmlformats.org/officeDocument/2006/relationships/image" Target="../media/image2987.jpeg"/><Relationship Id="rId3526" Type="http://schemas.openxmlformats.org/officeDocument/2006/relationships/image" Target="../media/image3526.jpeg"/><Relationship Id="rId3733" Type="http://schemas.openxmlformats.org/officeDocument/2006/relationships/image" Target="../media/image3733.jpeg"/><Relationship Id="rId3940" Type="http://schemas.openxmlformats.org/officeDocument/2006/relationships/image" Target="../media/image3940.jpeg"/><Relationship Id="rId654" Type="http://schemas.openxmlformats.org/officeDocument/2006/relationships/image" Target="../media/image654.jpeg"/><Relationship Id="rId861" Type="http://schemas.openxmlformats.org/officeDocument/2006/relationships/image" Target="../media/image861.jpeg"/><Relationship Id="rId959" Type="http://schemas.openxmlformats.org/officeDocument/2006/relationships/image" Target="../media/image959.jpeg"/><Relationship Id="rId1284" Type="http://schemas.openxmlformats.org/officeDocument/2006/relationships/image" Target="../media/image1284.jpeg"/><Relationship Id="rId1491" Type="http://schemas.openxmlformats.org/officeDocument/2006/relationships/image" Target="../media/image1491.jpeg"/><Relationship Id="rId1589" Type="http://schemas.openxmlformats.org/officeDocument/2006/relationships/image" Target="../media/image1589.jpeg"/><Relationship Id="rId2335" Type="http://schemas.openxmlformats.org/officeDocument/2006/relationships/image" Target="../media/image2335.jpeg"/><Relationship Id="rId2542" Type="http://schemas.openxmlformats.org/officeDocument/2006/relationships/image" Target="../media/image2542.jpeg"/><Relationship Id="rId3800" Type="http://schemas.openxmlformats.org/officeDocument/2006/relationships/image" Target="../media/image3800.jpeg"/><Relationship Id="rId307" Type="http://schemas.openxmlformats.org/officeDocument/2006/relationships/image" Target="../media/image307.jpeg"/><Relationship Id="rId514" Type="http://schemas.openxmlformats.org/officeDocument/2006/relationships/image" Target="../media/image514.jpeg"/><Relationship Id="rId721" Type="http://schemas.openxmlformats.org/officeDocument/2006/relationships/image" Target="../media/image721.jpeg"/><Relationship Id="rId1144" Type="http://schemas.openxmlformats.org/officeDocument/2006/relationships/image" Target="../media/image1144.jpeg"/><Relationship Id="rId1351" Type="http://schemas.openxmlformats.org/officeDocument/2006/relationships/image" Target="../media/image1351.jpeg"/><Relationship Id="rId1449" Type="http://schemas.openxmlformats.org/officeDocument/2006/relationships/image" Target="../media/image1449.jpeg"/><Relationship Id="rId1796" Type="http://schemas.openxmlformats.org/officeDocument/2006/relationships/image" Target="../media/image1796.jpeg"/><Relationship Id="rId2402" Type="http://schemas.openxmlformats.org/officeDocument/2006/relationships/image" Target="../media/image2402.jpeg"/><Relationship Id="rId2847" Type="http://schemas.openxmlformats.org/officeDocument/2006/relationships/image" Target="../media/image2847.jpeg"/><Relationship Id="rId4062" Type="http://schemas.openxmlformats.org/officeDocument/2006/relationships/image" Target="../media/image4062.jpeg"/><Relationship Id="rId88" Type="http://schemas.openxmlformats.org/officeDocument/2006/relationships/image" Target="../media/image88.jpeg"/><Relationship Id="rId819" Type="http://schemas.openxmlformats.org/officeDocument/2006/relationships/image" Target="../media/image819.jpeg"/><Relationship Id="rId1004" Type="http://schemas.openxmlformats.org/officeDocument/2006/relationships/image" Target="../media/image1004.jpeg"/><Relationship Id="rId1211" Type="http://schemas.openxmlformats.org/officeDocument/2006/relationships/image" Target="../media/image1211.jpeg"/><Relationship Id="rId1656" Type="http://schemas.openxmlformats.org/officeDocument/2006/relationships/image" Target="../media/image1656.jpeg"/><Relationship Id="rId1863" Type="http://schemas.openxmlformats.org/officeDocument/2006/relationships/image" Target="../media/image1863.jpeg"/><Relationship Id="rId2707" Type="http://schemas.openxmlformats.org/officeDocument/2006/relationships/image" Target="../media/image2707.jpeg"/><Relationship Id="rId2914" Type="http://schemas.openxmlformats.org/officeDocument/2006/relationships/image" Target="../media/image2914.jpeg"/><Relationship Id="rId4367" Type="http://schemas.openxmlformats.org/officeDocument/2006/relationships/image" Target="../media/image4367.jpeg"/><Relationship Id="rId4574" Type="http://schemas.openxmlformats.org/officeDocument/2006/relationships/image" Target="../media/image4574.jpeg"/><Relationship Id="rId4781" Type="http://schemas.openxmlformats.org/officeDocument/2006/relationships/image" Target="../media/image4781.jpeg"/><Relationship Id="rId1309" Type="http://schemas.openxmlformats.org/officeDocument/2006/relationships/image" Target="../media/image1309.jpeg"/><Relationship Id="rId1516" Type="http://schemas.openxmlformats.org/officeDocument/2006/relationships/image" Target="../media/image1516.jpeg"/><Relationship Id="rId1723" Type="http://schemas.openxmlformats.org/officeDocument/2006/relationships/image" Target="../media/image1723.jpeg"/><Relationship Id="rId1930" Type="http://schemas.openxmlformats.org/officeDocument/2006/relationships/image" Target="../media/image1930.jpeg"/><Relationship Id="rId3176" Type="http://schemas.openxmlformats.org/officeDocument/2006/relationships/image" Target="../media/image3176.jpeg"/><Relationship Id="rId3383" Type="http://schemas.openxmlformats.org/officeDocument/2006/relationships/image" Target="../media/image3383.jpeg"/><Relationship Id="rId3590" Type="http://schemas.openxmlformats.org/officeDocument/2006/relationships/image" Target="../media/image3590.jpeg"/><Relationship Id="rId4227" Type="http://schemas.openxmlformats.org/officeDocument/2006/relationships/image" Target="../media/image4227.jpeg"/><Relationship Id="rId4434" Type="http://schemas.openxmlformats.org/officeDocument/2006/relationships/image" Target="../media/image4434.jpeg"/><Relationship Id="rId4879" Type="http://schemas.openxmlformats.org/officeDocument/2006/relationships/image" Target="../media/image4879.jpeg"/><Relationship Id="rId15" Type="http://schemas.openxmlformats.org/officeDocument/2006/relationships/image" Target="../media/image15.jpeg"/><Relationship Id="rId2192" Type="http://schemas.openxmlformats.org/officeDocument/2006/relationships/image" Target="../media/image2192.jpeg"/><Relationship Id="rId3036" Type="http://schemas.openxmlformats.org/officeDocument/2006/relationships/image" Target="../media/image3036.jpeg"/><Relationship Id="rId3243" Type="http://schemas.openxmlformats.org/officeDocument/2006/relationships/image" Target="../media/image3243.jpeg"/><Relationship Id="rId3688" Type="http://schemas.openxmlformats.org/officeDocument/2006/relationships/image" Target="../media/image3688.jpeg"/><Relationship Id="rId3895" Type="http://schemas.openxmlformats.org/officeDocument/2006/relationships/image" Target="../media/image3895.jpeg"/><Relationship Id="rId4641" Type="http://schemas.openxmlformats.org/officeDocument/2006/relationships/image" Target="../media/image4641.jpeg"/><Relationship Id="rId4739" Type="http://schemas.openxmlformats.org/officeDocument/2006/relationships/image" Target="../media/image4739.jpeg"/><Relationship Id="rId4946" Type="http://schemas.openxmlformats.org/officeDocument/2006/relationships/image" Target="../media/image4946.jpeg"/><Relationship Id="rId164" Type="http://schemas.openxmlformats.org/officeDocument/2006/relationships/image" Target="../media/image164.jpeg"/><Relationship Id="rId371" Type="http://schemas.openxmlformats.org/officeDocument/2006/relationships/image" Target="../media/image371.jpeg"/><Relationship Id="rId2052" Type="http://schemas.openxmlformats.org/officeDocument/2006/relationships/image" Target="../media/image2052.jpeg"/><Relationship Id="rId2497" Type="http://schemas.openxmlformats.org/officeDocument/2006/relationships/image" Target="../media/image2497.jpeg"/><Relationship Id="rId3450" Type="http://schemas.openxmlformats.org/officeDocument/2006/relationships/image" Target="../media/image3450.jpeg"/><Relationship Id="rId3548" Type="http://schemas.openxmlformats.org/officeDocument/2006/relationships/image" Target="../media/image3548.jpeg"/><Relationship Id="rId3755" Type="http://schemas.openxmlformats.org/officeDocument/2006/relationships/image" Target="../media/image3755.jpeg"/><Relationship Id="rId4501" Type="http://schemas.openxmlformats.org/officeDocument/2006/relationships/image" Target="../media/image4501.jpeg"/><Relationship Id="rId4806" Type="http://schemas.openxmlformats.org/officeDocument/2006/relationships/image" Target="../media/image4806.jpeg"/><Relationship Id="rId469" Type="http://schemas.openxmlformats.org/officeDocument/2006/relationships/image" Target="../media/image469.jpeg"/><Relationship Id="rId676" Type="http://schemas.openxmlformats.org/officeDocument/2006/relationships/image" Target="../media/image676.jpeg"/><Relationship Id="rId883" Type="http://schemas.openxmlformats.org/officeDocument/2006/relationships/image" Target="../media/image883.jpeg"/><Relationship Id="rId1099" Type="http://schemas.openxmlformats.org/officeDocument/2006/relationships/image" Target="../media/image1099.jpeg"/><Relationship Id="rId2357" Type="http://schemas.openxmlformats.org/officeDocument/2006/relationships/image" Target="../media/image2357.jpeg"/><Relationship Id="rId2564" Type="http://schemas.openxmlformats.org/officeDocument/2006/relationships/image" Target="../media/image2564.jpeg"/><Relationship Id="rId3103" Type="http://schemas.openxmlformats.org/officeDocument/2006/relationships/image" Target="../media/image3103.jpeg"/><Relationship Id="rId3310" Type="http://schemas.openxmlformats.org/officeDocument/2006/relationships/image" Target="../media/image3310.jpeg"/><Relationship Id="rId3408" Type="http://schemas.openxmlformats.org/officeDocument/2006/relationships/image" Target="../media/image3408.jpeg"/><Relationship Id="rId3615" Type="http://schemas.openxmlformats.org/officeDocument/2006/relationships/image" Target="../media/image3615.jpeg"/><Relationship Id="rId3962" Type="http://schemas.openxmlformats.org/officeDocument/2006/relationships/image" Target="../media/image3962.jpeg"/><Relationship Id="rId231" Type="http://schemas.openxmlformats.org/officeDocument/2006/relationships/image" Target="../media/image231.jpeg"/><Relationship Id="rId329" Type="http://schemas.openxmlformats.org/officeDocument/2006/relationships/image" Target="../media/image329.jpeg"/><Relationship Id="rId536" Type="http://schemas.openxmlformats.org/officeDocument/2006/relationships/image" Target="../media/image536.jpeg"/><Relationship Id="rId1166" Type="http://schemas.openxmlformats.org/officeDocument/2006/relationships/image" Target="../media/image1166.jpeg"/><Relationship Id="rId1373" Type="http://schemas.openxmlformats.org/officeDocument/2006/relationships/image" Target="../media/image1373.jpeg"/><Relationship Id="rId2217" Type="http://schemas.openxmlformats.org/officeDocument/2006/relationships/image" Target="../media/image2217.jpeg"/><Relationship Id="rId2771" Type="http://schemas.openxmlformats.org/officeDocument/2006/relationships/image" Target="../media/image2771.jpeg"/><Relationship Id="rId2869" Type="http://schemas.openxmlformats.org/officeDocument/2006/relationships/image" Target="../media/image2869.jpeg"/><Relationship Id="rId3822" Type="http://schemas.openxmlformats.org/officeDocument/2006/relationships/image" Target="../media/image3822.jpeg"/><Relationship Id="rId743" Type="http://schemas.openxmlformats.org/officeDocument/2006/relationships/image" Target="../media/image743.jpeg"/><Relationship Id="rId950" Type="http://schemas.openxmlformats.org/officeDocument/2006/relationships/image" Target="../media/image950.jpeg"/><Relationship Id="rId1026" Type="http://schemas.openxmlformats.org/officeDocument/2006/relationships/image" Target="../media/image1026.jpeg"/><Relationship Id="rId1580" Type="http://schemas.openxmlformats.org/officeDocument/2006/relationships/image" Target="../media/image1580.jpeg"/><Relationship Id="rId1678" Type="http://schemas.openxmlformats.org/officeDocument/2006/relationships/image" Target="../media/image1678.jpeg"/><Relationship Id="rId1885" Type="http://schemas.openxmlformats.org/officeDocument/2006/relationships/image" Target="../media/image1885.jpeg"/><Relationship Id="rId2424" Type="http://schemas.openxmlformats.org/officeDocument/2006/relationships/image" Target="../media/image2424.jpeg"/><Relationship Id="rId2631" Type="http://schemas.openxmlformats.org/officeDocument/2006/relationships/image" Target="../media/image2631.jpeg"/><Relationship Id="rId2729" Type="http://schemas.openxmlformats.org/officeDocument/2006/relationships/image" Target="../media/image2729.jpeg"/><Relationship Id="rId2936" Type="http://schemas.openxmlformats.org/officeDocument/2006/relationships/image" Target="../media/image2936.jpeg"/><Relationship Id="rId4084" Type="http://schemas.openxmlformats.org/officeDocument/2006/relationships/image" Target="../media/image4084.jpeg"/><Relationship Id="rId4291" Type="http://schemas.openxmlformats.org/officeDocument/2006/relationships/image" Target="../media/image4291.jpeg"/><Relationship Id="rId4389" Type="http://schemas.openxmlformats.org/officeDocument/2006/relationships/image" Target="../media/image4389.jpeg"/><Relationship Id="rId603" Type="http://schemas.openxmlformats.org/officeDocument/2006/relationships/image" Target="../media/image603.jpeg"/><Relationship Id="rId810" Type="http://schemas.openxmlformats.org/officeDocument/2006/relationships/image" Target="../media/image810.jpeg"/><Relationship Id="rId908" Type="http://schemas.openxmlformats.org/officeDocument/2006/relationships/image" Target="../media/image908.jpeg"/><Relationship Id="rId1233" Type="http://schemas.openxmlformats.org/officeDocument/2006/relationships/image" Target="../media/image1233.jpeg"/><Relationship Id="rId1440" Type="http://schemas.openxmlformats.org/officeDocument/2006/relationships/image" Target="../media/image1440.jpeg"/><Relationship Id="rId1538" Type="http://schemas.openxmlformats.org/officeDocument/2006/relationships/image" Target="../media/image1538.jpeg"/><Relationship Id="rId4151" Type="http://schemas.openxmlformats.org/officeDocument/2006/relationships/image" Target="../media/image4151.jpeg"/><Relationship Id="rId4596" Type="http://schemas.openxmlformats.org/officeDocument/2006/relationships/image" Target="../media/image4596.jpeg"/><Relationship Id="rId1300" Type="http://schemas.openxmlformats.org/officeDocument/2006/relationships/image" Target="../media/image1300.jpeg"/><Relationship Id="rId1745" Type="http://schemas.openxmlformats.org/officeDocument/2006/relationships/image" Target="../media/image1745.jpeg"/><Relationship Id="rId1952" Type="http://schemas.openxmlformats.org/officeDocument/2006/relationships/image" Target="../media/image1952.jpeg"/><Relationship Id="rId3198" Type="http://schemas.openxmlformats.org/officeDocument/2006/relationships/image" Target="../media/image3198.jpeg"/><Relationship Id="rId4011" Type="http://schemas.openxmlformats.org/officeDocument/2006/relationships/image" Target="../media/image4011.jpeg"/><Relationship Id="rId4249" Type="http://schemas.openxmlformats.org/officeDocument/2006/relationships/image" Target="../media/image4249.jpeg"/><Relationship Id="rId4456" Type="http://schemas.openxmlformats.org/officeDocument/2006/relationships/image" Target="../media/image4456.jpeg"/><Relationship Id="rId4663" Type="http://schemas.openxmlformats.org/officeDocument/2006/relationships/image" Target="../media/image4663.jpeg"/><Relationship Id="rId4870" Type="http://schemas.openxmlformats.org/officeDocument/2006/relationships/image" Target="../media/image4870.jpeg"/><Relationship Id="rId37" Type="http://schemas.openxmlformats.org/officeDocument/2006/relationships/image" Target="../media/image37.jpeg"/><Relationship Id="rId1605" Type="http://schemas.openxmlformats.org/officeDocument/2006/relationships/image" Target="../media/image1605.jpeg"/><Relationship Id="rId1812" Type="http://schemas.openxmlformats.org/officeDocument/2006/relationships/image" Target="../media/image1812.jpeg"/><Relationship Id="rId3058" Type="http://schemas.openxmlformats.org/officeDocument/2006/relationships/image" Target="../media/image3058.jpeg"/><Relationship Id="rId3265" Type="http://schemas.openxmlformats.org/officeDocument/2006/relationships/image" Target="../media/image3265.jpeg"/><Relationship Id="rId3472" Type="http://schemas.openxmlformats.org/officeDocument/2006/relationships/image" Target="../media/image3472.jpeg"/><Relationship Id="rId4109" Type="http://schemas.openxmlformats.org/officeDocument/2006/relationships/image" Target="../media/image4109.jpeg"/><Relationship Id="rId4316" Type="http://schemas.openxmlformats.org/officeDocument/2006/relationships/image" Target="../media/image4316.jpeg"/><Relationship Id="rId4523" Type="http://schemas.openxmlformats.org/officeDocument/2006/relationships/image" Target="../media/image4523.jpeg"/><Relationship Id="rId4730" Type="http://schemas.openxmlformats.org/officeDocument/2006/relationships/image" Target="../media/image4730.jpeg"/><Relationship Id="rId4968" Type="http://schemas.openxmlformats.org/officeDocument/2006/relationships/image" Target="../media/image4968.jpeg"/><Relationship Id="rId186" Type="http://schemas.openxmlformats.org/officeDocument/2006/relationships/image" Target="../media/image186.jpeg"/><Relationship Id="rId393" Type="http://schemas.openxmlformats.org/officeDocument/2006/relationships/image" Target="../media/image393.jpeg"/><Relationship Id="rId2074" Type="http://schemas.openxmlformats.org/officeDocument/2006/relationships/image" Target="../media/image2074.jpeg"/><Relationship Id="rId2281" Type="http://schemas.openxmlformats.org/officeDocument/2006/relationships/image" Target="../media/image2281.jpeg"/><Relationship Id="rId3125" Type="http://schemas.openxmlformats.org/officeDocument/2006/relationships/image" Target="../media/image3125.jpeg"/><Relationship Id="rId3332" Type="http://schemas.openxmlformats.org/officeDocument/2006/relationships/image" Target="../media/image3332.jpeg"/><Relationship Id="rId3777" Type="http://schemas.openxmlformats.org/officeDocument/2006/relationships/image" Target="../media/image3777.jpeg"/><Relationship Id="rId3984" Type="http://schemas.openxmlformats.org/officeDocument/2006/relationships/image" Target="../media/image3984.jpeg"/><Relationship Id="rId4828" Type="http://schemas.openxmlformats.org/officeDocument/2006/relationships/image" Target="../media/image4828.jpeg"/><Relationship Id="rId253" Type="http://schemas.openxmlformats.org/officeDocument/2006/relationships/image" Target="../media/image253.jpeg"/><Relationship Id="rId460" Type="http://schemas.openxmlformats.org/officeDocument/2006/relationships/image" Target="../media/image460.jpeg"/><Relationship Id="rId698" Type="http://schemas.openxmlformats.org/officeDocument/2006/relationships/image" Target="../media/image698.jpeg"/><Relationship Id="rId1090" Type="http://schemas.openxmlformats.org/officeDocument/2006/relationships/image" Target="../media/image1090.jpeg"/><Relationship Id="rId2141" Type="http://schemas.openxmlformats.org/officeDocument/2006/relationships/image" Target="../media/image2141.jpeg"/><Relationship Id="rId2379" Type="http://schemas.openxmlformats.org/officeDocument/2006/relationships/image" Target="../media/image2379.jpeg"/><Relationship Id="rId2586" Type="http://schemas.openxmlformats.org/officeDocument/2006/relationships/image" Target="../media/image2586.jpeg"/><Relationship Id="rId2793" Type="http://schemas.openxmlformats.org/officeDocument/2006/relationships/image" Target="../media/image2793.jpeg"/><Relationship Id="rId3637" Type="http://schemas.openxmlformats.org/officeDocument/2006/relationships/image" Target="../media/image3637.jpeg"/><Relationship Id="rId3844" Type="http://schemas.openxmlformats.org/officeDocument/2006/relationships/image" Target="../media/image3844.jpeg"/><Relationship Id="rId113" Type="http://schemas.openxmlformats.org/officeDocument/2006/relationships/image" Target="../media/image113.jpeg"/><Relationship Id="rId320" Type="http://schemas.openxmlformats.org/officeDocument/2006/relationships/image" Target="../media/image320.jpeg"/><Relationship Id="rId558" Type="http://schemas.openxmlformats.org/officeDocument/2006/relationships/image" Target="../media/image558.jpeg"/><Relationship Id="rId765" Type="http://schemas.openxmlformats.org/officeDocument/2006/relationships/image" Target="../media/image765.jpeg"/><Relationship Id="rId972" Type="http://schemas.openxmlformats.org/officeDocument/2006/relationships/image" Target="../media/image972.jpeg"/><Relationship Id="rId1188" Type="http://schemas.openxmlformats.org/officeDocument/2006/relationships/image" Target="../media/image1188.jpeg"/><Relationship Id="rId1395" Type="http://schemas.openxmlformats.org/officeDocument/2006/relationships/image" Target="../media/image1395.jpeg"/><Relationship Id="rId2001" Type="http://schemas.openxmlformats.org/officeDocument/2006/relationships/image" Target="../media/image2001.jpeg"/><Relationship Id="rId2239" Type="http://schemas.openxmlformats.org/officeDocument/2006/relationships/image" Target="../media/image2239.jpeg"/><Relationship Id="rId2446" Type="http://schemas.openxmlformats.org/officeDocument/2006/relationships/image" Target="../media/image2446.jpeg"/><Relationship Id="rId2653" Type="http://schemas.openxmlformats.org/officeDocument/2006/relationships/image" Target="../media/image2653.jpeg"/><Relationship Id="rId2860" Type="http://schemas.openxmlformats.org/officeDocument/2006/relationships/image" Target="../media/image2860.jpeg"/><Relationship Id="rId3704" Type="http://schemas.openxmlformats.org/officeDocument/2006/relationships/image" Target="../media/image3704.jpeg"/><Relationship Id="rId418" Type="http://schemas.openxmlformats.org/officeDocument/2006/relationships/image" Target="../media/image418.jpeg"/><Relationship Id="rId625" Type="http://schemas.openxmlformats.org/officeDocument/2006/relationships/image" Target="../media/image625.jpeg"/><Relationship Id="rId832" Type="http://schemas.openxmlformats.org/officeDocument/2006/relationships/image" Target="../media/image832.jpeg"/><Relationship Id="rId1048" Type="http://schemas.openxmlformats.org/officeDocument/2006/relationships/image" Target="../media/image1048.jpeg"/><Relationship Id="rId1255" Type="http://schemas.openxmlformats.org/officeDocument/2006/relationships/image" Target="../media/image1255.jpeg"/><Relationship Id="rId1462" Type="http://schemas.openxmlformats.org/officeDocument/2006/relationships/image" Target="../media/image1462.jpeg"/><Relationship Id="rId2306" Type="http://schemas.openxmlformats.org/officeDocument/2006/relationships/image" Target="../media/image2306.jpeg"/><Relationship Id="rId2513" Type="http://schemas.openxmlformats.org/officeDocument/2006/relationships/image" Target="../media/image2513.jpeg"/><Relationship Id="rId2958" Type="http://schemas.openxmlformats.org/officeDocument/2006/relationships/image" Target="../media/image2958.jpeg"/><Relationship Id="rId3911" Type="http://schemas.openxmlformats.org/officeDocument/2006/relationships/image" Target="../media/image3911.jpeg"/><Relationship Id="rId1115" Type="http://schemas.openxmlformats.org/officeDocument/2006/relationships/image" Target="../media/image1115.jpeg"/><Relationship Id="rId1322" Type="http://schemas.openxmlformats.org/officeDocument/2006/relationships/image" Target="../media/image1322.jpeg"/><Relationship Id="rId1767" Type="http://schemas.openxmlformats.org/officeDocument/2006/relationships/image" Target="../media/image1767.jpeg"/><Relationship Id="rId1974" Type="http://schemas.openxmlformats.org/officeDocument/2006/relationships/image" Target="../media/image1974.jpeg"/><Relationship Id="rId2720" Type="http://schemas.openxmlformats.org/officeDocument/2006/relationships/image" Target="../media/image2720.jpeg"/><Relationship Id="rId2818" Type="http://schemas.openxmlformats.org/officeDocument/2006/relationships/image" Target="../media/image2818.jpeg"/><Relationship Id="rId4173" Type="http://schemas.openxmlformats.org/officeDocument/2006/relationships/image" Target="../media/image4173.jpeg"/><Relationship Id="rId4380" Type="http://schemas.openxmlformats.org/officeDocument/2006/relationships/image" Target="../media/image4380.jpeg"/><Relationship Id="rId4478" Type="http://schemas.openxmlformats.org/officeDocument/2006/relationships/image" Target="../media/image4478.jpeg"/><Relationship Id="rId59" Type="http://schemas.openxmlformats.org/officeDocument/2006/relationships/image" Target="../media/image59.jpeg"/><Relationship Id="rId1627" Type="http://schemas.openxmlformats.org/officeDocument/2006/relationships/image" Target="../media/image1627.jpeg"/><Relationship Id="rId1834" Type="http://schemas.openxmlformats.org/officeDocument/2006/relationships/image" Target="../media/image1834.jpeg"/><Relationship Id="rId3287" Type="http://schemas.openxmlformats.org/officeDocument/2006/relationships/image" Target="../media/image3287.jpeg"/><Relationship Id="rId4033" Type="http://schemas.openxmlformats.org/officeDocument/2006/relationships/image" Target="../media/image4033.jpeg"/><Relationship Id="rId4240" Type="http://schemas.openxmlformats.org/officeDocument/2006/relationships/image" Target="../media/image4240.jpeg"/><Relationship Id="rId4338" Type="http://schemas.openxmlformats.org/officeDocument/2006/relationships/image" Target="../media/image4338.jpeg"/><Relationship Id="rId4685" Type="http://schemas.openxmlformats.org/officeDocument/2006/relationships/image" Target="../media/image4685.jpeg"/><Relationship Id="rId4892" Type="http://schemas.openxmlformats.org/officeDocument/2006/relationships/image" Target="../media/image4892.jpeg"/><Relationship Id="rId2096" Type="http://schemas.openxmlformats.org/officeDocument/2006/relationships/image" Target="../media/image2096.jpeg"/><Relationship Id="rId3494" Type="http://schemas.openxmlformats.org/officeDocument/2006/relationships/image" Target="../media/image3494.jpeg"/><Relationship Id="rId3799" Type="http://schemas.openxmlformats.org/officeDocument/2006/relationships/image" Target="../media/image3799.jpeg"/><Relationship Id="rId4100" Type="http://schemas.openxmlformats.org/officeDocument/2006/relationships/image" Target="../media/image4100.jpeg"/><Relationship Id="rId4545" Type="http://schemas.openxmlformats.org/officeDocument/2006/relationships/image" Target="../media/image4545.jpeg"/><Relationship Id="rId4752" Type="http://schemas.openxmlformats.org/officeDocument/2006/relationships/image" Target="../media/image4752.jpeg"/><Relationship Id="rId1901" Type="http://schemas.openxmlformats.org/officeDocument/2006/relationships/image" Target="../media/image1901.jpeg"/><Relationship Id="rId3147" Type="http://schemas.openxmlformats.org/officeDocument/2006/relationships/image" Target="../media/image3147.jpeg"/><Relationship Id="rId3354" Type="http://schemas.openxmlformats.org/officeDocument/2006/relationships/image" Target="../media/image3354.jpeg"/><Relationship Id="rId3561" Type="http://schemas.openxmlformats.org/officeDocument/2006/relationships/image" Target="../media/image3561.jpeg"/><Relationship Id="rId3659" Type="http://schemas.openxmlformats.org/officeDocument/2006/relationships/image" Target="../media/image3659.jpeg"/><Relationship Id="rId4405" Type="http://schemas.openxmlformats.org/officeDocument/2006/relationships/image" Target="../media/image4405.jpeg"/><Relationship Id="rId4612" Type="http://schemas.openxmlformats.org/officeDocument/2006/relationships/image" Target="../media/image4612.jpeg"/><Relationship Id="rId275" Type="http://schemas.openxmlformats.org/officeDocument/2006/relationships/image" Target="../media/image275.jpeg"/><Relationship Id="rId482" Type="http://schemas.openxmlformats.org/officeDocument/2006/relationships/image" Target="../media/image482.jpeg"/><Relationship Id="rId2163" Type="http://schemas.openxmlformats.org/officeDocument/2006/relationships/image" Target="../media/image2163.jpeg"/><Relationship Id="rId2370" Type="http://schemas.openxmlformats.org/officeDocument/2006/relationships/image" Target="../media/image2370.jpeg"/><Relationship Id="rId3007" Type="http://schemas.openxmlformats.org/officeDocument/2006/relationships/image" Target="../media/image3007.jpeg"/><Relationship Id="rId3214" Type="http://schemas.openxmlformats.org/officeDocument/2006/relationships/image" Target="../media/image3214.jpeg"/><Relationship Id="rId3421" Type="http://schemas.openxmlformats.org/officeDocument/2006/relationships/image" Target="../media/image3421.jpeg"/><Relationship Id="rId3866" Type="http://schemas.openxmlformats.org/officeDocument/2006/relationships/image" Target="../media/image3866.jpeg"/><Relationship Id="rId4917" Type="http://schemas.openxmlformats.org/officeDocument/2006/relationships/image" Target="../media/image4917.jpeg"/><Relationship Id="rId135" Type="http://schemas.openxmlformats.org/officeDocument/2006/relationships/image" Target="../media/image135.jpeg"/><Relationship Id="rId342" Type="http://schemas.openxmlformats.org/officeDocument/2006/relationships/image" Target="../media/image342.jpeg"/><Relationship Id="rId787" Type="http://schemas.openxmlformats.org/officeDocument/2006/relationships/image" Target="../media/image787.jpeg"/><Relationship Id="rId994" Type="http://schemas.openxmlformats.org/officeDocument/2006/relationships/image" Target="../media/image994.jpeg"/><Relationship Id="rId2023" Type="http://schemas.openxmlformats.org/officeDocument/2006/relationships/image" Target="../media/image2023.jpeg"/><Relationship Id="rId2230" Type="http://schemas.openxmlformats.org/officeDocument/2006/relationships/image" Target="../media/image2230.jpeg"/><Relationship Id="rId2468" Type="http://schemas.openxmlformats.org/officeDocument/2006/relationships/image" Target="../media/image2468.jpeg"/><Relationship Id="rId2675" Type="http://schemas.openxmlformats.org/officeDocument/2006/relationships/image" Target="../media/image2675.jpeg"/><Relationship Id="rId2882" Type="http://schemas.openxmlformats.org/officeDocument/2006/relationships/image" Target="../media/image2882.jpeg"/><Relationship Id="rId3519" Type="http://schemas.openxmlformats.org/officeDocument/2006/relationships/image" Target="../media/image3519.jpeg"/><Relationship Id="rId3726" Type="http://schemas.openxmlformats.org/officeDocument/2006/relationships/image" Target="../media/image3726.jpeg"/><Relationship Id="rId3933" Type="http://schemas.openxmlformats.org/officeDocument/2006/relationships/image" Target="../media/image3933.jpeg"/><Relationship Id="rId202" Type="http://schemas.openxmlformats.org/officeDocument/2006/relationships/image" Target="../media/image202.jpeg"/><Relationship Id="rId647" Type="http://schemas.openxmlformats.org/officeDocument/2006/relationships/image" Target="../media/image647.jpeg"/><Relationship Id="rId854" Type="http://schemas.openxmlformats.org/officeDocument/2006/relationships/image" Target="../media/image854.jpeg"/><Relationship Id="rId1277" Type="http://schemas.openxmlformats.org/officeDocument/2006/relationships/image" Target="../media/image1277.jpeg"/><Relationship Id="rId1484" Type="http://schemas.openxmlformats.org/officeDocument/2006/relationships/image" Target="../media/image1484.jpeg"/><Relationship Id="rId1691" Type="http://schemas.openxmlformats.org/officeDocument/2006/relationships/image" Target="../media/image1691.jpeg"/><Relationship Id="rId2328" Type="http://schemas.openxmlformats.org/officeDocument/2006/relationships/image" Target="../media/image2328.jpeg"/><Relationship Id="rId2535" Type="http://schemas.openxmlformats.org/officeDocument/2006/relationships/image" Target="../media/image2535.jpeg"/><Relationship Id="rId2742" Type="http://schemas.openxmlformats.org/officeDocument/2006/relationships/image" Target="../media/image2742.jpeg"/><Relationship Id="rId4195" Type="http://schemas.openxmlformats.org/officeDocument/2006/relationships/image" Target="../media/image4195.jpeg"/><Relationship Id="rId507" Type="http://schemas.openxmlformats.org/officeDocument/2006/relationships/image" Target="../media/image507.jpeg"/><Relationship Id="rId714" Type="http://schemas.openxmlformats.org/officeDocument/2006/relationships/image" Target="../media/image714.jpeg"/><Relationship Id="rId921" Type="http://schemas.openxmlformats.org/officeDocument/2006/relationships/image" Target="../media/image921.jpeg"/><Relationship Id="rId1137" Type="http://schemas.openxmlformats.org/officeDocument/2006/relationships/image" Target="../media/image1137.jpeg"/><Relationship Id="rId1344" Type="http://schemas.openxmlformats.org/officeDocument/2006/relationships/image" Target="../media/image1344.jpeg"/><Relationship Id="rId1551" Type="http://schemas.openxmlformats.org/officeDocument/2006/relationships/image" Target="../media/image1551.jpeg"/><Relationship Id="rId1789" Type="http://schemas.openxmlformats.org/officeDocument/2006/relationships/image" Target="../media/image1789.jpeg"/><Relationship Id="rId1996" Type="http://schemas.openxmlformats.org/officeDocument/2006/relationships/image" Target="../media/image1996.jpeg"/><Relationship Id="rId2602" Type="http://schemas.openxmlformats.org/officeDocument/2006/relationships/image" Target="../media/image2602.jpeg"/><Relationship Id="rId4055" Type="http://schemas.openxmlformats.org/officeDocument/2006/relationships/image" Target="../media/image4055.jpeg"/><Relationship Id="rId4262" Type="http://schemas.openxmlformats.org/officeDocument/2006/relationships/image" Target="../media/image4262.jpeg"/><Relationship Id="rId50" Type="http://schemas.openxmlformats.org/officeDocument/2006/relationships/image" Target="../media/image50.jpeg"/><Relationship Id="rId1204" Type="http://schemas.openxmlformats.org/officeDocument/2006/relationships/image" Target="../media/image1204.jpeg"/><Relationship Id="rId1411" Type="http://schemas.openxmlformats.org/officeDocument/2006/relationships/image" Target="../media/image1411.jpeg"/><Relationship Id="rId1649" Type="http://schemas.openxmlformats.org/officeDocument/2006/relationships/image" Target="../media/image1649.jpeg"/><Relationship Id="rId1856" Type="http://schemas.openxmlformats.org/officeDocument/2006/relationships/image" Target="../media/image1856.jpeg"/><Relationship Id="rId2907" Type="http://schemas.openxmlformats.org/officeDocument/2006/relationships/image" Target="../media/image2907.jpeg"/><Relationship Id="rId3071" Type="http://schemas.openxmlformats.org/officeDocument/2006/relationships/image" Target="../media/image3071.jpeg"/><Relationship Id="rId4567" Type="http://schemas.openxmlformats.org/officeDocument/2006/relationships/image" Target="../media/image4567.jpeg"/><Relationship Id="rId4774" Type="http://schemas.openxmlformats.org/officeDocument/2006/relationships/image" Target="../media/image4774.jpeg"/><Relationship Id="rId1509" Type="http://schemas.openxmlformats.org/officeDocument/2006/relationships/image" Target="../media/image1509.jpeg"/><Relationship Id="rId1716" Type="http://schemas.openxmlformats.org/officeDocument/2006/relationships/image" Target="../media/image1716.jpeg"/><Relationship Id="rId1923" Type="http://schemas.openxmlformats.org/officeDocument/2006/relationships/image" Target="../media/image1923.jpeg"/><Relationship Id="rId3169" Type="http://schemas.openxmlformats.org/officeDocument/2006/relationships/image" Target="../media/image3169.jpeg"/><Relationship Id="rId3376" Type="http://schemas.openxmlformats.org/officeDocument/2006/relationships/image" Target="../media/image3376.jpeg"/><Relationship Id="rId3583" Type="http://schemas.openxmlformats.org/officeDocument/2006/relationships/image" Target="../media/image3583.jpeg"/><Relationship Id="rId4122" Type="http://schemas.openxmlformats.org/officeDocument/2006/relationships/image" Target="../media/image4122.jpeg"/><Relationship Id="rId4427" Type="http://schemas.openxmlformats.org/officeDocument/2006/relationships/image" Target="../media/image4427.jpeg"/><Relationship Id="rId4981" Type="http://schemas.openxmlformats.org/officeDocument/2006/relationships/image" Target="../media/image4981.jpeg"/><Relationship Id="rId297" Type="http://schemas.openxmlformats.org/officeDocument/2006/relationships/image" Target="../media/image297.jpeg"/><Relationship Id="rId2185" Type="http://schemas.openxmlformats.org/officeDocument/2006/relationships/image" Target="../media/image2185.jpeg"/><Relationship Id="rId2392" Type="http://schemas.openxmlformats.org/officeDocument/2006/relationships/image" Target="../media/image2392.jpeg"/><Relationship Id="rId3029" Type="http://schemas.openxmlformats.org/officeDocument/2006/relationships/image" Target="../media/image3029.jpeg"/><Relationship Id="rId3236" Type="http://schemas.openxmlformats.org/officeDocument/2006/relationships/image" Target="../media/image3236.jpeg"/><Relationship Id="rId3790" Type="http://schemas.openxmlformats.org/officeDocument/2006/relationships/image" Target="../media/image3790.jpeg"/><Relationship Id="rId3888" Type="http://schemas.openxmlformats.org/officeDocument/2006/relationships/image" Target="../media/image3888.jpeg"/><Relationship Id="rId4634" Type="http://schemas.openxmlformats.org/officeDocument/2006/relationships/image" Target="../media/image4634.jpeg"/><Relationship Id="rId4841" Type="http://schemas.openxmlformats.org/officeDocument/2006/relationships/image" Target="../media/image4841.jpeg"/><Relationship Id="rId4939" Type="http://schemas.openxmlformats.org/officeDocument/2006/relationships/image" Target="../media/image4939.jpeg"/><Relationship Id="rId157" Type="http://schemas.openxmlformats.org/officeDocument/2006/relationships/image" Target="../media/image157.jpeg"/><Relationship Id="rId364" Type="http://schemas.openxmlformats.org/officeDocument/2006/relationships/image" Target="../media/image364.jpeg"/><Relationship Id="rId2045" Type="http://schemas.openxmlformats.org/officeDocument/2006/relationships/image" Target="../media/image2045.jpeg"/><Relationship Id="rId2697" Type="http://schemas.openxmlformats.org/officeDocument/2006/relationships/image" Target="../media/image2697.jpeg"/><Relationship Id="rId3443" Type="http://schemas.openxmlformats.org/officeDocument/2006/relationships/image" Target="../media/image3443.jpeg"/><Relationship Id="rId3650" Type="http://schemas.openxmlformats.org/officeDocument/2006/relationships/image" Target="../media/image3650.jpeg"/><Relationship Id="rId3748" Type="http://schemas.openxmlformats.org/officeDocument/2006/relationships/image" Target="../media/image3748.jpeg"/><Relationship Id="rId4701" Type="http://schemas.openxmlformats.org/officeDocument/2006/relationships/image" Target="../media/image4701.jpeg"/><Relationship Id="rId571" Type="http://schemas.openxmlformats.org/officeDocument/2006/relationships/image" Target="../media/image571.jpeg"/><Relationship Id="rId669" Type="http://schemas.openxmlformats.org/officeDocument/2006/relationships/image" Target="../media/image669.jpeg"/><Relationship Id="rId876" Type="http://schemas.openxmlformats.org/officeDocument/2006/relationships/image" Target="../media/image876.jpeg"/><Relationship Id="rId1299" Type="http://schemas.openxmlformats.org/officeDocument/2006/relationships/image" Target="../media/image1299.jpeg"/><Relationship Id="rId2252" Type="http://schemas.openxmlformats.org/officeDocument/2006/relationships/image" Target="../media/image2252.jpeg"/><Relationship Id="rId2557" Type="http://schemas.openxmlformats.org/officeDocument/2006/relationships/image" Target="../media/image2557.jpeg"/><Relationship Id="rId3303" Type="http://schemas.openxmlformats.org/officeDocument/2006/relationships/image" Target="../media/image3303.jpeg"/><Relationship Id="rId3510" Type="http://schemas.openxmlformats.org/officeDocument/2006/relationships/image" Target="../media/image3510.jpeg"/><Relationship Id="rId3608" Type="http://schemas.openxmlformats.org/officeDocument/2006/relationships/image" Target="../media/image3608.jpeg"/><Relationship Id="rId3955" Type="http://schemas.openxmlformats.org/officeDocument/2006/relationships/image" Target="../media/image3955.jpeg"/><Relationship Id="rId224" Type="http://schemas.openxmlformats.org/officeDocument/2006/relationships/image" Target="../media/image224.jpeg"/><Relationship Id="rId431" Type="http://schemas.openxmlformats.org/officeDocument/2006/relationships/image" Target="../media/image431.jpeg"/><Relationship Id="rId529" Type="http://schemas.openxmlformats.org/officeDocument/2006/relationships/image" Target="../media/image529.jpeg"/><Relationship Id="rId736" Type="http://schemas.openxmlformats.org/officeDocument/2006/relationships/image" Target="../media/image736.jpeg"/><Relationship Id="rId1061" Type="http://schemas.openxmlformats.org/officeDocument/2006/relationships/image" Target="../media/image1061.jpeg"/><Relationship Id="rId1159" Type="http://schemas.openxmlformats.org/officeDocument/2006/relationships/image" Target="../media/image1159.jpeg"/><Relationship Id="rId1366" Type="http://schemas.openxmlformats.org/officeDocument/2006/relationships/image" Target="../media/image1366.jpeg"/><Relationship Id="rId2112" Type="http://schemas.openxmlformats.org/officeDocument/2006/relationships/image" Target="../media/image2112.jpeg"/><Relationship Id="rId2417" Type="http://schemas.openxmlformats.org/officeDocument/2006/relationships/image" Target="../media/image2417.jpeg"/><Relationship Id="rId2764" Type="http://schemas.openxmlformats.org/officeDocument/2006/relationships/image" Target="../media/image2764.jpeg"/><Relationship Id="rId2971" Type="http://schemas.openxmlformats.org/officeDocument/2006/relationships/image" Target="../media/image2971.jpeg"/><Relationship Id="rId3815" Type="http://schemas.openxmlformats.org/officeDocument/2006/relationships/image" Target="../media/image3815.jpeg"/><Relationship Id="rId943" Type="http://schemas.openxmlformats.org/officeDocument/2006/relationships/image" Target="../media/image943.jpeg"/><Relationship Id="rId1019" Type="http://schemas.openxmlformats.org/officeDocument/2006/relationships/image" Target="../media/image1019.jpeg"/><Relationship Id="rId1573" Type="http://schemas.openxmlformats.org/officeDocument/2006/relationships/image" Target="../media/image1573.jpeg"/><Relationship Id="rId1780" Type="http://schemas.openxmlformats.org/officeDocument/2006/relationships/image" Target="../media/image1780.jpeg"/><Relationship Id="rId1878" Type="http://schemas.openxmlformats.org/officeDocument/2006/relationships/image" Target="../media/image1878.jpeg"/><Relationship Id="rId2624" Type="http://schemas.openxmlformats.org/officeDocument/2006/relationships/image" Target="../media/image2624.jpeg"/><Relationship Id="rId2831" Type="http://schemas.openxmlformats.org/officeDocument/2006/relationships/image" Target="../media/image2831.jpeg"/><Relationship Id="rId2929" Type="http://schemas.openxmlformats.org/officeDocument/2006/relationships/image" Target="../media/image2929.jpeg"/><Relationship Id="rId4077" Type="http://schemas.openxmlformats.org/officeDocument/2006/relationships/image" Target="../media/image4077.jpeg"/><Relationship Id="rId4284" Type="http://schemas.openxmlformats.org/officeDocument/2006/relationships/image" Target="../media/image4284.jpeg"/><Relationship Id="rId4491" Type="http://schemas.openxmlformats.org/officeDocument/2006/relationships/image" Target="../media/image4491.jpeg"/><Relationship Id="rId72" Type="http://schemas.openxmlformats.org/officeDocument/2006/relationships/image" Target="../media/image72.jpeg"/><Relationship Id="rId803" Type="http://schemas.openxmlformats.org/officeDocument/2006/relationships/image" Target="../media/image803.jpeg"/><Relationship Id="rId1226" Type="http://schemas.openxmlformats.org/officeDocument/2006/relationships/image" Target="../media/image1226.jpeg"/><Relationship Id="rId1433" Type="http://schemas.openxmlformats.org/officeDocument/2006/relationships/image" Target="../media/image1433.jpeg"/><Relationship Id="rId1640" Type="http://schemas.openxmlformats.org/officeDocument/2006/relationships/image" Target="../media/image1640.jpeg"/><Relationship Id="rId1738" Type="http://schemas.openxmlformats.org/officeDocument/2006/relationships/image" Target="../media/image1738.jpeg"/><Relationship Id="rId3093" Type="http://schemas.openxmlformats.org/officeDocument/2006/relationships/image" Target="../media/image3093.jpeg"/><Relationship Id="rId4144" Type="http://schemas.openxmlformats.org/officeDocument/2006/relationships/image" Target="../media/image4144.jpeg"/><Relationship Id="rId4351" Type="http://schemas.openxmlformats.org/officeDocument/2006/relationships/image" Target="../media/image4351.jpeg"/><Relationship Id="rId4589" Type="http://schemas.openxmlformats.org/officeDocument/2006/relationships/image" Target="../media/image4589.jpeg"/><Relationship Id="rId4796" Type="http://schemas.openxmlformats.org/officeDocument/2006/relationships/image" Target="../media/image4796.jpeg"/><Relationship Id="rId1500" Type="http://schemas.openxmlformats.org/officeDocument/2006/relationships/image" Target="../media/image1500.jpeg"/><Relationship Id="rId1945" Type="http://schemas.openxmlformats.org/officeDocument/2006/relationships/image" Target="../media/image1945.jpeg"/><Relationship Id="rId3160" Type="http://schemas.openxmlformats.org/officeDocument/2006/relationships/image" Target="../media/image3160.jpeg"/><Relationship Id="rId3398" Type="http://schemas.openxmlformats.org/officeDocument/2006/relationships/image" Target="../media/image3398.jpeg"/><Relationship Id="rId4004" Type="http://schemas.openxmlformats.org/officeDocument/2006/relationships/image" Target="../media/image4004.jpeg"/><Relationship Id="rId4211" Type="http://schemas.openxmlformats.org/officeDocument/2006/relationships/image" Target="../media/image4211.jpeg"/><Relationship Id="rId4449" Type="http://schemas.openxmlformats.org/officeDocument/2006/relationships/image" Target="../media/image4449.jpeg"/><Relationship Id="rId4656" Type="http://schemas.openxmlformats.org/officeDocument/2006/relationships/image" Target="../media/image4656.jpeg"/><Relationship Id="rId4863" Type="http://schemas.openxmlformats.org/officeDocument/2006/relationships/image" Target="../media/image4863.jpeg"/><Relationship Id="rId1805" Type="http://schemas.openxmlformats.org/officeDocument/2006/relationships/image" Target="../media/image1805.jpeg"/><Relationship Id="rId3020" Type="http://schemas.openxmlformats.org/officeDocument/2006/relationships/image" Target="../media/image3020.jpeg"/><Relationship Id="rId3258" Type="http://schemas.openxmlformats.org/officeDocument/2006/relationships/image" Target="../media/image3258.jpeg"/><Relationship Id="rId3465" Type="http://schemas.openxmlformats.org/officeDocument/2006/relationships/image" Target="../media/image3465.jpeg"/><Relationship Id="rId3672" Type="http://schemas.openxmlformats.org/officeDocument/2006/relationships/image" Target="../media/image3672.jpeg"/><Relationship Id="rId4309" Type="http://schemas.openxmlformats.org/officeDocument/2006/relationships/image" Target="../media/image4309.jpeg"/><Relationship Id="rId4516" Type="http://schemas.openxmlformats.org/officeDocument/2006/relationships/image" Target="../media/image4516.jpeg"/><Relationship Id="rId4723" Type="http://schemas.openxmlformats.org/officeDocument/2006/relationships/image" Target="../media/image4723.jpeg"/><Relationship Id="rId179" Type="http://schemas.openxmlformats.org/officeDocument/2006/relationships/image" Target="../media/image179.jpeg"/><Relationship Id="rId386" Type="http://schemas.openxmlformats.org/officeDocument/2006/relationships/image" Target="../media/image386.jpeg"/><Relationship Id="rId593" Type="http://schemas.openxmlformats.org/officeDocument/2006/relationships/image" Target="../media/image593.jpeg"/><Relationship Id="rId2067" Type="http://schemas.openxmlformats.org/officeDocument/2006/relationships/image" Target="../media/image2067.jpeg"/><Relationship Id="rId2274" Type="http://schemas.openxmlformats.org/officeDocument/2006/relationships/image" Target="../media/image2274.jpeg"/><Relationship Id="rId2481" Type="http://schemas.openxmlformats.org/officeDocument/2006/relationships/image" Target="../media/image2481.jpeg"/><Relationship Id="rId3118" Type="http://schemas.openxmlformats.org/officeDocument/2006/relationships/image" Target="../media/image3118.jpeg"/><Relationship Id="rId3325" Type="http://schemas.openxmlformats.org/officeDocument/2006/relationships/image" Target="../media/image3325.jpeg"/><Relationship Id="rId3532" Type="http://schemas.openxmlformats.org/officeDocument/2006/relationships/image" Target="../media/image3532.jpeg"/><Relationship Id="rId3977" Type="http://schemas.openxmlformats.org/officeDocument/2006/relationships/image" Target="../media/image3977.jpeg"/><Relationship Id="rId4930" Type="http://schemas.openxmlformats.org/officeDocument/2006/relationships/image" Target="../media/image4930.jpeg"/><Relationship Id="rId246" Type="http://schemas.openxmlformats.org/officeDocument/2006/relationships/image" Target="../media/image246.jpeg"/><Relationship Id="rId453" Type="http://schemas.openxmlformats.org/officeDocument/2006/relationships/image" Target="../media/image453.jpeg"/><Relationship Id="rId660" Type="http://schemas.openxmlformats.org/officeDocument/2006/relationships/image" Target="../media/image660.jpeg"/><Relationship Id="rId898" Type="http://schemas.openxmlformats.org/officeDocument/2006/relationships/image" Target="../media/image898.jpeg"/><Relationship Id="rId1083" Type="http://schemas.openxmlformats.org/officeDocument/2006/relationships/image" Target="../media/image1083.jpeg"/><Relationship Id="rId1290" Type="http://schemas.openxmlformats.org/officeDocument/2006/relationships/image" Target="../media/image1290.jpeg"/><Relationship Id="rId2134" Type="http://schemas.openxmlformats.org/officeDocument/2006/relationships/image" Target="../media/image2134.jpeg"/><Relationship Id="rId2341" Type="http://schemas.openxmlformats.org/officeDocument/2006/relationships/image" Target="../media/image2341.jpeg"/><Relationship Id="rId2579" Type="http://schemas.openxmlformats.org/officeDocument/2006/relationships/image" Target="../media/image2579.jpeg"/><Relationship Id="rId2786" Type="http://schemas.openxmlformats.org/officeDocument/2006/relationships/image" Target="../media/image2786.jpeg"/><Relationship Id="rId2993" Type="http://schemas.openxmlformats.org/officeDocument/2006/relationships/image" Target="../media/image2993.jpeg"/><Relationship Id="rId3837" Type="http://schemas.openxmlformats.org/officeDocument/2006/relationships/image" Target="../media/image3837.jpeg"/><Relationship Id="rId106" Type="http://schemas.openxmlformats.org/officeDocument/2006/relationships/image" Target="../media/image106.jpeg"/><Relationship Id="rId313" Type="http://schemas.openxmlformats.org/officeDocument/2006/relationships/image" Target="../media/image313.jpeg"/><Relationship Id="rId758" Type="http://schemas.openxmlformats.org/officeDocument/2006/relationships/image" Target="../media/image758.jpeg"/><Relationship Id="rId965" Type="http://schemas.openxmlformats.org/officeDocument/2006/relationships/image" Target="../media/image965.jpeg"/><Relationship Id="rId1150" Type="http://schemas.openxmlformats.org/officeDocument/2006/relationships/image" Target="../media/image1150.jpeg"/><Relationship Id="rId1388" Type="http://schemas.openxmlformats.org/officeDocument/2006/relationships/image" Target="../media/image1388.jpeg"/><Relationship Id="rId1595" Type="http://schemas.openxmlformats.org/officeDocument/2006/relationships/image" Target="../media/image1595.jpeg"/><Relationship Id="rId2439" Type="http://schemas.openxmlformats.org/officeDocument/2006/relationships/image" Target="../media/image2439.jpeg"/><Relationship Id="rId2646" Type="http://schemas.openxmlformats.org/officeDocument/2006/relationships/image" Target="../media/image2646.jpeg"/><Relationship Id="rId2853" Type="http://schemas.openxmlformats.org/officeDocument/2006/relationships/image" Target="../media/image2853.jpeg"/><Relationship Id="rId3904" Type="http://schemas.openxmlformats.org/officeDocument/2006/relationships/image" Target="../media/image3904.jpeg"/><Relationship Id="rId4099" Type="http://schemas.openxmlformats.org/officeDocument/2006/relationships/image" Target="../media/image4099.jpeg"/><Relationship Id="rId94" Type="http://schemas.openxmlformats.org/officeDocument/2006/relationships/image" Target="../media/image94.jpeg"/><Relationship Id="rId520" Type="http://schemas.openxmlformats.org/officeDocument/2006/relationships/image" Target="../media/image520.jpeg"/><Relationship Id="rId618" Type="http://schemas.openxmlformats.org/officeDocument/2006/relationships/image" Target="../media/image618.jpeg"/><Relationship Id="rId825" Type="http://schemas.openxmlformats.org/officeDocument/2006/relationships/image" Target="../media/image825.jpeg"/><Relationship Id="rId1248" Type="http://schemas.openxmlformats.org/officeDocument/2006/relationships/image" Target="../media/image1248.jpeg"/><Relationship Id="rId1455" Type="http://schemas.openxmlformats.org/officeDocument/2006/relationships/image" Target="../media/image1455.jpeg"/><Relationship Id="rId1662" Type="http://schemas.openxmlformats.org/officeDocument/2006/relationships/image" Target="../media/image1662.jpeg"/><Relationship Id="rId2201" Type="http://schemas.openxmlformats.org/officeDocument/2006/relationships/image" Target="../media/image2201.jpeg"/><Relationship Id="rId2506" Type="http://schemas.openxmlformats.org/officeDocument/2006/relationships/image" Target="../media/image2506.jpeg"/><Relationship Id="rId1010" Type="http://schemas.openxmlformats.org/officeDocument/2006/relationships/image" Target="../media/image1010.jpeg"/><Relationship Id="rId1108" Type="http://schemas.openxmlformats.org/officeDocument/2006/relationships/image" Target="../media/image1108.jpeg"/><Relationship Id="rId1315" Type="http://schemas.openxmlformats.org/officeDocument/2006/relationships/image" Target="../media/image1315.jpeg"/><Relationship Id="rId1967" Type="http://schemas.openxmlformats.org/officeDocument/2006/relationships/image" Target="../media/image1967.jpeg"/><Relationship Id="rId2713" Type="http://schemas.openxmlformats.org/officeDocument/2006/relationships/image" Target="../media/image2713.jpeg"/><Relationship Id="rId2920" Type="http://schemas.openxmlformats.org/officeDocument/2006/relationships/image" Target="../media/image2920.jpeg"/><Relationship Id="rId4166" Type="http://schemas.openxmlformats.org/officeDocument/2006/relationships/image" Target="../media/image4166.jpeg"/><Relationship Id="rId4373" Type="http://schemas.openxmlformats.org/officeDocument/2006/relationships/image" Target="../media/image4373.jpeg"/><Relationship Id="rId4580" Type="http://schemas.openxmlformats.org/officeDocument/2006/relationships/image" Target="../media/image4580.jpeg"/><Relationship Id="rId4678" Type="http://schemas.openxmlformats.org/officeDocument/2006/relationships/image" Target="../media/image4678.jpeg"/><Relationship Id="rId1522" Type="http://schemas.openxmlformats.org/officeDocument/2006/relationships/image" Target="../media/image1522.jpeg"/><Relationship Id="rId4885" Type="http://schemas.openxmlformats.org/officeDocument/2006/relationships/image" Target="../media/image4885.jpeg"/><Relationship Id="rId21" Type="http://schemas.openxmlformats.org/officeDocument/2006/relationships/image" Target="../media/image21.jpeg"/><Relationship Id="rId2089" Type="http://schemas.openxmlformats.org/officeDocument/2006/relationships/image" Target="../media/image2089.jpeg"/><Relationship Id="rId3487" Type="http://schemas.openxmlformats.org/officeDocument/2006/relationships/image" Target="../media/image3487.jpeg"/><Relationship Id="rId3694" Type="http://schemas.openxmlformats.org/officeDocument/2006/relationships/image" Target="../media/image3694.jpeg"/><Relationship Id="rId4538" Type="http://schemas.openxmlformats.org/officeDocument/2006/relationships/image" Target="../media/image4538.jpeg"/><Relationship Id="rId4745" Type="http://schemas.openxmlformats.org/officeDocument/2006/relationships/image" Target="../media/image4745.jpeg"/><Relationship Id="rId4952" Type="http://schemas.openxmlformats.org/officeDocument/2006/relationships/image" Target="../media/image4952.jpeg"/><Relationship Id="rId2296" Type="http://schemas.openxmlformats.org/officeDocument/2006/relationships/image" Target="../media/image2296.jpeg"/><Relationship Id="rId3347" Type="http://schemas.openxmlformats.org/officeDocument/2006/relationships/image" Target="../media/image3347.jpeg"/><Relationship Id="rId3554" Type="http://schemas.openxmlformats.org/officeDocument/2006/relationships/image" Target="../media/image3554.jpeg"/><Relationship Id="rId3761" Type="http://schemas.openxmlformats.org/officeDocument/2006/relationships/image" Target="../media/image3761.jpeg"/><Relationship Id="rId4605" Type="http://schemas.openxmlformats.org/officeDocument/2006/relationships/image" Target="../media/image4605.jpeg"/><Relationship Id="rId4812" Type="http://schemas.openxmlformats.org/officeDocument/2006/relationships/image" Target="../media/image4812.jpeg"/><Relationship Id="rId268" Type="http://schemas.openxmlformats.org/officeDocument/2006/relationships/image" Target="../media/image268.jpeg"/><Relationship Id="rId475" Type="http://schemas.openxmlformats.org/officeDocument/2006/relationships/image" Target="../media/image475.jpeg"/><Relationship Id="rId682" Type="http://schemas.openxmlformats.org/officeDocument/2006/relationships/image" Target="../media/image682.jpeg"/><Relationship Id="rId2156" Type="http://schemas.openxmlformats.org/officeDocument/2006/relationships/image" Target="../media/image2156.jpeg"/><Relationship Id="rId2363" Type="http://schemas.openxmlformats.org/officeDocument/2006/relationships/image" Target="../media/image2363.jpeg"/><Relationship Id="rId2570" Type="http://schemas.openxmlformats.org/officeDocument/2006/relationships/image" Target="../media/image2570.jpeg"/><Relationship Id="rId3207" Type="http://schemas.openxmlformats.org/officeDocument/2006/relationships/image" Target="../media/image3207.jpeg"/><Relationship Id="rId3414" Type="http://schemas.openxmlformats.org/officeDocument/2006/relationships/image" Target="../media/image3414.jpeg"/><Relationship Id="rId3621" Type="http://schemas.openxmlformats.org/officeDocument/2006/relationships/image" Target="../media/image3621.jpeg"/><Relationship Id="rId128" Type="http://schemas.openxmlformats.org/officeDocument/2006/relationships/image" Target="../media/image128.jpeg"/><Relationship Id="rId335" Type="http://schemas.openxmlformats.org/officeDocument/2006/relationships/image" Target="../media/image335.jpeg"/><Relationship Id="rId542" Type="http://schemas.openxmlformats.org/officeDocument/2006/relationships/image" Target="../media/image542.jpeg"/><Relationship Id="rId1172" Type="http://schemas.openxmlformats.org/officeDocument/2006/relationships/image" Target="../media/image1172.jpeg"/><Relationship Id="rId2016" Type="http://schemas.openxmlformats.org/officeDocument/2006/relationships/image" Target="../media/image2016.jpeg"/><Relationship Id="rId2223" Type="http://schemas.openxmlformats.org/officeDocument/2006/relationships/image" Target="../media/image2223.jpeg"/><Relationship Id="rId2430" Type="http://schemas.openxmlformats.org/officeDocument/2006/relationships/image" Target="../media/image2430.jpeg"/><Relationship Id="rId402" Type="http://schemas.openxmlformats.org/officeDocument/2006/relationships/image" Target="../media/image402.jpeg"/><Relationship Id="rId1032" Type="http://schemas.openxmlformats.org/officeDocument/2006/relationships/image" Target="../media/image1032.jpeg"/><Relationship Id="rId4188" Type="http://schemas.openxmlformats.org/officeDocument/2006/relationships/image" Target="../media/image4188.jpeg"/><Relationship Id="rId4395" Type="http://schemas.openxmlformats.org/officeDocument/2006/relationships/image" Target="../media/image4395.jpeg"/><Relationship Id="rId1989" Type="http://schemas.openxmlformats.org/officeDocument/2006/relationships/image" Target="../media/image1989.jpeg"/><Relationship Id="rId4048" Type="http://schemas.openxmlformats.org/officeDocument/2006/relationships/image" Target="../media/image4048.jpeg"/><Relationship Id="rId4255" Type="http://schemas.openxmlformats.org/officeDocument/2006/relationships/image" Target="../media/image4255.jpeg"/><Relationship Id="rId1849" Type="http://schemas.openxmlformats.org/officeDocument/2006/relationships/image" Target="../media/image1849.jpeg"/><Relationship Id="rId3064" Type="http://schemas.openxmlformats.org/officeDocument/2006/relationships/image" Target="../media/image3064.jpeg"/><Relationship Id="rId4462" Type="http://schemas.openxmlformats.org/officeDocument/2006/relationships/image" Target="../media/image4462.jpeg"/><Relationship Id="rId192" Type="http://schemas.openxmlformats.org/officeDocument/2006/relationships/image" Target="../media/image192.jpeg"/><Relationship Id="rId1709" Type="http://schemas.openxmlformats.org/officeDocument/2006/relationships/image" Target="../media/image1709.jpeg"/><Relationship Id="rId1916" Type="http://schemas.openxmlformats.org/officeDocument/2006/relationships/image" Target="../media/image1916.jpeg"/><Relationship Id="rId3271" Type="http://schemas.openxmlformats.org/officeDocument/2006/relationships/image" Target="../media/image3271.jpeg"/><Relationship Id="rId4115" Type="http://schemas.openxmlformats.org/officeDocument/2006/relationships/image" Target="../media/image4115.jpeg"/><Relationship Id="rId4322" Type="http://schemas.openxmlformats.org/officeDocument/2006/relationships/image" Target="../media/image4322.jpeg"/><Relationship Id="rId2080" Type="http://schemas.openxmlformats.org/officeDocument/2006/relationships/image" Target="../media/image2080.jpeg"/><Relationship Id="rId3131" Type="http://schemas.openxmlformats.org/officeDocument/2006/relationships/image" Target="../media/image3131.jpeg"/><Relationship Id="rId2897" Type="http://schemas.openxmlformats.org/officeDocument/2006/relationships/image" Target="../media/image2897.jpeg"/><Relationship Id="rId3948" Type="http://schemas.openxmlformats.org/officeDocument/2006/relationships/image" Target="../media/image3948.jpeg"/><Relationship Id="rId869" Type="http://schemas.openxmlformats.org/officeDocument/2006/relationships/image" Target="../media/image869.jpeg"/><Relationship Id="rId1499" Type="http://schemas.openxmlformats.org/officeDocument/2006/relationships/image" Target="../media/image1499.jpeg"/><Relationship Id="rId729" Type="http://schemas.openxmlformats.org/officeDocument/2006/relationships/image" Target="../media/image729.jpeg"/><Relationship Id="rId1359" Type="http://schemas.openxmlformats.org/officeDocument/2006/relationships/image" Target="../media/image1359.jpeg"/><Relationship Id="rId2757" Type="http://schemas.openxmlformats.org/officeDocument/2006/relationships/image" Target="../media/image2757.jpeg"/><Relationship Id="rId2964" Type="http://schemas.openxmlformats.org/officeDocument/2006/relationships/image" Target="../media/image2964.jpeg"/><Relationship Id="rId3808" Type="http://schemas.openxmlformats.org/officeDocument/2006/relationships/image" Target="../media/image3808.jpeg"/><Relationship Id="rId936" Type="http://schemas.openxmlformats.org/officeDocument/2006/relationships/image" Target="../media/image936.jpeg"/><Relationship Id="rId1219" Type="http://schemas.openxmlformats.org/officeDocument/2006/relationships/image" Target="../media/image1219.jpeg"/><Relationship Id="rId1566" Type="http://schemas.openxmlformats.org/officeDocument/2006/relationships/image" Target="../media/image1566.jpeg"/><Relationship Id="rId1773" Type="http://schemas.openxmlformats.org/officeDocument/2006/relationships/image" Target="../media/image1773.jpeg"/><Relationship Id="rId1980" Type="http://schemas.openxmlformats.org/officeDocument/2006/relationships/image" Target="../media/image1980.jpeg"/><Relationship Id="rId2617" Type="http://schemas.openxmlformats.org/officeDocument/2006/relationships/image" Target="../media/image2617.jpeg"/><Relationship Id="rId2824" Type="http://schemas.openxmlformats.org/officeDocument/2006/relationships/image" Target="../media/image2824.jpeg"/><Relationship Id="rId65" Type="http://schemas.openxmlformats.org/officeDocument/2006/relationships/image" Target="../media/image65.jpeg"/><Relationship Id="rId1426" Type="http://schemas.openxmlformats.org/officeDocument/2006/relationships/image" Target="../media/image1426.jpeg"/><Relationship Id="rId1633" Type="http://schemas.openxmlformats.org/officeDocument/2006/relationships/image" Target="../media/image1633.jpeg"/><Relationship Id="rId1840" Type="http://schemas.openxmlformats.org/officeDocument/2006/relationships/image" Target="../media/image1840.jpeg"/><Relationship Id="rId4789" Type="http://schemas.openxmlformats.org/officeDocument/2006/relationships/image" Target="../media/image4789.jpeg"/><Relationship Id="rId1700" Type="http://schemas.openxmlformats.org/officeDocument/2006/relationships/image" Target="../media/image1700.jpeg"/><Relationship Id="rId3598" Type="http://schemas.openxmlformats.org/officeDocument/2006/relationships/image" Target="../media/image3598.jpeg"/><Relationship Id="rId4649" Type="http://schemas.openxmlformats.org/officeDocument/2006/relationships/image" Target="../media/image4649.jpeg"/><Relationship Id="rId4856" Type="http://schemas.openxmlformats.org/officeDocument/2006/relationships/image" Target="../media/image4856.jpeg"/><Relationship Id="rId3458" Type="http://schemas.openxmlformats.org/officeDocument/2006/relationships/image" Target="../media/image3458.jpeg"/><Relationship Id="rId3665" Type="http://schemas.openxmlformats.org/officeDocument/2006/relationships/image" Target="../media/image3665.jpeg"/><Relationship Id="rId3872" Type="http://schemas.openxmlformats.org/officeDocument/2006/relationships/image" Target="../media/image3872.jpeg"/><Relationship Id="rId4509" Type="http://schemas.openxmlformats.org/officeDocument/2006/relationships/image" Target="../media/image4509.jpeg"/><Relationship Id="rId4716" Type="http://schemas.openxmlformats.org/officeDocument/2006/relationships/image" Target="../media/image4716.jpeg"/><Relationship Id="rId379" Type="http://schemas.openxmlformats.org/officeDocument/2006/relationships/image" Target="../media/image379.jpeg"/><Relationship Id="rId586" Type="http://schemas.openxmlformats.org/officeDocument/2006/relationships/image" Target="../media/image586.jpeg"/><Relationship Id="rId793" Type="http://schemas.openxmlformats.org/officeDocument/2006/relationships/image" Target="../media/image793.jpeg"/><Relationship Id="rId2267" Type="http://schemas.openxmlformats.org/officeDocument/2006/relationships/image" Target="../media/image2267.jpeg"/><Relationship Id="rId2474" Type="http://schemas.openxmlformats.org/officeDocument/2006/relationships/image" Target="../media/image2474.jpeg"/><Relationship Id="rId2681" Type="http://schemas.openxmlformats.org/officeDocument/2006/relationships/image" Target="../media/image2681.jpeg"/><Relationship Id="rId3318" Type="http://schemas.openxmlformats.org/officeDocument/2006/relationships/image" Target="../media/image3318.jpeg"/><Relationship Id="rId3525" Type="http://schemas.openxmlformats.org/officeDocument/2006/relationships/image" Target="../media/image3525.jpeg"/><Relationship Id="rId4923" Type="http://schemas.openxmlformats.org/officeDocument/2006/relationships/image" Target="../media/image4923.jpeg"/><Relationship Id="rId239" Type="http://schemas.openxmlformats.org/officeDocument/2006/relationships/image" Target="../media/image239.jpeg"/><Relationship Id="rId446" Type="http://schemas.openxmlformats.org/officeDocument/2006/relationships/image" Target="../media/image446.jpeg"/><Relationship Id="rId653" Type="http://schemas.openxmlformats.org/officeDocument/2006/relationships/image" Target="../media/image653.jpeg"/><Relationship Id="rId1076" Type="http://schemas.openxmlformats.org/officeDocument/2006/relationships/image" Target="../media/image1076.jpeg"/><Relationship Id="rId1283" Type="http://schemas.openxmlformats.org/officeDocument/2006/relationships/image" Target="../media/image1283.jpeg"/><Relationship Id="rId1490" Type="http://schemas.openxmlformats.org/officeDocument/2006/relationships/image" Target="../media/image1490.jpeg"/><Relationship Id="rId2127" Type="http://schemas.openxmlformats.org/officeDocument/2006/relationships/image" Target="../media/image2127.jpeg"/><Relationship Id="rId2334" Type="http://schemas.openxmlformats.org/officeDocument/2006/relationships/image" Target="../media/image2334.jpeg"/><Relationship Id="rId3732" Type="http://schemas.openxmlformats.org/officeDocument/2006/relationships/image" Target="../media/image3732.jpeg"/><Relationship Id="rId306" Type="http://schemas.openxmlformats.org/officeDocument/2006/relationships/image" Target="../media/image306.jpeg"/><Relationship Id="rId860" Type="http://schemas.openxmlformats.org/officeDocument/2006/relationships/image" Target="../media/image860.jpeg"/><Relationship Id="rId1143" Type="http://schemas.openxmlformats.org/officeDocument/2006/relationships/image" Target="../media/image1143.jpeg"/><Relationship Id="rId2541" Type="http://schemas.openxmlformats.org/officeDocument/2006/relationships/image" Target="../media/image2541.jpeg"/><Relationship Id="rId4299" Type="http://schemas.openxmlformats.org/officeDocument/2006/relationships/image" Target="../media/image4299.jpeg"/><Relationship Id="rId513" Type="http://schemas.openxmlformats.org/officeDocument/2006/relationships/image" Target="../media/image513.jpeg"/><Relationship Id="rId720" Type="http://schemas.openxmlformats.org/officeDocument/2006/relationships/image" Target="../media/image720.jpeg"/><Relationship Id="rId1350" Type="http://schemas.openxmlformats.org/officeDocument/2006/relationships/image" Target="../media/image1350.jpeg"/><Relationship Id="rId2401" Type="http://schemas.openxmlformats.org/officeDocument/2006/relationships/image" Target="../media/image2401.jpeg"/><Relationship Id="rId4159" Type="http://schemas.openxmlformats.org/officeDocument/2006/relationships/image" Target="../media/image4159.jpeg"/><Relationship Id="rId1003" Type="http://schemas.openxmlformats.org/officeDocument/2006/relationships/image" Target="../media/image1003.jpeg"/><Relationship Id="rId1210" Type="http://schemas.openxmlformats.org/officeDocument/2006/relationships/image" Target="../media/image1210.jpeg"/><Relationship Id="rId4366" Type="http://schemas.openxmlformats.org/officeDocument/2006/relationships/image" Target="../media/image4366.jpeg"/><Relationship Id="rId4573" Type="http://schemas.openxmlformats.org/officeDocument/2006/relationships/image" Target="../media/image4573.jpeg"/><Relationship Id="rId4780" Type="http://schemas.openxmlformats.org/officeDocument/2006/relationships/image" Target="../media/image4780.jpeg"/><Relationship Id="rId3175" Type="http://schemas.openxmlformats.org/officeDocument/2006/relationships/image" Target="../media/image3175.jpeg"/><Relationship Id="rId3382" Type="http://schemas.openxmlformats.org/officeDocument/2006/relationships/image" Target="../media/image3382.jpeg"/><Relationship Id="rId4019" Type="http://schemas.openxmlformats.org/officeDocument/2006/relationships/image" Target="../media/image4019.jpeg"/><Relationship Id="rId4226" Type="http://schemas.openxmlformats.org/officeDocument/2006/relationships/image" Target="../media/image4226.jpeg"/><Relationship Id="rId4433" Type="http://schemas.openxmlformats.org/officeDocument/2006/relationships/image" Target="../media/image4433.jpeg"/><Relationship Id="rId4640" Type="http://schemas.openxmlformats.org/officeDocument/2006/relationships/image" Target="../media/image4640.jpeg"/><Relationship Id="rId2191" Type="http://schemas.openxmlformats.org/officeDocument/2006/relationships/image" Target="../media/image2191.jpeg"/><Relationship Id="rId3035" Type="http://schemas.openxmlformats.org/officeDocument/2006/relationships/image" Target="../media/image3035.jpeg"/><Relationship Id="rId3242" Type="http://schemas.openxmlformats.org/officeDocument/2006/relationships/image" Target="../media/image3242.jpeg"/><Relationship Id="rId4500" Type="http://schemas.openxmlformats.org/officeDocument/2006/relationships/image" Target="../media/image4500.jpeg"/><Relationship Id="rId163" Type="http://schemas.openxmlformats.org/officeDocument/2006/relationships/image" Target="../media/image163.jpeg"/><Relationship Id="rId370" Type="http://schemas.openxmlformats.org/officeDocument/2006/relationships/image" Target="../media/image370.jpeg"/><Relationship Id="rId2051" Type="http://schemas.openxmlformats.org/officeDocument/2006/relationships/image" Target="../media/image2051.jpeg"/><Relationship Id="rId3102" Type="http://schemas.openxmlformats.org/officeDocument/2006/relationships/image" Target="../media/image3102.jpeg"/><Relationship Id="rId230" Type="http://schemas.openxmlformats.org/officeDocument/2006/relationships/image" Target="../media/image230.jpeg"/><Relationship Id="rId2868" Type="http://schemas.openxmlformats.org/officeDocument/2006/relationships/image" Target="../media/image2868.jpeg"/><Relationship Id="rId3919" Type="http://schemas.openxmlformats.org/officeDocument/2006/relationships/image" Target="../media/image3919.jpeg"/><Relationship Id="rId4083" Type="http://schemas.openxmlformats.org/officeDocument/2006/relationships/image" Target="../media/image4083.jpeg"/><Relationship Id="rId1677" Type="http://schemas.openxmlformats.org/officeDocument/2006/relationships/image" Target="../media/image1677.jpeg"/><Relationship Id="rId1884" Type="http://schemas.openxmlformats.org/officeDocument/2006/relationships/image" Target="../media/image1884.jpeg"/><Relationship Id="rId2728" Type="http://schemas.openxmlformats.org/officeDocument/2006/relationships/image" Target="../media/image2728.jpeg"/><Relationship Id="rId2935" Type="http://schemas.openxmlformats.org/officeDocument/2006/relationships/image" Target="../media/image2935.jpeg"/><Relationship Id="rId4290" Type="http://schemas.openxmlformats.org/officeDocument/2006/relationships/image" Target="../media/image4290.jpeg"/><Relationship Id="rId907" Type="http://schemas.openxmlformats.org/officeDocument/2006/relationships/image" Target="../media/image907.jpeg"/><Relationship Id="rId1537" Type="http://schemas.openxmlformats.org/officeDocument/2006/relationships/image" Target="../media/image1537.jpeg"/><Relationship Id="rId1744" Type="http://schemas.openxmlformats.org/officeDocument/2006/relationships/image" Target="../media/image1744.jpeg"/><Relationship Id="rId1951" Type="http://schemas.openxmlformats.org/officeDocument/2006/relationships/image" Target="../media/image1951.jpeg"/><Relationship Id="rId4150" Type="http://schemas.openxmlformats.org/officeDocument/2006/relationships/image" Target="../media/image4150.jpeg"/><Relationship Id="rId36" Type="http://schemas.openxmlformats.org/officeDocument/2006/relationships/image" Target="../media/image36.jpeg"/><Relationship Id="rId1604" Type="http://schemas.openxmlformats.org/officeDocument/2006/relationships/image" Target="../media/image1604.jpeg"/><Relationship Id="rId4010" Type="http://schemas.openxmlformats.org/officeDocument/2006/relationships/image" Target="../media/image4010.jpeg"/><Relationship Id="rId4967" Type="http://schemas.openxmlformats.org/officeDocument/2006/relationships/image" Target="../media/image4967.jpeg"/><Relationship Id="rId1811" Type="http://schemas.openxmlformats.org/officeDocument/2006/relationships/image" Target="../media/image1811.jpeg"/><Relationship Id="rId3569" Type="http://schemas.openxmlformats.org/officeDocument/2006/relationships/image" Target="../media/image3569.jpeg"/><Relationship Id="rId697" Type="http://schemas.openxmlformats.org/officeDocument/2006/relationships/image" Target="../media/image697.jpeg"/><Relationship Id="rId2378" Type="http://schemas.openxmlformats.org/officeDocument/2006/relationships/image" Target="../media/image2378.jpeg"/><Relationship Id="rId3429" Type="http://schemas.openxmlformats.org/officeDocument/2006/relationships/image" Target="../media/image3429.jpeg"/><Relationship Id="rId3776" Type="http://schemas.openxmlformats.org/officeDocument/2006/relationships/image" Target="../media/image3776.jpeg"/><Relationship Id="rId3983" Type="http://schemas.openxmlformats.org/officeDocument/2006/relationships/image" Target="../media/image3983.jpeg"/><Relationship Id="rId4827" Type="http://schemas.openxmlformats.org/officeDocument/2006/relationships/image" Target="../media/image4827.jpeg"/><Relationship Id="rId1187" Type="http://schemas.openxmlformats.org/officeDocument/2006/relationships/image" Target="../media/image1187.jpeg"/><Relationship Id="rId2585" Type="http://schemas.openxmlformats.org/officeDocument/2006/relationships/image" Target="../media/image2585.jpeg"/><Relationship Id="rId2792" Type="http://schemas.openxmlformats.org/officeDocument/2006/relationships/image" Target="../media/image2792.jpeg"/><Relationship Id="rId3636" Type="http://schemas.openxmlformats.org/officeDocument/2006/relationships/image" Target="../media/image3636.jpeg"/><Relationship Id="rId3843" Type="http://schemas.openxmlformats.org/officeDocument/2006/relationships/image" Target="../media/image3843.jpeg"/><Relationship Id="rId557" Type="http://schemas.openxmlformats.org/officeDocument/2006/relationships/image" Target="../media/image557.jpeg"/><Relationship Id="rId764" Type="http://schemas.openxmlformats.org/officeDocument/2006/relationships/image" Target="../media/image764.jpeg"/><Relationship Id="rId971" Type="http://schemas.openxmlformats.org/officeDocument/2006/relationships/image" Target="../media/image971.jpeg"/><Relationship Id="rId1394" Type="http://schemas.openxmlformats.org/officeDocument/2006/relationships/image" Target="../media/image1394.jpeg"/><Relationship Id="rId2238" Type="http://schemas.openxmlformats.org/officeDocument/2006/relationships/image" Target="../media/image2238.jpeg"/><Relationship Id="rId2445" Type="http://schemas.openxmlformats.org/officeDocument/2006/relationships/image" Target="../media/image2445.jpeg"/><Relationship Id="rId2652" Type="http://schemas.openxmlformats.org/officeDocument/2006/relationships/image" Target="../media/image2652.jpeg"/><Relationship Id="rId3703" Type="http://schemas.openxmlformats.org/officeDocument/2006/relationships/image" Target="../media/image3703.jpeg"/><Relationship Id="rId3910" Type="http://schemas.openxmlformats.org/officeDocument/2006/relationships/image" Target="../media/image3910.jpeg"/><Relationship Id="rId417" Type="http://schemas.openxmlformats.org/officeDocument/2006/relationships/image" Target="../media/image417.jpeg"/><Relationship Id="rId624" Type="http://schemas.openxmlformats.org/officeDocument/2006/relationships/image" Target="../media/image624.jpeg"/><Relationship Id="rId831" Type="http://schemas.openxmlformats.org/officeDocument/2006/relationships/image" Target="../media/image831.jpeg"/><Relationship Id="rId1047" Type="http://schemas.openxmlformats.org/officeDocument/2006/relationships/image" Target="../media/image1047.jpeg"/><Relationship Id="rId1254" Type="http://schemas.openxmlformats.org/officeDocument/2006/relationships/image" Target="../media/image1254.jpeg"/><Relationship Id="rId1461" Type="http://schemas.openxmlformats.org/officeDocument/2006/relationships/image" Target="../media/image1461.jpeg"/><Relationship Id="rId2305" Type="http://schemas.openxmlformats.org/officeDocument/2006/relationships/image" Target="../media/image2305.jpeg"/><Relationship Id="rId2512" Type="http://schemas.openxmlformats.org/officeDocument/2006/relationships/image" Target="../media/image2512.jpeg"/><Relationship Id="rId1114" Type="http://schemas.openxmlformats.org/officeDocument/2006/relationships/image" Target="../media/image1114.jpeg"/><Relationship Id="rId1321" Type="http://schemas.openxmlformats.org/officeDocument/2006/relationships/image" Target="../media/image1321.jpeg"/><Relationship Id="rId4477" Type="http://schemas.openxmlformats.org/officeDocument/2006/relationships/image" Target="../media/image4477.jpeg"/><Relationship Id="rId4684" Type="http://schemas.openxmlformats.org/officeDocument/2006/relationships/image" Target="../media/image4684.jpeg"/><Relationship Id="rId4891" Type="http://schemas.openxmlformats.org/officeDocument/2006/relationships/image" Target="../media/image4891.jpeg"/><Relationship Id="rId3079" Type="http://schemas.openxmlformats.org/officeDocument/2006/relationships/image" Target="../media/image3079.jpeg"/><Relationship Id="rId3286" Type="http://schemas.openxmlformats.org/officeDocument/2006/relationships/image" Target="../media/image3286.jpeg"/><Relationship Id="rId3493" Type="http://schemas.openxmlformats.org/officeDocument/2006/relationships/image" Target="../media/image3493.jpeg"/><Relationship Id="rId4337" Type="http://schemas.openxmlformats.org/officeDocument/2006/relationships/image" Target="../media/image4337.jpeg"/><Relationship Id="rId4544" Type="http://schemas.openxmlformats.org/officeDocument/2006/relationships/image" Target="../media/image4544.jpeg"/><Relationship Id="rId2095" Type="http://schemas.openxmlformats.org/officeDocument/2006/relationships/image" Target="../media/image2095.jpeg"/><Relationship Id="rId3146" Type="http://schemas.openxmlformats.org/officeDocument/2006/relationships/image" Target="../media/image3146.jpeg"/><Relationship Id="rId3353" Type="http://schemas.openxmlformats.org/officeDocument/2006/relationships/image" Target="../media/image3353.jpeg"/><Relationship Id="rId4751" Type="http://schemas.openxmlformats.org/officeDocument/2006/relationships/image" Target="../media/image4751.jpeg"/><Relationship Id="rId274" Type="http://schemas.openxmlformats.org/officeDocument/2006/relationships/image" Target="../media/image274.jpeg"/><Relationship Id="rId481" Type="http://schemas.openxmlformats.org/officeDocument/2006/relationships/image" Target="../media/image481.jpeg"/><Relationship Id="rId2162" Type="http://schemas.openxmlformats.org/officeDocument/2006/relationships/image" Target="../media/image2162.jpeg"/><Relationship Id="rId3006" Type="http://schemas.openxmlformats.org/officeDocument/2006/relationships/image" Target="../media/image3006.jpeg"/><Relationship Id="rId3560" Type="http://schemas.openxmlformats.org/officeDocument/2006/relationships/image" Target="../media/image3560.jpeg"/><Relationship Id="rId4404" Type="http://schemas.openxmlformats.org/officeDocument/2006/relationships/image" Target="../media/image4404.jpeg"/><Relationship Id="rId4611" Type="http://schemas.openxmlformats.org/officeDocument/2006/relationships/image" Target="../media/image4611.jpeg"/><Relationship Id="rId134" Type="http://schemas.openxmlformats.org/officeDocument/2006/relationships/image" Target="../media/image134.jpeg"/><Relationship Id="rId3213" Type="http://schemas.openxmlformats.org/officeDocument/2006/relationships/image" Target="../media/image3213.jpeg"/><Relationship Id="rId3420" Type="http://schemas.openxmlformats.org/officeDocument/2006/relationships/image" Target="../media/image3420.jpeg"/><Relationship Id="rId341" Type="http://schemas.openxmlformats.org/officeDocument/2006/relationships/image" Target="../media/image341.jpeg"/><Relationship Id="rId2022" Type="http://schemas.openxmlformats.org/officeDocument/2006/relationships/image" Target="../media/image2022.jpeg"/><Relationship Id="rId2979" Type="http://schemas.openxmlformats.org/officeDocument/2006/relationships/image" Target="../media/image2979.jpeg"/><Relationship Id="rId201" Type="http://schemas.openxmlformats.org/officeDocument/2006/relationships/image" Target="../media/image201.jpeg"/><Relationship Id="rId1788" Type="http://schemas.openxmlformats.org/officeDocument/2006/relationships/image" Target="../media/image1788.jpeg"/><Relationship Id="rId1995" Type="http://schemas.openxmlformats.org/officeDocument/2006/relationships/image" Target="../media/image1995.jpeg"/><Relationship Id="rId2839" Type="http://schemas.openxmlformats.org/officeDocument/2006/relationships/image" Target="../media/image2839.jpeg"/><Relationship Id="rId4194" Type="http://schemas.openxmlformats.org/officeDocument/2006/relationships/image" Target="../media/image4194.jpeg"/><Relationship Id="rId1648" Type="http://schemas.openxmlformats.org/officeDocument/2006/relationships/image" Target="../media/image1648.jpeg"/><Relationship Id="rId4054" Type="http://schemas.openxmlformats.org/officeDocument/2006/relationships/image" Target="../media/image4054.jpeg"/><Relationship Id="rId4261" Type="http://schemas.openxmlformats.org/officeDocument/2006/relationships/image" Target="../media/image4261.jpeg"/><Relationship Id="rId1508" Type="http://schemas.openxmlformats.org/officeDocument/2006/relationships/image" Target="../media/image1508.jpeg"/><Relationship Id="rId1855" Type="http://schemas.openxmlformats.org/officeDocument/2006/relationships/image" Target="../media/image1855.jpeg"/><Relationship Id="rId2906" Type="http://schemas.openxmlformats.org/officeDocument/2006/relationships/image" Target="../media/image2906.jpeg"/><Relationship Id="rId3070" Type="http://schemas.openxmlformats.org/officeDocument/2006/relationships/image" Target="../media/image3070.jpeg"/><Relationship Id="rId4121" Type="http://schemas.openxmlformats.org/officeDocument/2006/relationships/image" Target="../media/image4121.jpeg"/><Relationship Id="rId1715" Type="http://schemas.openxmlformats.org/officeDocument/2006/relationships/image" Target="../media/image1715.jpeg"/><Relationship Id="rId1922" Type="http://schemas.openxmlformats.org/officeDocument/2006/relationships/image" Target="../media/image1922.jpeg"/><Relationship Id="rId3887" Type="http://schemas.openxmlformats.org/officeDocument/2006/relationships/image" Target="../media/image3887.jpeg"/><Relationship Id="rId4938" Type="http://schemas.openxmlformats.org/officeDocument/2006/relationships/image" Target="../media/image4938.jpeg"/><Relationship Id="rId2489" Type="http://schemas.openxmlformats.org/officeDocument/2006/relationships/image" Target="../media/image2489.jpeg"/><Relationship Id="rId2696" Type="http://schemas.openxmlformats.org/officeDocument/2006/relationships/image" Target="../media/image2696.jpeg"/><Relationship Id="rId3747" Type="http://schemas.openxmlformats.org/officeDocument/2006/relationships/image" Target="../media/image3747.jpeg"/><Relationship Id="rId3954" Type="http://schemas.openxmlformats.org/officeDocument/2006/relationships/image" Target="../media/image3954.jpeg"/><Relationship Id="rId668" Type="http://schemas.openxmlformats.org/officeDocument/2006/relationships/image" Target="../media/image668.jpeg"/><Relationship Id="rId875" Type="http://schemas.openxmlformats.org/officeDocument/2006/relationships/image" Target="../media/image875.jpeg"/><Relationship Id="rId1298" Type="http://schemas.openxmlformats.org/officeDocument/2006/relationships/image" Target="../media/image1298.jpeg"/><Relationship Id="rId2349" Type="http://schemas.openxmlformats.org/officeDocument/2006/relationships/image" Target="../media/image2349.jpeg"/><Relationship Id="rId2556" Type="http://schemas.openxmlformats.org/officeDocument/2006/relationships/image" Target="../media/image2556.jpeg"/><Relationship Id="rId2763" Type="http://schemas.openxmlformats.org/officeDocument/2006/relationships/image" Target="../media/image2763.jpeg"/><Relationship Id="rId2970" Type="http://schemas.openxmlformats.org/officeDocument/2006/relationships/image" Target="../media/image2970.jpeg"/><Relationship Id="rId3607" Type="http://schemas.openxmlformats.org/officeDocument/2006/relationships/image" Target="../media/image3607.jpeg"/><Relationship Id="rId3814" Type="http://schemas.openxmlformats.org/officeDocument/2006/relationships/image" Target="../media/image3814.jpeg"/><Relationship Id="rId528" Type="http://schemas.openxmlformats.org/officeDocument/2006/relationships/image" Target="../media/image528.jpeg"/><Relationship Id="rId735" Type="http://schemas.openxmlformats.org/officeDocument/2006/relationships/image" Target="../media/image735.jpeg"/><Relationship Id="rId942" Type="http://schemas.openxmlformats.org/officeDocument/2006/relationships/image" Target="../media/image942.jpeg"/><Relationship Id="rId1158" Type="http://schemas.openxmlformats.org/officeDocument/2006/relationships/image" Target="../media/image1158.jpeg"/><Relationship Id="rId1365" Type="http://schemas.openxmlformats.org/officeDocument/2006/relationships/image" Target="../media/image1365.jpeg"/><Relationship Id="rId1572" Type="http://schemas.openxmlformats.org/officeDocument/2006/relationships/image" Target="../media/image1572.jpeg"/><Relationship Id="rId2209" Type="http://schemas.openxmlformats.org/officeDocument/2006/relationships/image" Target="../media/image2209.jpeg"/><Relationship Id="rId2416" Type="http://schemas.openxmlformats.org/officeDocument/2006/relationships/image" Target="../media/image2416.jpeg"/><Relationship Id="rId2623" Type="http://schemas.openxmlformats.org/officeDocument/2006/relationships/image" Target="../media/image2623.jpeg"/><Relationship Id="rId1018" Type="http://schemas.openxmlformats.org/officeDocument/2006/relationships/image" Target="../media/image1018.jpeg"/><Relationship Id="rId1225" Type="http://schemas.openxmlformats.org/officeDocument/2006/relationships/image" Target="../media/image1225.jpeg"/><Relationship Id="rId1432" Type="http://schemas.openxmlformats.org/officeDocument/2006/relationships/image" Target="../media/image1432.jpeg"/><Relationship Id="rId2830" Type="http://schemas.openxmlformats.org/officeDocument/2006/relationships/image" Target="../media/image2830.jpeg"/><Relationship Id="rId4588" Type="http://schemas.openxmlformats.org/officeDocument/2006/relationships/image" Target="../media/image4588.jpeg"/><Relationship Id="rId71" Type="http://schemas.openxmlformats.org/officeDocument/2006/relationships/image" Target="../media/image71.jpeg"/><Relationship Id="rId802" Type="http://schemas.openxmlformats.org/officeDocument/2006/relationships/image" Target="../media/image802.jpeg"/><Relationship Id="rId3397" Type="http://schemas.openxmlformats.org/officeDocument/2006/relationships/image" Target="../media/image3397.jpeg"/><Relationship Id="rId4795" Type="http://schemas.openxmlformats.org/officeDocument/2006/relationships/image" Target="../media/image4795.jpeg"/><Relationship Id="rId4448" Type="http://schemas.openxmlformats.org/officeDocument/2006/relationships/image" Target="../media/image4448.jpeg"/><Relationship Id="rId4655" Type="http://schemas.openxmlformats.org/officeDocument/2006/relationships/image" Target="../media/image4655.jpeg"/><Relationship Id="rId4862" Type="http://schemas.openxmlformats.org/officeDocument/2006/relationships/image" Target="../media/image4862.jpeg"/><Relationship Id="rId178" Type="http://schemas.openxmlformats.org/officeDocument/2006/relationships/image" Target="../media/image178.jpeg"/><Relationship Id="rId3257" Type="http://schemas.openxmlformats.org/officeDocument/2006/relationships/image" Target="../media/image3257.jpeg"/><Relationship Id="rId3464" Type="http://schemas.openxmlformats.org/officeDocument/2006/relationships/image" Target="../media/image3464.jpeg"/><Relationship Id="rId3671" Type="http://schemas.openxmlformats.org/officeDocument/2006/relationships/image" Target="../media/image3671.jpeg"/><Relationship Id="rId4308" Type="http://schemas.openxmlformats.org/officeDocument/2006/relationships/image" Target="../media/image4308.jpeg"/><Relationship Id="rId4515" Type="http://schemas.openxmlformats.org/officeDocument/2006/relationships/image" Target="../media/image4515.jpeg"/><Relationship Id="rId4722" Type="http://schemas.openxmlformats.org/officeDocument/2006/relationships/image" Target="../media/image4722.jpeg"/><Relationship Id="rId385" Type="http://schemas.openxmlformats.org/officeDocument/2006/relationships/image" Target="../media/image385.jpeg"/><Relationship Id="rId592" Type="http://schemas.openxmlformats.org/officeDocument/2006/relationships/image" Target="../media/image592.jpeg"/><Relationship Id="rId2066" Type="http://schemas.openxmlformats.org/officeDocument/2006/relationships/image" Target="../media/image2066.jpeg"/><Relationship Id="rId2273" Type="http://schemas.openxmlformats.org/officeDocument/2006/relationships/image" Target="../media/image2273.jpeg"/><Relationship Id="rId2480" Type="http://schemas.openxmlformats.org/officeDocument/2006/relationships/image" Target="../media/image2480.jpeg"/><Relationship Id="rId3117" Type="http://schemas.openxmlformats.org/officeDocument/2006/relationships/image" Target="../media/image3117.jpeg"/><Relationship Id="rId3324" Type="http://schemas.openxmlformats.org/officeDocument/2006/relationships/image" Target="../media/image3324.jpeg"/><Relationship Id="rId3531" Type="http://schemas.openxmlformats.org/officeDocument/2006/relationships/image" Target="../media/image3531.jpeg"/><Relationship Id="rId245" Type="http://schemas.openxmlformats.org/officeDocument/2006/relationships/image" Target="../media/image245.jpeg"/><Relationship Id="rId452" Type="http://schemas.openxmlformats.org/officeDocument/2006/relationships/image" Target="../media/image452.jpeg"/><Relationship Id="rId1082" Type="http://schemas.openxmlformats.org/officeDocument/2006/relationships/image" Target="../media/image1082.jpeg"/><Relationship Id="rId2133" Type="http://schemas.openxmlformats.org/officeDocument/2006/relationships/image" Target="../media/image2133.jpeg"/><Relationship Id="rId2340" Type="http://schemas.openxmlformats.org/officeDocument/2006/relationships/image" Target="../media/image2340.jpeg"/><Relationship Id="rId105" Type="http://schemas.openxmlformats.org/officeDocument/2006/relationships/image" Target="../media/image105.jpeg"/><Relationship Id="rId312" Type="http://schemas.openxmlformats.org/officeDocument/2006/relationships/image" Target="../media/image312.jpeg"/><Relationship Id="rId2200" Type="http://schemas.openxmlformats.org/officeDocument/2006/relationships/image" Target="../media/image2200.jpeg"/><Relationship Id="rId4098" Type="http://schemas.openxmlformats.org/officeDocument/2006/relationships/image" Target="../media/image4098.jpeg"/><Relationship Id="rId1899" Type="http://schemas.openxmlformats.org/officeDocument/2006/relationships/image" Target="../media/image1899.jpeg"/><Relationship Id="rId4165" Type="http://schemas.openxmlformats.org/officeDocument/2006/relationships/image" Target="../media/image4165.jpeg"/><Relationship Id="rId4372" Type="http://schemas.openxmlformats.org/officeDocument/2006/relationships/image" Target="../media/image4372.jpeg"/><Relationship Id="rId1759" Type="http://schemas.openxmlformats.org/officeDocument/2006/relationships/image" Target="../media/image1759.jpeg"/><Relationship Id="rId1966" Type="http://schemas.openxmlformats.org/officeDocument/2006/relationships/image" Target="../media/image1966.jpeg"/><Relationship Id="rId3181" Type="http://schemas.openxmlformats.org/officeDocument/2006/relationships/image" Target="../media/image3181.jpeg"/><Relationship Id="rId4025" Type="http://schemas.openxmlformats.org/officeDocument/2006/relationships/image" Target="../media/image4025.jpeg"/><Relationship Id="rId1619" Type="http://schemas.openxmlformats.org/officeDocument/2006/relationships/image" Target="../media/image1619.jpeg"/><Relationship Id="rId1826" Type="http://schemas.openxmlformats.org/officeDocument/2006/relationships/image" Target="../media/image1826.jpeg"/><Relationship Id="rId4232" Type="http://schemas.openxmlformats.org/officeDocument/2006/relationships/image" Target="../media/image4232.jpeg"/><Relationship Id="rId3041" Type="http://schemas.openxmlformats.org/officeDocument/2006/relationships/image" Target="../media/image3041.jpeg"/><Relationship Id="rId3998" Type="http://schemas.openxmlformats.org/officeDocument/2006/relationships/image" Target="../media/image3998.jpeg"/><Relationship Id="rId3858" Type="http://schemas.openxmlformats.org/officeDocument/2006/relationships/image" Target="../media/image3858.jpeg"/><Relationship Id="rId4909" Type="http://schemas.openxmlformats.org/officeDocument/2006/relationships/image" Target="../media/image4909.jpeg"/><Relationship Id="rId779" Type="http://schemas.openxmlformats.org/officeDocument/2006/relationships/image" Target="../media/image779.jpeg"/><Relationship Id="rId986" Type="http://schemas.openxmlformats.org/officeDocument/2006/relationships/image" Target="../media/image986.jpeg"/><Relationship Id="rId2667" Type="http://schemas.openxmlformats.org/officeDocument/2006/relationships/image" Target="../media/image2667.jpeg"/><Relationship Id="rId3718" Type="http://schemas.openxmlformats.org/officeDocument/2006/relationships/image" Target="../media/image3718.jpeg"/><Relationship Id="rId639" Type="http://schemas.openxmlformats.org/officeDocument/2006/relationships/image" Target="../media/image639.jpeg"/><Relationship Id="rId1269" Type="http://schemas.openxmlformats.org/officeDocument/2006/relationships/image" Target="../media/image1269.jpeg"/><Relationship Id="rId1476" Type="http://schemas.openxmlformats.org/officeDocument/2006/relationships/image" Target="../media/image1476.jpeg"/><Relationship Id="rId2874" Type="http://schemas.openxmlformats.org/officeDocument/2006/relationships/image" Target="../media/image2874.jpeg"/><Relationship Id="rId3925" Type="http://schemas.openxmlformats.org/officeDocument/2006/relationships/image" Target="../media/image3925.jpeg"/><Relationship Id="rId846" Type="http://schemas.openxmlformats.org/officeDocument/2006/relationships/image" Target="../media/image846.jpeg"/><Relationship Id="rId1129" Type="http://schemas.openxmlformats.org/officeDocument/2006/relationships/image" Target="../media/image1129.jpeg"/><Relationship Id="rId1683" Type="http://schemas.openxmlformats.org/officeDocument/2006/relationships/image" Target="../media/image1683.jpeg"/><Relationship Id="rId1890" Type="http://schemas.openxmlformats.org/officeDocument/2006/relationships/image" Target="../media/image1890.jpeg"/><Relationship Id="rId2527" Type="http://schemas.openxmlformats.org/officeDocument/2006/relationships/image" Target="../media/image2527.jpeg"/><Relationship Id="rId2734" Type="http://schemas.openxmlformats.org/officeDocument/2006/relationships/image" Target="../media/image2734.jpeg"/><Relationship Id="rId2941" Type="http://schemas.openxmlformats.org/officeDocument/2006/relationships/image" Target="../media/image2941.jpeg"/><Relationship Id="rId706" Type="http://schemas.openxmlformats.org/officeDocument/2006/relationships/image" Target="../media/image706.jpeg"/><Relationship Id="rId913" Type="http://schemas.openxmlformats.org/officeDocument/2006/relationships/image" Target="../media/image913.jpeg"/><Relationship Id="rId1336" Type="http://schemas.openxmlformats.org/officeDocument/2006/relationships/image" Target="../media/image1336.jpeg"/><Relationship Id="rId1543" Type="http://schemas.openxmlformats.org/officeDocument/2006/relationships/image" Target="../media/image1543.jpeg"/><Relationship Id="rId1750" Type="http://schemas.openxmlformats.org/officeDocument/2006/relationships/image" Target="../media/image1750.jpeg"/><Relationship Id="rId2801" Type="http://schemas.openxmlformats.org/officeDocument/2006/relationships/image" Target="../media/image2801.jpeg"/><Relationship Id="rId4699" Type="http://schemas.openxmlformats.org/officeDocument/2006/relationships/image" Target="../media/image4699.jpeg"/><Relationship Id="rId42" Type="http://schemas.openxmlformats.org/officeDocument/2006/relationships/image" Target="../media/image42.jpeg"/><Relationship Id="rId1403" Type="http://schemas.openxmlformats.org/officeDocument/2006/relationships/image" Target="../media/image1403.jpeg"/><Relationship Id="rId1610" Type="http://schemas.openxmlformats.org/officeDocument/2006/relationships/image" Target="../media/image1610.jpeg"/><Relationship Id="rId4559" Type="http://schemas.openxmlformats.org/officeDocument/2006/relationships/image" Target="../media/image4559.jpeg"/><Relationship Id="rId4766" Type="http://schemas.openxmlformats.org/officeDocument/2006/relationships/image" Target="../media/image4766.jpeg"/><Relationship Id="rId4973" Type="http://schemas.openxmlformats.org/officeDocument/2006/relationships/image" Target="../media/image4973.jpeg"/><Relationship Id="rId3368" Type="http://schemas.openxmlformats.org/officeDocument/2006/relationships/image" Target="../media/image3368.jpeg"/><Relationship Id="rId3575" Type="http://schemas.openxmlformats.org/officeDocument/2006/relationships/image" Target="../media/image3575.jpeg"/><Relationship Id="rId3782" Type="http://schemas.openxmlformats.org/officeDocument/2006/relationships/image" Target="../media/image3782.jpeg"/><Relationship Id="rId4419" Type="http://schemas.openxmlformats.org/officeDocument/2006/relationships/image" Target="../media/image4419.jpeg"/><Relationship Id="rId4626" Type="http://schemas.openxmlformats.org/officeDocument/2006/relationships/image" Target="../media/image4626.jpeg"/><Relationship Id="rId4833" Type="http://schemas.openxmlformats.org/officeDocument/2006/relationships/image" Target="../media/image4833.jpeg"/><Relationship Id="rId289" Type="http://schemas.openxmlformats.org/officeDocument/2006/relationships/image" Target="../media/image289.jpeg"/><Relationship Id="rId496" Type="http://schemas.openxmlformats.org/officeDocument/2006/relationships/image" Target="../media/image496.jpeg"/><Relationship Id="rId2177" Type="http://schemas.openxmlformats.org/officeDocument/2006/relationships/image" Target="../media/image2177.jpeg"/><Relationship Id="rId2384" Type="http://schemas.openxmlformats.org/officeDocument/2006/relationships/image" Target="../media/image2384.jpeg"/><Relationship Id="rId2591" Type="http://schemas.openxmlformats.org/officeDocument/2006/relationships/image" Target="../media/image2591.jpeg"/><Relationship Id="rId3228" Type="http://schemas.openxmlformats.org/officeDocument/2006/relationships/image" Target="../media/image3228.jpeg"/><Relationship Id="rId3435" Type="http://schemas.openxmlformats.org/officeDocument/2006/relationships/image" Target="../media/image3435.jpeg"/><Relationship Id="rId3642" Type="http://schemas.openxmlformats.org/officeDocument/2006/relationships/image" Target="../media/image3642.jpeg"/><Relationship Id="rId149" Type="http://schemas.openxmlformats.org/officeDocument/2006/relationships/image" Target="../media/image149.jpeg"/><Relationship Id="rId356" Type="http://schemas.openxmlformats.org/officeDocument/2006/relationships/image" Target="../media/image356.jpeg"/><Relationship Id="rId563" Type="http://schemas.openxmlformats.org/officeDocument/2006/relationships/image" Target="../media/image563.jpeg"/><Relationship Id="rId770" Type="http://schemas.openxmlformats.org/officeDocument/2006/relationships/image" Target="../media/image770.jpeg"/><Relationship Id="rId1193" Type="http://schemas.openxmlformats.org/officeDocument/2006/relationships/image" Target="../media/image1193.jpeg"/><Relationship Id="rId2037" Type="http://schemas.openxmlformats.org/officeDocument/2006/relationships/image" Target="../media/image2037.jpeg"/><Relationship Id="rId2244" Type="http://schemas.openxmlformats.org/officeDocument/2006/relationships/image" Target="../media/image2244.jpeg"/><Relationship Id="rId2451" Type="http://schemas.openxmlformats.org/officeDocument/2006/relationships/image" Target="../media/image2451.jpeg"/><Relationship Id="rId4900" Type="http://schemas.openxmlformats.org/officeDocument/2006/relationships/image" Target="../media/image4900.jpeg"/><Relationship Id="rId216" Type="http://schemas.openxmlformats.org/officeDocument/2006/relationships/image" Target="../media/image216.jpeg"/><Relationship Id="rId423" Type="http://schemas.openxmlformats.org/officeDocument/2006/relationships/image" Target="../media/image423.jpeg"/><Relationship Id="rId1053" Type="http://schemas.openxmlformats.org/officeDocument/2006/relationships/image" Target="../media/image1053.jpeg"/><Relationship Id="rId1260" Type="http://schemas.openxmlformats.org/officeDocument/2006/relationships/image" Target="../media/image1260.jpeg"/><Relationship Id="rId2104" Type="http://schemas.openxmlformats.org/officeDocument/2006/relationships/image" Target="../media/image2104.jpeg"/><Relationship Id="rId3502" Type="http://schemas.openxmlformats.org/officeDocument/2006/relationships/image" Target="../media/image3502.jpeg"/><Relationship Id="rId630" Type="http://schemas.openxmlformats.org/officeDocument/2006/relationships/image" Target="../media/image630.jpeg"/><Relationship Id="rId2311" Type="http://schemas.openxmlformats.org/officeDocument/2006/relationships/image" Target="../media/image2311.jpeg"/><Relationship Id="rId4069" Type="http://schemas.openxmlformats.org/officeDocument/2006/relationships/image" Target="../media/image4069.jpeg"/><Relationship Id="rId1120" Type="http://schemas.openxmlformats.org/officeDocument/2006/relationships/image" Target="../media/image1120.jpeg"/><Relationship Id="rId4276" Type="http://schemas.openxmlformats.org/officeDocument/2006/relationships/image" Target="../media/image4276.jpeg"/><Relationship Id="rId4483" Type="http://schemas.openxmlformats.org/officeDocument/2006/relationships/image" Target="../media/image4483.jpeg"/><Relationship Id="rId4690" Type="http://schemas.openxmlformats.org/officeDocument/2006/relationships/image" Target="../media/image4690.jpeg"/><Relationship Id="rId1937" Type="http://schemas.openxmlformats.org/officeDocument/2006/relationships/image" Target="../media/image1937.jpeg"/><Relationship Id="rId3085" Type="http://schemas.openxmlformats.org/officeDocument/2006/relationships/image" Target="../media/image3085.jpeg"/><Relationship Id="rId3292" Type="http://schemas.openxmlformats.org/officeDocument/2006/relationships/image" Target="../media/image3292.jpeg"/><Relationship Id="rId4136" Type="http://schemas.openxmlformats.org/officeDocument/2006/relationships/image" Target="../media/image4136.jpeg"/><Relationship Id="rId4343" Type="http://schemas.openxmlformats.org/officeDocument/2006/relationships/image" Target="../media/image4343.jpeg"/><Relationship Id="rId4550" Type="http://schemas.openxmlformats.org/officeDocument/2006/relationships/image" Target="../media/image4550.jpeg"/><Relationship Id="rId3152" Type="http://schemas.openxmlformats.org/officeDocument/2006/relationships/image" Target="../media/image3152.jpeg"/><Relationship Id="rId4203" Type="http://schemas.openxmlformats.org/officeDocument/2006/relationships/image" Target="../media/image4203.jpeg"/><Relationship Id="rId4410" Type="http://schemas.openxmlformats.org/officeDocument/2006/relationships/image" Target="../media/image4410.jpeg"/><Relationship Id="rId280" Type="http://schemas.openxmlformats.org/officeDocument/2006/relationships/image" Target="../media/image280.jpeg"/><Relationship Id="rId3012" Type="http://schemas.openxmlformats.org/officeDocument/2006/relationships/image" Target="../media/image3012.jpeg"/><Relationship Id="rId140" Type="http://schemas.openxmlformats.org/officeDocument/2006/relationships/image" Target="../media/image140.jpeg"/><Relationship Id="rId3969" Type="http://schemas.openxmlformats.org/officeDocument/2006/relationships/image" Target="../media/image3969.jpeg"/><Relationship Id="rId6" Type="http://schemas.openxmlformats.org/officeDocument/2006/relationships/image" Target="../media/image6.jpeg"/><Relationship Id="rId2778" Type="http://schemas.openxmlformats.org/officeDocument/2006/relationships/image" Target="../media/image2778.jpeg"/><Relationship Id="rId2985" Type="http://schemas.openxmlformats.org/officeDocument/2006/relationships/image" Target="../media/image2985.jpeg"/><Relationship Id="rId3829" Type="http://schemas.openxmlformats.org/officeDocument/2006/relationships/image" Target="../media/image3829.jpeg"/><Relationship Id="rId957" Type="http://schemas.openxmlformats.org/officeDocument/2006/relationships/image" Target="../media/image957.jpeg"/><Relationship Id="rId1587" Type="http://schemas.openxmlformats.org/officeDocument/2006/relationships/image" Target="../media/image1587.jpeg"/><Relationship Id="rId1794" Type="http://schemas.openxmlformats.org/officeDocument/2006/relationships/image" Target="../media/image1794.jpeg"/><Relationship Id="rId2638" Type="http://schemas.openxmlformats.org/officeDocument/2006/relationships/image" Target="../media/image2638.jpeg"/><Relationship Id="rId2845" Type="http://schemas.openxmlformats.org/officeDocument/2006/relationships/image" Target="../media/image2845.jpeg"/><Relationship Id="rId86" Type="http://schemas.openxmlformats.org/officeDocument/2006/relationships/image" Target="../media/image86.jpeg"/><Relationship Id="rId817" Type="http://schemas.openxmlformats.org/officeDocument/2006/relationships/image" Target="../media/image817.jpeg"/><Relationship Id="rId1447" Type="http://schemas.openxmlformats.org/officeDocument/2006/relationships/image" Target="../media/image1447.jpeg"/><Relationship Id="rId1654" Type="http://schemas.openxmlformats.org/officeDocument/2006/relationships/image" Target="../media/image1654.jpeg"/><Relationship Id="rId1861" Type="http://schemas.openxmlformats.org/officeDocument/2006/relationships/image" Target="../media/image1861.jpeg"/><Relationship Id="rId2705" Type="http://schemas.openxmlformats.org/officeDocument/2006/relationships/image" Target="../media/image2705.jpeg"/><Relationship Id="rId2912" Type="http://schemas.openxmlformats.org/officeDocument/2006/relationships/image" Target="../media/image2912.jpeg"/><Relationship Id="rId4060" Type="http://schemas.openxmlformats.org/officeDocument/2006/relationships/image" Target="../media/image4060.jpeg"/><Relationship Id="rId1307" Type="http://schemas.openxmlformats.org/officeDocument/2006/relationships/image" Target="../media/image1307.jpeg"/><Relationship Id="rId1514" Type="http://schemas.openxmlformats.org/officeDocument/2006/relationships/image" Target="../media/image1514.jpeg"/><Relationship Id="rId1721" Type="http://schemas.openxmlformats.org/officeDocument/2006/relationships/image" Target="../media/image1721.jpeg"/><Relationship Id="rId4877" Type="http://schemas.openxmlformats.org/officeDocument/2006/relationships/image" Target="../media/image4877.jpeg"/><Relationship Id="rId13" Type="http://schemas.openxmlformats.org/officeDocument/2006/relationships/image" Target="../media/image13.jpeg"/><Relationship Id="rId3479" Type="http://schemas.openxmlformats.org/officeDocument/2006/relationships/image" Target="../media/image3479.jpeg"/><Relationship Id="rId3686" Type="http://schemas.openxmlformats.org/officeDocument/2006/relationships/image" Target="../media/image3686.jpeg"/><Relationship Id="rId2288" Type="http://schemas.openxmlformats.org/officeDocument/2006/relationships/image" Target="../media/image2288.jpeg"/><Relationship Id="rId2495" Type="http://schemas.openxmlformats.org/officeDocument/2006/relationships/image" Target="../media/image2495.jpeg"/><Relationship Id="rId3339" Type="http://schemas.openxmlformats.org/officeDocument/2006/relationships/image" Target="../media/image3339.jpeg"/><Relationship Id="rId3893" Type="http://schemas.openxmlformats.org/officeDocument/2006/relationships/image" Target="../media/image3893.jpeg"/><Relationship Id="rId4737" Type="http://schemas.openxmlformats.org/officeDocument/2006/relationships/image" Target="../media/image4737.jpeg"/><Relationship Id="rId4944" Type="http://schemas.openxmlformats.org/officeDocument/2006/relationships/image" Target="../media/image4944.jpeg"/><Relationship Id="rId467" Type="http://schemas.openxmlformats.org/officeDocument/2006/relationships/image" Target="../media/image467.jpeg"/><Relationship Id="rId1097" Type="http://schemas.openxmlformats.org/officeDocument/2006/relationships/image" Target="../media/image1097.jpeg"/><Relationship Id="rId2148" Type="http://schemas.openxmlformats.org/officeDocument/2006/relationships/image" Target="../media/image2148.jpeg"/><Relationship Id="rId3546" Type="http://schemas.openxmlformats.org/officeDocument/2006/relationships/image" Target="../media/image3546.jpeg"/><Relationship Id="rId3753" Type="http://schemas.openxmlformats.org/officeDocument/2006/relationships/image" Target="../media/image3753.jpeg"/><Relationship Id="rId3960" Type="http://schemas.openxmlformats.org/officeDocument/2006/relationships/image" Target="../media/image3960.jpeg"/><Relationship Id="rId4804" Type="http://schemas.openxmlformats.org/officeDocument/2006/relationships/image" Target="../media/image4804.jpeg"/><Relationship Id="rId674" Type="http://schemas.openxmlformats.org/officeDocument/2006/relationships/image" Target="../media/image674.jpeg"/><Relationship Id="rId881" Type="http://schemas.openxmlformats.org/officeDocument/2006/relationships/image" Target="../media/image881.jpeg"/><Relationship Id="rId2355" Type="http://schemas.openxmlformats.org/officeDocument/2006/relationships/image" Target="../media/image2355.jpeg"/><Relationship Id="rId2562" Type="http://schemas.openxmlformats.org/officeDocument/2006/relationships/image" Target="../media/image2562.jpeg"/><Relationship Id="rId3406" Type="http://schemas.openxmlformats.org/officeDocument/2006/relationships/image" Target="../media/image3406.jpeg"/><Relationship Id="rId3613" Type="http://schemas.openxmlformats.org/officeDocument/2006/relationships/image" Target="../media/image3613.jpeg"/><Relationship Id="rId3820" Type="http://schemas.openxmlformats.org/officeDocument/2006/relationships/image" Target="../media/image3820.jpeg"/><Relationship Id="rId327" Type="http://schemas.openxmlformats.org/officeDocument/2006/relationships/image" Target="../media/image327.jpeg"/><Relationship Id="rId534" Type="http://schemas.openxmlformats.org/officeDocument/2006/relationships/image" Target="../media/image534.jpeg"/><Relationship Id="rId741" Type="http://schemas.openxmlformats.org/officeDocument/2006/relationships/image" Target="../media/image741.jpeg"/><Relationship Id="rId1164" Type="http://schemas.openxmlformats.org/officeDocument/2006/relationships/image" Target="../media/image1164.jpeg"/><Relationship Id="rId1371" Type="http://schemas.openxmlformats.org/officeDocument/2006/relationships/image" Target="../media/image1371.jpeg"/><Relationship Id="rId2008" Type="http://schemas.openxmlformats.org/officeDocument/2006/relationships/image" Target="../media/image2008.jpeg"/><Relationship Id="rId2215" Type="http://schemas.openxmlformats.org/officeDocument/2006/relationships/image" Target="../media/image2215.jpeg"/><Relationship Id="rId2422" Type="http://schemas.openxmlformats.org/officeDocument/2006/relationships/image" Target="../media/image2422.jpeg"/><Relationship Id="rId601" Type="http://schemas.openxmlformats.org/officeDocument/2006/relationships/image" Target="../media/image601.jpeg"/><Relationship Id="rId1024" Type="http://schemas.openxmlformats.org/officeDocument/2006/relationships/image" Target="../media/image1024.jpeg"/><Relationship Id="rId1231" Type="http://schemas.openxmlformats.org/officeDocument/2006/relationships/image" Target="../media/image1231.jpeg"/><Relationship Id="rId4387" Type="http://schemas.openxmlformats.org/officeDocument/2006/relationships/image" Target="../media/image4387.jpeg"/><Relationship Id="rId4594" Type="http://schemas.openxmlformats.org/officeDocument/2006/relationships/image" Target="../media/image4594.jpeg"/><Relationship Id="rId3196" Type="http://schemas.openxmlformats.org/officeDocument/2006/relationships/image" Target="../media/image3196.jpeg"/><Relationship Id="rId4247" Type="http://schemas.openxmlformats.org/officeDocument/2006/relationships/image" Target="../media/image4247.jpeg"/><Relationship Id="rId4454" Type="http://schemas.openxmlformats.org/officeDocument/2006/relationships/image" Target="../media/image4454.jpeg"/><Relationship Id="rId4661" Type="http://schemas.openxmlformats.org/officeDocument/2006/relationships/image" Target="../media/image4661.jpeg"/><Relationship Id="rId3056" Type="http://schemas.openxmlformats.org/officeDocument/2006/relationships/image" Target="../media/image3056.jpeg"/><Relationship Id="rId3263" Type="http://schemas.openxmlformats.org/officeDocument/2006/relationships/image" Target="../media/image3263.jpeg"/><Relationship Id="rId3470" Type="http://schemas.openxmlformats.org/officeDocument/2006/relationships/image" Target="../media/image3470.jpeg"/><Relationship Id="rId4107" Type="http://schemas.openxmlformats.org/officeDocument/2006/relationships/image" Target="../media/image4107.jpeg"/><Relationship Id="rId4314" Type="http://schemas.openxmlformats.org/officeDocument/2006/relationships/image" Target="../media/image4314.jpeg"/><Relationship Id="rId184" Type="http://schemas.openxmlformats.org/officeDocument/2006/relationships/image" Target="../media/image184.jpeg"/><Relationship Id="rId391" Type="http://schemas.openxmlformats.org/officeDocument/2006/relationships/image" Target="../media/image391.jpeg"/><Relationship Id="rId1908" Type="http://schemas.openxmlformats.org/officeDocument/2006/relationships/image" Target="../media/image1908.jpeg"/><Relationship Id="rId2072" Type="http://schemas.openxmlformats.org/officeDocument/2006/relationships/image" Target="../media/image2072.jpeg"/><Relationship Id="rId3123" Type="http://schemas.openxmlformats.org/officeDocument/2006/relationships/image" Target="../media/image3123.jpeg"/><Relationship Id="rId4521" Type="http://schemas.openxmlformats.org/officeDocument/2006/relationships/image" Target="../media/image4521.jpeg"/><Relationship Id="rId251" Type="http://schemas.openxmlformats.org/officeDocument/2006/relationships/image" Target="../media/image251.jpeg"/><Relationship Id="rId3330" Type="http://schemas.openxmlformats.org/officeDocument/2006/relationships/image" Target="../media/image3330.jpeg"/><Relationship Id="rId2889" Type="http://schemas.openxmlformats.org/officeDocument/2006/relationships/image" Target="../media/image2889.jpeg"/><Relationship Id="rId111" Type="http://schemas.openxmlformats.org/officeDocument/2006/relationships/image" Target="../media/image111.jpeg"/><Relationship Id="rId1698" Type="http://schemas.openxmlformats.org/officeDocument/2006/relationships/image" Target="../media/image1698.jpeg"/><Relationship Id="rId2749" Type="http://schemas.openxmlformats.org/officeDocument/2006/relationships/image" Target="../media/image2749.jpeg"/><Relationship Id="rId2956" Type="http://schemas.openxmlformats.org/officeDocument/2006/relationships/image" Target="../media/image2956.jpeg"/><Relationship Id="rId928" Type="http://schemas.openxmlformats.org/officeDocument/2006/relationships/image" Target="../media/image928.jpeg"/><Relationship Id="rId1558" Type="http://schemas.openxmlformats.org/officeDocument/2006/relationships/image" Target="../media/image1558.jpeg"/><Relationship Id="rId1765" Type="http://schemas.openxmlformats.org/officeDocument/2006/relationships/image" Target="../media/image1765.jpeg"/><Relationship Id="rId2609" Type="http://schemas.openxmlformats.org/officeDocument/2006/relationships/image" Target="../media/image2609.jpeg"/><Relationship Id="rId4171" Type="http://schemas.openxmlformats.org/officeDocument/2006/relationships/image" Target="../media/image4171.jpeg"/><Relationship Id="rId57" Type="http://schemas.openxmlformats.org/officeDocument/2006/relationships/image" Target="../media/image57.jpeg"/><Relationship Id="rId1418" Type="http://schemas.openxmlformats.org/officeDocument/2006/relationships/image" Target="../media/image1418.jpeg"/><Relationship Id="rId1972" Type="http://schemas.openxmlformats.org/officeDocument/2006/relationships/image" Target="../media/image1972.jpeg"/><Relationship Id="rId2816" Type="http://schemas.openxmlformats.org/officeDocument/2006/relationships/image" Target="../media/image2816.jpeg"/><Relationship Id="rId4031" Type="http://schemas.openxmlformats.org/officeDocument/2006/relationships/image" Target="../media/image4031.jpeg"/><Relationship Id="rId1625" Type="http://schemas.openxmlformats.org/officeDocument/2006/relationships/image" Target="../media/image1625.jpeg"/><Relationship Id="rId1832" Type="http://schemas.openxmlformats.org/officeDocument/2006/relationships/image" Target="../media/image1832.jpeg"/><Relationship Id="rId3797" Type="http://schemas.openxmlformats.org/officeDocument/2006/relationships/image" Target="../media/image3797.jpeg"/><Relationship Id="rId4848" Type="http://schemas.openxmlformats.org/officeDocument/2006/relationships/image" Target="../media/image4848.jpeg"/><Relationship Id="rId2399" Type="http://schemas.openxmlformats.org/officeDocument/2006/relationships/image" Target="../media/image2399.jpeg"/><Relationship Id="rId3657" Type="http://schemas.openxmlformats.org/officeDocument/2006/relationships/image" Target="../media/image3657.jpeg"/><Relationship Id="rId3864" Type="http://schemas.openxmlformats.org/officeDocument/2006/relationships/image" Target="../media/image3864.jpeg"/><Relationship Id="rId4708" Type="http://schemas.openxmlformats.org/officeDocument/2006/relationships/image" Target="../media/image4708.jpeg"/><Relationship Id="rId4915" Type="http://schemas.openxmlformats.org/officeDocument/2006/relationships/image" Target="../media/image4915.jpeg"/><Relationship Id="rId578" Type="http://schemas.openxmlformats.org/officeDocument/2006/relationships/image" Target="../media/image578.jpeg"/><Relationship Id="rId785" Type="http://schemas.openxmlformats.org/officeDocument/2006/relationships/image" Target="../media/image785.jpeg"/><Relationship Id="rId992" Type="http://schemas.openxmlformats.org/officeDocument/2006/relationships/image" Target="../media/image992.jpeg"/><Relationship Id="rId2259" Type="http://schemas.openxmlformats.org/officeDocument/2006/relationships/image" Target="../media/image2259.jpeg"/><Relationship Id="rId2466" Type="http://schemas.openxmlformats.org/officeDocument/2006/relationships/image" Target="../media/image2466.jpeg"/><Relationship Id="rId2673" Type="http://schemas.openxmlformats.org/officeDocument/2006/relationships/image" Target="../media/image2673.jpeg"/><Relationship Id="rId2880" Type="http://schemas.openxmlformats.org/officeDocument/2006/relationships/image" Target="../media/image2880.jpeg"/><Relationship Id="rId3517" Type="http://schemas.openxmlformats.org/officeDocument/2006/relationships/image" Target="../media/image3517.jpeg"/><Relationship Id="rId3724" Type="http://schemas.openxmlformats.org/officeDocument/2006/relationships/image" Target="../media/image3724.jpeg"/><Relationship Id="rId3931" Type="http://schemas.openxmlformats.org/officeDocument/2006/relationships/image" Target="../media/image3931.jpeg"/><Relationship Id="rId438" Type="http://schemas.openxmlformats.org/officeDocument/2006/relationships/image" Target="../media/image438.jpeg"/><Relationship Id="rId645" Type="http://schemas.openxmlformats.org/officeDocument/2006/relationships/image" Target="../media/image645.jpeg"/><Relationship Id="rId852" Type="http://schemas.openxmlformats.org/officeDocument/2006/relationships/image" Target="../media/image852.jpeg"/><Relationship Id="rId1068" Type="http://schemas.openxmlformats.org/officeDocument/2006/relationships/image" Target="../media/image1068.jpeg"/><Relationship Id="rId1275" Type="http://schemas.openxmlformats.org/officeDocument/2006/relationships/image" Target="../media/image1275.jpeg"/><Relationship Id="rId1482" Type="http://schemas.openxmlformats.org/officeDocument/2006/relationships/image" Target="../media/image1482.jpeg"/><Relationship Id="rId2119" Type="http://schemas.openxmlformats.org/officeDocument/2006/relationships/image" Target="../media/image2119.jpeg"/><Relationship Id="rId2326" Type="http://schemas.openxmlformats.org/officeDocument/2006/relationships/image" Target="../media/image2326.jpeg"/><Relationship Id="rId2533" Type="http://schemas.openxmlformats.org/officeDocument/2006/relationships/image" Target="../media/image2533.jpeg"/><Relationship Id="rId2740" Type="http://schemas.openxmlformats.org/officeDocument/2006/relationships/image" Target="../media/image2740.jpeg"/><Relationship Id="rId505" Type="http://schemas.openxmlformats.org/officeDocument/2006/relationships/image" Target="../media/image505.jpeg"/><Relationship Id="rId712" Type="http://schemas.openxmlformats.org/officeDocument/2006/relationships/image" Target="../media/image712.jpeg"/><Relationship Id="rId1135" Type="http://schemas.openxmlformats.org/officeDocument/2006/relationships/image" Target="../media/image1135.jpeg"/><Relationship Id="rId1342" Type="http://schemas.openxmlformats.org/officeDocument/2006/relationships/image" Target="../media/image1342.jpeg"/><Relationship Id="rId4498" Type="http://schemas.openxmlformats.org/officeDocument/2006/relationships/image" Target="../media/image4498.jpeg"/><Relationship Id="rId1202" Type="http://schemas.openxmlformats.org/officeDocument/2006/relationships/image" Target="../media/image1202.jpeg"/><Relationship Id="rId2600" Type="http://schemas.openxmlformats.org/officeDocument/2006/relationships/image" Target="../media/image2600.jpeg"/><Relationship Id="rId4358" Type="http://schemas.openxmlformats.org/officeDocument/2006/relationships/image" Target="../media/image4358.jpeg"/><Relationship Id="rId3167" Type="http://schemas.openxmlformats.org/officeDocument/2006/relationships/image" Target="../media/image3167.jpeg"/><Relationship Id="rId4565" Type="http://schemas.openxmlformats.org/officeDocument/2006/relationships/image" Target="../media/image4565.jpeg"/><Relationship Id="rId4772" Type="http://schemas.openxmlformats.org/officeDocument/2006/relationships/image" Target="../media/image4772.jpeg"/><Relationship Id="rId295" Type="http://schemas.openxmlformats.org/officeDocument/2006/relationships/image" Target="../media/image295.jpeg"/><Relationship Id="rId3374" Type="http://schemas.openxmlformats.org/officeDocument/2006/relationships/image" Target="../media/image3374.jpeg"/><Relationship Id="rId3581" Type="http://schemas.openxmlformats.org/officeDocument/2006/relationships/image" Target="../media/image3581.jpeg"/><Relationship Id="rId4218" Type="http://schemas.openxmlformats.org/officeDocument/2006/relationships/image" Target="../media/image4218.jpeg"/><Relationship Id="rId4425" Type="http://schemas.openxmlformats.org/officeDocument/2006/relationships/image" Target="../media/image4425.jpeg"/><Relationship Id="rId4632" Type="http://schemas.openxmlformats.org/officeDocument/2006/relationships/image" Target="../media/image4632.jpeg"/><Relationship Id="rId2183" Type="http://schemas.openxmlformats.org/officeDocument/2006/relationships/image" Target="../media/image2183.jpeg"/><Relationship Id="rId2390" Type="http://schemas.openxmlformats.org/officeDocument/2006/relationships/image" Target="../media/image2390.jpeg"/><Relationship Id="rId3027" Type="http://schemas.openxmlformats.org/officeDocument/2006/relationships/image" Target="../media/image3027.jpeg"/><Relationship Id="rId3234" Type="http://schemas.openxmlformats.org/officeDocument/2006/relationships/image" Target="../media/image3234.jpeg"/><Relationship Id="rId3441" Type="http://schemas.openxmlformats.org/officeDocument/2006/relationships/image" Target="../media/image3441.jpeg"/><Relationship Id="rId155" Type="http://schemas.openxmlformats.org/officeDocument/2006/relationships/image" Target="../media/image155.jpeg"/><Relationship Id="rId362" Type="http://schemas.openxmlformats.org/officeDocument/2006/relationships/image" Target="../media/image362.jpeg"/><Relationship Id="rId2043" Type="http://schemas.openxmlformats.org/officeDocument/2006/relationships/image" Target="../media/image2043.jpeg"/><Relationship Id="rId2250" Type="http://schemas.openxmlformats.org/officeDocument/2006/relationships/image" Target="../media/image2250.jpeg"/><Relationship Id="rId3301" Type="http://schemas.openxmlformats.org/officeDocument/2006/relationships/image" Target="../media/image3301.jpeg"/><Relationship Id="rId222" Type="http://schemas.openxmlformats.org/officeDocument/2006/relationships/image" Target="../media/image222.jpeg"/><Relationship Id="rId2110" Type="http://schemas.openxmlformats.org/officeDocument/2006/relationships/image" Target="../media/image2110.jpeg"/><Relationship Id="rId4075" Type="http://schemas.openxmlformats.org/officeDocument/2006/relationships/image" Target="../media/image4075.jpeg"/><Relationship Id="rId4282" Type="http://schemas.openxmlformats.org/officeDocument/2006/relationships/image" Target="../media/image4282.jpeg"/><Relationship Id="rId1669" Type="http://schemas.openxmlformats.org/officeDocument/2006/relationships/image" Target="../media/image1669.jpeg"/><Relationship Id="rId1876" Type="http://schemas.openxmlformats.org/officeDocument/2006/relationships/image" Target="../media/image1876.jpeg"/><Relationship Id="rId2927" Type="http://schemas.openxmlformats.org/officeDocument/2006/relationships/image" Target="../media/image2927.jpeg"/><Relationship Id="rId3091" Type="http://schemas.openxmlformats.org/officeDocument/2006/relationships/image" Target="../media/image3091.jpeg"/><Relationship Id="rId4142" Type="http://schemas.openxmlformats.org/officeDocument/2006/relationships/image" Target="../media/image4142.jpeg"/><Relationship Id="rId1529" Type="http://schemas.openxmlformats.org/officeDocument/2006/relationships/image" Target="../media/image1529.jpeg"/><Relationship Id="rId1736" Type="http://schemas.openxmlformats.org/officeDocument/2006/relationships/image" Target="../media/image1736.jpeg"/><Relationship Id="rId1943" Type="http://schemas.openxmlformats.org/officeDocument/2006/relationships/image" Target="../media/image1943.jpeg"/><Relationship Id="rId28" Type="http://schemas.openxmlformats.org/officeDocument/2006/relationships/image" Target="../media/image28.jpeg"/><Relationship Id="rId1803" Type="http://schemas.openxmlformats.org/officeDocument/2006/relationships/image" Target="../media/image1803.jpeg"/><Relationship Id="rId4002" Type="http://schemas.openxmlformats.org/officeDocument/2006/relationships/image" Target="../media/image4002.jpeg"/><Relationship Id="rId4959" Type="http://schemas.openxmlformats.org/officeDocument/2006/relationships/image" Target="../media/image4959.jpeg"/><Relationship Id="rId3768" Type="http://schemas.openxmlformats.org/officeDocument/2006/relationships/image" Target="../media/image3768.jpeg"/><Relationship Id="rId3975" Type="http://schemas.openxmlformats.org/officeDocument/2006/relationships/image" Target="../media/image3975.jpeg"/><Relationship Id="rId4819" Type="http://schemas.openxmlformats.org/officeDocument/2006/relationships/image" Target="../media/image4819.jpeg"/><Relationship Id="rId689" Type="http://schemas.openxmlformats.org/officeDocument/2006/relationships/image" Target="../media/image689.jpeg"/><Relationship Id="rId896" Type="http://schemas.openxmlformats.org/officeDocument/2006/relationships/image" Target="../media/image896.jpeg"/><Relationship Id="rId2577" Type="http://schemas.openxmlformats.org/officeDocument/2006/relationships/image" Target="../media/image2577.jpeg"/><Relationship Id="rId2784" Type="http://schemas.openxmlformats.org/officeDocument/2006/relationships/image" Target="../media/image2784.jpeg"/><Relationship Id="rId3628" Type="http://schemas.openxmlformats.org/officeDocument/2006/relationships/image" Target="../media/image3628.jpeg"/><Relationship Id="rId549" Type="http://schemas.openxmlformats.org/officeDocument/2006/relationships/image" Target="../media/image549.jpeg"/><Relationship Id="rId756" Type="http://schemas.openxmlformats.org/officeDocument/2006/relationships/image" Target="../media/image756.jpeg"/><Relationship Id="rId1179" Type="http://schemas.openxmlformats.org/officeDocument/2006/relationships/image" Target="../media/image1179.jpeg"/><Relationship Id="rId1386" Type="http://schemas.openxmlformats.org/officeDocument/2006/relationships/image" Target="../media/image1386.jpeg"/><Relationship Id="rId1593" Type="http://schemas.openxmlformats.org/officeDocument/2006/relationships/image" Target="../media/image1593.jpeg"/><Relationship Id="rId2437" Type="http://schemas.openxmlformats.org/officeDocument/2006/relationships/image" Target="../media/image2437.jpeg"/><Relationship Id="rId2991" Type="http://schemas.openxmlformats.org/officeDocument/2006/relationships/image" Target="../media/image2991.jpeg"/><Relationship Id="rId3835" Type="http://schemas.openxmlformats.org/officeDocument/2006/relationships/image" Target="../media/image3835.jpeg"/><Relationship Id="rId409" Type="http://schemas.openxmlformats.org/officeDocument/2006/relationships/image" Target="../media/image409.jpeg"/><Relationship Id="rId963" Type="http://schemas.openxmlformats.org/officeDocument/2006/relationships/image" Target="../media/image963.jpeg"/><Relationship Id="rId1039" Type="http://schemas.openxmlformats.org/officeDocument/2006/relationships/image" Target="../media/image1039.jpeg"/><Relationship Id="rId1246" Type="http://schemas.openxmlformats.org/officeDocument/2006/relationships/image" Target="../media/image1246.jpeg"/><Relationship Id="rId2644" Type="http://schemas.openxmlformats.org/officeDocument/2006/relationships/image" Target="../media/image2644.jpeg"/><Relationship Id="rId2851" Type="http://schemas.openxmlformats.org/officeDocument/2006/relationships/image" Target="../media/image2851.jpeg"/><Relationship Id="rId3902" Type="http://schemas.openxmlformats.org/officeDocument/2006/relationships/image" Target="../media/image3902.jpeg"/><Relationship Id="rId92" Type="http://schemas.openxmlformats.org/officeDocument/2006/relationships/image" Target="../media/image92.jpeg"/><Relationship Id="rId616" Type="http://schemas.openxmlformats.org/officeDocument/2006/relationships/image" Target="../media/image616.jpeg"/><Relationship Id="rId823" Type="http://schemas.openxmlformats.org/officeDocument/2006/relationships/image" Target="../media/image823.jpeg"/><Relationship Id="rId1453" Type="http://schemas.openxmlformats.org/officeDocument/2006/relationships/image" Target="../media/image1453.jpeg"/><Relationship Id="rId1660" Type="http://schemas.openxmlformats.org/officeDocument/2006/relationships/image" Target="../media/image1660.jpeg"/><Relationship Id="rId2504" Type="http://schemas.openxmlformats.org/officeDocument/2006/relationships/image" Target="../media/image2504.jpeg"/><Relationship Id="rId2711" Type="http://schemas.openxmlformats.org/officeDocument/2006/relationships/image" Target="../media/image2711.jpeg"/><Relationship Id="rId1106" Type="http://schemas.openxmlformats.org/officeDocument/2006/relationships/image" Target="../media/image1106.jpeg"/><Relationship Id="rId1313" Type="http://schemas.openxmlformats.org/officeDocument/2006/relationships/image" Target="../media/image1313.jpeg"/><Relationship Id="rId1520" Type="http://schemas.openxmlformats.org/officeDocument/2006/relationships/image" Target="../media/image1520.jpeg"/><Relationship Id="rId4469" Type="http://schemas.openxmlformats.org/officeDocument/2006/relationships/image" Target="../media/image4469.jpeg"/><Relationship Id="rId4676" Type="http://schemas.openxmlformats.org/officeDocument/2006/relationships/image" Target="../media/image4676.jpeg"/><Relationship Id="rId4883" Type="http://schemas.openxmlformats.org/officeDocument/2006/relationships/image" Target="../media/image4883.jpeg"/><Relationship Id="rId3278" Type="http://schemas.openxmlformats.org/officeDocument/2006/relationships/image" Target="../media/image3278.jpeg"/><Relationship Id="rId3485" Type="http://schemas.openxmlformats.org/officeDocument/2006/relationships/image" Target="../media/image3485.jpeg"/><Relationship Id="rId3692" Type="http://schemas.openxmlformats.org/officeDocument/2006/relationships/image" Target="../media/image3692.jpeg"/><Relationship Id="rId4329" Type="http://schemas.openxmlformats.org/officeDocument/2006/relationships/image" Target="../media/image4329.jpeg"/><Relationship Id="rId4536" Type="http://schemas.openxmlformats.org/officeDocument/2006/relationships/image" Target="../media/image4536.jpeg"/><Relationship Id="rId4743" Type="http://schemas.openxmlformats.org/officeDocument/2006/relationships/image" Target="../media/image4743.jpeg"/><Relationship Id="rId4950" Type="http://schemas.openxmlformats.org/officeDocument/2006/relationships/image" Target="../media/image4950.jpeg"/><Relationship Id="rId199" Type="http://schemas.openxmlformats.org/officeDocument/2006/relationships/image" Target="../media/image199.jpeg"/><Relationship Id="rId2087" Type="http://schemas.openxmlformats.org/officeDocument/2006/relationships/image" Target="../media/image2087.jpeg"/><Relationship Id="rId2294" Type="http://schemas.openxmlformats.org/officeDocument/2006/relationships/image" Target="../media/image2294.jpeg"/><Relationship Id="rId3138" Type="http://schemas.openxmlformats.org/officeDocument/2006/relationships/image" Target="../media/image3138.jpeg"/><Relationship Id="rId3345" Type="http://schemas.openxmlformats.org/officeDocument/2006/relationships/image" Target="../media/image3345.jpeg"/><Relationship Id="rId3552" Type="http://schemas.openxmlformats.org/officeDocument/2006/relationships/image" Target="../media/image3552.jpeg"/><Relationship Id="rId4603" Type="http://schemas.openxmlformats.org/officeDocument/2006/relationships/image" Target="../media/image4603.jpeg"/><Relationship Id="rId266" Type="http://schemas.openxmlformats.org/officeDocument/2006/relationships/image" Target="../media/image266.jpeg"/><Relationship Id="rId473" Type="http://schemas.openxmlformats.org/officeDocument/2006/relationships/image" Target="../media/image473.jpeg"/><Relationship Id="rId680" Type="http://schemas.openxmlformats.org/officeDocument/2006/relationships/image" Target="../media/image680.jpeg"/><Relationship Id="rId2154" Type="http://schemas.openxmlformats.org/officeDocument/2006/relationships/image" Target="../media/image2154.jpeg"/><Relationship Id="rId2361" Type="http://schemas.openxmlformats.org/officeDocument/2006/relationships/image" Target="../media/image2361.jpeg"/><Relationship Id="rId3205" Type="http://schemas.openxmlformats.org/officeDocument/2006/relationships/image" Target="../media/image3205.jpeg"/><Relationship Id="rId3412" Type="http://schemas.openxmlformats.org/officeDocument/2006/relationships/image" Target="../media/image3412.jpeg"/><Relationship Id="rId4810" Type="http://schemas.openxmlformats.org/officeDocument/2006/relationships/image" Target="../media/image4810.jpeg"/><Relationship Id="rId126" Type="http://schemas.openxmlformats.org/officeDocument/2006/relationships/image" Target="../media/image126.jpeg"/><Relationship Id="rId333" Type="http://schemas.openxmlformats.org/officeDocument/2006/relationships/image" Target="../media/image333.jpeg"/><Relationship Id="rId540" Type="http://schemas.openxmlformats.org/officeDocument/2006/relationships/image" Target="../media/image540.jpeg"/><Relationship Id="rId1170" Type="http://schemas.openxmlformats.org/officeDocument/2006/relationships/image" Target="../media/image1170.jpeg"/><Relationship Id="rId2014" Type="http://schemas.openxmlformats.org/officeDocument/2006/relationships/image" Target="../media/image2014.jpeg"/><Relationship Id="rId2221" Type="http://schemas.openxmlformats.org/officeDocument/2006/relationships/image" Target="../media/image2221.jpeg"/><Relationship Id="rId1030" Type="http://schemas.openxmlformats.org/officeDocument/2006/relationships/image" Target="../media/image1030.jpeg"/><Relationship Id="rId4186" Type="http://schemas.openxmlformats.org/officeDocument/2006/relationships/image" Target="../media/image4186.jpeg"/><Relationship Id="rId400" Type="http://schemas.openxmlformats.org/officeDocument/2006/relationships/image" Target="../media/image400.jpeg"/><Relationship Id="rId1987" Type="http://schemas.openxmlformats.org/officeDocument/2006/relationships/image" Target="../media/image1987.jpeg"/><Relationship Id="rId4393" Type="http://schemas.openxmlformats.org/officeDocument/2006/relationships/image" Target="../media/image4393.jpeg"/><Relationship Id="rId1847" Type="http://schemas.openxmlformats.org/officeDocument/2006/relationships/image" Target="../media/image1847.jpeg"/><Relationship Id="rId4046" Type="http://schemas.openxmlformats.org/officeDocument/2006/relationships/image" Target="../media/image4046.jpeg"/><Relationship Id="rId4253" Type="http://schemas.openxmlformats.org/officeDocument/2006/relationships/image" Target="../media/image4253.jpeg"/><Relationship Id="rId4460" Type="http://schemas.openxmlformats.org/officeDocument/2006/relationships/image" Target="../media/image4460.jpeg"/><Relationship Id="rId1707" Type="http://schemas.openxmlformats.org/officeDocument/2006/relationships/image" Target="../media/image1707.jpeg"/><Relationship Id="rId3062" Type="http://schemas.openxmlformats.org/officeDocument/2006/relationships/image" Target="../media/image3062.jpeg"/><Relationship Id="rId4113" Type="http://schemas.openxmlformats.org/officeDocument/2006/relationships/image" Target="../media/image4113.jpeg"/><Relationship Id="rId4320" Type="http://schemas.openxmlformats.org/officeDocument/2006/relationships/image" Target="../media/image4320.jpeg"/><Relationship Id="rId190" Type="http://schemas.openxmlformats.org/officeDocument/2006/relationships/image" Target="../media/image190.jpeg"/><Relationship Id="rId1914" Type="http://schemas.openxmlformats.org/officeDocument/2006/relationships/image" Target="../media/image1914.jpeg"/><Relationship Id="rId3879" Type="http://schemas.openxmlformats.org/officeDocument/2006/relationships/image" Target="../media/image3879.jpeg"/><Relationship Id="rId2688" Type="http://schemas.openxmlformats.org/officeDocument/2006/relationships/image" Target="../media/image2688.jpeg"/><Relationship Id="rId2895" Type="http://schemas.openxmlformats.org/officeDocument/2006/relationships/image" Target="../media/image2895.jpeg"/><Relationship Id="rId3739" Type="http://schemas.openxmlformats.org/officeDocument/2006/relationships/image" Target="../media/image3739.jpeg"/><Relationship Id="rId3946" Type="http://schemas.openxmlformats.org/officeDocument/2006/relationships/image" Target="../media/image3946.jpeg"/><Relationship Id="rId867" Type="http://schemas.openxmlformats.org/officeDocument/2006/relationships/image" Target="../media/image867.jpeg"/><Relationship Id="rId1497" Type="http://schemas.openxmlformats.org/officeDocument/2006/relationships/image" Target="../media/image1497.jpeg"/><Relationship Id="rId2548" Type="http://schemas.openxmlformats.org/officeDocument/2006/relationships/image" Target="../media/image2548.jpeg"/><Relationship Id="rId2755" Type="http://schemas.openxmlformats.org/officeDocument/2006/relationships/image" Target="../media/image2755.jpeg"/><Relationship Id="rId2962" Type="http://schemas.openxmlformats.org/officeDocument/2006/relationships/image" Target="../media/image2962.jpeg"/><Relationship Id="rId3806" Type="http://schemas.openxmlformats.org/officeDocument/2006/relationships/image" Target="../media/image3806.jpeg"/><Relationship Id="rId727" Type="http://schemas.openxmlformats.org/officeDocument/2006/relationships/image" Target="../media/image727.jpeg"/><Relationship Id="rId934" Type="http://schemas.openxmlformats.org/officeDocument/2006/relationships/image" Target="../media/image934.jpeg"/><Relationship Id="rId1357" Type="http://schemas.openxmlformats.org/officeDocument/2006/relationships/image" Target="../media/image1357.jpeg"/><Relationship Id="rId1564" Type="http://schemas.openxmlformats.org/officeDocument/2006/relationships/image" Target="../media/image1564.jpeg"/><Relationship Id="rId1771" Type="http://schemas.openxmlformats.org/officeDocument/2006/relationships/image" Target="../media/image1771.jpeg"/><Relationship Id="rId2408" Type="http://schemas.openxmlformats.org/officeDocument/2006/relationships/image" Target="../media/image2408.jpeg"/><Relationship Id="rId2615" Type="http://schemas.openxmlformats.org/officeDocument/2006/relationships/image" Target="../media/image2615.jpeg"/><Relationship Id="rId2822" Type="http://schemas.openxmlformats.org/officeDocument/2006/relationships/image" Target="../media/image2822.jpeg"/><Relationship Id="rId63" Type="http://schemas.openxmlformats.org/officeDocument/2006/relationships/image" Target="../media/image63.jpeg"/><Relationship Id="rId1217" Type="http://schemas.openxmlformats.org/officeDocument/2006/relationships/image" Target="../media/image1217.jpeg"/><Relationship Id="rId1424" Type="http://schemas.openxmlformats.org/officeDocument/2006/relationships/image" Target="../media/image1424.jpeg"/><Relationship Id="rId1631" Type="http://schemas.openxmlformats.org/officeDocument/2006/relationships/image" Target="../media/image1631.jpeg"/><Relationship Id="rId4787" Type="http://schemas.openxmlformats.org/officeDocument/2006/relationships/image" Target="../media/image4787.jpeg"/><Relationship Id="rId3389" Type="http://schemas.openxmlformats.org/officeDocument/2006/relationships/image" Target="../media/image3389.jpeg"/><Relationship Id="rId3596" Type="http://schemas.openxmlformats.org/officeDocument/2006/relationships/image" Target="../media/image3596.jpeg"/><Relationship Id="rId4647" Type="http://schemas.openxmlformats.org/officeDocument/2006/relationships/image" Target="../media/image4647.jpeg"/><Relationship Id="rId2198" Type="http://schemas.openxmlformats.org/officeDocument/2006/relationships/image" Target="../media/image2198.jpeg"/><Relationship Id="rId3249" Type="http://schemas.openxmlformats.org/officeDocument/2006/relationships/image" Target="../media/image3249.jpeg"/><Relationship Id="rId3456" Type="http://schemas.openxmlformats.org/officeDocument/2006/relationships/image" Target="../media/image3456.jpeg"/><Relationship Id="rId4854" Type="http://schemas.openxmlformats.org/officeDocument/2006/relationships/image" Target="../media/image4854.jpeg"/><Relationship Id="rId377" Type="http://schemas.openxmlformats.org/officeDocument/2006/relationships/image" Target="../media/image377.jpeg"/><Relationship Id="rId584" Type="http://schemas.openxmlformats.org/officeDocument/2006/relationships/image" Target="../media/image584.jpeg"/><Relationship Id="rId2058" Type="http://schemas.openxmlformats.org/officeDocument/2006/relationships/image" Target="../media/image2058.jpeg"/><Relationship Id="rId2265" Type="http://schemas.openxmlformats.org/officeDocument/2006/relationships/image" Target="../media/image2265.jpeg"/><Relationship Id="rId3109" Type="http://schemas.openxmlformats.org/officeDocument/2006/relationships/image" Target="../media/image3109.jpeg"/><Relationship Id="rId3663" Type="http://schemas.openxmlformats.org/officeDocument/2006/relationships/image" Target="../media/image3663.jpeg"/><Relationship Id="rId3870" Type="http://schemas.openxmlformats.org/officeDocument/2006/relationships/image" Target="../media/image3870.jpeg"/><Relationship Id="rId4507" Type="http://schemas.openxmlformats.org/officeDocument/2006/relationships/image" Target="../media/image4507.jpeg"/><Relationship Id="rId4714" Type="http://schemas.openxmlformats.org/officeDocument/2006/relationships/image" Target="../media/image4714.jpeg"/><Relationship Id="rId4921" Type="http://schemas.openxmlformats.org/officeDocument/2006/relationships/image" Target="../media/image4921.jpeg"/><Relationship Id="rId237" Type="http://schemas.openxmlformats.org/officeDocument/2006/relationships/image" Target="../media/image237.jpeg"/><Relationship Id="rId791" Type="http://schemas.openxmlformats.org/officeDocument/2006/relationships/image" Target="../media/image791.jpeg"/><Relationship Id="rId1074" Type="http://schemas.openxmlformats.org/officeDocument/2006/relationships/image" Target="../media/image1074.jpeg"/><Relationship Id="rId2472" Type="http://schemas.openxmlformats.org/officeDocument/2006/relationships/image" Target="../media/image2472.jpeg"/><Relationship Id="rId3316" Type="http://schemas.openxmlformats.org/officeDocument/2006/relationships/image" Target="../media/image3316.jpeg"/><Relationship Id="rId3523" Type="http://schemas.openxmlformats.org/officeDocument/2006/relationships/image" Target="../media/image3523.jpeg"/><Relationship Id="rId3730" Type="http://schemas.openxmlformats.org/officeDocument/2006/relationships/image" Target="../media/image3730.jpeg"/><Relationship Id="rId444" Type="http://schemas.openxmlformats.org/officeDocument/2006/relationships/image" Target="../media/image444.jpeg"/><Relationship Id="rId651" Type="http://schemas.openxmlformats.org/officeDocument/2006/relationships/image" Target="../media/image651.jpeg"/><Relationship Id="rId1281" Type="http://schemas.openxmlformats.org/officeDocument/2006/relationships/image" Target="../media/image1281.jpeg"/><Relationship Id="rId2125" Type="http://schemas.openxmlformats.org/officeDocument/2006/relationships/image" Target="../media/image2125.jpeg"/><Relationship Id="rId2332" Type="http://schemas.openxmlformats.org/officeDocument/2006/relationships/image" Target="../media/image2332.jpeg"/><Relationship Id="rId304" Type="http://schemas.openxmlformats.org/officeDocument/2006/relationships/image" Target="../media/image304.jpeg"/><Relationship Id="rId511" Type="http://schemas.openxmlformats.org/officeDocument/2006/relationships/image" Target="../media/image511.jpeg"/><Relationship Id="rId1141" Type="http://schemas.openxmlformats.org/officeDocument/2006/relationships/image" Target="../media/image1141.jpeg"/><Relationship Id="rId4297" Type="http://schemas.openxmlformats.org/officeDocument/2006/relationships/image" Target="../media/image4297.jpeg"/><Relationship Id="rId1001" Type="http://schemas.openxmlformats.org/officeDocument/2006/relationships/image" Target="../media/image1001.jpeg"/><Relationship Id="rId4157" Type="http://schemas.openxmlformats.org/officeDocument/2006/relationships/image" Target="../media/image4157.jpeg"/><Relationship Id="rId4364" Type="http://schemas.openxmlformats.org/officeDocument/2006/relationships/image" Target="../media/image4364.jpeg"/><Relationship Id="rId4571" Type="http://schemas.openxmlformats.org/officeDocument/2006/relationships/image" Target="../media/image4571.jpeg"/><Relationship Id="rId1958" Type="http://schemas.openxmlformats.org/officeDocument/2006/relationships/image" Target="../media/image1958.jpeg"/><Relationship Id="rId3173" Type="http://schemas.openxmlformats.org/officeDocument/2006/relationships/image" Target="../media/image3173.jpeg"/><Relationship Id="rId3380" Type="http://schemas.openxmlformats.org/officeDocument/2006/relationships/image" Target="../media/image3380.jpeg"/><Relationship Id="rId4017" Type="http://schemas.openxmlformats.org/officeDocument/2006/relationships/image" Target="../media/image4017.jpeg"/><Relationship Id="rId4224" Type="http://schemas.openxmlformats.org/officeDocument/2006/relationships/image" Target="../media/image4224.jpeg"/><Relationship Id="rId4431" Type="http://schemas.openxmlformats.org/officeDocument/2006/relationships/image" Target="../media/image4431.jpeg"/><Relationship Id="rId1818" Type="http://schemas.openxmlformats.org/officeDocument/2006/relationships/image" Target="../media/image1818.jpeg"/><Relationship Id="rId3033" Type="http://schemas.openxmlformats.org/officeDocument/2006/relationships/image" Target="../media/image3033.jpeg"/><Relationship Id="rId3240" Type="http://schemas.openxmlformats.org/officeDocument/2006/relationships/image" Target="../media/image3240.jpeg"/><Relationship Id="rId161" Type="http://schemas.openxmlformats.org/officeDocument/2006/relationships/image" Target="../media/image161.jpeg"/><Relationship Id="rId2799" Type="http://schemas.openxmlformats.org/officeDocument/2006/relationships/image" Target="../media/image2799.jpeg"/><Relationship Id="rId3100" Type="http://schemas.openxmlformats.org/officeDocument/2006/relationships/image" Target="../media/image3100.jpeg"/><Relationship Id="rId978" Type="http://schemas.openxmlformats.org/officeDocument/2006/relationships/image" Target="../media/image978.jpeg"/><Relationship Id="rId2659" Type="http://schemas.openxmlformats.org/officeDocument/2006/relationships/image" Target="../media/image2659.jpeg"/><Relationship Id="rId2866" Type="http://schemas.openxmlformats.org/officeDocument/2006/relationships/image" Target="../media/image2866.jpeg"/><Relationship Id="rId3917" Type="http://schemas.openxmlformats.org/officeDocument/2006/relationships/image" Target="../media/image3917.jpeg"/><Relationship Id="rId838" Type="http://schemas.openxmlformats.org/officeDocument/2006/relationships/image" Target="../media/image838.jpeg"/><Relationship Id="rId1468" Type="http://schemas.openxmlformats.org/officeDocument/2006/relationships/image" Target="../media/image1468.jpeg"/><Relationship Id="rId1675" Type="http://schemas.openxmlformats.org/officeDocument/2006/relationships/image" Target="../media/image1675.jpeg"/><Relationship Id="rId1882" Type="http://schemas.openxmlformats.org/officeDocument/2006/relationships/image" Target="../media/image1882.jpeg"/><Relationship Id="rId2519" Type="http://schemas.openxmlformats.org/officeDocument/2006/relationships/image" Target="../media/image2519.jpeg"/><Relationship Id="rId2726" Type="http://schemas.openxmlformats.org/officeDocument/2006/relationships/image" Target="../media/image2726.jpeg"/><Relationship Id="rId4081" Type="http://schemas.openxmlformats.org/officeDocument/2006/relationships/image" Target="../media/image4081.jpeg"/><Relationship Id="rId1328" Type="http://schemas.openxmlformats.org/officeDocument/2006/relationships/image" Target="../media/image1328.jpeg"/><Relationship Id="rId1535" Type="http://schemas.openxmlformats.org/officeDocument/2006/relationships/image" Target="../media/image1535.jpeg"/><Relationship Id="rId2933" Type="http://schemas.openxmlformats.org/officeDocument/2006/relationships/image" Target="../media/image2933.jpeg"/><Relationship Id="rId905" Type="http://schemas.openxmlformats.org/officeDocument/2006/relationships/image" Target="../media/image905.jpeg"/><Relationship Id="rId1742" Type="http://schemas.openxmlformats.org/officeDocument/2006/relationships/image" Target="../media/image1742.jpeg"/><Relationship Id="rId4898" Type="http://schemas.openxmlformats.org/officeDocument/2006/relationships/image" Target="../media/image4898.jpeg"/><Relationship Id="rId34" Type="http://schemas.openxmlformats.org/officeDocument/2006/relationships/image" Target="../media/image34.jpeg"/><Relationship Id="rId1602" Type="http://schemas.openxmlformats.org/officeDocument/2006/relationships/image" Target="../media/image1602.jpeg"/><Relationship Id="rId4758" Type="http://schemas.openxmlformats.org/officeDocument/2006/relationships/image" Target="../media/image4758.jpeg"/><Relationship Id="rId4965" Type="http://schemas.openxmlformats.org/officeDocument/2006/relationships/image" Target="../media/image4965.jpeg"/><Relationship Id="rId3567" Type="http://schemas.openxmlformats.org/officeDocument/2006/relationships/image" Target="../media/image3567.jpeg"/><Relationship Id="rId3774" Type="http://schemas.openxmlformats.org/officeDocument/2006/relationships/image" Target="../media/image3774.jpeg"/><Relationship Id="rId3981" Type="http://schemas.openxmlformats.org/officeDocument/2006/relationships/image" Target="../media/image3981.jpeg"/><Relationship Id="rId4618" Type="http://schemas.openxmlformats.org/officeDocument/2006/relationships/image" Target="../media/image4618.jpeg"/><Relationship Id="rId4825" Type="http://schemas.openxmlformats.org/officeDocument/2006/relationships/image" Target="../media/image4825.jpeg"/><Relationship Id="rId488" Type="http://schemas.openxmlformats.org/officeDocument/2006/relationships/image" Target="../media/image488.jpeg"/><Relationship Id="rId695" Type="http://schemas.openxmlformats.org/officeDocument/2006/relationships/image" Target="../media/image695.jpeg"/><Relationship Id="rId2169" Type="http://schemas.openxmlformats.org/officeDocument/2006/relationships/image" Target="../media/image2169.jpeg"/><Relationship Id="rId2376" Type="http://schemas.openxmlformats.org/officeDocument/2006/relationships/image" Target="../media/image2376.jpeg"/><Relationship Id="rId2583" Type="http://schemas.openxmlformats.org/officeDocument/2006/relationships/image" Target="../media/image2583.jpeg"/><Relationship Id="rId2790" Type="http://schemas.openxmlformats.org/officeDocument/2006/relationships/image" Target="../media/image2790.jpeg"/><Relationship Id="rId3427" Type="http://schemas.openxmlformats.org/officeDocument/2006/relationships/image" Target="../media/image3427.jpeg"/><Relationship Id="rId3634" Type="http://schemas.openxmlformats.org/officeDocument/2006/relationships/image" Target="../media/image3634.jpeg"/><Relationship Id="rId3841" Type="http://schemas.openxmlformats.org/officeDocument/2006/relationships/image" Target="../media/image3841.jpeg"/><Relationship Id="rId348" Type="http://schemas.openxmlformats.org/officeDocument/2006/relationships/image" Target="../media/image348.jpeg"/><Relationship Id="rId555" Type="http://schemas.openxmlformats.org/officeDocument/2006/relationships/image" Target="../media/image555.jpeg"/><Relationship Id="rId762" Type="http://schemas.openxmlformats.org/officeDocument/2006/relationships/image" Target="../media/image762.jpeg"/><Relationship Id="rId1185" Type="http://schemas.openxmlformats.org/officeDocument/2006/relationships/image" Target="../media/image1185.jpeg"/><Relationship Id="rId1392" Type="http://schemas.openxmlformats.org/officeDocument/2006/relationships/image" Target="../media/image1392.jpeg"/><Relationship Id="rId2029" Type="http://schemas.openxmlformats.org/officeDocument/2006/relationships/image" Target="../media/image2029.jpeg"/><Relationship Id="rId2236" Type="http://schemas.openxmlformats.org/officeDocument/2006/relationships/image" Target="../media/image2236.jpeg"/><Relationship Id="rId2443" Type="http://schemas.openxmlformats.org/officeDocument/2006/relationships/image" Target="../media/image2443.jpeg"/><Relationship Id="rId2650" Type="http://schemas.openxmlformats.org/officeDocument/2006/relationships/image" Target="../media/image2650.jpeg"/><Relationship Id="rId3701" Type="http://schemas.openxmlformats.org/officeDocument/2006/relationships/image" Target="../media/image3701.jpeg"/><Relationship Id="rId208" Type="http://schemas.openxmlformats.org/officeDocument/2006/relationships/image" Target="../media/image208.jpeg"/><Relationship Id="rId415" Type="http://schemas.openxmlformats.org/officeDocument/2006/relationships/image" Target="../media/image415.jpeg"/><Relationship Id="rId622" Type="http://schemas.openxmlformats.org/officeDocument/2006/relationships/image" Target="../media/image622.jpeg"/><Relationship Id="rId1045" Type="http://schemas.openxmlformats.org/officeDocument/2006/relationships/image" Target="../media/image1045.jpeg"/><Relationship Id="rId1252" Type="http://schemas.openxmlformats.org/officeDocument/2006/relationships/image" Target="../media/image1252.jpeg"/><Relationship Id="rId2303" Type="http://schemas.openxmlformats.org/officeDocument/2006/relationships/image" Target="../media/image2303.jpeg"/><Relationship Id="rId2510" Type="http://schemas.openxmlformats.org/officeDocument/2006/relationships/image" Target="../media/image2510.jpeg"/><Relationship Id="rId1112" Type="http://schemas.openxmlformats.org/officeDocument/2006/relationships/image" Target="../media/image1112.jpeg"/><Relationship Id="rId4268" Type="http://schemas.openxmlformats.org/officeDocument/2006/relationships/image" Target="../media/image4268.jpeg"/><Relationship Id="rId4475" Type="http://schemas.openxmlformats.org/officeDocument/2006/relationships/image" Target="../media/image4475.jpeg"/><Relationship Id="rId3077" Type="http://schemas.openxmlformats.org/officeDocument/2006/relationships/image" Target="../media/image3077.jpeg"/><Relationship Id="rId3284" Type="http://schemas.openxmlformats.org/officeDocument/2006/relationships/image" Target="../media/image3284.jpeg"/><Relationship Id="rId4128" Type="http://schemas.openxmlformats.org/officeDocument/2006/relationships/image" Target="../media/image4128.jpeg"/><Relationship Id="rId4682" Type="http://schemas.openxmlformats.org/officeDocument/2006/relationships/image" Target="../media/image4682.jpeg"/><Relationship Id="rId1929" Type="http://schemas.openxmlformats.org/officeDocument/2006/relationships/image" Target="../media/image1929.jpeg"/><Relationship Id="rId2093" Type="http://schemas.openxmlformats.org/officeDocument/2006/relationships/image" Target="../media/image2093.jpeg"/><Relationship Id="rId3491" Type="http://schemas.openxmlformats.org/officeDocument/2006/relationships/image" Target="../media/image3491.jpeg"/><Relationship Id="rId4335" Type="http://schemas.openxmlformats.org/officeDocument/2006/relationships/image" Target="../media/image4335.jpeg"/><Relationship Id="rId4542" Type="http://schemas.openxmlformats.org/officeDocument/2006/relationships/image" Target="../media/image4542.jpeg"/><Relationship Id="rId3144" Type="http://schemas.openxmlformats.org/officeDocument/2006/relationships/image" Target="../media/image3144.jpeg"/><Relationship Id="rId3351" Type="http://schemas.openxmlformats.org/officeDocument/2006/relationships/image" Target="../media/image3351.jpeg"/><Relationship Id="rId4402" Type="http://schemas.openxmlformats.org/officeDocument/2006/relationships/image" Target="../media/image4402.jpeg"/><Relationship Id="rId272" Type="http://schemas.openxmlformats.org/officeDocument/2006/relationships/image" Target="../media/image272.jpeg"/><Relationship Id="rId2160" Type="http://schemas.openxmlformats.org/officeDocument/2006/relationships/image" Target="../media/image2160.jpeg"/><Relationship Id="rId3004" Type="http://schemas.openxmlformats.org/officeDocument/2006/relationships/image" Target="../media/image3004.jpeg"/><Relationship Id="rId3211" Type="http://schemas.openxmlformats.org/officeDocument/2006/relationships/image" Target="../media/image3211.jpeg"/><Relationship Id="rId132" Type="http://schemas.openxmlformats.org/officeDocument/2006/relationships/image" Target="../media/image132.jpeg"/><Relationship Id="rId2020" Type="http://schemas.openxmlformats.org/officeDocument/2006/relationships/image" Target="../media/image2020.jpeg"/><Relationship Id="rId1579" Type="http://schemas.openxmlformats.org/officeDocument/2006/relationships/image" Target="../media/image1579.jpeg"/><Relationship Id="rId2977" Type="http://schemas.openxmlformats.org/officeDocument/2006/relationships/image" Target="../media/image2977.jpeg"/><Relationship Id="rId4192" Type="http://schemas.openxmlformats.org/officeDocument/2006/relationships/image" Target="../media/image4192.jpeg"/><Relationship Id="rId949" Type="http://schemas.openxmlformats.org/officeDocument/2006/relationships/image" Target="../media/image949.jpeg"/><Relationship Id="rId1786" Type="http://schemas.openxmlformats.org/officeDocument/2006/relationships/image" Target="../media/image1786.jpeg"/><Relationship Id="rId1993" Type="http://schemas.openxmlformats.org/officeDocument/2006/relationships/image" Target="../media/image1993.jpeg"/><Relationship Id="rId2837" Type="http://schemas.openxmlformats.org/officeDocument/2006/relationships/image" Target="../media/image2837.jpeg"/><Relationship Id="rId4052" Type="http://schemas.openxmlformats.org/officeDocument/2006/relationships/image" Target="../media/image4052.jpeg"/><Relationship Id="rId78" Type="http://schemas.openxmlformats.org/officeDocument/2006/relationships/image" Target="../media/image78.jpeg"/><Relationship Id="rId809" Type="http://schemas.openxmlformats.org/officeDocument/2006/relationships/image" Target="../media/image809.jpeg"/><Relationship Id="rId1439" Type="http://schemas.openxmlformats.org/officeDocument/2006/relationships/image" Target="../media/image1439.jpeg"/><Relationship Id="rId1646" Type="http://schemas.openxmlformats.org/officeDocument/2006/relationships/image" Target="../media/image1646.jpeg"/><Relationship Id="rId1853" Type="http://schemas.openxmlformats.org/officeDocument/2006/relationships/image" Target="../media/image1853.jpeg"/><Relationship Id="rId2904" Type="http://schemas.openxmlformats.org/officeDocument/2006/relationships/image" Target="../media/image2904.jpeg"/><Relationship Id="rId1506" Type="http://schemas.openxmlformats.org/officeDocument/2006/relationships/image" Target="../media/image1506.jpeg"/><Relationship Id="rId1713" Type="http://schemas.openxmlformats.org/officeDocument/2006/relationships/image" Target="../media/image1713.jpeg"/><Relationship Id="rId1920" Type="http://schemas.openxmlformats.org/officeDocument/2006/relationships/image" Target="../media/image1920.jpeg"/><Relationship Id="rId4869" Type="http://schemas.openxmlformats.org/officeDocument/2006/relationships/image" Target="../media/image4869.jpeg"/><Relationship Id="rId3678" Type="http://schemas.openxmlformats.org/officeDocument/2006/relationships/image" Target="../media/image3678.jpeg"/><Relationship Id="rId3885" Type="http://schemas.openxmlformats.org/officeDocument/2006/relationships/image" Target="../media/image3885.jpeg"/><Relationship Id="rId4729" Type="http://schemas.openxmlformats.org/officeDocument/2006/relationships/image" Target="../media/image4729.jpeg"/><Relationship Id="rId4936" Type="http://schemas.openxmlformats.org/officeDocument/2006/relationships/image" Target="../media/image4936.jpeg"/><Relationship Id="rId599" Type="http://schemas.openxmlformats.org/officeDocument/2006/relationships/image" Target="../media/image599.jpeg"/><Relationship Id="rId2487" Type="http://schemas.openxmlformats.org/officeDocument/2006/relationships/image" Target="../media/image2487.jpeg"/><Relationship Id="rId2694" Type="http://schemas.openxmlformats.org/officeDocument/2006/relationships/image" Target="../media/image2694.jpeg"/><Relationship Id="rId3538" Type="http://schemas.openxmlformats.org/officeDocument/2006/relationships/image" Target="../media/image3538.jpeg"/><Relationship Id="rId3745" Type="http://schemas.openxmlformats.org/officeDocument/2006/relationships/image" Target="../media/image3745.jpeg"/><Relationship Id="rId459" Type="http://schemas.openxmlformats.org/officeDocument/2006/relationships/image" Target="../media/image459.jpeg"/><Relationship Id="rId666" Type="http://schemas.openxmlformats.org/officeDocument/2006/relationships/image" Target="../media/image666.jpeg"/><Relationship Id="rId873" Type="http://schemas.openxmlformats.org/officeDocument/2006/relationships/image" Target="../media/image873.jpeg"/><Relationship Id="rId1089" Type="http://schemas.openxmlformats.org/officeDocument/2006/relationships/image" Target="../media/image1089.jpeg"/><Relationship Id="rId1296" Type="http://schemas.openxmlformats.org/officeDocument/2006/relationships/image" Target="../media/image1296.jpeg"/><Relationship Id="rId2347" Type="http://schemas.openxmlformats.org/officeDocument/2006/relationships/image" Target="../media/image2347.jpeg"/><Relationship Id="rId2554" Type="http://schemas.openxmlformats.org/officeDocument/2006/relationships/image" Target="../media/image2554.jpeg"/><Relationship Id="rId3952" Type="http://schemas.openxmlformats.org/officeDocument/2006/relationships/image" Target="../media/image3952.jpeg"/><Relationship Id="rId319" Type="http://schemas.openxmlformats.org/officeDocument/2006/relationships/image" Target="../media/image319.jpeg"/><Relationship Id="rId526" Type="http://schemas.openxmlformats.org/officeDocument/2006/relationships/image" Target="../media/image526.jpeg"/><Relationship Id="rId1156" Type="http://schemas.openxmlformats.org/officeDocument/2006/relationships/image" Target="../media/image1156.jpeg"/><Relationship Id="rId1363" Type="http://schemas.openxmlformats.org/officeDocument/2006/relationships/image" Target="../media/image1363.jpeg"/><Relationship Id="rId2207" Type="http://schemas.openxmlformats.org/officeDocument/2006/relationships/image" Target="../media/image2207.jpeg"/><Relationship Id="rId2761" Type="http://schemas.openxmlformats.org/officeDocument/2006/relationships/image" Target="../media/image2761.jpeg"/><Relationship Id="rId3605" Type="http://schemas.openxmlformats.org/officeDocument/2006/relationships/image" Target="../media/image3605.jpeg"/><Relationship Id="rId3812" Type="http://schemas.openxmlformats.org/officeDocument/2006/relationships/image" Target="../media/image3812.jpeg"/><Relationship Id="rId733" Type="http://schemas.openxmlformats.org/officeDocument/2006/relationships/image" Target="../media/image733.jpeg"/><Relationship Id="rId940" Type="http://schemas.openxmlformats.org/officeDocument/2006/relationships/image" Target="../media/image940.jpeg"/><Relationship Id="rId1016" Type="http://schemas.openxmlformats.org/officeDocument/2006/relationships/image" Target="../media/image1016.jpeg"/><Relationship Id="rId1570" Type="http://schemas.openxmlformats.org/officeDocument/2006/relationships/image" Target="../media/image1570.jpeg"/><Relationship Id="rId2414" Type="http://schemas.openxmlformats.org/officeDocument/2006/relationships/image" Target="../media/image2414.jpeg"/><Relationship Id="rId2621" Type="http://schemas.openxmlformats.org/officeDocument/2006/relationships/image" Target="../media/image2621.jpeg"/><Relationship Id="rId800" Type="http://schemas.openxmlformats.org/officeDocument/2006/relationships/image" Target="../media/image800.jpeg"/><Relationship Id="rId1223" Type="http://schemas.openxmlformats.org/officeDocument/2006/relationships/image" Target="../media/image1223.jpeg"/><Relationship Id="rId1430" Type="http://schemas.openxmlformats.org/officeDocument/2006/relationships/image" Target="../media/image1430.jpeg"/><Relationship Id="rId4379" Type="http://schemas.openxmlformats.org/officeDocument/2006/relationships/image" Target="../media/image4379.jpeg"/><Relationship Id="rId4586" Type="http://schemas.openxmlformats.org/officeDocument/2006/relationships/image" Target="../media/image4586.jpeg"/><Relationship Id="rId4793" Type="http://schemas.openxmlformats.org/officeDocument/2006/relationships/image" Target="../media/image4793.jpeg"/><Relationship Id="rId3188" Type="http://schemas.openxmlformats.org/officeDocument/2006/relationships/image" Target="../media/image3188.jpeg"/><Relationship Id="rId3395" Type="http://schemas.openxmlformats.org/officeDocument/2006/relationships/image" Target="../media/image3395.jpeg"/><Relationship Id="rId4239" Type="http://schemas.openxmlformats.org/officeDocument/2006/relationships/image" Target="../media/image4239.jpeg"/><Relationship Id="rId4446" Type="http://schemas.openxmlformats.org/officeDocument/2006/relationships/image" Target="../media/image4446.jpeg"/><Relationship Id="rId4653" Type="http://schemas.openxmlformats.org/officeDocument/2006/relationships/image" Target="../media/image4653.jpeg"/><Relationship Id="rId4860" Type="http://schemas.openxmlformats.org/officeDocument/2006/relationships/image" Target="../media/image4860.jpeg"/><Relationship Id="rId3048" Type="http://schemas.openxmlformats.org/officeDocument/2006/relationships/image" Target="../media/image3048.jpeg"/><Relationship Id="rId3255" Type="http://schemas.openxmlformats.org/officeDocument/2006/relationships/image" Target="../media/image3255.jpeg"/><Relationship Id="rId3462" Type="http://schemas.openxmlformats.org/officeDocument/2006/relationships/image" Target="../media/image3462.jpeg"/><Relationship Id="rId4306" Type="http://schemas.openxmlformats.org/officeDocument/2006/relationships/image" Target="../media/image4306.jpeg"/><Relationship Id="rId4513" Type="http://schemas.openxmlformats.org/officeDocument/2006/relationships/image" Target="../media/image4513.jpeg"/><Relationship Id="rId4720" Type="http://schemas.openxmlformats.org/officeDocument/2006/relationships/image" Target="../media/image4720.jpeg"/><Relationship Id="rId176" Type="http://schemas.openxmlformats.org/officeDocument/2006/relationships/image" Target="../media/image176.jpeg"/><Relationship Id="rId383" Type="http://schemas.openxmlformats.org/officeDocument/2006/relationships/image" Target="../media/image383.jpeg"/><Relationship Id="rId590" Type="http://schemas.openxmlformats.org/officeDocument/2006/relationships/image" Target="../media/image590.jpeg"/><Relationship Id="rId2064" Type="http://schemas.openxmlformats.org/officeDocument/2006/relationships/image" Target="../media/image2064.jpeg"/><Relationship Id="rId2271" Type="http://schemas.openxmlformats.org/officeDocument/2006/relationships/image" Target="../media/image2271.jpeg"/><Relationship Id="rId3115" Type="http://schemas.openxmlformats.org/officeDocument/2006/relationships/image" Target="../media/image3115.jpeg"/><Relationship Id="rId3322" Type="http://schemas.openxmlformats.org/officeDocument/2006/relationships/image" Target="../media/image3322.jpeg"/><Relationship Id="rId243" Type="http://schemas.openxmlformats.org/officeDocument/2006/relationships/image" Target="../media/image243.jpeg"/><Relationship Id="rId450" Type="http://schemas.openxmlformats.org/officeDocument/2006/relationships/image" Target="../media/image450.jpeg"/><Relationship Id="rId1080" Type="http://schemas.openxmlformats.org/officeDocument/2006/relationships/image" Target="../media/image1080.jpeg"/><Relationship Id="rId2131" Type="http://schemas.openxmlformats.org/officeDocument/2006/relationships/image" Target="../media/image2131.jpeg"/><Relationship Id="rId103" Type="http://schemas.openxmlformats.org/officeDocument/2006/relationships/image" Target="../media/image103.jpeg"/><Relationship Id="rId310" Type="http://schemas.openxmlformats.org/officeDocument/2006/relationships/image" Target="../media/image310.jpeg"/><Relationship Id="rId4096" Type="http://schemas.openxmlformats.org/officeDocument/2006/relationships/image" Target="../media/image4096.jpeg"/><Relationship Id="rId1897" Type="http://schemas.openxmlformats.org/officeDocument/2006/relationships/image" Target="../media/image1897.jpeg"/><Relationship Id="rId2948" Type="http://schemas.openxmlformats.org/officeDocument/2006/relationships/image" Target="../media/image2948.jpeg"/><Relationship Id="rId1757" Type="http://schemas.openxmlformats.org/officeDocument/2006/relationships/image" Target="../media/image1757.jpeg"/><Relationship Id="rId1964" Type="http://schemas.openxmlformats.org/officeDocument/2006/relationships/image" Target="../media/image1964.jpeg"/><Relationship Id="rId2808" Type="http://schemas.openxmlformats.org/officeDocument/2006/relationships/image" Target="../media/image2808.jpeg"/><Relationship Id="rId4163" Type="http://schemas.openxmlformats.org/officeDocument/2006/relationships/image" Target="../media/image4163.jpeg"/><Relationship Id="rId4370" Type="http://schemas.openxmlformats.org/officeDocument/2006/relationships/image" Target="../media/image4370.jpeg"/><Relationship Id="rId49" Type="http://schemas.openxmlformats.org/officeDocument/2006/relationships/image" Target="../media/image49.jpeg"/><Relationship Id="rId1617" Type="http://schemas.openxmlformats.org/officeDocument/2006/relationships/image" Target="../media/image1617.jpeg"/><Relationship Id="rId1824" Type="http://schemas.openxmlformats.org/officeDocument/2006/relationships/image" Target="../media/image1824.jpeg"/><Relationship Id="rId4023" Type="http://schemas.openxmlformats.org/officeDocument/2006/relationships/image" Target="../media/image4023.jpeg"/><Relationship Id="rId4230" Type="http://schemas.openxmlformats.org/officeDocument/2006/relationships/image" Target="../media/image4230.jpeg"/><Relationship Id="rId3789" Type="http://schemas.openxmlformats.org/officeDocument/2006/relationships/image" Target="../media/image3789.jpeg"/><Relationship Id="rId2598" Type="http://schemas.openxmlformats.org/officeDocument/2006/relationships/image" Target="../media/image2598.jpeg"/><Relationship Id="rId3996" Type="http://schemas.openxmlformats.org/officeDocument/2006/relationships/image" Target="../media/image3996.jpeg"/><Relationship Id="rId3649" Type="http://schemas.openxmlformats.org/officeDocument/2006/relationships/image" Target="../media/image3649.jpeg"/><Relationship Id="rId3856" Type="http://schemas.openxmlformats.org/officeDocument/2006/relationships/image" Target="../media/image3856.jpeg"/><Relationship Id="rId4907" Type="http://schemas.openxmlformats.org/officeDocument/2006/relationships/image" Target="../media/image4907.jpeg"/><Relationship Id="rId777" Type="http://schemas.openxmlformats.org/officeDocument/2006/relationships/image" Target="../media/image777.jpeg"/><Relationship Id="rId984" Type="http://schemas.openxmlformats.org/officeDocument/2006/relationships/image" Target="../media/image984.jpeg"/><Relationship Id="rId2458" Type="http://schemas.openxmlformats.org/officeDocument/2006/relationships/image" Target="../media/image2458.jpeg"/><Relationship Id="rId2665" Type="http://schemas.openxmlformats.org/officeDocument/2006/relationships/image" Target="../media/image2665.jpeg"/><Relationship Id="rId2872" Type="http://schemas.openxmlformats.org/officeDocument/2006/relationships/image" Target="../media/image2872.jpeg"/><Relationship Id="rId3509" Type="http://schemas.openxmlformats.org/officeDocument/2006/relationships/image" Target="../media/image3509.jpeg"/><Relationship Id="rId3716" Type="http://schemas.openxmlformats.org/officeDocument/2006/relationships/image" Target="../media/image3716.jpeg"/><Relationship Id="rId3923" Type="http://schemas.openxmlformats.org/officeDocument/2006/relationships/image" Target="../media/image3923.jpeg"/><Relationship Id="rId637" Type="http://schemas.openxmlformats.org/officeDocument/2006/relationships/image" Target="../media/image637.jpeg"/><Relationship Id="rId844" Type="http://schemas.openxmlformats.org/officeDocument/2006/relationships/image" Target="../media/image844.jpeg"/><Relationship Id="rId1267" Type="http://schemas.openxmlformats.org/officeDocument/2006/relationships/image" Target="../media/image1267.jpeg"/><Relationship Id="rId1474" Type="http://schemas.openxmlformats.org/officeDocument/2006/relationships/image" Target="../media/image1474.jpeg"/><Relationship Id="rId1681" Type="http://schemas.openxmlformats.org/officeDocument/2006/relationships/image" Target="../media/image1681.jpeg"/><Relationship Id="rId2318" Type="http://schemas.openxmlformats.org/officeDocument/2006/relationships/image" Target="../media/image2318.jpeg"/><Relationship Id="rId2525" Type="http://schemas.openxmlformats.org/officeDocument/2006/relationships/image" Target="../media/image2525.jpeg"/><Relationship Id="rId2732" Type="http://schemas.openxmlformats.org/officeDocument/2006/relationships/image" Target="../media/image2732.jpeg"/><Relationship Id="rId704" Type="http://schemas.openxmlformats.org/officeDocument/2006/relationships/image" Target="../media/image704.jpeg"/><Relationship Id="rId911" Type="http://schemas.openxmlformats.org/officeDocument/2006/relationships/image" Target="../media/image911.jpeg"/><Relationship Id="rId1127" Type="http://schemas.openxmlformats.org/officeDocument/2006/relationships/image" Target="../media/image1127.jpeg"/><Relationship Id="rId1334" Type="http://schemas.openxmlformats.org/officeDocument/2006/relationships/image" Target="../media/image1334.jpeg"/><Relationship Id="rId1541" Type="http://schemas.openxmlformats.org/officeDocument/2006/relationships/image" Target="../media/image1541.jpeg"/><Relationship Id="rId4697" Type="http://schemas.openxmlformats.org/officeDocument/2006/relationships/image" Target="../media/image4697.jpeg"/><Relationship Id="rId40" Type="http://schemas.openxmlformats.org/officeDocument/2006/relationships/image" Target="../media/image40.jpeg"/><Relationship Id="rId1401" Type="http://schemas.openxmlformats.org/officeDocument/2006/relationships/image" Target="../media/image1401.jpeg"/><Relationship Id="rId3299" Type="http://schemas.openxmlformats.org/officeDocument/2006/relationships/image" Target="../media/image3299.jpeg"/><Relationship Id="rId4557" Type="http://schemas.openxmlformats.org/officeDocument/2006/relationships/image" Target="../media/image4557.jpeg"/><Relationship Id="rId4764" Type="http://schemas.openxmlformats.org/officeDocument/2006/relationships/image" Target="../media/image4764.jpeg"/><Relationship Id="rId3159" Type="http://schemas.openxmlformats.org/officeDocument/2006/relationships/image" Target="../media/image3159.jpeg"/><Relationship Id="rId3366" Type="http://schemas.openxmlformats.org/officeDocument/2006/relationships/image" Target="../media/image3366.jpeg"/><Relationship Id="rId3573" Type="http://schemas.openxmlformats.org/officeDocument/2006/relationships/image" Target="../media/image3573.jpeg"/><Relationship Id="rId4417" Type="http://schemas.openxmlformats.org/officeDocument/2006/relationships/image" Target="../media/image4417.jpeg"/><Relationship Id="rId4971" Type="http://schemas.openxmlformats.org/officeDocument/2006/relationships/image" Target="../media/image4971.jpeg"/><Relationship Id="rId287" Type="http://schemas.openxmlformats.org/officeDocument/2006/relationships/image" Target="../media/image287.jpeg"/><Relationship Id="rId494" Type="http://schemas.openxmlformats.org/officeDocument/2006/relationships/image" Target="../media/image494.jpeg"/><Relationship Id="rId2175" Type="http://schemas.openxmlformats.org/officeDocument/2006/relationships/image" Target="../media/image2175.jpeg"/><Relationship Id="rId2382" Type="http://schemas.openxmlformats.org/officeDocument/2006/relationships/image" Target="../media/image2382.jpeg"/><Relationship Id="rId3019" Type="http://schemas.openxmlformats.org/officeDocument/2006/relationships/image" Target="../media/image3019.jpeg"/><Relationship Id="rId3226" Type="http://schemas.openxmlformats.org/officeDocument/2006/relationships/image" Target="../media/image3226.jpeg"/><Relationship Id="rId3780" Type="http://schemas.openxmlformats.org/officeDocument/2006/relationships/image" Target="../media/image3780.jpeg"/><Relationship Id="rId4624" Type="http://schemas.openxmlformats.org/officeDocument/2006/relationships/image" Target="../media/image4624.jpeg"/><Relationship Id="rId4831" Type="http://schemas.openxmlformats.org/officeDocument/2006/relationships/image" Target="../media/image4831.jpeg"/><Relationship Id="rId147" Type="http://schemas.openxmlformats.org/officeDocument/2006/relationships/image" Target="../media/image147.jpeg"/><Relationship Id="rId354" Type="http://schemas.openxmlformats.org/officeDocument/2006/relationships/image" Target="../media/image354.jpeg"/><Relationship Id="rId1191" Type="http://schemas.openxmlformats.org/officeDocument/2006/relationships/image" Target="../media/image1191.jpeg"/><Relationship Id="rId2035" Type="http://schemas.openxmlformats.org/officeDocument/2006/relationships/image" Target="../media/image2035.jpeg"/><Relationship Id="rId3433" Type="http://schemas.openxmlformats.org/officeDocument/2006/relationships/image" Target="../media/image3433.jpeg"/><Relationship Id="rId3640" Type="http://schemas.openxmlformats.org/officeDocument/2006/relationships/image" Target="../media/image3640.jpeg"/><Relationship Id="rId561" Type="http://schemas.openxmlformats.org/officeDocument/2006/relationships/image" Target="../media/image561.jpeg"/><Relationship Id="rId2242" Type="http://schemas.openxmlformats.org/officeDocument/2006/relationships/image" Target="../media/image2242.jpeg"/><Relationship Id="rId3500" Type="http://schemas.openxmlformats.org/officeDocument/2006/relationships/image" Target="../media/image3500.jpeg"/><Relationship Id="rId214" Type="http://schemas.openxmlformats.org/officeDocument/2006/relationships/image" Target="../media/image214.jpeg"/><Relationship Id="rId421" Type="http://schemas.openxmlformats.org/officeDocument/2006/relationships/image" Target="../media/image421.jpeg"/><Relationship Id="rId1051" Type="http://schemas.openxmlformats.org/officeDocument/2006/relationships/image" Target="../media/image1051.jpeg"/><Relationship Id="rId2102" Type="http://schemas.openxmlformats.org/officeDocument/2006/relationships/image" Target="../media/image2102.jpeg"/><Relationship Id="rId1868" Type="http://schemas.openxmlformats.org/officeDocument/2006/relationships/image" Target="../media/image1868.jpeg"/><Relationship Id="rId4067" Type="http://schemas.openxmlformats.org/officeDocument/2006/relationships/image" Target="../media/image4067.jpeg"/><Relationship Id="rId4274" Type="http://schemas.openxmlformats.org/officeDocument/2006/relationships/image" Target="../media/image4274.jpeg"/><Relationship Id="rId4481" Type="http://schemas.openxmlformats.org/officeDocument/2006/relationships/image" Target="../media/image4481.jpeg"/><Relationship Id="rId2919" Type="http://schemas.openxmlformats.org/officeDocument/2006/relationships/image" Target="../media/image2919.jpeg"/><Relationship Id="rId3083" Type="http://schemas.openxmlformats.org/officeDocument/2006/relationships/image" Target="../media/image3083.jpeg"/><Relationship Id="rId3290" Type="http://schemas.openxmlformats.org/officeDocument/2006/relationships/image" Target="../media/image3290.jpeg"/><Relationship Id="rId4134" Type="http://schemas.openxmlformats.org/officeDocument/2006/relationships/image" Target="../media/image4134.jpeg"/><Relationship Id="rId4341" Type="http://schemas.openxmlformats.org/officeDocument/2006/relationships/image" Target="../media/image4341.jpeg"/><Relationship Id="rId1728" Type="http://schemas.openxmlformats.org/officeDocument/2006/relationships/image" Target="../media/image1728.jpeg"/><Relationship Id="rId1935" Type="http://schemas.openxmlformats.org/officeDocument/2006/relationships/image" Target="../media/image1935.jpeg"/><Relationship Id="rId3150" Type="http://schemas.openxmlformats.org/officeDocument/2006/relationships/image" Target="../media/image3150.jpeg"/><Relationship Id="rId4201" Type="http://schemas.openxmlformats.org/officeDocument/2006/relationships/image" Target="../media/image4201.jpeg"/><Relationship Id="rId3010" Type="http://schemas.openxmlformats.org/officeDocument/2006/relationships/image" Target="../media/image3010.jpeg"/><Relationship Id="rId3967" Type="http://schemas.openxmlformats.org/officeDocument/2006/relationships/image" Target="../media/image3967.jpeg"/><Relationship Id="rId4" Type="http://schemas.openxmlformats.org/officeDocument/2006/relationships/image" Target="../media/image4.jpeg"/><Relationship Id="rId888" Type="http://schemas.openxmlformats.org/officeDocument/2006/relationships/image" Target="../media/image888.jpeg"/><Relationship Id="rId2569" Type="http://schemas.openxmlformats.org/officeDocument/2006/relationships/image" Target="../media/image2569.jpeg"/><Relationship Id="rId2776" Type="http://schemas.openxmlformats.org/officeDocument/2006/relationships/image" Target="../media/image2776.jpeg"/><Relationship Id="rId2983" Type="http://schemas.openxmlformats.org/officeDocument/2006/relationships/image" Target="../media/image2983.jpeg"/><Relationship Id="rId3827" Type="http://schemas.openxmlformats.org/officeDocument/2006/relationships/image" Target="../media/image3827.jpeg"/><Relationship Id="rId748" Type="http://schemas.openxmlformats.org/officeDocument/2006/relationships/image" Target="../media/image748.jpeg"/><Relationship Id="rId955" Type="http://schemas.openxmlformats.org/officeDocument/2006/relationships/image" Target="../media/image955.jpeg"/><Relationship Id="rId1378" Type="http://schemas.openxmlformats.org/officeDocument/2006/relationships/image" Target="../media/image1378.jpeg"/><Relationship Id="rId1585" Type="http://schemas.openxmlformats.org/officeDocument/2006/relationships/image" Target="../media/image1585.jpeg"/><Relationship Id="rId1792" Type="http://schemas.openxmlformats.org/officeDocument/2006/relationships/image" Target="../media/image1792.jpeg"/><Relationship Id="rId2429" Type="http://schemas.openxmlformats.org/officeDocument/2006/relationships/image" Target="../media/image2429.jpeg"/><Relationship Id="rId2636" Type="http://schemas.openxmlformats.org/officeDocument/2006/relationships/image" Target="../media/image2636.jpeg"/><Relationship Id="rId2843" Type="http://schemas.openxmlformats.org/officeDocument/2006/relationships/image" Target="../media/image2843.jpeg"/><Relationship Id="rId84" Type="http://schemas.openxmlformats.org/officeDocument/2006/relationships/image" Target="../media/image84.jpeg"/><Relationship Id="rId608" Type="http://schemas.openxmlformats.org/officeDocument/2006/relationships/image" Target="../media/image608.jpeg"/><Relationship Id="rId815" Type="http://schemas.openxmlformats.org/officeDocument/2006/relationships/image" Target="../media/image815.jpeg"/><Relationship Id="rId1238" Type="http://schemas.openxmlformats.org/officeDocument/2006/relationships/image" Target="../media/image1238.jpeg"/><Relationship Id="rId1445" Type="http://schemas.openxmlformats.org/officeDocument/2006/relationships/image" Target="../media/image1445.jpeg"/><Relationship Id="rId1652" Type="http://schemas.openxmlformats.org/officeDocument/2006/relationships/image" Target="../media/image1652.jpeg"/><Relationship Id="rId1305" Type="http://schemas.openxmlformats.org/officeDocument/2006/relationships/image" Target="../media/image1305.jpeg"/><Relationship Id="rId2703" Type="http://schemas.openxmlformats.org/officeDocument/2006/relationships/image" Target="../media/image2703.jpeg"/><Relationship Id="rId2910" Type="http://schemas.openxmlformats.org/officeDocument/2006/relationships/image" Target="../media/image2910.jpeg"/><Relationship Id="rId1512" Type="http://schemas.openxmlformats.org/officeDocument/2006/relationships/image" Target="../media/image1512.jpeg"/><Relationship Id="rId4668" Type="http://schemas.openxmlformats.org/officeDocument/2006/relationships/image" Target="../media/image4668.jpeg"/><Relationship Id="rId4875" Type="http://schemas.openxmlformats.org/officeDocument/2006/relationships/image" Target="../media/image4875.jpeg"/><Relationship Id="rId11" Type="http://schemas.openxmlformats.org/officeDocument/2006/relationships/image" Target="../media/image11.jpeg"/><Relationship Id="rId398" Type="http://schemas.openxmlformats.org/officeDocument/2006/relationships/image" Target="../media/image398.jpeg"/><Relationship Id="rId2079" Type="http://schemas.openxmlformats.org/officeDocument/2006/relationships/image" Target="../media/image2079.jpeg"/><Relationship Id="rId3477" Type="http://schemas.openxmlformats.org/officeDocument/2006/relationships/image" Target="../media/image3477.jpeg"/><Relationship Id="rId3684" Type="http://schemas.openxmlformats.org/officeDocument/2006/relationships/image" Target="../media/image3684.jpeg"/><Relationship Id="rId3891" Type="http://schemas.openxmlformats.org/officeDocument/2006/relationships/image" Target="../media/image3891.jpeg"/><Relationship Id="rId4528" Type="http://schemas.openxmlformats.org/officeDocument/2006/relationships/image" Target="../media/image4528.jpeg"/><Relationship Id="rId4735" Type="http://schemas.openxmlformats.org/officeDocument/2006/relationships/image" Target="../media/image4735.jpeg"/><Relationship Id="rId4942" Type="http://schemas.openxmlformats.org/officeDocument/2006/relationships/image" Target="../media/image4942.jpeg"/><Relationship Id="rId2286" Type="http://schemas.openxmlformats.org/officeDocument/2006/relationships/image" Target="../media/image2286.jpeg"/><Relationship Id="rId2493" Type="http://schemas.openxmlformats.org/officeDocument/2006/relationships/image" Target="../media/image2493.jpeg"/><Relationship Id="rId3337" Type="http://schemas.openxmlformats.org/officeDocument/2006/relationships/image" Target="../media/image3337.jpeg"/><Relationship Id="rId3544" Type="http://schemas.openxmlformats.org/officeDocument/2006/relationships/image" Target="../media/image3544.jpeg"/><Relationship Id="rId3751" Type="http://schemas.openxmlformats.org/officeDocument/2006/relationships/image" Target="../media/image3751.jpeg"/><Relationship Id="rId4802" Type="http://schemas.openxmlformats.org/officeDocument/2006/relationships/image" Target="../media/image4802.jpeg"/><Relationship Id="rId258" Type="http://schemas.openxmlformats.org/officeDocument/2006/relationships/image" Target="../media/image258.jpeg"/><Relationship Id="rId465" Type="http://schemas.openxmlformats.org/officeDocument/2006/relationships/image" Target="../media/image465.jpeg"/><Relationship Id="rId672" Type="http://schemas.openxmlformats.org/officeDocument/2006/relationships/image" Target="../media/image672.jpeg"/><Relationship Id="rId1095" Type="http://schemas.openxmlformats.org/officeDocument/2006/relationships/image" Target="../media/image1095.jpeg"/><Relationship Id="rId2146" Type="http://schemas.openxmlformats.org/officeDocument/2006/relationships/image" Target="../media/image2146.jpeg"/><Relationship Id="rId2353" Type="http://schemas.openxmlformats.org/officeDocument/2006/relationships/image" Target="../media/image2353.jpeg"/><Relationship Id="rId2560" Type="http://schemas.openxmlformats.org/officeDocument/2006/relationships/image" Target="../media/image2560.jpeg"/><Relationship Id="rId3404" Type="http://schemas.openxmlformats.org/officeDocument/2006/relationships/image" Target="../media/image3404.jpeg"/><Relationship Id="rId3611" Type="http://schemas.openxmlformats.org/officeDocument/2006/relationships/image" Target="../media/image3611.jpeg"/><Relationship Id="rId118" Type="http://schemas.openxmlformats.org/officeDocument/2006/relationships/image" Target="../media/image118.jpeg"/><Relationship Id="rId325" Type="http://schemas.openxmlformats.org/officeDocument/2006/relationships/image" Target="../media/image325.jpeg"/><Relationship Id="rId532" Type="http://schemas.openxmlformats.org/officeDocument/2006/relationships/image" Target="../media/image532.jpeg"/><Relationship Id="rId1162" Type="http://schemas.openxmlformats.org/officeDocument/2006/relationships/image" Target="../media/image1162.jpeg"/><Relationship Id="rId2006" Type="http://schemas.openxmlformats.org/officeDocument/2006/relationships/image" Target="../media/image2006.jpeg"/><Relationship Id="rId2213" Type="http://schemas.openxmlformats.org/officeDocument/2006/relationships/image" Target="../media/image2213.jpeg"/><Relationship Id="rId2420" Type="http://schemas.openxmlformats.org/officeDocument/2006/relationships/image" Target="../media/image2420.jpeg"/><Relationship Id="rId1022" Type="http://schemas.openxmlformats.org/officeDocument/2006/relationships/image" Target="../media/image1022.jpeg"/><Relationship Id="rId4178" Type="http://schemas.openxmlformats.org/officeDocument/2006/relationships/image" Target="../media/image4178.jpeg"/><Relationship Id="rId4385" Type="http://schemas.openxmlformats.org/officeDocument/2006/relationships/image" Target="../media/image4385.jpeg"/><Relationship Id="rId4592" Type="http://schemas.openxmlformats.org/officeDocument/2006/relationships/image" Target="../media/image4592.jpeg"/><Relationship Id="rId1979" Type="http://schemas.openxmlformats.org/officeDocument/2006/relationships/image" Target="../media/image1979.jpeg"/><Relationship Id="rId3194" Type="http://schemas.openxmlformats.org/officeDocument/2006/relationships/image" Target="../media/image3194.jpeg"/><Relationship Id="rId4038" Type="http://schemas.openxmlformats.org/officeDocument/2006/relationships/image" Target="../media/image4038.jpeg"/><Relationship Id="rId4245" Type="http://schemas.openxmlformats.org/officeDocument/2006/relationships/image" Target="../media/image4245.jpeg"/><Relationship Id="rId1839" Type="http://schemas.openxmlformats.org/officeDocument/2006/relationships/image" Target="../media/image1839.jpeg"/><Relationship Id="rId3054" Type="http://schemas.openxmlformats.org/officeDocument/2006/relationships/image" Target="../media/image3054.jpeg"/><Relationship Id="rId4452" Type="http://schemas.openxmlformats.org/officeDocument/2006/relationships/image" Target="../media/image4452.jpeg"/><Relationship Id="rId182" Type="http://schemas.openxmlformats.org/officeDocument/2006/relationships/image" Target="../media/image182.jpeg"/><Relationship Id="rId1906" Type="http://schemas.openxmlformats.org/officeDocument/2006/relationships/image" Target="../media/image1906.jpeg"/><Relationship Id="rId3261" Type="http://schemas.openxmlformats.org/officeDocument/2006/relationships/image" Target="../media/image3261.jpeg"/><Relationship Id="rId4105" Type="http://schemas.openxmlformats.org/officeDocument/2006/relationships/image" Target="../media/image4105.jpeg"/><Relationship Id="rId4312" Type="http://schemas.openxmlformats.org/officeDocument/2006/relationships/image" Target="../media/image4312.jpeg"/><Relationship Id="rId2070" Type="http://schemas.openxmlformats.org/officeDocument/2006/relationships/image" Target="../media/image2070.jpeg"/><Relationship Id="rId3121" Type="http://schemas.openxmlformats.org/officeDocument/2006/relationships/image" Target="../media/image3121.jpeg"/><Relationship Id="rId999" Type="http://schemas.openxmlformats.org/officeDocument/2006/relationships/image" Target="../media/image999.jpeg"/><Relationship Id="rId2887" Type="http://schemas.openxmlformats.org/officeDocument/2006/relationships/image" Target="../media/image2887.jpeg"/><Relationship Id="rId859" Type="http://schemas.openxmlformats.org/officeDocument/2006/relationships/image" Target="../media/image859.jpeg"/><Relationship Id="rId1489" Type="http://schemas.openxmlformats.org/officeDocument/2006/relationships/image" Target="../media/image1489.jpeg"/><Relationship Id="rId1696" Type="http://schemas.openxmlformats.org/officeDocument/2006/relationships/image" Target="../media/image1696.jpeg"/><Relationship Id="rId3938" Type="http://schemas.openxmlformats.org/officeDocument/2006/relationships/image" Target="../media/image3938.jpeg"/><Relationship Id="rId1349" Type="http://schemas.openxmlformats.org/officeDocument/2006/relationships/image" Target="../media/image1349.jpeg"/><Relationship Id="rId2747" Type="http://schemas.openxmlformats.org/officeDocument/2006/relationships/image" Target="../media/image2747.jpeg"/><Relationship Id="rId2954" Type="http://schemas.openxmlformats.org/officeDocument/2006/relationships/image" Target="../media/image2954.jpeg"/><Relationship Id="rId719" Type="http://schemas.openxmlformats.org/officeDocument/2006/relationships/image" Target="../media/image719.jpeg"/><Relationship Id="rId926" Type="http://schemas.openxmlformats.org/officeDocument/2006/relationships/image" Target="../media/image926.jpeg"/><Relationship Id="rId1556" Type="http://schemas.openxmlformats.org/officeDocument/2006/relationships/image" Target="../media/image1556.jpeg"/><Relationship Id="rId1763" Type="http://schemas.openxmlformats.org/officeDocument/2006/relationships/image" Target="../media/image1763.jpeg"/><Relationship Id="rId1970" Type="http://schemas.openxmlformats.org/officeDocument/2006/relationships/image" Target="../media/image1970.jpeg"/><Relationship Id="rId2607" Type="http://schemas.openxmlformats.org/officeDocument/2006/relationships/image" Target="../media/image2607.jpeg"/><Relationship Id="rId2814" Type="http://schemas.openxmlformats.org/officeDocument/2006/relationships/image" Target="../media/image2814.jpeg"/><Relationship Id="rId55" Type="http://schemas.openxmlformats.org/officeDocument/2006/relationships/image" Target="../media/image55.jpeg"/><Relationship Id="rId1209" Type="http://schemas.openxmlformats.org/officeDocument/2006/relationships/image" Target="../media/image1209.jpeg"/><Relationship Id="rId1416" Type="http://schemas.openxmlformats.org/officeDocument/2006/relationships/image" Target="../media/image1416.jpeg"/><Relationship Id="rId1623" Type="http://schemas.openxmlformats.org/officeDocument/2006/relationships/image" Target="../media/image1623.jpeg"/><Relationship Id="rId1830" Type="http://schemas.openxmlformats.org/officeDocument/2006/relationships/image" Target="../media/image1830.jpeg"/><Relationship Id="rId4779" Type="http://schemas.openxmlformats.org/officeDocument/2006/relationships/image" Target="../media/image4779.jpeg"/><Relationship Id="rId4986" Type="http://schemas.openxmlformats.org/officeDocument/2006/relationships/image" Target="../media/image4986.jpeg"/><Relationship Id="rId3588" Type="http://schemas.openxmlformats.org/officeDocument/2006/relationships/image" Target="../media/image3588.jpeg"/><Relationship Id="rId3795" Type="http://schemas.openxmlformats.org/officeDocument/2006/relationships/image" Target="../media/image3795.jpeg"/><Relationship Id="rId4639" Type="http://schemas.openxmlformats.org/officeDocument/2006/relationships/image" Target="../media/image4639.jpeg"/><Relationship Id="rId4846" Type="http://schemas.openxmlformats.org/officeDocument/2006/relationships/image" Target="../media/image4846.jpeg"/><Relationship Id="rId2397" Type="http://schemas.openxmlformats.org/officeDocument/2006/relationships/image" Target="../media/image2397.jpeg"/><Relationship Id="rId3448" Type="http://schemas.openxmlformats.org/officeDocument/2006/relationships/image" Target="../media/image3448.jpeg"/><Relationship Id="rId3655" Type="http://schemas.openxmlformats.org/officeDocument/2006/relationships/image" Target="../media/image3655.jpeg"/><Relationship Id="rId3862" Type="http://schemas.openxmlformats.org/officeDocument/2006/relationships/image" Target="../media/image3862.jpeg"/><Relationship Id="rId4706" Type="http://schemas.openxmlformats.org/officeDocument/2006/relationships/image" Target="../media/image4706.jpeg"/><Relationship Id="rId369" Type="http://schemas.openxmlformats.org/officeDocument/2006/relationships/image" Target="../media/image369.jpeg"/><Relationship Id="rId576" Type="http://schemas.openxmlformats.org/officeDocument/2006/relationships/image" Target="../media/image576.jpeg"/><Relationship Id="rId783" Type="http://schemas.openxmlformats.org/officeDocument/2006/relationships/image" Target="../media/image783.jpeg"/><Relationship Id="rId990" Type="http://schemas.openxmlformats.org/officeDocument/2006/relationships/image" Target="../media/image990.jpeg"/><Relationship Id="rId2257" Type="http://schemas.openxmlformats.org/officeDocument/2006/relationships/image" Target="../media/image2257.jpeg"/><Relationship Id="rId2464" Type="http://schemas.openxmlformats.org/officeDocument/2006/relationships/image" Target="../media/image2464.jpeg"/><Relationship Id="rId2671" Type="http://schemas.openxmlformats.org/officeDocument/2006/relationships/image" Target="../media/image2671.jpeg"/><Relationship Id="rId3308" Type="http://schemas.openxmlformats.org/officeDocument/2006/relationships/image" Target="../media/image3308.jpeg"/><Relationship Id="rId3515" Type="http://schemas.openxmlformats.org/officeDocument/2006/relationships/image" Target="../media/image3515.jpeg"/><Relationship Id="rId4913" Type="http://schemas.openxmlformats.org/officeDocument/2006/relationships/image" Target="../media/image4913.jpeg"/><Relationship Id="rId229" Type="http://schemas.openxmlformats.org/officeDocument/2006/relationships/image" Target="../media/image229.jpeg"/><Relationship Id="rId436" Type="http://schemas.openxmlformats.org/officeDocument/2006/relationships/image" Target="../media/image436.jpeg"/><Relationship Id="rId643" Type="http://schemas.openxmlformats.org/officeDocument/2006/relationships/image" Target="../media/image643.jpeg"/><Relationship Id="rId1066" Type="http://schemas.openxmlformats.org/officeDocument/2006/relationships/image" Target="../media/image1066.jpeg"/><Relationship Id="rId1273" Type="http://schemas.openxmlformats.org/officeDocument/2006/relationships/image" Target="../media/image1273.jpeg"/><Relationship Id="rId1480" Type="http://schemas.openxmlformats.org/officeDocument/2006/relationships/image" Target="../media/image1480.jpeg"/><Relationship Id="rId2117" Type="http://schemas.openxmlformats.org/officeDocument/2006/relationships/image" Target="../media/image2117.jpeg"/><Relationship Id="rId2324" Type="http://schemas.openxmlformats.org/officeDocument/2006/relationships/image" Target="../media/image2324.jpeg"/><Relationship Id="rId3722" Type="http://schemas.openxmlformats.org/officeDocument/2006/relationships/image" Target="../media/image3722.jpeg"/><Relationship Id="rId850" Type="http://schemas.openxmlformats.org/officeDocument/2006/relationships/image" Target="../media/image850.jpeg"/><Relationship Id="rId1133" Type="http://schemas.openxmlformats.org/officeDocument/2006/relationships/image" Target="../media/image1133.jpeg"/><Relationship Id="rId2531" Type="http://schemas.openxmlformats.org/officeDocument/2006/relationships/image" Target="../media/image2531.jpeg"/><Relationship Id="rId4289" Type="http://schemas.openxmlformats.org/officeDocument/2006/relationships/image" Target="../media/image4289.jpeg"/><Relationship Id="rId503" Type="http://schemas.openxmlformats.org/officeDocument/2006/relationships/image" Target="../media/image503.jpeg"/><Relationship Id="rId710" Type="http://schemas.openxmlformats.org/officeDocument/2006/relationships/image" Target="../media/image710.jpeg"/><Relationship Id="rId1340" Type="http://schemas.openxmlformats.org/officeDocument/2006/relationships/image" Target="../media/image1340.jpeg"/><Relationship Id="rId3098" Type="http://schemas.openxmlformats.org/officeDocument/2006/relationships/image" Target="../media/image3098.jpeg"/><Relationship Id="rId4496" Type="http://schemas.openxmlformats.org/officeDocument/2006/relationships/image" Target="../media/image4496.jpeg"/><Relationship Id="rId1200" Type="http://schemas.openxmlformats.org/officeDocument/2006/relationships/image" Target="../media/image1200.jpeg"/><Relationship Id="rId4149" Type="http://schemas.openxmlformats.org/officeDocument/2006/relationships/image" Target="../media/image4149.jpeg"/><Relationship Id="rId4356" Type="http://schemas.openxmlformats.org/officeDocument/2006/relationships/image" Target="../media/image4356.jpeg"/><Relationship Id="rId4563" Type="http://schemas.openxmlformats.org/officeDocument/2006/relationships/image" Target="../media/image4563.jpeg"/><Relationship Id="rId4770" Type="http://schemas.openxmlformats.org/officeDocument/2006/relationships/image" Target="../media/image4770.jpeg"/><Relationship Id="rId3165" Type="http://schemas.openxmlformats.org/officeDocument/2006/relationships/image" Target="../media/image3165.jpeg"/><Relationship Id="rId3372" Type="http://schemas.openxmlformats.org/officeDocument/2006/relationships/image" Target="../media/image3372.jpeg"/><Relationship Id="rId4009" Type="http://schemas.openxmlformats.org/officeDocument/2006/relationships/image" Target="../media/image4009.jpeg"/><Relationship Id="rId4216" Type="http://schemas.openxmlformats.org/officeDocument/2006/relationships/image" Target="../media/image4216.jpeg"/><Relationship Id="rId4423" Type="http://schemas.openxmlformats.org/officeDocument/2006/relationships/image" Target="../media/image4423.jpeg"/><Relationship Id="rId4630" Type="http://schemas.openxmlformats.org/officeDocument/2006/relationships/image" Target="../media/image4630.jpeg"/><Relationship Id="rId293" Type="http://schemas.openxmlformats.org/officeDocument/2006/relationships/image" Target="../media/image293.jpeg"/><Relationship Id="rId2181" Type="http://schemas.openxmlformats.org/officeDocument/2006/relationships/image" Target="../media/image2181.jpeg"/><Relationship Id="rId3025" Type="http://schemas.openxmlformats.org/officeDocument/2006/relationships/image" Target="../media/image3025.jpeg"/><Relationship Id="rId3232" Type="http://schemas.openxmlformats.org/officeDocument/2006/relationships/image" Target="../media/image3232.jpeg"/><Relationship Id="rId153" Type="http://schemas.openxmlformats.org/officeDocument/2006/relationships/image" Target="../media/image153.jpeg"/><Relationship Id="rId360" Type="http://schemas.openxmlformats.org/officeDocument/2006/relationships/image" Target="../media/image360.jpeg"/><Relationship Id="rId2041" Type="http://schemas.openxmlformats.org/officeDocument/2006/relationships/image" Target="../media/image2041.jpeg"/><Relationship Id="rId220" Type="http://schemas.openxmlformats.org/officeDocument/2006/relationships/image" Target="../media/image220.jpeg"/><Relationship Id="rId2998" Type="http://schemas.openxmlformats.org/officeDocument/2006/relationships/image" Target="../media/image2998.jpeg"/><Relationship Id="rId2858" Type="http://schemas.openxmlformats.org/officeDocument/2006/relationships/image" Target="../media/image2858.jpeg"/><Relationship Id="rId3909" Type="http://schemas.openxmlformats.org/officeDocument/2006/relationships/image" Target="../media/image3909.jpeg"/><Relationship Id="rId4073" Type="http://schemas.openxmlformats.org/officeDocument/2006/relationships/image" Target="../media/image4073.jpeg"/><Relationship Id="rId99" Type="http://schemas.openxmlformats.org/officeDocument/2006/relationships/image" Target="../media/image99.jpeg"/><Relationship Id="rId1667" Type="http://schemas.openxmlformats.org/officeDocument/2006/relationships/image" Target="../media/image1667.jpeg"/><Relationship Id="rId1874" Type="http://schemas.openxmlformats.org/officeDocument/2006/relationships/image" Target="../media/image1874.jpeg"/><Relationship Id="rId2718" Type="http://schemas.openxmlformats.org/officeDocument/2006/relationships/image" Target="../media/image2718.jpeg"/><Relationship Id="rId2925" Type="http://schemas.openxmlformats.org/officeDocument/2006/relationships/image" Target="../media/image2925.jpeg"/><Relationship Id="rId4280" Type="http://schemas.openxmlformats.org/officeDocument/2006/relationships/image" Target="../media/image4280.jpeg"/><Relationship Id="rId1527" Type="http://schemas.openxmlformats.org/officeDocument/2006/relationships/image" Target="../media/image1527.jpeg"/><Relationship Id="rId1734" Type="http://schemas.openxmlformats.org/officeDocument/2006/relationships/image" Target="../media/image1734.jpeg"/><Relationship Id="rId1941" Type="http://schemas.openxmlformats.org/officeDocument/2006/relationships/image" Target="../media/image1941.jpeg"/><Relationship Id="rId4140" Type="http://schemas.openxmlformats.org/officeDocument/2006/relationships/image" Target="../media/image4140.jpeg"/><Relationship Id="rId26" Type="http://schemas.openxmlformats.org/officeDocument/2006/relationships/image" Target="../media/image26.jpeg"/><Relationship Id="rId3699" Type="http://schemas.openxmlformats.org/officeDocument/2006/relationships/image" Target="../media/image3699.jpeg"/><Relationship Id="rId4000" Type="http://schemas.openxmlformats.org/officeDocument/2006/relationships/image" Target="../media/image4000.jpeg"/><Relationship Id="rId1801" Type="http://schemas.openxmlformats.org/officeDocument/2006/relationships/image" Target="../media/image1801.jpeg"/><Relationship Id="rId3559" Type="http://schemas.openxmlformats.org/officeDocument/2006/relationships/image" Target="../media/image3559.jpeg"/><Relationship Id="rId4957" Type="http://schemas.openxmlformats.org/officeDocument/2006/relationships/image" Target="../media/image4957.jpeg"/><Relationship Id="rId687" Type="http://schemas.openxmlformats.org/officeDocument/2006/relationships/image" Target="../media/image687.jpeg"/><Relationship Id="rId2368" Type="http://schemas.openxmlformats.org/officeDocument/2006/relationships/image" Target="../media/image2368.jpeg"/><Relationship Id="rId3766" Type="http://schemas.openxmlformats.org/officeDocument/2006/relationships/image" Target="../media/image3766.jpeg"/><Relationship Id="rId3973" Type="http://schemas.openxmlformats.org/officeDocument/2006/relationships/image" Target="../media/image3973.jpeg"/><Relationship Id="rId4817" Type="http://schemas.openxmlformats.org/officeDocument/2006/relationships/image" Target="../media/image4817.jpeg"/><Relationship Id="rId894" Type="http://schemas.openxmlformats.org/officeDocument/2006/relationships/image" Target="../media/image894.jpeg"/><Relationship Id="rId1177" Type="http://schemas.openxmlformats.org/officeDocument/2006/relationships/image" Target="../media/image1177.jpeg"/><Relationship Id="rId2575" Type="http://schemas.openxmlformats.org/officeDocument/2006/relationships/image" Target="../media/image2575.jpeg"/><Relationship Id="rId2782" Type="http://schemas.openxmlformats.org/officeDocument/2006/relationships/image" Target="../media/image2782.jpeg"/><Relationship Id="rId3419" Type="http://schemas.openxmlformats.org/officeDocument/2006/relationships/image" Target="../media/image3419.jpeg"/><Relationship Id="rId3626" Type="http://schemas.openxmlformats.org/officeDocument/2006/relationships/image" Target="../media/image3626.jpeg"/><Relationship Id="rId3833" Type="http://schemas.openxmlformats.org/officeDocument/2006/relationships/image" Target="../media/image3833.jpeg"/><Relationship Id="rId547" Type="http://schemas.openxmlformats.org/officeDocument/2006/relationships/image" Target="../media/image547.jpeg"/><Relationship Id="rId754" Type="http://schemas.openxmlformats.org/officeDocument/2006/relationships/image" Target="../media/image754.jpeg"/><Relationship Id="rId961" Type="http://schemas.openxmlformats.org/officeDocument/2006/relationships/image" Target="../media/image961.jpeg"/><Relationship Id="rId1384" Type="http://schemas.openxmlformats.org/officeDocument/2006/relationships/image" Target="../media/image1384.jpeg"/><Relationship Id="rId1591" Type="http://schemas.openxmlformats.org/officeDocument/2006/relationships/image" Target="../media/image1591.jpeg"/><Relationship Id="rId2228" Type="http://schemas.openxmlformats.org/officeDocument/2006/relationships/image" Target="../media/image2228.jpeg"/><Relationship Id="rId2435" Type="http://schemas.openxmlformats.org/officeDocument/2006/relationships/image" Target="../media/image2435.jpeg"/><Relationship Id="rId2642" Type="http://schemas.openxmlformats.org/officeDocument/2006/relationships/image" Target="../media/image2642.jpeg"/><Relationship Id="rId3900" Type="http://schemas.openxmlformats.org/officeDocument/2006/relationships/image" Target="../media/image3900.jpeg"/><Relationship Id="rId90" Type="http://schemas.openxmlformats.org/officeDocument/2006/relationships/image" Target="../media/image90.jpeg"/><Relationship Id="rId407" Type="http://schemas.openxmlformats.org/officeDocument/2006/relationships/image" Target="../media/image407.jpeg"/><Relationship Id="rId614" Type="http://schemas.openxmlformats.org/officeDocument/2006/relationships/image" Target="../media/image614.jpeg"/><Relationship Id="rId821" Type="http://schemas.openxmlformats.org/officeDocument/2006/relationships/image" Target="../media/image821.jpeg"/><Relationship Id="rId1037" Type="http://schemas.openxmlformats.org/officeDocument/2006/relationships/image" Target="../media/image1037.jpeg"/><Relationship Id="rId1244" Type="http://schemas.openxmlformats.org/officeDocument/2006/relationships/image" Target="../media/image1244.jpeg"/><Relationship Id="rId1451" Type="http://schemas.openxmlformats.org/officeDocument/2006/relationships/image" Target="../media/image1451.jpeg"/><Relationship Id="rId2502" Type="http://schemas.openxmlformats.org/officeDocument/2006/relationships/image" Target="../media/image2502.jpeg"/><Relationship Id="rId1104" Type="http://schemas.openxmlformats.org/officeDocument/2006/relationships/image" Target="../media/image1104.jpeg"/><Relationship Id="rId1311" Type="http://schemas.openxmlformats.org/officeDocument/2006/relationships/image" Target="../media/image1311.jpeg"/><Relationship Id="rId4467" Type="http://schemas.openxmlformats.org/officeDocument/2006/relationships/image" Target="../media/image4467.jpeg"/><Relationship Id="rId4674" Type="http://schemas.openxmlformats.org/officeDocument/2006/relationships/image" Target="../media/image4674.jpeg"/><Relationship Id="rId4881" Type="http://schemas.openxmlformats.org/officeDocument/2006/relationships/image" Target="../media/image4881.jpeg"/><Relationship Id="rId3069" Type="http://schemas.openxmlformats.org/officeDocument/2006/relationships/image" Target="../media/image3069.jpeg"/><Relationship Id="rId3276" Type="http://schemas.openxmlformats.org/officeDocument/2006/relationships/image" Target="../media/image3276.jpeg"/><Relationship Id="rId3483" Type="http://schemas.openxmlformats.org/officeDocument/2006/relationships/image" Target="../media/image3483.jpeg"/><Relationship Id="rId3690" Type="http://schemas.openxmlformats.org/officeDocument/2006/relationships/image" Target="../media/image3690.jpeg"/><Relationship Id="rId4327" Type="http://schemas.openxmlformats.org/officeDocument/2006/relationships/image" Target="../media/image4327.jpeg"/><Relationship Id="rId4534" Type="http://schemas.openxmlformats.org/officeDocument/2006/relationships/image" Target="../media/image4534.jpeg"/><Relationship Id="rId197" Type="http://schemas.openxmlformats.org/officeDocument/2006/relationships/image" Target="../media/image197.jpeg"/><Relationship Id="rId2085" Type="http://schemas.openxmlformats.org/officeDocument/2006/relationships/image" Target="../media/image2085.jpeg"/><Relationship Id="rId2292" Type="http://schemas.openxmlformats.org/officeDocument/2006/relationships/image" Target="../media/image2292.jpeg"/><Relationship Id="rId3136" Type="http://schemas.openxmlformats.org/officeDocument/2006/relationships/image" Target="../media/image3136.jpeg"/><Relationship Id="rId3343" Type="http://schemas.openxmlformats.org/officeDocument/2006/relationships/image" Target="../media/image3343.jpeg"/><Relationship Id="rId4741" Type="http://schemas.openxmlformats.org/officeDocument/2006/relationships/image" Target="../media/image4741.jpeg"/><Relationship Id="rId264" Type="http://schemas.openxmlformats.org/officeDocument/2006/relationships/image" Target="../media/image264.jpeg"/><Relationship Id="rId471" Type="http://schemas.openxmlformats.org/officeDocument/2006/relationships/image" Target="../media/image471.jpeg"/><Relationship Id="rId2152" Type="http://schemas.openxmlformats.org/officeDocument/2006/relationships/image" Target="../media/image2152.jpeg"/><Relationship Id="rId3550" Type="http://schemas.openxmlformats.org/officeDocument/2006/relationships/image" Target="../media/image3550.jpeg"/><Relationship Id="rId4601" Type="http://schemas.openxmlformats.org/officeDocument/2006/relationships/image" Target="../media/image4601.jpeg"/><Relationship Id="rId124" Type="http://schemas.openxmlformats.org/officeDocument/2006/relationships/image" Target="../media/image124.jpeg"/><Relationship Id="rId3203" Type="http://schemas.openxmlformats.org/officeDocument/2006/relationships/image" Target="../media/image3203.jpeg"/><Relationship Id="rId3410" Type="http://schemas.openxmlformats.org/officeDocument/2006/relationships/image" Target="../media/image3410.jpeg"/><Relationship Id="rId331" Type="http://schemas.openxmlformats.org/officeDocument/2006/relationships/image" Target="../media/image331.jpeg"/><Relationship Id="rId2012" Type="http://schemas.openxmlformats.org/officeDocument/2006/relationships/image" Target="../media/image2012.jpeg"/><Relationship Id="rId2969" Type="http://schemas.openxmlformats.org/officeDocument/2006/relationships/image" Target="../media/image2969.jpeg"/><Relationship Id="rId1778" Type="http://schemas.openxmlformats.org/officeDocument/2006/relationships/image" Target="../media/image1778.jpeg"/><Relationship Id="rId1985" Type="http://schemas.openxmlformats.org/officeDocument/2006/relationships/image" Target="../media/image1985.jpeg"/><Relationship Id="rId2829" Type="http://schemas.openxmlformats.org/officeDocument/2006/relationships/image" Target="../media/image2829.jpeg"/><Relationship Id="rId4184" Type="http://schemas.openxmlformats.org/officeDocument/2006/relationships/image" Target="../media/image4184.jpeg"/><Relationship Id="rId4391" Type="http://schemas.openxmlformats.org/officeDocument/2006/relationships/image" Target="../media/image4391.jpeg"/><Relationship Id="rId1638" Type="http://schemas.openxmlformats.org/officeDocument/2006/relationships/image" Target="../media/image1638.jpeg"/><Relationship Id="rId4044" Type="http://schemas.openxmlformats.org/officeDocument/2006/relationships/image" Target="../media/image4044.jpeg"/><Relationship Id="rId4251" Type="http://schemas.openxmlformats.org/officeDocument/2006/relationships/image" Target="../media/image4251.jpeg"/><Relationship Id="rId1845" Type="http://schemas.openxmlformats.org/officeDocument/2006/relationships/image" Target="../media/image1845.jpeg"/><Relationship Id="rId3060" Type="http://schemas.openxmlformats.org/officeDocument/2006/relationships/image" Target="../media/image3060.jpeg"/><Relationship Id="rId4111" Type="http://schemas.openxmlformats.org/officeDocument/2006/relationships/image" Target="../media/image4111.jpeg"/><Relationship Id="rId1705" Type="http://schemas.openxmlformats.org/officeDocument/2006/relationships/image" Target="../media/image1705.jpeg"/><Relationship Id="rId1912" Type="http://schemas.openxmlformats.org/officeDocument/2006/relationships/image" Target="../media/image1912.jpeg"/><Relationship Id="rId3877" Type="http://schemas.openxmlformats.org/officeDocument/2006/relationships/image" Target="../media/image3877.jpeg"/><Relationship Id="rId4928" Type="http://schemas.openxmlformats.org/officeDocument/2006/relationships/image" Target="../media/image4928.jpeg"/><Relationship Id="rId798" Type="http://schemas.openxmlformats.org/officeDocument/2006/relationships/image" Target="../media/image798.jpeg"/><Relationship Id="rId2479" Type="http://schemas.openxmlformats.org/officeDocument/2006/relationships/image" Target="../media/image2479.jpeg"/><Relationship Id="rId2686" Type="http://schemas.openxmlformats.org/officeDocument/2006/relationships/image" Target="../media/image2686.jpeg"/><Relationship Id="rId2893" Type="http://schemas.openxmlformats.org/officeDocument/2006/relationships/image" Target="../media/image2893.jpeg"/><Relationship Id="rId3737" Type="http://schemas.openxmlformats.org/officeDocument/2006/relationships/image" Target="../media/image3737.jpeg"/><Relationship Id="rId3944" Type="http://schemas.openxmlformats.org/officeDocument/2006/relationships/image" Target="../media/image3944.jpeg"/><Relationship Id="rId658" Type="http://schemas.openxmlformats.org/officeDocument/2006/relationships/image" Target="../media/image658.jpeg"/><Relationship Id="rId865" Type="http://schemas.openxmlformats.org/officeDocument/2006/relationships/image" Target="../media/image865.jpeg"/><Relationship Id="rId1288" Type="http://schemas.openxmlformats.org/officeDocument/2006/relationships/image" Target="../media/image1288.jpeg"/><Relationship Id="rId1495" Type="http://schemas.openxmlformats.org/officeDocument/2006/relationships/image" Target="../media/image1495.jpeg"/><Relationship Id="rId2339" Type="http://schemas.openxmlformats.org/officeDocument/2006/relationships/image" Target="../media/image2339.jpeg"/><Relationship Id="rId2546" Type="http://schemas.openxmlformats.org/officeDocument/2006/relationships/image" Target="../media/image2546.jpeg"/><Relationship Id="rId2753" Type="http://schemas.openxmlformats.org/officeDocument/2006/relationships/image" Target="../media/image2753.jpeg"/><Relationship Id="rId2960" Type="http://schemas.openxmlformats.org/officeDocument/2006/relationships/image" Target="../media/image2960.jpeg"/><Relationship Id="rId3804" Type="http://schemas.openxmlformats.org/officeDocument/2006/relationships/image" Target="../media/image3804.jpeg"/><Relationship Id="rId518" Type="http://schemas.openxmlformats.org/officeDocument/2006/relationships/image" Target="../media/image518.jpeg"/><Relationship Id="rId725" Type="http://schemas.openxmlformats.org/officeDocument/2006/relationships/image" Target="../media/image725.jpeg"/><Relationship Id="rId932" Type="http://schemas.openxmlformats.org/officeDocument/2006/relationships/image" Target="../media/image932.jpeg"/><Relationship Id="rId1148" Type="http://schemas.openxmlformats.org/officeDocument/2006/relationships/image" Target="../media/image1148.jpeg"/><Relationship Id="rId1355" Type="http://schemas.openxmlformats.org/officeDocument/2006/relationships/image" Target="../media/image1355.jpeg"/><Relationship Id="rId1562" Type="http://schemas.openxmlformats.org/officeDocument/2006/relationships/image" Target="../media/image1562.jpeg"/><Relationship Id="rId2406" Type="http://schemas.openxmlformats.org/officeDocument/2006/relationships/image" Target="../media/image2406.jpeg"/><Relationship Id="rId2613" Type="http://schemas.openxmlformats.org/officeDocument/2006/relationships/image" Target="../media/image2613.jpeg"/><Relationship Id="rId1008" Type="http://schemas.openxmlformats.org/officeDocument/2006/relationships/image" Target="../media/image1008.jpeg"/><Relationship Id="rId1215" Type="http://schemas.openxmlformats.org/officeDocument/2006/relationships/image" Target="../media/image1215.jpeg"/><Relationship Id="rId1422" Type="http://schemas.openxmlformats.org/officeDocument/2006/relationships/image" Target="../media/image1422.jpeg"/><Relationship Id="rId2820" Type="http://schemas.openxmlformats.org/officeDocument/2006/relationships/image" Target="../media/image2820.jpeg"/><Relationship Id="rId4578" Type="http://schemas.openxmlformats.org/officeDocument/2006/relationships/image" Target="../media/image4578.jpeg"/><Relationship Id="rId61" Type="http://schemas.openxmlformats.org/officeDocument/2006/relationships/image" Target="../media/image61.jpeg"/><Relationship Id="rId3387" Type="http://schemas.openxmlformats.org/officeDocument/2006/relationships/image" Target="../media/image3387.jpeg"/><Relationship Id="rId4785" Type="http://schemas.openxmlformats.org/officeDocument/2006/relationships/image" Target="../media/image4785.jpeg"/><Relationship Id="rId2196" Type="http://schemas.openxmlformats.org/officeDocument/2006/relationships/image" Target="../media/image2196.jpeg"/><Relationship Id="rId3594" Type="http://schemas.openxmlformats.org/officeDocument/2006/relationships/image" Target="../media/image3594.jpeg"/><Relationship Id="rId4438" Type="http://schemas.openxmlformats.org/officeDocument/2006/relationships/image" Target="../media/image4438.jpeg"/><Relationship Id="rId4645" Type="http://schemas.openxmlformats.org/officeDocument/2006/relationships/image" Target="../media/image4645.jpeg"/><Relationship Id="rId4852" Type="http://schemas.openxmlformats.org/officeDocument/2006/relationships/image" Target="../media/image4852.jpeg"/><Relationship Id="rId168" Type="http://schemas.openxmlformats.org/officeDocument/2006/relationships/image" Target="../media/image168.jpeg"/><Relationship Id="rId3247" Type="http://schemas.openxmlformats.org/officeDocument/2006/relationships/image" Target="../media/image3247.jpeg"/><Relationship Id="rId3454" Type="http://schemas.openxmlformats.org/officeDocument/2006/relationships/image" Target="../media/image3454.jpeg"/><Relationship Id="rId3661" Type="http://schemas.openxmlformats.org/officeDocument/2006/relationships/image" Target="../media/image3661.jpeg"/><Relationship Id="rId4505" Type="http://schemas.openxmlformats.org/officeDocument/2006/relationships/image" Target="../media/image4505.jpeg"/><Relationship Id="rId4712" Type="http://schemas.openxmlformats.org/officeDocument/2006/relationships/image" Target="../media/image4712.jpeg"/><Relationship Id="rId375" Type="http://schemas.openxmlformats.org/officeDocument/2006/relationships/image" Target="../media/image375.jpeg"/><Relationship Id="rId582" Type="http://schemas.openxmlformats.org/officeDocument/2006/relationships/image" Target="../media/image582.jpeg"/><Relationship Id="rId2056" Type="http://schemas.openxmlformats.org/officeDocument/2006/relationships/image" Target="../media/image2056.jpeg"/><Relationship Id="rId2263" Type="http://schemas.openxmlformats.org/officeDocument/2006/relationships/image" Target="../media/image2263.jpeg"/><Relationship Id="rId2470" Type="http://schemas.openxmlformats.org/officeDocument/2006/relationships/image" Target="../media/image2470.jpeg"/><Relationship Id="rId3107" Type="http://schemas.openxmlformats.org/officeDocument/2006/relationships/image" Target="../media/image3107.jpeg"/><Relationship Id="rId3314" Type="http://schemas.openxmlformats.org/officeDocument/2006/relationships/image" Target="../media/image3314.jpeg"/><Relationship Id="rId3521" Type="http://schemas.openxmlformats.org/officeDocument/2006/relationships/image" Target="../media/image3521.jpeg"/><Relationship Id="rId235" Type="http://schemas.openxmlformats.org/officeDocument/2006/relationships/image" Target="../media/image235.jpeg"/><Relationship Id="rId442" Type="http://schemas.openxmlformats.org/officeDocument/2006/relationships/image" Target="../media/image442.jpeg"/><Relationship Id="rId1072" Type="http://schemas.openxmlformats.org/officeDocument/2006/relationships/image" Target="../media/image1072.jpeg"/><Relationship Id="rId2123" Type="http://schemas.openxmlformats.org/officeDocument/2006/relationships/image" Target="../media/image2123.jpeg"/><Relationship Id="rId2330" Type="http://schemas.openxmlformats.org/officeDocument/2006/relationships/image" Target="../media/image2330.jpeg"/><Relationship Id="rId302" Type="http://schemas.openxmlformats.org/officeDocument/2006/relationships/image" Target="../media/image302.jpeg"/><Relationship Id="rId4088" Type="http://schemas.openxmlformats.org/officeDocument/2006/relationships/image" Target="../media/image4088.jpeg"/><Relationship Id="rId4295" Type="http://schemas.openxmlformats.org/officeDocument/2006/relationships/image" Target="../media/image4295.jpeg"/><Relationship Id="rId1889" Type="http://schemas.openxmlformats.org/officeDocument/2006/relationships/image" Target="../media/image1889.jpeg"/><Relationship Id="rId4155" Type="http://schemas.openxmlformats.org/officeDocument/2006/relationships/image" Target="../media/image4155.jpeg"/><Relationship Id="rId4362" Type="http://schemas.openxmlformats.org/officeDocument/2006/relationships/image" Target="../media/image4362.jpeg"/><Relationship Id="rId1749" Type="http://schemas.openxmlformats.org/officeDocument/2006/relationships/image" Target="../media/image1749.jpeg"/><Relationship Id="rId1956" Type="http://schemas.openxmlformats.org/officeDocument/2006/relationships/image" Target="../media/image1956.jpeg"/><Relationship Id="rId3171" Type="http://schemas.openxmlformats.org/officeDocument/2006/relationships/image" Target="../media/image3171.jpeg"/><Relationship Id="rId4015" Type="http://schemas.openxmlformats.org/officeDocument/2006/relationships/image" Target="../media/image4015.jpeg"/><Relationship Id="rId1609" Type="http://schemas.openxmlformats.org/officeDocument/2006/relationships/image" Target="../media/image1609.jpeg"/><Relationship Id="rId1816" Type="http://schemas.openxmlformats.org/officeDocument/2006/relationships/image" Target="../media/image1816.jpeg"/><Relationship Id="rId4222" Type="http://schemas.openxmlformats.org/officeDocument/2006/relationships/image" Target="../media/image4222.jpeg"/><Relationship Id="rId3031" Type="http://schemas.openxmlformats.org/officeDocument/2006/relationships/image" Target="../media/image3031.jpeg"/><Relationship Id="rId3988" Type="http://schemas.openxmlformats.org/officeDocument/2006/relationships/image" Target="../media/image3988.jpeg"/><Relationship Id="rId2797" Type="http://schemas.openxmlformats.org/officeDocument/2006/relationships/image" Target="../media/image2797.jpeg"/><Relationship Id="rId3848" Type="http://schemas.openxmlformats.org/officeDocument/2006/relationships/image" Target="../media/image3848.jpeg"/><Relationship Id="rId769" Type="http://schemas.openxmlformats.org/officeDocument/2006/relationships/image" Target="../media/image769.jpeg"/><Relationship Id="rId976" Type="http://schemas.openxmlformats.org/officeDocument/2006/relationships/image" Target="../media/image976.jpeg"/><Relationship Id="rId1399" Type="http://schemas.openxmlformats.org/officeDocument/2006/relationships/image" Target="../media/image1399.jpeg"/><Relationship Id="rId2657" Type="http://schemas.openxmlformats.org/officeDocument/2006/relationships/image" Target="../media/image2657.jpeg"/><Relationship Id="rId629" Type="http://schemas.openxmlformats.org/officeDocument/2006/relationships/image" Target="../media/image629.jpeg"/><Relationship Id="rId1259" Type="http://schemas.openxmlformats.org/officeDocument/2006/relationships/image" Target="../media/image1259.jpeg"/><Relationship Id="rId1466" Type="http://schemas.openxmlformats.org/officeDocument/2006/relationships/image" Target="../media/image1466.jpeg"/><Relationship Id="rId2864" Type="http://schemas.openxmlformats.org/officeDocument/2006/relationships/image" Target="../media/image2864.jpeg"/><Relationship Id="rId3708" Type="http://schemas.openxmlformats.org/officeDocument/2006/relationships/image" Target="../media/image3708.jpeg"/><Relationship Id="rId3915" Type="http://schemas.openxmlformats.org/officeDocument/2006/relationships/image" Target="../media/image3915.jpeg"/><Relationship Id="rId836" Type="http://schemas.openxmlformats.org/officeDocument/2006/relationships/image" Target="../media/image836.jpeg"/><Relationship Id="rId1119" Type="http://schemas.openxmlformats.org/officeDocument/2006/relationships/image" Target="../media/image1119.jpeg"/><Relationship Id="rId1673" Type="http://schemas.openxmlformats.org/officeDocument/2006/relationships/image" Target="../media/image1673.jpeg"/><Relationship Id="rId1880" Type="http://schemas.openxmlformats.org/officeDocument/2006/relationships/image" Target="../media/image1880.jpeg"/><Relationship Id="rId2517" Type="http://schemas.openxmlformats.org/officeDocument/2006/relationships/image" Target="../media/image2517.jpeg"/><Relationship Id="rId2724" Type="http://schemas.openxmlformats.org/officeDocument/2006/relationships/image" Target="../media/image2724.jpeg"/><Relationship Id="rId2931" Type="http://schemas.openxmlformats.org/officeDocument/2006/relationships/image" Target="../media/image2931.jpeg"/><Relationship Id="rId903" Type="http://schemas.openxmlformats.org/officeDocument/2006/relationships/image" Target="../media/image903.jpeg"/><Relationship Id="rId1326" Type="http://schemas.openxmlformats.org/officeDocument/2006/relationships/image" Target="../media/image1326.jpeg"/><Relationship Id="rId1533" Type="http://schemas.openxmlformats.org/officeDocument/2006/relationships/image" Target="../media/image1533.jpeg"/><Relationship Id="rId1740" Type="http://schemas.openxmlformats.org/officeDocument/2006/relationships/image" Target="../media/image1740.jpeg"/><Relationship Id="rId4689" Type="http://schemas.openxmlformats.org/officeDocument/2006/relationships/image" Target="../media/image4689.jpeg"/><Relationship Id="rId4896" Type="http://schemas.openxmlformats.org/officeDocument/2006/relationships/image" Target="../media/image4896.jpeg"/><Relationship Id="rId32" Type="http://schemas.openxmlformats.org/officeDocument/2006/relationships/image" Target="../media/image32.jpeg"/><Relationship Id="rId1600" Type="http://schemas.openxmlformats.org/officeDocument/2006/relationships/image" Target="../media/image1600.jpeg"/><Relationship Id="rId3498" Type="http://schemas.openxmlformats.org/officeDocument/2006/relationships/image" Target="../media/image3498.jpeg"/><Relationship Id="rId4549" Type="http://schemas.openxmlformats.org/officeDocument/2006/relationships/image" Target="../media/image4549.jpeg"/><Relationship Id="rId4756" Type="http://schemas.openxmlformats.org/officeDocument/2006/relationships/image" Target="../media/image4756.jpeg"/><Relationship Id="rId4963" Type="http://schemas.openxmlformats.org/officeDocument/2006/relationships/image" Target="../media/image4963.jpeg"/><Relationship Id="rId3358" Type="http://schemas.openxmlformats.org/officeDocument/2006/relationships/image" Target="../media/image3358.jpeg"/><Relationship Id="rId3565" Type="http://schemas.openxmlformats.org/officeDocument/2006/relationships/image" Target="../media/image3565.jpeg"/><Relationship Id="rId3772" Type="http://schemas.openxmlformats.org/officeDocument/2006/relationships/image" Target="../media/image3772.jpeg"/><Relationship Id="rId4409" Type="http://schemas.openxmlformats.org/officeDocument/2006/relationships/image" Target="../media/image4409.jpeg"/><Relationship Id="rId4616" Type="http://schemas.openxmlformats.org/officeDocument/2006/relationships/image" Target="../media/image4616.jpeg"/><Relationship Id="rId4823" Type="http://schemas.openxmlformats.org/officeDocument/2006/relationships/image" Target="../media/image4823.jpeg"/><Relationship Id="rId279" Type="http://schemas.openxmlformats.org/officeDocument/2006/relationships/image" Target="../media/image279.jpeg"/><Relationship Id="rId486" Type="http://schemas.openxmlformats.org/officeDocument/2006/relationships/image" Target="../media/image486.jpeg"/><Relationship Id="rId693" Type="http://schemas.openxmlformats.org/officeDocument/2006/relationships/image" Target="../media/image693.jpeg"/><Relationship Id="rId2167" Type="http://schemas.openxmlformats.org/officeDocument/2006/relationships/image" Target="../media/image2167.jpeg"/><Relationship Id="rId2374" Type="http://schemas.openxmlformats.org/officeDocument/2006/relationships/image" Target="../media/image2374.jpeg"/><Relationship Id="rId2581" Type="http://schemas.openxmlformats.org/officeDocument/2006/relationships/image" Target="../media/image2581.jpeg"/><Relationship Id="rId3218" Type="http://schemas.openxmlformats.org/officeDocument/2006/relationships/image" Target="../media/image3218.jpeg"/><Relationship Id="rId3425" Type="http://schemas.openxmlformats.org/officeDocument/2006/relationships/image" Target="../media/image3425.jpeg"/><Relationship Id="rId3632" Type="http://schemas.openxmlformats.org/officeDocument/2006/relationships/image" Target="../media/image3632.jpeg"/><Relationship Id="rId139" Type="http://schemas.openxmlformats.org/officeDocument/2006/relationships/image" Target="../media/image139.jpeg"/><Relationship Id="rId346" Type="http://schemas.openxmlformats.org/officeDocument/2006/relationships/image" Target="../media/image346.jpeg"/><Relationship Id="rId553" Type="http://schemas.openxmlformats.org/officeDocument/2006/relationships/image" Target="../media/image553.jpeg"/><Relationship Id="rId760" Type="http://schemas.openxmlformats.org/officeDocument/2006/relationships/image" Target="../media/image760.jpeg"/><Relationship Id="rId1183" Type="http://schemas.openxmlformats.org/officeDocument/2006/relationships/image" Target="../media/image1183.jpeg"/><Relationship Id="rId1390" Type="http://schemas.openxmlformats.org/officeDocument/2006/relationships/image" Target="../media/image1390.jpeg"/><Relationship Id="rId2027" Type="http://schemas.openxmlformats.org/officeDocument/2006/relationships/image" Target="../media/image2027.jpeg"/><Relationship Id="rId2234" Type="http://schemas.openxmlformats.org/officeDocument/2006/relationships/image" Target="../media/image2234.jpeg"/><Relationship Id="rId2441" Type="http://schemas.openxmlformats.org/officeDocument/2006/relationships/image" Target="../media/image2441.jpeg"/><Relationship Id="rId206" Type="http://schemas.openxmlformats.org/officeDocument/2006/relationships/image" Target="../media/image206.jpeg"/><Relationship Id="rId413" Type="http://schemas.openxmlformats.org/officeDocument/2006/relationships/image" Target="../media/image413.jpeg"/><Relationship Id="rId1043" Type="http://schemas.openxmlformats.org/officeDocument/2006/relationships/image" Target="../media/image1043.jpeg"/><Relationship Id="rId4199" Type="http://schemas.openxmlformats.org/officeDocument/2006/relationships/image" Target="../media/image4199.jpeg"/><Relationship Id="rId620" Type="http://schemas.openxmlformats.org/officeDocument/2006/relationships/image" Target="../media/image620.jpeg"/><Relationship Id="rId1250" Type="http://schemas.openxmlformats.org/officeDocument/2006/relationships/image" Target="../media/image1250.jpeg"/><Relationship Id="rId2301" Type="http://schemas.openxmlformats.org/officeDocument/2006/relationships/image" Target="../media/image2301.jpeg"/><Relationship Id="rId4059" Type="http://schemas.openxmlformats.org/officeDocument/2006/relationships/image" Target="../media/image4059.jpeg"/><Relationship Id="rId1110" Type="http://schemas.openxmlformats.org/officeDocument/2006/relationships/image" Target="../media/image1110.jpeg"/><Relationship Id="rId4266" Type="http://schemas.openxmlformats.org/officeDocument/2006/relationships/image" Target="../media/image4266.jpeg"/><Relationship Id="rId4473" Type="http://schemas.openxmlformats.org/officeDocument/2006/relationships/image" Target="../media/image4473.jpeg"/><Relationship Id="rId4680" Type="http://schemas.openxmlformats.org/officeDocument/2006/relationships/image" Target="../media/image4680.jpeg"/><Relationship Id="rId1927" Type="http://schemas.openxmlformats.org/officeDocument/2006/relationships/image" Target="../media/image1927.jpeg"/><Relationship Id="rId3075" Type="http://schemas.openxmlformats.org/officeDocument/2006/relationships/image" Target="../media/image3075.jpeg"/><Relationship Id="rId3282" Type="http://schemas.openxmlformats.org/officeDocument/2006/relationships/image" Target="../media/image3282.jpeg"/><Relationship Id="rId4126" Type="http://schemas.openxmlformats.org/officeDocument/2006/relationships/image" Target="../media/image4126.jpeg"/><Relationship Id="rId4333" Type="http://schemas.openxmlformats.org/officeDocument/2006/relationships/image" Target="../media/image4333.jpeg"/><Relationship Id="rId4540" Type="http://schemas.openxmlformats.org/officeDocument/2006/relationships/image" Target="../media/image4540.jpeg"/><Relationship Id="rId2091" Type="http://schemas.openxmlformats.org/officeDocument/2006/relationships/image" Target="../media/image2091.jpeg"/><Relationship Id="rId3142" Type="http://schemas.openxmlformats.org/officeDocument/2006/relationships/image" Target="../media/image3142.jpeg"/><Relationship Id="rId4400" Type="http://schemas.openxmlformats.org/officeDocument/2006/relationships/image" Target="../media/image4400.jpeg"/><Relationship Id="rId270" Type="http://schemas.openxmlformats.org/officeDocument/2006/relationships/image" Target="../media/image270.jpeg"/><Relationship Id="rId3002" Type="http://schemas.openxmlformats.org/officeDocument/2006/relationships/image" Target="../media/image3002.jpeg"/><Relationship Id="rId130" Type="http://schemas.openxmlformats.org/officeDocument/2006/relationships/image" Target="../media/image130.jpeg"/><Relationship Id="rId3959" Type="http://schemas.openxmlformats.org/officeDocument/2006/relationships/image" Target="../media/image3959.jpeg"/><Relationship Id="rId2768" Type="http://schemas.openxmlformats.org/officeDocument/2006/relationships/image" Target="../media/image2768.jpeg"/><Relationship Id="rId2975" Type="http://schemas.openxmlformats.org/officeDocument/2006/relationships/image" Target="../media/image2975.jpeg"/><Relationship Id="rId3819" Type="http://schemas.openxmlformats.org/officeDocument/2006/relationships/image" Target="../media/image3819.jpeg"/><Relationship Id="rId947" Type="http://schemas.openxmlformats.org/officeDocument/2006/relationships/image" Target="../media/image947.jpeg"/><Relationship Id="rId1577" Type="http://schemas.openxmlformats.org/officeDocument/2006/relationships/image" Target="../media/image1577.jpeg"/><Relationship Id="rId1784" Type="http://schemas.openxmlformats.org/officeDocument/2006/relationships/image" Target="../media/image1784.jpeg"/><Relationship Id="rId1991" Type="http://schemas.openxmlformats.org/officeDocument/2006/relationships/image" Target="../media/image1991.jpeg"/><Relationship Id="rId2628" Type="http://schemas.openxmlformats.org/officeDocument/2006/relationships/image" Target="../media/image2628.jpeg"/><Relationship Id="rId2835" Type="http://schemas.openxmlformats.org/officeDocument/2006/relationships/image" Target="../media/image2835.jpeg"/><Relationship Id="rId4190" Type="http://schemas.openxmlformats.org/officeDocument/2006/relationships/image" Target="../media/image4190.jpeg"/><Relationship Id="rId76" Type="http://schemas.openxmlformats.org/officeDocument/2006/relationships/image" Target="../media/image76.jpeg"/><Relationship Id="rId807" Type="http://schemas.openxmlformats.org/officeDocument/2006/relationships/image" Target="../media/image807.jpeg"/><Relationship Id="rId1437" Type="http://schemas.openxmlformats.org/officeDocument/2006/relationships/image" Target="../media/image1437.jpeg"/><Relationship Id="rId1644" Type="http://schemas.openxmlformats.org/officeDocument/2006/relationships/image" Target="../media/image1644.jpeg"/><Relationship Id="rId1851" Type="http://schemas.openxmlformats.org/officeDocument/2006/relationships/image" Target="../media/image1851.jpeg"/><Relationship Id="rId2902" Type="http://schemas.openxmlformats.org/officeDocument/2006/relationships/image" Target="../media/image2902.jpeg"/><Relationship Id="rId4050" Type="http://schemas.openxmlformats.org/officeDocument/2006/relationships/image" Target="../media/image4050.jpeg"/><Relationship Id="rId1504" Type="http://schemas.openxmlformats.org/officeDocument/2006/relationships/image" Target="../media/image1504.jpeg"/><Relationship Id="rId1711" Type="http://schemas.openxmlformats.org/officeDocument/2006/relationships/image" Target="../media/image1711.jpeg"/><Relationship Id="rId4867" Type="http://schemas.openxmlformats.org/officeDocument/2006/relationships/image" Target="../media/image4867.jpeg"/><Relationship Id="rId3469" Type="http://schemas.openxmlformats.org/officeDocument/2006/relationships/image" Target="../media/image3469.jpeg"/><Relationship Id="rId3676" Type="http://schemas.openxmlformats.org/officeDocument/2006/relationships/image" Target="../media/image3676.jpeg"/><Relationship Id="rId597" Type="http://schemas.openxmlformats.org/officeDocument/2006/relationships/image" Target="../media/image597.jpeg"/><Relationship Id="rId2278" Type="http://schemas.openxmlformats.org/officeDocument/2006/relationships/image" Target="../media/image2278.jpeg"/><Relationship Id="rId2485" Type="http://schemas.openxmlformats.org/officeDocument/2006/relationships/image" Target="../media/image2485.jpeg"/><Relationship Id="rId3329" Type="http://schemas.openxmlformats.org/officeDocument/2006/relationships/image" Target="../media/image3329.jpeg"/><Relationship Id="rId3883" Type="http://schemas.openxmlformats.org/officeDocument/2006/relationships/image" Target="../media/image3883.jpeg"/><Relationship Id="rId4727" Type="http://schemas.openxmlformats.org/officeDocument/2006/relationships/image" Target="../media/image4727.jpeg"/><Relationship Id="rId4934" Type="http://schemas.openxmlformats.org/officeDocument/2006/relationships/image" Target="../media/image4934.jpeg"/><Relationship Id="rId457" Type="http://schemas.openxmlformats.org/officeDocument/2006/relationships/image" Target="../media/image457.jpeg"/><Relationship Id="rId1087" Type="http://schemas.openxmlformats.org/officeDocument/2006/relationships/image" Target="../media/image1087.jpeg"/><Relationship Id="rId1294" Type="http://schemas.openxmlformats.org/officeDocument/2006/relationships/image" Target="../media/image1294.jpeg"/><Relationship Id="rId2138" Type="http://schemas.openxmlformats.org/officeDocument/2006/relationships/image" Target="../media/image2138.jpeg"/><Relationship Id="rId2692" Type="http://schemas.openxmlformats.org/officeDocument/2006/relationships/image" Target="../media/image2692.jpeg"/><Relationship Id="rId3536" Type="http://schemas.openxmlformats.org/officeDocument/2006/relationships/image" Target="../media/image3536.jpeg"/><Relationship Id="rId3743" Type="http://schemas.openxmlformats.org/officeDocument/2006/relationships/image" Target="../media/image3743.jpeg"/><Relationship Id="rId3950" Type="http://schemas.openxmlformats.org/officeDocument/2006/relationships/image" Target="../media/image3950.jpeg"/><Relationship Id="rId664" Type="http://schemas.openxmlformats.org/officeDocument/2006/relationships/image" Target="../media/image664.jpeg"/><Relationship Id="rId871" Type="http://schemas.openxmlformats.org/officeDocument/2006/relationships/image" Target="../media/image871.jpeg"/><Relationship Id="rId2345" Type="http://schemas.openxmlformats.org/officeDocument/2006/relationships/image" Target="../media/image2345.jpeg"/><Relationship Id="rId2552" Type="http://schemas.openxmlformats.org/officeDocument/2006/relationships/image" Target="../media/image2552.jpeg"/><Relationship Id="rId3603" Type="http://schemas.openxmlformats.org/officeDocument/2006/relationships/image" Target="../media/image3603.jpeg"/><Relationship Id="rId3810" Type="http://schemas.openxmlformats.org/officeDocument/2006/relationships/image" Target="../media/image3810.jpeg"/><Relationship Id="rId317" Type="http://schemas.openxmlformats.org/officeDocument/2006/relationships/image" Target="../media/image317.jpeg"/><Relationship Id="rId524" Type="http://schemas.openxmlformats.org/officeDocument/2006/relationships/image" Target="../media/image524.jpeg"/><Relationship Id="rId731" Type="http://schemas.openxmlformats.org/officeDocument/2006/relationships/image" Target="../media/image731.jpeg"/><Relationship Id="rId1154" Type="http://schemas.openxmlformats.org/officeDocument/2006/relationships/image" Target="../media/image1154.jpeg"/><Relationship Id="rId1361" Type="http://schemas.openxmlformats.org/officeDocument/2006/relationships/image" Target="../media/image1361.jpeg"/><Relationship Id="rId2205" Type="http://schemas.openxmlformats.org/officeDocument/2006/relationships/image" Target="../media/image2205.jpeg"/><Relationship Id="rId2412" Type="http://schemas.openxmlformats.org/officeDocument/2006/relationships/image" Target="../media/image2412.jpeg"/><Relationship Id="rId1014" Type="http://schemas.openxmlformats.org/officeDocument/2006/relationships/image" Target="../media/image1014.jpeg"/><Relationship Id="rId1221" Type="http://schemas.openxmlformats.org/officeDocument/2006/relationships/image" Target="../media/image1221.jpeg"/><Relationship Id="rId4377" Type="http://schemas.openxmlformats.org/officeDocument/2006/relationships/image" Target="../media/image4377.jpeg"/><Relationship Id="rId4584" Type="http://schemas.openxmlformats.org/officeDocument/2006/relationships/image" Target="../media/image4584.jpeg"/><Relationship Id="rId4791" Type="http://schemas.openxmlformats.org/officeDocument/2006/relationships/image" Target="../media/image4791.jpeg"/><Relationship Id="rId3186" Type="http://schemas.openxmlformats.org/officeDocument/2006/relationships/image" Target="../media/image3186.jpeg"/><Relationship Id="rId3393" Type="http://schemas.openxmlformats.org/officeDocument/2006/relationships/image" Target="../media/image3393.jpeg"/><Relationship Id="rId4237" Type="http://schemas.openxmlformats.org/officeDocument/2006/relationships/image" Target="../media/image4237.jpeg"/><Relationship Id="rId4444" Type="http://schemas.openxmlformats.org/officeDocument/2006/relationships/image" Target="../media/image4444.jpeg"/><Relationship Id="rId4651" Type="http://schemas.openxmlformats.org/officeDocument/2006/relationships/image" Target="../media/image4651.jpeg"/><Relationship Id="rId3046" Type="http://schemas.openxmlformats.org/officeDocument/2006/relationships/image" Target="../media/image3046.jpeg"/><Relationship Id="rId3253" Type="http://schemas.openxmlformats.org/officeDocument/2006/relationships/image" Target="../media/image3253.jpeg"/><Relationship Id="rId3460" Type="http://schemas.openxmlformats.org/officeDocument/2006/relationships/image" Target="../media/image3460.jpeg"/><Relationship Id="rId4304" Type="http://schemas.openxmlformats.org/officeDocument/2006/relationships/image" Target="../media/image4304.jpeg"/><Relationship Id="rId174" Type="http://schemas.openxmlformats.org/officeDocument/2006/relationships/image" Target="../media/image174.jpeg"/><Relationship Id="rId381" Type="http://schemas.openxmlformats.org/officeDocument/2006/relationships/image" Target="../media/image381.jpeg"/><Relationship Id="rId2062" Type="http://schemas.openxmlformats.org/officeDocument/2006/relationships/image" Target="../media/image2062.jpeg"/><Relationship Id="rId3113" Type="http://schemas.openxmlformats.org/officeDocument/2006/relationships/image" Target="../media/image3113.jpeg"/><Relationship Id="rId4511" Type="http://schemas.openxmlformats.org/officeDocument/2006/relationships/image" Target="../media/image4511.jpeg"/><Relationship Id="rId241" Type="http://schemas.openxmlformats.org/officeDocument/2006/relationships/image" Target="../media/image241.jpeg"/><Relationship Id="rId3320" Type="http://schemas.openxmlformats.org/officeDocument/2006/relationships/image" Target="../media/image3320.jpeg"/><Relationship Id="rId2879" Type="http://schemas.openxmlformats.org/officeDocument/2006/relationships/image" Target="../media/image2879.jpeg"/><Relationship Id="rId101" Type="http://schemas.openxmlformats.org/officeDocument/2006/relationships/image" Target="../media/image101.jpeg"/><Relationship Id="rId1688" Type="http://schemas.openxmlformats.org/officeDocument/2006/relationships/image" Target="../media/image1688.jpeg"/><Relationship Id="rId1895" Type="http://schemas.openxmlformats.org/officeDocument/2006/relationships/image" Target="../media/image1895.jpeg"/><Relationship Id="rId2739" Type="http://schemas.openxmlformats.org/officeDocument/2006/relationships/image" Target="../media/image2739.jpeg"/><Relationship Id="rId2946" Type="http://schemas.openxmlformats.org/officeDocument/2006/relationships/image" Target="../media/image2946.jpeg"/><Relationship Id="rId4094" Type="http://schemas.openxmlformats.org/officeDocument/2006/relationships/image" Target="../media/image4094.jpeg"/><Relationship Id="rId918" Type="http://schemas.openxmlformats.org/officeDocument/2006/relationships/image" Target="../media/image918.jpeg"/><Relationship Id="rId1548" Type="http://schemas.openxmlformats.org/officeDocument/2006/relationships/image" Target="../media/image1548.jpeg"/><Relationship Id="rId1755" Type="http://schemas.openxmlformats.org/officeDocument/2006/relationships/image" Target="../media/image1755.jpeg"/><Relationship Id="rId4161" Type="http://schemas.openxmlformats.org/officeDocument/2006/relationships/image" Target="../media/image4161.jpeg"/><Relationship Id="rId1408" Type="http://schemas.openxmlformats.org/officeDocument/2006/relationships/image" Target="../media/image1408.jpeg"/><Relationship Id="rId1962" Type="http://schemas.openxmlformats.org/officeDocument/2006/relationships/image" Target="../media/image1962.jpeg"/><Relationship Id="rId2806" Type="http://schemas.openxmlformats.org/officeDocument/2006/relationships/image" Target="../media/image2806.jpeg"/><Relationship Id="rId4021" Type="http://schemas.openxmlformats.org/officeDocument/2006/relationships/image" Target="../media/image4021.jpeg"/><Relationship Id="rId47" Type="http://schemas.openxmlformats.org/officeDocument/2006/relationships/image" Target="../media/image47.jpeg"/><Relationship Id="rId1615" Type="http://schemas.openxmlformats.org/officeDocument/2006/relationships/image" Target="../media/image1615.jpeg"/><Relationship Id="rId1822" Type="http://schemas.openxmlformats.org/officeDocument/2006/relationships/image" Target="../media/image1822.jpeg"/><Relationship Id="rId4978" Type="http://schemas.openxmlformats.org/officeDocument/2006/relationships/image" Target="../media/image4978.jpeg"/><Relationship Id="rId3787" Type="http://schemas.openxmlformats.org/officeDocument/2006/relationships/image" Target="../media/image3787.jpeg"/><Relationship Id="rId3994" Type="http://schemas.openxmlformats.org/officeDocument/2006/relationships/image" Target="../media/image3994.jpeg"/><Relationship Id="rId4838" Type="http://schemas.openxmlformats.org/officeDocument/2006/relationships/image" Target="../media/image4838.jpeg"/><Relationship Id="rId2389" Type="http://schemas.openxmlformats.org/officeDocument/2006/relationships/image" Target="../media/image2389.jpeg"/><Relationship Id="rId2596" Type="http://schemas.openxmlformats.org/officeDocument/2006/relationships/image" Target="../media/image2596.jpeg"/><Relationship Id="rId3647" Type="http://schemas.openxmlformats.org/officeDocument/2006/relationships/image" Target="../media/image3647.jpeg"/><Relationship Id="rId3854" Type="http://schemas.openxmlformats.org/officeDocument/2006/relationships/image" Target="../media/image3854.jpeg"/><Relationship Id="rId4905" Type="http://schemas.openxmlformats.org/officeDocument/2006/relationships/image" Target="../media/image4905.jpeg"/><Relationship Id="rId568" Type="http://schemas.openxmlformats.org/officeDocument/2006/relationships/image" Target="../media/image568.jpeg"/><Relationship Id="rId775" Type="http://schemas.openxmlformats.org/officeDocument/2006/relationships/image" Target="../media/image775.jpeg"/><Relationship Id="rId982" Type="http://schemas.openxmlformats.org/officeDocument/2006/relationships/image" Target="../media/image982.jpeg"/><Relationship Id="rId1198" Type="http://schemas.openxmlformats.org/officeDocument/2006/relationships/image" Target="../media/image1198.jpeg"/><Relationship Id="rId2249" Type="http://schemas.openxmlformats.org/officeDocument/2006/relationships/image" Target="../media/image2249.jpeg"/><Relationship Id="rId2456" Type="http://schemas.openxmlformats.org/officeDocument/2006/relationships/image" Target="../media/image2456.jpeg"/><Relationship Id="rId2663" Type="http://schemas.openxmlformats.org/officeDocument/2006/relationships/image" Target="../media/image2663.jpeg"/><Relationship Id="rId2870" Type="http://schemas.openxmlformats.org/officeDocument/2006/relationships/image" Target="../media/image2870.jpeg"/><Relationship Id="rId3507" Type="http://schemas.openxmlformats.org/officeDocument/2006/relationships/image" Target="../media/image3507.jpeg"/><Relationship Id="rId3714" Type="http://schemas.openxmlformats.org/officeDocument/2006/relationships/image" Target="../media/image3714.jpeg"/><Relationship Id="rId3921" Type="http://schemas.openxmlformats.org/officeDocument/2006/relationships/image" Target="../media/image3921.jpeg"/><Relationship Id="rId428" Type="http://schemas.openxmlformats.org/officeDocument/2006/relationships/image" Target="../media/image428.jpeg"/><Relationship Id="rId635" Type="http://schemas.openxmlformats.org/officeDocument/2006/relationships/image" Target="../media/image635.jpeg"/><Relationship Id="rId842" Type="http://schemas.openxmlformats.org/officeDocument/2006/relationships/image" Target="../media/image842.jpeg"/><Relationship Id="rId1058" Type="http://schemas.openxmlformats.org/officeDocument/2006/relationships/image" Target="../media/image1058.jpeg"/><Relationship Id="rId1265" Type="http://schemas.openxmlformats.org/officeDocument/2006/relationships/image" Target="../media/image1265.jpeg"/><Relationship Id="rId1472" Type="http://schemas.openxmlformats.org/officeDocument/2006/relationships/image" Target="../media/image1472.jpeg"/><Relationship Id="rId2109" Type="http://schemas.openxmlformats.org/officeDocument/2006/relationships/image" Target="../media/image2109.jpeg"/><Relationship Id="rId2316" Type="http://schemas.openxmlformats.org/officeDocument/2006/relationships/image" Target="../media/image2316.jpeg"/><Relationship Id="rId2523" Type="http://schemas.openxmlformats.org/officeDocument/2006/relationships/image" Target="../media/image2523.jpeg"/><Relationship Id="rId2730" Type="http://schemas.openxmlformats.org/officeDocument/2006/relationships/image" Target="../media/image2730.jpeg"/><Relationship Id="rId702" Type="http://schemas.openxmlformats.org/officeDocument/2006/relationships/image" Target="../media/image702.jpeg"/><Relationship Id="rId1125" Type="http://schemas.openxmlformats.org/officeDocument/2006/relationships/image" Target="../media/image1125.jpeg"/><Relationship Id="rId1332" Type="http://schemas.openxmlformats.org/officeDocument/2006/relationships/image" Target="../media/image1332.jpeg"/><Relationship Id="rId4488" Type="http://schemas.openxmlformats.org/officeDocument/2006/relationships/image" Target="../media/image4488.jpeg"/><Relationship Id="rId4695" Type="http://schemas.openxmlformats.org/officeDocument/2006/relationships/image" Target="../media/image4695.jpeg"/><Relationship Id="rId3297" Type="http://schemas.openxmlformats.org/officeDocument/2006/relationships/image" Target="../media/image3297.jpeg"/><Relationship Id="rId4348" Type="http://schemas.openxmlformats.org/officeDocument/2006/relationships/image" Target="../media/image4348.jpeg"/><Relationship Id="rId3157" Type="http://schemas.openxmlformats.org/officeDocument/2006/relationships/image" Target="../media/image3157.jpeg"/><Relationship Id="rId4555" Type="http://schemas.openxmlformats.org/officeDocument/2006/relationships/image" Target="../media/image4555.jpeg"/><Relationship Id="rId4762" Type="http://schemas.openxmlformats.org/officeDocument/2006/relationships/image" Target="../media/image4762.jpeg"/><Relationship Id="rId285" Type="http://schemas.openxmlformats.org/officeDocument/2006/relationships/image" Target="../media/image285.jpeg"/><Relationship Id="rId3364" Type="http://schemas.openxmlformats.org/officeDocument/2006/relationships/image" Target="../media/image3364.jpeg"/><Relationship Id="rId3571" Type="http://schemas.openxmlformats.org/officeDocument/2006/relationships/image" Target="../media/image3571.jpeg"/><Relationship Id="rId4208" Type="http://schemas.openxmlformats.org/officeDocument/2006/relationships/image" Target="../media/image4208.jpeg"/><Relationship Id="rId4415" Type="http://schemas.openxmlformats.org/officeDocument/2006/relationships/image" Target="../media/image4415.jpeg"/><Relationship Id="rId4622" Type="http://schemas.openxmlformats.org/officeDocument/2006/relationships/image" Target="../media/image4622.jpeg"/><Relationship Id="rId492" Type="http://schemas.openxmlformats.org/officeDocument/2006/relationships/image" Target="../media/image492.jpeg"/><Relationship Id="rId2173" Type="http://schemas.openxmlformats.org/officeDocument/2006/relationships/image" Target="../media/image2173.jpeg"/><Relationship Id="rId2380" Type="http://schemas.openxmlformats.org/officeDocument/2006/relationships/image" Target="../media/image2380.jpeg"/><Relationship Id="rId3017" Type="http://schemas.openxmlformats.org/officeDocument/2006/relationships/image" Target="../media/image3017.jpeg"/><Relationship Id="rId3224" Type="http://schemas.openxmlformats.org/officeDocument/2006/relationships/image" Target="../media/image3224.jpeg"/><Relationship Id="rId3431" Type="http://schemas.openxmlformats.org/officeDocument/2006/relationships/image" Target="../media/image3431.jpeg"/><Relationship Id="rId145" Type="http://schemas.openxmlformats.org/officeDocument/2006/relationships/image" Target="../media/image145.jpeg"/><Relationship Id="rId352" Type="http://schemas.openxmlformats.org/officeDocument/2006/relationships/image" Target="../media/image352.jpeg"/><Relationship Id="rId2033" Type="http://schemas.openxmlformats.org/officeDocument/2006/relationships/image" Target="../media/image2033.jpeg"/><Relationship Id="rId2240" Type="http://schemas.openxmlformats.org/officeDocument/2006/relationships/image" Target="../media/image2240.jpeg"/><Relationship Id="rId212" Type="http://schemas.openxmlformats.org/officeDocument/2006/relationships/image" Target="../media/image212.jpeg"/><Relationship Id="rId1799" Type="http://schemas.openxmlformats.org/officeDocument/2006/relationships/image" Target="../media/image1799.jpeg"/><Relationship Id="rId2100" Type="http://schemas.openxmlformats.org/officeDocument/2006/relationships/image" Target="../media/image2100.jpeg"/><Relationship Id="rId4065" Type="http://schemas.openxmlformats.org/officeDocument/2006/relationships/image" Target="../media/image4065.jpeg"/><Relationship Id="rId4272" Type="http://schemas.openxmlformats.org/officeDocument/2006/relationships/image" Target="../media/image4272.jpeg"/><Relationship Id="rId1659" Type="http://schemas.openxmlformats.org/officeDocument/2006/relationships/image" Target="../media/image1659.jpeg"/><Relationship Id="rId1866" Type="http://schemas.openxmlformats.org/officeDocument/2006/relationships/image" Target="../media/image1866.jpeg"/><Relationship Id="rId2917" Type="http://schemas.openxmlformats.org/officeDocument/2006/relationships/image" Target="../media/image2917.jpeg"/><Relationship Id="rId3081" Type="http://schemas.openxmlformats.org/officeDocument/2006/relationships/image" Target="../media/image3081.jpeg"/><Relationship Id="rId4132" Type="http://schemas.openxmlformats.org/officeDocument/2006/relationships/image" Target="../media/image4132.jpeg"/><Relationship Id="rId1519" Type="http://schemas.openxmlformats.org/officeDocument/2006/relationships/image" Target="../media/image1519.jpeg"/><Relationship Id="rId1726" Type="http://schemas.openxmlformats.org/officeDocument/2006/relationships/image" Target="../media/image1726.jpeg"/><Relationship Id="rId1933" Type="http://schemas.openxmlformats.org/officeDocument/2006/relationships/image" Target="../media/image1933.jpeg"/><Relationship Id="rId18" Type="http://schemas.openxmlformats.org/officeDocument/2006/relationships/image" Target="../media/image18.jpeg"/><Relationship Id="rId3898" Type="http://schemas.openxmlformats.org/officeDocument/2006/relationships/image" Target="../media/image3898.jpeg"/><Relationship Id="rId4949" Type="http://schemas.openxmlformats.org/officeDocument/2006/relationships/image" Target="../media/image4949.jpeg"/><Relationship Id="rId3758" Type="http://schemas.openxmlformats.org/officeDocument/2006/relationships/image" Target="../media/image3758.jpeg"/><Relationship Id="rId3965" Type="http://schemas.openxmlformats.org/officeDocument/2006/relationships/image" Target="../media/image3965.jpeg"/><Relationship Id="rId4809" Type="http://schemas.openxmlformats.org/officeDocument/2006/relationships/image" Target="../media/image4809.jpeg"/><Relationship Id="rId679" Type="http://schemas.openxmlformats.org/officeDocument/2006/relationships/image" Target="../media/image679.jpeg"/><Relationship Id="rId886" Type="http://schemas.openxmlformats.org/officeDocument/2006/relationships/image" Target="../media/image886.jpeg"/><Relationship Id="rId2567" Type="http://schemas.openxmlformats.org/officeDocument/2006/relationships/image" Target="../media/image2567.jpeg"/><Relationship Id="rId2774" Type="http://schemas.openxmlformats.org/officeDocument/2006/relationships/image" Target="../media/image2774.jpeg"/><Relationship Id="rId3618" Type="http://schemas.openxmlformats.org/officeDocument/2006/relationships/image" Target="../media/image3618.jpeg"/><Relationship Id="rId2" Type="http://schemas.openxmlformats.org/officeDocument/2006/relationships/image" Target="../media/image2.jpeg"/><Relationship Id="rId539" Type="http://schemas.openxmlformats.org/officeDocument/2006/relationships/image" Target="../media/image539.jpeg"/><Relationship Id="rId746" Type="http://schemas.openxmlformats.org/officeDocument/2006/relationships/image" Target="../media/image746.jpeg"/><Relationship Id="rId1169" Type="http://schemas.openxmlformats.org/officeDocument/2006/relationships/image" Target="../media/image1169.jpeg"/><Relationship Id="rId1376" Type="http://schemas.openxmlformats.org/officeDocument/2006/relationships/image" Target="../media/image1376.jpeg"/><Relationship Id="rId1583" Type="http://schemas.openxmlformats.org/officeDocument/2006/relationships/image" Target="../media/image1583.jpeg"/><Relationship Id="rId2427" Type="http://schemas.openxmlformats.org/officeDocument/2006/relationships/image" Target="../media/image2427.jpeg"/><Relationship Id="rId2981" Type="http://schemas.openxmlformats.org/officeDocument/2006/relationships/image" Target="../media/image2981.jpeg"/><Relationship Id="rId3825" Type="http://schemas.openxmlformats.org/officeDocument/2006/relationships/image" Target="../media/image3825.jpeg"/><Relationship Id="rId953" Type="http://schemas.openxmlformats.org/officeDocument/2006/relationships/image" Target="../media/image953.jpeg"/><Relationship Id="rId1029" Type="http://schemas.openxmlformats.org/officeDocument/2006/relationships/image" Target="../media/image1029.jpeg"/><Relationship Id="rId1236" Type="http://schemas.openxmlformats.org/officeDocument/2006/relationships/image" Target="../media/image1236.jpeg"/><Relationship Id="rId1790" Type="http://schemas.openxmlformats.org/officeDocument/2006/relationships/image" Target="../media/image1790.jpeg"/><Relationship Id="rId2634" Type="http://schemas.openxmlformats.org/officeDocument/2006/relationships/image" Target="../media/image2634.jpeg"/><Relationship Id="rId2841" Type="http://schemas.openxmlformats.org/officeDocument/2006/relationships/image" Target="../media/image2841.jpeg"/><Relationship Id="rId82" Type="http://schemas.openxmlformats.org/officeDocument/2006/relationships/image" Target="../media/image82.jpeg"/><Relationship Id="rId606" Type="http://schemas.openxmlformats.org/officeDocument/2006/relationships/image" Target="../media/image606.jpeg"/><Relationship Id="rId813" Type="http://schemas.openxmlformats.org/officeDocument/2006/relationships/image" Target="../media/image813.jpeg"/><Relationship Id="rId1443" Type="http://schemas.openxmlformats.org/officeDocument/2006/relationships/image" Target="../media/image1443.jpeg"/><Relationship Id="rId1650" Type="http://schemas.openxmlformats.org/officeDocument/2006/relationships/image" Target="../media/image1650.jpeg"/><Relationship Id="rId2701" Type="http://schemas.openxmlformats.org/officeDocument/2006/relationships/image" Target="../media/image2701.jpeg"/><Relationship Id="rId4599" Type="http://schemas.openxmlformats.org/officeDocument/2006/relationships/image" Target="../media/image4599.jpeg"/><Relationship Id="rId1303" Type="http://schemas.openxmlformats.org/officeDocument/2006/relationships/image" Target="../media/image1303.jpeg"/><Relationship Id="rId1510" Type="http://schemas.openxmlformats.org/officeDocument/2006/relationships/image" Target="../media/image1510.jpeg"/><Relationship Id="rId4459" Type="http://schemas.openxmlformats.org/officeDocument/2006/relationships/image" Target="../media/image4459.jpeg"/><Relationship Id="rId4666" Type="http://schemas.openxmlformats.org/officeDocument/2006/relationships/image" Target="../media/image4666.jpeg"/><Relationship Id="rId4873" Type="http://schemas.openxmlformats.org/officeDocument/2006/relationships/image" Target="../media/image4873.jpeg"/><Relationship Id="rId3268" Type="http://schemas.openxmlformats.org/officeDocument/2006/relationships/image" Target="../media/image3268.jpeg"/><Relationship Id="rId3475" Type="http://schemas.openxmlformats.org/officeDocument/2006/relationships/image" Target="../media/image3475.jpeg"/><Relationship Id="rId3682" Type="http://schemas.openxmlformats.org/officeDocument/2006/relationships/image" Target="../media/image3682.jpeg"/><Relationship Id="rId4319" Type="http://schemas.openxmlformats.org/officeDocument/2006/relationships/image" Target="../media/image4319.jpeg"/><Relationship Id="rId4526" Type="http://schemas.openxmlformats.org/officeDocument/2006/relationships/image" Target="../media/image4526.jpeg"/><Relationship Id="rId4733" Type="http://schemas.openxmlformats.org/officeDocument/2006/relationships/image" Target="../media/image4733.jpeg"/><Relationship Id="rId4940" Type="http://schemas.openxmlformats.org/officeDocument/2006/relationships/image" Target="../media/image4940.jpeg"/><Relationship Id="rId189" Type="http://schemas.openxmlformats.org/officeDocument/2006/relationships/image" Target="../media/image189.jpeg"/><Relationship Id="rId396" Type="http://schemas.openxmlformats.org/officeDocument/2006/relationships/image" Target="../media/image396.jpeg"/><Relationship Id="rId2077" Type="http://schemas.openxmlformats.org/officeDocument/2006/relationships/image" Target="../media/image2077.jpeg"/><Relationship Id="rId2284" Type="http://schemas.openxmlformats.org/officeDocument/2006/relationships/image" Target="../media/image2284.jpeg"/><Relationship Id="rId2491" Type="http://schemas.openxmlformats.org/officeDocument/2006/relationships/image" Target="../media/image2491.jpeg"/><Relationship Id="rId3128" Type="http://schemas.openxmlformats.org/officeDocument/2006/relationships/image" Target="../media/image3128.jpeg"/><Relationship Id="rId3335" Type="http://schemas.openxmlformats.org/officeDocument/2006/relationships/image" Target="../media/image3335.jpeg"/><Relationship Id="rId3542" Type="http://schemas.openxmlformats.org/officeDocument/2006/relationships/image" Target="../media/image3542.jpeg"/><Relationship Id="rId256" Type="http://schemas.openxmlformats.org/officeDocument/2006/relationships/image" Target="../media/image256.jpeg"/><Relationship Id="rId463" Type="http://schemas.openxmlformats.org/officeDocument/2006/relationships/image" Target="../media/image463.jpeg"/><Relationship Id="rId670" Type="http://schemas.openxmlformats.org/officeDocument/2006/relationships/image" Target="../media/image670.jpeg"/><Relationship Id="rId1093" Type="http://schemas.openxmlformats.org/officeDocument/2006/relationships/image" Target="../media/image1093.jpeg"/><Relationship Id="rId2144" Type="http://schemas.openxmlformats.org/officeDocument/2006/relationships/image" Target="../media/image2144.jpeg"/><Relationship Id="rId2351" Type="http://schemas.openxmlformats.org/officeDocument/2006/relationships/image" Target="../media/image2351.jpeg"/><Relationship Id="rId3402" Type="http://schemas.openxmlformats.org/officeDocument/2006/relationships/image" Target="../media/image3402.jpeg"/><Relationship Id="rId4800" Type="http://schemas.openxmlformats.org/officeDocument/2006/relationships/image" Target="../media/image4800.jpeg"/><Relationship Id="rId116" Type="http://schemas.openxmlformats.org/officeDocument/2006/relationships/image" Target="../media/image116.jpeg"/><Relationship Id="rId323" Type="http://schemas.openxmlformats.org/officeDocument/2006/relationships/image" Target="../media/image323.jpeg"/><Relationship Id="rId530" Type="http://schemas.openxmlformats.org/officeDocument/2006/relationships/image" Target="../media/image530.jpeg"/><Relationship Id="rId1160" Type="http://schemas.openxmlformats.org/officeDocument/2006/relationships/image" Target="../media/image1160.jpeg"/><Relationship Id="rId2004" Type="http://schemas.openxmlformats.org/officeDocument/2006/relationships/image" Target="../media/image2004.jpeg"/><Relationship Id="rId2211" Type="http://schemas.openxmlformats.org/officeDocument/2006/relationships/image" Target="../media/image2211.jpeg"/><Relationship Id="rId4176" Type="http://schemas.openxmlformats.org/officeDocument/2006/relationships/image" Target="../media/image4176.jpeg"/><Relationship Id="rId1020" Type="http://schemas.openxmlformats.org/officeDocument/2006/relationships/image" Target="../media/image1020.jpeg"/><Relationship Id="rId1977" Type="http://schemas.openxmlformats.org/officeDocument/2006/relationships/image" Target="../media/image1977.jpeg"/><Relationship Id="rId4383" Type="http://schemas.openxmlformats.org/officeDocument/2006/relationships/image" Target="../media/image4383.jpeg"/><Relationship Id="rId4590" Type="http://schemas.openxmlformats.org/officeDocument/2006/relationships/image" Target="../media/image4590.jpeg"/><Relationship Id="rId1837" Type="http://schemas.openxmlformats.org/officeDocument/2006/relationships/image" Target="../media/image1837.jpeg"/><Relationship Id="rId3192" Type="http://schemas.openxmlformats.org/officeDocument/2006/relationships/image" Target="../media/image3192.jpeg"/><Relationship Id="rId4036" Type="http://schemas.openxmlformats.org/officeDocument/2006/relationships/image" Target="../media/image4036.jpeg"/><Relationship Id="rId4243" Type="http://schemas.openxmlformats.org/officeDocument/2006/relationships/image" Target="../media/image4243.jpeg"/><Relationship Id="rId4450" Type="http://schemas.openxmlformats.org/officeDocument/2006/relationships/image" Target="../media/image4450.jpeg"/><Relationship Id="rId3052" Type="http://schemas.openxmlformats.org/officeDocument/2006/relationships/image" Target="../media/image3052.jpeg"/><Relationship Id="rId4103" Type="http://schemas.openxmlformats.org/officeDocument/2006/relationships/image" Target="../media/image4103.jpeg"/><Relationship Id="rId4310" Type="http://schemas.openxmlformats.org/officeDocument/2006/relationships/image" Target="../media/image4310.jpeg"/><Relationship Id="rId180" Type="http://schemas.openxmlformats.org/officeDocument/2006/relationships/image" Target="../media/image180.jpeg"/><Relationship Id="rId1904" Type="http://schemas.openxmlformats.org/officeDocument/2006/relationships/image" Target="../media/image1904.jpeg"/></Relationships>
</file>

<file path=xl/drawings/drawing1.xml><?xml version="1.0" encoding="utf-8"?>
<xdr:wsDr xmlns:xdr="http://schemas.openxmlformats.org/drawingml/2006/spreadsheetDrawing" xmlns:a="http://schemas.openxmlformats.org/drawingml/2006/main">
  <xdr:twoCellAnchor>
    <xdr:from>
      <xdr:col>9</xdr:col>
      <xdr:colOff>6350</xdr:colOff>
      <xdr:row>10</xdr:row>
      <xdr:rowOff>25400</xdr:rowOff>
    </xdr:from>
    <xdr:to>
      <xdr:col>9</xdr:col>
      <xdr:colOff>885190</xdr:colOff>
      <xdr:row>10</xdr:row>
      <xdr:rowOff>1209040</xdr:rowOff>
    </xdr:to>
    <xdr:pic>
      <xdr:nvPicPr>
        <xdr:cNvPr id="5208" name="Изображение 5207" descr="resizeПП-00272638"/>
        <xdr:cNvPicPr>
          <a:picLocks noChangeAspect="1"/>
        </xdr:cNvPicPr>
      </xdr:nvPicPr>
      <xdr:blipFill>
        <a:blip xmlns:r="http://schemas.openxmlformats.org/officeDocument/2006/relationships" r:embed="rId1"/>
        <a:stretch>
          <a:fillRect/>
        </a:stretch>
      </xdr:blipFill>
      <xdr:spPr>
        <a:xfrm>
          <a:off x="7235825" y="2514600"/>
          <a:ext cx="878840" cy="1183640"/>
        </a:xfrm>
        <a:prstGeom prst="rect">
          <a:avLst/>
        </a:prstGeom>
      </xdr:spPr>
    </xdr:pic>
    <xdr:clientData/>
  </xdr:twoCellAnchor>
  <xdr:twoCellAnchor>
    <xdr:from>
      <xdr:col>9</xdr:col>
      <xdr:colOff>6350</xdr:colOff>
      <xdr:row>12</xdr:row>
      <xdr:rowOff>25400</xdr:rowOff>
    </xdr:from>
    <xdr:to>
      <xdr:col>9</xdr:col>
      <xdr:colOff>885190</xdr:colOff>
      <xdr:row>12</xdr:row>
      <xdr:rowOff>1209040</xdr:rowOff>
    </xdr:to>
    <xdr:pic>
      <xdr:nvPicPr>
        <xdr:cNvPr id="5209" name="Изображение 5208" descr="resizeПП-00272004"/>
        <xdr:cNvPicPr>
          <a:picLocks noChangeAspect="1"/>
        </xdr:cNvPicPr>
      </xdr:nvPicPr>
      <xdr:blipFill>
        <a:blip xmlns:r="http://schemas.openxmlformats.org/officeDocument/2006/relationships" r:embed="rId2"/>
        <a:stretch>
          <a:fillRect/>
        </a:stretch>
      </xdr:blipFill>
      <xdr:spPr>
        <a:xfrm>
          <a:off x="7235825" y="3889375"/>
          <a:ext cx="878840" cy="1183640"/>
        </a:xfrm>
        <a:prstGeom prst="rect">
          <a:avLst/>
        </a:prstGeom>
      </xdr:spPr>
    </xdr:pic>
    <xdr:clientData/>
  </xdr:twoCellAnchor>
  <xdr:twoCellAnchor>
    <xdr:from>
      <xdr:col>9</xdr:col>
      <xdr:colOff>6350</xdr:colOff>
      <xdr:row>13</xdr:row>
      <xdr:rowOff>25400</xdr:rowOff>
    </xdr:from>
    <xdr:to>
      <xdr:col>9</xdr:col>
      <xdr:colOff>885190</xdr:colOff>
      <xdr:row>13</xdr:row>
      <xdr:rowOff>1209040</xdr:rowOff>
    </xdr:to>
    <xdr:pic>
      <xdr:nvPicPr>
        <xdr:cNvPr id="5210" name="Изображение 5209" descr="resizeПП-00271895"/>
        <xdr:cNvPicPr>
          <a:picLocks noChangeAspect="1"/>
        </xdr:cNvPicPr>
      </xdr:nvPicPr>
      <xdr:blipFill>
        <a:blip xmlns:r="http://schemas.openxmlformats.org/officeDocument/2006/relationships" r:embed="rId3"/>
        <a:stretch>
          <a:fillRect/>
        </a:stretch>
      </xdr:blipFill>
      <xdr:spPr>
        <a:xfrm>
          <a:off x="7235825" y="5111750"/>
          <a:ext cx="878840" cy="1183640"/>
        </a:xfrm>
        <a:prstGeom prst="rect">
          <a:avLst/>
        </a:prstGeom>
      </xdr:spPr>
    </xdr:pic>
    <xdr:clientData/>
  </xdr:twoCellAnchor>
  <xdr:twoCellAnchor>
    <xdr:from>
      <xdr:col>9</xdr:col>
      <xdr:colOff>6350</xdr:colOff>
      <xdr:row>14</xdr:row>
      <xdr:rowOff>25400</xdr:rowOff>
    </xdr:from>
    <xdr:to>
      <xdr:col>9</xdr:col>
      <xdr:colOff>885190</xdr:colOff>
      <xdr:row>14</xdr:row>
      <xdr:rowOff>1209040</xdr:rowOff>
    </xdr:to>
    <xdr:pic>
      <xdr:nvPicPr>
        <xdr:cNvPr id="5211" name="Изображение 5210" descr="resizeПП-00271894"/>
        <xdr:cNvPicPr>
          <a:picLocks noChangeAspect="1"/>
        </xdr:cNvPicPr>
      </xdr:nvPicPr>
      <xdr:blipFill>
        <a:blip xmlns:r="http://schemas.openxmlformats.org/officeDocument/2006/relationships" r:embed="rId4"/>
        <a:stretch>
          <a:fillRect/>
        </a:stretch>
      </xdr:blipFill>
      <xdr:spPr>
        <a:xfrm>
          <a:off x="7235825" y="6334125"/>
          <a:ext cx="878840" cy="1183640"/>
        </a:xfrm>
        <a:prstGeom prst="rect">
          <a:avLst/>
        </a:prstGeom>
      </xdr:spPr>
    </xdr:pic>
    <xdr:clientData/>
  </xdr:twoCellAnchor>
  <xdr:twoCellAnchor>
    <xdr:from>
      <xdr:col>9</xdr:col>
      <xdr:colOff>6350</xdr:colOff>
      <xdr:row>17</xdr:row>
      <xdr:rowOff>25400</xdr:rowOff>
    </xdr:from>
    <xdr:to>
      <xdr:col>9</xdr:col>
      <xdr:colOff>885190</xdr:colOff>
      <xdr:row>17</xdr:row>
      <xdr:rowOff>1209040</xdr:rowOff>
    </xdr:to>
    <xdr:pic>
      <xdr:nvPicPr>
        <xdr:cNvPr id="5212" name="Изображение 5211" descr="resizeПП-00267320"/>
        <xdr:cNvPicPr>
          <a:picLocks noChangeAspect="1"/>
        </xdr:cNvPicPr>
      </xdr:nvPicPr>
      <xdr:blipFill>
        <a:blip xmlns:r="http://schemas.openxmlformats.org/officeDocument/2006/relationships" r:embed="rId5"/>
        <a:stretch>
          <a:fillRect/>
        </a:stretch>
      </xdr:blipFill>
      <xdr:spPr>
        <a:xfrm>
          <a:off x="7235825" y="7861300"/>
          <a:ext cx="878840" cy="1183640"/>
        </a:xfrm>
        <a:prstGeom prst="rect">
          <a:avLst/>
        </a:prstGeom>
      </xdr:spPr>
    </xdr:pic>
    <xdr:clientData/>
  </xdr:twoCellAnchor>
  <xdr:twoCellAnchor>
    <xdr:from>
      <xdr:col>9</xdr:col>
      <xdr:colOff>6350</xdr:colOff>
      <xdr:row>19</xdr:row>
      <xdr:rowOff>25400</xdr:rowOff>
    </xdr:from>
    <xdr:to>
      <xdr:col>9</xdr:col>
      <xdr:colOff>885190</xdr:colOff>
      <xdr:row>19</xdr:row>
      <xdr:rowOff>1209040</xdr:rowOff>
    </xdr:to>
    <xdr:pic>
      <xdr:nvPicPr>
        <xdr:cNvPr id="5213" name="Изображение 5212" descr="resizeПП-00272655"/>
        <xdr:cNvPicPr>
          <a:picLocks noChangeAspect="1"/>
        </xdr:cNvPicPr>
      </xdr:nvPicPr>
      <xdr:blipFill>
        <a:blip xmlns:r="http://schemas.openxmlformats.org/officeDocument/2006/relationships" r:embed="rId6"/>
        <a:stretch>
          <a:fillRect/>
        </a:stretch>
      </xdr:blipFill>
      <xdr:spPr>
        <a:xfrm>
          <a:off x="7235825" y="9236075"/>
          <a:ext cx="878840" cy="1183640"/>
        </a:xfrm>
        <a:prstGeom prst="rect">
          <a:avLst/>
        </a:prstGeom>
      </xdr:spPr>
    </xdr:pic>
    <xdr:clientData/>
  </xdr:twoCellAnchor>
  <xdr:twoCellAnchor>
    <xdr:from>
      <xdr:col>9</xdr:col>
      <xdr:colOff>6350</xdr:colOff>
      <xdr:row>20</xdr:row>
      <xdr:rowOff>25400</xdr:rowOff>
    </xdr:from>
    <xdr:to>
      <xdr:col>9</xdr:col>
      <xdr:colOff>885190</xdr:colOff>
      <xdr:row>20</xdr:row>
      <xdr:rowOff>1209040</xdr:rowOff>
    </xdr:to>
    <xdr:pic>
      <xdr:nvPicPr>
        <xdr:cNvPr id="5214" name="Изображение 5213" descr="resizeПП-00272662"/>
        <xdr:cNvPicPr>
          <a:picLocks noChangeAspect="1"/>
        </xdr:cNvPicPr>
      </xdr:nvPicPr>
      <xdr:blipFill>
        <a:blip xmlns:r="http://schemas.openxmlformats.org/officeDocument/2006/relationships" r:embed="rId7"/>
        <a:stretch>
          <a:fillRect/>
        </a:stretch>
      </xdr:blipFill>
      <xdr:spPr>
        <a:xfrm>
          <a:off x="7235825" y="10458450"/>
          <a:ext cx="878840" cy="1183640"/>
        </a:xfrm>
        <a:prstGeom prst="rect">
          <a:avLst/>
        </a:prstGeom>
      </xdr:spPr>
    </xdr:pic>
    <xdr:clientData/>
  </xdr:twoCellAnchor>
  <xdr:twoCellAnchor>
    <xdr:from>
      <xdr:col>9</xdr:col>
      <xdr:colOff>6350</xdr:colOff>
      <xdr:row>24</xdr:row>
      <xdr:rowOff>25400</xdr:rowOff>
    </xdr:from>
    <xdr:to>
      <xdr:col>9</xdr:col>
      <xdr:colOff>885190</xdr:colOff>
      <xdr:row>24</xdr:row>
      <xdr:rowOff>1209040</xdr:rowOff>
    </xdr:to>
    <xdr:pic>
      <xdr:nvPicPr>
        <xdr:cNvPr id="5215" name="Изображение 5214" descr="resizeПП-00269110"/>
        <xdr:cNvPicPr>
          <a:picLocks noChangeAspect="1"/>
        </xdr:cNvPicPr>
      </xdr:nvPicPr>
      <xdr:blipFill>
        <a:blip xmlns:r="http://schemas.openxmlformats.org/officeDocument/2006/relationships" r:embed="rId8"/>
        <a:stretch>
          <a:fillRect/>
        </a:stretch>
      </xdr:blipFill>
      <xdr:spPr>
        <a:xfrm>
          <a:off x="7235825" y="12138025"/>
          <a:ext cx="878840" cy="1183640"/>
        </a:xfrm>
        <a:prstGeom prst="rect">
          <a:avLst/>
        </a:prstGeom>
      </xdr:spPr>
    </xdr:pic>
    <xdr:clientData/>
  </xdr:twoCellAnchor>
  <xdr:twoCellAnchor>
    <xdr:from>
      <xdr:col>9</xdr:col>
      <xdr:colOff>6350</xdr:colOff>
      <xdr:row>25</xdr:row>
      <xdr:rowOff>25400</xdr:rowOff>
    </xdr:from>
    <xdr:to>
      <xdr:col>9</xdr:col>
      <xdr:colOff>885190</xdr:colOff>
      <xdr:row>25</xdr:row>
      <xdr:rowOff>1209040</xdr:rowOff>
    </xdr:to>
    <xdr:pic>
      <xdr:nvPicPr>
        <xdr:cNvPr id="5216" name="Изображение 5215" descr="resizeПП-00269111"/>
        <xdr:cNvPicPr>
          <a:picLocks noChangeAspect="1"/>
        </xdr:cNvPicPr>
      </xdr:nvPicPr>
      <xdr:blipFill>
        <a:blip xmlns:r="http://schemas.openxmlformats.org/officeDocument/2006/relationships" r:embed="rId9"/>
        <a:stretch>
          <a:fillRect/>
        </a:stretch>
      </xdr:blipFill>
      <xdr:spPr>
        <a:xfrm>
          <a:off x="7235825" y="13360400"/>
          <a:ext cx="878840" cy="1183640"/>
        </a:xfrm>
        <a:prstGeom prst="rect">
          <a:avLst/>
        </a:prstGeom>
      </xdr:spPr>
    </xdr:pic>
    <xdr:clientData/>
  </xdr:twoCellAnchor>
  <xdr:twoCellAnchor>
    <xdr:from>
      <xdr:col>9</xdr:col>
      <xdr:colOff>6350</xdr:colOff>
      <xdr:row>26</xdr:row>
      <xdr:rowOff>25400</xdr:rowOff>
    </xdr:from>
    <xdr:to>
      <xdr:col>9</xdr:col>
      <xdr:colOff>885190</xdr:colOff>
      <xdr:row>26</xdr:row>
      <xdr:rowOff>1209040</xdr:rowOff>
    </xdr:to>
    <xdr:pic>
      <xdr:nvPicPr>
        <xdr:cNvPr id="5217" name="Изображение 5216" descr="resizeПП-00269072"/>
        <xdr:cNvPicPr>
          <a:picLocks noChangeAspect="1"/>
        </xdr:cNvPicPr>
      </xdr:nvPicPr>
      <xdr:blipFill>
        <a:blip xmlns:r="http://schemas.openxmlformats.org/officeDocument/2006/relationships" r:embed="rId10"/>
        <a:stretch>
          <a:fillRect/>
        </a:stretch>
      </xdr:blipFill>
      <xdr:spPr>
        <a:xfrm>
          <a:off x="7235825" y="14582775"/>
          <a:ext cx="878840" cy="1183640"/>
        </a:xfrm>
        <a:prstGeom prst="rect">
          <a:avLst/>
        </a:prstGeom>
      </xdr:spPr>
    </xdr:pic>
    <xdr:clientData/>
  </xdr:twoCellAnchor>
  <xdr:twoCellAnchor>
    <xdr:from>
      <xdr:col>9</xdr:col>
      <xdr:colOff>6350</xdr:colOff>
      <xdr:row>27</xdr:row>
      <xdr:rowOff>25400</xdr:rowOff>
    </xdr:from>
    <xdr:to>
      <xdr:col>9</xdr:col>
      <xdr:colOff>885190</xdr:colOff>
      <xdr:row>27</xdr:row>
      <xdr:rowOff>1209040</xdr:rowOff>
    </xdr:to>
    <xdr:pic>
      <xdr:nvPicPr>
        <xdr:cNvPr id="5218" name="Изображение 5217" descr="resizeПП-00269109"/>
        <xdr:cNvPicPr>
          <a:picLocks noChangeAspect="1"/>
        </xdr:cNvPicPr>
      </xdr:nvPicPr>
      <xdr:blipFill>
        <a:blip xmlns:r="http://schemas.openxmlformats.org/officeDocument/2006/relationships" r:embed="rId11"/>
        <a:stretch>
          <a:fillRect/>
        </a:stretch>
      </xdr:blipFill>
      <xdr:spPr>
        <a:xfrm>
          <a:off x="7235825" y="15805150"/>
          <a:ext cx="878840" cy="1183640"/>
        </a:xfrm>
        <a:prstGeom prst="rect">
          <a:avLst/>
        </a:prstGeom>
      </xdr:spPr>
    </xdr:pic>
    <xdr:clientData/>
  </xdr:twoCellAnchor>
  <xdr:twoCellAnchor>
    <xdr:from>
      <xdr:col>9</xdr:col>
      <xdr:colOff>6350</xdr:colOff>
      <xdr:row>28</xdr:row>
      <xdr:rowOff>25400</xdr:rowOff>
    </xdr:from>
    <xdr:to>
      <xdr:col>9</xdr:col>
      <xdr:colOff>885190</xdr:colOff>
      <xdr:row>28</xdr:row>
      <xdr:rowOff>1209040</xdr:rowOff>
    </xdr:to>
    <xdr:pic>
      <xdr:nvPicPr>
        <xdr:cNvPr id="5219" name="Изображение 5218" descr="resizeПП-00269108"/>
        <xdr:cNvPicPr>
          <a:picLocks noChangeAspect="1"/>
        </xdr:cNvPicPr>
      </xdr:nvPicPr>
      <xdr:blipFill>
        <a:blip xmlns:r="http://schemas.openxmlformats.org/officeDocument/2006/relationships" r:embed="rId12"/>
        <a:stretch>
          <a:fillRect/>
        </a:stretch>
      </xdr:blipFill>
      <xdr:spPr>
        <a:xfrm>
          <a:off x="7235825" y="17027525"/>
          <a:ext cx="878840" cy="1183640"/>
        </a:xfrm>
        <a:prstGeom prst="rect">
          <a:avLst/>
        </a:prstGeom>
      </xdr:spPr>
    </xdr:pic>
    <xdr:clientData/>
  </xdr:twoCellAnchor>
  <xdr:twoCellAnchor>
    <xdr:from>
      <xdr:col>9</xdr:col>
      <xdr:colOff>6350</xdr:colOff>
      <xdr:row>29</xdr:row>
      <xdr:rowOff>25400</xdr:rowOff>
    </xdr:from>
    <xdr:to>
      <xdr:col>9</xdr:col>
      <xdr:colOff>885190</xdr:colOff>
      <xdr:row>29</xdr:row>
      <xdr:rowOff>1209040</xdr:rowOff>
    </xdr:to>
    <xdr:pic>
      <xdr:nvPicPr>
        <xdr:cNvPr id="5220" name="Изображение 5219" descr="resizeПП-00269079"/>
        <xdr:cNvPicPr>
          <a:picLocks noChangeAspect="1"/>
        </xdr:cNvPicPr>
      </xdr:nvPicPr>
      <xdr:blipFill>
        <a:blip xmlns:r="http://schemas.openxmlformats.org/officeDocument/2006/relationships" r:embed="rId13"/>
        <a:stretch>
          <a:fillRect/>
        </a:stretch>
      </xdr:blipFill>
      <xdr:spPr>
        <a:xfrm>
          <a:off x="7235825" y="18249900"/>
          <a:ext cx="878840" cy="1183640"/>
        </a:xfrm>
        <a:prstGeom prst="rect">
          <a:avLst/>
        </a:prstGeom>
      </xdr:spPr>
    </xdr:pic>
    <xdr:clientData/>
  </xdr:twoCellAnchor>
  <xdr:twoCellAnchor>
    <xdr:from>
      <xdr:col>9</xdr:col>
      <xdr:colOff>6350</xdr:colOff>
      <xdr:row>31</xdr:row>
      <xdr:rowOff>25400</xdr:rowOff>
    </xdr:from>
    <xdr:to>
      <xdr:col>9</xdr:col>
      <xdr:colOff>885190</xdr:colOff>
      <xdr:row>31</xdr:row>
      <xdr:rowOff>1209040</xdr:rowOff>
    </xdr:to>
    <xdr:pic>
      <xdr:nvPicPr>
        <xdr:cNvPr id="5221" name="Изображение 5220" descr="resizeПП-00272630"/>
        <xdr:cNvPicPr>
          <a:picLocks noChangeAspect="1"/>
        </xdr:cNvPicPr>
      </xdr:nvPicPr>
      <xdr:blipFill>
        <a:blip xmlns:r="http://schemas.openxmlformats.org/officeDocument/2006/relationships" r:embed="rId14"/>
        <a:stretch>
          <a:fillRect/>
        </a:stretch>
      </xdr:blipFill>
      <xdr:spPr>
        <a:xfrm>
          <a:off x="7235825" y="19624675"/>
          <a:ext cx="878840" cy="1183640"/>
        </a:xfrm>
        <a:prstGeom prst="rect">
          <a:avLst/>
        </a:prstGeom>
      </xdr:spPr>
    </xdr:pic>
    <xdr:clientData/>
  </xdr:twoCellAnchor>
  <xdr:twoCellAnchor>
    <xdr:from>
      <xdr:col>9</xdr:col>
      <xdr:colOff>6350</xdr:colOff>
      <xdr:row>32</xdr:row>
      <xdr:rowOff>25400</xdr:rowOff>
    </xdr:from>
    <xdr:to>
      <xdr:col>9</xdr:col>
      <xdr:colOff>885190</xdr:colOff>
      <xdr:row>32</xdr:row>
      <xdr:rowOff>1209040</xdr:rowOff>
    </xdr:to>
    <xdr:pic>
      <xdr:nvPicPr>
        <xdr:cNvPr id="5222" name="Изображение 5221" descr="resizeПП-00272629"/>
        <xdr:cNvPicPr>
          <a:picLocks noChangeAspect="1"/>
        </xdr:cNvPicPr>
      </xdr:nvPicPr>
      <xdr:blipFill>
        <a:blip xmlns:r="http://schemas.openxmlformats.org/officeDocument/2006/relationships" r:embed="rId15"/>
        <a:stretch>
          <a:fillRect/>
        </a:stretch>
      </xdr:blipFill>
      <xdr:spPr>
        <a:xfrm>
          <a:off x="7235825" y="20847050"/>
          <a:ext cx="878840" cy="1183640"/>
        </a:xfrm>
        <a:prstGeom prst="rect">
          <a:avLst/>
        </a:prstGeom>
      </xdr:spPr>
    </xdr:pic>
    <xdr:clientData/>
  </xdr:twoCellAnchor>
  <xdr:twoCellAnchor>
    <xdr:from>
      <xdr:col>9</xdr:col>
      <xdr:colOff>6350</xdr:colOff>
      <xdr:row>33</xdr:row>
      <xdr:rowOff>25400</xdr:rowOff>
    </xdr:from>
    <xdr:to>
      <xdr:col>9</xdr:col>
      <xdr:colOff>885190</xdr:colOff>
      <xdr:row>33</xdr:row>
      <xdr:rowOff>1209040</xdr:rowOff>
    </xdr:to>
    <xdr:pic>
      <xdr:nvPicPr>
        <xdr:cNvPr id="5223" name="Изображение 5222" descr="resizeПП-00272634"/>
        <xdr:cNvPicPr>
          <a:picLocks noChangeAspect="1"/>
        </xdr:cNvPicPr>
      </xdr:nvPicPr>
      <xdr:blipFill>
        <a:blip xmlns:r="http://schemas.openxmlformats.org/officeDocument/2006/relationships" r:embed="rId16"/>
        <a:stretch>
          <a:fillRect/>
        </a:stretch>
      </xdr:blipFill>
      <xdr:spPr>
        <a:xfrm>
          <a:off x="7235825" y="22069425"/>
          <a:ext cx="878840" cy="1183640"/>
        </a:xfrm>
        <a:prstGeom prst="rect">
          <a:avLst/>
        </a:prstGeom>
      </xdr:spPr>
    </xdr:pic>
    <xdr:clientData/>
  </xdr:twoCellAnchor>
  <xdr:twoCellAnchor>
    <xdr:from>
      <xdr:col>9</xdr:col>
      <xdr:colOff>6350</xdr:colOff>
      <xdr:row>34</xdr:row>
      <xdr:rowOff>25400</xdr:rowOff>
    </xdr:from>
    <xdr:to>
      <xdr:col>9</xdr:col>
      <xdr:colOff>885190</xdr:colOff>
      <xdr:row>34</xdr:row>
      <xdr:rowOff>1209040</xdr:rowOff>
    </xdr:to>
    <xdr:pic>
      <xdr:nvPicPr>
        <xdr:cNvPr id="5224" name="Изображение 5223" descr="resizeПП-00272627"/>
        <xdr:cNvPicPr>
          <a:picLocks noChangeAspect="1"/>
        </xdr:cNvPicPr>
      </xdr:nvPicPr>
      <xdr:blipFill>
        <a:blip xmlns:r="http://schemas.openxmlformats.org/officeDocument/2006/relationships" r:embed="rId17"/>
        <a:stretch>
          <a:fillRect/>
        </a:stretch>
      </xdr:blipFill>
      <xdr:spPr>
        <a:xfrm>
          <a:off x="7235825" y="23291800"/>
          <a:ext cx="878840" cy="1183640"/>
        </a:xfrm>
        <a:prstGeom prst="rect">
          <a:avLst/>
        </a:prstGeom>
      </xdr:spPr>
    </xdr:pic>
    <xdr:clientData/>
  </xdr:twoCellAnchor>
  <xdr:twoCellAnchor>
    <xdr:from>
      <xdr:col>9</xdr:col>
      <xdr:colOff>6350</xdr:colOff>
      <xdr:row>35</xdr:row>
      <xdr:rowOff>25400</xdr:rowOff>
    </xdr:from>
    <xdr:to>
      <xdr:col>9</xdr:col>
      <xdr:colOff>885190</xdr:colOff>
      <xdr:row>35</xdr:row>
      <xdr:rowOff>1209040</xdr:rowOff>
    </xdr:to>
    <xdr:pic>
      <xdr:nvPicPr>
        <xdr:cNvPr id="5225" name="Изображение 5224" descr="resizeПП-00272623"/>
        <xdr:cNvPicPr>
          <a:picLocks noChangeAspect="1"/>
        </xdr:cNvPicPr>
      </xdr:nvPicPr>
      <xdr:blipFill>
        <a:blip xmlns:r="http://schemas.openxmlformats.org/officeDocument/2006/relationships" r:embed="rId18"/>
        <a:stretch>
          <a:fillRect/>
        </a:stretch>
      </xdr:blipFill>
      <xdr:spPr>
        <a:xfrm>
          <a:off x="7235825" y="24514175"/>
          <a:ext cx="878840" cy="1183640"/>
        </a:xfrm>
        <a:prstGeom prst="rect">
          <a:avLst/>
        </a:prstGeom>
      </xdr:spPr>
    </xdr:pic>
    <xdr:clientData/>
  </xdr:twoCellAnchor>
  <xdr:twoCellAnchor>
    <xdr:from>
      <xdr:col>9</xdr:col>
      <xdr:colOff>6350</xdr:colOff>
      <xdr:row>36</xdr:row>
      <xdr:rowOff>25400</xdr:rowOff>
    </xdr:from>
    <xdr:to>
      <xdr:col>9</xdr:col>
      <xdr:colOff>885190</xdr:colOff>
      <xdr:row>36</xdr:row>
      <xdr:rowOff>1209040</xdr:rowOff>
    </xdr:to>
    <xdr:pic>
      <xdr:nvPicPr>
        <xdr:cNvPr id="5226" name="Изображение 5225" descr="resizeПП-00272633"/>
        <xdr:cNvPicPr>
          <a:picLocks noChangeAspect="1"/>
        </xdr:cNvPicPr>
      </xdr:nvPicPr>
      <xdr:blipFill>
        <a:blip xmlns:r="http://schemas.openxmlformats.org/officeDocument/2006/relationships" r:embed="rId19"/>
        <a:stretch>
          <a:fillRect/>
        </a:stretch>
      </xdr:blipFill>
      <xdr:spPr>
        <a:xfrm>
          <a:off x="7235825" y="25736550"/>
          <a:ext cx="878840" cy="1183640"/>
        </a:xfrm>
        <a:prstGeom prst="rect">
          <a:avLst/>
        </a:prstGeom>
      </xdr:spPr>
    </xdr:pic>
    <xdr:clientData/>
  </xdr:twoCellAnchor>
  <xdr:twoCellAnchor>
    <xdr:from>
      <xdr:col>9</xdr:col>
      <xdr:colOff>6350</xdr:colOff>
      <xdr:row>37</xdr:row>
      <xdr:rowOff>25400</xdr:rowOff>
    </xdr:from>
    <xdr:to>
      <xdr:col>9</xdr:col>
      <xdr:colOff>885190</xdr:colOff>
      <xdr:row>37</xdr:row>
      <xdr:rowOff>1209040</xdr:rowOff>
    </xdr:to>
    <xdr:pic>
      <xdr:nvPicPr>
        <xdr:cNvPr id="5227" name="Изображение 5226" descr="resizeПП-00272631"/>
        <xdr:cNvPicPr>
          <a:picLocks noChangeAspect="1"/>
        </xdr:cNvPicPr>
      </xdr:nvPicPr>
      <xdr:blipFill>
        <a:blip xmlns:r="http://schemas.openxmlformats.org/officeDocument/2006/relationships" r:embed="rId20"/>
        <a:stretch>
          <a:fillRect/>
        </a:stretch>
      </xdr:blipFill>
      <xdr:spPr>
        <a:xfrm>
          <a:off x="7235825" y="26958925"/>
          <a:ext cx="878840" cy="1183640"/>
        </a:xfrm>
        <a:prstGeom prst="rect">
          <a:avLst/>
        </a:prstGeom>
      </xdr:spPr>
    </xdr:pic>
    <xdr:clientData/>
  </xdr:twoCellAnchor>
  <xdr:twoCellAnchor>
    <xdr:from>
      <xdr:col>9</xdr:col>
      <xdr:colOff>6350</xdr:colOff>
      <xdr:row>39</xdr:row>
      <xdr:rowOff>25400</xdr:rowOff>
    </xdr:from>
    <xdr:to>
      <xdr:col>9</xdr:col>
      <xdr:colOff>885190</xdr:colOff>
      <xdr:row>39</xdr:row>
      <xdr:rowOff>1209040</xdr:rowOff>
    </xdr:to>
    <xdr:pic>
      <xdr:nvPicPr>
        <xdr:cNvPr id="5228" name="Изображение 5227" descr="resizeПП-00271488"/>
        <xdr:cNvPicPr>
          <a:picLocks noChangeAspect="1"/>
        </xdr:cNvPicPr>
      </xdr:nvPicPr>
      <xdr:blipFill>
        <a:blip xmlns:r="http://schemas.openxmlformats.org/officeDocument/2006/relationships" r:embed="rId21"/>
        <a:stretch>
          <a:fillRect/>
        </a:stretch>
      </xdr:blipFill>
      <xdr:spPr>
        <a:xfrm>
          <a:off x="7235825" y="28333700"/>
          <a:ext cx="878840" cy="1183640"/>
        </a:xfrm>
        <a:prstGeom prst="rect">
          <a:avLst/>
        </a:prstGeom>
      </xdr:spPr>
    </xdr:pic>
    <xdr:clientData/>
  </xdr:twoCellAnchor>
  <xdr:twoCellAnchor>
    <xdr:from>
      <xdr:col>9</xdr:col>
      <xdr:colOff>6350</xdr:colOff>
      <xdr:row>40</xdr:row>
      <xdr:rowOff>25400</xdr:rowOff>
    </xdr:from>
    <xdr:to>
      <xdr:col>9</xdr:col>
      <xdr:colOff>885190</xdr:colOff>
      <xdr:row>40</xdr:row>
      <xdr:rowOff>1209040</xdr:rowOff>
    </xdr:to>
    <xdr:pic>
      <xdr:nvPicPr>
        <xdr:cNvPr id="5229" name="Изображение 5228" descr="resizeПП-00271485"/>
        <xdr:cNvPicPr>
          <a:picLocks noChangeAspect="1"/>
        </xdr:cNvPicPr>
      </xdr:nvPicPr>
      <xdr:blipFill>
        <a:blip xmlns:r="http://schemas.openxmlformats.org/officeDocument/2006/relationships" r:embed="rId22"/>
        <a:stretch>
          <a:fillRect/>
        </a:stretch>
      </xdr:blipFill>
      <xdr:spPr>
        <a:xfrm>
          <a:off x="7235825" y="29556075"/>
          <a:ext cx="878840" cy="1183640"/>
        </a:xfrm>
        <a:prstGeom prst="rect">
          <a:avLst/>
        </a:prstGeom>
      </xdr:spPr>
    </xdr:pic>
    <xdr:clientData/>
  </xdr:twoCellAnchor>
  <xdr:twoCellAnchor>
    <xdr:from>
      <xdr:col>9</xdr:col>
      <xdr:colOff>6350</xdr:colOff>
      <xdr:row>41</xdr:row>
      <xdr:rowOff>25400</xdr:rowOff>
    </xdr:from>
    <xdr:to>
      <xdr:col>9</xdr:col>
      <xdr:colOff>885190</xdr:colOff>
      <xdr:row>41</xdr:row>
      <xdr:rowOff>1209040</xdr:rowOff>
    </xdr:to>
    <xdr:pic>
      <xdr:nvPicPr>
        <xdr:cNvPr id="5230" name="Изображение 5229" descr="resizeПП-00271487"/>
        <xdr:cNvPicPr>
          <a:picLocks noChangeAspect="1"/>
        </xdr:cNvPicPr>
      </xdr:nvPicPr>
      <xdr:blipFill>
        <a:blip xmlns:r="http://schemas.openxmlformats.org/officeDocument/2006/relationships" r:embed="rId23"/>
        <a:stretch>
          <a:fillRect/>
        </a:stretch>
      </xdr:blipFill>
      <xdr:spPr>
        <a:xfrm>
          <a:off x="7235825" y="30778450"/>
          <a:ext cx="878840" cy="1183640"/>
        </a:xfrm>
        <a:prstGeom prst="rect">
          <a:avLst/>
        </a:prstGeom>
      </xdr:spPr>
    </xdr:pic>
    <xdr:clientData/>
  </xdr:twoCellAnchor>
  <xdr:twoCellAnchor>
    <xdr:from>
      <xdr:col>9</xdr:col>
      <xdr:colOff>6350</xdr:colOff>
      <xdr:row>43</xdr:row>
      <xdr:rowOff>25400</xdr:rowOff>
    </xdr:from>
    <xdr:to>
      <xdr:col>9</xdr:col>
      <xdr:colOff>885190</xdr:colOff>
      <xdr:row>43</xdr:row>
      <xdr:rowOff>1209040</xdr:rowOff>
    </xdr:to>
    <xdr:pic>
      <xdr:nvPicPr>
        <xdr:cNvPr id="5231" name="Изображение 5230" descr="resizeПП-00271481"/>
        <xdr:cNvPicPr>
          <a:picLocks noChangeAspect="1"/>
        </xdr:cNvPicPr>
      </xdr:nvPicPr>
      <xdr:blipFill>
        <a:blip xmlns:r="http://schemas.openxmlformats.org/officeDocument/2006/relationships" r:embed="rId24"/>
        <a:stretch>
          <a:fillRect/>
        </a:stretch>
      </xdr:blipFill>
      <xdr:spPr>
        <a:xfrm>
          <a:off x="7235825" y="32153225"/>
          <a:ext cx="878840" cy="1183640"/>
        </a:xfrm>
        <a:prstGeom prst="rect">
          <a:avLst/>
        </a:prstGeom>
      </xdr:spPr>
    </xdr:pic>
    <xdr:clientData/>
  </xdr:twoCellAnchor>
  <xdr:twoCellAnchor>
    <xdr:from>
      <xdr:col>9</xdr:col>
      <xdr:colOff>6350</xdr:colOff>
      <xdr:row>44</xdr:row>
      <xdr:rowOff>25400</xdr:rowOff>
    </xdr:from>
    <xdr:to>
      <xdr:col>9</xdr:col>
      <xdr:colOff>885190</xdr:colOff>
      <xdr:row>44</xdr:row>
      <xdr:rowOff>1209040</xdr:rowOff>
    </xdr:to>
    <xdr:pic>
      <xdr:nvPicPr>
        <xdr:cNvPr id="5232" name="Изображение 5231" descr="resizeПП-00271478"/>
        <xdr:cNvPicPr>
          <a:picLocks noChangeAspect="1"/>
        </xdr:cNvPicPr>
      </xdr:nvPicPr>
      <xdr:blipFill>
        <a:blip xmlns:r="http://schemas.openxmlformats.org/officeDocument/2006/relationships" r:embed="rId25"/>
        <a:stretch>
          <a:fillRect/>
        </a:stretch>
      </xdr:blipFill>
      <xdr:spPr>
        <a:xfrm>
          <a:off x="7235825" y="33375600"/>
          <a:ext cx="878840" cy="1183640"/>
        </a:xfrm>
        <a:prstGeom prst="rect">
          <a:avLst/>
        </a:prstGeom>
      </xdr:spPr>
    </xdr:pic>
    <xdr:clientData/>
  </xdr:twoCellAnchor>
  <xdr:twoCellAnchor>
    <xdr:from>
      <xdr:col>9</xdr:col>
      <xdr:colOff>6350</xdr:colOff>
      <xdr:row>45</xdr:row>
      <xdr:rowOff>25400</xdr:rowOff>
    </xdr:from>
    <xdr:to>
      <xdr:col>9</xdr:col>
      <xdr:colOff>885190</xdr:colOff>
      <xdr:row>45</xdr:row>
      <xdr:rowOff>1209040</xdr:rowOff>
    </xdr:to>
    <xdr:pic>
      <xdr:nvPicPr>
        <xdr:cNvPr id="5233" name="Изображение 5232" descr="resizeПП-00271479"/>
        <xdr:cNvPicPr>
          <a:picLocks noChangeAspect="1"/>
        </xdr:cNvPicPr>
      </xdr:nvPicPr>
      <xdr:blipFill>
        <a:blip xmlns:r="http://schemas.openxmlformats.org/officeDocument/2006/relationships" r:embed="rId26"/>
        <a:stretch>
          <a:fillRect/>
        </a:stretch>
      </xdr:blipFill>
      <xdr:spPr>
        <a:xfrm>
          <a:off x="7235825" y="34597975"/>
          <a:ext cx="878840" cy="1183640"/>
        </a:xfrm>
        <a:prstGeom prst="rect">
          <a:avLst/>
        </a:prstGeom>
      </xdr:spPr>
    </xdr:pic>
    <xdr:clientData/>
  </xdr:twoCellAnchor>
  <xdr:twoCellAnchor>
    <xdr:from>
      <xdr:col>9</xdr:col>
      <xdr:colOff>6350</xdr:colOff>
      <xdr:row>46</xdr:row>
      <xdr:rowOff>25400</xdr:rowOff>
    </xdr:from>
    <xdr:to>
      <xdr:col>9</xdr:col>
      <xdr:colOff>885190</xdr:colOff>
      <xdr:row>46</xdr:row>
      <xdr:rowOff>1209040</xdr:rowOff>
    </xdr:to>
    <xdr:pic>
      <xdr:nvPicPr>
        <xdr:cNvPr id="5234" name="Изображение 5233" descr="resizeПП-00271482"/>
        <xdr:cNvPicPr>
          <a:picLocks noChangeAspect="1"/>
        </xdr:cNvPicPr>
      </xdr:nvPicPr>
      <xdr:blipFill>
        <a:blip xmlns:r="http://schemas.openxmlformats.org/officeDocument/2006/relationships" r:embed="rId27"/>
        <a:stretch>
          <a:fillRect/>
        </a:stretch>
      </xdr:blipFill>
      <xdr:spPr>
        <a:xfrm>
          <a:off x="7235825" y="35820350"/>
          <a:ext cx="878840" cy="1183640"/>
        </a:xfrm>
        <a:prstGeom prst="rect">
          <a:avLst/>
        </a:prstGeom>
      </xdr:spPr>
    </xdr:pic>
    <xdr:clientData/>
  </xdr:twoCellAnchor>
  <xdr:twoCellAnchor>
    <xdr:from>
      <xdr:col>9</xdr:col>
      <xdr:colOff>6350</xdr:colOff>
      <xdr:row>47</xdr:row>
      <xdr:rowOff>25400</xdr:rowOff>
    </xdr:from>
    <xdr:to>
      <xdr:col>9</xdr:col>
      <xdr:colOff>885190</xdr:colOff>
      <xdr:row>47</xdr:row>
      <xdr:rowOff>1209040</xdr:rowOff>
    </xdr:to>
    <xdr:pic>
      <xdr:nvPicPr>
        <xdr:cNvPr id="5235" name="Изображение 5234" descr="resizeПП-00271483"/>
        <xdr:cNvPicPr>
          <a:picLocks noChangeAspect="1"/>
        </xdr:cNvPicPr>
      </xdr:nvPicPr>
      <xdr:blipFill>
        <a:blip xmlns:r="http://schemas.openxmlformats.org/officeDocument/2006/relationships" r:embed="rId28"/>
        <a:stretch>
          <a:fillRect/>
        </a:stretch>
      </xdr:blipFill>
      <xdr:spPr>
        <a:xfrm>
          <a:off x="7235825" y="37042725"/>
          <a:ext cx="878840" cy="1183640"/>
        </a:xfrm>
        <a:prstGeom prst="rect">
          <a:avLst/>
        </a:prstGeom>
      </xdr:spPr>
    </xdr:pic>
    <xdr:clientData/>
  </xdr:twoCellAnchor>
  <xdr:twoCellAnchor>
    <xdr:from>
      <xdr:col>9</xdr:col>
      <xdr:colOff>6350</xdr:colOff>
      <xdr:row>49</xdr:row>
      <xdr:rowOff>25400</xdr:rowOff>
    </xdr:from>
    <xdr:to>
      <xdr:col>9</xdr:col>
      <xdr:colOff>885190</xdr:colOff>
      <xdr:row>49</xdr:row>
      <xdr:rowOff>1209040</xdr:rowOff>
    </xdr:to>
    <xdr:pic>
      <xdr:nvPicPr>
        <xdr:cNvPr id="5236" name="Изображение 5235" descr="resizeПП-00266876"/>
        <xdr:cNvPicPr>
          <a:picLocks noChangeAspect="1"/>
        </xdr:cNvPicPr>
      </xdr:nvPicPr>
      <xdr:blipFill>
        <a:blip xmlns:r="http://schemas.openxmlformats.org/officeDocument/2006/relationships" r:embed="rId29"/>
        <a:stretch>
          <a:fillRect/>
        </a:stretch>
      </xdr:blipFill>
      <xdr:spPr>
        <a:xfrm>
          <a:off x="7235825" y="38417500"/>
          <a:ext cx="878840" cy="1183640"/>
        </a:xfrm>
        <a:prstGeom prst="rect">
          <a:avLst/>
        </a:prstGeom>
      </xdr:spPr>
    </xdr:pic>
    <xdr:clientData/>
  </xdr:twoCellAnchor>
  <xdr:twoCellAnchor>
    <xdr:from>
      <xdr:col>9</xdr:col>
      <xdr:colOff>6350</xdr:colOff>
      <xdr:row>50</xdr:row>
      <xdr:rowOff>25400</xdr:rowOff>
    </xdr:from>
    <xdr:to>
      <xdr:col>9</xdr:col>
      <xdr:colOff>885190</xdr:colOff>
      <xdr:row>50</xdr:row>
      <xdr:rowOff>1209040</xdr:rowOff>
    </xdr:to>
    <xdr:pic>
      <xdr:nvPicPr>
        <xdr:cNvPr id="5237" name="Изображение 5236" descr="resizeПП-00266882"/>
        <xdr:cNvPicPr>
          <a:picLocks noChangeAspect="1"/>
        </xdr:cNvPicPr>
      </xdr:nvPicPr>
      <xdr:blipFill>
        <a:blip xmlns:r="http://schemas.openxmlformats.org/officeDocument/2006/relationships" r:embed="rId30"/>
        <a:stretch>
          <a:fillRect/>
        </a:stretch>
      </xdr:blipFill>
      <xdr:spPr>
        <a:xfrm>
          <a:off x="7235825" y="39639875"/>
          <a:ext cx="878840" cy="1183640"/>
        </a:xfrm>
        <a:prstGeom prst="rect">
          <a:avLst/>
        </a:prstGeom>
      </xdr:spPr>
    </xdr:pic>
    <xdr:clientData/>
  </xdr:twoCellAnchor>
  <xdr:twoCellAnchor>
    <xdr:from>
      <xdr:col>9</xdr:col>
      <xdr:colOff>6350</xdr:colOff>
      <xdr:row>52</xdr:row>
      <xdr:rowOff>25400</xdr:rowOff>
    </xdr:from>
    <xdr:to>
      <xdr:col>9</xdr:col>
      <xdr:colOff>885190</xdr:colOff>
      <xdr:row>52</xdr:row>
      <xdr:rowOff>1209040</xdr:rowOff>
    </xdr:to>
    <xdr:pic>
      <xdr:nvPicPr>
        <xdr:cNvPr id="5238" name="Изображение 5237" descr="resizeПП-00272704"/>
        <xdr:cNvPicPr>
          <a:picLocks noChangeAspect="1"/>
        </xdr:cNvPicPr>
      </xdr:nvPicPr>
      <xdr:blipFill>
        <a:blip xmlns:r="http://schemas.openxmlformats.org/officeDocument/2006/relationships" r:embed="rId31"/>
        <a:stretch>
          <a:fillRect/>
        </a:stretch>
      </xdr:blipFill>
      <xdr:spPr>
        <a:xfrm>
          <a:off x="7235825" y="41014650"/>
          <a:ext cx="878840" cy="1183640"/>
        </a:xfrm>
        <a:prstGeom prst="rect">
          <a:avLst/>
        </a:prstGeom>
      </xdr:spPr>
    </xdr:pic>
    <xdr:clientData/>
  </xdr:twoCellAnchor>
  <xdr:twoCellAnchor>
    <xdr:from>
      <xdr:col>9</xdr:col>
      <xdr:colOff>6350</xdr:colOff>
      <xdr:row>53</xdr:row>
      <xdr:rowOff>25400</xdr:rowOff>
    </xdr:from>
    <xdr:to>
      <xdr:col>9</xdr:col>
      <xdr:colOff>885190</xdr:colOff>
      <xdr:row>53</xdr:row>
      <xdr:rowOff>1209040</xdr:rowOff>
    </xdr:to>
    <xdr:pic>
      <xdr:nvPicPr>
        <xdr:cNvPr id="5239" name="Изображение 5238" descr="resizeПП-00272702"/>
        <xdr:cNvPicPr>
          <a:picLocks noChangeAspect="1"/>
        </xdr:cNvPicPr>
      </xdr:nvPicPr>
      <xdr:blipFill>
        <a:blip xmlns:r="http://schemas.openxmlformats.org/officeDocument/2006/relationships" r:embed="rId32"/>
        <a:stretch>
          <a:fillRect/>
        </a:stretch>
      </xdr:blipFill>
      <xdr:spPr>
        <a:xfrm>
          <a:off x="7235825" y="42237025"/>
          <a:ext cx="878840" cy="1183640"/>
        </a:xfrm>
        <a:prstGeom prst="rect">
          <a:avLst/>
        </a:prstGeom>
      </xdr:spPr>
    </xdr:pic>
    <xdr:clientData/>
  </xdr:twoCellAnchor>
  <xdr:twoCellAnchor>
    <xdr:from>
      <xdr:col>9</xdr:col>
      <xdr:colOff>6350</xdr:colOff>
      <xdr:row>54</xdr:row>
      <xdr:rowOff>25400</xdr:rowOff>
    </xdr:from>
    <xdr:to>
      <xdr:col>9</xdr:col>
      <xdr:colOff>885190</xdr:colOff>
      <xdr:row>54</xdr:row>
      <xdr:rowOff>1209040</xdr:rowOff>
    </xdr:to>
    <xdr:pic>
      <xdr:nvPicPr>
        <xdr:cNvPr id="5240" name="Изображение 5239" descr="resizeПП-00272701"/>
        <xdr:cNvPicPr>
          <a:picLocks noChangeAspect="1"/>
        </xdr:cNvPicPr>
      </xdr:nvPicPr>
      <xdr:blipFill>
        <a:blip xmlns:r="http://schemas.openxmlformats.org/officeDocument/2006/relationships" r:embed="rId33"/>
        <a:stretch>
          <a:fillRect/>
        </a:stretch>
      </xdr:blipFill>
      <xdr:spPr>
        <a:xfrm>
          <a:off x="7235825" y="43459400"/>
          <a:ext cx="878840" cy="1183640"/>
        </a:xfrm>
        <a:prstGeom prst="rect">
          <a:avLst/>
        </a:prstGeom>
      </xdr:spPr>
    </xdr:pic>
    <xdr:clientData/>
  </xdr:twoCellAnchor>
  <xdr:twoCellAnchor>
    <xdr:from>
      <xdr:col>9</xdr:col>
      <xdr:colOff>6350</xdr:colOff>
      <xdr:row>55</xdr:row>
      <xdr:rowOff>25400</xdr:rowOff>
    </xdr:from>
    <xdr:to>
      <xdr:col>9</xdr:col>
      <xdr:colOff>885190</xdr:colOff>
      <xdr:row>55</xdr:row>
      <xdr:rowOff>1209040</xdr:rowOff>
    </xdr:to>
    <xdr:pic>
      <xdr:nvPicPr>
        <xdr:cNvPr id="5241" name="Изображение 5240" descr="resizeПП-00272697"/>
        <xdr:cNvPicPr>
          <a:picLocks noChangeAspect="1"/>
        </xdr:cNvPicPr>
      </xdr:nvPicPr>
      <xdr:blipFill>
        <a:blip xmlns:r="http://schemas.openxmlformats.org/officeDocument/2006/relationships" r:embed="rId34"/>
        <a:stretch>
          <a:fillRect/>
        </a:stretch>
      </xdr:blipFill>
      <xdr:spPr>
        <a:xfrm>
          <a:off x="7235825" y="44681775"/>
          <a:ext cx="878840" cy="1183640"/>
        </a:xfrm>
        <a:prstGeom prst="rect">
          <a:avLst/>
        </a:prstGeom>
      </xdr:spPr>
    </xdr:pic>
    <xdr:clientData/>
  </xdr:twoCellAnchor>
  <xdr:twoCellAnchor>
    <xdr:from>
      <xdr:col>9</xdr:col>
      <xdr:colOff>6350</xdr:colOff>
      <xdr:row>56</xdr:row>
      <xdr:rowOff>25400</xdr:rowOff>
    </xdr:from>
    <xdr:to>
      <xdr:col>9</xdr:col>
      <xdr:colOff>885190</xdr:colOff>
      <xdr:row>56</xdr:row>
      <xdr:rowOff>1209040</xdr:rowOff>
    </xdr:to>
    <xdr:pic>
      <xdr:nvPicPr>
        <xdr:cNvPr id="5242" name="Изображение 5241" descr="resizeПП-00272696"/>
        <xdr:cNvPicPr>
          <a:picLocks noChangeAspect="1"/>
        </xdr:cNvPicPr>
      </xdr:nvPicPr>
      <xdr:blipFill>
        <a:blip xmlns:r="http://schemas.openxmlformats.org/officeDocument/2006/relationships" r:embed="rId35"/>
        <a:stretch>
          <a:fillRect/>
        </a:stretch>
      </xdr:blipFill>
      <xdr:spPr>
        <a:xfrm>
          <a:off x="7235825" y="45904150"/>
          <a:ext cx="878840" cy="1183640"/>
        </a:xfrm>
        <a:prstGeom prst="rect">
          <a:avLst/>
        </a:prstGeom>
      </xdr:spPr>
    </xdr:pic>
    <xdr:clientData/>
  </xdr:twoCellAnchor>
  <xdr:twoCellAnchor>
    <xdr:from>
      <xdr:col>9</xdr:col>
      <xdr:colOff>6350</xdr:colOff>
      <xdr:row>59</xdr:row>
      <xdr:rowOff>25400</xdr:rowOff>
    </xdr:from>
    <xdr:to>
      <xdr:col>9</xdr:col>
      <xdr:colOff>885190</xdr:colOff>
      <xdr:row>59</xdr:row>
      <xdr:rowOff>1209040</xdr:rowOff>
    </xdr:to>
    <xdr:pic>
      <xdr:nvPicPr>
        <xdr:cNvPr id="5243" name="Изображение 5242" descr="resizeПП-00270433"/>
        <xdr:cNvPicPr>
          <a:picLocks noChangeAspect="1"/>
        </xdr:cNvPicPr>
      </xdr:nvPicPr>
      <xdr:blipFill>
        <a:blip xmlns:r="http://schemas.openxmlformats.org/officeDocument/2006/relationships" r:embed="rId36"/>
        <a:stretch>
          <a:fillRect/>
        </a:stretch>
      </xdr:blipFill>
      <xdr:spPr>
        <a:xfrm>
          <a:off x="7235825" y="47431325"/>
          <a:ext cx="878840" cy="1183640"/>
        </a:xfrm>
        <a:prstGeom prst="rect">
          <a:avLst/>
        </a:prstGeom>
      </xdr:spPr>
    </xdr:pic>
    <xdr:clientData/>
  </xdr:twoCellAnchor>
  <xdr:twoCellAnchor>
    <xdr:from>
      <xdr:col>9</xdr:col>
      <xdr:colOff>6350</xdr:colOff>
      <xdr:row>61</xdr:row>
      <xdr:rowOff>25400</xdr:rowOff>
    </xdr:from>
    <xdr:to>
      <xdr:col>9</xdr:col>
      <xdr:colOff>885190</xdr:colOff>
      <xdr:row>61</xdr:row>
      <xdr:rowOff>1209040</xdr:rowOff>
    </xdr:to>
    <xdr:pic>
      <xdr:nvPicPr>
        <xdr:cNvPr id="5244" name="Изображение 5243" descr="resizeПП-00270130"/>
        <xdr:cNvPicPr>
          <a:picLocks noChangeAspect="1"/>
        </xdr:cNvPicPr>
      </xdr:nvPicPr>
      <xdr:blipFill>
        <a:blip xmlns:r="http://schemas.openxmlformats.org/officeDocument/2006/relationships" r:embed="rId37"/>
        <a:stretch>
          <a:fillRect/>
        </a:stretch>
      </xdr:blipFill>
      <xdr:spPr>
        <a:xfrm>
          <a:off x="7235825" y="48806100"/>
          <a:ext cx="878840" cy="1183640"/>
        </a:xfrm>
        <a:prstGeom prst="rect">
          <a:avLst/>
        </a:prstGeom>
      </xdr:spPr>
    </xdr:pic>
    <xdr:clientData/>
  </xdr:twoCellAnchor>
  <xdr:twoCellAnchor>
    <xdr:from>
      <xdr:col>9</xdr:col>
      <xdr:colOff>6350</xdr:colOff>
      <xdr:row>62</xdr:row>
      <xdr:rowOff>25400</xdr:rowOff>
    </xdr:from>
    <xdr:to>
      <xdr:col>9</xdr:col>
      <xdr:colOff>885190</xdr:colOff>
      <xdr:row>62</xdr:row>
      <xdr:rowOff>1209040</xdr:rowOff>
    </xdr:to>
    <xdr:pic>
      <xdr:nvPicPr>
        <xdr:cNvPr id="5245" name="Изображение 5244" descr="resizeПП-00270129"/>
        <xdr:cNvPicPr>
          <a:picLocks noChangeAspect="1"/>
        </xdr:cNvPicPr>
      </xdr:nvPicPr>
      <xdr:blipFill>
        <a:blip xmlns:r="http://schemas.openxmlformats.org/officeDocument/2006/relationships" r:embed="rId38"/>
        <a:stretch>
          <a:fillRect/>
        </a:stretch>
      </xdr:blipFill>
      <xdr:spPr>
        <a:xfrm>
          <a:off x="7235825" y="50028475"/>
          <a:ext cx="878840" cy="1183640"/>
        </a:xfrm>
        <a:prstGeom prst="rect">
          <a:avLst/>
        </a:prstGeom>
      </xdr:spPr>
    </xdr:pic>
    <xdr:clientData/>
  </xdr:twoCellAnchor>
  <xdr:twoCellAnchor>
    <xdr:from>
      <xdr:col>9</xdr:col>
      <xdr:colOff>6350</xdr:colOff>
      <xdr:row>64</xdr:row>
      <xdr:rowOff>25400</xdr:rowOff>
    </xdr:from>
    <xdr:to>
      <xdr:col>9</xdr:col>
      <xdr:colOff>885190</xdr:colOff>
      <xdr:row>64</xdr:row>
      <xdr:rowOff>1209040</xdr:rowOff>
    </xdr:to>
    <xdr:pic>
      <xdr:nvPicPr>
        <xdr:cNvPr id="5246" name="Изображение 5245" descr="resizeПП-00267203"/>
        <xdr:cNvPicPr>
          <a:picLocks noChangeAspect="1"/>
        </xdr:cNvPicPr>
      </xdr:nvPicPr>
      <xdr:blipFill>
        <a:blip xmlns:r="http://schemas.openxmlformats.org/officeDocument/2006/relationships" r:embed="rId39"/>
        <a:stretch>
          <a:fillRect/>
        </a:stretch>
      </xdr:blipFill>
      <xdr:spPr>
        <a:xfrm>
          <a:off x="7235825" y="51403250"/>
          <a:ext cx="878840" cy="1183640"/>
        </a:xfrm>
        <a:prstGeom prst="rect">
          <a:avLst/>
        </a:prstGeom>
      </xdr:spPr>
    </xdr:pic>
    <xdr:clientData/>
  </xdr:twoCellAnchor>
  <xdr:twoCellAnchor>
    <xdr:from>
      <xdr:col>9</xdr:col>
      <xdr:colOff>6350</xdr:colOff>
      <xdr:row>65</xdr:row>
      <xdr:rowOff>25400</xdr:rowOff>
    </xdr:from>
    <xdr:to>
      <xdr:col>9</xdr:col>
      <xdr:colOff>1189990</xdr:colOff>
      <xdr:row>65</xdr:row>
      <xdr:rowOff>904240</xdr:rowOff>
    </xdr:to>
    <xdr:pic>
      <xdr:nvPicPr>
        <xdr:cNvPr id="5247" name="Изображение 5246" descr="resizeПП-00267208"/>
        <xdr:cNvPicPr>
          <a:picLocks noChangeAspect="1"/>
        </xdr:cNvPicPr>
      </xdr:nvPicPr>
      <xdr:blipFill>
        <a:blip xmlns:r="http://schemas.openxmlformats.org/officeDocument/2006/relationships" r:embed="rId40"/>
        <a:stretch>
          <a:fillRect/>
        </a:stretch>
      </xdr:blipFill>
      <xdr:spPr>
        <a:xfrm>
          <a:off x="7235825" y="52625625"/>
          <a:ext cx="1183640" cy="878840"/>
        </a:xfrm>
        <a:prstGeom prst="rect">
          <a:avLst/>
        </a:prstGeom>
      </xdr:spPr>
    </xdr:pic>
    <xdr:clientData/>
  </xdr:twoCellAnchor>
  <xdr:twoCellAnchor>
    <xdr:from>
      <xdr:col>9</xdr:col>
      <xdr:colOff>6350</xdr:colOff>
      <xdr:row>66</xdr:row>
      <xdr:rowOff>25400</xdr:rowOff>
    </xdr:from>
    <xdr:to>
      <xdr:col>9</xdr:col>
      <xdr:colOff>1189990</xdr:colOff>
      <xdr:row>66</xdr:row>
      <xdr:rowOff>904240</xdr:rowOff>
    </xdr:to>
    <xdr:pic>
      <xdr:nvPicPr>
        <xdr:cNvPr id="5248" name="Изображение 5247" descr="resizeПП-00267204"/>
        <xdr:cNvPicPr>
          <a:picLocks noChangeAspect="1"/>
        </xdr:cNvPicPr>
      </xdr:nvPicPr>
      <xdr:blipFill>
        <a:blip xmlns:r="http://schemas.openxmlformats.org/officeDocument/2006/relationships" r:embed="rId41"/>
        <a:stretch>
          <a:fillRect/>
        </a:stretch>
      </xdr:blipFill>
      <xdr:spPr>
        <a:xfrm>
          <a:off x="7235825" y="53848000"/>
          <a:ext cx="1183640" cy="878840"/>
        </a:xfrm>
        <a:prstGeom prst="rect">
          <a:avLst/>
        </a:prstGeom>
      </xdr:spPr>
    </xdr:pic>
    <xdr:clientData/>
  </xdr:twoCellAnchor>
  <xdr:twoCellAnchor>
    <xdr:from>
      <xdr:col>9</xdr:col>
      <xdr:colOff>6350</xdr:colOff>
      <xdr:row>67</xdr:row>
      <xdr:rowOff>25400</xdr:rowOff>
    </xdr:from>
    <xdr:to>
      <xdr:col>9</xdr:col>
      <xdr:colOff>1189990</xdr:colOff>
      <xdr:row>67</xdr:row>
      <xdr:rowOff>904240</xdr:rowOff>
    </xdr:to>
    <xdr:pic>
      <xdr:nvPicPr>
        <xdr:cNvPr id="5249" name="Изображение 5248" descr="resizeПП-00267209"/>
        <xdr:cNvPicPr>
          <a:picLocks noChangeAspect="1"/>
        </xdr:cNvPicPr>
      </xdr:nvPicPr>
      <xdr:blipFill>
        <a:blip xmlns:r="http://schemas.openxmlformats.org/officeDocument/2006/relationships" r:embed="rId42"/>
        <a:stretch>
          <a:fillRect/>
        </a:stretch>
      </xdr:blipFill>
      <xdr:spPr>
        <a:xfrm>
          <a:off x="7235825" y="55070375"/>
          <a:ext cx="1183640" cy="878840"/>
        </a:xfrm>
        <a:prstGeom prst="rect">
          <a:avLst/>
        </a:prstGeom>
      </xdr:spPr>
    </xdr:pic>
    <xdr:clientData/>
  </xdr:twoCellAnchor>
  <xdr:twoCellAnchor>
    <xdr:from>
      <xdr:col>9</xdr:col>
      <xdr:colOff>6350</xdr:colOff>
      <xdr:row>68</xdr:row>
      <xdr:rowOff>25400</xdr:rowOff>
    </xdr:from>
    <xdr:to>
      <xdr:col>9</xdr:col>
      <xdr:colOff>1189990</xdr:colOff>
      <xdr:row>68</xdr:row>
      <xdr:rowOff>904240</xdr:rowOff>
    </xdr:to>
    <xdr:pic>
      <xdr:nvPicPr>
        <xdr:cNvPr id="5250" name="Изображение 5249" descr="resizeПП-00267206"/>
        <xdr:cNvPicPr>
          <a:picLocks noChangeAspect="1"/>
        </xdr:cNvPicPr>
      </xdr:nvPicPr>
      <xdr:blipFill>
        <a:blip xmlns:r="http://schemas.openxmlformats.org/officeDocument/2006/relationships" r:embed="rId43"/>
        <a:stretch>
          <a:fillRect/>
        </a:stretch>
      </xdr:blipFill>
      <xdr:spPr>
        <a:xfrm>
          <a:off x="7235825" y="56292750"/>
          <a:ext cx="1183640" cy="878840"/>
        </a:xfrm>
        <a:prstGeom prst="rect">
          <a:avLst/>
        </a:prstGeom>
      </xdr:spPr>
    </xdr:pic>
    <xdr:clientData/>
  </xdr:twoCellAnchor>
  <xdr:twoCellAnchor>
    <xdr:from>
      <xdr:col>9</xdr:col>
      <xdr:colOff>6350</xdr:colOff>
      <xdr:row>69</xdr:row>
      <xdr:rowOff>25400</xdr:rowOff>
    </xdr:from>
    <xdr:to>
      <xdr:col>9</xdr:col>
      <xdr:colOff>1189990</xdr:colOff>
      <xdr:row>69</xdr:row>
      <xdr:rowOff>904240</xdr:rowOff>
    </xdr:to>
    <xdr:pic>
      <xdr:nvPicPr>
        <xdr:cNvPr id="5251" name="Изображение 5250" descr="resizeПП-00267207"/>
        <xdr:cNvPicPr>
          <a:picLocks noChangeAspect="1"/>
        </xdr:cNvPicPr>
      </xdr:nvPicPr>
      <xdr:blipFill>
        <a:blip xmlns:r="http://schemas.openxmlformats.org/officeDocument/2006/relationships" r:embed="rId44"/>
        <a:stretch>
          <a:fillRect/>
        </a:stretch>
      </xdr:blipFill>
      <xdr:spPr>
        <a:xfrm>
          <a:off x="7235825" y="57515125"/>
          <a:ext cx="1183640" cy="878840"/>
        </a:xfrm>
        <a:prstGeom prst="rect">
          <a:avLst/>
        </a:prstGeom>
      </xdr:spPr>
    </xdr:pic>
    <xdr:clientData/>
  </xdr:twoCellAnchor>
  <xdr:twoCellAnchor>
    <xdr:from>
      <xdr:col>9</xdr:col>
      <xdr:colOff>6350</xdr:colOff>
      <xdr:row>70</xdr:row>
      <xdr:rowOff>25400</xdr:rowOff>
    </xdr:from>
    <xdr:to>
      <xdr:col>9</xdr:col>
      <xdr:colOff>1189990</xdr:colOff>
      <xdr:row>70</xdr:row>
      <xdr:rowOff>904240</xdr:rowOff>
    </xdr:to>
    <xdr:pic>
      <xdr:nvPicPr>
        <xdr:cNvPr id="5252" name="Изображение 5251" descr="resizeПП-00267210"/>
        <xdr:cNvPicPr>
          <a:picLocks noChangeAspect="1"/>
        </xdr:cNvPicPr>
      </xdr:nvPicPr>
      <xdr:blipFill>
        <a:blip xmlns:r="http://schemas.openxmlformats.org/officeDocument/2006/relationships" r:embed="rId45"/>
        <a:stretch>
          <a:fillRect/>
        </a:stretch>
      </xdr:blipFill>
      <xdr:spPr>
        <a:xfrm>
          <a:off x="7235825" y="58737500"/>
          <a:ext cx="1183640" cy="878840"/>
        </a:xfrm>
        <a:prstGeom prst="rect">
          <a:avLst/>
        </a:prstGeom>
      </xdr:spPr>
    </xdr:pic>
    <xdr:clientData/>
  </xdr:twoCellAnchor>
  <xdr:twoCellAnchor>
    <xdr:from>
      <xdr:col>9</xdr:col>
      <xdr:colOff>6350</xdr:colOff>
      <xdr:row>71</xdr:row>
      <xdr:rowOff>25400</xdr:rowOff>
    </xdr:from>
    <xdr:to>
      <xdr:col>9</xdr:col>
      <xdr:colOff>1189990</xdr:colOff>
      <xdr:row>71</xdr:row>
      <xdr:rowOff>904240</xdr:rowOff>
    </xdr:to>
    <xdr:pic>
      <xdr:nvPicPr>
        <xdr:cNvPr id="5253" name="Изображение 5252" descr="resizeПП-00267205"/>
        <xdr:cNvPicPr>
          <a:picLocks noChangeAspect="1"/>
        </xdr:cNvPicPr>
      </xdr:nvPicPr>
      <xdr:blipFill>
        <a:blip xmlns:r="http://schemas.openxmlformats.org/officeDocument/2006/relationships" r:embed="rId46"/>
        <a:stretch>
          <a:fillRect/>
        </a:stretch>
      </xdr:blipFill>
      <xdr:spPr>
        <a:xfrm>
          <a:off x="7235825" y="59959875"/>
          <a:ext cx="1183640" cy="878840"/>
        </a:xfrm>
        <a:prstGeom prst="rect">
          <a:avLst/>
        </a:prstGeom>
      </xdr:spPr>
    </xdr:pic>
    <xdr:clientData/>
  </xdr:twoCellAnchor>
  <xdr:twoCellAnchor>
    <xdr:from>
      <xdr:col>9</xdr:col>
      <xdr:colOff>6350</xdr:colOff>
      <xdr:row>72</xdr:row>
      <xdr:rowOff>25400</xdr:rowOff>
    </xdr:from>
    <xdr:to>
      <xdr:col>9</xdr:col>
      <xdr:colOff>1189990</xdr:colOff>
      <xdr:row>72</xdr:row>
      <xdr:rowOff>904240</xdr:rowOff>
    </xdr:to>
    <xdr:pic>
      <xdr:nvPicPr>
        <xdr:cNvPr id="5254" name="Изображение 5253" descr="resizeПП-00267220"/>
        <xdr:cNvPicPr>
          <a:picLocks noChangeAspect="1"/>
        </xdr:cNvPicPr>
      </xdr:nvPicPr>
      <xdr:blipFill>
        <a:blip xmlns:r="http://schemas.openxmlformats.org/officeDocument/2006/relationships" r:embed="rId47"/>
        <a:stretch>
          <a:fillRect/>
        </a:stretch>
      </xdr:blipFill>
      <xdr:spPr>
        <a:xfrm>
          <a:off x="7235825" y="61182250"/>
          <a:ext cx="1183640" cy="878840"/>
        </a:xfrm>
        <a:prstGeom prst="rect">
          <a:avLst/>
        </a:prstGeom>
      </xdr:spPr>
    </xdr:pic>
    <xdr:clientData/>
  </xdr:twoCellAnchor>
  <xdr:twoCellAnchor>
    <xdr:from>
      <xdr:col>9</xdr:col>
      <xdr:colOff>6350</xdr:colOff>
      <xdr:row>73</xdr:row>
      <xdr:rowOff>25400</xdr:rowOff>
    </xdr:from>
    <xdr:to>
      <xdr:col>9</xdr:col>
      <xdr:colOff>1189990</xdr:colOff>
      <xdr:row>73</xdr:row>
      <xdr:rowOff>904240</xdr:rowOff>
    </xdr:to>
    <xdr:pic>
      <xdr:nvPicPr>
        <xdr:cNvPr id="5255" name="Изображение 5254" descr="resizeПП-00267213"/>
        <xdr:cNvPicPr>
          <a:picLocks noChangeAspect="1"/>
        </xdr:cNvPicPr>
      </xdr:nvPicPr>
      <xdr:blipFill>
        <a:blip xmlns:r="http://schemas.openxmlformats.org/officeDocument/2006/relationships" r:embed="rId48"/>
        <a:stretch>
          <a:fillRect/>
        </a:stretch>
      </xdr:blipFill>
      <xdr:spPr>
        <a:xfrm>
          <a:off x="7235825" y="62404625"/>
          <a:ext cx="1183640" cy="878840"/>
        </a:xfrm>
        <a:prstGeom prst="rect">
          <a:avLst/>
        </a:prstGeom>
      </xdr:spPr>
    </xdr:pic>
    <xdr:clientData/>
  </xdr:twoCellAnchor>
  <xdr:twoCellAnchor>
    <xdr:from>
      <xdr:col>9</xdr:col>
      <xdr:colOff>6350</xdr:colOff>
      <xdr:row>74</xdr:row>
      <xdr:rowOff>25400</xdr:rowOff>
    </xdr:from>
    <xdr:to>
      <xdr:col>9</xdr:col>
      <xdr:colOff>1189990</xdr:colOff>
      <xdr:row>74</xdr:row>
      <xdr:rowOff>904240</xdr:rowOff>
    </xdr:to>
    <xdr:pic>
      <xdr:nvPicPr>
        <xdr:cNvPr id="5256" name="Изображение 5255" descr="resizeПП-00267221"/>
        <xdr:cNvPicPr>
          <a:picLocks noChangeAspect="1"/>
        </xdr:cNvPicPr>
      </xdr:nvPicPr>
      <xdr:blipFill>
        <a:blip xmlns:r="http://schemas.openxmlformats.org/officeDocument/2006/relationships" r:embed="rId49"/>
        <a:stretch>
          <a:fillRect/>
        </a:stretch>
      </xdr:blipFill>
      <xdr:spPr>
        <a:xfrm>
          <a:off x="7235825" y="63627000"/>
          <a:ext cx="1183640" cy="878840"/>
        </a:xfrm>
        <a:prstGeom prst="rect">
          <a:avLst/>
        </a:prstGeom>
      </xdr:spPr>
    </xdr:pic>
    <xdr:clientData/>
  </xdr:twoCellAnchor>
  <xdr:twoCellAnchor>
    <xdr:from>
      <xdr:col>9</xdr:col>
      <xdr:colOff>6350</xdr:colOff>
      <xdr:row>75</xdr:row>
      <xdr:rowOff>25400</xdr:rowOff>
    </xdr:from>
    <xdr:to>
      <xdr:col>9</xdr:col>
      <xdr:colOff>1189990</xdr:colOff>
      <xdr:row>75</xdr:row>
      <xdr:rowOff>904240</xdr:rowOff>
    </xdr:to>
    <xdr:pic>
      <xdr:nvPicPr>
        <xdr:cNvPr id="5257" name="Изображение 5256" descr="resizeПП-00267219"/>
        <xdr:cNvPicPr>
          <a:picLocks noChangeAspect="1"/>
        </xdr:cNvPicPr>
      </xdr:nvPicPr>
      <xdr:blipFill>
        <a:blip xmlns:r="http://schemas.openxmlformats.org/officeDocument/2006/relationships" r:embed="rId50"/>
        <a:stretch>
          <a:fillRect/>
        </a:stretch>
      </xdr:blipFill>
      <xdr:spPr>
        <a:xfrm>
          <a:off x="7235825" y="64849375"/>
          <a:ext cx="1183640" cy="878840"/>
        </a:xfrm>
        <a:prstGeom prst="rect">
          <a:avLst/>
        </a:prstGeom>
      </xdr:spPr>
    </xdr:pic>
    <xdr:clientData/>
  </xdr:twoCellAnchor>
  <xdr:twoCellAnchor>
    <xdr:from>
      <xdr:col>9</xdr:col>
      <xdr:colOff>6350</xdr:colOff>
      <xdr:row>76</xdr:row>
      <xdr:rowOff>25400</xdr:rowOff>
    </xdr:from>
    <xdr:to>
      <xdr:col>9</xdr:col>
      <xdr:colOff>1189990</xdr:colOff>
      <xdr:row>76</xdr:row>
      <xdr:rowOff>904240</xdr:rowOff>
    </xdr:to>
    <xdr:pic>
      <xdr:nvPicPr>
        <xdr:cNvPr id="5258" name="Изображение 5257" descr="resizeПП-00267212"/>
        <xdr:cNvPicPr>
          <a:picLocks noChangeAspect="1"/>
        </xdr:cNvPicPr>
      </xdr:nvPicPr>
      <xdr:blipFill>
        <a:blip xmlns:r="http://schemas.openxmlformats.org/officeDocument/2006/relationships" r:embed="rId51"/>
        <a:stretch>
          <a:fillRect/>
        </a:stretch>
      </xdr:blipFill>
      <xdr:spPr>
        <a:xfrm>
          <a:off x="7235825" y="66071750"/>
          <a:ext cx="1183640" cy="878840"/>
        </a:xfrm>
        <a:prstGeom prst="rect">
          <a:avLst/>
        </a:prstGeom>
      </xdr:spPr>
    </xdr:pic>
    <xdr:clientData/>
  </xdr:twoCellAnchor>
  <xdr:twoCellAnchor>
    <xdr:from>
      <xdr:col>9</xdr:col>
      <xdr:colOff>6350</xdr:colOff>
      <xdr:row>77</xdr:row>
      <xdr:rowOff>25400</xdr:rowOff>
    </xdr:from>
    <xdr:to>
      <xdr:col>9</xdr:col>
      <xdr:colOff>1189990</xdr:colOff>
      <xdr:row>77</xdr:row>
      <xdr:rowOff>904240</xdr:rowOff>
    </xdr:to>
    <xdr:pic>
      <xdr:nvPicPr>
        <xdr:cNvPr id="5259" name="Изображение 5258" descr="resizeПП-00267218"/>
        <xdr:cNvPicPr>
          <a:picLocks noChangeAspect="1"/>
        </xdr:cNvPicPr>
      </xdr:nvPicPr>
      <xdr:blipFill>
        <a:blip xmlns:r="http://schemas.openxmlformats.org/officeDocument/2006/relationships" r:embed="rId52"/>
        <a:stretch>
          <a:fillRect/>
        </a:stretch>
      </xdr:blipFill>
      <xdr:spPr>
        <a:xfrm>
          <a:off x="7235825" y="67294125"/>
          <a:ext cx="1183640" cy="878840"/>
        </a:xfrm>
        <a:prstGeom prst="rect">
          <a:avLst/>
        </a:prstGeom>
      </xdr:spPr>
    </xdr:pic>
    <xdr:clientData/>
  </xdr:twoCellAnchor>
  <xdr:twoCellAnchor>
    <xdr:from>
      <xdr:col>9</xdr:col>
      <xdr:colOff>6350</xdr:colOff>
      <xdr:row>78</xdr:row>
      <xdr:rowOff>25400</xdr:rowOff>
    </xdr:from>
    <xdr:to>
      <xdr:col>9</xdr:col>
      <xdr:colOff>1189990</xdr:colOff>
      <xdr:row>78</xdr:row>
      <xdr:rowOff>904240</xdr:rowOff>
    </xdr:to>
    <xdr:pic>
      <xdr:nvPicPr>
        <xdr:cNvPr id="5260" name="Изображение 5259" descr="resizeПП-00267214"/>
        <xdr:cNvPicPr>
          <a:picLocks noChangeAspect="1"/>
        </xdr:cNvPicPr>
      </xdr:nvPicPr>
      <xdr:blipFill>
        <a:blip xmlns:r="http://schemas.openxmlformats.org/officeDocument/2006/relationships" r:embed="rId53"/>
        <a:stretch>
          <a:fillRect/>
        </a:stretch>
      </xdr:blipFill>
      <xdr:spPr>
        <a:xfrm>
          <a:off x="7235825" y="68516500"/>
          <a:ext cx="1183640" cy="878840"/>
        </a:xfrm>
        <a:prstGeom prst="rect">
          <a:avLst/>
        </a:prstGeom>
      </xdr:spPr>
    </xdr:pic>
    <xdr:clientData/>
  </xdr:twoCellAnchor>
  <xdr:twoCellAnchor>
    <xdr:from>
      <xdr:col>9</xdr:col>
      <xdr:colOff>6350</xdr:colOff>
      <xdr:row>79</xdr:row>
      <xdr:rowOff>25400</xdr:rowOff>
    </xdr:from>
    <xdr:to>
      <xdr:col>9</xdr:col>
      <xdr:colOff>1189990</xdr:colOff>
      <xdr:row>79</xdr:row>
      <xdr:rowOff>904240</xdr:rowOff>
    </xdr:to>
    <xdr:pic>
      <xdr:nvPicPr>
        <xdr:cNvPr id="5261" name="Изображение 5260" descr="resizeПП-00267216"/>
        <xdr:cNvPicPr>
          <a:picLocks noChangeAspect="1"/>
        </xdr:cNvPicPr>
      </xdr:nvPicPr>
      <xdr:blipFill>
        <a:blip xmlns:r="http://schemas.openxmlformats.org/officeDocument/2006/relationships" r:embed="rId54"/>
        <a:stretch>
          <a:fillRect/>
        </a:stretch>
      </xdr:blipFill>
      <xdr:spPr>
        <a:xfrm>
          <a:off x="7235825" y="69738875"/>
          <a:ext cx="1183640" cy="878840"/>
        </a:xfrm>
        <a:prstGeom prst="rect">
          <a:avLst/>
        </a:prstGeom>
      </xdr:spPr>
    </xdr:pic>
    <xdr:clientData/>
  </xdr:twoCellAnchor>
  <xdr:twoCellAnchor>
    <xdr:from>
      <xdr:col>9</xdr:col>
      <xdr:colOff>6350</xdr:colOff>
      <xdr:row>80</xdr:row>
      <xdr:rowOff>25400</xdr:rowOff>
    </xdr:from>
    <xdr:to>
      <xdr:col>9</xdr:col>
      <xdr:colOff>1189990</xdr:colOff>
      <xdr:row>80</xdr:row>
      <xdr:rowOff>904240</xdr:rowOff>
    </xdr:to>
    <xdr:pic>
      <xdr:nvPicPr>
        <xdr:cNvPr id="5262" name="Изображение 5261" descr="resizeПП-00267215"/>
        <xdr:cNvPicPr>
          <a:picLocks noChangeAspect="1"/>
        </xdr:cNvPicPr>
      </xdr:nvPicPr>
      <xdr:blipFill>
        <a:blip xmlns:r="http://schemas.openxmlformats.org/officeDocument/2006/relationships" r:embed="rId55"/>
        <a:stretch>
          <a:fillRect/>
        </a:stretch>
      </xdr:blipFill>
      <xdr:spPr>
        <a:xfrm>
          <a:off x="7235825" y="70961250"/>
          <a:ext cx="1183640" cy="878840"/>
        </a:xfrm>
        <a:prstGeom prst="rect">
          <a:avLst/>
        </a:prstGeom>
      </xdr:spPr>
    </xdr:pic>
    <xdr:clientData/>
  </xdr:twoCellAnchor>
  <xdr:twoCellAnchor>
    <xdr:from>
      <xdr:col>9</xdr:col>
      <xdr:colOff>6350</xdr:colOff>
      <xdr:row>81</xdr:row>
      <xdr:rowOff>25400</xdr:rowOff>
    </xdr:from>
    <xdr:to>
      <xdr:col>9</xdr:col>
      <xdr:colOff>1189990</xdr:colOff>
      <xdr:row>81</xdr:row>
      <xdr:rowOff>904240</xdr:rowOff>
    </xdr:to>
    <xdr:pic>
      <xdr:nvPicPr>
        <xdr:cNvPr id="5263" name="Изображение 5262" descr="resizeПП-00267211"/>
        <xdr:cNvPicPr>
          <a:picLocks noChangeAspect="1"/>
        </xdr:cNvPicPr>
      </xdr:nvPicPr>
      <xdr:blipFill>
        <a:blip xmlns:r="http://schemas.openxmlformats.org/officeDocument/2006/relationships" r:embed="rId56"/>
        <a:stretch>
          <a:fillRect/>
        </a:stretch>
      </xdr:blipFill>
      <xdr:spPr>
        <a:xfrm>
          <a:off x="7235825" y="72183625"/>
          <a:ext cx="1183640" cy="878840"/>
        </a:xfrm>
        <a:prstGeom prst="rect">
          <a:avLst/>
        </a:prstGeom>
      </xdr:spPr>
    </xdr:pic>
    <xdr:clientData/>
  </xdr:twoCellAnchor>
  <xdr:twoCellAnchor>
    <xdr:from>
      <xdr:col>9</xdr:col>
      <xdr:colOff>6350</xdr:colOff>
      <xdr:row>82</xdr:row>
      <xdr:rowOff>25400</xdr:rowOff>
    </xdr:from>
    <xdr:to>
      <xdr:col>9</xdr:col>
      <xdr:colOff>1189990</xdr:colOff>
      <xdr:row>82</xdr:row>
      <xdr:rowOff>904240</xdr:rowOff>
    </xdr:to>
    <xdr:pic>
      <xdr:nvPicPr>
        <xdr:cNvPr id="5264" name="Изображение 5263" descr="resizeПП-00267217"/>
        <xdr:cNvPicPr>
          <a:picLocks noChangeAspect="1"/>
        </xdr:cNvPicPr>
      </xdr:nvPicPr>
      <xdr:blipFill>
        <a:blip xmlns:r="http://schemas.openxmlformats.org/officeDocument/2006/relationships" r:embed="rId57"/>
        <a:stretch>
          <a:fillRect/>
        </a:stretch>
      </xdr:blipFill>
      <xdr:spPr>
        <a:xfrm>
          <a:off x="7235825" y="73406000"/>
          <a:ext cx="1183640" cy="878840"/>
        </a:xfrm>
        <a:prstGeom prst="rect">
          <a:avLst/>
        </a:prstGeom>
      </xdr:spPr>
    </xdr:pic>
    <xdr:clientData/>
  </xdr:twoCellAnchor>
  <xdr:twoCellAnchor>
    <xdr:from>
      <xdr:col>9</xdr:col>
      <xdr:colOff>6350</xdr:colOff>
      <xdr:row>87</xdr:row>
      <xdr:rowOff>25400</xdr:rowOff>
    </xdr:from>
    <xdr:to>
      <xdr:col>9</xdr:col>
      <xdr:colOff>885190</xdr:colOff>
      <xdr:row>87</xdr:row>
      <xdr:rowOff>1209040</xdr:rowOff>
    </xdr:to>
    <xdr:pic>
      <xdr:nvPicPr>
        <xdr:cNvPr id="5265" name="Изображение 5264" descr="resizeПП-00272482"/>
        <xdr:cNvPicPr>
          <a:picLocks noChangeAspect="1"/>
        </xdr:cNvPicPr>
      </xdr:nvPicPr>
      <xdr:blipFill>
        <a:blip xmlns:r="http://schemas.openxmlformats.org/officeDocument/2006/relationships" r:embed="rId58"/>
        <a:stretch>
          <a:fillRect/>
        </a:stretch>
      </xdr:blipFill>
      <xdr:spPr>
        <a:xfrm>
          <a:off x="7235825" y="75237975"/>
          <a:ext cx="878840" cy="1183640"/>
        </a:xfrm>
        <a:prstGeom prst="rect">
          <a:avLst/>
        </a:prstGeom>
      </xdr:spPr>
    </xdr:pic>
    <xdr:clientData/>
  </xdr:twoCellAnchor>
  <xdr:twoCellAnchor>
    <xdr:from>
      <xdr:col>9</xdr:col>
      <xdr:colOff>6350</xdr:colOff>
      <xdr:row>88</xdr:row>
      <xdr:rowOff>25400</xdr:rowOff>
    </xdr:from>
    <xdr:to>
      <xdr:col>9</xdr:col>
      <xdr:colOff>885190</xdr:colOff>
      <xdr:row>88</xdr:row>
      <xdr:rowOff>1209040</xdr:rowOff>
    </xdr:to>
    <xdr:pic>
      <xdr:nvPicPr>
        <xdr:cNvPr id="5266" name="Изображение 5265" descr="resizeПП-00272508"/>
        <xdr:cNvPicPr>
          <a:picLocks noChangeAspect="1"/>
        </xdr:cNvPicPr>
      </xdr:nvPicPr>
      <xdr:blipFill>
        <a:blip xmlns:r="http://schemas.openxmlformats.org/officeDocument/2006/relationships" r:embed="rId59"/>
        <a:stretch>
          <a:fillRect/>
        </a:stretch>
      </xdr:blipFill>
      <xdr:spPr>
        <a:xfrm>
          <a:off x="7235825" y="76460350"/>
          <a:ext cx="878840" cy="1183640"/>
        </a:xfrm>
        <a:prstGeom prst="rect">
          <a:avLst/>
        </a:prstGeom>
      </xdr:spPr>
    </xdr:pic>
    <xdr:clientData/>
  </xdr:twoCellAnchor>
  <xdr:twoCellAnchor>
    <xdr:from>
      <xdr:col>9</xdr:col>
      <xdr:colOff>6350</xdr:colOff>
      <xdr:row>89</xdr:row>
      <xdr:rowOff>25400</xdr:rowOff>
    </xdr:from>
    <xdr:to>
      <xdr:col>9</xdr:col>
      <xdr:colOff>885190</xdr:colOff>
      <xdr:row>89</xdr:row>
      <xdr:rowOff>1209040</xdr:rowOff>
    </xdr:to>
    <xdr:pic>
      <xdr:nvPicPr>
        <xdr:cNvPr id="5267" name="Изображение 5266" descr="resizeПП-00272526"/>
        <xdr:cNvPicPr>
          <a:picLocks noChangeAspect="1"/>
        </xdr:cNvPicPr>
      </xdr:nvPicPr>
      <xdr:blipFill>
        <a:blip xmlns:r="http://schemas.openxmlformats.org/officeDocument/2006/relationships" r:embed="rId60"/>
        <a:stretch>
          <a:fillRect/>
        </a:stretch>
      </xdr:blipFill>
      <xdr:spPr>
        <a:xfrm>
          <a:off x="7235825" y="77682725"/>
          <a:ext cx="878840" cy="1183640"/>
        </a:xfrm>
        <a:prstGeom prst="rect">
          <a:avLst/>
        </a:prstGeom>
      </xdr:spPr>
    </xdr:pic>
    <xdr:clientData/>
  </xdr:twoCellAnchor>
  <xdr:twoCellAnchor>
    <xdr:from>
      <xdr:col>9</xdr:col>
      <xdr:colOff>6350</xdr:colOff>
      <xdr:row>90</xdr:row>
      <xdr:rowOff>25400</xdr:rowOff>
    </xdr:from>
    <xdr:to>
      <xdr:col>9</xdr:col>
      <xdr:colOff>885190</xdr:colOff>
      <xdr:row>90</xdr:row>
      <xdr:rowOff>1209040</xdr:rowOff>
    </xdr:to>
    <xdr:pic>
      <xdr:nvPicPr>
        <xdr:cNvPr id="5268" name="Изображение 5267" descr="resizeПП-00272509"/>
        <xdr:cNvPicPr>
          <a:picLocks noChangeAspect="1"/>
        </xdr:cNvPicPr>
      </xdr:nvPicPr>
      <xdr:blipFill>
        <a:blip xmlns:r="http://schemas.openxmlformats.org/officeDocument/2006/relationships" r:embed="rId61"/>
        <a:stretch>
          <a:fillRect/>
        </a:stretch>
      </xdr:blipFill>
      <xdr:spPr>
        <a:xfrm>
          <a:off x="7235825" y="78905100"/>
          <a:ext cx="878840" cy="1183640"/>
        </a:xfrm>
        <a:prstGeom prst="rect">
          <a:avLst/>
        </a:prstGeom>
      </xdr:spPr>
    </xdr:pic>
    <xdr:clientData/>
  </xdr:twoCellAnchor>
  <xdr:twoCellAnchor>
    <xdr:from>
      <xdr:col>9</xdr:col>
      <xdr:colOff>6350</xdr:colOff>
      <xdr:row>91</xdr:row>
      <xdr:rowOff>25400</xdr:rowOff>
    </xdr:from>
    <xdr:to>
      <xdr:col>9</xdr:col>
      <xdr:colOff>885190</xdr:colOff>
      <xdr:row>91</xdr:row>
      <xdr:rowOff>1209040</xdr:rowOff>
    </xdr:to>
    <xdr:pic>
      <xdr:nvPicPr>
        <xdr:cNvPr id="5269" name="Изображение 5268" descr="resizeПП-00272515"/>
        <xdr:cNvPicPr>
          <a:picLocks noChangeAspect="1"/>
        </xdr:cNvPicPr>
      </xdr:nvPicPr>
      <xdr:blipFill>
        <a:blip xmlns:r="http://schemas.openxmlformats.org/officeDocument/2006/relationships" r:embed="rId62"/>
        <a:stretch>
          <a:fillRect/>
        </a:stretch>
      </xdr:blipFill>
      <xdr:spPr>
        <a:xfrm>
          <a:off x="7235825" y="80127475"/>
          <a:ext cx="878840" cy="1183640"/>
        </a:xfrm>
        <a:prstGeom prst="rect">
          <a:avLst/>
        </a:prstGeom>
      </xdr:spPr>
    </xdr:pic>
    <xdr:clientData/>
  </xdr:twoCellAnchor>
  <xdr:twoCellAnchor>
    <xdr:from>
      <xdr:col>9</xdr:col>
      <xdr:colOff>6350</xdr:colOff>
      <xdr:row>92</xdr:row>
      <xdr:rowOff>25400</xdr:rowOff>
    </xdr:from>
    <xdr:to>
      <xdr:col>9</xdr:col>
      <xdr:colOff>885190</xdr:colOff>
      <xdr:row>92</xdr:row>
      <xdr:rowOff>1209040</xdr:rowOff>
    </xdr:to>
    <xdr:pic>
      <xdr:nvPicPr>
        <xdr:cNvPr id="5270" name="Изображение 5269" descr="resizeПП-00272510"/>
        <xdr:cNvPicPr>
          <a:picLocks noChangeAspect="1"/>
        </xdr:cNvPicPr>
      </xdr:nvPicPr>
      <xdr:blipFill>
        <a:blip xmlns:r="http://schemas.openxmlformats.org/officeDocument/2006/relationships" r:embed="rId63"/>
        <a:stretch>
          <a:fillRect/>
        </a:stretch>
      </xdr:blipFill>
      <xdr:spPr>
        <a:xfrm>
          <a:off x="7235825" y="81349850"/>
          <a:ext cx="878840" cy="1183640"/>
        </a:xfrm>
        <a:prstGeom prst="rect">
          <a:avLst/>
        </a:prstGeom>
      </xdr:spPr>
    </xdr:pic>
    <xdr:clientData/>
  </xdr:twoCellAnchor>
  <xdr:twoCellAnchor>
    <xdr:from>
      <xdr:col>9</xdr:col>
      <xdr:colOff>6350</xdr:colOff>
      <xdr:row>93</xdr:row>
      <xdr:rowOff>25400</xdr:rowOff>
    </xdr:from>
    <xdr:to>
      <xdr:col>9</xdr:col>
      <xdr:colOff>885190</xdr:colOff>
      <xdr:row>93</xdr:row>
      <xdr:rowOff>1209040</xdr:rowOff>
    </xdr:to>
    <xdr:pic>
      <xdr:nvPicPr>
        <xdr:cNvPr id="5271" name="Изображение 5270" descr="resizeПП-00272507"/>
        <xdr:cNvPicPr>
          <a:picLocks noChangeAspect="1"/>
        </xdr:cNvPicPr>
      </xdr:nvPicPr>
      <xdr:blipFill>
        <a:blip xmlns:r="http://schemas.openxmlformats.org/officeDocument/2006/relationships" r:embed="rId64"/>
        <a:stretch>
          <a:fillRect/>
        </a:stretch>
      </xdr:blipFill>
      <xdr:spPr>
        <a:xfrm>
          <a:off x="7235825" y="82572225"/>
          <a:ext cx="878840" cy="1183640"/>
        </a:xfrm>
        <a:prstGeom prst="rect">
          <a:avLst/>
        </a:prstGeom>
      </xdr:spPr>
    </xdr:pic>
    <xdr:clientData/>
  </xdr:twoCellAnchor>
  <xdr:twoCellAnchor>
    <xdr:from>
      <xdr:col>9</xdr:col>
      <xdr:colOff>6350</xdr:colOff>
      <xdr:row>95</xdr:row>
      <xdr:rowOff>25400</xdr:rowOff>
    </xdr:from>
    <xdr:to>
      <xdr:col>9</xdr:col>
      <xdr:colOff>885190</xdr:colOff>
      <xdr:row>95</xdr:row>
      <xdr:rowOff>1209040</xdr:rowOff>
    </xdr:to>
    <xdr:pic>
      <xdr:nvPicPr>
        <xdr:cNvPr id="5272" name="Изображение 5271" descr="resizeПП-00275619"/>
        <xdr:cNvPicPr>
          <a:picLocks noChangeAspect="1"/>
        </xdr:cNvPicPr>
      </xdr:nvPicPr>
      <xdr:blipFill>
        <a:blip xmlns:r="http://schemas.openxmlformats.org/officeDocument/2006/relationships" r:embed="rId65"/>
        <a:stretch>
          <a:fillRect/>
        </a:stretch>
      </xdr:blipFill>
      <xdr:spPr>
        <a:xfrm>
          <a:off x="7235825" y="83947000"/>
          <a:ext cx="878840" cy="1183640"/>
        </a:xfrm>
        <a:prstGeom prst="rect">
          <a:avLst/>
        </a:prstGeom>
      </xdr:spPr>
    </xdr:pic>
    <xdr:clientData/>
  </xdr:twoCellAnchor>
  <xdr:twoCellAnchor>
    <xdr:from>
      <xdr:col>9</xdr:col>
      <xdr:colOff>6350</xdr:colOff>
      <xdr:row>96</xdr:row>
      <xdr:rowOff>25400</xdr:rowOff>
    </xdr:from>
    <xdr:to>
      <xdr:col>9</xdr:col>
      <xdr:colOff>885190</xdr:colOff>
      <xdr:row>96</xdr:row>
      <xdr:rowOff>1209040</xdr:rowOff>
    </xdr:to>
    <xdr:pic>
      <xdr:nvPicPr>
        <xdr:cNvPr id="5273" name="Изображение 5272" descr="resizeПП-00275613"/>
        <xdr:cNvPicPr>
          <a:picLocks noChangeAspect="1"/>
        </xdr:cNvPicPr>
      </xdr:nvPicPr>
      <xdr:blipFill>
        <a:blip xmlns:r="http://schemas.openxmlformats.org/officeDocument/2006/relationships" r:embed="rId66"/>
        <a:stretch>
          <a:fillRect/>
        </a:stretch>
      </xdr:blipFill>
      <xdr:spPr>
        <a:xfrm>
          <a:off x="7235825" y="85169375"/>
          <a:ext cx="878840" cy="1183640"/>
        </a:xfrm>
        <a:prstGeom prst="rect">
          <a:avLst/>
        </a:prstGeom>
      </xdr:spPr>
    </xdr:pic>
    <xdr:clientData/>
  </xdr:twoCellAnchor>
  <xdr:twoCellAnchor>
    <xdr:from>
      <xdr:col>9</xdr:col>
      <xdr:colOff>6350</xdr:colOff>
      <xdr:row>97</xdr:row>
      <xdr:rowOff>25400</xdr:rowOff>
    </xdr:from>
    <xdr:to>
      <xdr:col>9</xdr:col>
      <xdr:colOff>885190</xdr:colOff>
      <xdr:row>97</xdr:row>
      <xdr:rowOff>1209040</xdr:rowOff>
    </xdr:to>
    <xdr:pic>
      <xdr:nvPicPr>
        <xdr:cNvPr id="5274" name="Изображение 5273" descr="resizeПП-00275614"/>
        <xdr:cNvPicPr>
          <a:picLocks noChangeAspect="1"/>
        </xdr:cNvPicPr>
      </xdr:nvPicPr>
      <xdr:blipFill>
        <a:blip xmlns:r="http://schemas.openxmlformats.org/officeDocument/2006/relationships" r:embed="rId67"/>
        <a:stretch>
          <a:fillRect/>
        </a:stretch>
      </xdr:blipFill>
      <xdr:spPr>
        <a:xfrm>
          <a:off x="7235825" y="86391750"/>
          <a:ext cx="878840" cy="1183640"/>
        </a:xfrm>
        <a:prstGeom prst="rect">
          <a:avLst/>
        </a:prstGeom>
      </xdr:spPr>
    </xdr:pic>
    <xdr:clientData/>
  </xdr:twoCellAnchor>
  <xdr:twoCellAnchor>
    <xdr:from>
      <xdr:col>9</xdr:col>
      <xdr:colOff>6350</xdr:colOff>
      <xdr:row>98</xdr:row>
      <xdr:rowOff>25400</xdr:rowOff>
    </xdr:from>
    <xdr:to>
      <xdr:col>9</xdr:col>
      <xdr:colOff>885190</xdr:colOff>
      <xdr:row>98</xdr:row>
      <xdr:rowOff>1209040</xdr:rowOff>
    </xdr:to>
    <xdr:pic>
      <xdr:nvPicPr>
        <xdr:cNvPr id="5275" name="Изображение 5274" descr="resizeПП-00275618"/>
        <xdr:cNvPicPr>
          <a:picLocks noChangeAspect="1"/>
        </xdr:cNvPicPr>
      </xdr:nvPicPr>
      <xdr:blipFill>
        <a:blip xmlns:r="http://schemas.openxmlformats.org/officeDocument/2006/relationships" r:embed="rId68"/>
        <a:stretch>
          <a:fillRect/>
        </a:stretch>
      </xdr:blipFill>
      <xdr:spPr>
        <a:xfrm>
          <a:off x="7235825" y="87614125"/>
          <a:ext cx="878840" cy="1183640"/>
        </a:xfrm>
        <a:prstGeom prst="rect">
          <a:avLst/>
        </a:prstGeom>
      </xdr:spPr>
    </xdr:pic>
    <xdr:clientData/>
  </xdr:twoCellAnchor>
  <xdr:twoCellAnchor>
    <xdr:from>
      <xdr:col>9</xdr:col>
      <xdr:colOff>6350</xdr:colOff>
      <xdr:row>99</xdr:row>
      <xdr:rowOff>25400</xdr:rowOff>
    </xdr:from>
    <xdr:to>
      <xdr:col>9</xdr:col>
      <xdr:colOff>885190</xdr:colOff>
      <xdr:row>99</xdr:row>
      <xdr:rowOff>1209040</xdr:rowOff>
    </xdr:to>
    <xdr:pic>
      <xdr:nvPicPr>
        <xdr:cNvPr id="5276" name="Изображение 5275" descr="resizeПП-00275615"/>
        <xdr:cNvPicPr>
          <a:picLocks noChangeAspect="1"/>
        </xdr:cNvPicPr>
      </xdr:nvPicPr>
      <xdr:blipFill>
        <a:blip xmlns:r="http://schemas.openxmlformats.org/officeDocument/2006/relationships" r:embed="rId69"/>
        <a:stretch>
          <a:fillRect/>
        </a:stretch>
      </xdr:blipFill>
      <xdr:spPr>
        <a:xfrm>
          <a:off x="7235825" y="88836500"/>
          <a:ext cx="878840" cy="1183640"/>
        </a:xfrm>
        <a:prstGeom prst="rect">
          <a:avLst/>
        </a:prstGeom>
      </xdr:spPr>
    </xdr:pic>
    <xdr:clientData/>
  </xdr:twoCellAnchor>
  <xdr:twoCellAnchor>
    <xdr:from>
      <xdr:col>9</xdr:col>
      <xdr:colOff>6350</xdr:colOff>
      <xdr:row>100</xdr:row>
      <xdr:rowOff>25400</xdr:rowOff>
    </xdr:from>
    <xdr:to>
      <xdr:col>9</xdr:col>
      <xdr:colOff>885190</xdr:colOff>
      <xdr:row>100</xdr:row>
      <xdr:rowOff>1209040</xdr:rowOff>
    </xdr:to>
    <xdr:pic>
      <xdr:nvPicPr>
        <xdr:cNvPr id="5277" name="Изображение 5276" descr="resizeПП-00275616"/>
        <xdr:cNvPicPr>
          <a:picLocks noChangeAspect="1"/>
        </xdr:cNvPicPr>
      </xdr:nvPicPr>
      <xdr:blipFill>
        <a:blip xmlns:r="http://schemas.openxmlformats.org/officeDocument/2006/relationships" r:embed="rId70"/>
        <a:stretch>
          <a:fillRect/>
        </a:stretch>
      </xdr:blipFill>
      <xdr:spPr>
        <a:xfrm>
          <a:off x="7235825" y="90058875"/>
          <a:ext cx="878840" cy="1183640"/>
        </a:xfrm>
        <a:prstGeom prst="rect">
          <a:avLst/>
        </a:prstGeom>
      </xdr:spPr>
    </xdr:pic>
    <xdr:clientData/>
  </xdr:twoCellAnchor>
  <xdr:twoCellAnchor>
    <xdr:from>
      <xdr:col>9</xdr:col>
      <xdr:colOff>6350</xdr:colOff>
      <xdr:row>101</xdr:row>
      <xdr:rowOff>25400</xdr:rowOff>
    </xdr:from>
    <xdr:to>
      <xdr:col>9</xdr:col>
      <xdr:colOff>885190</xdr:colOff>
      <xdr:row>101</xdr:row>
      <xdr:rowOff>1209040</xdr:rowOff>
    </xdr:to>
    <xdr:pic>
      <xdr:nvPicPr>
        <xdr:cNvPr id="5278" name="Изображение 5277" descr="resizeПП-00275612"/>
        <xdr:cNvPicPr>
          <a:picLocks noChangeAspect="1"/>
        </xdr:cNvPicPr>
      </xdr:nvPicPr>
      <xdr:blipFill>
        <a:blip xmlns:r="http://schemas.openxmlformats.org/officeDocument/2006/relationships" r:embed="rId71"/>
        <a:stretch>
          <a:fillRect/>
        </a:stretch>
      </xdr:blipFill>
      <xdr:spPr>
        <a:xfrm>
          <a:off x="7235825" y="91281250"/>
          <a:ext cx="878840" cy="1183640"/>
        </a:xfrm>
        <a:prstGeom prst="rect">
          <a:avLst/>
        </a:prstGeom>
      </xdr:spPr>
    </xdr:pic>
    <xdr:clientData/>
  </xdr:twoCellAnchor>
  <xdr:twoCellAnchor>
    <xdr:from>
      <xdr:col>9</xdr:col>
      <xdr:colOff>6350</xdr:colOff>
      <xdr:row>102</xdr:row>
      <xdr:rowOff>25400</xdr:rowOff>
    </xdr:from>
    <xdr:to>
      <xdr:col>9</xdr:col>
      <xdr:colOff>885190</xdr:colOff>
      <xdr:row>102</xdr:row>
      <xdr:rowOff>1209040</xdr:rowOff>
    </xdr:to>
    <xdr:pic>
      <xdr:nvPicPr>
        <xdr:cNvPr id="5279" name="Изображение 5278" descr="resizeПП-00275610"/>
        <xdr:cNvPicPr>
          <a:picLocks noChangeAspect="1"/>
        </xdr:cNvPicPr>
      </xdr:nvPicPr>
      <xdr:blipFill>
        <a:blip xmlns:r="http://schemas.openxmlformats.org/officeDocument/2006/relationships" r:embed="rId72"/>
        <a:stretch>
          <a:fillRect/>
        </a:stretch>
      </xdr:blipFill>
      <xdr:spPr>
        <a:xfrm>
          <a:off x="7235825" y="92503625"/>
          <a:ext cx="878840" cy="1183640"/>
        </a:xfrm>
        <a:prstGeom prst="rect">
          <a:avLst/>
        </a:prstGeom>
      </xdr:spPr>
    </xdr:pic>
    <xdr:clientData/>
  </xdr:twoCellAnchor>
  <xdr:twoCellAnchor>
    <xdr:from>
      <xdr:col>9</xdr:col>
      <xdr:colOff>6350</xdr:colOff>
      <xdr:row>104</xdr:row>
      <xdr:rowOff>25400</xdr:rowOff>
    </xdr:from>
    <xdr:to>
      <xdr:col>9</xdr:col>
      <xdr:colOff>885190</xdr:colOff>
      <xdr:row>104</xdr:row>
      <xdr:rowOff>1209040</xdr:rowOff>
    </xdr:to>
    <xdr:pic>
      <xdr:nvPicPr>
        <xdr:cNvPr id="5280" name="Изображение 5279" descr="resizeПП-00272611"/>
        <xdr:cNvPicPr>
          <a:picLocks noChangeAspect="1"/>
        </xdr:cNvPicPr>
      </xdr:nvPicPr>
      <xdr:blipFill>
        <a:blip xmlns:r="http://schemas.openxmlformats.org/officeDocument/2006/relationships" r:embed="rId73"/>
        <a:stretch>
          <a:fillRect/>
        </a:stretch>
      </xdr:blipFill>
      <xdr:spPr>
        <a:xfrm>
          <a:off x="7235825" y="93878400"/>
          <a:ext cx="878840" cy="1183640"/>
        </a:xfrm>
        <a:prstGeom prst="rect">
          <a:avLst/>
        </a:prstGeom>
      </xdr:spPr>
    </xdr:pic>
    <xdr:clientData/>
  </xdr:twoCellAnchor>
  <xdr:twoCellAnchor>
    <xdr:from>
      <xdr:col>9</xdr:col>
      <xdr:colOff>6350</xdr:colOff>
      <xdr:row>105</xdr:row>
      <xdr:rowOff>25400</xdr:rowOff>
    </xdr:from>
    <xdr:to>
      <xdr:col>9</xdr:col>
      <xdr:colOff>885190</xdr:colOff>
      <xdr:row>105</xdr:row>
      <xdr:rowOff>1209040</xdr:rowOff>
    </xdr:to>
    <xdr:pic>
      <xdr:nvPicPr>
        <xdr:cNvPr id="5281" name="Изображение 5280" descr="resizeПП-00272608"/>
        <xdr:cNvPicPr>
          <a:picLocks noChangeAspect="1"/>
        </xdr:cNvPicPr>
      </xdr:nvPicPr>
      <xdr:blipFill>
        <a:blip xmlns:r="http://schemas.openxmlformats.org/officeDocument/2006/relationships" r:embed="rId74"/>
        <a:stretch>
          <a:fillRect/>
        </a:stretch>
      </xdr:blipFill>
      <xdr:spPr>
        <a:xfrm>
          <a:off x="7235825" y="95100775"/>
          <a:ext cx="878840" cy="1183640"/>
        </a:xfrm>
        <a:prstGeom prst="rect">
          <a:avLst/>
        </a:prstGeom>
      </xdr:spPr>
    </xdr:pic>
    <xdr:clientData/>
  </xdr:twoCellAnchor>
  <xdr:twoCellAnchor>
    <xdr:from>
      <xdr:col>9</xdr:col>
      <xdr:colOff>6350</xdr:colOff>
      <xdr:row>110</xdr:row>
      <xdr:rowOff>25400</xdr:rowOff>
    </xdr:from>
    <xdr:to>
      <xdr:col>9</xdr:col>
      <xdr:colOff>885190</xdr:colOff>
      <xdr:row>110</xdr:row>
      <xdr:rowOff>1209040</xdr:rowOff>
    </xdr:to>
    <xdr:pic>
      <xdr:nvPicPr>
        <xdr:cNvPr id="5282" name="Изображение 5281" descr="resizeПП-00271114"/>
        <xdr:cNvPicPr>
          <a:picLocks noChangeAspect="1"/>
        </xdr:cNvPicPr>
      </xdr:nvPicPr>
      <xdr:blipFill>
        <a:blip xmlns:r="http://schemas.openxmlformats.org/officeDocument/2006/relationships" r:embed="rId75"/>
        <a:stretch>
          <a:fillRect/>
        </a:stretch>
      </xdr:blipFill>
      <xdr:spPr>
        <a:xfrm>
          <a:off x="7235825" y="96932750"/>
          <a:ext cx="878840" cy="1183640"/>
        </a:xfrm>
        <a:prstGeom prst="rect">
          <a:avLst/>
        </a:prstGeom>
      </xdr:spPr>
    </xdr:pic>
    <xdr:clientData/>
  </xdr:twoCellAnchor>
  <xdr:twoCellAnchor>
    <xdr:from>
      <xdr:col>9</xdr:col>
      <xdr:colOff>6350</xdr:colOff>
      <xdr:row>113</xdr:row>
      <xdr:rowOff>25400</xdr:rowOff>
    </xdr:from>
    <xdr:to>
      <xdr:col>9</xdr:col>
      <xdr:colOff>885190</xdr:colOff>
      <xdr:row>113</xdr:row>
      <xdr:rowOff>1209040</xdr:rowOff>
    </xdr:to>
    <xdr:pic>
      <xdr:nvPicPr>
        <xdr:cNvPr id="5283" name="Изображение 5282" descr="resizeПП-00271117"/>
        <xdr:cNvPicPr>
          <a:picLocks noChangeAspect="1"/>
        </xdr:cNvPicPr>
      </xdr:nvPicPr>
      <xdr:blipFill>
        <a:blip xmlns:r="http://schemas.openxmlformats.org/officeDocument/2006/relationships" r:embed="rId76"/>
        <a:stretch>
          <a:fillRect/>
        </a:stretch>
      </xdr:blipFill>
      <xdr:spPr>
        <a:xfrm>
          <a:off x="7235825" y="98459925"/>
          <a:ext cx="878840" cy="1183640"/>
        </a:xfrm>
        <a:prstGeom prst="rect">
          <a:avLst/>
        </a:prstGeom>
      </xdr:spPr>
    </xdr:pic>
    <xdr:clientData/>
  </xdr:twoCellAnchor>
  <xdr:twoCellAnchor>
    <xdr:from>
      <xdr:col>9</xdr:col>
      <xdr:colOff>6350</xdr:colOff>
      <xdr:row>115</xdr:row>
      <xdr:rowOff>25400</xdr:rowOff>
    </xdr:from>
    <xdr:to>
      <xdr:col>9</xdr:col>
      <xdr:colOff>885190</xdr:colOff>
      <xdr:row>115</xdr:row>
      <xdr:rowOff>1209040</xdr:rowOff>
    </xdr:to>
    <xdr:pic>
      <xdr:nvPicPr>
        <xdr:cNvPr id="5284" name="Изображение 5283" descr="resizeПП-00271119"/>
        <xdr:cNvPicPr>
          <a:picLocks noChangeAspect="1"/>
        </xdr:cNvPicPr>
      </xdr:nvPicPr>
      <xdr:blipFill>
        <a:blip xmlns:r="http://schemas.openxmlformats.org/officeDocument/2006/relationships" r:embed="rId77"/>
        <a:stretch>
          <a:fillRect/>
        </a:stretch>
      </xdr:blipFill>
      <xdr:spPr>
        <a:xfrm>
          <a:off x="7235825" y="99834700"/>
          <a:ext cx="878840" cy="1183640"/>
        </a:xfrm>
        <a:prstGeom prst="rect">
          <a:avLst/>
        </a:prstGeom>
      </xdr:spPr>
    </xdr:pic>
    <xdr:clientData/>
  </xdr:twoCellAnchor>
  <xdr:twoCellAnchor>
    <xdr:from>
      <xdr:col>9</xdr:col>
      <xdr:colOff>6350</xdr:colOff>
      <xdr:row>116</xdr:row>
      <xdr:rowOff>25400</xdr:rowOff>
    </xdr:from>
    <xdr:to>
      <xdr:col>9</xdr:col>
      <xdr:colOff>885190</xdr:colOff>
      <xdr:row>116</xdr:row>
      <xdr:rowOff>1209040</xdr:rowOff>
    </xdr:to>
    <xdr:pic>
      <xdr:nvPicPr>
        <xdr:cNvPr id="5285" name="Изображение 5284" descr="resizeПП-00271118"/>
        <xdr:cNvPicPr>
          <a:picLocks noChangeAspect="1"/>
        </xdr:cNvPicPr>
      </xdr:nvPicPr>
      <xdr:blipFill>
        <a:blip xmlns:r="http://schemas.openxmlformats.org/officeDocument/2006/relationships" r:embed="rId78"/>
        <a:stretch>
          <a:fillRect/>
        </a:stretch>
      </xdr:blipFill>
      <xdr:spPr>
        <a:xfrm>
          <a:off x="7235825" y="101057075"/>
          <a:ext cx="878840" cy="1183640"/>
        </a:xfrm>
        <a:prstGeom prst="rect">
          <a:avLst/>
        </a:prstGeom>
      </xdr:spPr>
    </xdr:pic>
    <xdr:clientData/>
  </xdr:twoCellAnchor>
  <xdr:twoCellAnchor>
    <xdr:from>
      <xdr:col>9</xdr:col>
      <xdr:colOff>6350</xdr:colOff>
      <xdr:row>119</xdr:row>
      <xdr:rowOff>25400</xdr:rowOff>
    </xdr:from>
    <xdr:to>
      <xdr:col>9</xdr:col>
      <xdr:colOff>885190</xdr:colOff>
      <xdr:row>119</xdr:row>
      <xdr:rowOff>1209040</xdr:rowOff>
    </xdr:to>
    <xdr:pic>
      <xdr:nvPicPr>
        <xdr:cNvPr id="5286" name="Изображение 5285" descr="resizeПП-00271111"/>
        <xdr:cNvPicPr>
          <a:picLocks noChangeAspect="1"/>
        </xdr:cNvPicPr>
      </xdr:nvPicPr>
      <xdr:blipFill>
        <a:blip xmlns:r="http://schemas.openxmlformats.org/officeDocument/2006/relationships" r:embed="rId79"/>
        <a:stretch>
          <a:fillRect/>
        </a:stretch>
      </xdr:blipFill>
      <xdr:spPr>
        <a:xfrm>
          <a:off x="7235825" y="102584250"/>
          <a:ext cx="878840" cy="1183640"/>
        </a:xfrm>
        <a:prstGeom prst="rect">
          <a:avLst/>
        </a:prstGeom>
      </xdr:spPr>
    </xdr:pic>
    <xdr:clientData/>
  </xdr:twoCellAnchor>
  <xdr:twoCellAnchor>
    <xdr:from>
      <xdr:col>9</xdr:col>
      <xdr:colOff>6350</xdr:colOff>
      <xdr:row>121</xdr:row>
      <xdr:rowOff>25400</xdr:rowOff>
    </xdr:from>
    <xdr:to>
      <xdr:col>9</xdr:col>
      <xdr:colOff>885190</xdr:colOff>
      <xdr:row>121</xdr:row>
      <xdr:rowOff>1209040</xdr:rowOff>
    </xdr:to>
    <xdr:pic>
      <xdr:nvPicPr>
        <xdr:cNvPr id="5287" name="Изображение 5286" descr="resizeПП-00271113"/>
        <xdr:cNvPicPr>
          <a:picLocks noChangeAspect="1"/>
        </xdr:cNvPicPr>
      </xdr:nvPicPr>
      <xdr:blipFill>
        <a:blip xmlns:r="http://schemas.openxmlformats.org/officeDocument/2006/relationships" r:embed="rId80"/>
        <a:stretch>
          <a:fillRect/>
        </a:stretch>
      </xdr:blipFill>
      <xdr:spPr>
        <a:xfrm>
          <a:off x="7235825" y="103959025"/>
          <a:ext cx="878840" cy="1183640"/>
        </a:xfrm>
        <a:prstGeom prst="rect">
          <a:avLst/>
        </a:prstGeom>
      </xdr:spPr>
    </xdr:pic>
    <xdr:clientData/>
  </xdr:twoCellAnchor>
  <xdr:twoCellAnchor>
    <xdr:from>
      <xdr:col>9</xdr:col>
      <xdr:colOff>6350</xdr:colOff>
      <xdr:row>124</xdr:row>
      <xdr:rowOff>25400</xdr:rowOff>
    </xdr:from>
    <xdr:to>
      <xdr:col>9</xdr:col>
      <xdr:colOff>885190</xdr:colOff>
      <xdr:row>124</xdr:row>
      <xdr:rowOff>1209040</xdr:rowOff>
    </xdr:to>
    <xdr:pic>
      <xdr:nvPicPr>
        <xdr:cNvPr id="5288" name="Изображение 5287" descr="resizeПП-00275981"/>
        <xdr:cNvPicPr>
          <a:picLocks noChangeAspect="1"/>
        </xdr:cNvPicPr>
      </xdr:nvPicPr>
      <xdr:blipFill>
        <a:blip xmlns:r="http://schemas.openxmlformats.org/officeDocument/2006/relationships" r:embed="rId81"/>
        <a:stretch>
          <a:fillRect/>
        </a:stretch>
      </xdr:blipFill>
      <xdr:spPr>
        <a:xfrm>
          <a:off x="7235825" y="105486200"/>
          <a:ext cx="878840" cy="1183640"/>
        </a:xfrm>
        <a:prstGeom prst="rect">
          <a:avLst/>
        </a:prstGeom>
      </xdr:spPr>
    </xdr:pic>
    <xdr:clientData/>
  </xdr:twoCellAnchor>
  <xdr:twoCellAnchor>
    <xdr:from>
      <xdr:col>9</xdr:col>
      <xdr:colOff>6350</xdr:colOff>
      <xdr:row>126</xdr:row>
      <xdr:rowOff>25400</xdr:rowOff>
    </xdr:from>
    <xdr:to>
      <xdr:col>9</xdr:col>
      <xdr:colOff>885190</xdr:colOff>
      <xdr:row>126</xdr:row>
      <xdr:rowOff>1209040</xdr:rowOff>
    </xdr:to>
    <xdr:pic>
      <xdr:nvPicPr>
        <xdr:cNvPr id="5289" name="Изображение 5288" descr="resizeПП-00275997"/>
        <xdr:cNvPicPr>
          <a:picLocks noChangeAspect="1"/>
        </xdr:cNvPicPr>
      </xdr:nvPicPr>
      <xdr:blipFill>
        <a:blip xmlns:r="http://schemas.openxmlformats.org/officeDocument/2006/relationships" r:embed="rId82"/>
        <a:stretch>
          <a:fillRect/>
        </a:stretch>
      </xdr:blipFill>
      <xdr:spPr>
        <a:xfrm>
          <a:off x="7235825" y="106860975"/>
          <a:ext cx="878840" cy="1183640"/>
        </a:xfrm>
        <a:prstGeom prst="rect">
          <a:avLst/>
        </a:prstGeom>
      </xdr:spPr>
    </xdr:pic>
    <xdr:clientData/>
  </xdr:twoCellAnchor>
  <xdr:twoCellAnchor>
    <xdr:from>
      <xdr:col>9</xdr:col>
      <xdr:colOff>6350</xdr:colOff>
      <xdr:row>128</xdr:row>
      <xdr:rowOff>25400</xdr:rowOff>
    </xdr:from>
    <xdr:to>
      <xdr:col>9</xdr:col>
      <xdr:colOff>885190</xdr:colOff>
      <xdr:row>128</xdr:row>
      <xdr:rowOff>1209040</xdr:rowOff>
    </xdr:to>
    <xdr:pic>
      <xdr:nvPicPr>
        <xdr:cNvPr id="5290" name="Изображение 5289" descr="resizeПП-00270787"/>
        <xdr:cNvPicPr>
          <a:picLocks noChangeAspect="1"/>
        </xdr:cNvPicPr>
      </xdr:nvPicPr>
      <xdr:blipFill>
        <a:blip xmlns:r="http://schemas.openxmlformats.org/officeDocument/2006/relationships" r:embed="rId83"/>
        <a:stretch>
          <a:fillRect/>
        </a:stretch>
      </xdr:blipFill>
      <xdr:spPr>
        <a:xfrm>
          <a:off x="7235825" y="108235750"/>
          <a:ext cx="878840" cy="1183640"/>
        </a:xfrm>
        <a:prstGeom prst="rect">
          <a:avLst/>
        </a:prstGeom>
      </xdr:spPr>
    </xdr:pic>
    <xdr:clientData/>
  </xdr:twoCellAnchor>
  <xdr:twoCellAnchor>
    <xdr:from>
      <xdr:col>9</xdr:col>
      <xdr:colOff>6350</xdr:colOff>
      <xdr:row>129</xdr:row>
      <xdr:rowOff>25400</xdr:rowOff>
    </xdr:from>
    <xdr:to>
      <xdr:col>9</xdr:col>
      <xdr:colOff>885190</xdr:colOff>
      <xdr:row>129</xdr:row>
      <xdr:rowOff>1209040</xdr:rowOff>
    </xdr:to>
    <xdr:pic>
      <xdr:nvPicPr>
        <xdr:cNvPr id="5291" name="Изображение 5290" descr="resizeПП-00270806"/>
        <xdr:cNvPicPr>
          <a:picLocks noChangeAspect="1"/>
        </xdr:cNvPicPr>
      </xdr:nvPicPr>
      <xdr:blipFill>
        <a:blip xmlns:r="http://schemas.openxmlformats.org/officeDocument/2006/relationships" r:embed="rId84"/>
        <a:stretch>
          <a:fillRect/>
        </a:stretch>
      </xdr:blipFill>
      <xdr:spPr>
        <a:xfrm>
          <a:off x="7235825" y="109458125"/>
          <a:ext cx="878840" cy="1183640"/>
        </a:xfrm>
        <a:prstGeom prst="rect">
          <a:avLst/>
        </a:prstGeom>
      </xdr:spPr>
    </xdr:pic>
    <xdr:clientData/>
  </xdr:twoCellAnchor>
  <xdr:twoCellAnchor>
    <xdr:from>
      <xdr:col>9</xdr:col>
      <xdr:colOff>6350</xdr:colOff>
      <xdr:row>131</xdr:row>
      <xdr:rowOff>25400</xdr:rowOff>
    </xdr:from>
    <xdr:to>
      <xdr:col>9</xdr:col>
      <xdr:colOff>885190</xdr:colOff>
      <xdr:row>131</xdr:row>
      <xdr:rowOff>1209040</xdr:rowOff>
    </xdr:to>
    <xdr:pic>
      <xdr:nvPicPr>
        <xdr:cNvPr id="5292" name="Изображение 5291" descr="resizeПП-00270549"/>
        <xdr:cNvPicPr>
          <a:picLocks noChangeAspect="1"/>
        </xdr:cNvPicPr>
      </xdr:nvPicPr>
      <xdr:blipFill>
        <a:blip xmlns:r="http://schemas.openxmlformats.org/officeDocument/2006/relationships" r:embed="rId85"/>
        <a:stretch>
          <a:fillRect/>
        </a:stretch>
      </xdr:blipFill>
      <xdr:spPr>
        <a:xfrm>
          <a:off x="7235825" y="110832900"/>
          <a:ext cx="878840" cy="1183640"/>
        </a:xfrm>
        <a:prstGeom prst="rect">
          <a:avLst/>
        </a:prstGeom>
      </xdr:spPr>
    </xdr:pic>
    <xdr:clientData/>
  </xdr:twoCellAnchor>
  <xdr:twoCellAnchor>
    <xdr:from>
      <xdr:col>9</xdr:col>
      <xdr:colOff>6350</xdr:colOff>
      <xdr:row>136</xdr:row>
      <xdr:rowOff>25400</xdr:rowOff>
    </xdr:from>
    <xdr:to>
      <xdr:col>9</xdr:col>
      <xdr:colOff>885190</xdr:colOff>
      <xdr:row>136</xdr:row>
      <xdr:rowOff>1209040</xdr:rowOff>
    </xdr:to>
    <xdr:pic>
      <xdr:nvPicPr>
        <xdr:cNvPr id="5293" name="Изображение 5292" descr="resizeПП-00254425"/>
        <xdr:cNvPicPr>
          <a:picLocks noChangeAspect="1"/>
        </xdr:cNvPicPr>
      </xdr:nvPicPr>
      <xdr:blipFill>
        <a:blip xmlns:r="http://schemas.openxmlformats.org/officeDocument/2006/relationships" r:embed="rId86"/>
        <a:stretch>
          <a:fillRect/>
        </a:stretch>
      </xdr:blipFill>
      <xdr:spPr>
        <a:xfrm>
          <a:off x="7235825" y="112664875"/>
          <a:ext cx="878840" cy="1183640"/>
        </a:xfrm>
        <a:prstGeom prst="rect">
          <a:avLst/>
        </a:prstGeom>
      </xdr:spPr>
    </xdr:pic>
    <xdr:clientData/>
  </xdr:twoCellAnchor>
  <xdr:twoCellAnchor>
    <xdr:from>
      <xdr:col>9</xdr:col>
      <xdr:colOff>6350</xdr:colOff>
      <xdr:row>139</xdr:row>
      <xdr:rowOff>25400</xdr:rowOff>
    </xdr:from>
    <xdr:to>
      <xdr:col>9</xdr:col>
      <xdr:colOff>885190</xdr:colOff>
      <xdr:row>139</xdr:row>
      <xdr:rowOff>1209040</xdr:rowOff>
    </xdr:to>
    <xdr:pic>
      <xdr:nvPicPr>
        <xdr:cNvPr id="5294" name="Изображение 5293" descr="resizeПП-00275629"/>
        <xdr:cNvPicPr>
          <a:picLocks noChangeAspect="1"/>
        </xdr:cNvPicPr>
      </xdr:nvPicPr>
      <xdr:blipFill>
        <a:blip xmlns:r="http://schemas.openxmlformats.org/officeDocument/2006/relationships" r:embed="rId87"/>
        <a:stretch>
          <a:fillRect/>
        </a:stretch>
      </xdr:blipFill>
      <xdr:spPr>
        <a:xfrm>
          <a:off x="7235825" y="114192050"/>
          <a:ext cx="878840" cy="1183640"/>
        </a:xfrm>
        <a:prstGeom prst="rect">
          <a:avLst/>
        </a:prstGeom>
      </xdr:spPr>
    </xdr:pic>
    <xdr:clientData/>
  </xdr:twoCellAnchor>
  <xdr:twoCellAnchor>
    <xdr:from>
      <xdr:col>9</xdr:col>
      <xdr:colOff>6350</xdr:colOff>
      <xdr:row>140</xdr:row>
      <xdr:rowOff>25400</xdr:rowOff>
    </xdr:from>
    <xdr:to>
      <xdr:col>9</xdr:col>
      <xdr:colOff>885190</xdr:colOff>
      <xdr:row>140</xdr:row>
      <xdr:rowOff>1209040</xdr:rowOff>
    </xdr:to>
    <xdr:pic>
      <xdr:nvPicPr>
        <xdr:cNvPr id="5295" name="Изображение 5294" descr="resizeПП-00254622"/>
        <xdr:cNvPicPr>
          <a:picLocks noChangeAspect="1"/>
        </xdr:cNvPicPr>
      </xdr:nvPicPr>
      <xdr:blipFill>
        <a:blip xmlns:r="http://schemas.openxmlformats.org/officeDocument/2006/relationships" r:embed="rId88"/>
        <a:stretch>
          <a:fillRect/>
        </a:stretch>
      </xdr:blipFill>
      <xdr:spPr>
        <a:xfrm>
          <a:off x="7235825" y="115414425"/>
          <a:ext cx="878840" cy="1183640"/>
        </a:xfrm>
        <a:prstGeom prst="rect">
          <a:avLst/>
        </a:prstGeom>
      </xdr:spPr>
    </xdr:pic>
    <xdr:clientData/>
  </xdr:twoCellAnchor>
  <xdr:twoCellAnchor>
    <xdr:from>
      <xdr:col>9</xdr:col>
      <xdr:colOff>6350</xdr:colOff>
      <xdr:row>141</xdr:row>
      <xdr:rowOff>25400</xdr:rowOff>
    </xdr:from>
    <xdr:to>
      <xdr:col>9</xdr:col>
      <xdr:colOff>885190</xdr:colOff>
      <xdr:row>141</xdr:row>
      <xdr:rowOff>1209040</xdr:rowOff>
    </xdr:to>
    <xdr:pic>
      <xdr:nvPicPr>
        <xdr:cNvPr id="5296" name="Изображение 5295" descr="resizeПП-00256537"/>
        <xdr:cNvPicPr>
          <a:picLocks noChangeAspect="1"/>
        </xdr:cNvPicPr>
      </xdr:nvPicPr>
      <xdr:blipFill>
        <a:blip xmlns:r="http://schemas.openxmlformats.org/officeDocument/2006/relationships" r:embed="rId89"/>
        <a:stretch>
          <a:fillRect/>
        </a:stretch>
      </xdr:blipFill>
      <xdr:spPr>
        <a:xfrm>
          <a:off x="7235825" y="116636800"/>
          <a:ext cx="878840" cy="1183640"/>
        </a:xfrm>
        <a:prstGeom prst="rect">
          <a:avLst/>
        </a:prstGeom>
      </xdr:spPr>
    </xdr:pic>
    <xdr:clientData/>
  </xdr:twoCellAnchor>
  <xdr:twoCellAnchor>
    <xdr:from>
      <xdr:col>9</xdr:col>
      <xdr:colOff>6350</xdr:colOff>
      <xdr:row>143</xdr:row>
      <xdr:rowOff>25400</xdr:rowOff>
    </xdr:from>
    <xdr:to>
      <xdr:col>9</xdr:col>
      <xdr:colOff>885190</xdr:colOff>
      <xdr:row>143</xdr:row>
      <xdr:rowOff>1209040</xdr:rowOff>
    </xdr:to>
    <xdr:pic>
      <xdr:nvPicPr>
        <xdr:cNvPr id="5297" name="Изображение 5296" descr="resizeПП-00256421"/>
        <xdr:cNvPicPr>
          <a:picLocks noChangeAspect="1"/>
        </xdr:cNvPicPr>
      </xdr:nvPicPr>
      <xdr:blipFill>
        <a:blip xmlns:r="http://schemas.openxmlformats.org/officeDocument/2006/relationships" r:embed="rId90"/>
        <a:stretch>
          <a:fillRect/>
        </a:stretch>
      </xdr:blipFill>
      <xdr:spPr>
        <a:xfrm>
          <a:off x="7235825" y="118011575"/>
          <a:ext cx="878840" cy="1183640"/>
        </a:xfrm>
        <a:prstGeom prst="rect">
          <a:avLst/>
        </a:prstGeom>
      </xdr:spPr>
    </xdr:pic>
    <xdr:clientData/>
  </xdr:twoCellAnchor>
  <xdr:twoCellAnchor>
    <xdr:from>
      <xdr:col>9</xdr:col>
      <xdr:colOff>6350</xdr:colOff>
      <xdr:row>144</xdr:row>
      <xdr:rowOff>25400</xdr:rowOff>
    </xdr:from>
    <xdr:to>
      <xdr:col>9</xdr:col>
      <xdr:colOff>885190</xdr:colOff>
      <xdr:row>144</xdr:row>
      <xdr:rowOff>1209040</xdr:rowOff>
    </xdr:to>
    <xdr:pic>
      <xdr:nvPicPr>
        <xdr:cNvPr id="5298" name="Изображение 5297" descr="resizeПП-00256422"/>
        <xdr:cNvPicPr>
          <a:picLocks noChangeAspect="1"/>
        </xdr:cNvPicPr>
      </xdr:nvPicPr>
      <xdr:blipFill>
        <a:blip xmlns:r="http://schemas.openxmlformats.org/officeDocument/2006/relationships" r:embed="rId91"/>
        <a:stretch>
          <a:fillRect/>
        </a:stretch>
      </xdr:blipFill>
      <xdr:spPr>
        <a:xfrm>
          <a:off x="7235825" y="119233950"/>
          <a:ext cx="878840" cy="1183640"/>
        </a:xfrm>
        <a:prstGeom prst="rect">
          <a:avLst/>
        </a:prstGeom>
      </xdr:spPr>
    </xdr:pic>
    <xdr:clientData/>
  </xdr:twoCellAnchor>
  <xdr:twoCellAnchor>
    <xdr:from>
      <xdr:col>9</xdr:col>
      <xdr:colOff>6350</xdr:colOff>
      <xdr:row>147</xdr:row>
      <xdr:rowOff>25400</xdr:rowOff>
    </xdr:from>
    <xdr:to>
      <xdr:col>9</xdr:col>
      <xdr:colOff>885190</xdr:colOff>
      <xdr:row>147</xdr:row>
      <xdr:rowOff>1209040</xdr:rowOff>
    </xdr:to>
    <xdr:pic>
      <xdr:nvPicPr>
        <xdr:cNvPr id="5299" name="Изображение 5298" descr="resizeПП-00254413"/>
        <xdr:cNvPicPr>
          <a:picLocks noChangeAspect="1"/>
        </xdr:cNvPicPr>
      </xdr:nvPicPr>
      <xdr:blipFill>
        <a:blip xmlns:r="http://schemas.openxmlformats.org/officeDocument/2006/relationships" r:embed="rId92"/>
        <a:stretch>
          <a:fillRect/>
        </a:stretch>
      </xdr:blipFill>
      <xdr:spPr>
        <a:xfrm>
          <a:off x="7235825" y="120761125"/>
          <a:ext cx="878840" cy="1183640"/>
        </a:xfrm>
        <a:prstGeom prst="rect">
          <a:avLst/>
        </a:prstGeom>
      </xdr:spPr>
    </xdr:pic>
    <xdr:clientData/>
  </xdr:twoCellAnchor>
  <xdr:twoCellAnchor>
    <xdr:from>
      <xdr:col>9</xdr:col>
      <xdr:colOff>6350</xdr:colOff>
      <xdr:row>149</xdr:row>
      <xdr:rowOff>25400</xdr:rowOff>
    </xdr:from>
    <xdr:to>
      <xdr:col>9</xdr:col>
      <xdr:colOff>885190</xdr:colOff>
      <xdr:row>149</xdr:row>
      <xdr:rowOff>1209040</xdr:rowOff>
    </xdr:to>
    <xdr:pic>
      <xdr:nvPicPr>
        <xdr:cNvPr id="5300" name="Изображение 5299" descr="resizeПП-00253995"/>
        <xdr:cNvPicPr>
          <a:picLocks noChangeAspect="1"/>
        </xdr:cNvPicPr>
      </xdr:nvPicPr>
      <xdr:blipFill>
        <a:blip xmlns:r="http://schemas.openxmlformats.org/officeDocument/2006/relationships" r:embed="rId93"/>
        <a:stretch>
          <a:fillRect/>
        </a:stretch>
      </xdr:blipFill>
      <xdr:spPr>
        <a:xfrm>
          <a:off x="7235825" y="122135900"/>
          <a:ext cx="878840" cy="1183640"/>
        </a:xfrm>
        <a:prstGeom prst="rect">
          <a:avLst/>
        </a:prstGeom>
      </xdr:spPr>
    </xdr:pic>
    <xdr:clientData/>
  </xdr:twoCellAnchor>
  <xdr:twoCellAnchor>
    <xdr:from>
      <xdr:col>9</xdr:col>
      <xdr:colOff>6350</xdr:colOff>
      <xdr:row>150</xdr:row>
      <xdr:rowOff>25400</xdr:rowOff>
    </xdr:from>
    <xdr:to>
      <xdr:col>9</xdr:col>
      <xdr:colOff>885190</xdr:colOff>
      <xdr:row>150</xdr:row>
      <xdr:rowOff>1209040</xdr:rowOff>
    </xdr:to>
    <xdr:pic>
      <xdr:nvPicPr>
        <xdr:cNvPr id="5301" name="Изображение 5300" descr="resizeПП-00253996"/>
        <xdr:cNvPicPr>
          <a:picLocks noChangeAspect="1"/>
        </xdr:cNvPicPr>
      </xdr:nvPicPr>
      <xdr:blipFill>
        <a:blip xmlns:r="http://schemas.openxmlformats.org/officeDocument/2006/relationships" r:embed="rId94"/>
        <a:stretch>
          <a:fillRect/>
        </a:stretch>
      </xdr:blipFill>
      <xdr:spPr>
        <a:xfrm>
          <a:off x="7235825" y="123358275"/>
          <a:ext cx="878840" cy="1183640"/>
        </a:xfrm>
        <a:prstGeom prst="rect">
          <a:avLst/>
        </a:prstGeom>
      </xdr:spPr>
    </xdr:pic>
    <xdr:clientData/>
  </xdr:twoCellAnchor>
  <xdr:twoCellAnchor>
    <xdr:from>
      <xdr:col>9</xdr:col>
      <xdr:colOff>6350</xdr:colOff>
      <xdr:row>153</xdr:row>
      <xdr:rowOff>25400</xdr:rowOff>
    </xdr:from>
    <xdr:to>
      <xdr:col>9</xdr:col>
      <xdr:colOff>885190</xdr:colOff>
      <xdr:row>153</xdr:row>
      <xdr:rowOff>1209040</xdr:rowOff>
    </xdr:to>
    <xdr:pic>
      <xdr:nvPicPr>
        <xdr:cNvPr id="5302" name="Изображение 5301" descr="resizeПП-00254270"/>
        <xdr:cNvPicPr>
          <a:picLocks noChangeAspect="1"/>
        </xdr:cNvPicPr>
      </xdr:nvPicPr>
      <xdr:blipFill>
        <a:blip xmlns:r="http://schemas.openxmlformats.org/officeDocument/2006/relationships" r:embed="rId95"/>
        <a:stretch>
          <a:fillRect/>
        </a:stretch>
      </xdr:blipFill>
      <xdr:spPr>
        <a:xfrm>
          <a:off x="7235825" y="124885450"/>
          <a:ext cx="878840" cy="1183640"/>
        </a:xfrm>
        <a:prstGeom prst="rect">
          <a:avLst/>
        </a:prstGeom>
      </xdr:spPr>
    </xdr:pic>
    <xdr:clientData/>
  </xdr:twoCellAnchor>
  <xdr:twoCellAnchor>
    <xdr:from>
      <xdr:col>9</xdr:col>
      <xdr:colOff>6350</xdr:colOff>
      <xdr:row>155</xdr:row>
      <xdr:rowOff>25400</xdr:rowOff>
    </xdr:from>
    <xdr:to>
      <xdr:col>9</xdr:col>
      <xdr:colOff>885190</xdr:colOff>
      <xdr:row>155</xdr:row>
      <xdr:rowOff>1209040</xdr:rowOff>
    </xdr:to>
    <xdr:pic>
      <xdr:nvPicPr>
        <xdr:cNvPr id="5303" name="Изображение 5302" descr="resizeПП-00254275"/>
        <xdr:cNvPicPr>
          <a:picLocks noChangeAspect="1"/>
        </xdr:cNvPicPr>
      </xdr:nvPicPr>
      <xdr:blipFill>
        <a:blip xmlns:r="http://schemas.openxmlformats.org/officeDocument/2006/relationships" r:embed="rId96"/>
        <a:stretch>
          <a:fillRect/>
        </a:stretch>
      </xdr:blipFill>
      <xdr:spPr>
        <a:xfrm>
          <a:off x="7235825" y="126260225"/>
          <a:ext cx="878840" cy="1183640"/>
        </a:xfrm>
        <a:prstGeom prst="rect">
          <a:avLst/>
        </a:prstGeom>
      </xdr:spPr>
    </xdr:pic>
    <xdr:clientData/>
  </xdr:twoCellAnchor>
  <xdr:twoCellAnchor>
    <xdr:from>
      <xdr:col>9</xdr:col>
      <xdr:colOff>6350</xdr:colOff>
      <xdr:row>158</xdr:row>
      <xdr:rowOff>25400</xdr:rowOff>
    </xdr:from>
    <xdr:to>
      <xdr:col>9</xdr:col>
      <xdr:colOff>885190</xdr:colOff>
      <xdr:row>158</xdr:row>
      <xdr:rowOff>1209040</xdr:rowOff>
    </xdr:to>
    <xdr:pic>
      <xdr:nvPicPr>
        <xdr:cNvPr id="5304" name="Изображение 5303" descr="resizeПП-00256536"/>
        <xdr:cNvPicPr>
          <a:picLocks noChangeAspect="1"/>
        </xdr:cNvPicPr>
      </xdr:nvPicPr>
      <xdr:blipFill>
        <a:blip xmlns:r="http://schemas.openxmlformats.org/officeDocument/2006/relationships" r:embed="rId97"/>
        <a:stretch>
          <a:fillRect/>
        </a:stretch>
      </xdr:blipFill>
      <xdr:spPr>
        <a:xfrm>
          <a:off x="7235825" y="127787400"/>
          <a:ext cx="878840" cy="1183640"/>
        </a:xfrm>
        <a:prstGeom prst="rect">
          <a:avLst/>
        </a:prstGeom>
      </xdr:spPr>
    </xdr:pic>
    <xdr:clientData/>
  </xdr:twoCellAnchor>
  <xdr:twoCellAnchor>
    <xdr:from>
      <xdr:col>9</xdr:col>
      <xdr:colOff>6350</xdr:colOff>
      <xdr:row>159</xdr:row>
      <xdr:rowOff>25400</xdr:rowOff>
    </xdr:from>
    <xdr:to>
      <xdr:col>9</xdr:col>
      <xdr:colOff>885190</xdr:colOff>
      <xdr:row>159</xdr:row>
      <xdr:rowOff>1209040</xdr:rowOff>
    </xdr:to>
    <xdr:pic>
      <xdr:nvPicPr>
        <xdr:cNvPr id="5305" name="Изображение 5304" descr="resizeПП-00275630"/>
        <xdr:cNvPicPr>
          <a:picLocks noChangeAspect="1"/>
        </xdr:cNvPicPr>
      </xdr:nvPicPr>
      <xdr:blipFill>
        <a:blip xmlns:r="http://schemas.openxmlformats.org/officeDocument/2006/relationships" r:embed="rId98"/>
        <a:stretch>
          <a:fillRect/>
        </a:stretch>
      </xdr:blipFill>
      <xdr:spPr>
        <a:xfrm>
          <a:off x="7235825" y="129009775"/>
          <a:ext cx="878840" cy="1183640"/>
        </a:xfrm>
        <a:prstGeom prst="rect">
          <a:avLst/>
        </a:prstGeom>
      </xdr:spPr>
    </xdr:pic>
    <xdr:clientData/>
  </xdr:twoCellAnchor>
  <xdr:twoCellAnchor>
    <xdr:from>
      <xdr:col>9</xdr:col>
      <xdr:colOff>6350</xdr:colOff>
      <xdr:row>160</xdr:row>
      <xdr:rowOff>25400</xdr:rowOff>
    </xdr:from>
    <xdr:to>
      <xdr:col>9</xdr:col>
      <xdr:colOff>885190</xdr:colOff>
      <xdr:row>160</xdr:row>
      <xdr:rowOff>1209040</xdr:rowOff>
    </xdr:to>
    <xdr:pic>
      <xdr:nvPicPr>
        <xdr:cNvPr id="5306" name="Изображение 5305" descr="resizeПП-00275632"/>
        <xdr:cNvPicPr>
          <a:picLocks noChangeAspect="1"/>
        </xdr:cNvPicPr>
      </xdr:nvPicPr>
      <xdr:blipFill>
        <a:blip xmlns:r="http://schemas.openxmlformats.org/officeDocument/2006/relationships" r:embed="rId99"/>
        <a:stretch>
          <a:fillRect/>
        </a:stretch>
      </xdr:blipFill>
      <xdr:spPr>
        <a:xfrm>
          <a:off x="7235825" y="130232150"/>
          <a:ext cx="878840" cy="1183640"/>
        </a:xfrm>
        <a:prstGeom prst="rect">
          <a:avLst/>
        </a:prstGeom>
      </xdr:spPr>
    </xdr:pic>
    <xdr:clientData/>
  </xdr:twoCellAnchor>
  <xdr:twoCellAnchor>
    <xdr:from>
      <xdr:col>9</xdr:col>
      <xdr:colOff>6350</xdr:colOff>
      <xdr:row>161</xdr:row>
      <xdr:rowOff>25400</xdr:rowOff>
    </xdr:from>
    <xdr:to>
      <xdr:col>9</xdr:col>
      <xdr:colOff>885190</xdr:colOff>
      <xdr:row>161</xdr:row>
      <xdr:rowOff>1209040</xdr:rowOff>
    </xdr:to>
    <xdr:pic>
      <xdr:nvPicPr>
        <xdr:cNvPr id="5307" name="Изображение 5306" descr="resizeПП-00275631"/>
        <xdr:cNvPicPr>
          <a:picLocks noChangeAspect="1"/>
        </xdr:cNvPicPr>
      </xdr:nvPicPr>
      <xdr:blipFill>
        <a:blip xmlns:r="http://schemas.openxmlformats.org/officeDocument/2006/relationships" r:embed="rId100"/>
        <a:stretch>
          <a:fillRect/>
        </a:stretch>
      </xdr:blipFill>
      <xdr:spPr>
        <a:xfrm>
          <a:off x="7235825" y="131454525"/>
          <a:ext cx="878840" cy="1183640"/>
        </a:xfrm>
        <a:prstGeom prst="rect">
          <a:avLst/>
        </a:prstGeom>
      </xdr:spPr>
    </xdr:pic>
    <xdr:clientData/>
  </xdr:twoCellAnchor>
  <xdr:twoCellAnchor>
    <xdr:from>
      <xdr:col>9</xdr:col>
      <xdr:colOff>6350</xdr:colOff>
      <xdr:row>163</xdr:row>
      <xdr:rowOff>25400</xdr:rowOff>
    </xdr:from>
    <xdr:to>
      <xdr:col>9</xdr:col>
      <xdr:colOff>885190</xdr:colOff>
      <xdr:row>163</xdr:row>
      <xdr:rowOff>1209040</xdr:rowOff>
    </xdr:to>
    <xdr:pic>
      <xdr:nvPicPr>
        <xdr:cNvPr id="5308" name="Изображение 5307" descr="resizeПП-00272415"/>
        <xdr:cNvPicPr>
          <a:picLocks noChangeAspect="1"/>
        </xdr:cNvPicPr>
      </xdr:nvPicPr>
      <xdr:blipFill>
        <a:blip xmlns:r="http://schemas.openxmlformats.org/officeDocument/2006/relationships" r:embed="rId101"/>
        <a:stretch>
          <a:fillRect/>
        </a:stretch>
      </xdr:blipFill>
      <xdr:spPr>
        <a:xfrm>
          <a:off x="7235825" y="132829300"/>
          <a:ext cx="878840" cy="1183640"/>
        </a:xfrm>
        <a:prstGeom prst="rect">
          <a:avLst/>
        </a:prstGeom>
      </xdr:spPr>
    </xdr:pic>
    <xdr:clientData/>
  </xdr:twoCellAnchor>
  <xdr:twoCellAnchor>
    <xdr:from>
      <xdr:col>9</xdr:col>
      <xdr:colOff>6350</xdr:colOff>
      <xdr:row>165</xdr:row>
      <xdr:rowOff>25400</xdr:rowOff>
    </xdr:from>
    <xdr:to>
      <xdr:col>9</xdr:col>
      <xdr:colOff>885190</xdr:colOff>
      <xdr:row>165</xdr:row>
      <xdr:rowOff>1209040</xdr:rowOff>
    </xdr:to>
    <xdr:pic>
      <xdr:nvPicPr>
        <xdr:cNvPr id="5309" name="Изображение 5308" descr="resizeПП-00256418"/>
        <xdr:cNvPicPr>
          <a:picLocks noChangeAspect="1"/>
        </xdr:cNvPicPr>
      </xdr:nvPicPr>
      <xdr:blipFill>
        <a:blip xmlns:r="http://schemas.openxmlformats.org/officeDocument/2006/relationships" r:embed="rId102"/>
        <a:stretch>
          <a:fillRect/>
        </a:stretch>
      </xdr:blipFill>
      <xdr:spPr>
        <a:xfrm>
          <a:off x="7235825" y="134204075"/>
          <a:ext cx="878840" cy="1183640"/>
        </a:xfrm>
        <a:prstGeom prst="rect">
          <a:avLst/>
        </a:prstGeom>
      </xdr:spPr>
    </xdr:pic>
    <xdr:clientData/>
  </xdr:twoCellAnchor>
  <xdr:twoCellAnchor>
    <xdr:from>
      <xdr:col>9</xdr:col>
      <xdr:colOff>6350</xdr:colOff>
      <xdr:row>168</xdr:row>
      <xdr:rowOff>25400</xdr:rowOff>
    </xdr:from>
    <xdr:to>
      <xdr:col>9</xdr:col>
      <xdr:colOff>885190</xdr:colOff>
      <xdr:row>168</xdr:row>
      <xdr:rowOff>1209040</xdr:rowOff>
    </xdr:to>
    <xdr:pic>
      <xdr:nvPicPr>
        <xdr:cNvPr id="5310" name="Изображение 5309" descr="resizeПП-00254418"/>
        <xdr:cNvPicPr>
          <a:picLocks noChangeAspect="1"/>
        </xdr:cNvPicPr>
      </xdr:nvPicPr>
      <xdr:blipFill>
        <a:blip xmlns:r="http://schemas.openxmlformats.org/officeDocument/2006/relationships" r:embed="rId103"/>
        <a:stretch>
          <a:fillRect/>
        </a:stretch>
      </xdr:blipFill>
      <xdr:spPr>
        <a:xfrm>
          <a:off x="7235825" y="135731250"/>
          <a:ext cx="878840" cy="1183640"/>
        </a:xfrm>
        <a:prstGeom prst="rect">
          <a:avLst/>
        </a:prstGeom>
      </xdr:spPr>
    </xdr:pic>
    <xdr:clientData/>
  </xdr:twoCellAnchor>
  <xdr:twoCellAnchor>
    <xdr:from>
      <xdr:col>9</xdr:col>
      <xdr:colOff>6350</xdr:colOff>
      <xdr:row>171</xdr:row>
      <xdr:rowOff>25400</xdr:rowOff>
    </xdr:from>
    <xdr:to>
      <xdr:col>9</xdr:col>
      <xdr:colOff>885190</xdr:colOff>
      <xdr:row>171</xdr:row>
      <xdr:rowOff>1209040</xdr:rowOff>
    </xdr:to>
    <xdr:pic>
      <xdr:nvPicPr>
        <xdr:cNvPr id="5311" name="Изображение 5310" descr="resizeПП-00254273"/>
        <xdr:cNvPicPr>
          <a:picLocks noChangeAspect="1"/>
        </xdr:cNvPicPr>
      </xdr:nvPicPr>
      <xdr:blipFill>
        <a:blip xmlns:r="http://schemas.openxmlformats.org/officeDocument/2006/relationships" r:embed="rId104"/>
        <a:stretch>
          <a:fillRect/>
        </a:stretch>
      </xdr:blipFill>
      <xdr:spPr>
        <a:xfrm>
          <a:off x="7235825" y="137258425"/>
          <a:ext cx="878840" cy="1183640"/>
        </a:xfrm>
        <a:prstGeom prst="rect">
          <a:avLst/>
        </a:prstGeom>
      </xdr:spPr>
    </xdr:pic>
    <xdr:clientData/>
  </xdr:twoCellAnchor>
  <xdr:twoCellAnchor>
    <xdr:from>
      <xdr:col>9</xdr:col>
      <xdr:colOff>6350</xdr:colOff>
      <xdr:row>174</xdr:row>
      <xdr:rowOff>25400</xdr:rowOff>
    </xdr:from>
    <xdr:to>
      <xdr:col>9</xdr:col>
      <xdr:colOff>885190</xdr:colOff>
      <xdr:row>174</xdr:row>
      <xdr:rowOff>1209040</xdr:rowOff>
    </xdr:to>
    <xdr:pic>
      <xdr:nvPicPr>
        <xdr:cNvPr id="5312" name="Изображение 5311" descr="resizeПП-00275634"/>
        <xdr:cNvPicPr>
          <a:picLocks noChangeAspect="1"/>
        </xdr:cNvPicPr>
      </xdr:nvPicPr>
      <xdr:blipFill>
        <a:blip xmlns:r="http://schemas.openxmlformats.org/officeDocument/2006/relationships" r:embed="rId105"/>
        <a:stretch>
          <a:fillRect/>
        </a:stretch>
      </xdr:blipFill>
      <xdr:spPr>
        <a:xfrm>
          <a:off x="7235825" y="138785600"/>
          <a:ext cx="878840" cy="1183640"/>
        </a:xfrm>
        <a:prstGeom prst="rect">
          <a:avLst/>
        </a:prstGeom>
      </xdr:spPr>
    </xdr:pic>
    <xdr:clientData/>
  </xdr:twoCellAnchor>
  <xdr:twoCellAnchor>
    <xdr:from>
      <xdr:col>9</xdr:col>
      <xdr:colOff>6350</xdr:colOff>
      <xdr:row>175</xdr:row>
      <xdr:rowOff>25400</xdr:rowOff>
    </xdr:from>
    <xdr:to>
      <xdr:col>9</xdr:col>
      <xdr:colOff>885190</xdr:colOff>
      <xdr:row>175</xdr:row>
      <xdr:rowOff>1209040</xdr:rowOff>
    </xdr:to>
    <xdr:pic>
      <xdr:nvPicPr>
        <xdr:cNvPr id="5313" name="Изображение 5312" descr="resizeПП-00256535"/>
        <xdr:cNvPicPr>
          <a:picLocks noChangeAspect="1"/>
        </xdr:cNvPicPr>
      </xdr:nvPicPr>
      <xdr:blipFill>
        <a:blip xmlns:r="http://schemas.openxmlformats.org/officeDocument/2006/relationships" r:embed="rId106"/>
        <a:stretch>
          <a:fillRect/>
        </a:stretch>
      </xdr:blipFill>
      <xdr:spPr>
        <a:xfrm>
          <a:off x="7235825" y="140007975"/>
          <a:ext cx="878840" cy="1183640"/>
        </a:xfrm>
        <a:prstGeom prst="rect">
          <a:avLst/>
        </a:prstGeom>
      </xdr:spPr>
    </xdr:pic>
    <xdr:clientData/>
  </xdr:twoCellAnchor>
  <xdr:twoCellAnchor>
    <xdr:from>
      <xdr:col>9</xdr:col>
      <xdr:colOff>6350</xdr:colOff>
      <xdr:row>176</xdr:row>
      <xdr:rowOff>25400</xdr:rowOff>
    </xdr:from>
    <xdr:to>
      <xdr:col>9</xdr:col>
      <xdr:colOff>885190</xdr:colOff>
      <xdr:row>176</xdr:row>
      <xdr:rowOff>1209040</xdr:rowOff>
    </xdr:to>
    <xdr:pic>
      <xdr:nvPicPr>
        <xdr:cNvPr id="5314" name="Изображение 5313" descr="resizeПП-00275633"/>
        <xdr:cNvPicPr>
          <a:picLocks noChangeAspect="1"/>
        </xdr:cNvPicPr>
      </xdr:nvPicPr>
      <xdr:blipFill>
        <a:blip xmlns:r="http://schemas.openxmlformats.org/officeDocument/2006/relationships" r:embed="rId107"/>
        <a:stretch>
          <a:fillRect/>
        </a:stretch>
      </xdr:blipFill>
      <xdr:spPr>
        <a:xfrm>
          <a:off x="7235825" y="141230350"/>
          <a:ext cx="878840" cy="1183640"/>
        </a:xfrm>
        <a:prstGeom prst="rect">
          <a:avLst/>
        </a:prstGeom>
      </xdr:spPr>
    </xdr:pic>
    <xdr:clientData/>
  </xdr:twoCellAnchor>
  <xdr:twoCellAnchor>
    <xdr:from>
      <xdr:col>9</xdr:col>
      <xdr:colOff>6350</xdr:colOff>
      <xdr:row>178</xdr:row>
      <xdr:rowOff>25400</xdr:rowOff>
    </xdr:from>
    <xdr:to>
      <xdr:col>9</xdr:col>
      <xdr:colOff>885190</xdr:colOff>
      <xdr:row>178</xdr:row>
      <xdr:rowOff>1209040</xdr:rowOff>
    </xdr:to>
    <xdr:pic>
      <xdr:nvPicPr>
        <xdr:cNvPr id="5315" name="Изображение 5314" descr="resizeПП-00272414"/>
        <xdr:cNvPicPr>
          <a:picLocks noChangeAspect="1"/>
        </xdr:cNvPicPr>
      </xdr:nvPicPr>
      <xdr:blipFill>
        <a:blip xmlns:r="http://schemas.openxmlformats.org/officeDocument/2006/relationships" r:embed="rId108"/>
        <a:stretch>
          <a:fillRect/>
        </a:stretch>
      </xdr:blipFill>
      <xdr:spPr>
        <a:xfrm>
          <a:off x="7235825" y="142605125"/>
          <a:ext cx="878840" cy="1183640"/>
        </a:xfrm>
        <a:prstGeom prst="rect">
          <a:avLst/>
        </a:prstGeom>
      </xdr:spPr>
    </xdr:pic>
    <xdr:clientData/>
  </xdr:twoCellAnchor>
  <xdr:twoCellAnchor>
    <xdr:from>
      <xdr:col>9</xdr:col>
      <xdr:colOff>6350</xdr:colOff>
      <xdr:row>180</xdr:row>
      <xdr:rowOff>25400</xdr:rowOff>
    </xdr:from>
    <xdr:to>
      <xdr:col>9</xdr:col>
      <xdr:colOff>885190</xdr:colOff>
      <xdr:row>180</xdr:row>
      <xdr:rowOff>1209040</xdr:rowOff>
    </xdr:to>
    <xdr:pic>
      <xdr:nvPicPr>
        <xdr:cNvPr id="5316" name="Изображение 5315" descr="resizeПП-00253992"/>
        <xdr:cNvPicPr>
          <a:picLocks noChangeAspect="1"/>
        </xdr:cNvPicPr>
      </xdr:nvPicPr>
      <xdr:blipFill>
        <a:blip xmlns:r="http://schemas.openxmlformats.org/officeDocument/2006/relationships" r:embed="rId109"/>
        <a:stretch>
          <a:fillRect/>
        </a:stretch>
      </xdr:blipFill>
      <xdr:spPr>
        <a:xfrm>
          <a:off x="7235825" y="143979900"/>
          <a:ext cx="878840" cy="1183640"/>
        </a:xfrm>
        <a:prstGeom prst="rect">
          <a:avLst/>
        </a:prstGeom>
      </xdr:spPr>
    </xdr:pic>
    <xdr:clientData/>
  </xdr:twoCellAnchor>
  <xdr:twoCellAnchor>
    <xdr:from>
      <xdr:col>9</xdr:col>
      <xdr:colOff>6350</xdr:colOff>
      <xdr:row>183</xdr:row>
      <xdr:rowOff>25400</xdr:rowOff>
    </xdr:from>
    <xdr:to>
      <xdr:col>9</xdr:col>
      <xdr:colOff>885190</xdr:colOff>
      <xdr:row>183</xdr:row>
      <xdr:rowOff>1209040</xdr:rowOff>
    </xdr:to>
    <xdr:pic>
      <xdr:nvPicPr>
        <xdr:cNvPr id="5317" name="Изображение 5316" descr="resizeПП-00254252"/>
        <xdr:cNvPicPr>
          <a:picLocks noChangeAspect="1"/>
        </xdr:cNvPicPr>
      </xdr:nvPicPr>
      <xdr:blipFill>
        <a:blip xmlns:r="http://schemas.openxmlformats.org/officeDocument/2006/relationships" r:embed="rId110"/>
        <a:stretch>
          <a:fillRect/>
        </a:stretch>
      </xdr:blipFill>
      <xdr:spPr>
        <a:xfrm>
          <a:off x="7235825" y="145507075"/>
          <a:ext cx="878840" cy="1183640"/>
        </a:xfrm>
        <a:prstGeom prst="rect">
          <a:avLst/>
        </a:prstGeom>
      </xdr:spPr>
    </xdr:pic>
    <xdr:clientData/>
  </xdr:twoCellAnchor>
  <xdr:twoCellAnchor>
    <xdr:from>
      <xdr:col>9</xdr:col>
      <xdr:colOff>6350</xdr:colOff>
      <xdr:row>185</xdr:row>
      <xdr:rowOff>25400</xdr:rowOff>
    </xdr:from>
    <xdr:to>
      <xdr:col>9</xdr:col>
      <xdr:colOff>885190</xdr:colOff>
      <xdr:row>185</xdr:row>
      <xdr:rowOff>1209040</xdr:rowOff>
    </xdr:to>
    <xdr:pic>
      <xdr:nvPicPr>
        <xdr:cNvPr id="5318" name="Изображение 5317" descr="resizeПП-00274372"/>
        <xdr:cNvPicPr>
          <a:picLocks noChangeAspect="1"/>
        </xdr:cNvPicPr>
      </xdr:nvPicPr>
      <xdr:blipFill>
        <a:blip xmlns:r="http://schemas.openxmlformats.org/officeDocument/2006/relationships" r:embed="rId111"/>
        <a:stretch>
          <a:fillRect/>
        </a:stretch>
      </xdr:blipFill>
      <xdr:spPr>
        <a:xfrm>
          <a:off x="7235825" y="146881850"/>
          <a:ext cx="878840" cy="1183640"/>
        </a:xfrm>
        <a:prstGeom prst="rect">
          <a:avLst/>
        </a:prstGeom>
      </xdr:spPr>
    </xdr:pic>
    <xdr:clientData/>
  </xdr:twoCellAnchor>
  <xdr:twoCellAnchor>
    <xdr:from>
      <xdr:col>9</xdr:col>
      <xdr:colOff>6350</xdr:colOff>
      <xdr:row>189</xdr:row>
      <xdr:rowOff>25400</xdr:rowOff>
    </xdr:from>
    <xdr:to>
      <xdr:col>9</xdr:col>
      <xdr:colOff>885190</xdr:colOff>
      <xdr:row>189</xdr:row>
      <xdr:rowOff>1209040</xdr:rowOff>
    </xdr:to>
    <xdr:pic>
      <xdr:nvPicPr>
        <xdr:cNvPr id="5319" name="Изображение 5318" descr="resizeПП-00253987"/>
        <xdr:cNvPicPr>
          <a:picLocks noChangeAspect="1"/>
        </xdr:cNvPicPr>
      </xdr:nvPicPr>
      <xdr:blipFill>
        <a:blip xmlns:r="http://schemas.openxmlformats.org/officeDocument/2006/relationships" r:embed="rId112"/>
        <a:stretch>
          <a:fillRect/>
        </a:stretch>
      </xdr:blipFill>
      <xdr:spPr>
        <a:xfrm>
          <a:off x="7235825" y="148561425"/>
          <a:ext cx="878840" cy="1183640"/>
        </a:xfrm>
        <a:prstGeom prst="rect">
          <a:avLst/>
        </a:prstGeom>
      </xdr:spPr>
    </xdr:pic>
    <xdr:clientData/>
  </xdr:twoCellAnchor>
  <xdr:twoCellAnchor>
    <xdr:from>
      <xdr:col>9</xdr:col>
      <xdr:colOff>6350</xdr:colOff>
      <xdr:row>192</xdr:row>
      <xdr:rowOff>25400</xdr:rowOff>
    </xdr:from>
    <xdr:to>
      <xdr:col>9</xdr:col>
      <xdr:colOff>885190</xdr:colOff>
      <xdr:row>192</xdr:row>
      <xdr:rowOff>1209040</xdr:rowOff>
    </xdr:to>
    <xdr:pic>
      <xdr:nvPicPr>
        <xdr:cNvPr id="5320" name="Изображение 5319" descr="resizeПП-00274373"/>
        <xdr:cNvPicPr>
          <a:picLocks noChangeAspect="1"/>
        </xdr:cNvPicPr>
      </xdr:nvPicPr>
      <xdr:blipFill>
        <a:blip xmlns:r="http://schemas.openxmlformats.org/officeDocument/2006/relationships" r:embed="rId113"/>
        <a:stretch>
          <a:fillRect/>
        </a:stretch>
      </xdr:blipFill>
      <xdr:spPr>
        <a:xfrm>
          <a:off x="7235825" y="150088600"/>
          <a:ext cx="878840" cy="1183640"/>
        </a:xfrm>
        <a:prstGeom prst="rect">
          <a:avLst/>
        </a:prstGeom>
      </xdr:spPr>
    </xdr:pic>
    <xdr:clientData/>
  </xdr:twoCellAnchor>
  <xdr:twoCellAnchor>
    <xdr:from>
      <xdr:col>9</xdr:col>
      <xdr:colOff>6350</xdr:colOff>
      <xdr:row>196</xdr:row>
      <xdr:rowOff>25400</xdr:rowOff>
    </xdr:from>
    <xdr:to>
      <xdr:col>9</xdr:col>
      <xdr:colOff>885190</xdr:colOff>
      <xdr:row>196</xdr:row>
      <xdr:rowOff>1209040</xdr:rowOff>
    </xdr:to>
    <xdr:pic>
      <xdr:nvPicPr>
        <xdr:cNvPr id="5321" name="Изображение 5320" descr="resizeПП-00278137"/>
        <xdr:cNvPicPr>
          <a:picLocks noChangeAspect="1"/>
        </xdr:cNvPicPr>
      </xdr:nvPicPr>
      <xdr:blipFill>
        <a:blip xmlns:r="http://schemas.openxmlformats.org/officeDocument/2006/relationships" r:embed="rId114"/>
        <a:stretch>
          <a:fillRect/>
        </a:stretch>
      </xdr:blipFill>
      <xdr:spPr>
        <a:xfrm>
          <a:off x="7235825" y="151768175"/>
          <a:ext cx="878840" cy="1183640"/>
        </a:xfrm>
        <a:prstGeom prst="rect">
          <a:avLst/>
        </a:prstGeom>
      </xdr:spPr>
    </xdr:pic>
    <xdr:clientData/>
  </xdr:twoCellAnchor>
  <xdr:twoCellAnchor>
    <xdr:from>
      <xdr:col>9</xdr:col>
      <xdr:colOff>6350</xdr:colOff>
      <xdr:row>201</xdr:row>
      <xdr:rowOff>25400</xdr:rowOff>
    </xdr:from>
    <xdr:to>
      <xdr:col>9</xdr:col>
      <xdr:colOff>897890</xdr:colOff>
      <xdr:row>201</xdr:row>
      <xdr:rowOff>1209040</xdr:rowOff>
    </xdr:to>
    <xdr:pic>
      <xdr:nvPicPr>
        <xdr:cNvPr id="5322" name="Изображение 5321" descr="resizeПП-00280264"/>
        <xdr:cNvPicPr>
          <a:picLocks noChangeAspect="1"/>
        </xdr:cNvPicPr>
      </xdr:nvPicPr>
      <xdr:blipFill>
        <a:blip xmlns:r="http://schemas.openxmlformats.org/officeDocument/2006/relationships" r:embed="rId115"/>
        <a:stretch>
          <a:fillRect/>
        </a:stretch>
      </xdr:blipFill>
      <xdr:spPr>
        <a:xfrm>
          <a:off x="7235825" y="153600150"/>
          <a:ext cx="891540" cy="1183640"/>
        </a:xfrm>
        <a:prstGeom prst="rect">
          <a:avLst/>
        </a:prstGeom>
      </xdr:spPr>
    </xdr:pic>
    <xdr:clientData/>
  </xdr:twoCellAnchor>
  <xdr:twoCellAnchor>
    <xdr:from>
      <xdr:col>9</xdr:col>
      <xdr:colOff>6350</xdr:colOff>
      <xdr:row>205</xdr:row>
      <xdr:rowOff>25400</xdr:rowOff>
    </xdr:from>
    <xdr:to>
      <xdr:col>9</xdr:col>
      <xdr:colOff>885190</xdr:colOff>
      <xdr:row>205</xdr:row>
      <xdr:rowOff>1209040</xdr:rowOff>
    </xdr:to>
    <xdr:pic>
      <xdr:nvPicPr>
        <xdr:cNvPr id="5323" name="Изображение 5322" descr="resizeПП-00279637"/>
        <xdr:cNvPicPr>
          <a:picLocks noChangeAspect="1"/>
        </xdr:cNvPicPr>
      </xdr:nvPicPr>
      <xdr:blipFill>
        <a:blip xmlns:r="http://schemas.openxmlformats.org/officeDocument/2006/relationships" r:embed="rId116"/>
        <a:stretch>
          <a:fillRect/>
        </a:stretch>
      </xdr:blipFill>
      <xdr:spPr>
        <a:xfrm>
          <a:off x="7235825" y="155279725"/>
          <a:ext cx="878840" cy="1183640"/>
        </a:xfrm>
        <a:prstGeom prst="rect">
          <a:avLst/>
        </a:prstGeom>
      </xdr:spPr>
    </xdr:pic>
    <xdr:clientData/>
  </xdr:twoCellAnchor>
  <xdr:twoCellAnchor>
    <xdr:from>
      <xdr:col>9</xdr:col>
      <xdr:colOff>6350</xdr:colOff>
      <xdr:row>208</xdr:row>
      <xdr:rowOff>25400</xdr:rowOff>
    </xdr:from>
    <xdr:to>
      <xdr:col>9</xdr:col>
      <xdr:colOff>885190</xdr:colOff>
      <xdr:row>208</xdr:row>
      <xdr:rowOff>1209040</xdr:rowOff>
    </xdr:to>
    <xdr:pic>
      <xdr:nvPicPr>
        <xdr:cNvPr id="5324" name="Изображение 5323" descr="resizeПП-00267495"/>
        <xdr:cNvPicPr>
          <a:picLocks noChangeAspect="1"/>
        </xdr:cNvPicPr>
      </xdr:nvPicPr>
      <xdr:blipFill>
        <a:blip xmlns:r="http://schemas.openxmlformats.org/officeDocument/2006/relationships" r:embed="rId117"/>
        <a:stretch>
          <a:fillRect/>
        </a:stretch>
      </xdr:blipFill>
      <xdr:spPr>
        <a:xfrm>
          <a:off x="7235825" y="156806900"/>
          <a:ext cx="878840" cy="1183640"/>
        </a:xfrm>
        <a:prstGeom prst="rect">
          <a:avLst/>
        </a:prstGeom>
      </xdr:spPr>
    </xdr:pic>
    <xdr:clientData/>
  </xdr:twoCellAnchor>
  <xdr:twoCellAnchor>
    <xdr:from>
      <xdr:col>9</xdr:col>
      <xdr:colOff>6350</xdr:colOff>
      <xdr:row>209</xdr:row>
      <xdr:rowOff>25400</xdr:rowOff>
    </xdr:from>
    <xdr:to>
      <xdr:col>9</xdr:col>
      <xdr:colOff>885190</xdr:colOff>
      <xdr:row>209</xdr:row>
      <xdr:rowOff>1209040</xdr:rowOff>
    </xdr:to>
    <xdr:pic>
      <xdr:nvPicPr>
        <xdr:cNvPr id="5325" name="Изображение 5324" descr="resizeПП-00267494"/>
        <xdr:cNvPicPr>
          <a:picLocks noChangeAspect="1"/>
        </xdr:cNvPicPr>
      </xdr:nvPicPr>
      <xdr:blipFill>
        <a:blip xmlns:r="http://schemas.openxmlformats.org/officeDocument/2006/relationships" r:embed="rId118"/>
        <a:stretch>
          <a:fillRect/>
        </a:stretch>
      </xdr:blipFill>
      <xdr:spPr>
        <a:xfrm>
          <a:off x="7235825" y="158029275"/>
          <a:ext cx="878840" cy="1183640"/>
        </a:xfrm>
        <a:prstGeom prst="rect">
          <a:avLst/>
        </a:prstGeom>
      </xdr:spPr>
    </xdr:pic>
    <xdr:clientData/>
  </xdr:twoCellAnchor>
  <xdr:twoCellAnchor>
    <xdr:from>
      <xdr:col>9</xdr:col>
      <xdr:colOff>6350</xdr:colOff>
      <xdr:row>211</xdr:row>
      <xdr:rowOff>25400</xdr:rowOff>
    </xdr:from>
    <xdr:to>
      <xdr:col>9</xdr:col>
      <xdr:colOff>885190</xdr:colOff>
      <xdr:row>211</xdr:row>
      <xdr:rowOff>1209040</xdr:rowOff>
    </xdr:to>
    <xdr:pic>
      <xdr:nvPicPr>
        <xdr:cNvPr id="5326" name="Изображение 5325" descr="resizeПП-00272644"/>
        <xdr:cNvPicPr>
          <a:picLocks noChangeAspect="1"/>
        </xdr:cNvPicPr>
      </xdr:nvPicPr>
      <xdr:blipFill>
        <a:blip xmlns:r="http://schemas.openxmlformats.org/officeDocument/2006/relationships" r:embed="rId119"/>
        <a:stretch>
          <a:fillRect/>
        </a:stretch>
      </xdr:blipFill>
      <xdr:spPr>
        <a:xfrm>
          <a:off x="7235825" y="159404050"/>
          <a:ext cx="878840" cy="1183640"/>
        </a:xfrm>
        <a:prstGeom prst="rect">
          <a:avLst/>
        </a:prstGeom>
      </xdr:spPr>
    </xdr:pic>
    <xdr:clientData/>
  </xdr:twoCellAnchor>
  <xdr:twoCellAnchor>
    <xdr:from>
      <xdr:col>9</xdr:col>
      <xdr:colOff>6350</xdr:colOff>
      <xdr:row>214</xdr:row>
      <xdr:rowOff>25400</xdr:rowOff>
    </xdr:from>
    <xdr:to>
      <xdr:col>9</xdr:col>
      <xdr:colOff>885190</xdr:colOff>
      <xdr:row>214</xdr:row>
      <xdr:rowOff>1209040</xdr:rowOff>
    </xdr:to>
    <xdr:pic>
      <xdr:nvPicPr>
        <xdr:cNvPr id="5327" name="Изображение 5326" descr="resizeПП-00275628"/>
        <xdr:cNvPicPr>
          <a:picLocks noChangeAspect="1"/>
        </xdr:cNvPicPr>
      </xdr:nvPicPr>
      <xdr:blipFill>
        <a:blip xmlns:r="http://schemas.openxmlformats.org/officeDocument/2006/relationships" r:embed="rId120"/>
        <a:stretch>
          <a:fillRect/>
        </a:stretch>
      </xdr:blipFill>
      <xdr:spPr>
        <a:xfrm>
          <a:off x="7235825" y="160931225"/>
          <a:ext cx="878840" cy="1183640"/>
        </a:xfrm>
        <a:prstGeom prst="rect">
          <a:avLst/>
        </a:prstGeom>
      </xdr:spPr>
    </xdr:pic>
    <xdr:clientData/>
  </xdr:twoCellAnchor>
  <xdr:twoCellAnchor>
    <xdr:from>
      <xdr:col>9</xdr:col>
      <xdr:colOff>6350</xdr:colOff>
      <xdr:row>215</xdr:row>
      <xdr:rowOff>25400</xdr:rowOff>
    </xdr:from>
    <xdr:to>
      <xdr:col>9</xdr:col>
      <xdr:colOff>885190</xdr:colOff>
      <xdr:row>215</xdr:row>
      <xdr:rowOff>1209040</xdr:rowOff>
    </xdr:to>
    <xdr:pic>
      <xdr:nvPicPr>
        <xdr:cNvPr id="5328" name="Изображение 5327" descr="resizeПП-00275627"/>
        <xdr:cNvPicPr>
          <a:picLocks noChangeAspect="1"/>
        </xdr:cNvPicPr>
      </xdr:nvPicPr>
      <xdr:blipFill>
        <a:blip xmlns:r="http://schemas.openxmlformats.org/officeDocument/2006/relationships" r:embed="rId121"/>
        <a:stretch>
          <a:fillRect/>
        </a:stretch>
      </xdr:blipFill>
      <xdr:spPr>
        <a:xfrm>
          <a:off x="7235825" y="162153600"/>
          <a:ext cx="878840" cy="1183640"/>
        </a:xfrm>
        <a:prstGeom prst="rect">
          <a:avLst/>
        </a:prstGeom>
      </xdr:spPr>
    </xdr:pic>
    <xdr:clientData/>
  </xdr:twoCellAnchor>
  <xdr:twoCellAnchor>
    <xdr:from>
      <xdr:col>9</xdr:col>
      <xdr:colOff>6350</xdr:colOff>
      <xdr:row>216</xdr:row>
      <xdr:rowOff>25400</xdr:rowOff>
    </xdr:from>
    <xdr:to>
      <xdr:col>9</xdr:col>
      <xdr:colOff>885190</xdr:colOff>
      <xdr:row>216</xdr:row>
      <xdr:rowOff>1209040</xdr:rowOff>
    </xdr:to>
    <xdr:pic>
      <xdr:nvPicPr>
        <xdr:cNvPr id="5329" name="Изображение 5328" descr="resizeПП-00275762"/>
        <xdr:cNvPicPr>
          <a:picLocks noChangeAspect="1"/>
        </xdr:cNvPicPr>
      </xdr:nvPicPr>
      <xdr:blipFill>
        <a:blip xmlns:r="http://schemas.openxmlformats.org/officeDocument/2006/relationships" r:embed="rId122"/>
        <a:stretch>
          <a:fillRect/>
        </a:stretch>
      </xdr:blipFill>
      <xdr:spPr>
        <a:xfrm>
          <a:off x="7235825" y="163375975"/>
          <a:ext cx="878840" cy="1183640"/>
        </a:xfrm>
        <a:prstGeom prst="rect">
          <a:avLst/>
        </a:prstGeom>
      </xdr:spPr>
    </xdr:pic>
    <xdr:clientData/>
  </xdr:twoCellAnchor>
  <xdr:twoCellAnchor>
    <xdr:from>
      <xdr:col>9</xdr:col>
      <xdr:colOff>6350</xdr:colOff>
      <xdr:row>217</xdr:row>
      <xdr:rowOff>25400</xdr:rowOff>
    </xdr:from>
    <xdr:to>
      <xdr:col>9</xdr:col>
      <xdr:colOff>885190</xdr:colOff>
      <xdr:row>217</xdr:row>
      <xdr:rowOff>1209040</xdr:rowOff>
    </xdr:to>
    <xdr:pic>
      <xdr:nvPicPr>
        <xdr:cNvPr id="5330" name="Изображение 5329" descr="resizeПП-00275626"/>
        <xdr:cNvPicPr>
          <a:picLocks noChangeAspect="1"/>
        </xdr:cNvPicPr>
      </xdr:nvPicPr>
      <xdr:blipFill>
        <a:blip xmlns:r="http://schemas.openxmlformats.org/officeDocument/2006/relationships" r:embed="rId123"/>
        <a:stretch>
          <a:fillRect/>
        </a:stretch>
      </xdr:blipFill>
      <xdr:spPr>
        <a:xfrm>
          <a:off x="7235825" y="164598350"/>
          <a:ext cx="878840" cy="1183640"/>
        </a:xfrm>
        <a:prstGeom prst="rect">
          <a:avLst/>
        </a:prstGeom>
      </xdr:spPr>
    </xdr:pic>
    <xdr:clientData/>
  </xdr:twoCellAnchor>
  <xdr:twoCellAnchor>
    <xdr:from>
      <xdr:col>9</xdr:col>
      <xdr:colOff>6350</xdr:colOff>
      <xdr:row>218</xdr:row>
      <xdr:rowOff>25400</xdr:rowOff>
    </xdr:from>
    <xdr:to>
      <xdr:col>9</xdr:col>
      <xdr:colOff>885190</xdr:colOff>
      <xdr:row>218</xdr:row>
      <xdr:rowOff>1209040</xdr:rowOff>
    </xdr:to>
    <xdr:pic>
      <xdr:nvPicPr>
        <xdr:cNvPr id="5331" name="Изображение 5330" descr="resizeПП-00275622"/>
        <xdr:cNvPicPr>
          <a:picLocks noChangeAspect="1"/>
        </xdr:cNvPicPr>
      </xdr:nvPicPr>
      <xdr:blipFill>
        <a:blip xmlns:r="http://schemas.openxmlformats.org/officeDocument/2006/relationships" r:embed="rId124"/>
        <a:stretch>
          <a:fillRect/>
        </a:stretch>
      </xdr:blipFill>
      <xdr:spPr>
        <a:xfrm>
          <a:off x="7235825" y="165820725"/>
          <a:ext cx="878840" cy="1183640"/>
        </a:xfrm>
        <a:prstGeom prst="rect">
          <a:avLst/>
        </a:prstGeom>
      </xdr:spPr>
    </xdr:pic>
    <xdr:clientData/>
  </xdr:twoCellAnchor>
  <xdr:twoCellAnchor>
    <xdr:from>
      <xdr:col>9</xdr:col>
      <xdr:colOff>6350</xdr:colOff>
      <xdr:row>219</xdr:row>
      <xdr:rowOff>25400</xdr:rowOff>
    </xdr:from>
    <xdr:to>
      <xdr:col>9</xdr:col>
      <xdr:colOff>885190</xdr:colOff>
      <xdr:row>219</xdr:row>
      <xdr:rowOff>1209040</xdr:rowOff>
    </xdr:to>
    <xdr:pic>
      <xdr:nvPicPr>
        <xdr:cNvPr id="5332" name="Изображение 5331" descr="resizeПП-00275620"/>
        <xdr:cNvPicPr>
          <a:picLocks noChangeAspect="1"/>
        </xdr:cNvPicPr>
      </xdr:nvPicPr>
      <xdr:blipFill>
        <a:blip xmlns:r="http://schemas.openxmlformats.org/officeDocument/2006/relationships" r:embed="rId125"/>
        <a:stretch>
          <a:fillRect/>
        </a:stretch>
      </xdr:blipFill>
      <xdr:spPr>
        <a:xfrm>
          <a:off x="7235825" y="167043100"/>
          <a:ext cx="878840" cy="1183640"/>
        </a:xfrm>
        <a:prstGeom prst="rect">
          <a:avLst/>
        </a:prstGeom>
      </xdr:spPr>
    </xdr:pic>
    <xdr:clientData/>
  </xdr:twoCellAnchor>
  <xdr:twoCellAnchor>
    <xdr:from>
      <xdr:col>9</xdr:col>
      <xdr:colOff>6350</xdr:colOff>
      <xdr:row>220</xdr:row>
      <xdr:rowOff>25400</xdr:rowOff>
    </xdr:from>
    <xdr:to>
      <xdr:col>9</xdr:col>
      <xdr:colOff>885190</xdr:colOff>
      <xdr:row>220</xdr:row>
      <xdr:rowOff>1209040</xdr:rowOff>
    </xdr:to>
    <xdr:pic>
      <xdr:nvPicPr>
        <xdr:cNvPr id="5333" name="Изображение 5332" descr="resizeПП-00275621"/>
        <xdr:cNvPicPr>
          <a:picLocks noChangeAspect="1"/>
        </xdr:cNvPicPr>
      </xdr:nvPicPr>
      <xdr:blipFill>
        <a:blip xmlns:r="http://schemas.openxmlformats.org/officeDocument/2006/relationships" r:embed="rId126"/>
        <a:stretch>
          <a:fillRect/>
        </a:stretch>
      </xdr:blipFill>
      <xdr:spPr>
        <a:xfrm>
          <a:off x="7235825" y="168265475"/>
          <a:ext cx="878840" cy="1183640"/>
        </a:xfrm>
        <a:prstGeom prst="rect">
          <a:avLst/>
        </a:prstGeom>
      </xdr:spPr>
    </xdr:pic>
    <xdr:clientData/>
  </xdr:twoCellAnchor>
  <xdr:twoCellAnchor>
    <xdr:from>
      <xdr:col>9</xdr:col>
      <xdr:colOff>6350</xdr:colOff>
      <xdr:row>221</xdr:row>
      <xdr:rowOff>25400</xdr:rowOff>
    </xdr:from>
    <xdr:to>
      <xdr:col>9</xdr:col>
      <xdr:colOff>885190</xdr:colOff>
      <xdr:row>221</xdr:row>
      <xdr:rowOff>1209040</xdr:rowOff>
    </xdr:to>
    <xdr:pic>
      <xdr:nvPicPr>
        <xdr:cNvPr id="5334" name="Изображение 5333" descr="resizeПП-00275625"/>
        <xdr:cNvPicPr>
          <a:picLocks noChangeAspect="1"/>
        </xdr:cNvPicPr>
      </xdr:nvPicPr>
      <xdr:blipFill>
        <a:blip xmlns:r="http://schemas.openxmlformats.org/officeDocument/2006/relationships" r:embed="rId127"/>
        <a:stretch>
          <a:fillRect/>
        </a:stretch>
      </xdr:blipFill>
      <xdr:spPr>
        <a:xfrm>
          <a:off x="7235825" y="169487850"/>
          <a:ext cx="878840" cy="1183640"/>
        </a:xfrm>
        <a:prstGeom prst="rect">
          <a:avLst/>
        </a:prstGeom>
      </xdr:spPr>
    </xdr:pic>
    <xdr:clientData/>
  </xdr:twoCellAnchor>
  <xdr:twoCellAnchor>
    <xdr:from>
      <xdr:col>9</xdr:col>
      <xdr:colOff>6350</xdr:colOff>
      <xdr:row>222</xdr:row>
      <xdr:rowOff>25400</xdr:rowOff>
    </xdr:from>
    <xdr:to>
      <xdr:col>9</xdr:col>
      <xdr:colOff>885190</xdr:colOff>
      <xdr:row>222</xdr:row>
      <xdr:rowOff>1209040</xdr:rowOff>
    </xdr:to>
    <xdr:pic>
      <xdr:nvPicPr>
        <xdr:cNvPr id="5335" name="Изображение 5334" descr="resizeПП-00275623"/>
        <xdr:cNvPicPr>
          <a:picLocks noChangeAspect="1"/>
        </xdr:cNvPicPr>
      </xdr:nvPicPr>
      <xdr:blipFill>
        <a:blip xmlns:r="http://schemas.openxmlformats.org/officeDocument/2006/relationships" r:embed="rId128"/>
        <a:stretch>
          <a:fillRect/>
        </a:stretch>
      </xdr:blipFill>
      <xdr:spPr>
        <a:xfrm>
          <a:off x="7235825" y="170710225"/>
          <a:ext cx="878840" cy="1183640"/>
        </a:xfrm>
        <a:prstGeom prst="rect">
          <a:avLst/>
        </a:prstGeom>
      </xdr:spPr>
    </xdr:pic>
    <xdr:clientData/>
  </xdr:twoCellAnchor>
  <xdr:twoCellAnchor>
    <xdr:from>
      <xdr:col>9</xdr:col>
      <xdr:colOff>6350</xdr:colOff>
      <xdr:row>224</xdr:row>
      <xdr:rowOff>25400</xdr:rowOff>
    </xdr:from>
    <xdr:to>
      <xdr:col>9</xdr:col>
      <xdr:colOff>885190</xdr:colOff>
      <xdr:row>224</xdr:row>
      <xdr:rowOff>1209040</xdr:rowOff>
    </xdr:to>
    <xdr:pic>
      <xdr:nvPicPr>
        <xdr:cNvPr id="5336" name="Изображение 5335" descr="resizeПП-00272418"/>
        <xdr:cNvPicPr>
          <a:picLocks noChangeAspect="1"/>
        </xdr:cNvPicPr>
      </xdr:nvPicPr>
      <xdr:blipFill>
        <a:blip xmlns:r="http://schemas.openxmlformats.org/officeDocument/2006/relationships" r:embed="rId129"/>
        <a:stretch>
          <a:fillRect/>
        </a:stretch>
      </xdr:blipFill>
      <xdr:spPr>
        <a:xfrm>
          <a:off x="7235825" y="172085000"/>
          <a:ext cx="878840" cy="1183640"/>
        </a:xfrm>
        <a:prstGeom prst="rect">
          <a:avLst/>
        </a:prstGeom>
      </xdr:spPr>
    </xdr:pic>
    <xdr:clientData/>
  </xdr:twoCellAnchor>
  <xdr:twoCellAnchor>
    <xdr:from>
      <xdr:col>9</xdr:col>
      <xdr:colOff>6350</xdr:colOff>
      <xdr:row>226</xdr:row>
      <xdr:rowOff>25400</xdr:rowOff>
    </xdr:from>
    <xdr:to>
      <xdr:col>9</xdr:col>
      <xdr:colOff>885190</xdr:colOff>
      <xdr:row>226</xdr:row>
      <xdr:rowOff>1209040</xdr:rowOff>
    </xdr:to>
    <xdr:pic>
      <xdr:nvPicPr>
        <xdr:cNvPr id="5337" name="Изображение 5336" descr="resizeПП-00272615"/>
        <xdr:cNvPicPr>
          <a:picLocks noChangeAspect="1"/>
        </xdr:cNvPicPr>
      </xdr:nvPicPr>
      <xdr:blipFill>
        <a:blip xmlns:r="http://schemas.openxmlformats.org/officeDocument/2006/relationships" r:embed="rId130"/>
        <a:stretch>
          <a:fillRect/>
        </a:stretch>
      </xdr:blipFill>
      <xdr:spPr>
        <a:xfrm>
          <a:off x="7235825" y="173459775"/>
          <a:ext cx="878840" cy="1183640"/>
        </a:xfrm>
        <a:prstGeom prst="rect">
          <a:avLst/>
        </a:prstGeom>
      </xdr:spPr>
    </xdr:pic>
    <xdr:clientData/>
  </xdr:twoCellAnchor>
  <xdr:twoCellAnchor>
    <xdr:from>
      <xdr:col>9</xdr:col>
      <xdr:colOff>6350</xdr:colOff>
      <xdr:row>227</xdr:row>
      <xdr:rowOff>25400</xdr:rowOff>
    </xdr:from>
    <xdr:to>
      <xdr:col>9</xdr:col>
      <xdr:colOff>885190</xdr:colOff>
      <xdr:row>227</xdr:row>
      <xdr:rowOff>1209040</xdr:rowOff>
    </xdr:to>
    <xdr:pic>
      <xdr:nvPicPr>
        <xdr:cNvPr id="5338" name="Изображение 5337" descr="resizeПП-00272618"/>
        <xdr:cNvPicPr>
          <a:picLocks noChangeAspect="1"/>
        </xdr:cNvPicPr>
      </xdr:nvPicPr>
      <xdr:blipFill>
        <a:blip xmlns:r="http://schemas.openxmlformats.org/officeDocument/2006/relationships" r:embed="rId131"/>
        <a:stretch>
          <a:fillRect/>
        </a:stretch>
      </xdr:blipFill>
      <xdr:spPr>
        <a:xfrm>
          <a:off x="7235825" y="174682150"/>
          <a:ext cx="878840" cy="1183640"/>
        </a:xfrm>
        <a:prstGeom prst="rect">
          <a:avLst/>
        </a:prstGeom>
      </xdr:spPr>
    </xdr:pic>
    <xdr:clientData/>
  </xdr:twoCellAnchor>
  <xdr:twoCellAnchor>
    <xdr:from>
      <xdr:col>9</xdr:col>
      <xdr:colOff>6350</xdr:colOff>
      <xdr:row>233</xdr:row>
      <xdr:rowOff>25400</xdr:rowOff>
    </xdr:from>
    <xdr:to>
      <xdr:col>9</xdr:col>
      <xdr:colOff>885190</xdr:colOff>
      <xdr:row>233</xdr:row>
      <xdr:rowOff>1209040</xdr:rowOff>
    </xdr:to>
    <xdr:pic>
      <xdr:nvPicPr>
        <xdr:cNvPr id="5339" name="Изображение 5338" descr="resizeПП-00279633"/>
        <xdr:cNvPicPr>
          <a:picLocks noChangeAspect="1"/>
        </xdr:cNvPicPr>
      </xdr:nvPicPr>
      <xdr:blipFill>
        <a:blip xmlns:r="http://schemas.openxmlformats.org/officeDocument/2006/relationships" r:embed="rId132"/>
        <a:stretch>
          <a:fillRect/>
        </a:stretch>
      </xdr:blipFill>
      <xdr:spPr>
        <a:xfrm>
          <a:off x="7235825" y="176666525"/>
          <a:ext cx="878840" cy="1183640"/>
        </a:xfrm>
        <a:prstGeom prst="rect">
          <a:avLst/>
        </a:prstGeom>
      </xdr:spPr>
    </xdr:pic>
    <xdr:clientData/>
  </xdr:twoCellAnchor>
  <xdr:twoCellAnchor>
    <xdr:from>
      <xdr:col>9</xdr:col>
      <xdr:colOff>6350</xdr:colOff>
      <xdr:row>237</xdr:row>
      <xdr:rowOff>25400</xdr:rowOff>
    </xdr:from>
    <xdr:to>
      <xdr:col>9</xdr:col>
      <xdr:colOff>885190</xdr:colOff>
      <xdr:row>237</xdr:row>
      <xdr:rowOff>1209040</xdr:rowOff>
    </xdr:to>
    <xdr:pic>
      <xdr:nvPicPr>
        <xdr:cNvPr id="5340" name="Изображение 5339" descr="resizeПП-00237458"/>
        <xdr:cNvPicPr>
          <a:picLocks noChangeAspect="1"/>
        </xdr:cNvPicPr>
      </xdr:nvPicPr>
      <xdr:blipFill>
        <a:blip xmlns:r="http://schemas.openxmlformats.org/officeDocument/2006/relationships" r:embed="rId133"/>
        <a:stretch>
          <a:fillRect/>
        </a:stretch>
      </xdr:blipFill>
      <xdr:spPr>
        <a:xfrm>
          <a:off x="7235825" y="178346100"/>
          <a:ext cx="878840" cy="1183640"/>
        </a:xfrm>
        <a:prstGeom prst="rect">
          <a:avLst/>
        </a:prstGeom>
      </xdr:spPr>
    </xdr:pic>
    <xdr:clientData/>
  </xdr:twoCellAnchor>
  <xdr:twoCellAnchor>
    <xdr:from>
      <xdr:col>9</xdr:col>
      <xdr:colOff>6350</xdr:colOff>
      <xdr:row>239</xdr:row>
      <xdr:rowOff>25400</xdr:rowOff>
    </xdr:from>
    <xdr:to>
      <xdr:col>9</xdr:col>
      <xdr:colOff>885190</xdr:colOff>
      <xdr:row>239</xdr:row>
      <xdr:rowOff>1209040</xdr:rowOff>
    </xdr:to>
    <xdr:pic>
      <xdr:nvPicPr>
        <xdr:cNvPr id="5341" name="Изображение 5340" descr="resizeПП-00234983"/>
        <xdr:cNvPicPr>
          <a:picLocks noChangeAspect="1"/>
        </xdr:cNvPicPr>
      </xdr:nvPicPr>
      <xdr:blipFill>
        <a:blip xmlns:r="http://schemas.openxmlformats.org/officeDocument/2006/relationships" r:embed="rId134"/>
        <a:stretch>
          <a:fillRect/>
        </a:stretch>
      </xdr:blipFill>
      <xdr:spPr>
        <a:xfrm>
          <a:off x="7235825" y="179720875"/>
          <a:ext cx="878840" cy="1183640"/>
        </a:xfrm>
        <a:prstGeom prst="rect">
          <a:avLst/>
        </a:prstGeom>
      </xdr:spPr>
    </xdr:pic>
    <xdr:clientData/>
  </xdr:twoCellAnchor>
  <xdr:twoCellAnchor>
    <xdr:from>
      <xdr:col>9</xdr:col>
      <xdr:colOff>6350</xdr:colOff>
      <xdr:row>240</xdr:row>
      <xdr:rowOff>25400</xdr:rowOff>
    </xdr:from>
    <xdr:to>
      <xdr:col>9</xdr:col>
      <xdr:colOff>885190</xdr:colOff>
      <xdr:row>240</xdr:row>
      <xdr:rowOff>1209040</xdr:rowOff>
    </xdr:to>
    <xdr:pic>
      <xdr:nvPicPr>
        <xdr:cNvPr id="5342" name="Изображение 5341" descr="resizeПП-00234984"/>
        <xdr:cNvPicPr>
          <a:picLocks noChangeAspect="1"/>
        </xdr:cNvPicPr>
      </xdr:nvPicPr>
      <xdr:blipFill>
        <a:blip xmlns:r="http://schemas.openxmlformats.org/officeDocument/2006/relationships" r:embed="rId135"/>
        <a:stretch>
          <a:fillRect/>
        </a:stretch>
      </xdr:blipFill>
      <xdr:spPr>
        <a:xfrm>
          <a:off x="7235825" y="180943250"/>
          <a:ext cx="878840" cy="1183640"/>
        </a:xfrm>
        <a:prstGeom prst="rect">
          <a:avLst/>
        </a:prstGeom>
      </xdr:spPr>
    </xdr:pic>
    <xdr:clientData/>
  </xdr:twoCellAnchor>
  <xdr:twoCellAnchor>
    <xdr:from>
      <xdr:col>9</xdr:col>
      <xdr:colOff>6350</xdr:colOff>
      <xdr:row>241</xdr:row>
      <xdr:rowOff>25400</xdr:rowOff>
    </xdr:from>
    <xdr:to>
      <xdr:col>9</xdr:col>
      <xdr:colOff>885190</xdr:colOff>
      <xdr:row>241</xdr:row>
      <xdr:rowOff>1209040</xdr:rowOff>
    </xdr:to>
    <xdr:pic>
      <xdr:nvPicPr>
        <xdr:cNvPr id="5343" name="Изображение 5342" descr="resizeПП-00234986"/>
        <xdr:cNvPicPr>
          <a:picLocks noChangeAspect="1"/>
        </xdr:cNvPicPr>
      </xdr:nvPicPr>
      <xdr:blipFill>
        <a:blip xmlns:r="http://schemas.openxmlformats.org/officeDocument/2006/relationships" r:embed="rId136"/>
        <a:stretch>
          <a:fillRect/>
        </a:stretch>
      </xdr:blipFill>
      <xdr:spPr>
        <a:xfrm>
          <a:off x="7235825" y="182165625"/>
          <a:ext cx="878840" cy="1183640"/>
        </a:xfrm>
        <a:prstGeom prst="rect">
          <a:avLst/>
        </a:prstGeom>
      </xdr:spPr>
    </xdr:pic>
    <xdr:clientData/>
  </xdr:twoCellAnchor>
  <xdr:twoCellAnchor>
    <xdr:from>
      <xdr:col>9</xdr:col>
      <xdr:colOff>6350</xdr:colOff>
      <xdr:row>242</xdr:row>
      <xdr:rowOff>25400</xdr:rowOff>
    </xdr:from>
    <xdr:to>
      <xdr:col>9</xdr:col>
      <xdr:colOff>885190</xdr:colOff>
      <xdr:row>242</xdr:row>
      <xdr:rowOff>1209040</xdr:rowOff>
    </xdr:to>
    <xdr:pic>
      <xdr:nvPicPr>
        <xdr:cNvPr id="5344" name="Изображение 5343" descr="resizeПП-00234985"/>
        <xdr:cNvPicPr>
          <a:picLocks noChangeAspect="1"/>
        </xdr:cNvPicPr>
      </xdr:nvPicPr>
      <xdr:blipFill>
        <a:blip xmlns:r="http://schemas.openxmlformats.org/officeDocument/2006/relationships" r:embed="rId137"/>
        <a:stretch>
          <a:fillRect/>
        </a:stretch>
      </xdr:blipFill>
      <xdr:spPr>
        <a:xfrm>
          <a:off x="7235825" y="183388000"/>
          <a:ext cx="878840" cy="1183640"/>
        </a:xfrm>
        <a:prstGeom prst="rect">
          <a:avLst/>
        </a:prstGeom>
      </xdr:spPr>
    </xdr:pic>
    <xdr:clientData/>
  </xdr:twoCellAnchor>
  <xdr:twoCellAnchor>
    <xdr:from>
      <xdr:col>9</xdr:col>
      <xdr:colOff>6350</xdr:colOff>
      <xdr:row>243</xdr:row>
      <xdr:rowOff>25400</xdr:rowOff>
    </xdr:from>
    <xdr:to>
      <xdr:col>9</xdr:col>
      <xdr:colOff>885190</xdr:colOff>
      <xdr:row>243</xdr:row>
      <xdr:rowOff>1209040</xdr:rowOff>
    </xdr:to>
    <xdr:pic>
      <xdr:nvPicPr>
        <xdr:cNvPr id="5345" name="Изображение 5344" descr="resizeПП-00252854"/>
        <xdr:cNvPicPr>
          <a:picLocks noChangeAspect="1"/>
        </xdr:cNvPicPr>
      </xdr:nvPicPr>
      <xdr:blipFill>
        <a:blip xmlns:r="http://schemas.openxmlformats.org/officeDocument/2006/relationships" r:embed="rId138"/>
        <a:stretch>
          <a:fillRect/>
        </a:stretch>
      </xdr:blipFill>
      <xdr:spPr>
        <a:xfrm>
          <a:off x="7235825" y="184610375"/>
          <a:ext cx="878840" cy="1183640"/>
        </a:xfrm>
        <a:prstGeom prst="rect">
          <a:avLst/>
        </a:prstGeom>
      </xdr:spPr>
    </xdr:pic>
    <xdr:clientData/>
  </xdr:twoCellAnchor>
  <xdr:twoCellAnchor>
    <xdr:from>
      <xdr:col>9</xdr:col>
      <xdr:colOff>6350</xdr:colOff>
      <xdr:row>244</xdr:row>
      <xdr:rowOff>25400</xdr:rowOff>
    </xdr:from>
    <xdr:to>
      <xdr:col>9</xdr:col>
      <xdr:colOff>885190</xdr:colOff>
      <xdr:row>244</xdr:row>
      <xdr:rowOff>1209040</xdr:rowOff>
    </xdr:to>
    <xdr:pic>
      <xdr:nvPicPr>
        <xdr:cNvPr id="5346" name="Изображение 5345" descr="resizeПП-00234979"/>
        <xdr:cNvPicPr>
          <a:picLocks noChangeAspect="1"/>
        </xdr:cNvPicPr>
      </xdr:nvPicPr>
      <xdr:blipFill>
        <a:blip xmlns:r="http://schemas.openxmlformats.org/officeDocument/2006/relationships" r:embed="rId139"/>
        <a:stretch>
          <a:fillRect/>
        </a:stretch>
      </xdr:blipFill>
      <xdr:spPr>
        <a:xfrm>
          <a:off x="7235825" y="185832750"/>
          <a:ext cx="878840" cy="1183640"/>
        </a:xfrm>
        <a:prstGeom prst="rect">
          <a:avLst/>
        </a:prstGeom>
      </xdr:spPr>
    </xdr:pic>
    <xdr:clientData/>
  </xdr:twoCellAnchor>
  <xdr:twoCellAnchor>
    <xdr:from>
      <xdr:col>9</xdr:col>
      <xdr:colOff>6350</xdr:colOff>
      <xdr:row>245</xdr:row>
      <xdr:rowOff>25400</xdr:rowOff>
    </xdr:from>
    <xdr:to>
      <xdr:col>9</xdr:col>
      <xdr:colOff>885190</xdr:colOff>
      <xdr:row>245</xdr:row>
      <xdr:rowOff>1209040</xdr:rowOff>
    </xdr:to>
    <xdr:pic>
      <xdr:nvPicPr>
        <xdr:cNvPr id="5347" name="Изображение 5346" descr="resizeПП-00252853"/>
        <xdr:cNvPicPr>
          <a:picLocks noChangeAspect="1"/>
        </xdr:cNvPicPr>
      </xdr:nvPicPr>
      <xdr:blipFill>
        <a:blip xmlns:r="http://schemas.openxmlformats.org/officeDocument/2006/relationships" r:embed="rId140"/>
        <a:stretch>
          <a:fillRect/>
        </a:stretch>
      </xdr:blipFill>
      <xdr:spPr>
        <a:xfrm>
          <a:off x="7235825" y="187055125"/>
          <a:ext cx="878840" cy="1183640"/>
        </a:xfrm>
        <a:prstGeom prst="rect">
          <a:avLst/>
        </a:prstGeom>
      </xdr:spPr>
    </xdr:pic>
    <xdr:clientData/>
  </xdr:twoCellAnchor>
  <xdr:twoCellAnchor>
    <xdr:from>
      <xdr:col>9</xdr:col>
      <xdr:colOff>6350</xdr:colOff>
      <xdr:row>247</xdr:row>
      <xdr:rowOff>25400</xdr:rowOff>
    </xdr:from>
    <xdr:to>
      <xdr:col>9</xdr:col>
      <xdr:colOff>885190</xdr:colOff>
      <xdr:row>247</xdr:row>
      <xdr:rowOff>1209040</xdr:rowOff>
    </xdr:to>
    <xdr:pic>
      <xdr:nvPicPr>
        <xdr:cNvPr id="5348" name="Изображение 5347" descr="resizeПП-00237437"/>
        <xdr:cNvPicPr>
          <a:picLocks noChangeAspect="1"/>
        </xdr:cNvPicPr>
      </xdr:nvPicPr>
      <xdr:blipFill>
        <a:blip xmlns:r="http://schemas.openxmlformats.org/officeDocument/2006/relationships" r:embed="rId141"/>
        <a:stretch>
          <a:fillRect/>
        </a:stretch>
      </xdr:blipFill>
      <xdr:spPr>
        <a:xfrm>
          <a:off x="7235825" y="188429900"/>
          <a:ext cx="878840" cy="1183640"/>
        </a:xfrm>
        <a:prstGeom prst="rect">
          <a:avLst/>
        </a:prstGeom>
      </xdr:spPr>
    </xdr:pic>
    <xdr:clientData/>
  </xdr:twoCellAnchor>
  <xdr:twoCellAnchor>
    <xdr:from>
      <xdr:col>9</xdr:col>
      <xdr:colOff>6350</xdr:colOff>
      <xdr:row>248</xdr:row>
      <xdr:rowOff>25400</xdr:rowOff>
    </xdr:from>
    <xdr:to>
      <xdr:col>9</xdr:col>
      <xdr:colOff>885190</xdr:colOff>
      <xdr:row>248</xdr:row>
      <xdr:rowOff>1209040</xdr:rowOff>
    </xdr:to>
    <xdr:pic>
      <xdr:nvPicPr>
        <xdr:cNvPr id="5349" name="Изображение 5348" descr="resizeПП-00237438"/>
        <xdr:cNvPicPr>
          <a:picLocks noChangeAspect="1"/>
        </xdr:cNvPicPr>
      </xdr:nvPicPr>
      <xdr:blipFill>
        <a:blip xmlns:r="http://schemas.openxmlformats.org/officeDocument/2006/relationships" r:embed="rId142"/>
        <a:stretch>
          <a:fillRect/>
        </a:stretch>
      </xdr:blipFill>
      <xdr:spPr>
        <a:xfrm>
          <a:off x="7235825" y="189652275"/>
          <a:ext cx="878840" cy="1183640"/>
        </a:xfrm>
        <a:prstGeom prst="rect">
          <a:avLst/>
        </a:prstGeom>
      </xdr:spPr>
    </xdr:pic>
    <xdr:clientData/>
  </xdr:twoCellAnchor>
  <xdr:twoCellAnchor>
    <xdr:from>
      <xdr:col>9</xdr:col>
      <xdr:colOff>6350</xdr:colOff>
      <xdr:row>250</xdr:row>
      <xdr:rowOff>25400</xdr:rowOff>
    </xdr:from>
    <xdr:to>
      <xdr:col>9</xdr:col>
      <xdr:colOff>885190</xdr:colOff>
      <xdr:row>250</xdr:row>
      <xdr:rowOff>1209040</xdr:rowOff>
    </xdr:to>
    <xdr:pic>
      <xdr:nvPicPr>
        <xdr:cNvPr id="5350" name="Изображение 5349" descr="resizeПП-00261122"/>
        <xdr:cNvPicPr>
          <a:picLocks noChangeAspect="1"/>
        </xdr:cNvPicPr>
      </xdr:nvPicPr>
      <xdr:blipFill>
        <a:blip xmlns:r="http://schemas.openxmlformats.org/officeDocument/2006/relationships" r:embed="rId143"/>
        <a:stretch>
          <a:fillRect/>
        </a:stretch>
      </xdr:blipFill>
      <xdr:spPr>
        <a:xfrm>
          <a:off x="7235825" y="191027050"/>
          <a:ext cx="878840" cy="1183640"/>
        </a:xfrm>
        <a:prstGeom prst="rect">
          <a:avLst/>
        </a:prstGeom>
      </xdr:spPr>
    </xdr:pic>
    <xdr:clientData/>
  </xdr:twoCellAnchor>
  <xdr:twoCellAnchor>
    <xdr:from>
      <xdr:col>9</xdr:col>
      <xdr:colOff>6350</xdr:colOff>
      <xdr:row>251</xdr:row>
      <xdr:rowOff>25400</xdr:rowOff>
    </xdr:from>
    <xdr:to>
      <xdr:col>9</xdr:col>
      <xdr:colOff>885190</xdr:colOff>
      <xdr:row>251</xdr:row>
      <xdr:rowOff>1209040</xdr:rowOff>
    </xdr:to>
    <xdr:pic>
      <xdr:nvPicPr>
        <xdr:cNvPr id="5351" name="Изображение 5350" descr="resizeПП-00261120"/>
        <xdr:cNvPicPr>
          <a:picLocks noChangeAspect="1"/>
        </xdr:cNvPicPr>
      </xdr:nvPicPr>
      <xdr:blipFill>
        <a:blip xmlns:r="http://schemas.openxmlformats.org/officeDocument/2006/relationships" r:embed="rId144"/>
        <a:stretch>
          <a:fillRect/>
        </a:stretch>
      </xdr:blipFill>
      <xdr:spPr>
        <a:xfrm>
          <a:off x="7235825" y="192249425"/>
          <a:ext cx="878840" cy="1183640"/>
        </a:xfrm>
        <a:prstGeom prst="rect">
          <a:avLst/>
        </a:prstGeom>
      </xdr:spPr>
    </xdr:pic>
    <xdr:clientData/>
  </xdr:twoCellAnchor>
  <xdr:twoCellAnchor>
    <xdr:from>
      <xdr:col>9</xdr:col>
      <xdr:colOff>6350</xdr:colOff>
      <xdr:row>252</xdr:row>
      <xdr:rowOff>25400</xdr:rowOff>
    </xdr:from>
    <xdr:to>
      <xdr:col>9</xdr:col>
      <xdr:colOff>885190</xdr:colOff>
      <xdr:row>252</xdr:row>
      <xdr:rowOff>1209040</xdr:rowOff>
    </xdr:to>
    <xdr:pic>
      <xdr:nvPicPr>
        <xdr:cNvPr id="5352" name="Изображение 5351" descr="resizeПП-00261121"/>
        <xdr:cNvPicPr>
          <a:picLocks noChangeAspect="1"/>
        </xdr:cNvPicPr>
      </xdr:nvPicPr>
      <xdr:blipFill>
        <a:blip xmlns:r="http://schemas.openxmlformats.org/officeDocument/2006/relationships" r:embed="rId145"/>
        <a:stretch>
          <a:fillRect/>
        </a:stretch>
      </xdr:blipFill>
      <xdr:spPr>
        <a:xfrm>
          <a:off x="7235825" y="193471800"/>
          <a:ext cx="878840" cy="1183640"/>
        </a:xfrm>
        <a:prstGeom prst="rect">
          <a:avLst/>
        </a:prstGeom>
      </xdr:spPr>
    </xdr:pic>
    <xdr:clientData/>
  </xdr:twoCellAnchor>
  <xdr:twoCellAnchor>
    <xdr:from>
      <xdr:col>9</xdr:col>
      <xdr:colOff>6350</xdr:colOff>
      <xdr:row>256</xdr:row>
      <xdr:rowOff>25400</xdr:rowOff>
    </xdr:from>
    <xdr:to>
      <xdr:col>9</xdr:col>
      <xdr:colOff>885190</xdr:colOff>
      <xdr:row>256</xdr:row>
      <xdr:rowOff>1209040</xdr:rowOff>
    </xdr:to>
    <xdr:pic>
      <xdr:nvPicPr>
        <xdr:cNvPr id="5353" name="Изображение 5352" descr="resizeПП-00236249"/>
        <xdr:cNvPicPr>
          <a:picLocks noChangeAspect="1"/>
        </xdr:cNvPicPr>
      </xdr:nvPicPr>
      <xdr:blipFill>
        <a:blip xmlns:r="http://schemas.openxmlformats.org/officeDocument/2006/relationships" r:embed="rId146"/>
        <a:stretch>
          <a:fillRect/>
        </a:stretch>
      </xdr:blipFill>
      <xdr:spPr>
        <a:xfrm>
          <a:off x="7235825" y="195151375"/>
          <a:ext cx="878840" cy="1183640"/>
        </a:xfrm>
        <a:prstGeom prst="rect">
          <a:avLst/>
        </a:prstGeom>
      </xdr:spPr>
    </xdr:pic>
    <xdr:clientData/>
  </xdr:twoCellAnchor>
  <xdr:twoCellAnchor>
    <xdr:from>
      <xdr:col>9</xdr:col>
      <xdr:colOff>6350</xdr:colOff>
      <xdr:row>257</xdr:row>
      <xdr:rowOff>25400</xdr:rowOff>
    </xdr:from>
    <xdr:to>
      <xdr:col>9</xdr:col>
      <xdr:colOff>885190</xdr:colOff>
      <xdr:row>257</xdr:row>
      <xdr:rowOff>1209040</xdr:rowOff>
    </xdr:to>
    <xdr:pic>
      <xdr:nvPicPr>
        <xdr:cNvPr id="5354" name="Изображение 5353" descr="resizeПП-00236247"/>
        <xdr:cNvPicPr>
          <a:picLocks noChangeAspect="1"/>
        </xdr:cNvPicPr>
      </xdr:nvPicPr>
      <xdr:blipFill>
        <a:blip xmlns:r="http://schemas.openxmlformats.org/officeDocument/2006/relationships" r:embed="rId147"/>
        <a:stretch>
          <a:fillRect/>
        </a:stretch>
      </xdr:blipFill>
      <xdr:spPr>
        <a:xfrm>
          <a:off x="7235825" y="196373750"/>
          <a:ext cx="878840" cy="1183640"/>
        </a:xfrm>
        <a:prstGeom prst="rect">
          <a:avLst/>
        </a:prstGeom>
      </xdr:spPr>
    </xdr:pic>
    <xdr:clientData/>
  </xdr:twoCellAnchor>
  <xdr:twoCellAnchor>
    <xdr:from>
      <xdr:col>9</xdr:col>
      <xdr:colOff>6350</xdr:colOff>
      <xdr:row>258</xdr:row>
      <xdr:rowOff>25400</xdr:rowOff>
    </xdr:from>
    <xdr:to>
      <xdr:col>9</xdr:col>
      <xdr:colOff>885190</xdr:colOff>
      <xdr:row>258</xdr:row>
      <xdr:rowOff>1209040</xdr:rowOff>
    </xdr:to>
    <xdr:pic>
      <xdr:nvPicPr>
        <xdr:cNvPr id="5355" name="Изображение 5354" descr="resizeПП-00236242"/>
        <xdr:cNvPicPr>
          <a:picLocks noChangeAspect="1"/>
        </xdr:cNvPicPr>
      </xdr:nvPicPr>
      <xdr:blipFill>
        <a:blip xmlns:r="http://schemas.openxmlformats.org/officeDocument/2006/relationships" r:embed="rId148"/>
        <a:stretch>
          <a:fillRect/>
        </a:stretch>
      </xdr:blipFill>
      <xdr:spPr>
        <a:xfrm>
          <a:off x="7235825" y="197596125"/>
          <a:ext cx="878840" cy="1183640"/>
        </a:xfrm>
        <a:prstGeom prst="rect">
          <a:avLst/>
        </a:prstGeom>
      </xdr:spPr>
    </xdr:pic>
    <xdr:clientData/>
  </xdr:twoCellAnchor>
  <xdr:twoCellAnchor>
    <xdr:from>
      <xdr:col>9</xdr:col>
      <xdr:colOff>6350</xdr:colOff>
      <xdr:row>259</xdr:row>
      <xdr:rowOff>25400</xdr:rowOff>
    </xdr:from>
    <xdr:to>
      <xdr:col>9</xdr:col>
      <xdr:colOff>885190</xdr:colOff>
      <xdr:row>259</xdr:row>
      <xdr:rowOff>1209040</xdr:rowOff>
    </xdr:to>
    <xdr:pic>
      <xdr:nvPicPr>
        <xdr:cNvPr id="5356" name="Изображение 5355" descr="resizeПП-00236244"/>
        <xdr:cNvPicPr>
          <a:picLocks noChangeAspect="1"/>
        </xdr:cNvPicPr>
      </xdr:nvPicPr>
      <xdr:blipFill>
        <a:blip xmlns:r="http://schemas.openxmlformats.org/officeDocument/2006/relationships" r:embed="rId149"/>
        <a:stretch>
          <a:fillRect/>
        </a:stretch>
      </xdr:blipFill>
      <xdr:spPr>
        <a:xfrm>
          <a:off x="7235825" y="198818500"/>
          <a:ext cx="878840" cy="1183640"/>
        </a:xfrm>
        <a:prstGeom prst="rect">
          <a:avLst/>
        </a:prstGeom>
      </xdr:spPr>
    </xdr:pic>
    <xdr:clientData/>
  </xdr:twoCellAnchor>
  <xdr:twoCellAnchor>
    <xdr:from>
      <xdr:col>9</xdr:col>
      <xdr:colOff>6350</xdr:colOff>
      <xdr:row>260</xdr:row>
      <xdr:rowOff>25400</xdr:rowOff>
    </xdr:from>
    <xdr:to>
      <xdr:col>9</xdr:col>
      <xdr:colOff>885190</xdr:colOff>
      <xdr:row>260</xdr:row>
      <xdr:rowOff>1209040</xdr:rowOff>
    </xdr:to>
    <xdr:pic>
      <xdr:nvPicPr>
        <xdr:cNvPr id="5357" name="Изображение 5356" descr="resizeПП-00236241"/>
        <xdr:cNvPicPr>
          <a:picLocks noChangeAspect="1"/>
        </xdr:cNvPicPr>
      </xdr:nvPicPr>
      <xdr:blipFill>
        <a:blip xmlns:r="http://schemas.openxmlformats.org/officeDocument/2006/relationships" r:embed="rId150"/>
        <a:stretch>
          <a:fillRect/>
        </a:stretch>
      </xdr:blipFill>
      <xdr:spPr>
        <a:xfrm>
          <a:off x="7235825" y="200040875"/>
          <a:ext cx="878840" cy="1183640"/>
        </a:xfrm>
        <a:prstGeom prst="rect">
          <a:avLst/>
        </a:prstGeom>
      </xdr:spPr>
    </xdr:pic>
    <xdr:clientData/>
  </xdr:twoCellAnchor>
  <xdr:twoCellAnchor>
    <xdr:from>
      <xdr:col>9</xdr:col>
      <xdr:colOff>6350</xdr:colOff>
      <xdr:row>261</xdr:row>
      <xdr:rowOff>25400</xdr:rowOff>
    </xdr:from>
    <xdr:to>
      <xdr:col>9</xdr:col>
      <xdr:colOff>885190</xdr:colOff>
      <xdr:row>261</xdr:row>
      <xdr:rowOff>1209040</xdr:rowOff>
    </xdr:to>
    <xdr:pic>
      <xdr:nvPicPr>
        <xdr:cNvPr id="5358" name="Изображение 5357" descr="resizeПП-00236246"/>
        <xdr:cNvPicPr>
          <a:picLocks noChangeAspect="1"/>
        </xdr:cNvPicPr>
      </xdr:nvPicPr>
      <xdr:blipFill>
        <a:blip xmlns:r="http://schemas.openxmlformats.org/officeDocument/2006/relationships" r:embed="rId151"/>
        <a:stretch>
          <a:fillRect/>
        </a:stretch>
      </xdr:blipFill>
      <xdr:spPr>
        <a:xfrm>
          <a:off x="7235825" y="201263250"/>
          <a:ext cx="878840" cy="1183640"/>
        </a:xfrm>
        <a:prstGeom prst="rect">
          <a:avLst/>
        </a:prstGeom>
      </xdr:spPr>
    </xdr:pic>
    <xdr:clientData/>
  </xdr:twoCellAnchor>
  <xdr:twoCellAnchor>
    <xdr:from>
      <xdr:col>9</xdr:col>
      <xdr:colOff>6350</xdr:colOff>
      <xdr:row>262</xdr:row>
      <xdr:rowOff>25400</xdr:rowOff>
    </xdr:from>
    <xdr:to>
      <xdr:col>9</xdr:col>
      <xdr:colOff>885190</xdr:colOff>
      <xdr:row>262</xdr:row>
      <xdr:rowOff>1209040</xdr:rowOff>
    </xdr:to>
    <xdr:pic>
      <xdr:nvPicPr>
        <xdr:cNvPr id="5359" name="Изображение 5358" descr="resizeПП-00236239"/>
        <xdr:cNvPicPr>
          <a:picLocks noChangeAspect="1"/>
        </xdr:cNvPicPr>
      </xdr:nvPicPr>
      <xdr:blipFill>
        <a:blip xmlns:r="http://schemas.openxmlformats.org/officeDocument/2006/relationships" r:embed="rId152"/>
        <a:stretch>
          <a:fillRect/>
        </a:stretch>
      </xdr:blipFill>
      <xdr:spPr>
        <a:xfrm>
          <a:off x="7235825" y="202485625"/>
          <a:ext cx="878840" cy="1183640"/>
        </a:xfrm>
        <a:prstGeom prst="rect">
          <a:avLst/>
        </a:prstGeom>
      </xdr:spPr>
    </xdr:pic>
    <xdr:clientData/>
  </xdr:twoCellAnchor>
  <xdr:twoCellAnchor>
    <xdr:from>
      <xdr:col>9</xdr:col>
      <xdr:colOff>6350</xdr:colOff>
      <xdr:row>264</xdr:row>
      <xdr:rowOff>25400</xdr:rowOff>
    </xdr:from>
    <xdr:to>
      <xdr:col>9</xdr:col>
      <xdr:colOff>885190</xdr:colOff>
      <xdr:row>264</xdr:row>
      <xdr:rowOff>1209040</xdr:rowOff>
    </xdr:to>
    <xdr:pic>
      <xdr:nvPicPr>
        <xdr:cNvPr id="5360" name="Изображение 5359" descr="resizeПП-00234987"/>
        <xdr:cNvPicPr>
          <a:picLocks noChangeAspect="1"/>
        </xdr:cNvPicPr>
      </xdr:nvPicPr>
      <xdr:blipFill>
        <a:blip xmlns:r="http://schemas.openxmlformats.org/officeDocument/2006/relationships" r:embed="rId153"/>
        <a:stretch>
          <a:fillRect/>
        </a:stretch>
      </xdr:blipFill>
      <xdr:spPr>
        <a:xfrm>
          <a:off x="7235825" y="203860400"/>
          <a:ext cx="878840" cy="1183640"/>
        </a:xfrm>
        <a:prstGeom prst="rect">
          <a:avLst/>
        </a:prstGeom>
      </xdr:spPr>
    </xdr:pic>
    <xdr:clientData/>
  </xdr:twoCellAnchor>
  <xdr:twoCellAnchor>
    <xdr:from>
      <xdr:col>9</xdr:col>
      <xdr:colOff>6350</xdr:colOff>
      <xdr:row>265</xdr:row>
      <xdr:rowOff>25400</xdr:rowOff>
    </xdr:from>
    <xdr:to>
      <xdr:col>9</xdr:col>
      <xdr:colOff>885190</xdr:colOff>
      <xdr:row>265</xdr:row>
      <xdr:rowOff>1209040</xdr:rowOff>
    </xdr:to>
    <xdr:pic>
      <xdr:nvPicPr>
        <xdr:cNvPr id="5361" name="Изображение 5360" descr="resizeПП-00252851"/>
        <xdr:cNvPicPr>
          <a:picLocks noChangeAspect="1"/>
        </xdr:cNvPicPr>
      </xdr:nvPicPr>
      <xdr:blipFill>
        <a:blip xmlns:r="http://schemas.openxmlformats.org/officeDocument/2006/relationships" r:embed="rId154"/>
        <a:stretch>
          <a:fillRect/>
        </a:stretch>
      </xdr:blipFill>
      <xdr:spPr>
        <a:xfrm>
          <a:off x="7235825" y="205082775"/>
          <a:ext cx="878840" cy="1183640"/>
        </a:xfrm>
        <a:prstGeom prst="rect">
          <a:avLst/>
        </a:prstGeom>
      </xdr:spPr>
    </xdr:pic>
    <xdr:clientData/>
  </xdr:twoCellAnchor>
  <xdr:twoCellAnchor>
    <xdr:from>
      <xdr:col>9</xdr:col>
      <xdr:colOff>6350</xdr:colOff>
      <xdr:row>266</xdr:row>
      <xdr:rowOff>25400</xdr:rowOff>
    </xdr:from>
    <xdr:to>
      <xdr:col>9</xdr:col>
      <xdr:colOff>885190</xdr:colOff>
      <xdr:row>266</xdr:row>
      <xdr:rowOff>1209040</xdr:rowOff>
    </xdr:to>
    <xdr:pic>
      <xdr:nvPicPr>
        <xdr:cNvPr id="5362" name="Изображение 5361" descr="resizeПП-00234988"/>
        <xdr:cNvPicPr>
          <a:picLocks noChangeAspect="1"/>
        </xdr:cNvPicPr>
      </xdr:nvPicPr>
      <xdr:blipFill>
        <a:blip xmlns:r="http://schemas.openxmlformats.org/officeDocument/2006/relationships" r:embed="rId155"/>
        <a:stretch>
          <a:fillRect/>
        </a:stretch>
      </xdr:blipFill>
      <xdr:spPr>
        <a:xfrm>
          <a:off x="7235825" y="206305150"/>
          <a:ext cx="878840" cy="1183640"/>
        </a:xfrm>
        <a:prstGeom prst="rect">
          <a:avLst/>
        </a:prstGeom>
      </xdr:spPr>
    </xdr:pic>
    <xdr:clientData/>
  </xdr:twoCellAnchor>
  <xdr:twoCellAnchor>
    <xdr:from>
      <xdr:col>9</xdr:col>
      <xdr:colOff>6350</xdr:colOff>
      <xdr:row>267</xdr:row>
      <xdr:rowOff>25400</xdr:rowOff>
    </xdr:from>
    <xdr:to>
      <xdr:col>9</xdr:col>
      <xdr:colOff>885190</xdr:colOff>
      <xdr:row>267</xdr:row>
      <xdr:rowOff>1209040</xdr:rowOff>
    </xdr:to>
    <xdr:pic>
      <xdr:nvPicPr>
        <xdr:cNvPr id="5363" name="Изображение 5362" descr="resizeПП-00252852"/>
        <xdr:cNvPicPr>
          <a:picLocks noChangeAspect="1"/>
        </xdr:cNvPicPr>
      </xdr:nvPicPr>
      <xdr:blipFill>
        <a:blip xmlns:r="http://schemas.openxmlformats.org/officeDocument/2006/relationships" r:embed="rId156"/>
        <a:stretch>
          <a:fillRect/>
        </a:stretch>
      </xdr:blipFill>
      <xdr:spPr>
        <a:xfrm>
          <a:off x="7235825" y="207527525"/>
          <a:ext cx="878840" cy="1183640"/>
        </a:xfrm>
        <a:prstGeom prst="rect">
          <a:avLst/>
        </a:prstGeom>
      </xdr:spPr>
    </xdr:pic>
    <xdr:clientData/>
  </xdr:twoCellAnchor>
  <xdr:twoCellAnchor>
    <xdr:from>
      <xdr:col>9</xdr:col>
      <xdr:colOff>6350</xdr:colOff>
      <xdr:row>268</xdr:row>
      <xdr:rowOff>25400</xdr:rowOff>
    </xdr:from>
    <xdr:to>
      <xdr:col>9</xdr:col>
      <xdr:colOff>885190</xdr:colOff>
      <xdr:row>268</xdr:row>
      <xdr:rowOff>1209040</xdr:rowOff>
    </xdr:to>
    <xdr:pic>
      <xdr:nvPicPr>
        <xdr:cNvPr id="5364" name="Изображение 5363" descr="resizeПП-00234989"/>
        <xdr:cNvPicPr>
          <a:picLocks noChangeAspect="1"/>
        </xdr:cNvPicPr>
      </xdr:nvPicPr>
      <xdr:blipFill>
        <a:blip xmlns:r="http://schemas.openxmlformats.org/officeDocument/2006/relationships" r:embed="rId157"/>
        <a:stretch>
          <a:fillRect/>
        </a:stretch>
      </xdr:blipFill>
      <xdr:spPr>
        <a:xfrm>
          <a:off x="7235825" y="208749900"/>
          <a:ext cx="878840" cy="1183640"/>
        </a:xfrm>
        <a:prstGeom prst="rect">
          <a:avLst/>
        </a:prstGeom>
      </xdr:spPr>
    </xdr:pic>
    <xdr:clientData/>
  </xdr:twoCellAnchor>
  <xdr:twoCellAnchor>
    <xdr:from>
      <xdr:col>9</xdr:col>
      <xdr:colOff>6350</xdr:colOff>
      <xdr:row>269</xdr:row>
      <xdr:rowOff>25400</xdr:rowOff>
    </xdr:from>
    <xdr:to>
      <xdr:col>9</xdr:col>
      <xdr:colOff>885190</xdr:colOff>
      <xdr:row>269</xdr:row>
      <xdr:rowOff>1209040</xdr:rowOff>
    </xdr:to>
    <xdr:pic>
      <xdr:nvPicPr>
        <xdr:cNvPr id="5365" name="Изображение 5364" descr="resizeПП-00234990"/>
        <xdr:cNvPicPr>
          <a:picLocks noChangeAspect="1"/>
        </xdr:cNvPicPr>
      </xdr:nvPicPr>
      <xdr:blipFill>
        <a:blip xmlns:r="http://schemas.openxmlformats.org/officeDocument/2006/relationships" r:embed="rId158"/>
        <a:stretch>
          <a:fillRect/>
        </a:stretch>
      </xdr:blipFill>
      <xdr:spPr>
        <a:xfrm>
          <a:off x="7235825" y="209972275"/>
          <a:ext cx="878840" cy="1183640"/>
        </a:xfrm>
        <a:prstGeom prst="rect">
          <a:avLst/>
        </a:prstGeom>
      </xdr:spPr>
    </xdr:pic>
    <xdr:clientData/>
  </xdr:twoCellAnchor>
  <xdr:twoCellAnchor>
    <xdr:from>
      <xdr:col>9</xdr:col>
      <xdr:colOff>6350</xdr:colOff>
      <xdr:row>272</xdr:row>
      <xdr:rowOff>25400</xdr:rowOff>
    </xdr:from>
    <xdr:to>
      <xdr:col>9</xdr:col>
      <xdr:colOff>885190</xdr:colOff>
      <xdr:row>272</xdr:row>
      <xdr:rowOff>1209040</xdr:rowOff>
    </xdr:to>
    <xdr:pic>
      <xdr:nvPicPr>
        <xdr:cNvPr id="5366" name="Изображение 5365" descr="resizeПП-00235711"/>
        <xdr:cNvPicPr>
          <a:picLocks noChangeAspect="1"/>
        </xdr:cNvPicPr>
      </xdr:nvPicPr>
      <xdr:blipFill>
        <a:blip xmlns:r="http://schemas.openxmlformats.org/officeDocument/2006/relationships" r:embed="rId159"/>
        <a:stretch>
          <a:fillRect/>
        </a:stretch>
      </xdr:blipFill>
      <xdr:spPr>
        <a:xfrm>
          <a:off x="7235825" y="211499450"/>
          <a:ext cx="878840" cy="1183640"/>
        </a:xfrm>
        <a:prstGeom prst="rect">
          <a:avLst/>
        </a:prstGeom>
      </xdr:spPr>
    </xdr:pic>
    <xdr:clientData/>
  </xdr:twoCellAnchor>
  <xdr:twoCellAnchor>
    <xdr:from>
      <xdr:col>9</xdr:col>
      <xdr:colOff>6350</xdr:colOff>
      <xdr:row>273</xdr:row>
      <xdr:rowOff>25400</xdr:rowOff>
    </xdr:from>
    <xdr:to>
      <xdr:col>9</xdr:col>
      <xdr:colOff>885190</xdr:colOff>
      <xdr:row>273</xdr:row>
      <xdr:rowOff>1209040</xdr:rowOff>
    </xdr:to>
    <xdr:pic>
      <xdr:nvPicPr>
        <xdr:cNvPr id="5367" name="Изображение 5366" descr="resizeПП-00235712"/>
        <xdr:cNvPicPr>
          <a:picLocks noChangeAspect="1"/>
        </xdr:cNvPicPr>
      </xdr:nvPicPr>
      <xdr:blipFill>
        <a:blip xmlns:r="http://schemas.openxmlformats.org/officeDocument/2006/relationships" r:embed="rId160"/>
        <a:stretch>
          <a:fillRect/>
        </a:stretch>
      </xdr:blipFill>
      <xdr:spPr>
        <a:xfrm>
          <a:off x="7235825" y="212721825"/>
          <a:ext cx="878840" cy="1183640"/>
        </a:xfrm>
        <a:prstGeom prst="rect">
          <a:avLst/>
        </a:prstGeom>
      </xdr:spPr>
    </xdr:pic>
    <xdr:clientData/>
  </xdr:twoCellAnchor>
  <xdr:twoCellAnchor>
    <xdr:from>
      <xdr:col>9</xdr:col>
      <xdr:colOff>6350</xdr:colOff>
      <xdr:row>274</xdr:row>
      <xdr:rowOff>25400</xdr:rowOff>
    </xdr:from>
    <xdr:to>
      <xdr:col>9</xdr:col>
      <xdr:colOff>885190</xdr:colOff>
      <xdr:row>274</xdr:row>
      <xdr:rowOff>1209040</xdr:rowOff>
    </xdr:to>
    <xdr:pic>
      <xdr:nvPicPr>
        <xdr:cNvPr id="5368" name="Изображение 5367" descr="resizeПП-00235709"/>
        <xdr:cNvPicPr>
          <a:picLocks noChangeAspect="1"/>
        </xdr:cNvPicPr>
      </xdr:nvPicPr>
      <xdr:blipFill>
        <a:blip xmlns:r="http://schemas.openxmlformats.org/officeDocument/2006/relationships" r:embed="rId161"/>
        <a:stretch>
          <a:fillRect/>
        </a:stretch>
      </xdr:blipFill>
      <xdr:spPr>
        <a:xfrm>
          <a:off x="7235825" y="213944200"/>
          <a:ext cx="878840" cy="1183640"/>
        </a:xfrm>
        <a:prstGeom prst="rect">
          <a:avLst/>
        </a:prstGeom>
      </xdr:spPr>
    </xdr:pic>
    <xdr:clientData/>
  </xdr:twoCellAnchor>
  <xdr:twoCellAnchor>
    <xdr:from>
      <xdr:col>9</xdr:col>
      <xdr:colOff>6350</xdr:colOff>
      <xdr:row>275</xdr:row>
      <xdr:rowOff>25400</xdr:rowOff>
    </xdr:from>
    <xdr:to>
      <xdr:col>9</xdr:col>
      <xdr:colOff>885190</xdr:colOff>
      <xdr:row>275</xdr:row>
      <xdr:rowOff>1209040</xdr:rowOff>
    </xdr:to>
    <xdr:pic>
      <xdr:nvPicPr>
        <xdr:cNvPr id="5369" name="Изображение 5368" descr="resizeПП-00235710"/>
        <xdr:cNvPicPr>
          <a:picLocks noChangeAspect="1"/>
        </xdr:cNvPicPr>
      </xdr:nvPicPr>
      <xdr:blipFill>
        <a:blip xmlns:r="http://schemas.openxmlformats.org/officeDocument/2006/relationships" r:embed="rId162"/>
        <a:stretch>
          <a:fillRect/>
        </a:stretch>
      </xdr:blipFill>
      <xdr:spPr>
        <a:xfrm>
          <a:off x="7235825" y="215166575"/>
          <a:ext cx="878840" cy="1183640"/>
        </a:xfrm>
        <a:prstGeom prst="rect">
          <a:avLst/>
        </a:prstGeom>
      </xdr:spPr>
    </xdr:pic>
    <xdr:clientData/>
  </xdr:twoCellAnchor>
  <xdr:twoCellAnchor>
    <xdr:from>
      <xdr:col>9</xdr:col>
      <xdr:colOff>6350</xdr:colOff>
      <xdr:row>276</xdr:row>
      <xdr:rowOff>25400</xdr:rowOff>
    </xdr:from>
    <xdr:to>
      <xdr:col>9</xdr:col>
      <xdr:colOff>885190</xdr:colOff>
      <xdr:row>276</xdr:row>
      <xdr:rowOff>1209040</xdr:rowOff>
    </xdr:to>
    <xdr:pic>
      <xdr:nvPicPr>
        <xdr:cNvPr id="5370" name="Изображение 5369" descr="resizeПП-00246237"/>
        <xdr:cNvPicPr>
          <a:picLocks noChangeAspect="1"/>
        </xdr:cNvPicPr>
      </xdr:nvPicPr>
      <xdr:blipFill>
        <a:blip xmlns:r="http://schemas.openxmlformats.org/officeDocument/2006/relationships" r:embed="rId163"/>
        <a:stretch>
          <a:fillRect/>
        </a:stretch>
      </xdr:blipFill>
      <xdr:spPr>
        <a:xfrm>
          <a:off x="7235825" y="216388950"/>
          <a:ext cx="878840" cy="1183640"/>
        </a:xfrm>
        <a:prstGeom prst="rect">
          <a:avLst/>
        </a:prstGeom>
      </xdr:spPr>
    </xdr:pic>
    <xdr:clientData/>
  </xdr:twoCellAnchor>
  <xdr:twoCellAnchor>
    <xdr:from>
      <xdr:col>9</xdr:col>
      <xdr:colOff>6350</xdr:colOff>
      <xdr:row>278</xdr:row>
      <xdr:rowOff>25400</xdr:rowOff>
    </xdr:from>
    <xdr:to>
      <xdr:col>9</xdr:col>
      <xdr:colOff>885190</xdr:colOff>
      <xdr:row>278</xdr:row>
      <xdr:rowOff>1209040</xdr:rowOff>
    </xdr:to>
    <xdr:pic>
      <xdr:nvPicPr>
        <xdr:cNvPr id="5371" name="Изображение 5370" descr="resizeПП-00235707"/>
        <xdr:cNvPicPr>
          <a:picLocks noChangeAspect="1"/>
        </xdr:cNvPicPr>
      </xdr:nvPicPr>
      <xdr:blipFill>
        <a:blip xmlns:r="http://schemas.openxmlformats.org/officeDocument/2006/relationships" r:embed="rId164"/>
        <a:stretch>
          <a:fillRect/>
        </a:stretch>
      </xdr:blipFill>
      <xdr:spPr>
        <a:xfrm>
          <a:off x="7235825" y="217763725"/>
          <a:ext cx="878840" cy="1183640"/>
        </a:xfrm>
        <a:prstGeom prst="rect">
          <a:avLst/>
        </a:prstGeom>
      </xdr:spPr>
    </xdr:pic>
    <xdr:clientData/>
  </xdr:twoCellAnchor>
  <xdr:twoCellAnchor>
    <xdr:from>
      <xdr:col>9</xdr:col>
      <xdr:colOff>6350</xdr:colOff>
      <xdr:row>279</xdr:row>
      <xdr:rowOff>25400</xdr:rowOff>
    </xdr:from>
    <xdr:to>
      <xdr:col>9</xdr:col>
      <xdr:colOff>885190</xdr:colOff>
      <xdr:row>279</xdr:row>
      <xdr:rowOff>1209040</xdr:rowOff>
    </xdr:to>
    <xdr:pic>
      <xdr:nvPicPr>
        <xdr:cNvPr id="5372" name="Изображение 5371" descr="resizeПП-00235706"/>
        <xdr:cNvPicPr>
          <a:picLocks noChangeAspect="1"/>
        </xdr:cNvPicPr>
      </xdr:nvPicPr>
      <xdr:blipFill>
        <a:blip xmlns:r="http://schemas.openxmlformats.org/officeDocument/2006/relationships" r:embed="rId165"/>
        <a:stretch>
          <a:fillRect/>
        </a:stretch>
      </xdr:blipFill>
      <xdr:spPr>
        <a:xfrm>
          <a:off x="7235825" y="218986100"/>
          <a:ext cx="878840" cy="1183640"/>
        </a:xfrm>
        <a:prstGeom prst="rect">
          <a:avLst/>
        </a:prstGeom>
      </xdr:spPr>
    </xdr:pic>
    <xdr:clientData/>
  </xdr:twoCellAnchor>
  <xdr:twoCellAnchor>
    <xdr:from>
      <xdr:col>9</xdr:col>
      <xdr:colOff>6350</xdr:colOff>
      <xdr:row>280</xdr:row>
      <xdr:rowOff>25400</xdr:rowOff>
    </xdr:from>
    <xdr:to>
      <xdr:col>9</xdr:col>
      <xdr:colOff>885190</xdr:colOff>
      <xdr:row>280</xdr:row>
      <xdr:rowOff>1209040</xdr:rowOff>
    </xdr:to>
    <xdr:pic>
      <xdr:nvPicPr>
        <xdr:cNvPr id="5373" name="Изображение 5372" descr="resizeПП-00235702"/>
        <xdr:cNvPicPr>
          <a:picLocks noChangeAspect="1"/>
        </xdr:cNvPicPr>
      </xdr:nvPicPr>
      <xdr:blipFill>
        <a:blip xmlns:r="http://schemas.openxmlformats.org/officeDocument/2006/relationships" r:embed="rId166"/>
        <a:stretch>
          <a:fillRect/>
        </a:stretch>
      </xdr:blipFill>
      <xdr:spPr>
        <a:xfrm>
          <a:off x="7235825" y="220208475"/>
          <a:ext cx="878840" cy="1183640"/>
        </a:xfrm>
        <a:prstGeom prst="rect">
          <a:avLst/>
        </a:prstGeom>
      </xdr:spPr>
    </xdr:pic>
    <xdr:clientData/>
  </xdr:twoCellAnchor>
  <xdr:twoCellAnchor>
    <xdr:from>
      <xdr:col>9</xdr:col>
      <xdr:colOff>6350</xdr:colOff>
      <xdr:row>281</xdr:row>
      <xdr:rowOff>25400</xdr:rowOff>
    </xdr:from>
    <xdr:to>
      <xdr:col>9</xdr:col>
      <xdr:colOff>885190</xdr:colOff>
      <xdr:row>281</xdr:row>
      <xdr:rowOff>1209040</xdr:rowOff>
    </xdr:to>
    <xdr:pic>
      <xdr:nvPicPr>
        <xdr:cNvPr id="5374" name="Изображение 5373" descr="resizeПП-00235704"/>
        <xdr:cNvPicPr>
          <a:picLocks noChangeAspect="1"/>
        </xdr:cNvPicPr>
      </xdr:nvPicPr>
      <xdr:blipFill>
        <a:blip xmlns:r="http://schemas.openxmlformats.org/officeDocument/2006/relationships" r:embed="rId167"/>
        <a:stretch>
          <a:fillRect/>
        </a:stretch>
      </xdr:blipFill>
      <xdr:spPr>
        <a:xfrm>
          <a:off x="7235825" y="221430850"/>
          <a:ext cx="878840" cy="1183640"/>
        </a:xfrm>
        <a:prstGeom prst="rect">
          <a:avLst/>
        </a:prstGeom>
      </xdr:spPr>
    </xdr:pic>
    <xdr:clientData/>
  </xdr:twoCellAnchor>
  <xdr:twoCellAnchor>
    <xdr:from>
      <xdr:col>9</xdr:col>
      <xdr:colOff>6350</xdr:colOff>
      <xdr:row>282</xdr:row>
      <xdr:rowOff>25400</xdr:rowOff>
    </xdr:from>
    <xdr:to>
      <xdr:col>9</xdr:col>
      <xdr:colOff>885190</xdr:colOff>
      <xdr:row>282</xdr:row>
      <xdr:rowOff>1209040</xdr:rowOff>
    </xdr:to>
    <xdr:pic>
      <xdr:nvPicPr>
        <xdr:cNvPr id="5375" name="Изображение 5374" descr="resizeПП-00246236"/>
        <xdr:cNvPicPr>
          <a:picLocks noChangeAspect="1"/>
        </xdr:cNvPicPr>
      </xdr:nvPicPr>
      <xdr:blipFill>
        <a:blip xmlns:r="http://schemas.openxmlformats.org/officeDocument/2006/relationships" r:embed="rId168"/>
        <a:stretch>
          <a:fillRect/>
        </a:stretch>
      </xdr:blipFill>
      <xdr:spPr>
        <a:xfrm>
          <a:off x="7235825" y="222653225"/>
          <a:ext cx="878840" cy="1183640"/>
        </a:xfrm>
        <a:prstGeom prst="rect">
          <a:avLst/>
        </a:prstGeom>
      </xdr:spPr>
    </xdr:pic>
    <xdr:clientData/>
  </xdr:twoCellAnchor>
  <xdr:twoCellAnchor>
    <xdr:from>
      <xdr:col>9</xdr:col>
      <xdr:colOff>6350</xdr:colOff>
      <xdr:row>287</xdr:row>
      <xdr:rowOff>25400</xdr:rowOff>
    </xdr:from>
    <xdr:to>
      <xdr:col>9</xdr:col>
      <xdr:colOff>885190</xdr:colOff>
      <xdr:row>287</xdr:row>
      <xdr:rowOff>1209040</xdr:rowOff>
    </xdr:to>
    <xdr:pic>
      <xdr:nvPicPr>
        <xdr:cNvPr id="5376" name="Изображение 5375" descr="resizeПП-00200650"/>
        <xdr:cNvPicPr>
          <a:picLocks noChangeAspect="1"/>
        </xdr:cNvPicPr>
      </xdr:nvPicPr>
      <xdr:blipFill>
        <a:blip xmlns:r="http://schemas.openxmlformats.org/officeDocument/2006/relationships" r:embed="rId169"/>
        <a:stretch>
          <a:fillRect/>
        </a:stretch>
      </xdr:blipFill>
      <xdr:spPr>
        <a:xfrm>
          <a:off x="7235825" y="224485200"/>
          <a:ext cx="878840" cy="1183640"/>
        </a:xfrm>
        <a:prstGeom prst="rect">
          <a:avLst/>
        </a:prstGeom>
      </xdr:spPr>
    </xdr:pic>
    <xdr:clientData/>
  </xdr:twoCellAnchor>
  <xdr:twoCellAnchor>
    <xdr:from>
      <xdr:col>9</xdr:col>
      <xdr:colOff>6350</xdr:colOff>
      <xdr:row>288</xdr:row>
      <xdr:rowOff>25400</xdr:rowOff>
    </xdr:from>
    <xdr:to>
      <xdr:col>9</xdr:col>
      <xdr:colOff>885190</xdr:colOff>
      <xdr:row>288</xdr:row>
      <xdr:rowOff>1209040</xdr:rowOff>
    </xdr:to>
    <xdr:pic>
      <xdr:nvPicPr>
        <xdr:cNvPr id="5377" name="Изображение 5376" descr="resizeПП-00200652"/>
        <xdr:cNvPicPr>
          <a:picLocks noChangeAspect="1"/>
        </xdr:cNvPicPr>
      </xdr:nvPicPr>
      <xdr:blipFill>
        <a:blip xmlns:r="http://schemas.openxmlformats.org/officeDocument/2006/relationships" r:embed="rId170"/>
        <a:stretch>
          <a:fillRect/>
        </a:stretch>
      </xdr:blipFill>
      <xdr:spPr>
        <a:xfrm>
          <a:off x="7235825" y="225707575"/>
          <a:ext cx="878840" cy="1183640"/>
        </a:xfrm>
        <a:prstGeom prst="rect">
          <a:avLst/>
        </a:prstGeom>
      </xdr:spPr>
    </xdr:pic>
    <xdr:clientData/>
  </xdr:twoCellAnchor>
  <xdr:twoCellAnchor>
    <xdr:from>
      <xdr:col>9</xdr:col>
      <xdr:colOff>6350</xdr:colOff>
      <xdr:row>289</xdr:row>
      <xdr:rowOff>25400</xdr:rowOff>
    </xdr:from>
    <xdr:to>
      <xdr:col>9</xdr:col>
      <xdr:colOff>885190</xdr:colOff>
      <xdr:row>289</xdr:row>
      <xdr:rowOff>1209040</xdr:rowOff>
    </xdr:to>
    <xdr:pic>
      <xdr:nvPicPr>
        <xdr:cNvPr id="5378" name="Изображение 5377" descr="resizeПП-00200651"/>
        <xdr:cNvPicPr>
          <a:picLocks noChangeAspect="1"/>
        </xdr:cNvPicPr>
      </xdr:nvPicPr>
      <xdr:blipFill>
        <a:blip xmlns:r="http://schemas.openxmlformats.org/officeDocument/2006/relationships" r:embed="rId171"/>
        <a:stretch>
          <a:fillRect/>
        </a:stretch>
      </xdr:blipFill>
      <xdr:spPr>
        <a:xfrm>
          <a:off x="7235825" y="226929950"/>
          <a:ext cx="878840" cy="1183640"/>
        </a:xfrm>
        <a:prstGeom prst="rect">
          <a:avLst/>
        </a:prstGeom>
      </xdr:spPr>
    </xdr:pic>
    <xdr:clientData/>
  </xdr:twoCellAnchor>
  <xdr:twoCellAnchor>
    <xdr:from>
      <xdr:col>9</xdr:col>
      <xdr:colOff>6350</xdr:colOff>
      <xdr:row>290</xdr:row>
      <xdr:rowOff>25400</xdr:rowOff>
    </xdr:from>
    <xdr:to>
      <xdr:col>9</xdr:col>
      <xdr:colOff>885190</xdr:colOff>
      <xdr:row>290</xdr:row>
      <xdr:rowOff>1209040</xdr:rowOff>
    </xdr:to>
    <xdr:pic>
      <xdr:nvPicPr>
        <xdr:cNvPr id="5379" name="Изображение 5378" descr="resizeПП-00200653"/>
        <xdr:cNvPicPr>
          <a:picLocks noChangeAspect="1"/>
        </xdr:cNvPicPr>
      </xdr:nvPicPr>
      <xdr:blipFill>
        <a:blip xmlns:r="http://schemas.openxmlformats.org/officeDocument/2006/relationships" r:embed="rId172"/>
        <a:stretch>
          <a:fillRect/>
        </a:stretch>
      </xdr:blipFill>
      <xdr:spPr>
        <a:xfrm>
          <a:off x="7235825" y="228152325"/>
          <a:ext cx="878840" cy="1183640"/>
        </a:xfrm>
        <a:prstGeom prst="rect">
          <a:avLst/>
        </a:prstGeom>
      </xdr:spPr>
    </xdr:pic>
    <xdr:clientData/>
  </xdr:twoCellAnchor>
  <xdr:twoCellAnchor>
    <xdr:from>
      <xdr:col>9</xdr:col>
      <xdr:colOff>6350</xdr:colOff>
      <xdr:row>291</xdr:row>
      <xdr:rowOff>25400</xdr:rowOff>
    </xdr:from>
    <xdr:to>
      <xdr:col>9</xdr:col>
      <xdr:colOff>885190</xdr:colOff>
      <xdr:row>291</xdr:row>
      <xdr:rowOff>1209040</xdr:rowOff>
    </xdr:to>
    <xdr:pic>
      <xdr:nvPicPr>
        <xdr:cNvPr id="5380" name="Изображение 5379" descr="resizeПП-00200654"/>
        <xdr:cNvPicPr>
          <a:picLocks noChangeAspect="1"/>
        </xdr:cNvPicPr>
      </xdr:nvPicPr>
      <xdr:blipFill>
        <a:blip xmlns:r="http://schemas.openxmlformats.org/officeDocument/2006/relationships" r:embed="rId173"/>
        <a:stretch>
          <a:fillRect/>
        </a:stretch>
      </xdr:blipFill>
      <xdr:spPr>
        <a:xfrm>
          <a:off x="7235825" y="229374700"/>
          <a:ext cx="878840" cy="1183640"/>
        </a:xfrm>
        <a:prstGeom prst="rect">
          <a:avLst/>
        </a:prstGeom>
      </xdr:spPr>
    </xdr:pic>
    <xdr:clientData/>
  </xdr:twoCellAnchor>
  <xdr:twoCellAnchor>
    <xdr:from>
      <xdr:col>9</xdr:col>
      <xdr:colOff>6350</xdr:colOff>
      <xdr:row>293</xdr:row>
      <xdr:rowOff>25400</xdr:rowOff>
    </xdr:from>
    <xdr:to>
      <xdr:col>9</xdr:col>
      <xdr:colOff>885190</xdr:colOff>
      <xdr:row>293</xdr:row>
      <xdr:rowOff>1209040</xdr:rowOff>
    </xdr:to>
    <xdr:pic>
      <xdr:nvPicPr>
        <xdr:cNvPr id="5381" name="Изображение 5380" descr="resizeПП-00203376"/>
        <xdr:cNvPicPr>
          <a:picLocks noChangeAspect="1"/>
        </xdr:cNvPicPr>
      </xdr:nvPicPr>
      <xdr:blipFill>
        <a:blip xmlns:r="http://schemas.openxmlformats.org/officeDocument/2006/relationships" r:embed="rId174"/>
        <a:stretch>
          <a:fillRect/>
        </a:stretch>
      </xdr:blipFill>
      <xdr:spPr>
        <a:xfrm>
          <a:off x="7235825" y="230749475"/>
          <a:ext cx="878840" cy="1183640"/>
        </a:xfrm>
        <a:prstGeom prst="rect">
          <a:avLst/>
        </a:prstGeom>
      </xdr:spPr>
    </xdr:pic>
    <xdr:clientData/>
  </xdr:twoCellAnchor>
  <xdr:twoCellAnchor>
    <xdr:from>
      <xdr:col>9</xdr:col>
      <xdr:colOff>6350</xdr:colOff>
      <xdr:row>294</xdr:row>
      <xdr:rowOff>25400</xdr:rowOff>
    </xdr:from>
    <xdr:to>
      <xdr:col>9</xdr:col>
      <xdr:colOff>885190</xdr:colOff>
      <xdr:row>294</xdr:row>
      <xdr:rowOff>1209040</xdr:rowOff>
    </xdr:to>
    <xdr:pic>
      <xdr:nvPicPr>
        <xdr:cNvPr id="5382" name="Изображение 5381" descr="resizeПП-00187674"/>
        <xdr:cNvPicPr>
          <a:picLocks noChangeAspect="1"/>
        </xdr:cNvPicPr>
      </xdr:nvPicPr>
      <xdr:blipFill>
        <a:blip xmlns:r="http://schemas.openxmlformats.org/officeDocument/2006/relationships" r:embed="rId175"/>
        <a:stretch>
          <a:fillRect/>
        </a:stretch>
      </xdr:blipFill>
      <xdr:spPr>
        <a:xfrm>
          <a:off x="7235825" y="231971850"/>
          <a:ext cx="878840" cy="1183640"/>
        </a:xfrm>
        <a:prstGeom prst="rect">
          <a:avLst/>
        </a:prstGeom>
      </xdr:spPr>
    </xdr:pic>
    <xdr:clientData/>
  </xdr:twoCellAnchor>
  <xdr:twoCellAnchor>
    <xdr:from>
      <xdr:col>9</xdr:col>
      <xdr:colOff>6350</xdr:colOff>
      <xdr:row>295</xdr:row>
      <xdr:rowOff>25400</xdr:rowOff>
    </xdr:from>
    <xdr:to>
      <xdr:col>9</xdr:col>
      <xdr:colOff>885190</xdr:colOff>
      <xdr:row>295</xdr:row>
      <xdr:rowOff>1209040</xdr:rowOff>
    </xdr:to>
    <xdr:pic>
      <xdr:nvPicPr>
        <xdr:cNvPr id="5383" name="Изображение 5382" descr="resizeПП-00187676"/>
        <xdr:cNvPicPr>
          <a:picLocks noChangeAspect="1"/>
        </xdr:cNvPicPr>
      </xdr:nvPicPr>
      <xdr:blipFill>
        <a:blip xmlns:r="http://schemas.openxmlformats.org/officeDocument/2006/relationships" r:embed="rId176"/>
        <a:stretch>
          <a:fillRect/>
        </a:stretch>
      </xdr:blipFill>
      <xdr:spPr>
        <a:xfrm>
          <a:off x="7235825" y="233194225"/>
          <a:ext cx="878840" cy="1183640"/>
        </a:xfrm>
        <a:prstGeom prst="rect">
          <a:avLst/>
        </a:prstGeom>
      </xdr:spPr>
    </xdr:pic>
    <xdr:clientData/>
  </xdr:twoCellAnchor>
  <xdr:twoCellAnchor>
    <xdr:from>
      <xdr:col>9</xdr:col>
      <xdr:colOff>6350</xdr:colOff>
      <xdr:row>296</xdr:row>
      <xdr:rowOff>25400</xdr:rowOff>
    </xdr:from>
    <xdr:to>
      <xdr:col>9</xdr:col>
      <xdr:colOff>885190</xdr:colOff>
      <xdr:row>296</xdr:row>
      <xdr:rowOff>1209040</xdr:rowOff>
    </xdr:to>
    <xdr:pic>
      <xdr:nvPicPr>
        <xdr:cNvPr id="5384" name="Изображение 5383" descr="resizeПП-00187683"/>
        <xdr:cNvPicPr>
          <a:picLocks noChangeAspect="1"/>
        </xdr:cNvPicPr>
      </xdr:nvPicPr>
      <xdr:blipFill>
        <a:blip xmlns:r="http://schemas.openxmlformats.org/officeDocument/2006/relationships" r:embed="rId177"/>
        <a:stretch>
          <a:fillRect/>
        </a:stretch>
      </xdr:blipFill>
      <xdr:spPr>
        <a:xfrm>
          <a:off x="7235825" y="234416600"/>
          <a:ext cx="878840" cy="1183640"/>
        </a:xfrm>
        <a:prstGeom prst="rect">
          <a:avLst/>
        </a:prstGeom>
      </xdr:spPr>
    </xdr:pic>
    <xdr:clientData/>
  </xdr:twoCellAnchor>
  <xdr:twoCellAnchor>
    <xdr:from>
      <xdr:col>9</xdr:col>
      <xdr:colOff>6350</xdr:colOff>
      <xdr:row>297</xdr:row>
      <xdr:rowOff>25400</xdr:rowOff>
    </xdr:from>
    <xdr:to>
      <xdr:col>9</xdr:col>
      <xdr:colOff>885190</xdr:colOff>
      <xdr:row>297</xdr:row>
      <xdr:rowOff>1209040</xdr:rowOff>
    </xdr:to>
    <xdr:pic>
      <xdr:nvPicPr>
        <xdr:cNvPr id="5385" name="Изображение 5384" descr="resizeПП-00187689"/>
        <xdr:cNvPicPr>
          <a:picLocks noChangeAspect="1"/>
        </xdr:cNvPicPr>
      </xdr:nvPicPr>
      <xdr:blipFill>
        <a:blip xmlns:r="http://schemas.openxmlformats.org/officeDocument/2006/relationships" r:embed="rId178"/>
        <a:stretch>
          <a:fillRect/>
        </a:stretch>
      </xdr:blipFill>
      <xdr:spPr>
        <a:xfrm>
          <a:off x="7235825" y="235638975"/>
          <a:ext cx="878840" cy="1183640"/>
        </a:xfrm>
        <a:prstGeom prst="rect">
          <a:avLst/>
        </a:prstGeom>
      </xdr:spPr>
    </xdr:pic>
    <xdr:clientData/>
  </xdr:twoCellAnchor>
  <xdr:twoCellAnchor>
    <xdr:from>
      <xdr:col>9</xdr:col>
      <xdr:colOff>6350</xdr:colOff>
      <xdr:row>298</xdr:row>
      <xdr:rowOff>25400</xdr:rowOff>
    </xdr:from>
    <xdr:to>
      <xdr:col>9</xdr:col>
      <xdr:colOff>885190</xdr:colOff>
      <xdr:row>298</xdr:row>
      <xdr:rowOff>1209040</xdr:rowOff>
    </xdr:to>
    <xdr:pic>
      <xdr:nvPicPr>
        <xdr:cNvPr id="5386" name="Изображение 5385" descr="resizeПП-00187684"/>
        <xdr:cNvPicPr>
          <a:picLocks noChangeAspect="1"/>
        </xdr:cNvPicPr>
      </xdr:nvPicPr>
      <xdr:blipFill>
        <a:blip xmlns:r="http://schemas.openxmlformats.org/officeDocument/2006/relationships" r:embed="rId179"/>
        <a:stretch>
          <a:fillRect/>
        </a:stretch>
      </xdr:blipFill>
      <xdr:spPr>
        <a:xfrm>
          <a:off x="7235825" y="236861350"/>
          <a:ext cx="878840" cy="1183640"/>
        </a:xfrm>
        <a:prstGeom prst="rect">
          <a:avLst/>
        </a:prstGeom>
      </xdr:spPr>
    </xdr:pic>
    <xdr:clientData/>
  </xdr:twoCellAnchor>
  <xdr:twoCellAnchor>
    <xdr:from>
      <xdr:col>9</xdr:col>
      <xdr:colOff>6350</xdr:colOff>
      <xdr:row>299</xdr:row>
      <xdr:rowOff>25400</xdr:rowOff>
    </xdr:from>
    <xdr:to>
      <xdr:col>9</xdr:col>
      <xdr:colOff>885190</xdr:colOff>
      <xdr:row>299</xdr:row>
      <xdr:rowOff>1209040</xdr:rowOff>
    </xdr:to>
    <xdr:pic>
      <xdr:nvPicPr>
        <xdr:cNvPr id="5387" name="Изображение 5386" descr="resizeПП-00187691"/>
        <xdr:cNvPicPr>
          <a:picLocks noChangeAspect="1"/>
        </xdr:cNvPicPr>
      </xdr:nvPicPr>
      <xdr:blipFill>
        <a:blip xmlns:r="http://schemas.openxmlformats.org/officeDocument/2006/relationships" r:embed="rId180"/>
        <a:stretch>
          <a:fillRect/>
        </a:stretch>
      </xdr:blipFill>
      <xdr:spPr>
        <a:xfrm>
          <a:off x="7235825" y="238083725"/>
          <a:ext cx="878840" cy="1183640"/>
        </a:xfrm>
        <a:prstGeom prst="rect">
          <a:avLst/>
        </a:prstGeom>
      </xdr:spPr>
    </xdr:pic>
    <xdr:clientData/>
  </xdr:twoCellAnchor>
  <xdr:twoCellAnchor>
    <xdr:from>
      <xdr:col>9</xdr:col>
      <xdr:colOff>6350</xdr:colOff>
      <xdr:row>300</xdr:row>
      <xdr:rowOff>25400</xdr:rowOff>
    </xdr:from>
    <xdr:to>
      <xdr:col>9</xdr:col>
      <xdr:colOff>885190</xdr:colOff>
      <xdr:row>300</xdr:row>
      <xdr:rowOff>1209040</xdr:rowOff>
    </xdr:to>
    <xdr:pic>
      <xdr:nvPicPr>
        <xdr:cNvPr id="5388" name="Изображение 5387" descr="resizeПП-00187686"/>
        <xdr:cNvPicPr>
          <a:picLocks noChangeAspect="1"/>
        </xdr:cNvPicPr>
      </xdr:nvPicPr>
      <xdr:blipFill>
        <a:blip xmlns:r="http://schemas.openxmlformats.org/officeDocument/2006/relationships" r:embed="rId179"/>
        <a:stretch>
          <a:fillRect/>
        </a:stretch>
      </xdr:blipFill>
      <xdr:spPr>
        <a:xfrm>
          <a:off x="7235825" y="239306100"/>
          <a:ext cx="878840" cy="1183640"/>
        </a:xfrm>
        <a:prstGeom prst="rect">
          <a:avLst/>
        </a:prstGeom>
      </xdr:spPr>
    </xdr:pic>
    <xdr:clientData/>
  </xdr:twoCellAnchor>
  <xdr:twoCellAnchor>
    <xdr:from>
      <xdr:col>9</xdr:col>
      <xdr:colOff>6350</xdr:colOff>
      <xdr:row>305</xdr:row>
      <xdr:rowOff>25400</xdr:rowOff>
    </xdr:from>
    <xdr:to>
      <xdr:col>9</xdr:col>
      <xdr:colOff>885190</xdr:colOff>
      <xdr:row>305</xdr:row>
      <xdr:rowOff>1209040</xdr:rowOff>
    </xdr:to>
    <xdr:pic>
      <xdr:nvPicPr>
        <xdr:cNvPr id="5389" name="Изображение 5388" descr="resizeПП-00232637"/>
        <xdr:cNvPicPr>
          <a:picLocks noChangeAspect="1"/>
        </xdr:cNvPicPr>
      </xdr:nvPicPr>
      <xdr:blipFill>
        <a:blip xmlns:r="http://schemas.openxmlformats.org/officeDocument/2006/relationships" r:embed="rId181"/>
        <a:stretch>
          <a:fillRect/>
        </a:stretch>
      </xdr:blipFill>
      <xdr:spPr>
        <a:xfrm>
          <a:off x="7235825" y="241138075"/>
          <a:ext cx="878840" cy="1183640"/>
        </a:xfrm>
        <a:prstGeom prst="rect">
          <a:avLst/>
        </a:prstGeom>
      </xdr:spPr>
    </xdr:pic>
    <xdr:clientData/>
  </xdr:twoCellAnchor>
  <xdr:twoCellAnchor>
    <xdr:from>
      <xdr:col>9</xdr:col>
      <xdr:colOff>6350</xdr:colOff>
      <xdr:row>306</xdr:row>
      <xdr:rowOff>25400</xdr:rowOff>
    </xdr:from>
    <xdr:to>
      <xdr:col>9</xdr:col>
      <xdr:colOff>885190</xdr:colOff>
      <xdr:row>306</xdr:row>
      <xdr:rowOff>1209040</xdr:rowOff>
    </xdr:to>
    <xdr:pic>
      <xdr:nvPicPr>
        <xdr:cNvPr id="5390" name="Изображение 5389" descr="resizeПП-00232638"/>
        <xdr:cNvPicPr>
          <a:picLocks noChangeAspect="1"/>
        </xdr:cNvPicPr>
      </xdr:nvPicPr>
      <xdr:blipFill>
        <a:blip xmlns:r="http://schemas.openxmlformats.org/officeDocument/2006/relationships" r:embed="rId182"/>
        <a:stretch>
          <a:fillRect/>
        </a:stretch>
      </xdr:blipFill>
      <xdr:spPr>
        <a:xfrm>
          <a:off x="7235825" y="242360450"/>
          <a:ext cx="878840" cy="1183640"/>
        </a:xfrm>
        <a:prstGeom prst="rect">
          <a:avLst/>
        </a:prstGeom>
      </xdr:spPr>
    </xdr:pic>
    <xdr:clientData/>
  </xdr:twoCellAnchor>
  <xdr:twoCellAnchor>
    <xdr:from>
      <xdr:col>9</xdr:col>
      <xdr:colOff>6350</xdr:colOff>
      <xdr:row>307</xdr:row>
      <xdr:rowOff>25400</xdr:rowOff>
    </xdr:from>
    <xdr:to>
      <xdr:col>9</xdr:col>
      <xdr:colOff>885190</xdr:colOff>
      <xdr:row>307</xdr:row>
      <xdr:rowOff>1209040</xdr:rowOff>
    </xdr:to>
    <xdr:pic>
      <xdr:nvPicPr>
        <xdr:cNvPr id="5391" name="Изображение 5390" descr="resizeПП-00232678"/>
        <xdr:cNvPicPr>
          <a:picLocks noChangeAspect="1"/>
        </xdr:cNvPicPr>
      </xdr:nvPicPr>
      <xdr:blipFill>
        <a:blip xmlns:r="http://schemas.openxmlformats.org/officeDocument/2006/relationships" r:embed="rId183"/>
        <a:stretch>
          <a:fillRect/>
        </a:stretch>
      </xdr:blipFill>
      <xdr:spPr>
        <a:xfrm>
          <a:off x="7235825" y="243582825"/>
          <a:ext cx="878840" cy="1183640"/>
        </a:xfrm>
        <a:prstGeom prst="rect">
          <a:avLst/>
        </a:prstGeom>
      </xdr:spPr>
    </xdr:pic>
    <xdr:clientData/>
  </xdr:twoCellAnchor>
  <xdr:twoCellAnchor>
    <xdr:from>
      <xdr:col>9</xdr:col>
      <xdr:colOff>6350</xdr:colOff>
      <xdr:row>308</xdr:row>
      <xdr:rowOff>25400</xdr:rowOff>
    </xdr:from>
    <xdr:to>
      <xdr:col>9</xdr:col>
      <xdr:colOff>885190</xdr:colOff>
      <xdr:row>308</xdr:row>
      <xdr:rowOff>1209040</xdr:rowOff>
    </xdr:to>
    <xdr:pic>
      <xdr:nvPicPr>
        <xdr:cNvPr id="5392" name="Изображение 5391" descr="resizeПП-00232644"/>
        <xdr:cNvPicPr>
          <a:picLocks noChangeAspect="1"/>
        </xdr:cNvPicPr>
      </xdr:nvPicPr>
      <xdr:blipFill>
        <a:blip xmlns:r="http://schemas.openxmlformats.org/officeDocument/2006/relationships" r:embed="rId184"/>
        <a:stretch>
          <a:fillRect/>
        </a:stretch>
      </xdr:blipFill>
      <xdr:spPr>
        <a:xfrm>
          <a:off x="7235825" y="244805200"/>
          <a:ext cx="878840" cy="1183640"/>
        </a:xfrm>
        <a:prstGeom prst="rect">
          <a:avLst/>
        </a:prstGeom>
      </xdr:spPr>
    </xdr:pic>
    <xdr:clientData/>
  </xdr:twoCellAnchor>
  <xdr:twoCellAnchor>
    <xdr:from>
      <xdr:col>9</xdr:col>
      <xdr:colOff>6350</xdr:colOff>
      <xdr:row>310</xdr:row>
      <xdr:rowOff>25400</xdr:rowOff>
    </xdr:from>
    <xdr:to>
      <xdr:col>9</xdr:col>
      <xdr:colOff>885190</xdr:colOff>
      <xdr:row>310</xdr:row>
      <xdr:rowOff>1209040</xdr:rowOff>
    </xdr:to>
    <xdr:pic>
      <xdr:nvPicPr>
        <xdr:cNvPr id="5393" name="Изображение 5392" descr="resizeПП-00232631"/>
        <xdr:cNvPicPr>
          <a:picLocks noChangeAspect="1"/>
        </xdr:cNvPicPr>
      </xdr:nvPicPr>
      <xdr:blipFill>
        <a:blip xmlns:r="http://schemas.openxmlformats.org/officeDocument/2006/relationships" r:embed="rId185"/>
        <a:stretch>
          <a:fillRect/>
        </a:stretch>
      </xdr:blipFill>
      <xdr:spPr>
        <a:xfrm>
          <a:off x="7235825" y="246179975"/>
          <a:ext cx="878840" cy="1183640"/>
        </a:xfrm>
        <a:prstGeom prst="rect">
          <a:avLst/>
        </a:prstGeom>
      </xdr:spPr>
    </xdr:pic>
    <xdr:clientData/>
  </xdr:twoCellAnchor>
  <xdr:twoCellAnchor>
    <xdr:from>
      <xdr:col>9</xdr:col>
      <xdr:colOff>6350</xdr:colOff>
      <xdr:row>311</xdr:row>
      <xdr:rowOff>25400</xdr:rowOff>
    </xdr:from>
    <xdr:to>
      <xdr:col>9</xdr:col>
      <xdr:colOff>885190</xdr:colOff>
      <xdr:row>311</xdr:row>
      <xdr:rowOff>1209040</xdr:rowOff>
    </xdr:to>
    <xdr:pic>
      <xdr:nvPicPr>
        <xdr:cNvPr id="5394" name="Изображение 5393" descr="resizeПП-00232632"/>
        <xdr:cNvPicPr>
          <a:picLocks noChangeAspect="1"/>
        </xdr:cNvPicPr>
      </xdr:nvPicPr>
      <xdr:blipFill>
        <a:blip xmlns:r="http://schemas.openxmlformats.org/officeDocument/2006/relationships" r:embed="rId186"/>
        <a:stretch>
          <a:fillRect/>
        </a:stretch>
      </xdr:blipFill>
      <xdr:spPr>
        <a:xfrm>
          <a:off x="7235825" y="247402350"/>
          <a:ext cx="878840" cy="1183640"/>
        </a:xfrm>
        <a:prstGeom prst="rect">
          <a:avLst/>
        </a:prstGeom>
      </xdr:spPr>
    </xdr:pic>
    <xdr:clientData/>
  </xdr:twoCellAnchor>
  <xdr:twoCellAnchor>
    <xdr:from>
      <xdr:col>9</xdr:col>
      <xdr:colOff>6350</xdr:colOff>
      <xdr:row>312</xdr:row>
      <xdr:rowOff>25400</xdr:rowOff>
    </xdr:from>
    <xdr:to>
      <xdr:col>9</xdr:col>
      <xdr:colOff>885190</xdr:colOff>
      <xdr:row>312</xdr:row>
      <xdr:rowOff>1209040</xdr:rowOff>
    </xdr:to>
    <xdr:pic>
      <xdr:nvPicPr>
        <xdr:cNvPr id="5395" name="Изображение 5394" descr="resizeПП-00232628"/>
        <xdr:cNvPicPr>
          <a:picLocks noChangeAspect="1"/>
        </xdr:cNvPicPr>
      </xdr:nvPicPr>
      <xdr:blipFill>
        <a:blip xmlns:r="http://schemas.openxmlformats.org/officeDocument/2006/relationships" r:embed="rId187"/>
        <a:stretch>
          <a:fillRect/>
        </a:stretch>
      </xdr:blipFill>
      <xdr:spPr>
        <a:xfrm>
          <a:off x="7235825" y="248624725"/>
          <a:ext cx="878840" cy="1183640"/>
        </a:xfrm>
        <a:prstGeom prst="rect">
          <a:avLst/>
        </a:prstGeom>
      </xdr:spPr>
    </xdr:pic>
    <xdr:clientData/>
  </xdr:twoCellAnchor>
  <xdr:twoCellAnchor>
    <xdr:from>
      <xdr:col>9</xdr:col>
      <xdr:colOff>6350</xdr:colOff>
      <xdr:row>313</xdr:row>
      <xdr:rowOff>25400</xdr:rowOff>
    </xdr:from>
    <xdr:to>
      <xdr:col>9</xdr:col>
      <xdr:colOff>885190</xdr:colOff>
      <xdr:row>313</xdr:row>
      <xdr:rowOff>1209040</xdr:rowOff>
    </xdr:to>
    <xdr:pic>
      <xdr:nvPicPr>
        <xdr:cNvPr id="5396" name="Изображение 5395" descr="resizeПП-00232630"/>
        <xdr:cNvPicPr>
          <a:picLocks noChangeAspect="1"/>
        </xdr:cNvPicPr>
      </xdr:nvPicPr>
      <xdr:blipFill>
        <a:blip xmlns:r="http://schemas.openxmlformats.org/officeDocument/2006/relationships" r:embed="rId188"/>
        <a:stretch>
          <a:fillRect/>
        </a:stretch>
      </xdr:blipFill>
      <xdr:spPr>
        <a:xfrm>
          <a:off x="7235825" y="249847100"/>
          <a:ext cx="878840" cy="1183640"/>
        </a:xfrm>
        <a:prstGeom prst="rect">
          <a:avLst/>
        </a:prstGeom>
      </xdr:spPr>
    </xdr:pic>
    <xdr:clientData/>
  </xdr:twoCellAnchor>
  <xdr:twoCellAnchor>
    <xdr:from>
      <xdr:col>9</xdr:col>
      <xdr:colOff>6350</xdr:colOff>
      <xdr:row>314</xdr:row>
      <xdr:rowOff>25400</xdr:rowOff>
    </xdr:from>
    <xdr:to>
      <xdr:col>9</xdr:col>
      <xdr:colOff>885190</xdr:colOff>
      <xdr:row>314</xdr:row>
      <xdr:rowOff>1209040</xdr:rowOff>
    </xdr:to>
    <xdr:pic>
      <xdr:nvPicPr>
        <xdr:cNvPr id="5397" name="Изображение 5396" descr="resizeПП-00232636"/>
        <xdr:cNvPicPr>
          <a:picLocks noChangeAspect="1"/>
        </xdr:cNvPicPr>
      </xdr:nvPicPr>
      <xdr:blipFill>
        <a:blip xmlns:r="http://schemas.openxmlformats.org/officeDocument/2006/relationships" r:embed="rId189"/>
        <a:stretch>
          <a:fillRect/>
        </a:stretch>
      </xdr:blipFill>
      <xdr:spPr>
        <a:xfrm>
          <a:off x="7235825" y="251069475"/>
          <a:ext cx="878840" cy="1183640"/>
        </a:xfrm>
        <a:prstGeom prst="rect">
          <a:avLst/>
        </a:prstGeom>
      </xdr:spPr>
    </xdr:pic>
    <xdr:clientData/>
  </xdr:twoCellAnchor>
  <xdr:twoCellAnchor>
    <xdr:from>
      <xdr:col>9</xdr:col>
      <xdr:colOff>6350</xdr:colOff>
      <xdr:row>315</xdr:row>
      <xdr:rowOff>25400</xdr:rowOff>
    </xdr:from>
    <xdr:to>
      <xdr:col>9</xdr:col>
      <xdr:colOff>885190</xdr:colOff>
      <xdr:row>315</xdr:row>
      <xdr:rowOff>1209040</xdr:rowOff>
    </xdr:to>
    <xdr:pic>
      <xdr:nvPicPr>
        <xdr:cNvPr id="5398" name="Изображение 5397" descr="resizeПП-00232633"/>
        <xdr:cNvPicPr>
          <a:picLocks noChangeAspect="1"/>
        </xdr:cNvPicPr>
      </xdr:nvPicPr>
      <xdr:blipFill>
        <a:blip xmlns:r="http://schemas.openxmlformats.org/officeDocument/2006/relationships" r:embed="rId190"/>
        <a:stretch>
          <a:fillRect/>
        </a:stretch>
      </xdr:blipFill>
      <xdr:spPr>
        <a:xfrm>
          <a:off x="7235825" y="252291850"/>
          <a:ext cx="878840" cy="1183640"/>
        </a:xfrm>
        <a:prstGeom prst="rect">
          <a:avLst/>
        </a:prstGeom>
      </xdr:spPr>
    </xdr:pic>
    <xdr:clientData/>
  </xdr:twoCellAnchor>
  <xdr:twoCellAnchor>
    <xdr:from>
      <xdr:col>9</xdr:col>
      <xdr:colOff>6350</xdr:colOff>
      <xdr:row>316</xdr:row>
      <xdr:rowOff>25400</xdr:rowOff>
    </xdr:from>
    <xdr:to>
      <xdr:col>9</xdr:col>
      <xdr:colOff>885190</xdr:colOff>
      <xdr:row>316</xdr:row>
      <xdr:rowOff>1209040</xdr:rowOff>
    </xdr:to>
    <xdr:pic>
      <xdr:nvPicPr>
        <xdr:cNvPr id="5399" name="Изображение 5398" descr="resizeПП-00232635"/>
        <xdr:cNvPicPr>
          <a:picLocks noChangeAspect="1"/>
        </xdr:cNvPicPr>
      </xdr:nvPicPr>
      <xdr:blipFill>
        <a:blip xmlns:r="http://schemas.openxmlformats.org/officeDocument/2006/relationships" r:embed="rId191"/>
        <a:stretch>
          <a:fillRect/>
        </a:stretch>
      </xdr:blipFill>
      <xdr:spPr>
        <a:xfrm>
          <a:off x="7235825" y="253514225"/>
          <a:ext cx="878840" cy="1183640"/>
        </a:xfrm>
        <a:prstGeom prst="rect">
          <a:avLst/>
        </a:prstGeom>
      </xdr:spPr>
    </xdr:pic>
    <xdr:clientData/>
  </xdr:twoCellAnchor>
  <xdr:twoCellAnchor>
    <xdr:from>
      <xdr:col>9</xdr:col>
      <xdr:colOff>6350</xdr:colOff>
      <xdr:row>317</xdr:row>
      <xdr:rowOff>25400</xdr:rowOff>
    </xdr:from>
    <xdr:to>
      <xdr:col>9</xdr:col>
      <xdr:colOff>885190</xdr:colOff>
      <xdr:row>317</xdr:row>
      <xdr:rowOff>1209040</xdr:rowOff>
    </xdr:to>
    <xdr:pic>
      <xdr:nvPicPr>
        <xdr:cNvPr id="5400" name="Изображение 5399" descr="resizeПП-00257570"/>
        <xdr:cNvPicPr>
          <a:picLocks noChangeAspect="1"/>
        </xdr:cNvPicPr>
      </xdr:nvPicPr>
      <xdr:blipFill>
        <a:blip xmlns:r="http://schemas.openxmlformats.org/officeDocument/2006/relationships" r:embed="rId192"/>
        <a:stretch>
          <a:fillRect/>
        </a:stretch>
      </xdr:blipFill>
      <xdr:spPr>
        <a:xfrm>
          <a:off x="7235825" y="254736600"/>
          <a:ext cx="878840" cy="1183640"/>
        </a:xfrm>
        <a:prstGeom prst="rect">
          <a:avLst/>
        </a:prstGeom>
      </xdr:spPr>
    </xdr:pic>
    <xdr:clientData/>
  </xdr:twoCellAnchor>
  <xdr:twoCellAnchor>
    <xdr:from>
      <xdr:col>9</xdr:col>
      <xdr:colOff>6350</xdr:colOff>
      <xdr:row>319</xdr:row>
      <xdr:rowOff>25400</xdr:rowOff>
    </xdr:from>
    <xdr:to>
      <xdr:col>9</xdr:col>
      <xdr:colOff>885190</xdr:colOff>
      <xdr:row>319</xdr:row>
      <xdr:rowOff>1209040</xdr:rowOff>
    </xdr:to>
    <xdr:pic>
      <xdr:nvPicPr>
        <xdr:cNvPr id="5401" name="Изображение 5400" descr="resizeПП-00257478"/>
        <xdr:cNvPicPr>
          <a:picLocks noChangeAspect="1"/>
        </xdr:cNvPicPr>
      </xdr:nvPicPr>
      <xdr:blipFill>
        <a:blip xmlns:r="http://schemas.openxmlformats.org/officeDocument/2006/relationships" r:embed="rId193"/>
        <a:stretch>
          <a:fillRect/>
        </a:stretch>
      </xdr:blipFill>
      <xdr:spPr>
        <a:xfrm>
          <a:off x="7235825" y="256111375"/>
          <a:ext cx="878840" cy="1183640"/>
        </a:xfrm>
        <a:prstGeom prst="rect">
          <a:avLst/>
        </a:prstGeom>
      </xdr:spPr>
    </xdr:pic>
    <xdr:clientData/>
  </xdr:twoCellAnchor>
  <xdr:twoCellAnchor>
    <xdr:from>
      <xdr:col>9</xdr:col>
      <xdr:colOff>6350</xdr:colOff>
      <xdr:row>320</xdr:row>
      <xdr:rowOff>25400</xdr:rowOff>
    </xdr:from>
    <xdr:to>
      <xdr:col>9</xdr:col>
      <xdr:colOff>885190</xdr:colOff>
      <xdr:row>320</xdr:row>
      <xdr:rowOff>1209040</xdr:rowOff>
    </xdr:to>
    <xdr:pic>
      <xdr:nvPicPr>
        <xdr:cNvPr id="5402" name="Изображение 5401" descr="resizeПП-00232705"/>
        <xdr:cNvPicPr>
          <a:picLocks noChangeAspect="1"/>
        </xdr:cNvPicPr>
      </xdr:nvPicPr>
      <xdr:blipFill>
        <a:blip xmlns:r="http://schemas.openxmlformats.org/officeDocument/2006/relationships" r:embed="rId194"/>
        <a:stretch>
          <a:fillRect/>
        </a:stretch>
      </xdr:blipFill>
      <xdr:spPr>
        <a:xfrm>
          <a:off x="7235825" y="257333750"/>
          <a:ext cx="878840" cy="1183640"/>
        </a:xfrm>
        <a:prstGeom prst="rect">
          <a:avLst/>
        </a:prstGeom>
      </xdr:spPr>
    </xdr:pic>
    <xdr:clientData/>
  </xdr:twoCellAnchor>
  <xdr:twoCellAnchor>
    <xdr:from>
      <xdr:col>9</xdr:col>
      <xdr:colOff>6350</xdr:colOff>
      <xdr:row>321</xdr:row>
      <xdr:rowOff>25400</xdr:rowOff>
    </xdr:from>
    <xdr:to>
      <xdr:col>9</xdr:col>
      <xdr:colOff>885190</xdr:colOff>
      <xdr:row>321</xdr:row>
      <xdr:rowOff>1209040</xdr:rowOff>
    </xdr:to>
    <xdr:pic>
      <xdr:nvPicPr>
        <xdr:cNvPr id="5403" name="Изображение 5402" descr="resizeПП-00232702"/>
        <xdr:cNvPicPr>
          <a:picLocks noChangeAspect="1"/>
        </xdr:cNvPicPr>
      </xdr:nvPicPr>
      <xdr:blipFill>
        <a:blip xmlns:r="http://schemas.openxmlformats.org/officeDocument/2006/relationships" r:embed="rId195"/>
        <a:stretch>
          <a:fillRect/>
        </a:stretch>
      </xdr:blipFill>
      <xdr:spPr>
        <a:xfrm>
          <a:off x="7235825" y="258556125"/>
          <a:ext cx="878840" cy="1183640"/>
        </a:xfrm>
        <a:prstGeom prst="rect">
          <a:avLst/>
        </a:prstGeom>
      </xdr:spPr>
    </xdr:pic>
    <xdr:clientData/>
  </xdr:twoCellAnchor>
  <xdr:twoCellAnchor>
    <xdr:from>
      <xdr:col>9</xdr:col>
      <xdr:colOff>6350</xdr:colOff>
      <xdr:row>322</xdr:row>
      <xdr:rowOff>25400</xdr:rowOff>
    </xdr:from>
    <xdr:to>
      <xdr:col>9</xdr:col>
      <xdr:colOff>885190</xdr:colOff>
      <xdr:row>322</xdr:row>
      <xdr:rowOff>1209040</xdr:rowOff>
    </xdr:to>
    <xdr:pic>
      <xdr:nvPicPr>
        <xdr:cNvPr id="5404" name="Изображение 5403" descr="resizeПП-00232704"/>
        <xdr:cNvPicPr>
          <a:picLocks noChangeAspect="1"/>
        </xdr:cNvPicPr>
      </xdr:nvPicPr>
      <xdr:blipFill>
        <a:blip xmlns:r="http://schemas.openxmlformats.org/officeDocument/2006/relationships" r:embed="rId196"/>
        <a:stretch>
          <a:fillRect/>
        </a:stretch>
      </xdr:blipFill>
      <xdr:spPr>
        <a:xfrm>
          <a:off x="7235825" y="259778500"/>
          <a:ext cx="878840" cy="1183640"/>
        </a:xfrm>
        <a:prstGeom prst="rect">
          <a:avLst/>
        </a:prstGeom>
      </xdr:spPr>
    </xdr:pic>
    <xdr:clientData/>
  </xdr:twoCellAnchor>
  <xdr:twoCellAnchor>
    <xdr:from>
      <xdr:col>9</xdr:col>
      <xdr:colOff>6350</xdr:colOff>
      <xdr:row>323</xdr:row>
      <xdr:rowOff>25400</xdr:rowOff>
    </xdr:from>
    <xdr:to>
      <xdr:col>9</xdr:col>
      <xdr:colOff>885190</xdr:colOff>
      <xdr:row>323</xdr:row>
      <xdr:rowOff>1209040</xdr:rowOff>
    </xdr:to>
    <xdr:pic>
      <xdr:nvPicPr>
        <xdr:cNvPr id="5405" name="Изображение 5404" descr="resizeПП-00232716"/>
        <xdr:cNvPicPr>
          <a:picLocks noChangeAspect="1"/>
        </xdr:cNvPicPr>
      </xdr:nvPicPr>
      <xdr:blipFill>
        <a:blip xmlns:r="http://schemas.openxmlformats.org/officeDocument/2006/relationships" r:embed="rId197"/>
        <a:stretch>
          <a:fillRect/>
        </a:stretch>
      </xdr:blipFill>
      <xdr:spPr>
        <a:xfrm>
          <a:off x="7235825" y="261000875"/>
          <a:ext cx="878840" cy="1183640"/>
        </a:xfrm>
        <a:prstGeom prst="rect">
          <a:avLst/>
        </a:prstGeom>
      </xdr:spPr>
    </xdr:pic>
    <xdr:clientData/>
  </xdr:twoCellAnchor>
  <xdr:twoCellAnchor>
    <xdr:from>
      <xdr:col>9</xdr:col>
      <xdr:colOff>6350</xdr:colOff>
      <xdr:row>324</xdr:row>
      <xdr:rowOff>25400</xdr:rowOff>
    </xdr:from>
    <xdr:to>
      <xdr:col>9</xdr:col>
      <xdr:colOff>885190</xdr:colOff>
      <xdr:row>324</xdr:row>
      <xdr:rowOff>1209040</xdr:rowOff>
    </xdr:to>
    <xdr:pic>
      <xdr:nvPicPr>
        <xdr:cNvPr id="5406" name="Изображение 5405" descr="resizeПП-00232718"/>
        <xdr:cNvPicPr>
          <a:picLocks noChangeAspect="1"/>
        </xdr:cNvPicPr>
      </xdr:nvPicPr>
      <xdr:blipFill>
        <a:blip xmlns:r="http://schemas.openxmlformats.org/officeDocument/2006/relationships" r:embed="rId198"/>
        <a:stretch>
          <a:fillRect/>
        </a:stretch>
      </xdr:blipFill>
      <xdr:spPr>
        <a:xfrm>
          <a:off x="7235825" y="262223250"/>
          <a:ext cx="878840" cy="1183640"/>
        </a:xfrm>
        <a:prstGeom prst="rect">
          <a:avLst/>
        </a:prstGeom>
      </xdr:spPr>
    </xdr:pic>
    <xdr:clientData/>
  </xdr:twoCellAnchor>
  <xdr:twoCellAnchor>
    <xdr:from>
      <xdr:col>9</xdr:col>
      <xdr:colOff>6350</xdr:colOff>
      <xdr:row>325</xdr:row>
      <xdr:rowOff>25400</xdr:rowOff>
    </xdr:from>
    <xdr:to>
      <xdr:col>9</xdr:col>
      <xdr:colOff>885190</xdr:colOff>
      <xdr:row>325</xdr:row>
      <xdr:rowOff>1209040</xdr:rowOff>
    </xdr:to>
    <xdr:pic>
      <xdr:nvPicPr>
        <xdr:cNvPr id="5407" name="Изображение 5406" descr="resizeПП-00232711"/>
        <xdr:cNvPicPr>
          <a:picLocks noChangeAspect="1"/>
        </xdr:cNvPicPr>
      </xdr:nvPicPr>
      <xdr:blipFill>
        <a:blip xmlns:r="http://schemas.openxmlformats.org/officeDocument/2006/relationships" r:embed="rId199"/>
        <a:stretch>
          <a:fillRect/>
        </a:stretch>
      </xdr:blipFill>
      <xdr:spPr>
        <a:xfrm>
          <a:off x="7235825" y="263445625"/>
          <a:ext cx="878840" cy="1183640"/>
        </a:xfrm>
        <a:prstGeom prst="rect">
          <a:avLst/>
        </a:prstGeom>
      </xdr:spPr>
    </xdr:pic>
    <xdr:clientData/>
  </xdr:twoCellAnchor>
  <xdr:twoCellAnchor>
    <xdr:from>
      <xdr:col>9</xdr:col>
      <xdr:colOff>6350</xdr:colOff>
      <xdr:row>326</xdr:row>
      <xdr:rowOff>25400</xdr:rowOff>
    </xdr:from>
    <xdr:to>
      <xdr:col>9</xdr:col>
      <xdr:colOff>885190</xdr:colOff>
      <xdr:row>326</xdr:row>
      <xdr:rowOff>1209040</xdr:rowOff>
    </xdr:to>
    <xdr:pic>
      <xdr:nvPicPr>
        <xdr:cNvPr id="5408" name="Изображение 5407" descr="resizeПП-00232707"/>
        <xdr:cNvPicPr>
          <a:picLocks noChangeAspect="1"/>
        </xdr:cNvPicPr>
      </xdr:nvPicPr>
      <xdr:blipFill>
        <a:blip xmlns:r="http://schemas.openxmlformats.org/officeDocument/2006/relationships" r:embed="rId200"/>
        <a:stretch>
          <a:fillRect/>
        </a:stretch>
      </xdr:blipFill>
      <xdr:spPr>
        <a:xfrm>
          <a:off x="7235825" y="264668000"/>
          <a:ext cx="878840" cy="1183640"/>
        </a:xfrm>
        <a:prstGeom prst="rect">
          <a:avLst/>
        </a:prstGeom>
      </xdr:spPr>
    </xdr:pic>
    <xdr:clientData/>
  </xdr:twoCellAnchor>
  <xdr:twoCellAnchor>
    <xdr:from>
      <xdr:col>9</xdr:col>
      <xdr:colOff>6350</xdr:colOff>
      <xdr:row>327</xdr:row>
      <xdr:rowOff>25400</xdr:rowOff>
    </xdr:from>
    <xdr:to>
      <xdr:col>9</xdr:col>
      <xdr:colOff>885190</xdr:colOff>
      <xdr:row>327</xdr:row>
      <xdr:rowOff>1209040</xdr:rowOff>
    </xdr:to>
    <xdr:pic>
      <xdr:nvPicPr>
        <xdr:cNvPr id="5409" name="Изображение 5408" descr="resizeПП-00232709"/>
        <xdr:cNvPicPr>
          <a:picLocks noChangeAspect="1"/>
        </xdr:cNvPicPr>
      </xdr:nvPicPr>
      <xdr:blipFill>
        <a:blip xmlns:r="http://schemas.openxmlformats.org/officeDocument/2006/relationships" r:embed="rId201"/>
        <a:stretch>
          <a:fillRect/>
        </a:stretch>
      </xdr:blipFill>
      <xdr:spPr>
        <a:xfrm>
          <a:off x="7235825" y="265890375"/>
          <a:ext cx="878840" cy="1183640"/>
        </a:xfrm>
        <a:prstGeom prst="rect">
          <a:avLst/>
        </a:prstGeom>
      </xdr:spPr>
    </xdr:pic>
    <xdr:clientData/>
  </xdr:twoCellAnchor>
  <xdr:twoCellAnchor>
    <xdr:from>
      <xdr:col>9</xdr:col>
      <xdr:colOff>6350</xdr:colOff>
      <xdr:row>328</xdr:row>
      <xdr:rowOff>25400</xdr:rowOff>
    </xdr:from>
    <xdr:to>
      <xdr:col>9</xdr:col>
      <xdr:colOff>885190</xdr:colOff>
      <xdr:row>328</xdr:row>
      <xdr:rowOff>1209040</xdr:rowOff>
    </xdr:to>
    <xdr:pic>
      <xdr:nvPicPr>
        <xdr:cNvPr id="5410" name="Изображение 5409" descr="resizeПП-00232719"/>
        <xdr:cNvPicPr>
          <a:picLocks noChangeAspect="1"/>
        </xdr:cNvPicPr>
      </xdr:nvPicPr>
      <xdr:blipFill>
        <a:blip xmlns:r="http://schemas.openxmlformats.org/officeDocument/2006/relationships" r:embed="rId202"/>
        <a:stretch>
          <a:fillRect/>
        </a:stretch>
      </xdr:blipFill>
      <xdr:spPr>
        <a:xfrm>
          <a:off x="7235825" y="267112750"/>
          <a:ext cx="878840" cy="1183640"/>
        </a:xfrm>
        <a:prstGeom prst="rect">
          <a:avLst/>
        </a:prstGeom>
      </xdr:spPr>
    </xdr:pic>
    <xdr:clientData/>
  </xdr:twoCellAnchor>
  <xdr:twoCellAnchor>
    <xdr:from>
      <xdr:col>9</xdr:col>
      <xdr:colOff>6350</xdr:colOff>
      <xdr:row>329</xdr:row>
      <xdr:rowOff>25400</xdr:rowOff>
    </xdr:from>
    <xdr:to>
      <xdr:col>9</xdr:col>
      <xdr:colOff>885190</xdr:colOff>
      <xdr:row>329</xdr:row>
      <xdr:rowOff>1209040</xdr:rowOff>
    </xdr:to>
    <xdr:pic>
      <xdr:nvPicPr>
        <xdr:cNvPr id="5411" name="Изображение 5410" descr="resizeПП-00232722"/>
        <xdr:cNvPicPr>
          <a:picLocks noChangeAspect="1"/>
        </xdr:cNvPicPr>
      </xdr:nvPicPr>
      <xdr:blipFill>
        <a:blip xmlns:r="http://schemas.openxmlformats.org/officeDocument/2006/relationships" r:embed="rId203"/>
        <a:stretch>
          <a:fillRect/>
        </a:stretch>
      </xdr:blipFill>
      <xdr:spPr>
        <a:xfrm>
          <a:off x="7235825" y="268335125"/>
          <a:ext cx="878840" cy="1183640"/>
        </a:xfrm>
        <a:prstGeom prst="rect">
          <a:avLst/>
        </a:prstGeom>
      </xdr:spPr>
    </xdr:pic>
    <xdr:clientData/>
  </xdr:twoCellAnchor>
  <xdr:twoCellAnchor>
    <xdr:from>
      <xdr:col>9</xdr:col>
      <xdr:colOff>6350</xdr:colOff>
      <xdr:row>330</xdr:row>
      <xdr:rowOff>25400</xdr:rowOff>
    </xdr:from>
    <xdr:to>
      <xdr:col>9</xdr:col>
      <xdr:colOff>885190</xdr:colOff>
      <xdr:row>330</xdr:row>
      <xdr:rowOff>1209040</xdr:rowOff>
    </xdr:to>
    <xdr:pic>
      <xdr:nvPicPr>
        <xdr:cNvPr id="5412" name="Изображение 5411" descr="resizeПП-00232720"/>
        <xdr:cNvPicPr>
          <a:picLocks noChangeAspect="1"/>
        </xdr:cNvPicPr>
      </xdr:nvPicPr>
      <xdr:blipFill>
        <a:blip xmlns:r="http://schemas.openxmlformats.org/officeDocument/2006/relationships" r:embed="rId204"/>
        <a:stretch>
          <a:fillRect/>
        </a:stretch>
      </xdr:blipFill>
      <xdr:spPr>
        <a:xfrm>
          <a:off x="7235825" y="269557500"/>
          <a:ext cx="878840" cy="1183640"/>
        </a:xfrm>
        <a:prstGeom prst="rect">
          <a:avLst/>
        </a:prstGeom>
      </xdr:spPr>
    </xdr:pic>
    <xdr:clientData/>
  </xdr:twoCellAnchor>
  <xdr:twoCellAnchor>
    <xdr:from>
      <xdr:col>9</xdr:col>
      <xdr:colOff>6350</xdr:colOff>
      <xdr:row>331</xdr:row>
      <xdr:rowOff>25400</xdr:rowOff>
    </xdr:from>
    <xdr:to>
      <xdr:col>9</xdr:col>
      <xdr:colOff>885190</xdr:colOff>
      <xdr:row>331</xdr:row>
      <xdr:rowOff>1209040</xdr:rowOff>
    </xdr:to>
    <xdr:pic>
      <xdr:nvPicPr>
        <xdr:cNvPr id="5413" name="Изображение 5412" descr="resizeПП-00232721"/>
        <xdr:cNvPicPr>
          <a:picLocks noChangeAspect="1"/>
        </xdr:cNvPicPr>
      </xdr:nvPicPr>
      <xdr:blipFill>
        <a:blip xmlns:r="http://schemas.openxmlformats.org/officeDocument/2006/relationships" r:embed="rId205"/>
        <a:stretch>
          <a:fillRect/>
        </a:stretch>
      </xdr:blipFill>
      <xdr:spPr>
        <a:xfrm>
          <a:off x="7235825" y="270779875"/>
          <a:ext cx="878840" cy="1183640"/>
        </a:xfrm>
        <a:prstGeom prst="rect">
          <a:avLst/>
        </a:prstGeom>
      </xdr:spPr>
    </xdr:pic>
    <xdr:clientData/>
  </xdr:twoCellAnchor>
  <xdr:twoCellAnchor>
    <xdr:from>
      <xdr:col>9</xdr:col>
      <xdr:colOff>6350</xdr:colOff>
      <xdr:row>332</xdr:row>
      <xdr:rowOff>25400</xdr:rowOff>
    </xdr:from>
    <xdr:to>
      <xdr:col>9</xdr:col>
      <xdr:colOff>885190</xdr:colOff>
      <xdr:row>332</xdr:row>
      <xdr:rowOff>1209040</xdr:rowOff>
    </xdr:to>
    <xdr:pic>
      <xdr:nvPicPr>
        <xdr:cNvPr id="5414" name="Изображение 5413" descr="resizeПП-00232700"/>
        <xdr:cNvPicPr>
          <a:picLocks noChangeAspect="1"/>
        </xdr:cNvPicPr>
      </xdr:nvPicPr>
      <xdr:blipFill>
        <a:blip xmlns:r="http://schemas.openxmlformats.org/officeDocument/2006/relationships" r:embed="rId206"/>
        <a:stretch>
          <a:fillRect/>
        </a:stretch>
      </xdr:blipFill>
      <xdr:spPr>
        <a:xfrm>
          <a:off x="7235825" y="272002250"/>
          <a:ext cx="878840" cy="1183640"/>
        </a:xfrm>
        <a:prstGeom prst="rect">
          <a:avLst/>
        </a:prstGeom>
      </xdr:spPr>
    </xdr:pic>
    <xdr:clientData/>
  </xdr:twoCellAnchor>
  <xdr:twoCellAnchor>
    <xdr:from>
      <xdr:col>9</xdr:col>
      <xdr:colOff>6350</xdr:colOff>
      <xdr:row>333</xdr:row>
      <xdr:rowOff>25400</xdr:rowOff>
    </xdr:from>
    <xdr:to>
      <xdr:col>9</xdr:col>
      <xdr:colOff>885190</xdr:colOff>
      <xdr:row>333</xdr:row>
      <xdr:rowOff>1209040</xdr:rowOff>
    </xdr:to>
    <xdr:pic>
      <xdr:nvPicPr>
        <xdr:cNvPr id="5415" name="Изображение 5414" descr="resizeПП-00232697"/>
        <xdr:cNvPicPr>
          <a:picLocks noChangeAspect="1"/>
        </xdr:cNvPicPr>
      </xdr:nvPicPr>
      <xdr:blipFill>
        <a:blip xmlns:r="http://schemas.openxmlformats.org/officeDocument/2006/relationships" r:embed="rId207"/>
        <a:stretch>
          <a:fillRect/>
        </a:stretch>
      </xdr:blipFill>
      <xdr:spPr>
        <a:xfrm>
          <a:off x="7235825" y="273224625"/>
          <a:ext cx="878840" cy="1183640"/>
        </a:xfrm>
        <a:prstGeom prst="rect">
          <a:avLst/>
        </a:prstGeom>
      </xdr:spPr>
    </xdr:pic>
    <xdr:clientData/>
  </xdr:twoCellAnchor>
  <xdr:twoCellAnchor>
    <xdr:from>
      <xdr:col>9</xdr:col>
      <xdr:colOff>6350</xdr:colOff>
      <xdr:row>334</xdr:row>
      <xdr:rowOff>25400</xdr:rowOff>
    </xdr:from>
    <xdr:to>
      <xdr:col>9</xdr:col>
      <xdr:colOff>885190</xdr:colOff>
      <xdr:row>334</xdr:row>
      <xdr:rowOff>1209040</xdr:rowOff>
    </xdr:to>
    <xdr:pic>
      <xdr:nvPicPr>
        <xdr:cNvPr id="5416" name="Изображение 5415" descr="resizeПП-00232699"/>
        <xdr:cNvPicPr>
          <a:picLocks noChangeAspect="1"/>
        </xdr:cNvPicPr>
      </xdr:nvPicPr>
      <xdr:blipFill>
        <a:blip xmlns:r="http://schemas.openxmlformats.org/officeDocument/2006/relationships" r:embed="rId208"/>
        <a:stretch>
          <a:fillRect/>
        </a:stretch>
      </xdr:blipFill>
      <xdr:spPr>
        <a:xfrm>
          <a:off x="7235825" y="274447000"/>
          <a:ext cx="878840" cy="1183640"/>
        </a:xfrm>
        <a:prstGeom prst="rect">
          <a:avLst/>
        </a:prstGeom>
      </xdr:spPr>
    </xdr:pic>
    <xdr:clientData/>
  </xdr:twoCellAnchor>
  <xdr:twoCellAnchor>
    <xdr:from>
      <xdr:col>9</xdr:col>
      <xdr:colOff>6350</xdr:colOff>
      <xdr:row>335</xdr:row>
      <xdr:rowOff>25400</xdr:rowOff>
    </xdr:from>
    <xdr:to>
      <xdr:col>9</xdr:col>
      <xdr:colOff>885190</xdr:colOff>
      <xdr:row>335</xdr:row>
      <xdr:rowOff>1209040</xdr:rowOff>
    </xdr:to>
    <xdr:pic>
      <xdr:nvPicPr>
        <xdr:cNvPr id="5417" name="Изображение 5416" descr="resizeПП-00232715"/>
        <xdr:cNvPicPr>
          <a:picLocks noChangeAspect="1"/>
        </xdr:cNvPicPr>
      </xdr:nvPicPr>
      <xdr:blipFill>
        <a:blip xmlns:r="http://schemas.openxmlformats.org/officeDocument/2006/relationships" r:embed="rId209"/>
        <a:stretch>
          <a:fillRect/>
        </a:stretch>
      </xdr:blipFill>
      <xdr:spPr>
        <a:xfrm>
          <a:off x="7235825" y="275669375"/>
          <a:ext cx="878840" cy="1183640"/>
        </a:xfrm>
        <a:prstGeom prst="rect">
          <a:avLst/>
        </a:prstGeom>
      </xdr:spPr>
    </xdr:pic>
    <xdr:clientData/>
  </xdr:twoCellAnchor>
  <xdr:twoCellAnchor>
    <xdr:from>
      <xdr:col>9</xdr:col>
      <xdr:colOff>6350</xdr:colOff>
      <xdr:row>336</xdr:row>
      <xdr:rowOff>25400</xdr:rowOff>
    </xdr:from>
    <xdr:to>
      <xdr:col>9</xdr:col>
      <xdr:colOff>885190</xdr:colOff>
      <xdr:row>336</xdr:row>
      <xdr:rowOff>1209040</xdr:rowOff>
    </xdr:to>
    <xdr:pic>
      <xdr:nvPicPr>
        <xdr:cNvPr id="5418" name="Изображение 5417" descr="resizeПП-00232713"/>
        <xdr:cNvPicPr>
          <a:picLocks noChangeAspect="1"/>
        </xdr:cNvPicPr>
      </xdr:nvPicPr>
      <xdr:blipFill>
        <a:blip xmlns:r="http://schemas.openxmlformats.org/officeDocument/2006/relationships" r:embed="rId210"/>
        <a:stretch>
          <a:fillRect/>
        </a:stretch>
      </xdr:blipFill>
      <xdr:spPr>
        <a:xfrm>
          <a:off x="7235825" y="276891750"/>
          <a:ext cx="878840" cy="1183640"/>
        </a:xfrm>
        <a:prstGeom prst="rect">
          <a:avLst/>
        </a:prstGeom>
      </xdr:spPr>
    </xdr:pic>
    <xdr:clientData/>
  </xdr:twoCellAnchor>
  <xdr:twoCellAnchor>
    <xdr:from>
      <xdr:col>9</xdr:col>
      <xdr:colOff>6350</xdr:colOff>
      <xdr:row>338</xdr:row>
      <xdr:rowOff>25400</xdr:rowOff>
    </xdr:from>
    <xdr:to>
      <xdr:col>9</xdr:col>
      <xdr:colOff>885190</xdr:colOff>
      <xdr:row>338</xdr:row>
      <xdr:rowOff>1209040</xdr:rowOff>
    </xdr:to>
    <xdr:pic>
      <xdr:nvPicPr>
        <xdr:cNvPr id="5419" name="Изображение 5418" descr="resizeПП-00232687"/>
        <xdr:cNvPicPr>
          <a:picLocks noChangeAspect="1"/>
        </xdr:cNvPicPr>
      </xdr:nvPicPr>
      <xdr:blipFill>
        <a:blip xmlns:r="http://schemas.openxmlformats.org/officeDocument/2006/relationships" r:embed="rId211"/>
        <a:stretch>
          <a:fillRect/>
        </a:stretch>
      </xdr:blipFill>
      <xdr:spPr>
        <a:xfrm>
          <a:off x="7235825" y="278266525"/>
          <a:ext cx="878840" cy="1183640"/>
        </a:xfrm>
        <a:prstGeom prst="rect">
          <a:avLst/>
        </a:prstGeom>
      </xdr:spPr>
    </xdr:pic>
    <xdr:clientData/>
  </xdr:twoCellAnchor>
  <xdr:twoCellAnchor>
    <xdr:from>
      <xdr:col>9</xdr:col>
      <xdr:colOff>6350</xdr:colOff>
      <xdr:row>339</xdr:row>
      <xdr:rowOff>25400</xdr:rowOff>
    </xdr:from>
    <xdr:to>
      <xdr:col>9</xdr:col>
      <xdr:colOff>885190</xdr:colOff>
      <xdr:row>339</xdr:row>
      <xdr:rowOff>1209040</xdr:rowOff>
    </xdr:to>
    <xdr:pic>
      <xdr:nvPicPr>
        <xdr:cNvPr id="5420" name="Изображение 5419" descr="resizeПП-00232688"/>
        <xdr:cNvPicPr>
          <a:picLocks noChangeAspect="1"/>
        </xdr:cNvPicPr>
      </xdr:nvPicPr>
      <xdr:blipFill>
        <a:blip xmlns:r="http://schemas.openxmlformats.org/officeDocument/2006/relationships" r:embed="rId212"/>
        <a:stretch>
          <a:fillRect/>
        </a:stretch>
      </xdr:blipFill>
      <xdr:spPr>
        <a:xfrm>
          <a:off x="7235825" y="279488900"/>
          <a:ext cx="878840" cy="1183640"/>
        </a:xfrm>
        <a:prstGeom prst="rect">
          <a:avLst/>
        </a:prstGeom>
      </xdr:spPr>
    </xdr:pic>
    <xdr:clientData/>
  </xdr:twoCellAnchor>
  <xdr:twoCellAnchor>
    <xdr:from>
      <xdr:col>9</xdr:col>
      <xdr:colOff>6350</xdr:colOff>
      <xdr:row>340</xdr:row>
      <xdr:rowOff>25400</xdr:rowOff>
    </xdr:from>
    <xdr:to>
      <xdr:col>9</xdr:col>
      <xdr:colOff>885190</xdr:colOff>
      <xdr:row>340</xdr:row>
      <xdr:rowOff>1209040</xdr:rowOff>
    </xdr:to>
    <xdr:pic>
      <xdr:nvPicPr>
        <xdr:cNvPr id="5421" name="Изображение 5420" descr="resizeПП-00237435"/>
        <xdr:cNvPicPr>
          <a:picLocks noChangeAspect="1"/>
        </xdr:cNvPicPr>
      </xdr:nvPicPr>
      <xdr:blipFill>
        <a:blip xmlns:r="http://schemas.openxmlformats.org/officeDocument/2006/relationships" r:embed="rId213"/>
        <a:stretch>
          <a:fillRect/>
        </a:stretch>
      </xdr:blipFill>
      <xdr:spPr>
        <a:xfrm>
          <a:off x="7235825" y="280711275"/>
          <a:ext cx="878840" cy="1183640"/>
        </a:xfrm>
        <a:prstGeom prst="rect">
          <a:avLst/>
        </a:prstGeom>
      </xdr:spPr>
    </xdr:pic>
    <xdr:clientData/>
  </xdr:twoCellAnchor>
  <xdr:twoCellAnchor>
    <xdr:from>
      <xdr:col>9</xdr:col>
      <xdr:colOff>6350</xdr:colOff>
      <xdr:row>341</xdr:row>
      <xdr:rowOff>25400</xdr:rowOff>
    </xdr:from>
    <xdr:to>
      <xdr:col>9</xdr:col>
      <xdr:colOff>885190</xdr:colOff>
      <xdr:row>341</xdr:row>
      <xdr:rowOff>1209040</xdr:rowOff>
    </xdr:to>
    <xdr:pic>
      <xdr:nvPicPr>
        <xdr:cNvPr id="5422" name="Изображение 5421" descr="resizeПП-00237436"/>
        <xdr:cNvPicPr>
          <a:picLocks noChangeAspect="1"/>
        </xdr:cNvPicPr>
      </xdr:nvPicPr>
      <xdr:blipFill>
        <a:blip xmlns:r="http://schemas.openxmlformats.org/officeDocument/2006/relationships" r:embed="rId214"/>
        <a:stretch>
          <a:fillRect/>
        </a:stretch>
      </xdr:blipFill>
      <xdr:spPr>
        <a:xfrm>
          <a:off x="7235825" y="281933650"/>
          <a:ext cx="878840" cy="1183640"/>
        </a:xfrm>
        <a:prstGeom prst="rect">
          <a:avLst/>
        </a:prstGeom>
      </xdr:spPr>
    </xdr:pic>
    <xdr:clientData/>
  </xdr:twoCellAnchor>
  <xdr:twoCellAnchor>
    <xdr:from>
      <xdr:col>9</xdr:col>
      <xdr:colOff>6350</xdr:colOff>
      <xdr:row>342</xdr:row>
      <xdr:rowOff>25400</xdr:rowOff>
    </xdr:from>
    <xdr:to>
      <xdr:col>9</xdr:col>
      <xdr:colOff>885190</xdr:colOff>
      <xdr:row>342</xdr:row>
      <xdr:rowOff>1209040</xdr:rowOff>
    </xdr:to>
    <xdr:pic>
      <xdr:nvPicPr>
        <xdr:cNvPr id="5423" name="Изображение 5422" descr="resizeПП-00232690"/>
        <xdr:cNvPicPr>
          <a:picLocks noChangeAspect="1"/>
        </xdr:cNvPicPr>
      </xdr:nvPicPr>
      <xdr:blipFill>
        <a:blip xmlns:r="http://schemas.openxmlformats.org/officeDocument/2006/relationships" r:embed="rId215"/>
        <a:stretch>
          <a:fillRect/>
        </a:stretch>
      </xdr:blipFill>
      <xdr:spPr>
        <a:xfrm>
          <a:off x="7235825" y="283156025"/>
          <a:ext cx="878840" cy="1183640"/>
        </a:xfrm>
        <a:prstGeom prst="rect">
          <a:avLst/>
        </a:prstGeom>
      </xdr:spPr>
    </xdr:pic>
    <xdr:clientData/>
  </xdr:twoCellAnchor>
  <xdr:twoCellAnchor>
    <xdr:from>
      <xdr:col>9</xdr:col>
      <xdr:colOff>6350</xdr:colOff>
      <xdr:row>343</xdr:row>
      <xdr:rowOff>25400</xdr:rowOff>
    </xdr:from>
    <xdr:to>
      <xdr:col>9</xdr:col>
      <xdr:colOff>885190</xdr:colOff>
      <xdr:row>343</xdr:row>
      <xdr:rowOff>1209040</xdr:rowOff>
    </xdr:to>
    <xdr:pic>
      <xdr:nvPicPr>
        <xdr:cNvPr id="5424" name="Изображение 5423" descr="resizeПП-00232693"/>
        <xdr:cNvPicPr>
          <a:picLocks noChangeAspect="1"/>
        </xdr:cNvPicPr>
      </xdr:nvPicPr>
      <xdr:blipFill>
        <a:blip xmlns:r="http://schemas.openxmlformats.org/officeDocument/2006/relationships" r:embed="rId216"/>
        <a:stretch>
          <a:fillRect/>
        </a:stretch>
      </xdr:blipFill>
      <xdr:spPr>
        <a:xfrm>
          <a:off x="7235825" y="284378400"/>
          <a:ext cx="878840" cy="1183640"/>
        </a:xfrm>
        <a:prstGeom prst="rect">
          <a:avLst/>
        </a:prstGeom>
      </xdr:spPr>
    </xdr:pic>
    <xdr:clientData/>
  </xdr:twoCellAnchor>
  <xdr:twoCellAnchor>
    <xdr:from>
      <xdr:col>9</xdr:col>
      <xdr:colOff>6350</xdr:colOff>
      <xdr:row>345</xdr:row>
      <xdr:rowOff>25400</xdr:rowOff>
    </xdr:from>
    <xdr:to>
      <xdr:col>9</xdr:col>
      <xdr:colOff>885190</xdr:colOff>
      <xdr:row>345</xdr:row>
      <xdr:rowOff>1209040</xdr:rowOff>
    </xdr:to>
    <xdr:pic>
      <xdr:nvPicPr>
        <xdr:cNvPr id="5425" name="Изображение 5424" descr="resizeПП-00275951"/>
        <xdr:cNvPicPr>
          <a:picLocks noChangeAspect="1"/>
        </xdr:cNvPicPr>
      </xdr:nvPicPr>
      <xdr:blipFill>
        <a:blip xmlns:r="http://schemas.openxmlformats.org/officeDocument/2006/relationships" r:embed="rId217"/>
        <a:stretch>
          <a:fillRect/>
        </a:stretch>
      </xdr:blipFill>
      <xdr:spPr>
        <a:xfrm>
          <a:off x="7235825" y="285753175"/>
          <a:ext cx="878840" cy="1183640"/>
        </a:xfrm>
        <a:prstGeom prst="rect">
          <a:avLst/>
        </a:prstGeom>
      </xdr:spPr>
    </xdr:pic>
    <xdr:clientData/>
  </xdr:twoCellAnchor>
  <xdr:twoCellAnchor>
    <xdr:from>
      <xdr:col>9</xdr:col>
      <xdr:colOff>6350</xdr:colOff>
      <xdr:row>346</xdr:row>
      <xdr:rowOff>25400</xdr:rowOff>
    </xdr:from>
    <xdr:to>
      <xdr:col>9</xdr:col>
      <xdr:colOff>885190</xdr:colOff>
      <xdr:row>346</xdr:row>
      <xdr:rowOff>1209040</xdr:rowOff>
    </xdr:to>
    <xdr:pic>
      <xdr:nvPicPr>
        <xdr:cNvPr id="5426" name="Изображение 5425" descr="resizeПП-00275952"/>
        <xdr:cNvPicPr>
          <a:picLocks noChangeAspect="1"/>
        </xdr:cNvPicPr>
      </xdr:nvPicPr>
      <xdr:blipFill>
        <a:blip xmlns:r="http://schemas.openxmlformats.org/officeDocument/2006/relationships" r:embed="rId218"/>
        <a:stretch>
          <a:fillRect/>
        </a:stretch>
      </xdr:blipFill>
      <xdr:spPr>
        <a:xfrm>
          <a:off x="7235825" y="286975550"/>
          <a:ext cx="878840" cy="1183640"/>
        </a:xfrm>
        <a:prstGeom prst="rect">
          <a:avLst/>
        </a:prstGeom>
      </xdr:spPr>
    </xdr:pic>
    <xdr:clientData/>
  </xdr:twoCellAnchor>
  <xdr:twoCellAnchor>
    <xdr:from>
      <xdr:col>9</xdr:col>
      <xdr:colOff>6350</xdr:colOff>
      <xdr:row>347</xdr:row>
      <xdr:rowOff>25400</xdr:rowOff>
    </xdr:from>
    <xdr:to>
      <xdr:col>9</xdr:col>
      <xdr:colOff>885190</xdr:colOff>
      <xdr:row>347</xdr:row>
      <xdr:rowOff>1209040</xdr:rowOff>
    </xdr:to>
    <xdr:pic>
      <xdr:nvPicPr>
        <xdr:cNvPr id="5427" name="Изображение 5426" descr="resizeПП-00275950"/>
        <xdr:cNvPicPr>
          <a:picLocks noChangeAspect="1"/>
        </xdr:cNvPicPr>
      </xdr:nvPicPr>
      <xdr:blipFill>
        <a:blip xmlns:r="http://schemas.openxmlformats.org/officeDocument/2006/relationships" r:embed="rId219"/>
        <a:stretch>
          <a:fillRect/>
        </a:stretch>
      </xdr:blipFill>
      <xdr:spPr>
        <a:xfrm>
          <a:off x="7235825" y="288197925"/>
          <a:ext cx="878840" cy="1183640"/>
        </a:xfrm>
        <a:prstGeom prst="rect">
          <a:avLst/>
        </a:prstGeom>
      </xdr:spPr>
    </xdr:pic>
    <xdr:clientData/>
  </xdr:twoCellAnchor>
  <xdr:twoCellAnchor>
    <xdr:from>
      <xdr:col>9</xdr:col>
      <xdr:colOff>6350</xdr:colOff>
      <xdr:row>348</xdr:row>
      <xdr:rowOff>25400</xdr:rowOff>
    </xdr:from>
    <xdr:to>
      <xdr:col>9</xdr:col>
      <xdr:colOff>885190</xdr:colOff>
      <xdr:row>348</xdr:row>
      <xdr:rowOff>1209040</xdr:rowOff>
    </xdr:to>
    <xdr:pic>
      <xdr:nvPicPr>
        <xdr:cNvPr id="5428" name="Изображение 5427" descr="resizeПП-00275954"/>
        <xdr:cNvPicPr>
          <a:picLocks noChangeAspect="1"/>
        </xdr:cNvPicPr>
      </xdr:nvPicPr>
      <xdr:blipFill>
        <a:blip xmlns:r="http://schemas.openxmlformats.org/officeDocument/2006/relationships" r:embed="rId220"/>
        <a:stretch>
          <a:fillRect/>
        </a:stretch>
      </xdr:blipFill>
      <xdr:spPr>
        <a:xfrm>
          <a:off x="7235825" y="289420300"/>
          <a:ext cx="878840" cy="1183640"/>
        </a:xfrm>
        <a:prstGeom prst="rect">
          <a:avLst/>
        </a:prstGeom>
      </xdr:spPr>
    </xdr:pic>
    <xdr:clientData/>
  </xdr:twoCellAnchor>
  <xdr:twoCellAnchor>
    <xdr:from>
      <xdr:col>9</xdr:col>
      <xdr:colOff>6350</xdr:colOff>
      <xdr:row>349</xdr:row>
      <xdr:rowOff>25400</xdr:rowOff>
    </xdr:from>
    <xdr:to>
      <xdr:col>9</xdr:col>
      <xdr:colOff>885190</xdr:colOff>
      <xdr:row>349</xdr:row>
      <xdr:rowOff>1209040</xdr:rowOff>
    </xdr:to>
    <xdr:pic>
      <xdr:nvPicPr>
        <xdr:cNvPr id="5429" name="Изображение 5428" descr="resizeПП-00275955"/>
        <xdr:cNvPicPr>
          <a:picLocks noChangeAspect="1"/>
        </xdr:cNvPicPr>
      </xdr:nvPicPr>
      <xdr:blipFill>
        <a:blip xmlns:r="http://schemas.openxmlformats.org/officeDocument/2006/relationships" r:embed="rId221"/>
        <a:stretch>
          <a:fillRect/>
        </a:stretch>
      </xdr:blipFill>
      <xdr:spPr>
        <a:xfrm>
          <a:off x="7235825" y="290642675"/>
          <a:ext cx="878840" cy="1183640"/>
        </a:xfrm>
        <a:prstGeom prst="rect">
          <a:avLst/>
        </a:prstGeom>
      </xdr:spPr>
    </xdr:pic>
    <xdr:clientData/>
  </xdr:twoCellAnchor>
  <xdr:twoCellAnchor>
    <xdr:from>
      <xdr:col>9</xdr:col>
      <xdr:colOff>6350</xdr:colOff>
      <xdr:row>350</xdr:row>
      <xdr:rowOff>25400</xdr:rowOff>
    </xdr:from>
    <xdr:to>
      <xdr:col>9</xdr:col>
      <xdr:colOff>885190</xdr:colOff>
      <xdr:row>350</xdr:row>
      <xdr:rowOff>1209040</xdr:rowOff>
    </xdr:to>
    <xdr:pic>
      <xdr:nvPicPr>
        <xdr:cNvPr id="5430" name="Изображение 5429" descr="resizeПП-00275953"/>
        <xdr:cNvPicPr>
          <a:picLocks noChangeAspect="1"/>
        </xdr:cNvPicPr>
      </xdr:nvPicPr>
      <xdr:blipFill>
        <a:blip xmlns:r="http://schemas.openxmlformats.org/officeDocument/2006/relationships" r:embed="rId222"/>
        <a:stretch>
          <a:fillRect/>
        </a:stretch>
      </xdr:blipFill>
      <xdr:spPr>
        <a:xfrm>
          <a:off x="7235825" y="291865050"/>
          <a:ext cx="878840" cy="1183640"/>
        </a:xfrm>
        <a:prstGeom prst="rect">
          <a:avLst/>
        </a:prstGeom>
      </xdr:spPr>
    </xdr:pic>
    <xdr:clientData/>
  </xdr:twoCellAnchor>
  <xdr:twoCellAnchor>
    <xdr:from>
      <xdr:col>9</xdr:col>
      <xdr:colOff>6350</xdr:colOff>
      <xdr:row>353</xdr:row>
      <xdr:rowOff>25400</xdr:rowOff>
    </xdr:from>
    <xdr:to>
      <xdr:col>9</xdr:col>
      <xdr:colOff>885190</xdr:colOff>
      <xdr:row>353</xdr:row>
      <xdr:rowOff>1209040</xdr:rowOff>
    </xdr:to>
    <xdr:pic>
      <xdr:nvPicPr>
        <xdr:cNvPr id="5431" name="Изображение 5430" descr="resizeПП-00232745"/>
        <xdr:cNvPicPr>
          <a:picLocks noChangeAspect="1"/>
        </xdr:cNvPicPr>
      </xdr:nvPicPr>
      <xdr:blipFill>
        <a:blip xmlns:r="http://schemas.openxmlformats.org/officeDocument/2006/relationships" r:embed="rId223"/>
        <a:stretch>
          <a:fillRect/>
        </a:stretch>
      </xdr:blipFill>
      <xdr:spPr>
        <a:xfrm>
          <a:off x="7235825" y="293392225"/>
          <a:ext cx="878840" cy="1183640"/>
        </a:xfrm>
        <a:prstGeom prst="rect">
          <a:avLst/>
        </a:prstGeom>
      </xdr:spPr>
    </xdr:pic>
    <xdr:clientData/>
  </xdr:twoCellAnchor>
  <xdr:twoCellAnchor>
    <xdr:from>
      <xdr:col>9</xdr:col>
      <xdr:colOff>6350</xdr:colOff>
      <xdr:row>354</xdr:row>
      <xdr:rowOff>25400</xdr:rowOff>
    </xdr:from>
    <xdr:to>
      <xdr:col>9</xdr:col>
      <xdr:colOff>885190</xdr:colOff>
      <xdr:row>354</xdr:row>
      <xdr:rowOff>1209040</xdr:rowOff>
    </xdr:to>
    <xdr:pic>
      <xdr:nvPicPr>
        <xdr:cNvPr id="5432" name="Изображение 5431" descr="resizeПП-00232743"/>
        <xdr:cNvPicPr>
          <a:picLocks noChangeAspect="1"/>
        </xdr:cNvPicPr>
      </xdr:nvPicPr>
      <xdr:blipFill>
        <a:blip xmlns:r="http://schemas.openxmlformats.org/officeDocument/2006/relationships" r:embed="rId224"/>
        <a:stretch>
          <a:fillRect/>
        </a:stretch>
      </xdr:blipFill>
      <xdr:spPr>
        <a:xfrm>
          <a:off x="7235825" y="294614600"/>
          <a:ext cx="878840" cy="1183640"/>
        </a:xfrm>
        <a:prstGeom prst="rect">
          <a:avLst/>
        </a:prstGeom>
      </xdr:spPr>
    </xdr:pic>
    <xdr:clientData/>
  </xdr:twoCellAnchor>
  <xdr:twoCellAnchor>
    <xdr:from>
      <xdr:col>9</xdr:col>
      <xdr:colOff>6350</xdr:colOff>
      <xdr:row>355</xdr:row>
      <xdr:rowOff>25400</xdr:rowOff>
    </xdr:from>
    <xdr:to>
      <xdr:col>9</xdr:col>
      <xdr:colOff>885190</xdr:colOff>
      <xdr:row>355</xdr:row>
      <xdr:rowOff>1209040</xdr:rowOff>
    </xdr:to>
    <xdr:pic>
      <xdr:nvPicPr>
        <xdr:cNvPr id="5433" name="Изображение 5432" descr="resizeПП-00232744"/>
        <xdr:cNvPicPr>
          <a:picLocks noChangeAspect="1"/>
        </xdr:cNvPicPr>
      </xdr:nvPicPr>
      <xdr:blipFill>
        <a:blip xmlns:r="http://schemas.openxmlformats.org/officeDocument/2006/relationships" r:embed="rId225"/>
        <a:stretch>
          <a:fillRect/>
        </a:stretch>
      </xdr:blipFill>
      <xdr:spPr>
        <a:xfrm>
          <a:off x="7235825" y="295836975"/>
          <a:ext cx="878840" cy="1183640"/>
        </a:xfrm>
        <a:prstGeom prst="rect">
          <a:avLst/>
        </a:prstGeom>
      </xdr:spPr>
    </xdr:pic>
    <xdr:clientData/>
  </xdr:twoCellAnchor>
  <xdr:twoCellAnchor>
    <xdr:from>
      <xdr:col>9</xdr:col>
      <xdr:colOff>6350</xdr:colOff>
      <xdr:row>356</xdr:row>
      <xdr:rowOff>25400</xdr:rowOff>
    </xdr:from>
    <xdr:to>
      <xdr:col>9</xdr:col>
      <xdr:colOff>885190</xdr:colOff>
      <xdr:row>356</xdr:row>
      <xdr:rowOff>1209040</xdr:rowOff>
    </xdr:to>
    <xdr:pic>
      <xdr:nvPicPr>
        <xdr:cNvPr id="5434" name="Изображение 5433" descr="resizeПП-00232742"/>
        <xdr:cNvPicPr>
          <a:picLocks noChangeAspect="1"/>
        </xdr:cNvPicPr>
      </xdr:nvPicPr>
      <xdr:blipFill>
        <a:blip xmlns:r="http://schemas.openxmlformats.org/officeDocument/2006/relationships" r:embed="rId226"/>
        <a:stretch>
          <a:fillRect/>
        </a:stretch>
      </xdr:blipFill>
      <xdr:spPr>
        <a:xfrm>
          <a:off x="7235825" y="297059350"/>
          <a:ext cx="878840" cy="1183640"/>
        </a:xfrm>
        <a:prstGeom prst="rect">
          <a:avLst/>
        </a:prstGeom>
      </xdr:spPr>
    </xdr:pic>
    <xdr:clientData/>
  </xdr:twoCellAnchor>
  <xdr:twoCellAnchor>
    <xdr:from>
      <xdr:col>9</xdr:col>
      <xdr:colOff>6350</xdr:colOff>
      <xdr:row>357</xdr:row>
      <xdr:rowOff>25400</xdr:rowOff>
    </xdr:from>
    <xdr:to>
      <xdr:col>9</xdr:col>
      <xdr:colOff>885190</xdr:colOff>
      <xdr:row>357</xdr:row>
      <xdr:rowOff>1209040</xdr:rowOff>
    </xdr:to>
    <xdr:pic>
      <xdr:nvPicPr>
        <xdr:cNvPr id="5435" name="Изображение 5434" descr="resizeПП-00232741"/>
        <xdr:cNvPicPr>
          <a:picLocks noChangeAspect="1"/>
        </xdr:cNvPicPr>
      </xdr:nvPicPr>
      <xdr:blipFill>
        <a:blip xmlns:r="http://schemas.openxmlformats.org/officeDocument/2006/relationships" r:embed="rId227"/>
        <a:stretch>
          <a:fillRect/>
        </a:stretch>
      </xdr:blipFill>
      <xdr:spPr>
        <a:xfrm>
          <a:off x="7235825" y="298281725"/>
          <a:ext cx="878840" cy="1183640"/>
        </a:xfrm>
        <a:prstGeom prst="rect">
          <a:avLst/>
        </a:prstGeom>
      </xdr:spPr>
    </xdr:pic>
    <xdr:clientData/>
  </xdr:twoCellAnchor>
  <xdr:twoCellAnchor>
    <xdr:from>
      <xdr:col>9</xdr:col>
      <xdr:colOff>6350</xdr:colOff>
      <xdr:row>358</xdr:row>
      <xdr:rowOff>25400</xdr:rowOff>
    </xdr:from>
    <xdr:to>
      <xdr:col>9</xdr:col>
      <xdr:colOff>885190</xdr:colOff>
      <xdr:row>358</xdr:row>
      <xdr:rowOff>1209040</xdr:rowOff>
    </xdr:to>
    <xdr:pic>
      <xdr:nvPicPr>
        <xdr:cNvPr id="5436" name="Изображение 5435" descr="resizeПП-00232738"/>
        <xdr:cNvPicPr>
          <a:picLocks noChangeAspect="1"/>
        </xdr:cNvPicPr>
      </xdr:nvPicPr>
      <xdr:blipFill>
        <a:blip xmlns:r="http://schemas.openxmlformats.org/officeDocument/2006/relationships" r:embed="rId228"/>
        <a:stretch>
          <a:fillRect/>
        </a:stretch>
      </xdr:blipFill>
      <xdr:spPr>
        <a:xfrm>
          <a:off x="7235825" y="299504100"/>
          <a:ext cx="878840" cy="1183640"/>
        </a:xfrm>
        <a:prstGeom prst="rect">
          <a:avLst/>
        </a:prstGeom>
      </xdr:spPr>
    </xdr:pic>
    <xdr:clientData/>
  </xdr:twoCellAnchor>
  <xdr:twoCellAnchor>
    <xdr:from>
      <xdr:col>9</xdr:col>
      <xdr:colOff>6350</xdr:colOff>
      <xdr:row>359</xdr:row>
      <xdr:rowOff>25400</xdr:rowOff>
    </xdr:from>
    <xdr:to>
      <xdr:col>9</xdr:col>
      <xdr:colOff>885190</xdr:colOff>
      <xdr:row>359</xdr:row>
      <xdr:rowOff>1209040</xdr:rowOff>
    </xdr:to>
    <xdr:pic>
      <xdr:nvPicPr>
        <xdr:cNvPr id="5437" name="Изображение 5436" descr="resizeПП-00232739"/>
        <xdr:cNvPicPr>
          <a:picLocks noChangeAspect="1"/>
        </xdr:cNvPicPr>
      </xdr:nvPicPr>
      <xdr:blipFill>
        <a:blip xmlns:r="http://schemas.openxmlformats.org/officeDocument/2006/relationships" r:embed="rId229"/>
        <a:stretch>
          <a:fillRect/>
        </a:stretch>
      </xdr:blipFill>
      <xdr:spPr>
        <a:xfrm>
          <a:off x="7235825" y="300726475"/>
          <a:ext cx="878840" cy="1183640"/>
        </a:xfrm>
        <a:prstGeom prst="rect">
          <a:avLst/>
        </a:prstGeom>
      </xdr:spPr>
    </xdr:pic>
    <xdr:clientData/>
  </xdr:twoCellAnchor>
  <xdr:twoCellAnchor>
    <xdr:from>
      <xdr:col>9</xdr:col>
      <xdr:colOff>6350</xdr:colOff>
      <xdr:row>360</xdr:row>
      <xdr:rowOff>25400</xdr:rowOff>
    </xdr:from>
    <xdr:to>
      <xdr:col>9</xdr:col>
      <xdr:colOff>885190</xdr:colOff>
      <xdr:row>360</xdr:row>
      <xdr:rowOff>1209040</xdr:rowOff>
    </xdr:to>
    <xdr:pic>
      <xdr:nvPicPr>
        <xdr:cNvPr id="5438" name="Изображение 5437" descr="resizeПП-00232732"/>
        <xdr:cNvPicPr>
          <a:picLocks noChangeAspect="1"/>
        </xdr:cNvPicPr>
      </xdr:nvPicPr>
      <xdr:blipFill>
        <a:blip xmlns:r="http://schemas.openxmlformats.org/officeDocument/2006/relationships" r:embed="rId230"/>
        <a:stretch>
          <a:fillRect/>
        </a:stretch>
      </xdr:blipFill>
      <xdr:spPr>
        <a:xfrm>
          <a:off x="7235825" y="301948850"/>
          <a:ext cx="878840" cy="1183640"/>
        </a:xfrm>
        <a:prstGeom prst="rect">
          <a:avLst/>
        </a:prstGeom>
      </xdr:spPr>
    </xdr:pic>
    <xdr:clientData/>
  </xdr:twoCellAnchor>
  <xdr:twoCellAnchor>
    <xdr:from>
      <xdr:col>9</xdr:col>
      <xdr:colOff>6350</xdr:colOff>
      <xdr:row>361</xdr:row>
      <xdr:rowOff>25400</xdr:rowOff>
    </xdr:from>
    <xdr:to>
      <xdr:col>9</xdr:col>
      <xdr:colOff>885190</xdr:colOff>
      <xdr:row>361</xdr:row>
      <xdr:rowOff>1209040</xdr:rowOff>
    </xdr:to>
    <xdr:pic>
      <xdr:nvPicPr>
        <xdr:cNvPr id="5439" name="Изображение 5438" descr="resizeПП-00232734"/>
        <xdr:cNvPicPr>
          <a:picLocks noChangeAspect="1"/>
        </xdr:cNvPicPr>
      </xdr:nvPicPr>
      <xdr:blipFill>
        <a:blip xmlns:r="http://schemas.openxmlformats.org/officeDocument/2006/relationships" r:embed="rId231"/>
        <a:stretch>
          <a:fillRect/>
        </a:stretch>
      </xdr:blipFill>
      <xdr:spPr>
        <a:xfrm>
          <a:off x="7235825" y="303171225"/>
          <a:ext cx="878840" cy="1183640"/>
        </a:xfrm>
        <a:prstGeom prst="rect">
          <a:avLst/>
        </a:prstGeom>
      </xdr:spPr>
    </xdr:pic>
    <xdr:clientData/>
  </xdr:twoCellAnchor>
  <xdr:twoCellAnchor>
    <xdr:from>
      <xdr:col>9</xdr:col>
      <xdr:colOff>6350</xdr:colOff>
      <xdr:row>363</xdr:row>
      <xdr:rowOff>25400</xdr:rowOff>
    </xdr:from>
    <xdr:to>
      <xdr:col>9</xdr:col>
      <xdr:colOff>885190</xdr:colOff>
      <xdr:row>363</xdr:row>
      <xdr:rowOff>1209040</xdr:rowOff>
    </xdr:to>
    <xdr:pic>
      <xdr:nvPicPr>
        <xdr:cNvPr id="5440" name="Изображение 5439" descr="resizeПП-00235793"/>
        <xdr:cNvPicPr>
          <a:picLocks noChangeAspect="1"/>
        </xdr:cNvPicPr>
      </xdr:nvPicPr>
      <xdr:blipFill>
        <a:blip xmlns:r="http://schemas.openxmlformats.org/officeDocument/2006/relationships" r:embed="rId232"/>
        <a:stretch>
          <a:fillRect/>
        </a:stretch>
      </xdr:blipFill>
      <xdr:spPr>
        <a:xfrm>
          <a:off x="7235825" y="304546000"/>
          <a:ext cx="878840" cy="1183640"/>
        </a:xfrm>
        <a:prstGeom prst="rect">
          <a:avLst/>
        </a:prstGeom>
      </xdr:spPr>
    </xdr:pic>
    <xdr:clientData/>
  </xdr:twoCellAnchor>
  <xdr:twoCellAnchor>
    <xdr:from>
      <xdr:col>9</xdr:col>
      <xdr:colOff>6350</xdr:colOff>
      <xdr:row>364</xdr:row>
      <xdr:rowOff>25400</xdr:rowOff>
    </xdr:from>
    <xdr:to>
      <xdr:col>9</xdr:col>
      <xdr:colOff>885190</xdr:colOff>
      <xdr:row>364</xdr:row>
      <xdr:rowOff>1209040</xdr:rowOff>
    </xdr:to>
    <xdr:pic>
      <xdr:nvPicPr>
        <xdr:cNvPr id="5441" name="Изображение 5440" descr="resizeПП-00235791"/>
        <xdr:cNvPicPr>
          <a:picLocks noChangeAspect="1"/>
        </xdr:cNvPicPr>
      </xdr:nvPicPr>
      <xdr:blipFill>
        <a:blip xmlns:r="http://schemas.openxmlformats.org/officeDocument/2006/relationships" r:embed="rId232"/>
        <a:stretch>
          <a:fillRect/>
        </a:stretch>
      </xdr:blipFill>
      <xdr:spPr>
        <a:xfrm>
          <a:off x="7235825" y="305768375"/>
          <a:ext cx="878840" cy="1183640"/>
        </a:xfrm>
        <a:prstGeom prst="rect">
          <a:avLst/>
        </a:prstGeom>
      </xdr:spPr>
    </xdr:pic>
    <xdr:clientData/>
  </xdr:twoCellAnchor>
  <xdr:twoCellAnchor>
    <xdr:from>
      <xdr:col>9</xdr:col>
      <xdr:colOff>6350</xdr:colOff>
      <xdr:row>365</xdr:row>
      <xdr:rowOff>25400</xdr:rowOff>
    </xdr:from>
    <xdr:to>
      <xdr:col>9</xdr:col>
      <xdr:colOff>885190</xdr:colOff>
      <xdr:row>365</xdr:row>
      <xdr:rowOff>1209040</xdr:rowOff>
    </xdr:to>
    <xdr:pic>
      <xdr:nvPicPr>
        <xdr:cNvPr id="5442" name="Изображение 5441" descr="resizeПП-00235797"/>
        <xdr:cNvPicPr>
          <a:picLocks noChangeAspect="1"/>
        </xdr:cNvPicPr>
      </xdr:nvPicPr>
      <xdr:blipFill>
        <a:blip xmlns:r="http://schemas.openxmlformats.org/officeDocument/2006/relationships" r:embed="rId233"/>
        <a:stretch>
          <a:fillRect/>
        </a:stretch>
      </xdr:blipFill>
      <xdr:spPr>
        <a:xfrm>
          <a:off x="7235825" y="306990750"/>
          <a:ext cx="878840" cy="1183640"/>
        </a:xfrm>
        <a:prstGeom prst="rect">
          <a:avLst/>
        </a:prstGeom>
      </xdr:spPr>
    </xdr:pic>
    <xdr:clientData/>
  </xdr:twoCellAnchor>
  <xdr:twoCellAnchor>
    <xdr:from>
      <xdr:col>9</xdr:col>
      <xdr:colOff>6350</xdr:colOff>
      <xdr:row>366</xdr:row>
      <xdr:rowOff>25400</xdr:rowOff>
    </xdr:from>
    <xdr:to>
      <xdr:col>9</xdr:col>
      <xdr:colOff>885190</xdr:colOff>
      <xdr:row>366</xdr:row>
      <xdr:rowOff>1209040</xdr:rowOff>
    </xdr:to>
    <xdr:pic>
      <xdr:nvPicPr>
        <xdr:cNvPr id="5443" name="Изображение 5442" descr="resizeПП-00235785"/>
        <xdr:cNvPicPr>
          <a:picLocks noChangeAspect="1"/>
        </xdr:cNvPicPr>
      </xdr:nvPicPr>
      <xdr:blipFill>
        <a:blip xmlns:r="http://schemas.openxmlformats.org/officeDocument/2006/relationships" r:embed="rId234"/>
        <a:stretch>
          <a:fillRect/>
        </a:stretch>
      </xdr:blipFill>
      <xdr:spPr>
        <a:xfrm>
          <a:off x="7235825" y="308213125"/>
          <a:ext cx="878840" cy="1183640"/>
        </a:xfrm>
        <a:prstGeom prst="rect">
          <a:avLst/>
        </a:prstGeom>
      </xdr:spPr>
    </xdr:pic>
    <xdr:clientData/>
  </xdr:twoCellAnchor>
  <xdr:twoCellAnchor>
    <xdr:from>
      <xdr:col>9</xdr:col>
      <xdr:colOff>6350</xdr:colOff>
      <xdr:row>367</xdr:row>
      <xdr:rowOff>25400</xdr:rowOff>
    </xdr:from>
    <xdr:to>
      <xdr:col>9</xdr:col>
      <xdr:colOff>885190</xdr:colOff>
      <xdr:row>367</xdr:row>
      <xdr:rowOff>1209040</xdr:rowOff>
    </xdr:to>
    <xdr:pic>
      <xdr:nvPicPr>
        <xdr:cNvPr id="5444" name="Изображение 5443" descr="resizeПП-00235783"/>
        <xdr:cNvPicPr>
          <a:picLocks noChangeAspect="1"/>
        </xdr:cNvPicPr>
      </xdr:nvPicPr>
      <xdr:blipFill>
        <a:blip xmlns:r="http://schemas.openxmlformats.org/officeDocument/2006/relationships" r:embed="rId234"/>
        <a:stretch>
          <a:fillRect/>
        </a:stretch>
      </xdr:blipFill>
      <xdr:spPr>
        <a:xfrm>
          <a:off x="7235825" y="309435500"/>
          <a:ext cx="878840" cy="1183640"/>
        </a:xfrm>
        <a:prstGeom prst="rect">
          <a:avLst/>
        </a:prstGeom>
      </xdr:spPr>
    </xdr:pic>
    <xdr:clientData/>
  </xdr:twoCellAnchor>
  <xdr:twoCellAnchor>
    <xdr:from>
      <xdr:col>9</xdr:col>
      <xdr:colOff>6350</xdr:colOff>
      <xdr:row>368</xdr:row>
      <xdr:rowOff>25400</xdr:rowOff>
    </xdr:from>
    <xdr:to>
      <xdr:col>9</xdr:col>
      <xdr:colOff>885190</xdr:colOff>
      <xdr:row>368</xdr:row>
      <xdr:rowOff>1209040</xdr:rowOff>
    </xdr:to>
    <xdr:pic>
      <xdr:nvPicPr>
        <xdr:cNvPr id="5445" name="Изображение 5444" descr="resizeПП-00235784"/>
        <xdr:cNvPicPr>
          <a:picLocks noChangeAspect="1"/>
        </xdr:cNvPicPr>
      </xdr:nvPicPr>
      <xdr:blipFill>
        <a:blip xmlns:r="http://schemas.openxmlformats.org/officeDocument/2006/relationships" r:embed="rId234"/>
        <a:stretch>
          <a:fillRect/>
        </a:stretch>
      </xdr:blipFill>
      <xdr:spPr>
        <a:xfrm>
          <a:off x="7235825" y="310657875"/>
          <a:ext cx="878840" cy="1183640"/>
        </a:xfrm>
        <a:prstGeom prst="rect">
          <a:avLst/>
        </a:prstGeom>
      </xdr:spPr>
    </xdr:pic>
    <xdr:clientData/>
  </xdr:twoCellAnchor>
  <xdr:twoCellAnchor>
    <xdr:from>
      <xdr:col>9</xdr:col>
      <xdr:colOff>6350</xdr:colOff>
      <xdr:row>369</xdr:row>
      <xdr:rowOff>25400</xdr:rowOff>
    </xdr:from>
    <xdr:to>
      <xdr:col>9</xdr:col>
      <xdr:colOff>885190</xdr:colOff>
      <xdr:row>369</xdr:row>
      <xdr:rowOff>1209040</xdr:rowOff>
    </xdr:to>
    <xdr:pic>
      <xdr:nvPicPr>
        <xdr:cNvPr id="5446" name="Изображение 5445" descr="resizeПП-00235782"/>
        <xdr:cNvPicPr>
          <a:picLocks noChangeAspect="1"/>
        </xdr:cNvPicPr>
      </xdr:nvPicPr>
      <xdr:blipFill>
        <a:blip xmlns:r="http://schemas.openxmlformats.org/officeDocument/2006/relationships" r:embed="rId234"/>
        <a:stretch>
          <a:fillRect/>
        </a:stretch>
      </xdr:blipFill>
      <xdr:spPr>
        <a:xfrm>
          <a:off x="7235825" y="311880250"/>
          <a:ext cx="878840" cy="1183640"/>
        </a:xfrm>
        <a:prstGeom prst="rect">
          <a:avLst/>
        </a:prstGeom>
      </xdr:spPr>
    </xdr:pic>
    <xdr:clientData/>
  </xdr:twoCellAnchor>
  <xdr:twoCellAnchor>
    <xdr:from>
      <xdr:col>9</xdr:col>
      <xdr:colOff>6350</xdr:colOff>
      <xdr:row>370</xdr:row>
      <xdr:rowOff>25400</xdr:rowOff>
    </xdr:from>
    <xdr:to>
      <xdr:col>9</xdr:col>
      <xdr:colOff>885190</xdr:colOff>
      <xdr:row>370</xdr:row>
      <xdr:rowOff>1209040</xdr:rowOff>
    </xdr:to>
    <xdr:pic>
      <xdr:nvPicPr>
        <xdr:cNvPr id="5447" name="Изображение 5446" descr="resizeПП-00235789"/>
        <xdr:cNvPicPr>
          <a:picLocks noChangeAspect="1"/>
        </xdr:cNvPicPr>
      </xdr:nvPicPr>
      <xdr:blipFill>
        <a:blip xmlns:r="http://schemas.openxmlformats.org/officeDocument/2006/relationships" r:embed="rId235"/>
        <a:stretch>
          <a:fillRect/>
        </a:stretch>
      </xdr:blipFill>
      <xdr:spPr>
        <a:xfrm>
          <a:off x="7235825" y="313102625"/>
          <a:ext cx="878840" cy="1183640"/>
        </a:xfrm>
        <a:prstGeom prst="rect">
          <a:avLst/>
        </a:prstGeom>
      </xdr:spPr>
    </xdr:pic>
    <xdr:clientData/>
  </xdr:twoCellAnchor>
  <xdr:twoCellAnchor>
    <xdr:from>
      <xdr:col>9</xdr:col>
      <xdr:colOff>6350</xdr:colOff>
      <xdr:row>371</xdr:row>
      <xdr:rowOff>25400</xdr:rowOff>
    </xdr:from>
    <xdr:to>
      <xdr:col>9</xdr:col>
      <xdr:colOff>885190</xdr:colOff>
      <xdr:row>371</xdr:row>
      <xdr:rowOff>1209040</xdr:rowOff>
    </xdr:to>
    <xdr:pic>
      <xdr:nvPicPr>
        <xdr:cNvPr id="5448" name="Изображение 5447" descr="resizeПП-00235790"/>
        <xdr:cNvPicPr>
          <a:picLocks noChangeAspect="1"/>
        </xdr:cNvPicPr>
      </xdr:nvPicPr>
      <xdr:blipFill>
        <a:blip xmlns:r="http://schemas.openxmlformats.org/officeDocument/2006/relationships" r:embed="rId235"/>
        <a:stretch>
          <a:fillRect/>
        </a:stretch>
      </xdr:blipFill>
      <xdr:spPr>
        <a:xfrm>
          <a:off x="7235825" y="314325000"/>
          <a:ext cx="878840" cy="1183640"/>
        </a:xfrm>
        <a:prstGeom prst="rect">
          <a:avLst/>
        </a:prstGeom>
      </xdr:spPr>
    </xdr:pic>
    <xdr:clientData/>
  </xdr:twoCellAnchor>
  <xdr:twoCellAnchor>
    <xdr:from>
      <xdr:col>9</xdr:col>
      <xdr:colOff>6350</xdr:colOff>
      <xdr:row>372</xdr:row>
      <xdr:rowOff>25400</xdr:rowOff>
    </xdr:from>
    <xdr:to>
      <xdr:col>9</xdr:col>
      <xdr:colOff>885190</xdr:colOff>
      <xdr:row>372</xdr:row>
      <xdr:rowOff>1209040</xdr:rowOff>
    </xdr:to>
    <xdr:pic>
      <xdr:nvPicPr>
        <xdr:cNvPr id="5449" name="Изображение 5448" descr="resizeПП-00235788"/>
        <xdr:cNvPicPr>
          <a:picLocks noChangeAspect="1"/>
        </xdr:cNvPicPr>
      </xdr:nvPicPr>
      <xdr:blipFill>
        <a:blip xmlns:r="http://schemas.openxmlformats.org/officeDocument/2006/relationships" r:embed="rId235"/>
        <a:stretch>
          <a:fillRect/>
        </a:stretch>
      </xdr:blipFill>
      <xdr:spPr>
        <a:xfrm>
          <a:off x="7235825" y="315547375"/>
          <a:ext cx="878840" cy="1183640"/>
        </a:xfrm>
        <a:prstGeom prst="rect">
          <a:avLst/>
        </a:prstGeom>
      </xdr:spPr>
    </xdr:pic>
    <xdr:clientData/>
  </xdr:twoCellAnchor>
  <xdr:twoCellAnchor>
    <xdr:from>
      <xdr:col>9</xdr:col>
      <xdr:colOff>6350</xdr:colOff>
      <xdr:row>373</xdr:row>
      <xdr:rowOff>25400</xdr:rowOff>
    </xdr:from>
    <xdr:to>
      <xdr:col>9</xdr:col>
      <xdr:colOff>885190</xdr:colOff>
      <xdr:row>373</xdr:row>
      <xdr:rowOff>1209040</xdr:rowOff>
    </xdr:to>
    <xdr:pic>
      <xdr:nvPicPr>
        <xdr:cNvPr id="5450" name="Изображение 5449" descr="resizeПП-00235786"/>
        <xdr:cNvPicPr>
          <a:picLocks noChangeAspect="1"/>
        </xdr:cNvPicPr>
      </xdr:nvPicPr>
      <xdr:blipFill>
        <a:blip xmlns:r="http://schemas.openxmlformats.org/officeDocument/2006/relationships" r:embed="rId235"/>
        <a:stretch>
          <a:fillRect/>
        </a:stretch>
      </xdr:blipFill>
      <xdr:spPr>
        <a:xfrm>
          <a:off x="7235825" y="316769750"/>
          <a:ext cx="878840" cy="1183640"/>
        </a:xfrm>
        <a:prstGeom prst="rect">
          <a:avLst/>
        </a:prstGeom>
      </xdr:spPr>
    </xdr:pic>
    <xdr:clientData/>
  </xdr:twoCellAnchor>
  <xdr:twoCellAnchor>
    <xdr:from>
      <xdr:col>9</xdr:col>
      <xdr:colOff>6350</xdr:colOff>
      <xdr:row>375</xdr:row>
      <xdr:rowOff>25400</xdr:rowOff>
    </xdr:from>
    <xdr:to>
      <xdr:col>9</xdr:col>
      <xdr:colOff>885190</xdr:colOff>
      <xdr:row>375</xdr:row>
      <xdr:rowOff>1209040</xdr:rowOff>
    </xdr:to>
    <xdr:pic>
      <xdr:nvPicPr>
        <xdr:cNvPr id="5451" name="Изображение 5450" descr="resizeПП-00232751"/>
        <xdr:cNvPicPr>
          <a:picLocks noChangeAspect="1"/>
        </xdr:cNvPicPr>
      </xdr:nvPicPr>
      <xdr:blipFill>
        <a:blip xmlns:r="http://schemas.openxmlformats.org/officeDocument/2006/relationships" r:embed="rId236"/>
        <a:stretch>
          <a:fillRect/>
        </a:stretch>
      </xdr:blipFill>
      <xdr:spPr>
        <a:xfrm>
          <a:off x="7235825" y="318144525"/>
          <a:ext cx="878840" cy="1183640"/>
        </a:xfrm>
        <a:prstGeom prst="rect">
          <a:avLst/>
        </a:prstGeom>
      </xdr:spPr>
    </xdr:pic>
    <xdr:clientData/>
  </xdr:twoCellAnchor>
  <xdr:twoCellAnchor>
    <xdr:from>
      <xdr:col>9</xdr:col>
      <xdr:colOff>6350</xdr:colOff>
      <xdr:row>376</xdr:row>
      <xdr:rowOff>25400</xdr:rowOff>
    </xdr:from>
    <xdr:to>
      <xdr:col>9</xdr:col>
      <xdr:colOff>885190</xdr:colOff>
      <xdr:row>376</xdr:row>
      <xdr:rowOff>1209040</xdr:rowOff>
    </xdr:to>
    <xdr:pic>
      <xdr:nvPicPr>
        <xdr:cNvPr id="5452" name="Изображение 5451" descr="resizeПП-00232748"/>
        <xdr:cNvPicPr>
          <a:picLocks noChangeAspect="1"/>
        </xdr:cNvPicPr>
      </xdr:nvPicPr>
      <xdr:blipFill>
        <a:blip xmlns:r="http://schemas.openxmlformats.org/officeDocument/2006/relationships" r:embed="rId237"/>
        <a:stretch>
          <a:fillRect/>
        </a:stretch>
      </xdr:blipFill>
      <xdr:spPr>
        <a:xfrm>
          <a:off x="7235825" y="319366900"/>
          <a:ext cx="878840" cy="1183640"/>
        </a:xfrm>
        <a:prstGeom prst="rect">
          <a:avLst/>
        </a:prstGeom>
      </xdr:spPr>
    </xdr:pic>
    <xdr:clientData/>
  </xdr:twoCellAnchor>
  <xdr:twoCellAnchor>
    <xdr:from>
      <xdr:col>9</xdr:col>
      <xdr:colOff>6350</xdr:colOff>
      <xdr:row>377</xdr:row>
      <xdr:rowOff>25400</xdr:rowOff>
    </xdr:from>
    <xdr:to>
      <xdr:col>9</xdr:col>
      <xdr:colOff>885190</xdr:colOff>
      <xdr:row>377</xdr:row>
      <xdr:rowOff>1209040</xdr:rowOff>
    </xdr:to>
    <xdr:pic>
      <xdr:nvPicPr>
        <xdr:cNvPr id="5453" name="Изображение 5452" descr="resizeПП-00232749"/>
        <xdr:cNvPicPr>
          <a:picLocks noChangeAspect="1"/>
        </xdr:cNvPicPr>
      </xdr:nvPicPr>
      <xdr:blipFill>
        <a:blip xmlns:r="http://schemas.openxmlformats.org/officeDocument/2006/relationships" r:embed="rId238"/>
        <a:stretch>
          <a:fillRect/>
        </a:stretch>
      </xdr:blipFill>
      <xdr:spPr>
        <a:xfrm>
          <a:off x="7235825" y="320589275"/>
          <a:ext cx="878840" cy="1183640"/>
        </a:xfrm>
        <a:prstGeom prst="rect">
          <a:avLst/>
        </a:prstGeom>
      </xdr:spPr>
    </xdr:pic>
    <xdr:clientData/>
  </xdr:twoCellAnchor>
  <xdr:twoCellAnchor>
    <xdr:from>
      <xdr:col>9</xdr:col>
      <xdr:colOff>6350</xdr:colOff>
      <xdr:row>378</xdr:row>
      <xdr:rowOff>25400</xdr:rowOff>
    </xdr:from>
    <xdr:to>
      <xdr:col>9</xdr:col>
      <xdr:colOff>885190</xdr:colOff>
      <xdr:row>378</xdr:row>
      <xdr:rowOff>1209040</xdr:rowOff>
    </xdr:to>
    <xdr:pic>
      <xdr:nvPicPr>
        <xdr:cNvPr id="5454" name="Изображение 5453" descr="resizeПП-00232760"/>
        <xdr:cNvPicPr>
          <a:picLocks noChangeAspect="1"/>
        </xdr:cNvPicPr>
      </xdr:nvPicPr>
      <xdr:blipFill>
        <a:blip xmlns:r="http://schemas.openxmlformats.org/officeDocument/2006/relationships" r:embed="rId239"/>
        <a:stretch>
          <a:fillRect/>
        </a:stretch>
      </xdr:blipFill>
      <xdr:spPr>
        <a:xfrm>
          <a:off x="7235825" y="321811650"/>
          <a:ext cx="878840" cy="1183640"/>
        </a:xfrm>
        <a:prstGeom prst="rect">
          <a:avLst/>
        </a:prstGeom>
      </xdr:spPr>
    </xdr:pic>
    <xdr:clientData/>
  </xdr:twoCellAnchor>
  <xdr:twoCellAnchor>
    <xdr:from>
      <xdr:col>9</xdr:col>
      <xdr:colOff>6350</xdr:colOff>
      <xdr:row>379</xdr:row>
      <xdr:rowOff>25400</xdr:rowOff>
    </xdr:from>
    <xdr:to>
      <xdr:col>9</xdr:col>
      <xdr:colOff>885190</xdr:colOff>
      <xdr:row>379</xdr:row>
      <xdr:rowOff>1209040</xdr:rowOff>
    </xdr:to>
    <xdr:pic>
      <xdr:nvPicPr>
        <xdr:cNvPr id="5455" name="Изображение 5454" descr="resizeПП-00232756"/>
        <xdr:cNvPicPr>
          <a:picLocks noChangeAspect="1"/>
        </xdr:cNvPicPr>
      </xdr:nvPicPr>
      <xdr:blipFill>
        <a:blip xmlns:r="http://schemas.openxmlformats.org/officeDocument/2006/relationships" r:embed="rId240"/>
        <a:stretch>
          <a:fillRect/>
        </a:stretch>
      </xdr:blipFill>
      <xdr:spPr>
        <a:xfrm>
          <a:off x="7235825" y="323034025"/>
          <a:ext cx="878840" cy="1183640"/>
        </a:xfrm>
        <a:prstGeom prst="rect">
          <a:avLst/>
        </a:prstGeom>
      </xdr:spPr>
    </xdr:pic>
    <xdr:clientData/>
  </xdr:twoCellAnchor>
  <xdr:twoCellAnchor>
    <xdr:from>
      <xdr:col>9</xdr:col>
      <xdr:colOff>6350</xdr:colOff>
      <xdr:row>380</xdr:row>
      <xdr:rowOff>25400</xdr:rowOff>
    </xdr:from>
    <xdr:to>
      <xdr:col>9</xdr:col>
      <xdr:colOff>885190</xdr:colOff>
      <xdr:row>380</xdr:row>
      <xdr:rowOff>1209040</xdr:rowOff>
    </xdr:to>
    <xdr:pic>
      <xdr:nvPicPr>
        <xdr:cNvPr id="5456" name="Изображение 5455" descr="resizeПП-00232762"/>
        <xdr:cNvPicPr>
          <a:picLocks noChangeAspect="1"/>
        </xdr:cNvPicPr>
      </xdr:nvPicPr>
      <xdr:blipFill>
        <a:blip xmlns:r="http://schemas.openxmlformats.org/officeDocument/2006/relationships" r:embed="rId241"/>
        <a:stretch>
          <a:fillRect/>
        </a:stretch>
      </xdr:blipFill>
      <xdr:spPr>
        <a:xfrm>
          <a:off x="7235825" y="324256400"/>
          <a:ext cx="878840" cy="1183640"/>
        </a:xfrm>
        <a:prstGeom prst="rect">
          <a:avLst/>
        </a:prstGeom>
      </xdr:spPr>
    </xdr:pic>
    <xdr:clientData/>
  </xdr:twoCellAnchor>
  <xdr:twoCellAnchor>
    <xdr:from>
      <xdr:col>9</xdr:col>
      <xdr:colOff>6350</xdr:colOff>
      <xdr:row>381</xdr:row>
      <xdr:rowOff>25400</xdr:rowOff>
    </xdr:from>
    <xdr:to>
      <xdr:col>9</xdr:col>
      <xdr:colOff>885190</xdr:colOff>
      <xdr:row>381</xdr:row>
      <xdr:rowOff>1209040</xdr:rowOff>
    </xdr:to>
    <xdr:pic>
      <xdr:nvPicPr>
        <xdr:cNvPr id="5457" name="Изображение 5456" descr="resizeПП-00232764"/>
        <xdr:cNvPicPr>
          <a:picLocks noChangeAspect="1"/>
        </xdr:cNvPicPr>
      </xdr:nvPicPr>
      <xdr:blipFill>
        <a:blip xmlns:r="http://schemas.openxmlformats.org/officeDocument/2006/relationships" r:embed="rId242"/>
        <a:stretch>
          <a:fillRect/>
        </a:stretch>
      </xdr:blipFill>
      <xdr:spPr>
        <a:xfrm>
          <a:off x="7235825" y="325478775"/>
          <a:ext cx="878840" cy="1183640"/>
        </a:xfrm>
        <a:prstGeom prst="rect">
          <a:avLst/>
        </a:prstGeom>
      </xdr:spPr>
    </xdr:pic>
    <xdr:clientData/>
  </xdr:twoCellAnchor>
  <xdr:twoCellAnchor>
    <xdr:from>
      <xdr:col>9</xdr:col>
      <xdr:colOff>6350</xdr:colOff>
      <xdr:row>382</xdr:row>
      <xdr:rowOff>25400</xdr:rowOff>
    </xdr:from>
    <xdr:to>
      <xdr:col>9</xdr:col>
      <xdr:colOff>885190</xdr:colOff>
      <xdr:row>382</xdr:row>
      <xdr:rowOff>1209040</xdr:rowOff>
    </xdr:to>
    <xdr:pic>
      <xdr:nvPicPr>
        <xdr:cNvPr id="5458" name="Изображение 5457" descr="resizeПП-00232763"/>
        <xdr:cNvPicPr>
          <a:picLocks noChangeAspect="1"/>
        </xdr:cNvPicPr>
      </xdr:nvPicPr>
      <xdr:blipFill>
        <a:blip xmlns:r="http://schemas.openxmlformats.org/officeDocument/2006/relationships" r:embed="rId243"/>
        <a:stretch>
          <a:fillRect/>
        </a:stretch>
      </xdr:blipFill>
      <xdr:spPr>
        <a:xfrm>
          <a:off x="7235825" y="326701150"/>
          <a:ext cx="878840" cy="1183640"/>
        </a:xfrm>
        <a:prstGeom prst="rect">
          <a:avLst/>
        </a:prstGeom>
      </xdr:spPr>
    </xdr:pic>
    <xdr:clientData/>
  </xdr:twoCellAnchor>
  <xdr:twoCellAnchor>
    <xdr:from>
      <xdr:col>9</xdr:col>
      <xdr:colOff>6350</xdr:colOff>
      <xdr:row>385</xdr:row>
      <xdr:rowOff>25400</xdr:rowOff>
    </xdr:from>
    <xdr:to>
      <xdr:col>9</xdr:col>
      <xdr:colOff>885190</xdr:colOff>
      <xdr:row>385</xdr:row>
      <xdr:rowOff>1209040</xdr:rowOff>
    </xdr:to>
    <xdr:pic>
      <xdr:nvPicPr>
        <xdr:cNvPr id="5459" name="Изображение 5458" descr="resizeПП-00172658"/>
        <xdr:cNvPicPr>
          <a:picLocks noChangeAspect="1"/>
        </xdr:cNvPicPr>
      </xdr:nvPicPr>
      <xdr:blipFill>
        <a:blip xmlns:r="http://schemas.openxmlformats.org/officeDocument/2006/relationships" r:embed="rId244"/>
        <a:stretch>
          <a:fillRect/>
        </a:stretch>
      </xdr:blipFill>
      <xdr:spPr>
        <a:xfrm>
          <a:off x="7235825" y="328228325"/>
          <a:ext cx="878840" cy="1183640"/>
        </a:xfrm>
        <a:prstGeom prst="rect">
          <a:avLst/>
        </a:prstGeom>
      </xdr:spPr>
    </xdr:pic>
    <xdr:clientData/>
  </xdr:twoCellAnchor>
  <xdr:twoCellAnchor>
    <xdr:from>
      <xdr:col>9</xdr:col>
      <xdr:colOff>6350</xdr:colOff>
      <xdr:row>386</xdr:row>
      <xdr:rowOff>25400</xdr:rowOff>
    </xdr:from>
    <xdr:to>
      <xdr:col>9</xdr:col>
      <xdr:colOff>885190</xdr:colOff>
      <xdr:row>386</xdr:row>
      <xdr:rowOff>1209040</xdr:rowOff>
    </xdr:to>
    <xdr:pic>
      <xdr:nvPicPr>
        <xdr:cNvPr id="5460" name="Изображение 5459" descr="resizeПП-00172659"/>
        <xdr:cNvPicPr>
          <a:picLocks noChangeAspect="1"/>
        </xdr:cNvPicPr>
      </xdr:nvPicPr>
      <xdr:blipFill>
        <a:blip xmlns:r="http://schemas.openxmlformats.org/officeDocument/2006/relationships" r:embed="rId245"/>
        <a:stretch>
          <a:fillRect/>
        </a:stretch>
      </xdr:blipFill>
      <xdr:spPr>
        <a:xfrm>
          <a:off x="7235825" y="329450700"/>
          <a:ext cx="878840" cy="1183640"/>
        </a:xfrm>
        <a:prstGeom prst="rect">
          <a:avLst/>
        </a:prstGeom>
      </xdr:spPr>
    </xdr:pic>
    <xdr:clientData/>
  </xdr:twoCellAnchor>
  <xdr:twoCellAnchor>
    <xdr:from>
      <xdr:col>9</xdr:col>
      <xdr:colOff>6350</xdr:colOff>
      <xdr:row>388</xdr:row>
      <xdr:rowOff>25400</xdr:rowOff>
    </xdr:from>
    <xdr:to>
      <xdr:col>9</xdr:col>
      <xdr:colOff>885190</xdr:colOff>
      <xdr:row>388</xdr:row>
      <xdr:rowOff>1209040</xdr:rowOff>
    </xdr:to>
    <xdr:pic>
      <xdr:nvPicPr>
        <xdr:cNvPr id="5461" name="Изображение 5460" descr="resizeПП-00213743"/>
        <xdr:cNvPicPr>
          <a:picLocks noChangeAspect="1"/>
        </xdr:cNvPicPr>
      </xdr:nvPicPr>
      <xdr:blipFill>
        <a:blip xmlns:r="http://schemas.openxmlformats.org/officeDocument/2006/relationships" r:embed="rId246"/>
        <a:stretch>
          <a:fillRect/>
        </a:stretch>
      </xdr:blipFill>
      <xdr:spPr>
        <a:xfrm>
          <a:off x="7235825" y="330825475"/>
          <a:ext cx="878840" cy="1183640"/>
        </a:xfrm>
        <a:prstGeom prst="rect">
          <a:avLst/>
        </a:prstGeom>
      </xdr:spPr>
    </xdr:pic>
    <xdr:clientData/>
  </xdr:twoCellAnchor>
  <xdr:twoCellAnchor>
    <xdr:from>
      <xdr:col>9</xdr:col>
      <xdr:colOff>6350</xdr:colOff>
      <xdr:row>389</xdr:row>
      <xdr:rowOff>25400</xdr:rowOff>
    </xdr:from>
    <xdr:to>
      <xdr:col>9</xdr:col>
      <xdr:colOff>885190</xdr:colOff>
      <xdr:row>389</xdr:row>
      <xdr:rowOff>1209040</xdr:rowOff>
    </xdr:to>
    <xdr:pic>
      <xdr:nvPicPr>
        <xdr:cNvPr id="5462" name="Изображение 5461" descr="resizeПП-00213741"/>
        <xdr:cNvPicPr>
          <a:picLocks noChangeAspect="1"/>
        </xdr:cNvPicPr>
      </xdr:nvPicPr>
      <xdr:blipFill>
        <a:blip xmlns:r="http://schemas.openxmlformats.org/officeDocument/2006/relationships" r:embed="rId247"/>
        <a:stretch>
          <a:fillRect/>
        </a:stretch>
      </xdr:blipFill>
      <xdr:spPr>
        <a:xfrm>
          <a:off x="7235825" y="332047850"/>
          <a:ext cx="878840" cy="1183640"/>
        </a:xfrm>
        <a:prstGeom prst="rect">
          <a:avLst/>
        </a:prstGeom>
      </xdr:spPr>
    </xdr:pic>
    <xdr:clientData/>
  </xdr:twoCellAnchor>
  <xdr:twoCellAnchor>
    <xdr:from>
      <xdr:col>9</xdr:col>
      <xdr:colOff>6350</xdr:colOff>
      <xdr:row>391</xdr:row>
      <xdr:rowOff>25400</xdr:rowOff>
    </xdr:from>
    <xdr:to>
      <xdr:col>9</xdr:col>
      <xdr:colOff>885190</xdr:colOff>
      <xdr:row>391</xdr:row>
      <xdr:rowOff>1209040</xdr:rowOff>
    </xdr:to>
    <xdr:pic>
      <xdr:nvPicPr>
        <xdr:cNvPr id="5463" name="Изображение 5462" descr="resizeПП-00165085"/>
        <xdr:cNvPicPr>
          <a:picLocks noChangeAspect="1"/>
        </xdr:cNvPicPr>
      </xdr:nvPicPr>
      <xdr:blipFill>
        <a:blip xmlns:r="http://schemas.openxmlformats.org/officeDocument/2006/relationships" r:embed="rId248"/>
        <a:stretch>
          <a:fillRect/>
        </a:stretch>
      </xdr:blipFill>
      <xdr:spPr>
        <a:xfrm>
          <a:off x="7235825" y="333422625"/>
          <a:ext cx="878840" cy="1183640"/>
        </a:xfrm>
        <a:prstGeom prst="rect">
          <a:avLst/>
        </a:prstGeom>
      </xdr:spPr>
    </xdr:pic>
    <xdr:clientData/>
  </xdr:twoCellAnchor>
  <xdr:twoCellAnchor>
    <xdr:from>
      <xdr:col>9</xdr:col>
      <xdr:colOff>6350</xdr:colOff>
      <xdr:row>392</xdr:row>
      <xdr:rowOff>25400</xdr:rowOff>
    </xdr:from>
    <xdr:to>
      <xdr:col>9</xdr:col>
      <xdr:colOff>1189990</xdr:colOff>
      <xdr:row>392</xdr:row>
      <xdr:rowOff>802640</xdr:rowOff>
    </xdr:to>
    <xdr:pic>
      <xdr:nvPicPr>
        <xdr:cNvPr id="5464" name="Изображение 5463" descr="resizeПП-00173531"/>
        <xdr:cNvPicPr>
          <a:picLocks noChangeAspect="1"/>
        </xdr:cNvPicPr>
      </xdr:nvPicPr>
      <xdr:blipFill>
        <a:blip xmlns:r="http://schemas.openxmlformats.org/officeDocument/2006/relationships" r:embed="rId249"/>
        <a:stretch>
          <a:fillRect/>
        </a:stretch>
      </xdr:blipFill>
      <xdr:spPr>
        <a:xfrm>
          <a:off x="7235825" y="334645000"/>
          <a:ext cx="1183640" cy="777240"/>
        </a:xfrm>
        <a:prstGeom prst="rect">
          <a:avLst/>
        </a:prstGeom>
      </xdr:spPr>
    </xdr:pic>
    <xdr:clientData/>
  </xdr:twoCellAnchor>
  <xdr:twoCellAnchor>
    <xdr:from>
      <xdr:col>9</xdr:col>
      <xdr:colOff>6350</xdr:colOff>
      <xdr:row>393</xdr:row>
      <xdr:rowOff>25400</xdr:rowOff>
    </xdr:from>
    <xdr:to>
      <xdr:col>9</xdr:col>
      <xdr:colOff>885190</xdr:colOff>
      <xdr:row>393</xdr:row>
      <xdr:rowOff>1209040</xdr:rowOff>
    </xdr:to>
    <xdr:pic>
      <xdr:nvPicPr>
        <xdr:cNvPr id="5465" name="Изображение 5464" descr="resizeПП-00173529"/>
        <xdr:cNvPicPr>
          <a:picLocks noChangeAspect="1"/>
        </xdr:cNvPicPr>
      </xdr:nvPicPr>
      <xdr:blipFill>
        <a:blip xmlns:r="http://schemas.openxmlformats.org/officeDocument/2006/relationships" r:embed="rId250"/>
        <a:stretch>
          <a:fillRect/>
        </a:stretch>
      </xdr:blipFill>
      <xdr:spPr>
        <a:xfrm>
          <a:off x="7235825" y="335867375"/>
          <a:ext cx="878840" cy="1183640"/>
        </a:xfrm>
        <a:prstGeom prst="rect">
          <a:avLst/>
        </a:prstGeom>
      </xdr:spPr>
    </xdr:pic>
    <xdr:clientData/>
  </xdr:twoCellAnchor>
  <xdr:twoCellAnchor>
    <xdr:from>
      <xdr:col>9</xdr:col>
      <xdr:colOff>6350</xdr:colOff>
      <xdr:row>394</xdr:row>
      <xdr:rowOff>25400</xdr:rowOff>
    </xdr:from>
    <xdr:to>
      <xdr:col>9</xdr:col>
      <xdr:colOff>885190</xdr:colOff>
      <xdr:row>394</xdr:row>
      <xdr:rowOff>1209040</xdr:rowOff>
    </xdr:to>
    <xdr:pic>
      <xdr:nvPicPr>
        <xdr:cNvPr id="5466" name="Изображение 5465" descr="resizeПП-00173528"/>
        <xdr:cNvPicPr>
          <a:picLocks noChangeAspect="1"/>
        </xdr:cNvPicPr>
      </xdr:nvPicPr>
      <xdr:blipFill>
        <a:blip xmlns:r="http://schemas.openxmlformats.org/officeDocument/2006/relationships" r:embed="rId251"/>
        <a:stretch>
          <a:fillRect/>
        </a:stretch>
      </xdr:blipFill>
      <xdr:spPr>
        <a:xfrm>
          <a:off x="7235825" y="337089750"/>
          <a:ext cx="878840" cy="1183640"/>
        </a:xfrm>
        <a:prstGeom prst="rect">
          <a:avLst/>
        </a:prstGeom>
      </xdr:spPr>
    </xdr:pic>
    <xdr:clientData/>
  </xdr:twoCellAnchor>
  <xdr:twoCellAnchor>
    <xdr:from>
      <xdr:col>9</xdr:col>
      <xdr:colOff>6350</xdr:colOff>
      <xdr:row>396</xdr:row>
      <xdr:rowOff>25400</xdr:rowOff>
    </xdr:from>
    <xdr:to>
      <xdr:col>9</xdr:col>
      <xdr:colOff>885190</xdr:colOff>
      <xdr:row>396</xdr:row>
      <xdr:rowOff>1209040</xdr:rowOff>
    </xdr:to>
    <xdr:pic>
      <xdr:nvPicPr>
        <xdr:cNvPr id="5467" name="Изображение 5466" descr="resizeПП-00213747"/>
        <xdr:cNvPicPr>
          <a:picLocks noChangeAspect="1"/>
        </xdr:cNvPicPr>
      </xdr:nvPicPr>
      <xdr:blipFill>
        <a:blip xmlns:r="http://schemas.openxmlformats.org/officeDocument/2006/relationships" r:embed="rId252"/>
        <a:stretch>
          <a:fillRect/>
        </a:stretch>
      </xdr:blipFill>
      <xdr:spPr>
        <a:xfrm>
          <a:off x="7235825" y="338464525"/>
          <a:ext cx="878840" cy="1183640"/>
        </a:xfrm>
        <a:prstGeom prst="rect">
          <a:avLst/>
        </a:prstGeom>
      </xdr:spPr>
    </xdr:pic>
    <xdr:clientData/>
  </xdr:twoCellAnchor>
  <xdr:twoCellAnchor>
    <xdr:from>
      <xdr:col>9</xdr:col>
      <xdr:colOff>6350</xdr:colOff>
      <xdr:row>397</xdr:row>
      <xdr:rowOff>25400</xdr:rowOff>
    </xdr:from>
    <xdr:to>
      <xdr:col>9</xdr:col>
      <xdr:colOff>885190</xdr:colOff>
      <xdr:row>397</xdr:row>
      <xdr:rowOff>1209040</xdr:rowOff>
    </xdr:to>
    <xdr:pic>
      <xdr:nvPicPr>
        <xdr:cNvPr id="5468" name="Изображение 5467" descr="resizeПП-00188425"/>
        <xdr:cNvPicPr>
          <a:picLocks noChangeAspect="1"/>
        </xdr:cNvPicPr>
      </xdr:nvPicPr>
      <xdr:blipFill>
        <a:blip xmlns:r="http://schemas.openxmlformats.org/officeDocument/2006/relationships" r:embed="rId253"/>
        <a:stretch>
          <a:fillRect/>
        </a:stretch>
      </xdr:blipFill>
      <xdr:spPr>
        <a:xfrm>
          <a:off x="7235825" y="339686900"/>
          <a:ext cx="878840" cy="1183640"/>
        </a:xfrm>
        <a:prstGeom prst="rect">
          <a:avLst/>
        </a:prstGeom>
      </xdr:spPr>
    </xdr:pic>
    <xdr:clientData/>
  </xdr:twoCellAnchor>
  <xdr:twoCellAnchor>
    <xdr:from>
      <xdr:col>9</xdr:col>
      <xdr:colOff>6350</xdr:colOff>
      <xdr:row>399</xdr:row>
      <xdr:rowOff>25400</xdr:rowOff>
    </xdr:from>
    <xdr:to>
      <xdr:col>9</xdr:col>
      <xdr:colOff>885190</xdr:colOff>
      <xdr:row>399</xdr:row>
      <xdr:rowOff>1209040</xdr:rowOff>
    </xdr:to>
    <xdr:pic>
      <xdr:nvPicPr>
        <xdr:cNvPr id="5469" name="Изображение 5468" descr="resizeПП-00173541"/>
        <xdr:cNvPicPr>
          <a:picLocks noChangeAspect="1"/>
        </xdr:cNvPicPr>
      </xdr:nvPicPr>
      <xdr:blipFill>
        <a:blip xmlns:r="http://schemas.openxmlformats.org/officeDocument/2006/relationships" r:embed="rId254"/>
        <a:stretch>
          <a:fillRect/>
        </a:stretch>
      </xdr:blipFill>
      <xdr:spPr>
        <a:xfrm>
          <a:off x="7235825" y="341061675"/>
          <a:ext cx="878840" cy="1183640"/>
        </a:xfrm>
        <a:prstGeom prst="rect">
          <a:avLst/>
        </a:prstGeom>
      </xdr:spPr>
    </xdr:pic>
    <xdr:clientData/>
  </xdr:twoCellAnchor>
  <xdr:twoCellAnchor>
    <xdr:from>
      <xdr:col>9</xdr:col>
      <xdr:colOff>6350</xdr:colOff>
      <xdr:row>400</xdr:row>
      <xdr:rowOff>25400</xdr:rowOff>
    </xdr:from>
    <xdr:to>
      <xdr:col>9</xdr:col>
      <xdr:colOff>885190</xdr:colOff>
      <xdr:row>400</xdr:row>
      <xdr:rowOff>1209040</xdr:rowOff>
    </xdr:to>
    <xdr:pic>
      <xdr:nvPicPr>
        <xdr:cNvPr id="5470" name="Изображение 5469" descr="resizeПП-00173539"/>
        <xdr:cNvPicPr>
          <a:picLocks noChangeAspect="1"/>
        </xdr:cNvPicPr>
      </xdr:nvPicPr>
      <xdr:blipFill>
        <a:blip xmlns:r="http://schemas.openxmlformats.org/officeDocument/2006/relationships" r:embed="rId255"/>
        <a:stretch>
          <a:fillRect/>
        </a:stretch>
      </xdr:blipFill>
      <xdr:spPr>
        <a:xfrm>
          <a:off x="7235825" y="342284050"/>
          <a:ext cx="878840" cy="1183640"/>
        </a:xfrm>
        <a:prstGeom prst="rect">
          <a:avLst/>
        </a:prstGeom>
      </xdr:spPr>
    </xdr:pic>
    <xdr:clientData/>
  </xdr:twoCellAnchor>
  <xdr:twoCellAnchor>
    <xdr:from>
      <xdr:col>9</xdr:col>
      <xdr:colOff>6350</xdr:colOff>
      <xdr:row>401</xdr:row>
      <xdr:rowOff>25400</xdr:rowOff>
    </xdr:from>
    <xdr:to>
      <xdr:col>9</xdr:col>
      <xdr:colOff>885190</xdr:colOff>
      <xdr:row>401</xdr:row>
      <xdr:rowOff>1209040</xdr:rowOff>
    </xdr:to>
    <xdr:pic>
      <xdr:nvPicPr>
        <xdr:cNvPr id="5471" name="Изображение 5470" descr="resizeПП-00194344"/>
        <xdr:cNvPicPr>
          <a:picLocks noChangeAspect="1"/>
        </xdr:cNvPicPr>
      </xdr:nvPicPr>
      <xdr:blipFill>
        <a:blip xmlns:r="http://schemas.openxmlformats.org/officeDocument/2006/relationships" r:embed="rId256"/>
        <a:stretch>
          <a:fillRect/>
        </a:stretch>
      </xdr:blipFill>
      <xdr:spPr>
        <a:xfrm>
          <a:off x="7235825" y="343506425"/>
          <a:ext cx="878840" cy="1183640"/>
        </a:xfrm>
        <a:prstGeom prst="rect">
          <a:avLst/>
        </a:prstGeom>
      </xdr:spPr>
    </xdr:pic>
    <xdr:clientData/>
  </xdr:twoCellAnchor>
  <xdr:twoCellAnchor>
    <xdr:from>
      <xdr:col>9</xdr:col>
      <xdr:colOff>6350</xdr:colOff>
      <xdr:row>403</xdr:row>
      <xdr:rowOff>25400</xdr:rowOff>
    </xdr:from>
    <xdr:to>
      <xdr:col>9</xdr:col>
      <xdr:colOff>885190</xdr:colOff>
      <xdr:row>403</xdr:row>
      <xdr:rowOff>1209040</xdr:rowOff>
    </xdr:to>
    <xdr:pic>
      <xdr:nvPicPr>
        <xdr:cNvPr id="5472" name="Изображение 5471" descr="resizeПП-00171756"/>
        <xdr:cNvPicPr>
          <a:picLocks noChangeAspect="1"/>
        </xdr:cNvPicPr>
      </xdr:nvPicPr>
      <xdr:blipFill>
        <a:blip xmlns:r="http://schemas.openxmlformats.org/officeDocument/2006/relationships" r:embed="rId257"/>
        <a:stretch>
          <a:fillRect/>
        </a:stretch>
      </xdr:blipFill>
      <xdr:spPr>
        <a:xfrm>
          <a:off x="7235825" y="344881200"/>
          <a:ext cx="878840" cy="1183640"/>
        </a:xfrm>
        <a:prstGeom prst="rect">
          <a:avLst/>
        </a:prstGeom>
      </xdr:spPr>
    </xdr:pic>
    <xdr:clientData/>
  </xdr:twoCellAnchor>
  <xdr:twoCellAnchor>
    <xdr:from>
      <xdr:col>9</xdr:col>
      <xdr:colOff>6350</xdr:colOff>
      <xdr:row>404</xdr:row>
      <xdr:rowOff>25400</xdr:rowOff>
    </xdr:from>
    <xdr:to>
      <xdr:col>9</xdr:col>
      <xdr:colOff>885190</xdr:colOff>
      <xdr:row>404</xdr:row>
      <xdr:rowOff>1209040</xdr:rowOff>
    </xdr:to>
    <xdr:pic>
      <xdr:nvPicPr>
        <xdr:cNvPr id="5473" name="Изображение 5472" descr="resizeПП-00173537"/>
        <xdr:cNvPicPr>
          <a:picLocks noChangeAspect="1"/>
        </xdr:cNvPicPr>
      </xdr:nvPicPr>
      <xdr:blipFill>
        <a:blip xmlns:r="http://schemas.openxmlformats.org/officeDocument/2006/relationships" r:embed="rId258"/>
        <a:stretch>
          <a:fillRect/>
        </a:stretch>
      </xdr:blipFill>
      <xdr:spPr>
        <a:xfrm>
          <a:off x="7235825" y="346103575"/>
          <a:ext cx="878840" cy="1183640"/>
        </a:xfrm>
        <a:prstGeom prst="rect">
          <a:avLst/>
        </a:prstGeom>
      </xdr:spPr>
    </xdr:pic>
    <xdr:clientData/>
  </xdr:twoCellAnchor>
  <xdr:twoCellAnchor>
    <xdr:from>
      <xdr:col>9</xdr:col>
      <xdr:colOff>6350</xdr:colOff>
      <xdr:row>406</xdr:row>
      <xdr:rowOff>25400</xdr:rowOff>
    </xdr:from>
    <xdr:to>
      <xdr:col>9</xdr:col>
      <xdr:colOff>885190</xdr:colOff>
      <xdr:row>406</xdr:row>
      <xdr:rowOff>1209040</xdr:rowOff>
    </xdr:to>
    <xdr:pic>
      <xdr:nvPicPr>
        <xdr:cNvPr id="5474" name="Изображение 5473" descr="resizeПП-00196748"/>
        <xdr:cNvPicPr>
          <a:picLocks noChangeAspect="1"/>
        </xdr:cNvPicPr>
      </xdr:nvPicPr>
      <xdr:blipFill>
        <a:blip xmlns:r="http://schemas.openxmlformats.org/officeDocument/2006/relationships" r:embed="rId259"/>
        <a:stretch>
          <a:fillRect/>
        </a:stretch>
      </xdr:blipFill>
      <xdr:spPr>
        <a:xfrm>
          <a:off x="7235825" y="347478350"/>
          <a:ext cx="878840" cy="1183640"/>
        </a:xfrm>
        <a:prstGeom prst="rect">
          <a:avLst/>
        </a:prstGeom>
      </xdr:spPr>
    </xdr:pic>
    <xdr:clientData/>
  </xdr:twoCellAnchor>
  <xdr:twoCellAnchor>
    <xdr:from>
      <xdr:col>9</xdr:col>
      <xdr:colOff>6350</xdr:colOff>
      <xdr:row>407</xdr:row>
      <xdr:rowOff>25400</xdr:rowOff>
    </xdr:from>
    <xdr:to>
      <xdr:col>9</xdr:col>
      <xdr:colOff>1189990</xdr:colOff>
      <xdr:row>407</xdr:row>
      <xdr:rowOff>904240</xdr:rowOff>
    </xdr:to>
    <xdr:pic>
      <xdr:nvPicPr>
        <xdr:cNvPr id="5475" name="Изображение 5474" descr="resizeПП-00213758"/>
        <xdr:cNvPicPr>
          <a:picLocks noChangeAspect="1"/>
        </xdr:cNvPicPr>
      </xdr:nvPicPr>
      <xdr:blipFill>
        <a:blip xmlns:r="http://schemas.openxmlformats.org/officeDocument/2006/relationships" r:embed="rId260"/>
        <a:stretch>
          <a:fillRect/>
        </a:stretch>
      </xdr:blipFill>
      <xdr:spPr>
        <a:xfrm>
          <a:off x="7235825" y="348700725"/>
          <a:ext cx="1183640" cy="878840"/>
        </a:xfrm>
        <a:prstGeom prst="rect">
          <a:avLst/>
        </a:prstGeom>
      </xdr:spPr>
    </xdr:pic>
    <xdr:clientData/>
  </xdr:twoCellAnchor>
  <xdr:twoCellAnchor>
    <xdr:from>
      <xdr:col>9</xdr:col>
      <xdr:colOff>6350</xdr:colOff>
      <xdr:row>408</xdr:row>
      <xdr:rowOff>25400</xdr:rowOff>
    </xdr:from>
    <xdr:to>
      <xdr:col>9</xdr:col>
      <xdr:colOff>1189990</xdr:colOff>
      <xdr:row>408</xdr:row>
      <xdr:rowOff>904240</xdr:rowOff>
    </xdr:to>
    <xdr:pic>
      <xdr:nvPicPr>
        <xdr:cNvPr id="5476" name="Изображение 5475" descr="resizeПП-00213755"/>
        <xdr:cNvPicPr>
          <a:picLocks noChangeAspect="1"/>
        </xdr:cNvPicPr>
      </xdr:nvPicPr>
      <xdr:blipFill>
        <a:blip xmlns:r="http://schemas.openxmlformats.org/officeDocument/2006/relationships" r:embed="rId261"/>
        <a:stretch>
          <a:fillRect/>
        </a:stretch>
      </xdr:blipFill>
      <xdr:spPr>
        <a:xfrm>
          <a:off x="7235825" y="349923100"/>
          <a:ext cx="1183640" cy="878840"/>
        </a:xfrm>
        <a:prstGeom prst="rect">
          <a:avLst/>
        </a:prstGeom>
      </xdr:spPr>
    </xdr:pic>
    <xdr:clientData/>
  </xdr:twoCellAnchor>
  <xdr:twoCellAnchor>
    <xdr:from>
      <xdr:col>9</xdr:col>
      <xdr:colOff>6350</xdr:colOff>
      <xdr:row>409</xdr:row>
      <xdr:rowOff>25400</xdr:rowOff>
    </xdr:from>
    <xdr:to>
      <xdr:col>9</xdr:col>
      <xdr:colOff>885190</xdr:colOff>
      <xdr:row>409</xdr:row>
      <xdr:rowOff>1209040</xdr:rowOff>
    </xdr:to>
    <xdr:pic>
      <xdr:nvPicPr>
        <xdr:cNvPr id="5477" name="Изображение 5476" descr="resizeПП-00240494"/>
        <xdr:cNvPicPr>
          <a:picLocks noChangeAspect="1"/>
        </xdr:cNvPicPr>
      </xdr:nvPicPr>
      <xdr:blipFill>
        <a:blip xmlns:r="http://schemas.openxmlformats.org/officeDocument/2006/relationships" r:embed="rId262"/>
        <a:stretch>
          <a:fillRect/>
        </a:stretch>
      </xdr:blipFill>
      <xdr:spPr>
        <a:xfrm>
          <a:off x="7235825" y="351145475"/>
          <a:ext cx="878840" cy="1183640"/>
        </a:xfrm>
        <a:prstGeom prst="rect">
          <a:avLst/>
        </a:prstGeom>
      </xdr:spPr>
    </xdr:pic>
    <xdr:clientData/>
  </xdr:twoCellAnchor>
  <xdr:twoCellAnchor>
    <xdr:from>
      <xdr:col>9</xdr:col>
      <xdr:colOff>6350</xdr:colOff>
      <xdr:row>410</xdr:row>
      <xdr:rowOff>25400</xdr:rowOff>
    </xdr:from>
    <xdr:to>
      <xdr:col>9</xdr:col>
      <xdr:colOff>885190</xdr:colOff>
      <xdr:row>410</xdr:row>
      <xdr:rowOff>1209040</xdr:rowOff>
    </xdr:to>
    <xdr:pic>
      <xdr:nvPicPr>
        <xdr:cNvPr id="5478" name="Изображение 5477" descr="resizeПП-00240492"/>
        <xdr:cNvPicPr>
          <a:picLocks noChangeAspect="1"/>
        </xdr:cNvPicPr>
      </xdr:nvPicPr>
      <xdr:blipFill>
        <a:blip xmlns:r="http://schemas.openxmlformats.org/officeDocument/2006/relationships" r:embed="rId263"/>
        <a:stretch>
          <a:fillRect/>
        </a:stretch>
      </xdr:blipFill>
      <xdr:spPr>
        <a:xfrm>
          <a:off x="7235825" y="352367850"/>
          <a:ext cx="878840" cy="1183640"/>
        </a:xfrm>
        <a:prstGeom prst="rect">
          <a:avLst/>
        </a:prstGeom>
      </xdr:spPr>
    </xdr:pic>
    <xdr:clientData/>
  </xdr:twoCellAnchor>
  <xdr:twoCellAnchor>
    <xdr:from>
      <xdr:col>9</xdr:col>
      <xdr:colOff>6350</xdr:colOff>
      <xdr:row>411</xdr:row>
      <xdr:rowOff>25400</xdr:rowOff>
    </xdr:from>
    <xdr:to>
      <xdr:col>9</xdr:col>
      <xdr:colOff>885190</xdr:colOff>
      <xdr:row>411</xdr:row>
      <xdr:rowOff>1209040</xdr:rowOff>
    </xdr:to>
    <xdr:pic>
      <xdr:nvPicPr>
        <xdr:cNvPr id="5479" name="Изображение 5478" descr="resizeПП-00240493"/>
        <xdr:cNvPicPr>
          <a:picLocks noChangeAspect="1"/>
        </xdr:cNvPicPr>
      </xdr:nvPicPr>
      <xdr:blipFill>
        <a:blip xmlns:r="http://schemas.openxmlformats.org/officeDocument/2006/relationships" r:embed="rId209"/>
        <a:stretch>
          <a:fillRect/>
        </a:stretch>
      </xdr:blipFill>
      <xdr:spPr>
        <a:xfrm>
          <a:off x="7235825" y="353590225"/>
          <a:ext cx="878840" cy="1183640"/>
        </a:xfrm>
        <a:prstGeom prst="rect">
          <a:avLst/>
        </a:prstGeom>
      </xdr:spPr>
    </xdr:pic>
    <xdr:clientData/>
  </xdr:twoCellAnchor>
  <xdr:twoCellAnchor>
    <xdr:from>
      <xdr:col>9</xdr:col>
      <xdr:colOff>6350</xdr:colOff>
      <xdr:row>412</xdr:row>
      <xdr:rowOff>25400</xdr:rowOff>
    </xdr:from>
    <xdr:to>
      <xdr:col>9</xdr:col>
      <xdr:colOff>885190</xdr:colOff>
      <xdr:row>412</xdr:row>
      <xdr:rowOff>1209040</xdr:rowOff>
    </xdr:to>
    <xdr:pic>
      <xdr:nvPicPr>
        <xdr:cNvPr id="5480" name="Изображение 5479" descr="resizeПП-00165109"/>
        <xdr:cNvPicPr>
          <a:picLocks noChangeAspect="1"/>
        </xdr:cNvPicPr>
      </xdr:nvPicPr>
      <xdr:blipFill>
        <a:blip xmlns:r="http://schemas.openxmlformats.org/officeDocument/2006/relationships" r:embed="rId264"/>
        <a:stretch>
          <a:fillRect/>
        </a:stretch>
      </xdr:blipFill>
      <xdr:spPr>
        <a:xfrm>
          <a:off x="7235825" y="354812600"/>
          <a:ext cx="878840" cy="1183640"/>
        </a:xfrm>
        <a:prstGeom prst="rect">
          <a:avLst/>
        </a:prstGeom>
      </xdr:spPr>
    </xdr:pic>
    <xdr:clientData/>
  </xdr:twoCellAnchor>
  <xdr:twoCellAnchor>
    <xdr:from>
      <xdr:col>9</xdr:col>
      <xdr:colOff>6350</xdr:colOff>
      <xdr:row>414</xdr:row>
      <xdr:rowOff>25400</xdr:rowOff>
    </xdr:from>
    <xdr:to>
      <xdr:col>9</xdr:col>
      <xdr:colOff>885190</xdr:colOff>
      <xdr:row>414</xdr:row>
      <xdr:rowOff>1209040</xdr:rowOff>
    </xdr:to>
    <xdr:pic>
      <xdr:nvPicPr>
        <xdr:cNvPr id="5481" name="Изображение 5480" descr="resizeПП-00237146"/>
        <xdr:cNvPicPr>
          <a:picLocks noChangeAspect="1"/>
        </xdr:cNvPicPr>
      </xdr:nvPicPr>
      <xdr:blipFill>
        <a:blip xmlns:r="http://schemas.openxmlformats.org/officeDocument/2006/relationships" r:embed="rId265"/>
        <a:stretch>
          <a:fillRect/>
        </a:stretch>
      </xdr:blipFill>
      <xdr:spPr>
        <a:xfrm>
          <a:off x="7235825" y="356187375"/>
          <a:ext cx="878840" cy="1183640"/>
        </a:xfrm>
        <a:prstGeom prst="rect">
          <a:avLst/>
        </a:prstGeom>
      </xdr:spPr>
    </xdr:pic>
    <xdr:clientData/>
  </xdr:twoCellAnchor>
  <xdr:twoCellAnchor>
    <xdr:from>
      <xdr:col>9</xdr:col>
      <xdr:colOff>6350</xdr:colOff>
      <xdr:row>415</xdr:row>
      <xdr:rowOff>25400</xdr:rowOff>
    </xdr:from>
    <xdr:to>
      <xdr:col>9</xdr:col>
      <xdr:colOff>885190</xdr:colOff>
      <xdr:row>415</xdr:row>
      <xdr:rowOff>1209040</xdr:rowOff>
    </xdr:to>
    <xdr:pic>
      <xdr:nvPicPr>
        <xdr:cNvPr id="5482" name="Изображение 5481" descr="resizeПП-00251760"/>
        <xdr:cNvPicPr>
          <a:picLocks noChangeAspect="1"/>
        </xdr:cNvPicPr>
      </xdr:nvPicPr>
      <xdr:blipFill>
        <a:blip xmlns:r="http://schemas.openxmlformats.org/officeDocument/2006/relationships" r:embed="rId266"/>
        <a:stretch>
          <a:fillRect/>
        </a:stretch>
      </xdr:blipFill>
      <xdr:spPr>
        <a:xfrm>
          <a:off x="7235825" y="357409750"/>
          <a:ext cx="878840" cy="1183640"/>
        </a:xfrm>
        <a:prstGeom prst="rect">
          <a:avLst/>
        </a:prstGeom>
      </xdr:spPr>
    </xdr:pic>
    <xdr:clientData/>
  </xdr:twoCellAnchor>
  <xdr:twoCellAnchor>
    <xdr:from>
      <xdr:col>9</xdr:col>
      <xdr:colOff>6350</xdr:colOff>
      <xdr:row>418</xdr:row>
      <xdr:rowOff>25400</xdr:rowOff>
    </xdr:from>
    <xdr:to>
      <xdr:col>9</xdr:col>
      <xdr:colOff>885190</xdr:colOff>
      <xdr:row>418</xdr:row>
      <xdr:rowOff>1209040</xdr:rowOff>
    </xdr:to>
    <xdr:pic>
      <xdr:nvPicPr>
        <xdr:cNvPr id="5483" name="Изображение 5482" descr="resizeПП-00212361"/>
        <xdr:cNvPicPr>
          <a:picLocks noChangeAspect="1"/>
        </xdr:cNvPicPr>
      </xdr:nvPicPr>
      <xdr:blipFill>
        <a:blip xmlns:r="http://schemas.openxmlformats.org/officeDocument/2006/relationships" r:embed="rId267"/>
        <a:stretch>
          <a:fillRect/>
        </a:stretch>
      </xdr:blipFill>
      <xdr:spPr>
        <a:xfrm>
          <a:off x="7235825" y="358936925"/>
          <a:ext cx="878840" cy="1183640"/>
        </a:xfrm>
        <a:prstGeom prst="rect">
          <a:avLst/>
        </a:prstGeom>
      </xdr:spPr>
    </xdr:pic>
    <xdr:clientData/>
  </xdr:twoCellAnchor>
  <xdr:twoCellAnchor>
    <xdr:from>
      <xdr:col>9</xdr:col>
      <xdr:colOff>6350</xdr:colOff>
      <xdr:row>419</xdr:row>
      <xdr:rowOff>25400</xdr:rowOff>
    </xdr:from>
    <xdr:to>
      <xdr:col>9</xdr:col>
      <xdr:colOff>885190</xdr:colOff>
      <xdr:row>419</xdr:row>
      <xdr:rowOff>1209040</xdr:rowOff>
    </xdr:to>
    <xdr:pic>
      <xdr:nvPicPr>
        <xdr:cNvPr id="5484" name="Изображение 5483" descr="resizeПП-00212358"/>
        <xdr:cNvPicPr>
          <a:picLocks noChangeAspect="1"/>
        </xdr:cNvPicPr>
      </xdr:nvPicPr>
      <xdr:blipFill>
        <a:blip xmlns:r="http://schemas.openxmlformats.org/officeDocument/2006/relationships" r:embed="rId267"/>
        <a:stretch>
          <a:fillRect/>
        </a:stretch>
      </xdr:blipFill>
      <xdr:spPr>
        <a:xfrm>
          <a:off x="7235825" y="360159300"/>
          <a:ext cx="878840" cy="1183640"/>
        </a:xfrm>
        <a:prstGeom prst="rect">
          <a:avLst/>
        </a:prstGeom>
      </xdr:spPr>
    </xdr:pic>
    <xdr:clientData/>
  </xdr:twoCellAnchor>
  <xdr:twoCellAnchor>
    <xdr:from>
      <xdr:col>9</xdr:col>
      <xdr:colOff>6350</xdr:colOff>
      <xdr:row>420</xdr:row>
      <xdr:rowOff>25400</xdr:rowOff>
    </xdr:from>
    <xdr:to>
      <xdr:col>9</xdr:col>
      <xdr:colOff>885190</xdr:colOff>
      <xdr:row>420</xdr:row>
      <xdr:rowOff>1209040</xdr:rowOff>
    </xdr:to>
    <xdr:pic>
      <xdr:nvPicPr>
        <xdr:cNvPr id="5485" name="Изображение 5484" descr="resizeПП-00212359"/>
        <xdr:cNvPicPr>
          <a:picLocks noChangeAspect="1"/>
        </xdr:cNvPicPr>
      </xdr:nvPicPr>
      <xdr:blipFill>
        <a:blip xmlns:r="http://schemas.openxmlformats.org/officeDocument/2006/relationships" r:embed="rId267"/>
        <a:stretch>
          <a:fillRect/>
        </a:stretch>
      </xdr:blipFill>
      <xdr:spPr>
        <a:xfrm>
          <a:off x="7235825" y="361381675"/>
          <a:ext cx="878840" cy="1183640"/>
        </a:xfrm>
        <a:prstGeom prst="rect">
          <a:avLst/>
        </a:prstGeom>
      </xdr:spPr>
    </xdr:pic>
    <xdr:clientData/>
  </xdr:twoCellAnchor>
  <xdr:twoCellAnchor>
    <xdr:from>
      <xdr:col>9</xdr:col>
      <xdr:colOff>6350</xdr:colOff>
      <xdr:row>421</xdr:row>
      <xdr:rowOff>25400</xdr:rowOff>
    </xdr:from>
    <xdr:to>
      <xdr:col>9</xdr:col>
      <xdr:colOff>885190</xdr:colOff>
      <xdr:row>421</xdr:row>
      <xdr:rowOff>1209040</xdr:rowOff>
    </xdr:to>
    <xdr:pic>
      <xdr:nvPicPr>
        <xdr:cNvPr id="5486" name="Изображение 5485" descr="resizeПП-00212366"/>
        <xdr:cNvPicPr>
          <a:picLocks noChangeAspect="1"/>
        </xdr:cNvPicPr>
      </xdr:nvPicPr>
      <xdr:blipFill>
        <a:blip xmlns:r="http://schemas.openxmlformats.org/officeDocument/2006/relationships" r:embed="rId268"/>
        <a:stretch>
          <a:fillRect/>
        </a:stretch>
      </xdr:blipFill>
      <xdr:spPr>
        <a:xfrm>
          <a:off x="7235825" y="362604050"/>
          <a:ext cx="878840" cy="1183640"/>
        </a:xfrm>
        <a:prstGeom prst="rect">
          <a:avLst/>
        </a:prstGeom>
      </xdr:spPr>
    </xdr:pic>
    <xdr:clientData/>
  </xdr:twoCellAnchor>
  <xdr:twoCellAnchor>
    <xdr:from>
      <xdr:col>9</xdr:col>
      <xdr:colOff>6350</xdr:colOff>
      <xdr:row>422</xdr:row>
      <xdr:rowOff>25400</xdr:rowOff>
    </xdr:from>
    <xdr:to>
      <xdr:col>9</xdr:col>
      <xdr:colOff>885190</xdr:colOff>
      <xdr:row>422</xdr:row>
      <xdr:rowOff>1209040</xdr:rowOff>
    </xdr:to>
    <xdr:pic>
      <xdr:nvPicPr>
        <xdr:cNvPr id="5487" name="Изображение 5486" descr="resizeПП-00212368"/>
        <xdr:cNvPicPr>
          <a:picLocks noChangeAspect="1"/>
        </xdr:cNvPicPr>
      </xdr:nvPicPr>
      <xdr:blipFill>
        <a:blip xmlns:r="http://schemas.openxmlformats.org/officeDocument/2006/relationships" r:embed="rId269"/>
        <a:stretch>
          <a:fillRect/>
        </a:stretch>
      </xdr:blipFill>
      <xdr:spPr>
        <a:xfrm>
          <a:off x="7235825" y="363826425"/>
          <a:ext cx="878840" cy="1183640"/>
        </a:xfrm>
        <a:prstGeom prst="rect">
          <a:avLst/>
        </a:prstGeom>
      </xdr:spPr>
    </xdr:pic>
    <xdr:clientData/>
  </xdr:twoCellAnchor>
  <xdr:twoCellAnchor>
    <xdr:from>
      <xdr:col>9</xdr:col>
      <xdr:colOff>6350</xdr:colOff>
      <xdr:row>423</xdr:row>
      <xdr:rowOff>25400</xdr:rowOff>
    </xdr:from>
    <xdr:to>
      <xdr:col>9</xdr:col>
      <xdr:colOff>885190</xdr:colOff>
      <xdr:row>423</xdr:row>
      <xdr:rowOff>1209040</xdr:rowOff>
    </xdr:to>
    <xdr:pic>
      <xdr:nvPicPr>
        <xdr:cNvPr id="5488" name="Изображение 5487" descr="resizeПП-00212363"/>
        <xdr:cNvPicPr>
          <a:picLocks noChangeAspect="1"/>
        </xdr:cNvPicPr>
      </xdr:nvPicPr>
      <xdr:blipFill>
        <a:blip xmlns:r="http://schemas.openxmlformats.org/officeDocument/2006/relationships" r:embed="rId270"/>
        <a:stretch>
          <a:fillRect/>
        </a:stretch>
      </xdr:blipFill>
      <xdr:spPr>
        <a:xfrm>
          <a:off x="7235825" y="365048800"/>
          <a:ext cx="878840" cy="1183640"/>
        </a:xfrm>
        <a:prstGeom prst="rect">
          <a:avLst/>
        </a:prstGeom>
      </xdr:spPr>
    </xdr:pic>
    <xdr:clientData/>
  </xdr:twoCellAnchor>
  <xdr:twoCellAnchor>
    <xdr:from>
      <xdr:col>9</xdr:col>
      <xdr:colOff>6350</xdr:colOff>
      <xdr:row>424</xdr:row>
      <xdr:rowOff>25400</xdr:rowOff>
    </xdr:from>
    <xdr:to>
      <xdr:col>9</xdr:col>
      <xdr:colOff>885190</xdr:colOff>
      <xdr:row>424</xdr:row>
      <xdr:rowOff>1209040</xdr:rowOff>
    </xdr:to>
    <xdr:pic>
      <xdr:nvPicPr>
        <xdr:cNvPr id="5489" name="Изображение 5488" descr="resizeПП-00212339"/>
        <xdr:cNvPicPr>
          <a:picLocks noChangeAspect="1"/>
        </xdr:cNvPicPr>
      </xdr:nvPicPr>
      <xdr:blipFill>
        <a:blip xmlns:r="http://schemas.openxmlformats.org/officeDocument/2006/relationships" r:embed="rId271"/>
        <a:stretch>
          <a:fillRect/>
        </a:stretch>
      </xdr:blipFill>
      <xdr:spPr>
        <a:xfrm>
          <a:off x="7235825" y="366271175"/>
          <a:ext cx="878840" cy="1183640"/>
        </a:xfrm>
        <a:prstGeom prst="rect">
          <a:avLst/>
        </a:prstGeom>
      </xdr:spPr>
    </xdr:pic>
    <xdr:clientData/>
  </xdr:twoCellAnchor>
  <xdr:twoCellAnchor>
    <xdr:from>
      <xdr:col>9</xdr:col>
      <xdr:colOff>6350</xdr:colOff>
      <xdr:row>425</xdr:row>
      <xdr:rowOff>25400</xdr:rowOff>
    </xdr:from>
    <xdr:to>
      <xdr:col>9</xdr:col>
      <xdr:colOff>885190</xdr:colOff>
      <xdr:row>425</xdr:row>
      <xdr:rowOff>1209040</xdr:rowOff>
    </xdr:to>
    <xdr:pic>
      <xdr:nvPicPr>
        <xdr:cNvPr id="5490" name="Изображение 5489" descr="resizeПП-00212337"/>
        <xdr:cNvPicPr>
          <a:picLocks noChangeAspect="1"/>
        </xdr:cNvPicPr>
      </xdr:nvPicPr>
      <xdr:blipFill>
        <a:blip xmlns:r="http://schemas.openxmlformats.org/officeDocument/2006/relationships" r:embed="rId271"/>
        <a:stretch>
          <a:fillRect/>
        </a:stretch>
      </xdr:blipFill>
      <xdr:spPr>
        <a:xfrm>
          <a:off x="7235825" y="367493550"/>
          <a:ext cx="878840" cy="1183640"/>
        </a:xfrm>
        <a:prstGeom prst="rect">
          <a:avLst/>
        </a:prstGeom>
      </xdr:spPr>
    </xdr:pic>
    <xdr:clientData/>
  </xdr:twoCellAnchor>
  <xdr:twoCellAnchor>
    <xdr:from>
      <xdr:col>9</xdr:col>
      <xdr:colOff>6350</xdr:colOff>
      <xdr:row>426</xdr:row>
      <xdr:rowOff>25400</xdr:rowOff>
    </xdr:from>
    <xdr:to>
      <xdr:col>9</xdr:col>
      <xdr:colOff>885190</xdr:colOff>
      <xdr:row>426</xdr:row>
      <xdr:rowOff>1209040</xdr:rowOff>
    </xdr:to>
    <xdr:pic>
      <xdr:nvPicPr>
        <xdr:cNvPr id="5491" name="Изображение 5490" descr="resizeПП-00212338"/>
        <xdr:cNvPicPr>
          <a:picLocks noChangeAspect="1"/>
        </xdr:cNvPicPr>
      </xdr:nvPicPr>
      <xdr:blipFill>
        <a:blip xmlns:r="http://schemas.openxmlformats.org/officeDocument/2006/relationships" r:embed="rId271"/>
        <a:stretch>
          <a:fillRect/>
        </a:stretch>
      </xdr:blipFill>
      <xdr:spPr>
        <a:xfrm>
          <a:off x="7235825" y="368715925"/>
          <a:ext cx="878840" cy="1183640"/>
        </a:xfrm>
        <a:prstGeom prst="rect">
          <a:avLst/>
        </a:prstGeom>
      </xdr:spPr>
    </xdr:pic>
    <xdr:clientData/>
  </xdr:twoCellAnchor>
  <xdr:twoCellAnchor>
    <xdr:from>
      <xdr:col>9</xdr:col>
      <xdr:colOff>6350</xdr:colOff>
      <xdr:row>427</xdr:row>
      <xdr:rowOff>25400</xdr:rowOff>
    </xdr:from>
    <xdr:to>
      <xdr:col>9</xdr:col>
      <xdr:colOff>885190</xdr:colOff>
      <xdr:row>427</xdr:row>
      <xdr:rowOff>1209040</xdr:rowOff>
    </xdr:to>
    <xdr:pic>
      <xdr:nvPicPr>
        <xdr:cNvPr id="5492" name="Изображение 5491" descr="resizeПП-00212342"/>
        <xdr:cNvPicPr>
          <a:picLocks noChangeAspect="1"/>
        </xdr:cNvPicPr>
      </xdr:nvPicPr>
      <xdr:blipFill>
        <a:blip xmlns:r="http://schemas.openxmlformats.org/officeDocument/2006/relationships" r:embed="rId272"/>
        <a:stretch>
          <a:fillRect/>
        </a:stretch>
      </xdr:blipFill>
      <xdr:spPr>
        <a:xfrm>
          <a:off x="7235825" y="369938300"/>
          <a:ext cx="878840" cy="1183640"/>
        </a:xfrm>
        <a:prstGeom prst="rect">
          <a:avLst/>
        </a:prstGeom>
      </xdr:spPr>
    </xdr:pic>
    <xdr:clientData/>
  </xdr:twoCellAnchor>
  <xdr:twoCellAnchor>
    <xdr:from>
      <xdr:col>9</xdr:col>
      <xdr:colOff>6350</xdr:colOff>
      <xdr:row>428</xdr:row>
      <xdr:rowOff>25400</xdr:rowOff>
    </xdr:from>
    <xdr:to>
      <xdr:col>9</xdr:col>
      <xdr:colOff>885190</xdr:colOff>
      <xdr:row>428</xdr:row>
      <xdr:rowOff>1209040</xdr:rowOff>
    </xdr:to>
    <xdr:pic>
      <xdr:nvPicPr>
        <xdr:cNvPr id="5493" name="Изображение 5492" descr="resizeПП-00212382"/>
        <xdr:cNvPicPr>
          <a:picLocks noChangeAspect="1"/>
        </xdr:cNvPicPr>
      </xdr:nvPicPr>
      <xdr:blipFill>
        <a:blip xmlns:r="http://schemas.openxmlformats.org/officeDocument/2006/relationships" r:embed="rId273"/>
        <a:stretch>
          <a:fillRect/>
        </a:stretch>
      </xdr:blipFill>
      <xdr:spPr>
        <a:xfrm>
          <a:off x="7235825" y="371160675"/>
          <a:ext cx="878840" cy="1183640"/>
        </a:xfrm>
        <a:prstGeom prst="rect">
          <a:avLst/>
        </a:prstGeom>
      </xdr:spPr>
    </xdr:pic>
    <xdr:clientData/>
  </xdr:twoCellAnchor>
  <xdr:twoCellAnchor>
    <xdr:from>
      <xdr:col>9</xdr:col>
      <xdr:colOff>6350</xdr:colOff>
      <xdr:row>429</xdr:row>
      <xdr:rowOff>25400</xdr:rowOff>
    </xdr:from>
    <xdr:to>
      <xdr:col>9</xdr:col>
      <xdr:colOff>885190</xdr:colOff>
      <xdr:row>429</xdr:row>
      <xdr:rowOff>1209040</xdr:rowOff>
    </xdr:to>
    <xdr:pic>
      <xdr:nvPicPr>
        <xdr:cNvPr id="5494" name="Изображение 5493" descr="resizeПП-00212378"/>
        <xdr:cNvPicPr>
          <a:picLocks noChangeAspect="1"/>
        </xdr:cNvPicPr>
      </xdr:nvPicPr>
      <xdr:blipFill>
        <a:blip xmlns:r="http://schemas.openxmlformats.org/officeDocument/2006/relationships" r:embed="rId274"/>
        <a:stretch>
          <a:fillRect/>
        </a:stretch>
      </xdr:blipFill>
      <xdr:spPr>
        <a:xfrm>
          <a:off x="7235825" y="372383050"/>
          <a:ext cx="878840" cy="1183640"/>
        </a:xfrm>
        <a:prstGeom prst="rect">
          <a:avLst/>
        </a:prstGeom>
      </xdr:spPr>
    </xdr:pic>
    <xdr:clientData/>
  </xdr:twoCellAnchor>
  <xdr:twoCellAnchor>
    <xdr:from>
      <xdr:col>9</xdr:col>
      <xdr:colOff>6350</xdr:colOff>
      <xdr:row>430</xdr:row>
      <xdr:rowOff>25400</xdr:rowOff>
    </xdr:from>
    <xdr:to>
      <xdr:col>9</xdr:col>
      <xdr:colOff>885190</xdr:colOff>
      <xdr:row>430</xdr:row>
      <xdr:rowOff>1209040</xdr:rowOff>
    </xdr:to>
    <xdr:pic>
      <xdr:nvPicPr>
        <xdr:cNvPr id="5495" name="Изображение 5494" descr="resizeПП-00212346"/>
        <xdr:cNvPicPr>
          <a:picLocks noChangeAspect="1"/>
        </xdr:cNvPicPr>
      </xdr:nvPicPr>
      <xdr:blipFill>
        <a:blip xmlns:r="http://schemas.openxmlformats.org/officeDocument/2006/relationships" r:embed="rId275"/>
        <a:stretch>
          <a:fillRect/>
        </a:stretch>
      </xdr:blipFill>
      <xdr:spPr>
        <a:xfrm>
          <a:off x="7235825" y="373605425"/>
          <a:ext cx="878840" cy="1183640"/>
        </a:xfrm>
        <a:prstGeom prst="rect">
          <a:avLst/>
        </a:prstGeom>
      </xdr:spPr>
    </xdr:pic>
    <xdr:clientData/>
  </xdr:twoCellAnchor>
  <xdr:twoCellAnchor>
    <xdr:from>
      <xdr:col>9</xdr:col>
      <xdr:colOff>6350</xdr:colOff>
      <xdr:row>431</xdr:row>
      <xdr:rowOff>25400</xdr:rowOff>
    </xdr:from>
    <xdr:to>
      <xdr:col>9</xdr:col>
      <xdr:colOff>885190</xdr:colOff>
      <xdr:row>431</xdr:row>
      <xdr:rowOff>1209040</xdr:rowOff>
    </xdr:to>
    <xdr:pic>
      <xdr:nvPicPr>
        <xdr:cNvPr id="5496" name="Изображение 5495" descr="resizeПП-00212334"/>
        <xdr:cNvPicPr>
          <a:picLocks noChangeAspect="1"/>
        </xdr:cNvPicPr>
      </xdr:nvPicPr>
      <xdr:blipFill>
        <a:blip xmlns:r="http://schemas.openxmlformats.org/officeDocument/2006/relationships" r:embed="rId276"/>
        <a:stretch>
          <a:fillRect/>
        </a:stretch>
      </xdr:blipFill>
      <xdr:spPr>
        <a:xfrm>
          <a:off x="7235825" y="374827800"/>
          <a:ext cx="878840" cy="1183640"/>
        </a:xfrm>
        <a:prstGeom prst="rect">
          <a:avLst/>
        </a:prstGeom>
      </xdr:spPr>
    </xdr:pic>
    <xdr:clientData/>
  </xdr:twoCellAnchor>
  <xdr:twoCellAnchor>
    <xdr:from>
      <xdr:col>9</xdr:col>
      <xdr:colOff>6350</xdr:colOff>
      <xdr:row>432</xdr:row>
      <xdr:rowOff>25400</xdr:rowOff>
    </xdr:from>
    <xdr:to>
      <xdr:col>9</xdr:col>
      <xdr:colOff>885190</xdr:colOff>
      <xdr:row>432</xdr:row>
      <xdr:rowOff>1209040</xdr:rowOff>
    </xdr:to>
    <xdr:pic>
      <xdr:nvPicPr>
        <xdr:cNvPr id="5497" name="Изображение 5496" descr="resizeПП-00212335"/>
        <xdr:cNvPicPr>
          <a:picLocks noChangeAspect="1"/>
        </xdr:cNvPicPr>
      </xdr:nvPicPr>
      <xdr:blipFill>
        <a:blip xmlns:r="http://schemas.openxmlformats.org/officeDocument/2006/relationships" r:embed="rId276"/>
        <a:stretch>
          <a:fillRect/>
        </a:stretch>
      </xdr:blipFill>
      <xdr:spPr>
        <a:xfrm>
          <a:off x="7235825" y="376050175"/>
          <a:ext cx="878840" cy="1183640"/>
        </a:xfrm>
        <a:prstGeom prst="rect">
          <a:avLst/>
        </a:prstGeom>
      </xdr:spPr>
    </xdr:pic>
    <xdr:clientData/>
  </xdr:twoCellAnchor>
  <xdr:twoCellAnchor>
    <xdr:from>
      <xdr:col>9</xdr:col>
      <xdr:colOff>6350</xdr:colOff>
      <xdr:row>433</xdr:row>
      <xdr:rowOff>25400</xdr:rowOff>
    </xdr:from>
    <xdr:to>
      <xdr:col>9</xdr:col>
      <xdr:colOff>885190</xdr:colOff>
      <xdr:row>433</xdr:row>
      <xdr:rowOff>1209040</xdr:rowOff>
    </xdr:to>
    <xdr:pic>
      <xdr:nvPicPr>
        <xdr:cNvPr id="5498" name="Изображение 5497" descr="resizeПП-00212391"/>
        <xdr:cNvPicPr>
          <a:picLocks noChangeAspect="1"/>
        </xdr:cNvPicPr>
      </xdr:nvPicPr>
      <xdr:blipFill>
        <a:blip xmlns:r="http://schemas.openxmlformats.org/officeDocument/2006/relationships" r:embed="rId277"/>
        <a:stretch>
          <a:fillRect/>
        </a:stretch>
      </xdr:blipFill>
      <xdr:spPr>
        <a:xfrm>
          <a:off x="7235825" y="377272550"/>
          <a:ext cx="878840" cy="1183640"/>
        </a:xfrm>
        <a:prstGeom prst="rect">
          <a:avLst/>
        </a:prstGeom>
      </xdr:spPr>
    </xdr:pic>
    <xdr:clientData/>
  </xdr:twoCellAnchor>
  <xdr:twoCellAnchor>
    <xdr:from>
      <xdr:col>9</xdr:col>
      <xdr:colOff>6350</xdr:colOff>
      <xdr:row>434</xdr:row>
      <xdr:rowOff>25400</xdr:rowOff>
    </xdr:from>
    <xdr:to>
      <xdr:col>9</xdr:col>
      <xdr:colOff>885190</xdr:colOff>
      <xdr:row>434</xdr:row>
      <xdr:rowOff>1209040</xdr:rowOff>
    </xdr:to>
    <xdr:pic>
      <xdr:nvPicPr>
        <xdr:cNvPr id="5499" name="Изображение 5498" descr="resizeПП-00212389"/>
        <xdr:cNvPicPr>
          <a:picLocks noChangeAspect="1"/>
        </xdr:cNvPicPr>
      </xdr:nvPicPr>
      <xdr:blipFill>
        <a:blip xmlns:r="http://schemas.openxmlformats.org/officeDocument/2006/relationships" r:embed="rId278"/>
        <a:stretch>
          <a:fillRect/>
        </a:stretch>
      </xdr:blipFill>
      <xdr:spPr>
        <a:xfrm>
          <a:off x="7235825" y="378494925"/>
          <a:ext cx="878840" cy="1183640"/>
        </a:xfrm>
        <a:prstGeom prst="rect">
          <a:avLst/>
        </a:prstGeom>
      </xdr:spPr>
    </xdr:pic>
    <xdr:clientData/>
  </xdr:twoCellAnchor>
  <xdr:twoCellAnchor>
    <xdr:from>
      <xdr:col>9</xdr:col>
      <xdr:colOff>6350</xdr:colOff>
      <xdr:row>435</xdr:row>
      <xdr:rowOff>25400</xdr:rowOff>
    </xdr:from>
    <xdr:to>
      <xdr:col>9</xdr:col>
      <xdr:colOff>885190</xdr:colOff>
      <xdr:row>435</xdr:row>
      <xdr:rowOff>1209040</xdr:rowOff>
    </xdr:to>
    <xdr:pic>
      <xdr:nvPicPr>
        <xdr:cNvPr id="5500" name="Изображение 5499" descr="resizeПП-00212390"/>
        <xdr:cNvPicPr>
          <a:picLocks noChangeAspect="1"/>
        </xdr:cNvPicPr>
      </xdr:nvPicPr>
      <xdr:blipFill>
        <a:blip xmlns:r="http://schemas.openxmlformats.org/officeDocument/2006/relationships" r:embed="rId278"/>
        <a:stretch>
          <a:fillRect/>
        </a:stretch>
      </xdr:blipFill>
      <xdr:spPr>
        <a:xfrm>
          <a:off x="7235825" y="379717300"/>
          <a:ext cx="878840" cy="1183640"/>
        </a:xfrm>
        <a:prstGeom prst="rect">
          <a:avLst/>
        </a:prstGeom>
      </xdr:spPr>
    </xdr:pic>
    <xdr:clientData/>
  </xdr:twoCellAnchor>
  <xdr:twoCellAnchor>
    <xdr:from>
      <xdr:col>9</xdr:col>
      <xdr:colOff>6350</xdr:colOff>
      <xdr:row>436</xdr:row>
      <xdr:rowOff>25400</xdr:rowOff>
    </xdr:from>
    <xdr:to>
      <xdr:col>9</xdr:col>
      <xdr:colOff>885190</xdr:colOff>
      <xdr:row>436</xdr:row>
      <xdr:rowOff>1209040</xdr:rowOff>
    </xdr:to>
    <xdr:pic>
      <xdr:nvPicPr>
        <xdr:cNvPr id="5501" name="Изображение 5500" descr="resizeПП-00212357"/>
        <xdr:cNvPicPr>
          <a:picLocks noChangeAspect="1"/>
        </xdr:cNvPicPr>
      </xdr:nvPicPr>
      <xdr:blipFill>
        <a:blip xmlns:r="http://schemas.openxmlformats.org/officeDocument/2006/relationships" r:embed="rId267"/>
        <a:stretch>
          <a:fillRect/>
        </a:stretch>
      </xdr:blipFill>
      <xdr:spPr>
        <a:xfrm>
          <a:off x="7235825" y="380939675"/>
          <a:ext cx="878840" cy="1183640"/>
        </a:xfrm>
        <a:prstGeom prst="rect">
          <a:avLst/>
        </a:prstGeom>
      </xdr:spPr>
    </xdr:pic>
    <xdr:clientData/>
  </xdr:twoCellAnchor>
  <xdr:twoCellAnchor>
    <xdr:from>
      <xdr:col>9</xdr:col>
      <xdr:colOff>6350</xdr:colOff>
      <xdr:row>437</xdr:row>
      <xdr:rowOff>25400</xdr:rowOff>
    </xdr:from>
    <xdr:to>
      <xdr:col>9</xdr:col>
      <xdr:colOff>885190</xdr:colOff>
      <xdr:row>437</xdr:row>
      <xdr:rowOff>1209040</xdr:rowOff>
    </xdr:to>
    <xdr:pic>
      <xdr:nvPicPr>
        <xdr:cNvPr id="5502" name="Изображение 5501" descr="resizeПП-00194804"/>
        <xdr:cNvPicPr>
          <a:picLocks noChangeAspect="1"/>
        </xdr:cNvPicPr>
      </xdr:nvPicPr>
      <xdr:blipFill>
        <a:blip xmlns:r="http://schemas.openxmlformats.org/officeDocument/2006/relationships" r:embed="rId279"/>
        <a:stretch>
          <a:fillRect/>
        </a:stretch>
      </xdr:blipFill>
      <xdr:spPr>
        <a:xfrm>
          <a:off x="7235825" y="382162050"/>
          <a:ext cx="878840" cy="1183640"/>
        </a:xfrm>
        <a:prstGeom prst="rect">
          <a:avLst/>
        </a:prstGeom>
      </xdr:spPr>
    </xdr:pic>
    <xdr:clientData/>
  </xdr:twoCellAnchor>
  <xdr:twoCellAnchor>
    <xdr:from>
      <xdr:col>9</xdr:col>
      <xdr:colOff>6350</xdr:colOff>
      <xdr:row>438</xdr:row>
      <xdr:rowOff>25400</xdr:rowOff>
    </xdr:from>
    <xdr:to>
      <xdr:col>9</xdr:col>
      <xdr:colOff>885190</xdr:colOff>
      <xdr:row>438</xdr:row>
      <xdr:rowOff>1209040</xdr:rowOff>
    </xdr:to>
    <xdr:pic>
      <xdr:nvPicPr>
        <xdr:cNvPr id="5503" name="Изображение 5502" descr="resizeПП-00194802"/>
        <xdr:cNvPicPr>
          <a:picLocks noChangeAspect="1"/>
        </xdr:cNvPicPr>
      </xdr:nvPicPr>
      <xdr:blipFill>
        <a:blip xmlns:r="http://schemas.openxmlformats.org/officeDocument/2006/relationships" r:embed="rId279"/>
        <a:stretch>
          <a:fillRect/>
        </a:stretch>
      </xdr:blipFill>
      <xdr:spPr>
        <a:xfrm>
          <a:off x="7235825" y="383384425"/>
          <a:ext cx="878840" cy="1183640"/>
        </a:xfrm>
        <a:prstGeom prst="rect">
          <a:avLst/>
        </a:prstGeom>
      </xdr:spPr>
    </xdr:pic>
    <xdr:clientData/>
  </xdr:twoCellAnchor>
  <xdr:twoCellAnchor>
    <xdr:from>
      <xdr:col>9</xdr:col>
      <xdr:colOff>6350</xdr:colOff>
      <xdr:row>440</xdr:row>
      <xdr:rowOff>25400</xdr:rowOff>
    </xdr:from>
    <xdr:to>
      <xdr:col>9</xdr:col>
      <xdr:colOff>885190</xdr:colOff>
      <xdr:row>440</xdr:row>
      <xdr:rowOff>1209040</xdr:rowOff>
    </xdr:to>
    <xdr:pic>
      <xdr:nvPicPr>
        <xdr:cNvPr id="5504" name="Изображение 5503" descr="resizeПП-00164800"/>
        <xdr:cNvPicPr>
          <a:picLocks noChangeAspect="1"/>
        </xdr:cNvPicPr>
      </xdr:nvPicPr>
      <xdr:blipFill>
        <a:blip xmlns:r="http://schemas.openxmlformats.org/officeDocument/2006/relationships" r:embed="rId280"/>
        <a:stretch>
          <a:fillRect/>
        </a:stretch>
      </xdr:blipFill>
      <xdr:spPr>
        <a:xfrm>
          <a:off x="7235825" y="384759200"/>
          <a:ext cx="878840" cy="1183640"/>
        </a:xfrm>
        <a:prstGeom prst="rect">
          <a:avLst/>
        </a:prstGeom>
      </xdr:spPr>
    </xdr:pic>
    <xdr:clientData/>
  </xdr:twoCellAnchor>
  <xdr:twoCellAnchor>
    <xdr:from>
      <xdr:col>9</xdr:col>
      <xdr:colOff>6350</xdr:colOff>
      <xdr:row>441</xdr:row>
      <xdr:rowOff>25400</xdr:rowOff>
    </xdr:from>
    <xdr:to>
      <xdr:col>9</xdr:col>
      <xdr:colOff>885190</xdr:colOff>
      <xdr:row>441</xdr:row>
      <xdr:rowOff>1209040</xdr:rowOff>
    </xdr:to>
    <xdr:pic>
      <xdr:nvPicPr>
        <xdr:cNvPr id="5505" name="Изображение 5504" descr="resizeПП-00165122"/>
        <xdr:cNvPicPr>
          <a:picLocks noChangeAspect="1"/>
        </xdr:cNvPicPr>
      </xdr:nvPicPr>
      <xdr:blipFill>
        <a:blip xmlns:r="http://schemas.openxmlformats.org/officeDocument/2006/relationships" r:embed="rId281"/>
        <a:stretch>
          <a:fillRect/>
        </a:stretch>
      </xdr:blipFill>
      <xdr:spPr>
        <a:xfrm>
          <a:off x="7235825" y="385981575"/>
          <a:ext cx="878840" cy="1183640"/>
        </a:xfrm>
        <a:prstGeom prst="rect">
          <a:avLst/>
        </a:prstGeom>
      </xdr:spPr>
    </xdr:pic>
    <xdr:clientData/>
  </xdr:twoCellAnchor>
  <xdr:twoCellAnchor>
    <xdr:from>
      <xdr:col>9</xdr:col>
      <xdr:colOff>6350</xdr:colOff>
      <xdr:row>442</xdr:row>
      <xdr:rowOff>25400</xdr:rowOff>
    </xdr:from>
    <xdr:to>
      <xdr:col>9</xdr:col>
      <xdr:colOff>885190</xdr:colOff>
      <xdr:row>442</xdr:row>
      <xdr:rowOff>1209040</xdr:rowOff>
    </xdr:to>
    <xdr:pic>
      <xdr:nvPicPr>
        <xdr:cNvPr id="5506" name="Изображение 5505" descr="resizeПП-00165126"/>
        <xdr:cNvPicPr>
          <a:picLocks noChangeAspect="1"/>
        </xdr:cNvPicPr>
      </xdr:nvPicPr>
      <xdr:blipFill>
        <a:blip xmlns:r="http://schemas.openxmlformats.org/officeDocument/2006/relationships" r:embed="rId282"/>
        <a:stretch>
          <a:fillRect/>
        </a:stretch>
      </xdr:blipFill>
      <xdr:spPr>
        <a:xfrm>
          <a:off x="7235825" y="387203950"/>
          <a:ext cx="878840" cy="1183640"/>
        </a:xfrm>
        <a:prstGeom prst="rect">
          <a:avLst/>
        </a:prstGeom>
      </xdr:spPr>
    </xdr:pic>
    <xdr:clientData/>
  </xdr:twoCellAnchor>
  <xdr:twoCellAnchor>
    <xdr:from>
      <xdr:col>9</xdr:col>
      <xdr:colOff>6350</xdr:colOff>
      <xdr:row>445</xdr:row>
      <xdr:rowOff>25400</xdr:rowOff>
    </xdr:from>
    <xdr:to>
      <xdr:col>9</xdr:col>
      <xdr:colOff>885190</xdr:colOff>
      <xdr:row>445</xdr:row>
      <xdr:rowOff>1209040</xdr:rowOff>
    </xdr:to>
    <xdr:pic>
      <xdr:nvPicPr>
        <xdr:cNvPr id="5507" name="Изображение 5506" descr="resizeПП-00226678"/>
        <xdr:cNvPicPr>
          <a:picLocks noChangeAspect="1"/>
        </xdr:cNvPicPr>
      </xdr:nvPicPr>
      <xdr:blipFill>
        <a:blip xmlns:r="http://schemas.openxmlformats.org/officeDocument/2006/relationships" r:embed="rId283"/>
        <a:stretch>
          <a:fillRect/>
        </a:stretch>
      </xdr:blipFill>
      <xdr:spPr>
        <a:xfrm>
          <a:off x="7235825" y="388731125"/>
          <a:ext cx="878840" cy="1183640"/>
        </a:xfrm>
        <a:prstGeom prst="rect">
          <a:avLst/>
        </a:prstGeom>
      </xdr:spPr>
    </xdr:pic>
    <xdr:clientData/>
  </xdr:twoCellAnchor>
  <xdr:twoCellAnchor>
    <xdr:from>
      <xdr:col>9</xdr:col>
      <xdr:colOff>6350</xdr:colOff>
      <xdr:row>446</xdr:row>
      <xdr:rowOff>25400</xdr:rowOff>
    </xdr:from>
    <xdr:to>
      <xdr:col>9</xdr:col>
      <xdr:colOff>885190</xdr:colOff>
      <xdr:row>446</xdr:row>
      <xdr:rowOff>1209040</xdr:rowOff>
    </xdr:to>
    <xdr:pic>
      <xdr:nvPicPr>
        <xdr:cNvPr id="5508" name="Изображение 5507" descr="resizeПП-00213753"/>
        <xdr:cNvPicPr>
          <a:picLocks noChangeAspect="1"/>
        </xdr:cNvPicPr>
      </xdr:nvPicPr>
      <xdr:blipFill>
        <a:blip xmlns:r="http://schemas.openxmlformats.org/officeDocument/2006/relationships" r:embed="rId284"/>
        <a:stretch>
          <a:fillRect/>
        </a:stretch>
      </xdr:blipFill>
      <xdr:spPr>
        <a:xfrm>
          <a:off x="7235825" y="389953500"/>
          <a:ext cx="878840" cy="1183640"/>
        </a:xfrm>
        <a:prstGeom prst="rect">
          <a:avLst/>
        </a:prstGeom>
      </xdr:spPr>
    </xdr:pic>
    <xdr:clientData/>
  </xdr:twoCellAnchor>
  <xdr:twoCellAnchor>
    <xdr:from>
      <xdr:col>9</xdr:col>
      <xdr:colOff>6350</xdr:colOff>
      <xdr:row>447</xdr:row>
      <xdr:rowOff>25400</xdr:rowOff>
    </xdr:from>
    <xdr:to>
      <xdr:col>9</xdr:col>
      <xdr:colOff>885190</xdr:colOff>
      <xdr:row>447</xdr:row>
      <xdr:rowOff>1209040</xdr:rowOff>
    </xdr:to>
    <xdr:pic>
      <xdr:nvPicPr>
        <xdr:cNvPr id="5509" name="Изображение 5508" descr="resizeПП-00187395"/>
        <xdr:cNvPicPr>
          <a:picLocks noChangeAspect="1"/>
        </xdr:cNvPicPr>
      </xdr:nvPicPr>
      <xdr:blipFill>
        <a:blip xmlns:r="http://schemas.openxmlformats.org/officeDocument/2006/relationships" r:embed="rId285"/>
        <a:stretch>
          <a:fillRect/>
        </a:stretch>
      </xdr:blipFill>
      <xdr:spPr>
        <a:xfrm>
          <a:off x="7235825" y="391175875"/>
          <a:ext cx="878840" cy="1183640"/>
        </a:xfrm>
        <a:prstGeom prst="rect">
          <a:avLst/>
        </a:prstGeom>
      </xdr:spPr>
    </xdr:pic>
    <xdr:clientData/>
  </xdr:twoCellAnchor>
  <xdr:twoCellAnchor>
    <xdr:from>
      <xdr:col>9</xdr:col>
      <xdr:colOff>6350</xdr:colOff>
      <xdr:row>448</xdr:row>
      <xdr:rowOff>25400</xdr:rowOff>
    </xdr:from>
    <xdr:to>
      <xdr:col>9</xdr:col>
      <xdr:colOff>885190</xdr:colOff>
      <xdr:row>448</xdr:row>
      <xdr:rowOff>1209040</xdr:rowOff>
    </xdr:to>
    <xdr:pic>
      <xdr:nvPicPr>
        <xdr:cNvPr id="5510" name="Изображение 5509" descr="resizeПП-00203558"/>
        <xdr:cNvPicPr>
          <a:picLocks noChangeAspect="1"/>
        </xdr:cNvPicPr>
      </xdr:nvPicPr>
      <xdr:blipFill>
        <a:blip xmlns:r="http://schemas.openxmlformats.org/officeDocument/2006/relationships" r:embed="rId286"/>
        <a:stretch>
          <a:fillRect/>
        </a:stretch>
      </xdr:blipFill>
      <xdr:spPr>
        <a:xfrm>
          <a:off x="7235825" y="392398250"/>
          <a:ext cx="878840" cy="1183640"/>
        </a:xfrm>
        <a:prstGeom prst="rect">
          <a:avLst/>
        </a:prstGeom>
      </xdr:spPr>
    </xdr:pic>
    <xdr:clientData/>
  </xdr:twoCellAnchor>
  <xdr:twoCellAnchor>
    <xdr:from>
      <xdr:col>9</xdr:col>
      <xdr:colOff>6350</xdr:colOff>
      <xdr:row>449</xdr:row>
      <xdr:rowOff>25400</xdr:rowOff>
    </xdr:from>
    <xdr:to>
      <xdr:col>9</xdr:col>
      <xdr:colOff>885190</xdr:colOff>
      <xdr:row>449</xdr:row>
      <xdr:rowOff>1209040</xdr:rowOff>
    </xdr:to>
    <xdr:pic>
      <xdr:nvPicPr>
        <xdr:cNvPr id="5511" name="Изображение 5510" descr="resizeПП-00203559"/>
        <xdr:cNvPicPr>
          <a:picLocks noChangeAspect="1"/>
        </xdr:cNvPicPr>
      </xdr:nvPicPr>
      <xdr:blipFill>
        <a:blip xmlns:r="http://schemas.openxmlformats.org/officeDocument/2006/relationships" r:embed="rId287"/>
        <a:stretch>
          <a:fillRect/>
        </a:stretch>
      </xdr:blipFill>
      <xdr:spPr>
        <a:xfrm>
          <a:off x="7235825" y="393620625"/>
          <a:ext cx="878840" cy="1183640"/>
        </a:xfrm>
        <a:prstGeom prst="rect">
          <a:avLst/>
        </a:prstGeom>
      </xdr:spPr>
    </xdr:pic>
    <xdr:clientData/>
  </xdr:twoCellAnchor>
  <xdr:twoCellAnchor>
    <xdr:from>
      <xdr:col>9</xdr:col>
      <xdr:colOff>6350</xdr:colOff>
      <xdr:row>450</xdr:row>
      <xdr:rowOff>25400</xdr:rowOff>
    </xdr:from>
    <xdr:to>
      <xdr:col>9</xdr:col>
      <xdr:colOff>885190</xdr:colOff>
      <xdr:row>450</xdr:row>
      <xdr:rowOff>1209040</xdr:rowOff>
    </xdr:to>
    <xdr:pic>
      <xdr:nvPicPr>
        <xdr:cNvPr id="5512" name="Изображение 5511" descr="resizeПП-00165099"/>
        <xdr:cNvPicPr>
          <a:picLocks noChangeAspect="1"/>
        </xdr:cNvPicPr>
      </xdr:nvPicPr>
      <xdr:blipFill>
        <a:blip xmlns:r="http://schemas.openxmlformats.org/officeDocument/2006/relationships" r:embed="rId288"/>
        <a:stretch>
          <a:fillRect/>
        </a:stretch>
      </xdr:blipFill>
      <xdr:spPr>
        <a:xfrm>
          <a:off x="7235825" y="394843000"/>
          <a:ext cx="878840" cy="1183640"/>
        </a:xfrm>
        <a:prstGeom prst="rect">
          <a:avLst/>
        </a:prstGeom>
      </xdr:spPr>
    </xdr:pic>
    <xdr:clientData/>
  </xdr:twoCellAnchor>
  <xdr:twoCellAnchor>
    <xdr:from>
      <xdr:col>9</xdr:col>
      <xdr:colOff>6350</xdr:colOff>
      <xdr:row>451</xdr:row>
      <xdr:rowOff>25400</xdr:rowOff>
    </xdr:from>
    <xdr:to>
      <xdr:col>9</xdr:col>
      <xdr:colOff>885190</xdr:colOff>
      <xdr:row>451</xdr:row>
      <xdr:rowOff>1209040</xdr:rowOff>
    </xdr:to>
    <xdr:pic>
      <xdr:nvPicPr>
        <xdr:cNvPr id="5513" name="Изображение 5512" descr="resizeПП-00165100"/>
        <xdr:cNvPicPr>
          <a:picLocks noChangeAspect="1"/>
        </xdr:cNvPicPr>
      </xdr:nvPicPr>
      <xdr:blipFill>
        <a:blip xmlns:r="http://schemas.openxmlformats.org/officeDocument/2006/relationships" r:embed="rId288"/>
        <a:stretch>
          <a:fillRect/>
        </a:stretch>
      </xdr:blipFill>
      <xdr:spPr>
        <a:xfrm>
          <a:off x="7235825" y="396065375"/>
          <a:ext cx="878840" cy="1183640"/>
        </a:xfrm>
        <a:prstGeom prst="rect">
          <a:avLst/>
        </a:prstGeom>
      </xdr:spPr>
    </xdr:pic>
    <xdr:clientData/>
  </xdr:twoCellAnchor>
  <xdr:twoCellAnchor>
    <xdr:from>
      <xdr:col>9</xdr:col>
      <xdr:colOff>6350</xdr:colOff>
      <xdr:row>454</xdr:row>
      <xdr:rowOff>25400</xdr:rowOff>
    </xdr:from>
    <xdr:to>
      <xdr:col>9</xdr:col>
      <xdr:colOff>885190</xdr:colOff>
      <xdr:row>454</xdr:row>
      <xdr:rowOff>1209040</xdr:rowOff>
    </xdr:to>
    <xdr:pic>
      <xdr:nvPicPr>
        <xdr:cNvPr id="5514" name="Изображение 5513" descr="resizeПП-00197319"/>
        <xdr:cNvPicPr>
          <a:picLocks noChangeAspect="1"/>
        </xdr:cNvPicPr>
      </xdr:nvPicPr>
      <xdr:blipFill>
        <a:blip xmlns:r="http://schemas.openxmlformats.org/officeDocument/2006/relationships" r:embed="rId289"/>
        <a:stretch>
          <a:fillRect/>
        </a:stretch>
      </xdr:blipFill>
      <xdr:spPr>
        <a:xfrm>
          <a:off x="7235825" y="397592550"/>
          <a:ext cx="878840" cy="1183640"/>
        </a:xfrm>
        <a:prstGeom prst="rect">
          <a:avLst/>
        </a:prstGeom>
      </xdr:spPr>
    </xdr:pic>
    <xdr:clientData/>
  </xdr:twoCellAnchor>
  <xdr:twoCellAnchor>
    <xdr:from>
      <xdr:col>9</xdr:col>
      <xdr:colOff>6350</xdr:colOff>
      <xdr:row>455</xdr:row>
      <xdr:rowOff>25400</xdr:rowOff>
    </xdr:from>
    <xdr:to>
      <xdr:col>9</xdr:col>
      <xdr:colOff>885190</xdr:colOff>
      <xdr:row>455</xdr:row>
      <xdr:rowOff>1209040</xdr:rowOff>
    </xdr:to>
    <xdr:pic>
      <xdr:nvPicPr>
        <xdr:cNvPr id="5515" name="Изображение 5514" descr="resizeПП-00270432"/>
        <xdr:cNvPicPr>
          <a:picLocks noChangeAspect="1"/>
        </xdr:cNvPicPr>
      </xdr:nvPicPr>
      <xdr:blipFill>
        <a:blip xmlns:r="http://schemas.openxmlformats.org/officeDocument/2006/relationships" r:embed="rId290"/>
        <a:stretch>
          <a:fillRect/>
        </a:stretch>
      </xdr:blipFill>
      <xdr:spPr>
        <a:xfrm>
          <a:off x="7235825" y="398814925"/>
          <a:ext cx="878840" cy="1183640"/>
        </a:xfrm>
        <a:prstGeom prst="rect">
          <a:avLst/>
        </a:prstGeom>
      </xdr:spPr>
    </xdr:pic>
    <xdr:clientData/>
  </xdr:twoCellAnchor>
  <xdr:twoCellAnchor>
    <xdr:from>
      <xdr:col>9</xdr:col>
      <xdr:colOff>6350</xdr:colOff>
      <xdr:row>457</xdr:row>
      <xdr:rowOff>25400</xdr:rowOff>
    </xdr:from>
    <xdr:to>
      <xdr:col>9</xdr:col>
      <xdr:colOff>885190</xdr:colOff>
      <xdr:row>457</xdr:row>
      <xdr:rowOff>1209040</xdr:rowOff>
    </xdr:to>
    <xdr:pic>
      <xdr:nvPicPr>
        <xdr:cNvPr id="5516" name="Изображение 5515" descr="resizeПП-00227274"/>
        <xdr:cNvPicPr>
          <a:picLocks noChangeAspect="1"/>
        </xdr:cNvPicPr>
      </xdr:nvPicPr>
      <xdr:blipFill>
        <a:blip xmlns:r="http://schemas.openxmlformats.org/officeDocument/2006/relationships" r:embed="rId291"/>
        <a:stretch>
          <a:fillRect/>
        </a:stretch>
      </xdr:blipFill>
      <xdr:spPr>
        <a:xfrm>
          <a:off x="7235825" y="400189700"/>
          <a:ext cx="878840" cy="1183640"/>
        </a:xfrm>
        <a:prstGeom prst="rect">
          <a:avLst/>
        </a:prstGeom>
      </xdr:spPr>
    </xdr:pic>
    <xdr:clientData/>
  </xdr:twoCellAnchor>
  <xdr:twoCellAnchor>
    <xdr:from>
      <xdr:col>9</xdr:col>
      <xdr:colOff>6350</xdr:colOff>
      <xdr:row>458</xdr:row>
      <xdr:rowOff>25400</xdr:rowOff>
    </xdr:from>
    <xdr:to>
      <xdr:col>9</xdr:col>
      <xdr:colOff>885190</xdr:colOff>
      <xdr:row>458</xdr:row>
      <xdr:rowOff>1209040</xdr:rowOff>
    </xdr:to>
    <xdr:pic>
      <xdr:nvPicPr>
        <xdr:cNvPr id="5517" name="Изображение 5516" descr="resizeПП-00227273"/>
        <xdr:cNvPicPr>
          <a:picLocks noChangeAspect="1"/>
        </xdr:cNvPicPr>
      </xdr:nvPicPr>
      <xdr:blipFill>
        <a:blip xmlns:r="http://schemas.openxmlformats.org/officeDocument/2006/relationships" r:embed="rId292"/>
        <a:stretch>
          <a:fillRect/>
        </a:stretch>
      </xdr:blipFill>
      <xdr:spPr>
        <a:xfrm>
          <a:off x="7235825" y="401412075"/>
          <a:ext cx="878840" cy="1183640"/>
        </a:xfrm>
        <a:prstGeom prst="rect">
          <a:avLst/>
        </a:prstGeom>
      </xdr:spPr>
    </xdr:pic>
    <xdr:clientData/>
  </xdr:twoCellAnchor>
  <xdr:twoCellAnchor>
    <xdr:from>
      <xdr:col>9</xdr:col>
      <xdr:colOff>6350</xdr:colOff>
      <xdr:row>459</xdr:row>
      <xdr:rowOff>25400</xdr:rowOff>
    </xdr:from>
    <xdr:to>
      <xdr:col>9</xdr:col>
      <xdr:colOff>885190</xdr:colOff>
      <xdr:row>459</xdr:row>
      <xdr:rowOff>1209040</xdr:rowOff>
    </xdr:to>
    <xdr:pic>
      <xdr:nvPicPr>
        <xdr:cNvPr id="5518" name="Изображение 5517" descr="resizeПП-00227272"/>
        <xdr:cNvPicPr>
          <a:picLocks noChangeAspect="1"/>
        </xdr:cNvPicPr>
      </xdr:nvPicPr>
      <xdr:blipFill>
        <a:blip xmlns:r="http://schemas.openxmlformats.org/officeDocument/2006/relationships" r:embed="rId293"/>
        <a:stretch>
          <a:fillRect/>
        </a:stretch>
      </xdr:blipFill>
      <xdr:spPr>
        <a:xfrm>
          <a:off x="7235825" y="402634450"/>
          <a:ext cx="878840" cy="1183640"/>
        </a:xfrm>
        <a:prstGeom prst="rect">
          <a:avLst/>
        </a:prstGeom>
      </xdr:spPr>
    </xdr:pic>
    <xdr:clientData/>
  </xdr:twoCellAnchor>
  <xdr:twoCellAnchor>
    <xdr:from>
      <xdr:col>9</xdr:col>
      <xdr:colOff>6350</xdr:colOff>
      <xdr:row>460</xdr:row>
      <xdr:rowOff>25400</xdr:rowOff>
    </xdr:from>
    <xdr:to>
      <xdr:col>9</xdr:col>
      <xdr:colOff>885190</xdr:colOff>
      <xdr:row>460</xdr:row>
      <xdr:rowOff>1209040</xdr:rowOff>
    </xdr:to>
    <xdr:pic>
      <xdr:nvPicPr>
        <xdr:cNvPr id="5519" name="Изображение 5518" descr="resizeПП-00227271"/>
        <xdr:cNvPicPr>
          <a:picLocks noChangeAspect="1"/>
        </xdr:cNvPicPr>
      </xdr:nvPicPr>
      <xdr:blipFill>
        <a:blip xmlns:r="http://schemas.openxmlformats.org/officeDocument/2006/relationships" r:embed="rId294"/>
        <a:stretch>
          <a:fillRect/>
        </a:stretch>
      </xdr:blipFill>
      <xdr:spPr>
        <a:xfrm>
          <a:off x="7235825" y="403856825"/>
          <a:ext cx="878840" cy="1183640"/>
        </a:xfrm>
        <a:prstGeom prst="rect">
          <a:avLst/>
        </a:prstGeom>
      </xdr:spPr>
    </xdr:pic>
    <xdr:clientData/>
  </xdr:twoCellAnchor>
  <xdr:twoCellAnchor>
    <xdr:from>
      <xdr:col>9</xdr:col>
      <xdr:colOff>6350</xdr:colOff>
      <xdr:row>462</xdr:row>
      <xdr:rowOff>25400</xdr:rowOff>
    </xdr:from>
    <xdr:to>
      <xdr:col>9</xdr:col>
      <xdr:colOff>885190</xdr:colOff>
      <xdr:row>462</xdr:row>
      <xdr:rowOff>1209040</xdr:rowOff>
    </xdr:to>
    <xdr:pic>
      <xdr:nvPicPr>
        <xdr:cNvPr id="5520" name="Изображение 5519" descr="resizeПП-00226016"/>
        <xdr:cNvPicPr>
          <a:picLocks noChangeAspect="1"/>
        </xdr:cNvPicPr>
      </xdr:nvPicPr>
      <xdr:blipFill>
        <a:blip xmlns:r="http://schemas.openxmlformats.org/officeDocument/2006/relationships" r:embed="rId295"/>
        <a:stretch>
          <a:fillRect/>
        </a:stretch>
      </xdr:blipFill>
      <xdr:spPr>
        <a:xfrm>
          <a:off x="7235825" y="405231600"/>
          <a:ext cx="878840" cy="1183640"/>
        </a:xfrm>
        <a:prstGeom prst="rect">
          <a:avLst/>
        </a:prstGeom>
      </xdr:spPr>
    </xdr:pic>
    <xdr:clientData/>
  </xdr:twoCellAnchor>
  <xdr:twoCellAnchor>
    <xdr:from>
      <xdr:col>9</xdr:col>
      <xdr:colOff>6350</xdr:colOff>
      <xdr:row>463</xdr:row>
      <xdr:rowOff>25400</xdr:rowOff>
    </xdr:from>
    <xdr:to>
      <xdr:col>9</xdr:col>
      <xdr:colOff>885190</xdr:colOff>
      <xdr:row>463</xdr:row>
      <xdr:rowOff>1209040</xdr:rowOff>
    </xdr:to>
    <xdr:pic>
      <xdr:nvPicPr>
        <xdr:cNvPr id="5521" name="Изображение 5520" descr="resizeПП-00271892"/>
        <xdr:cNvPicPr>
          <a:picLocks noChangeAspect="1"/>
        </xdr:cNvPicPr>
      </xdr:nvPicPr>
      <xdr:blipFill>
        <a:blip xmlns:r="http://schemas.openxmlformats.org/officeDocument/2006/relationships" r:embed="rId296"/>
        <a:stretch>
          <a:fillRect/>
        </a:stretch>
      </xdr:blipFill>
      <xdr:spPr>
        <a:xfrm>
          <a:off x="7235825" y="406453975"/>
          <a:ext cx="878840" cy="1183640"/>
        </a:xfrm>
        <a:prstGeom prst="rect">
          <a:avLst/>
        </a:prstGeom>
      </xdr:spPr>
    </xdr:pic>
    <xdr:clientData/>
  </xdr:twoCellAnchor>
  <xdr:twoCellAnchor>
    <xdr:from>
      <xdr:col>9</xdr:col>
      <xdr:colOff>6350</xdr:colOff>
      <xdr:row>464</xdr:row>
      <xdr:rowOff>25400</xdr:rowOff>
    </xdr:from>
    <xdr:to>
      <xdr:col>9</xdr:col>
      <xdr:colOff>885190</xdr:colOff>
      <xdr:row>464</xdr:row>
      <xdr:rowOff>1209040</xdr:rowOff>
    </xdr:to>
    <xdr:pic>
      <xdr:nvPicPr>
        <xdr:cNvPr id="5522" name="Изображение 5521" descr="resizeПП-00226015"/>
        <xdr:cNvPicPr>
          <a:picLocks noChangeAspect="1"/>
        </xdr:cNvPicPr>
      </xdr:nvPicPr>
      <xdr:blipFill>
        <a:blip xmlns:r="http://schemas.openxmlformats.org/officeDocument/2006/relationships" r:embed="rId297"/>
        <a:stretch>
          <a:fillRect/>
        </a:stretch>
      </xdr:blipFill>
      <xdr:spPr>
        <a:xfrm>
          <a:off x="7235825" y="407676350"/>
          <a:ext cx="878840" cy="1183640"/>
        </a:xfrm>
        <a:prstGeom prst="rect">
          <a:avLst/>
        </a:prstGeom>
      </xdr:spPr>
    </xdr:pic>
    <xdr:clientData/>
  </xdr:twoCellAnchor>
  <xdr:twoCellAnchor>
    <xdr:from>
      <xdr:col>9</xdr:col>
      <xdr:colOff>6350</xdr:colOff>
      <xdr:row>465</xdr:row>
      <xdr:rowOff>25400</xdr:rowOff>
    </xdr:from>
    <xdr:to>
      <xdr:col>9</xdr:col>
      <xdr:colOff>885190</xdr:colOff>
      <xdr:row>465</xdr:row>
      <xdr:rowOff>1209040</xdr:rowOff>
    </xdr:to>
    <xdr:pic>
      <xdr:nvPicPr>
        <xdr:cNvPr id="5523" name="Изображение 5522" descr="resizeПП-00226017"/>
        <xdr:cNvPicPr>
          <a:picLocks noChangeAspect="1"/>
        </xdr:cNvPicPr>
      </xdr:nvPicPr>
      <xdr:blipFill>
        <a:blip xmlns:r="http://schemas.openxmlformats.org/officeDocument/2006/relationships" r:embed="rId298"/>
        <a:stretch>
          <a:fillRect/>
        </a:stretch>
      </xdr:blipFill>
      <xdr:spPr>
        <a:xfrm>
          <a:off x="7235825" y="408898725"/>
          <a:ext cx="878840" cy="1183640"/>
        </a:xfrm>
        <a:prstGeom prst="rect">
          <a:avLst/>
        </a:prstGeom>
      </xdr:spPr>
    </xdr:pic>
    <xdr:clientData/>
  </xdr:twoCellAnchor>
  <xdr:twoCellAnchor>
    <xdr:from>
      <xdr:col>9</xdr:col>
      <xdr:colOff>6350</xdr:colOff>
      <xdr:row>466</xdr:row>
      <xdr:rowOff>25400</xdr:rowOff>
    </xdr:from>
    <xdr:to>
      <xdr:col>9</xdr:col>
      <xdr:colOff>885190</xdr:colOff>
      <xdr:row>466</xdr:row>
      <xdr:rowOff>1209040</xdr:rowOff>
    </xdr:to>
    <xdr:pic>
      <xdr:nvPicPr>
        <xdr:cNvPr id="5524" name="Изображение 5523" descr="resizeПП-00210729"/>
        <xdr:cNvPicPr>
          <a:picLocks noChangeAspect="1"/>
        </xdr:cNvPicPr>
      </xdr:nvPicPr>
      <xdr:blipFill>
        <a:blip xmlns:r="http://schemas.openxmlformats.org/officeDocument/2006/relationships" r:embed="rId299"/>
        <a:stretch>
          <a:fillRect/>
        </a:stretch>
      </xdr:blipFill>
      <xdr:spPr>
        <a:xfrm>
          <a:off x="7235825" y="410121100"/>
          <a:ext cx="878840" cy="1183640"/>
        </a:xfrm>
        <a:prstGeom prst="rect">
          <a:avLst/>
        </a:prstGeom>
      </xdr:spPr>
    </xdr:pic>
    <xdr:clientData/>
  </xdr:twoCellAnchor>
  <xdr:twoCellAnchor>
    <xdr:from>
      <xdr:col>9</xdr:col>
      <xdr:colOff>6350</xdr:colOff>
      <xdr:row>468</xdr:row>
      <xdr:rowOff>25400</xdr:rowOff>
    </xdr:from>
    <xdr:to>
      <xdr:col>9</xdr:col>
      <xdr:colOff>885190</xdr:colOff>
      <xdr:row>468</xdr:row>
      <xdr:rowOff>1209040</xdr:rowOff>
    </xdr:to>
    <xdr:pic>
      <xdr:nvPicPr>
        <xdr:cNvPr id="5525" name="Изображение 5524" descr="resizeПП-00191567"/>
        <xdr:cNvPicPr>
          <a:picLocks noChangeAspect="1"/>
        </xdr:cNvPicPr>
      </xdr:nvPicPr>
      <xdr:blipFill>
        <a:blip xmlns:r="http://schemas.openxmlformats.org/officeDocument/2006/relationships" r:embed="rId300"/>
        <a:stretch>
          <a:fillRect/>
        </a:stretch>
      </xdr:blipFill>
      <xdr:spPr>
        <a:xfrm>
          <a:off x="7235825" y="411495875"/>
          <a:ext cx="878840" cy="1183640"/>
        </a:xfrm>
        <a:prstGeom prst="rect">
          <a:avLst/>
        </a:prstGeom>
      </xdr:spPr>
    </xdr:pic>
    <xdr:clientData/>
  </xdr:twoCellAnchor>
  <xdr:twoCellAnchor>
    <xdr:from>
      <xdr:col>9</xdr:col>
      <xdr:colOff>6350</xdr:colOff>
      <xdr:row>470</xdr:row>
      <xdr:rowOff>25400</xdr:rowOff>
    </xdr:from>
    <xdr:to>
      <xdr:col>9</xdr:col>
      <xdr:colOff>885190</xdr:colOff>
      <xdr:row>470</xdr:row>
      <xdr:rowOff>1209040</xdr:rowOff>
    </xdr:to>
    <xdr:pic>
      <xdr:nvPicPr>
        <xdr:cNvPr id="5526" name="Изображение 5525" descr="resizeПП-00191293"/>
        <xdr:cNvPicPr>
          <a:picLocks noChangeAspect="1"/>
        </xdr:cNvPicPr>
      </xdr:nvPicPr>
      <xdr:blipFill>
        <a:blip xmlns:r="http://schemas.openxmlformats.org/officeDocument/2006/relationships" r:embed="rId301"/>
        <a:stretch>
          <a:fillRect/>
        </a:stretch>
      </xdr:blipFill>
      <xdr:spPr>
        <a:xfrm>
          <a:off x="7235825" y="413023050"/>
          <a:ext cx="878840" cy="1183640"/>
        </a:xfrm>
        <a:prstGeom prst="rect">
          <a:avLst/>
        </a:prstGeom>
      </xdr:spPr>
    </xdr:pic>
    <xdr:clientData/>
  </xdr:twoCellAnchor>
  <xdr:twoCellAnchor>
    <xdr:from>
      <xdr:col>9</xdr:col>
      <xdr:colOff>6350</xdr:colOff>
      <xdr:row>472</xdr:row>
      <xdr:rowOff>25400</xdr:rowOff>
    </xdr:from>
    <xdr:to>
      <xdr:col>9</xdr:col>
      <xdr:colOff>885190</xdr:colOff>
      <xdr:row>472</xdr:row>
      <xdr:rowOff>1209040</xdr:rowOff>
    </xdr:to>
    <xdr:pic>
      <xdr:nvPicPr>
        <xdr:cNvPr id="5527" name="Изображение 5526" descr="resizeПП-00227381"/>
        <xdr:cNvPicPr>
          <a:picLocks noChangeAspect="1"/>
        </xdr:cNvPicPr>
      </xdr:nvPicPr>
      <xdr:blipFill>
        <a:blip xmlns:r="http://schemas.openxmlformats.org/officeDocument/2006/relationships" r:embed="rId302"/>
        <a:stretch>
          <a:fillRect/>
        </a:stretch>
      </xdr:blipFill>
      <xdr:spPr>
        <a:xfrm>
          <a:off x="7235825" y="414397825"/>
          <a:ext cx="878840" cy="1183640"/>
        </a:xfrm>
        <a:prstGeom prst="rect">
          <a:avLst/>
        </a:prstGeom>
      </xdr:spPr>
    </xdr:pic>
    <xdr:clientData/>
  </xdr:twoCellAnchor>
  <xdr:twoCellAnchor>
    <xdr:from>
      <xdr:col>9</xdr:col>
      <xdr:colOff>6350</xdr:colOff>
      <xdr:row>473</xdr:row>
      <xdr:rowOff>25400</xdr:rowOff>
    </xdr:from>
    <xdr:to>
      <xdr:col>9</xdr:col>
      <xdr:colOff>885190</xdr:colOff>
      <xdr:row>473</xdr:row>
      <xdr:rowOff>1209040</xdr:rowOff>
    </xdr:to>
    <xdr:pic>
      <xdr:nvPicPr>
        <xdr:cNvPr id="5528" name="Изображение 5527" descr="resizeПП-00227382"/>
        <xdr:cNvPicPr>
          <a:picLocks noChangeAspect="1"/>
        </xdr:cNvPicPr>
      </xdr:nvPicPr>
      <xdr:blipFill>
        <a:blip xmlns:r="http://schemas.openxmlformats.org/officeDocument/2006/relationships" r:embed="rId303"/>
        <a:stretch>
          <a:fillRect/>
        </a:stretch>
      </xdr:blipFill>
      <xdr:spPr>
        <a:xfrm>
          <a:off x="7235825" y="415620200"/>
          <a:ext cx="878840" cy="1183640"/>
        </a:xfrm>
        <a:prstGeom prst="rect">
          <a:avLst/>
        </a:prstGeom>
      </xdr:spPr>
    </xdr:pic>
    <xdr:clientData/>
  </xdr:twoCellAnchor>
  <xdr:twoCellAnchor>
    <xdr:from>
      <xdr:col>9</xdr:col>
      <xdr:colOff>6350</xdr:colOff>
      <xdr:row>474</xdr:row>
      <xdr:rowOff>25400</xdr:rowOff>
    </xdr:from>
    <xdr:to>
      <xdr:col>9</xdr:col>
      <xdr:colOff>885190</xdr:colOff>
      <xdr:row>474</xdr:row>
      <xdr:rowOff>1209040</xdr:rowOff>
    </xdr:to>
    <xdr:pic>
      <xdr:nvPicPr>
        <xdr:cNvPr id="5529" name="Изображение 5528" descr="resizeПП-00227384"/>
        <xdr:cNvPicPr>
          <a:picLocks noChangeAspect="1"/>
        </xdr:cNvPicPr>
      </xdr:nvPicPr>
      <xdr:blipFill>
        <a:blip xmlns:r="http://schemas.openxmlformats.org/officeDocument/2006/relationships" r:embed="rId304"/>
        <a:stretch>
          <a:fillRect/>
        </a:stretch>
      </xdr:blipFill>
      <xdr:spPr>
        <a:xfrm>
          <a:off x="7235825" y="416842575"/>
          <a:ext cx="878840" cy="1183640"/>
        </a:xfrm>
        <a:prstGeom prst="rect">
          <a:avLst/>
        </a:prstGeom>
      </xdr:spPr>
    </xdr:pic>
    <xdr:clientData/>
  </xdr:twoCellAnchor>
  <xdr:twoCellAnchor>
    <xdr:from>
      <xdr:col>9</xdr:col>
      <xdr:colOff>6350</xdr:colOff>
      <xdr:row>477</xdr:row>
      <xdr:rowOff>25400</xdr:rowOff>
    </xdr:from>
    <xdr:to>
      <xdr:col>9</xdr:col>
      <xdr:colOff>885190</xdr:colOff>
      <xdr:row>477</xdr:row>
      <xdr:rowOff>1209040</xdr:rowOff>
    </xdr:to>
    <xdr:pic>
      <xdr:nvPicPr>
        <xdr:cNvPr id="5530" name="Изображение 5529" descr="resizeПП-00227257"/>
        <xdr:cNvPicPr>
          <a:picLocks noChangeAspect="1"/>
        </xdr:cNvPicPr>
      </xdr:nvPicPr>
      <xdr:blipFill>
        <a:blip xmlns:r="http://schemas.openxmlformats.org/officeDocument/2006/relationships" r:embed="rId305"/>
        <a:stretch>
          <a:fillRect/>
        </a:stretch>
      </xdr:blipFill>
      <xdr:spPr>
        <a:xfrm>
          <a:off x="7235825" y="418369750"/>
          <a:ext cx="878840" cy="1183640"/>
        </a:xfrm>
        <a:prstGeom prst="rect">
          <a:avLst/>
        </a:prstGeom>
      </xdr:spPr>
    </xdr:pic>
    <xdr:clientData/>
  </xdr:twoCellAnchor>
  <xdr:twoCellAnchor>
    <xdr:from>
      <xdr:col>9</xdr:col>
      <xdr:colOff>6350</xdr:colOff>
      <xdr:row>478</xdr:row>
      <xdr:rowOff>25400</xdr:rowOff>
    </xdr:from>
    <xdr:to>
      <xdr:col>9</xdr:col>
      <xdr:colOff>885190</xdr:colOff>
      <xdr:row>478</xdr:row>
      <xdr:rowOff>1209040</xdr:rowOff>
    </xdr:to>
    <xdr:pic>
      <xdr:nvPicPr>
        <xdr:cNvPr id="5531" name="Изображение 5530" descr="resizeПП-00227260"/>
        <xdr:cNvPicPr>
          <a:picLocks noChangeAspect="1"/>
        </xdr:cNvPicPr>
      </xdr:nvPicPr>
      <xdr:blipFill>
        <a:blip xmlns:r="http://schemas.openxmlformats.org/officeDocument/2006/relationships" r:embed="rId306"/>
        <a:stretch>
          <a:fillRect/>
        </a:stretch>
      </xdr:blipFill>
      <xdr:spPr>
        <a:xfrm>
          <a:off x="7235825" y="419592125"/>
          <a:ext cx="878840" cy="1183640"/>
        </a:xfrm>
        <a:prstGeom prst="rect">
          <a:avLst/>
        </a:prstGeom>
      </xdr:spPr>
    </xdr:pic>
    <xdr:clientData/>
  </xdr:twoCellAnchor>
  <xdr:twoCellAnchor>
    <xdr:from>
      <xdr:col>9</xdr:col>
      <xdr:colOff>6350</xdr:colOff>
      <xdr:row>480</xdr:row>
      <xdr:rowOff>25400</xdr:rowOff>
    </xdr:from>
    <xdr:to>
      <xdr:col>9</xdr:col>
      <xdr:colOff>885190</xdr:colOff>
      <xdr:row>480</xdr:row>
      <xdr:rowOff>1209040</xdr:rowOff>
    </xdr:to>
    <xdr:pic>
      <xdr:nvPicPr>
        <xdr:cNvPr id="5532" name="Изображение 5531" descr="resizeПП-00249779"/>
        <xdr:cNvPicPr>
          <a:picLocks noChangeAspect="1"/>
        </xdr:cNvPicPr>
      </xdr:nvPicPr>
      <xdr:blipFill>
        <a:blip xmlns:r="http://schemas.openxmlformats.org/officeDocument/2006/relationships" r:embed="rId307"/>
        <a:stretch>
          <a:fillRect/>
        </a:stretch>
      </xdr:blipFill>
      <xdr:spPr>
        <a:xfrm>
          <a:off x="7235825" y="420966900"/>
          <a:ext cx="878840" cy="1183640"/>
        </a:xfrm>
        <a:prstGeom prst="rect">
          <a:avLst/>
        </a:prstGeom>
      </xdr:spPr>
    </xdr:pic>
    <xdr:clientData/>
  </xdr:twoCellAnchor>
  <xdr:twoCellAnchor>
    <xdr:from>
      <xdr:col>9</xdr:col>
      <xdr:colOff>6350</xdr:colOff>
      <xdr:row>482</xdr:row>
      <xdr:rowOff>25400</xdr:rowOff>
    </xdr:from>
    <xdr:to>
      <xdr:col>9</xdr:col>
      <xdr:colOff>885190</xdr:colOff>
      <xdr:row>482</xdr:row>
      <xdr:rowOff>1209040</xdr:rowOff>
    </xdr:to>
    <xdr:pic>
      <xdr:nvPicPr>
        <xdr:cNvPr id="5533" name="Изображение 5532" descr="resizeПП-00203532"/>
        <xdr:cNvPicPr>
          <a:picLocks noChangeAspect="1"/>
        </xdr:cNvPicPr>
      </xdr:nvPicPr>
      <xdr:blipFill>
        <a:blip xmlns:r="http://schemas.openxmlformats.org/officeDocument/2006/relationships" r:embed="rId308"/>
        <a:stretch>
          <a:fillRect/>
        </a:stretch>
      </xdr:blipFill>
      <xdr:spPr>
        <a:xfrm>
          <a:off x="7235825" y="422341675"/>
          <a:ext cx="878840" cy="1183640"/>
        </a:xfrm>
        <a:prstGeom prst="rect">
          <a:avLst/>
        </a:prstGeom>
      </xdr:spPr>
    </xdr:pic>
    <xdr:clientData/>
  </xdr:twoCellAnchor>
  <xdr:twoCellAnchor>
    <xdr:from>
      <xdr:col>9</xdr:col>
      <xdr:colOff>6350</xdr:colOff>
      <xdr:row>483</xdr:row>
      <xdr:rowOff>25400</xdr:rowOff>
    </xdr:from>
    <xdr:to>
      <xdr:col>9</xdr:col>
      <xdr:colOff>885190</xdr:colOff>
      <xdr:row>483</xdr:row>
      <xdr:rowOff>1209040</xdr:rowOff>
    </xdr:to>
    <xdr:pic>
      <xdr:nvPicPr>
        <xdr:cNvPr id="5534" name="Изображение 5533" descr="resizeПП-00203535"/>
        <xdr:cNvPicPr>
          <a:picLocks noChangeAspect="1"/>
        </xdr:cNvPicPr>
      </xdr:nvPicPr>
      <xdr:blipFill>
        <a:blip xmlns:r="http://schemas.openxmlformats.org/officeDocument/2006/relationships" r:embed="rId308"/>
        <a:stretch>
          <a:fillRect/>
        </a:stretch>
      </xdr:blipFill>
      <xdr:spPr>
        <a:xfrm>
          <a:off x="7235825" y="423564050"/>
          <a:ext cx="878840" cy="1183640"/>
        </a:xfrm>
        <a:prstGeom prst="rect">
          <a:avLst/>
        </a:prstGeom>
      </xdr:spPr>
    </xdr:pic>
    <xdr:clientData/>
  </xdr:twoCellAnchor>
  <xdr:twoCellAnchor>
    <xdr:from>
      <xdr:col>9</xdr:col>
      <xdr:colOff>6350</xdr:colOff>
      <xdr:row>484</xdr:row>
      <xdr:rowOff>25400</xdr:rowOff>
    </xdr:from>
    <xdr:to>
      <xdr:col>9</xdr:col>
      <xdr:colOff>885190</xdr:colOff>
      <xdr:row>484</xdr:row>
      <xdr:rowOff>1209040</xdr:rowOff>
    </xdr:to>
    <xdr:pic>
      <xdr:nvPicPr>
        <xdr:cNvPr id="5535" name="Изображение 5534" descr="resizeПП-00203537"/>
        <xdr:cNvPicPr>
          <a:picLocks noChangeAspect="1"/>
        </xdr:cNvPicPr>
      </xdr:nvPicPr>
      <xdr:blipFill>
        <a:blip xmlns:r="http://schemas.openxmlformats.org/officeDocument/2006/relationships" r:embed="rId308"/>
        <a:stretch>
          <a:fillRect/>
        </a:stretch>
      </xdr:blipFill>
      <xdr:spPr>
        <a:xfrm>
          <a:off x="7235825" y="424786425"/>
          <a:ext cx="878840" cy="1183640"/>
        </a:xfrm>
        <a:prstGeom prst="rect">
          <a:avLst/>
        </a:prstGeom>
      </xdr:spPr>
    </xdr:pic>
    <xdr:clientData/>
  </xdr:twoCellAnchor>
  <xdr:twoCellAnchor>
    <xdr:from>
      <xdr:col>9</xdr:col>
      <xdr:colOff>6350</xdr:colOff>
      <xdr:row>485</xdr:row>
      <xdr:rowOff>25400</xdr:rowOff>
    </xdr:from>
    <xdr:to>
      <xdr:col>9</xdr:col>
      <xdr:colOff>885190</xdr:colOff>
      <xdr:row>485</xdr:row>
      <xdr:rowOff>1209040</xdr:rowOff>
    </xdr:to>
    <xdr:pic>
      <xdr:nvPicPr>
        <xdr:cNvPr id="5536" name="Изображение 5535" descr="resizeПП-00203545"/>
        <xdr:cNvPicPr>
          <a:picLocks noChangeAspect="1"/>
        </xdr:cNvPicPr>
      </xdr:nvPicPr>
      <xdr:blipFill>
        <a:blip xmlns:r="http://schemas.openxmlformats.org/officeDocument/2006/relationships" r:embed="rId308"/>
        <a:stretch>
          <a:fillRect/>
        </a:stretch>
      </xdr:blipFill>
      <xdr:spPr>
        <a:xfrm>
          <a:off x="7235825" y="426008800"/>
          <a:ext cx="878840" cy="1183640"/>
        </a:xfrm>
        <a:prstGeom prst="rect">
          <a:avLst/>
        </a:prstGeom>
      </xdr:spPr>
    </xdr:pic>
    <xdr:clientData/>
  </xdr:twoCellAnchor>
  <xdr:twoCellAnchor>
    <xdr:from>
      <xdr:col>9</xdr:col>
      <xdr:colOff>6350</xdr:colOff>
      <xdr:row>486</xdr:row>
      <xdr:rowOff>25400</xdr:rowOff>
    </xdr:from>
    <xdr:to>
      <xdr:col>9</xdr:col>
      <xdr:colOff>885190</xdr:colOff>
      <xdr:row>486</xdr:row>
      <xdr:rowOff>1209040</xdr:rowOff>
    </xdr:to>
    <xdr:pic>
      <xdr:nvPicPr>
        <xdr:cNvPr id="5537" name="Изображение 5536" descr="resizeПП-00203541"/>
        <xdr:cNvPicPr>
          <a:picLocks noChangeAspect="1"/>
        </xdr:cNvPicPr>
      </xdr:nvPicPr>
      <xdr:blipFill>
        <a:blip xmlns:r="http://schemas.openxmlformats.org/officeDocument/2006/relationships" r:embed="rId308"/>
        <a:stretch>
          <a:fillRect/>
        </a:stretch>
      </xdr:blipFill>
      <xdr:spPr>
        <a:xfrm>
          <a:off x="7235825" y="427231175"/>
          <a:ext cx="878840" cy="1183640"/>
        </a:xfrm>
        <a:prstGeom prst="rect">
          <a:avLst/>
        </a:prstGeom>
      </xdr:spPr>
    </xdr:pic>
    <xdr:clientData/>
  </xdr:twoCellAnchor>
  <xdr:twoCellAnchor>
    <xdr:from>
      <xdr:col>9</xdr:col>
      <xdr:colOff>6350</xdr:colOff>
      <xdr:row>487</xdr:row>
      <xdr:rowOff>25400</xdr:rowOff>
    </xdr:from>
    <xdr:to>
      <xdr:col>9</xdr:col>
      <xdr:colOff>885190</xdr:colOff>
      <xdr:row>487</xdr:row>
      <xdr:rowOff>1209040</xdr:rowOff>
    </xdr:to>
    <xdr:pic>
      <xdr:nvPicPr>
        <xdr:cNvPr id="5538" name="Изображение 5537" descr="resizeПП-00203540"/>
        <xdr:cNvPicPr>
          <a:picLocks noChangeAspect="1"/>
        </xdr:cNvPicPr>
      </xdr:nvPicPr>
      <xdr:blipFill>
        <a:blip xmlns:r="http://schemas.openxmlformats.org/officeDocument/2006/relationships" r:embed="rId308"/>
        <a:stretch>
          <a:fillRect/>
        </a:stretch>
      </xdr:blipFill>
      <xdr:spPr>
        <a:xfrm>
          <a:off x="7235825" y="428453550"/>
          <a:ext cx="878840" cy="1183640"/>
        </a:xfrm>
        <a:prstGeom prst="rect">
          <a:avLst/>
        </a:prstGeom>
      </xdr:spPr>
    </xdr:pic>
    <xdr:clientData/>
  </xdr:twoCellAnchor>
  <xdr:twoCellAnchor>
    <xdr:from>
      <xdr:col>9</xdr:col>
      <xdr:colOff>6350</xdr:colOff>
      <xdr:row>488</xdr:row>
      <xdr:rowOff>25400</xdr:rowOff>
    </xdr:from>
    <xdr:to>
      <xdr:col>9</xdr:col>
      <xdr:colOff>885190</xdr:colOff>
      <xdr:row>488</xdr:row>
      <xdr:rowOff>1209040</xdr:rowOff>
    </xdr:to>
    <xdr:pic>
      <xdr:nvPicPr>
        <xdr:cNvPr id="5539" name="Изображение 5538" descr="resizeПП-00203538"/>
        <xdr:cNvPicPr>
          <a:picLocks noChangeAspect="1"/>
        </xdr:cNvPicPr>
      </xdr:nvPicPr>
      <xdr:blipFill>
        <a:blip xmlns:r="http://schemas.openxmlformats.org/officeDocument/2006/relationships" r:embed="rId308"/>
        <a:stretch>
          <a:fillRect/>
        </a:stretch>
      </xdr:blipFill>
      <xdr:spPr>
        <a:xfrm>
          <a:off x="7235825" y="429675925"/>
          <a:ext cx="878840" cy="1183640"/>
        </a:xfrm>
        <a:prstGeom prst="rect">
          <a:avLst/>
        </a:prstGeom>
      </xdr:spPr>
    </xdr:pic>
    <xdr:clientData/>
  </xdr:twoCellAnchor>
  <xdr:twoCellAnchor>
    <xdr:from>
      <xdr:col>9</xdr:col>
      <xdr:colOff>6350</xdr:colOff>
      <xdr:row>489</xdr:row>
      <xdr:rowOff>25400</xdr:rowOff>
    </xdr:from>
    <xdr:to>
      <xdr:col>9</xdr:col>
      <xdr:colOff>885190</xdr:colOff>
      <xdr:row>489</xdr:row>
      <xdr:rowOff>1209040</xdr:rowOff>
    </xdr:to>
    <xdr:pic>
      <xdr:nvPicPr>
        <xdr:cNvPr id="5540" name="Изображение 5539" descr="resizeПП-00203544"/>
        <xdr:cNvPicPr>
          <a:picLocks noChangeAspect="1"/>
        </xdr:cNvPicPr>
      </xdr:nvPicPr>
      <xdr:blipFill>
        <a:blip xmlns:r="http://schemas.openxmlformats.org/officeDocument/2006/relationships" r:embed="rId308"/>
        <a:stretch>
          <a:fillRect/>
        </a:stretch>
      </xdr:blipFill>
      <xdr:spPr>
        <a:xfrm>
          <a:off x="7235825" y="430898300"/>
          <a:ext cx="878840" cy="1183640"/>
        </a:xfrm>
        <a:prstGeom prst="rect">
          <a:avLst/>
        </a:prstGeom>
      </xdr:spPr>
    </xdr:pic>
    <xdr:clientData/>
  </xdr:twoCellAnchor>
  <xdr:twoCellAnchor>
    <xdr:from>
      <xdr:col>9</xdr:col>
      <xdr:colOff>6350</xdr:colOff>
      <xdr:row>492</xdr:row>
      <xdr:rowOff>25400</xdr:rowOff>
    </xdr:from>
    <xdr:to>
      <xdr:col>9</xdr:col>
      <xdr:colOff>885190</xdr:colOff>
      <xdr:row>492</xdr:row>
      <xdr:rowOff>1209040</xdr:rowOff>
    </xdr:to>
    <xdr:pic>
      <xdr:nvPicPr>
        <xdr:cNvPr id="5541" name="Изображение 5540" descr="resizeПП-00190399"/>
        <xdr:cNvPicPr>
          <a:picLocks noChangeAspect="1"/>
        </xdr:cNvPicPr>
      </xdr:nvPicPr>
      <xdr:blipFill>
        <a:blip xmlns:r="http://schemas.openxmlformats.org/officeDocument/2006/relationships" r:embed="rId309"/>
        <a:stretch>
          <a:fillRect/>
        </a:stretch>
      </xdr:blipFill>
      <xdr:spPr>
        <a:xfrm>
          <a:off x="7235825" y="432425475"/>
          <a:ext cx="878840" cy="1183640"/>
        </a:xfrm>
        <a:prstGeom prst="rect">
          <a:avLst/>
        </a:prstGeom>
      </xdr:spPr>
    </xdr:pic>
    <xdr:clientData/>
  </xdr:twoCellAnchor>
  <xdr:twoCellAnchor>
    <xdr:from>
      <xdr:col>9</xdr:col>
      <xdr:colOff>6350</xdr:colOff>
      <xdr:row>493</xdr:row>
      <xdr:rowOff>25400</xdr:rowOff>
    </xdr:from>
    <xdr:to>
      <xdr:col>9</xdr:col>
      <xdr:colOff>885190</xdr:colOff>
      <xdr:row>493</xdr:row>
      <xdr:rowOff>1209040</xdr:rowOff>
    </xdr:to>
    <xdr:pic>
      <xdr:nvPicPr>
        <xdr:cNvPr id="5542" name="Изображение 5541" descr="resizeПП-00236601"/>
        <xdr:cNvPicPr>
          <a:picLocks noChangeAspect="1"/>
        </xdr:cNvPicPr>
      </xdr:nvPicPr>
      <xdr:blipFill>
        <a:blip xmlns:r="http://schemas.openxmlformats.org/officeDocument/2006/relationships" r:embed="rId310"/>
        <a:stretch>
          <a:fillRect/>
        </a:stretch>
      </xdr:blipFill>
      <xdr:spPr>
        <a:xfrm>
          <a:off x="7235825" y="433647850"/>
          <a:ext cx="878840" cy="1183640"/>
        </a:xfrm>
        <a:prstGeom prst="rect">
          <a:avLst/>
        </a:prstGeom>
      </xdr:spPr>
    </xdr:pic>
    <xdr:clientData/>
  </xdr:twoCellAnchor>
  <xdr:twoCellAnchor>
    <xdr:from>
      <xdr:col>9</xdr:col>
      <xdr:colOff>6350</xdr:colOff>
      <xdr:row>495</xdr:row>
      <xdr:rowOff>25400</xdr:rowOff>
    </xdr:from>
    <xdr:to>
      <xdr:col>9</xdr:col>
      <xdr:colOff>885190</xdr:colOff>
      <xdr:row>495</xdr:row>
      <xdr:rowOff>1209040</xdr:rowOff>
    </xdr:to>
    <xdr:pic>
      <xdr:nvPicPr>
        <xdr:cNvPr id="5543" name="Изображение 5542" descr="resizeПП-00239579"/>
        <xdr:cNvPicPr>
          <a:picLocks noChangeAspect="1"/>
        </xdr:cNvPicPr>
      </xdr:nvPicPr>
      <xdr:blipFill>
        <a:blip xmlns:r="http://schemas.openxmlformats.org/officeDocument/2006/relationships" r:embed="rId311"/>
        <a:stretch>
          <a:fillRect/>
        </a:stretch>
      </xdr:blipFill>
      <xdr:spPr>
        <a:xfrm>
          <a:off x="7235825" y="435022625"/>
          <a:ext cx="878840" cy="1183640"/>
        </a:xfrm>
        <a:prstGeom prst="rect">
          <a:avLst/>
        </a:prstGeom>
      </xdr:spPr>
    </xdr:pic>
    <xdr:clientData/>
  </xdr:twoCellAnchor>
  <xdr:twoCellAnchor>
    <xdr:from>
      <xdr:col>9</xdr:col>
      <xdr:colOff>6350</xdr:colOff>
      <xdr:row>497</xdr:row>
      <xdr:rowOff>25400</xdr:rowOff>
    </xdr:from>
    <xdr:to>
      <xdr:col>9</xdr:col>
      <xdr:colOff>885190</xdr:colOff>
      <xdr:row>497</xdr:row>
      <xdr:rowOff>1209040</xdr:rowOff>
    </xdr:to>
    <xdr:pic>
      <xdr:nvPicPr>
        <xdr:cNvPr id="5544" name="Изображение 5543" descr="resizeПП-00249670"/>
        <xdr:cNvPicPr>
          <a:picLocks noChangeAspect="1"/>
        </xdr:cNvPicPr>
      </xdr:nvPicPr>
      <xdr:blipFill>
        <a:blip xmlns:r="http://schemas.openxmlformats.org/officeDocument/2006/relationships" r:embed="rId312"/>
        <a:stretch>
          <a:fillRect/>
        </a:stretch>
      </xdr:blipFill>
      <xdr:spPr>
        <a:xfrm>
          <a:off x="7235825" y="436397400"/>
          <a:ext cx="878840" cy="1183640"/>
        </a:xfrm>
        <a:prstGeom prst="rect">
          <a:avLst/>
        </a:prstGeom>
      </xdr:spPr>
    </xdr:pic>
    <xdr:clientData/>
  </xdr:twoCellAnchor>
  <xdr:twoCellAnchor>
    <xdr:from>
      <xdr:col>9</xdr:col>
      <xdr:colOff>6350</xdr:colOff>
      <xdr:row>498</xdr:row>
      <xdr:rowOff>25400</xdr:rowOff>
    </xdr:from>
    <xdr:to>
      <xdr:col>9</xdr:col>
      <xdr:colOff>885190</xdr:colOff>
      <xdr:row>498</xdr:row>
      <xdr:rowOff>1209040</xdr:rowOff>
    </xdr:to>
    <xdr:pic>
      <xdr:nvPicPr>
        <xdr:cNvPr id="5545" name="Изображение 5544" descr="resizeПП-00269993"/>
        <xdr:cNvPicPr>
          <a:picLocks noChangeAspect="1"/>
        </xdr:cNvPicPr>
      </xdr:nvPicPr>
      <xdr:blipFill>
        <a:blip xmlns:r="http://schemas.openxmlformats.org/officeDocument/2006/relationships" r:embed="rId313"/>
        <a:stretch>
          <a:fillRect/>
        </a:stretch>
      </xdr:blipFill>
      <xdr:spPr>
        <a:xfrm>
          <a:off x="7235825" y="437619775"/>
          <a:ext cx="878840" cy="1183640"/>
        </a:xfrm>
        <a:prstGeom prst="rect">
          <a:avLst/>
        </a:prstGeom>
      </xdr:spPr>
    </xdr:pic>
    <xdr:clientData/>
  </xdr:twoCellAnchor>
  <xdr:twoCellAnchor>
    <xdr:from>
      <xdr:col>9</xdr:col>
      <xdr:colOff>6350</xdr:colOff>
      <xdr:row>500</xdr:row>
      <xdr:rowOff>25400</xdr:rowOff>
    </xdr:from>
    <xdr:to>
      <xdr:col>9</xdr:col>
      <xdr:colOff>885190</xdr:colOff>
      <xdr:row>500</xdr:row>
      <xdr:rowOff>1209040</xdr:rowOff>
    </xdr:to>
    <xdr:pic>
      <xdr:nvPicPr>
        <xdr:cNvPr id="5546" name="Изображение 5545" descr="resizeПП-00249928"/>
        <xdr:cNvPicPr>
          <a:picLocks noChangeAspect="1"/>
        </xdr:cNvPicPr>
      </xdr:nvPicPr>
      <xdr:blipFill>
        <a:blip xmlns:r="http://schemas.openxmlformats.org/officeDocument/2006/relationships" r:embed="rId314"/>
        <a:stretch>
          <a:fillRect/>
        </a:stretch>
      </xdr:blipFill>
      <xdr:spPr>
        <a:xfrm>
          <a:off x="7235825" y="438994550"/>
          <a:ext cx="878840" cy="1183640"/>
        </a:xfrm>
        <a:prstGeom prst="rect">
          <a:avLst/>
        </a:prstGeom>
      </xdr:spPr>
    </xdr:pic>
    <xdr:clientData/>
  </xdr:twoCellAnchor>
  <xdr:twoCellAnchor>
    <xdr:from>
      <xdr:col>9</xdr:col>
      <xdr:colOff>6350</xdr:colOff>
      <xdr:row>503</xdr:row>
      <xdr:rowOff>25400</xdr:rowOff>
    </xdr:from>
    <xdr:to>
      <xdr:col>9</xdr:col>
      <xdr:colOff>1189990</xdr:colOff>
      <xdr:row>503</xdr:row>
      <xdr:rowOff>904240</xdr:rowOff>
    </xdr:to>
    <xdr:pic>
      <xdr:nvPicPr>
        <xdr:cNvPr id="5547" name="Изображение 5546" descr="resizeПП-00270163"/>
        <xdr:cNvPicPr>
          <a:picLocks noChangeAspect="1"/>
        </xdr:cNvPicPr>
      </xdr:nvPicPr>
      <xdr:blipFill>
        <a:blip xmlns:r="http://schemas.openxmlformats.org/officeDocument/2006/relationships" r:embed="rId315"/>
        <a:stretch>
          <a:fillRect/>
        </a:stretch>
      </xdr:blipFill>
      <xdr:spPr>
        <a:xfrm>
          <a:off x="7235825" y="440521725"/>
          <a:ext cx="1183640" cy="878840"/>
        </a:xfrm>
        <a:prstGeom prst="rect">
          <a:avLst/>
        </a:prstGeom>
      </xdr:spPr>
    </xdr:pic>
    <xdr:clientData/>
  </xdr:twoCellAnchor>
  <xdr:twoCellAnchor>
    <xdr:from>
      <xdr:col>9</xdr:col>
      <xdr:colOff>6350</xdr:colOff>
      <xdr:row>504</xdr:row>
      <xdr:rowOff>25400</xdr:rowOff>
    </xdr:from>
    <xdr:to>
      <xdr:col>9</xdr:col>
      <xdr:colOff>1189990</xdr:colOff>
      <xdr:row>504</xdr:row>
      <xdr:rowOff>904240</xdr:rowOff>
    </xdr:to>
    <xdr:pic>
      <xdr:nvPicPr>
        <xdr:cNvPr id="5548" name="Изображение 5547" descr="resizeПП-00270162"/>
        <xdr:cNvPicPr>
          <a:picLocks noChangeAspect="1"/>
        </xdr:cNvPicPr>
      </xdr:nvPicPr>
      <xdr:blipFill>
        <a:blip xmlns:r="http://schemas.openxmlformats.org/officeDocument/2006/relationships" r:embed="rId316"/>
        <a:stretch>
          <a:fillRect/>
        </a:stretch>
      </xdr:blipFill>
      <xdr:spPr>
        <a:xfrm>
          <a:off x="7235825" y="441744100"/>
          <a:ext cx="1183640" cy="878840"/>
        </a:xfrm>
        <a:prstGeom prst="rect">
          <a:avLst/>
        </a:prstGeom>
      </xdr:spPr>
    </xdr:pic>
    <xdr:clientData/>
  </xdr:twoCellAnchor>
  <xdr:twoCellAnchor>
    <xdr:from>
      <xdr:col>9</xdr:col>
      <xdr:colOff>6350</xdr:colOff>
      <xdr:row>506</xdr:row>
      <xdr:rowOff>25400</xdr:rowOff>
    </xdr:from>
    <xdr:to>
      <xdr:col>9</xdr:col>
      <xdr:colOff>885190</xdr:colOff>
      <xdr:row>506</xdr:row>
      <xdr:rowOff>1209040</xdr:rowOff>
    </xdr:to>
    <xdr:pic>
      <xdr:nvPicPr>
        <xdr:cNvPr id="5549" name="Изображение 5548" descr="resizeПП-00270135"/>
        <xdr:cNvPicPr>
          <a:picLocks noChangeAspect="1"/>
        </xdr:cNvPicPr>
      </xdr:nvPicPr>
      <xdr:blipFill>
        <a:blip xmlns:r="http://schemas.openxmlformats.org/officeDocument/2006/relationships" r:embed="rId317"/>
        <a:stretch>
          <a:fillRect/>
        </a:stretch>
      </xdr:blipFill>
      <xdr:spPr>
        <a:xfrm>
          <a:off x="7235825" y="443118875"/>
          <a:ext cx="878840" cy="1183640"/>
        </a:xfrm>
        <a:prstGeom prst="rect">
          <a:avLst/>
        </a:prstGeom>
      </xdr:spPr>
    </xdr:pic>
    <xdr:clientData/>
  </xdr:twoCellAnchor>
  <xdr:twoCellAnchor>
    <xdr:from>
      <xdr:col>9</xdr:col>
      <xdr:colOff>6350</xdr:colOff>
      <xdr:row>507</xdr:row>
      <xdr:rowOff>25400</xdr:rowOff>
    </xdr:from>
    <xdr:to>
      <xdr:col>9</xdr:col>
      <xdr:colOff>885190</xdr:colOff>
      <xdr:row>507</xdr:row>
      <xdr:rowOff>1209040</xdr:rowOff>
    </xdr:to>
    <xdr:pic>
      <xdr:nvPicPr>
        <xdr:cNvPr id="5550" name="Изображение 5549" descr="resizeПП-00270136"/>
        <xdr:cNvPicPr>
          <a:picLocks noChangeAspect="1"/>
        </xdr:cNvPicPr>
      </xdr:nvPicPr>
      <xdr:blipFill>
        <a:blip xmlns:r="http://schemas.openxmlformats.org/officeDocument/2006/relationships" r:embed="rId318"/>
        <a:stretch>
          <a:fillRect/>
        </a:stretch>
      </xdr:blipFill>
      <xdr:spPr>
        <a:xfrm>
          <a:off x="7235825" y="444341250"/>
          <a:ext cx="878840" cy="1183640"/>
        </a:xfrm>
        <a:prstGeom prst="rect">
          <a:avLst/>
        </a:prstGeom>
      </xdr:spPr>
    </xdr:pic>
    <xdr:clientData/>
  </xdr:twoCellAnchor>
  <xdr:twoCellAnchor>
    <xdr:from>
      <xdr:col>9</xdr:col>
      <xdr:colOff>6350</xdr:colOff>
      <xdr:row>508</xdr:row>
      <xdr:rowOff>25400</xdr:rowOff>
    </xdr:from>
    <xdr:to>
      <xdr:col>9</xdr:col>
      <xdr:colOff>885190</xdr:colOff>
      <xdr:row>508</xdr:row>
      <xdr:rowOff>1209040</xdr:rowOff>
    </xdr:to>
    <xdr:pic>
      <xdr:nvPicPr>
        <xdr:cNvPr id="5551" name="Изображение 5550" descr="resizeПП-00270134"/>
        <xdr:cNvPicPr>
          <a:picLocks noChangeAspect="1"/>
        </xdr:cNvPicPr>
      </xdr:nvPicPr>
      <xdr:blipFill>
        <a:blip xmlns:r="http://schemas.openxmlformats.org/officeDocument/2006/relationships" r:embed="rId319"/>
        <a:stretch>
          <a:fillRect/>
        </a:stretch>
      </xdr:blipFill>
      <xdr:spPr>
        <a:xfrm>
          <a:off x="7235825" y="445563625"/>
          <a:ext cx="878840" cy="1183640"/>
        </a:xfrm>
        <a:prstGeom prst="rect">
          <a:avLst/>
        </a:prstGeom>
      </xdr:spPr>
    </xdr:pic>
    <xdr:clientData/>
  </xdr:twoCellAnchor>
  <xdr:twoCellAnchor>
    <xdr:from>
      <xdr:col>9</xdr:col>
      <xdr:colOff>6350</xdr:colOff>
      <xdr:row>509</xdr:row>
      <xdr:rowOff>25400</xdr:rowOff>
    </xdr:from>
    <xdr:to>
      <xdr:col>9</xdr:col>
      <xdr:colOff>885190</xdr:colOff>
      <xdr:row>509</xdr:row>
      <xdr:rowOff>1209040</xdr:rowOff>
    </xdr:to>
    <xdr:pic>
      <xdr:nvPicPr>
        <xdr:cNvPr id="5552" name="Изображение 5551" descr="resizeПП-00270133"/>
        <xdr:cNvPicPr>
          <a:picLocks noChangeAspect="1"/>
        </xdr:cNvPicPr>
      </xdr:nvPicPr>
      <xdr:blipFill>
        <a:blip xmlns:r="http://schemas.openxmlformats.org/officeDocument/2006/relationships" r:embed="rId320"/>
        <a:stretch>
          <a:fillRect/>
        </a:stretch>
      </xdr:blipFill>
      <xdr:spPr>
        <a:xfrm>
          <a:off x="7235825" y="446786000"/>
          <a:ext cx="878840" cy="1183640"/>
        </a:xfrm>
        <a:prstGeom prst="rect">
          <a:avLst/>
        </a:prstGeom>
      </xdr:spPr>
    </xdr:pic>
    <xdr:clientData/>
  </xdr:twoCellAnchor>
  <xdr:twoCellAnchor>
    <xdr:from>
      <xdr:col>9</xdr:col>
      <xdr:colOff>6350</xdr:colOff>
      <xdr:row>510</xdr:row>
      <xdr:rowOff>25400</xdr:rowOff>
    </xdr:from>
    <xdr:to>
      <xdr:col>9</xdr:col>
      <xdr:colOff>885190</xdr:colOff>
      <xdr:row>510</xdr:row>
      <xdr:rowOff>1209040</xdr:rowOff>
    </xdr:to>
    <xdr:pic>
      <xdr:nvPicPr>
        <xdr:cNvPr id="5553" name="Изображение 5552" descr="resizeПП-00270131"/>
        <xdr:cNvPicPr>
          <a:picLocks noChangeAspect="1"/>
        </xdr:cNvPicPr>
      </xdr:nvPicPr>
      <xdr:blipFill>
        <a:blip xmlns:r="http://schemas.openxmlformats.org/officeDocument/2006/relationships" r:embed="rId321"/>
        <a:stretch>
          <a:fillRect/>
        </a:stretch>
      </xdr:blipFill>
      <xdr:spPr>
        <a:xfrm>
          <a:off x="7235825" y="448008375"/>
          <a:ext cx="878840" cy="1183640"/>
        </a:xfrm>
        <a:prstGeom prst="rect">
          <a:avLst/>
        </a:prstGeom>
      </xdr:spPr>
    </xdr:pic>
    <xdr:clientData/>
  </xdr:twoCellAnchor>
  <xdr:twoCellAnchor>
    <xdr:from>
      <xdr:col>9</xdr:col>
      <xdr:colOff>6350</xdr:colOff>
      <xdr:row>511</xdr:row>
      <xdr:rowOff>25400</xdr:rowOff>
    </xdr:from>
    <xdr:to>
      <xdr:col>9</xdr:col>
      <xdr:colOff>885190</xdr:colOff>
      <xdr:row>511</xdr:row>
      <xdr:rowOff>1209040</xdr:rowOff>
    </xdr:to>
    <xdr:pic>
      <xdr:nvPicPr>
        <xdr:cNvPr id="5554" name="Изображение 5553" descr="resizeПП-00270132"/>
        <xdr:cNvPicPr>
          <a:picLocks noChangeAspect="1"/>
        </xdr:cNvPicPr>
      </xdr:nvPicPr>
      <xdr:blipFill>
        <a:blip xmlns:r="http://schemas.openxmlformats.org/officeDocument/2006/relationships" r:embed="rId322"/>
        <a:stretch>
          <a:fillRect/>
        </a:stretch>
      </xdr:blipFill>
      <xdr:spPr>
        <a:xfrm>
          <a:off x="7235825" y="449230750"/>
          <a:ext cx="878840" cy="1183640"/>
        </a:xfrm>
        <a:prstGeom prst="rect">
          <a:avLst/>
        </a:prstGeom>
      </xdr:spPr>
    </xdr:pic>
    <xdr:clientData/>
  </xdr:twoCellAnchor>
  <xdr:twoCellAnchor>
    <xdr:from>
      <xdr:col>9</xdr:col>
      <xdr:colOff>6350</xdr:colOff>
      <xdr:row>513</xdr:row>
      <xdr:rowOff>25400</xdr:rowOff>
    </xdr:from>
    <xdr:to>
      <xdr:col>9</xdr:col>
      <xdr:colOff>885190</xdr:colOff>
      <xdr:row>513</xdr:row>
      <xdr:rowOff>1209040</xdr:rowOff>
    </xdr:to>
    <xdr:pic>
      <xdr:nvPicPr>
        <xdr:cNvPr id="5555" name="Изображение 5554" descr="resizeПП-00270149"/>
        <xdr:cNvPicPr>
          <a:picLocks noChangeAspect="1"/>
        </xdr:cNvPicPr>
      </xdr:nvPicPr>
      <xdr:blipFill>
        <a:blip xmlns:r="http://schemas.openxmlformats.org/officeDocument/2006/relationships" r:embed="rId323"/>
        <a:stretch>
          <a:fillRect/>
        </a:stretch>
      </xdr:blipFill>
      <xdr:spPr>
        <a:xfrm>
          <a:off x="7235825" y="450605525"/>
          <a:ext cx="878840" cy="1183640"/>
        </a:xfrm>
        <a:prstGeom prst="rect">
          <a:avLst/>
        </a:prstGeom>
      </xdr:spPr>
    </xdr:pic>
    <xdr:clientData/>
  </xdr:twoCellAnchor>
  <xdr:twoCellAnchor>
    <xdr:from>
      <xdr:col>9</xdr:col>
      <xdr:colOff>6350</xdr:colOff>
      <xdr:row>514</xdr:row>
      <xdr:rowOff>25400</xdr:rowOff>
    </xdr:from>
    <xdr:to>
      <xdr:col>9</xdr:col>
      <xdr:colOff>885190</xdr:colOff>
      <xdr:row>514</xdr:row>
      <xdr:rowOff>1209040</xdr:rowOff>
    </xdr:to>
    <xdr:pic>
      <xdr:nvPicPr>
        <xdr:cNvPr id="5556" name="Изображение 5555" descr="resizeПП-00270147"/>
        <xdr:cNvPicPr>
          <a:picLocks noChangeAspect="1"/>
        </xdr:cNvPicPr>
      </xdr:nvPicPr>
      <xdr:blipFill>
        <a:blip xmlns:r="http://schemas.openxmlformats.org/officeDocument/2006/relationships" r:embed="rId324"/>
        <a:stretch>
          <a:fillRect/>
        </a:stretch>
      </xdr:blipFill>
      <xdr:spPr>
        <a:xfrm>
          <a:off x="7235825" y="451827900"/>
          <a:ext cx="878840" cy="1183640"/>
        </a:xfrm>
        <a:prstGeom prst="rect">
          <a:avLst/>
        </a:prstGeom>
      </xdr:spPr>
    </xdr:pic>
    <xdr:clientData/>
  </xdr:twoCellAnchor>
  <xdr:twoCellAnchor>
    <xdr:from>
      <xdr:col>9</xdr:col>
      <xdr:colOff>6350</xdr:colOff>
      <xdr:row>515</xdr:row>
      <xdr:rowOff>25400</xdr:rowOff>
    </xdr:from>
    <xdr:to>
      <xdr:col>9</xdr:col>
      <xdr:colOff>885190</xdr:colOff>
      <xdr:row>515</xdr:row>
      <xdr:rowOff>1209040</xdr:rowOff>
    </xdr:to>
    <xdr:pic>
      <xdr:nvPicPr>
        <xdr:cNvPr id="5557" name="Изображение 5556" descr="resizeПП-00270146"/>
        <xdr:cNvPicPr>
          <a:picLocks noChangeAspect="1"/>
        </xdr:cNvPicPr>
      </xdr:nvPicPr>
      <xdr:blipFill>
        <a:blip xmlns:r="http://schemas.openxmlformats.org/officeDocument/2006/relationships" r:embed="rId325"/>
        <a:stretch>
          <a:fillRect/>
        </a:stretch>
      </xdr:blipFill>
      <xdr:spPr>
        <a:xfrm>
          <a:off x="7235825" y="453050275"/>
          <a:ext cx="878840" cy="1183640"/>
        </a:xfrm>
        <a:prstGeom prst="rect">
          <a:avLst/>
        </a:prstGeom>
      </xdr:spPr>
    </xdr:pic>
    <xdr:clientData/>
  </xdr:twoCellAnchor>
  <xdr:twoCellAnchor>
    <xdr:from>
      <xdr:col>9</xdr:col>
      <xdr:colOff>6350</xdr:colOff>
      <xdr:row>516</xdr:row>
      <xdr:rowOff>25400</xdr:rowOff>
    </xdr:from>
    <xdr:to>
      <xdr:col>9</xdr:col>
      <xdr:colOff>1189990</xdr:colOff>
      <xdr:row>516</xdr:row>
      <xdr:rowOff>904240</xdr:rowOff>
    </xdr:to>
    <xdr:pic>
      <xdr:nvPicPr>
        <xdr:cNvPr id="5558" name="Изображение 5557" descr="resizeПП-00270154"/>
        <xdr:cNvPicPr>
          <a:picLocks noChangeAspect="1"/>
        </xdr:cNvPicPr>
      </xdr:nvPicPr>
      <xdr:blipFill>
        <a:blip xmlns:r="http://schemas.openxmlformats.org/officeDocument/2006/relationships" r:embed="rId326"/>
        <a:stretch>
          <a:fillRect/>
        </a:stretch>
      </xdr:blipFill>
      <xdr:spPr>
        <a:xfrm>
          <a:off x="7235825" y="454272650"/>
          <a:ext cx="1183640" cy="878840"/>
        </a:xfrm>
        <a:prstGeom prst="rect">
          <a:avLst/>
        </a:prstGeom>
      </xdr:spPr>
    </xdr:pic>
    <xdr:clientData/>
  </xdr:twoCellAnchor>
  <xdr:twoCellAnchor>
    <xdr:from>
      <xdr:col>9</xdr:col>
      <xdr:colOff>6350</xdr:colOff>
      <xdr:row>517</xdr:row>
      <xdr:rowOff>25400</xdr:rowOff>
    </xdr:from>
    <xdr:to>
      <xdr:col>9</xdr:col>
      <xdr:colOff>885190</xdr:colOff>
      <xdr:row>517</xdr:row>
      <xdr:rowOff>1209040</xdr:rowOff>
    </xdr:to>
    <xdr:pic>
      <xdr:nvPicPr>
        <xdr:cNvPr id="5559" name="Изображение 5558" descr="resizeПП-00270151"/>
        <xdr:cNvPicPr>
          <a:picLocks noChangeAspect="1"/>
        </xdr:cNvPicPr>
      </xdr:nvPicPr>
      <xdr:blipFill>
        <a:blip xmlns:r="http://schemas.openxmlformats.org/officeDocument/2006/relationships" r:embed="rId327"/>
        <a:stretch>
          <a:fillRect/>
        </a:stretch>
      </xdr:blipFill>
      <xdr:spPr>
        <a:xfrm>
          <a:off x="7235825" y="455495025"/>
          <a:ext cx="878840" cy="1183640"/>
        </a:xfrm>
        <a:prstGeom prst="rect">
          <a:avLst/>
        </a:prstGeom>
      </xdr:spPr>
    </xdr:pic>
    <xdr:clientData/>
  </xdr:twoCellAnchor>
  <xdr:twoCellAnchor>
    <xdr:from>
      <xdr:col>9</xdr:col>
      <xdr:colOff>6350</xdr:colOff>
      <xdr:row>518</xdr:row>
      <xdr:rowOff>25400</xdr:rowOff>
    </xdr:from>
    <xdr:to>
      <xdr:col>9</xdr:col>
      <xdr:colOff>885190</xdr:colOff>
      <xdr:row>518</xdr:row>
      <xdr:rowOff>1209040</xdr:rowOff>
    </xdr:to>
    <xdr:pic>
      <xdr:nvPicPr>
        <xdr:cNvPr id="5560" name="Изображение 5559" descr="resizeПП-00270153"/>
        <xdr:cNvPicPr>
          <a:picLocks noChangeAspect="1"/>
        </xdr:cNvPicPr>
      </xdr:nvPicPr>
      <xdr:blipFill>
        <a:blip xmlns:r="http://schemas.openxmlformats.org/officeDocument/2006/relationships" r:embed="rId328"/>
        <a:stretch>
          <a:fillRect/>
        </a:stretch>
      </xdr:blipFill>
      <xdr:spPr>
        <a:xfrm>
          <a:off x="7235825" y="456717400"/>
          <a:ext cx="878840" cy="1183640"/>
        </a:xfrm>
        <a:prstGeom prst="rect">
          <a:avLst/>
        </a:prstGeom>
      </xdr:spPr>
    </xdr:pic>
    <xdr:clientData/>
  </xdr:twoCellAnchor>
  <xdr:twoCellAnchor>
    <xdr:from>
      <xdr:col>9</xdr:col>
      <xdr:colOff>6350</xdr:colOff>
      <xdr:row>519</xdr:row>
      <xdr:rowOff>25400</xdr:rowOff>
    </xdr:from>
    <xdr:to>
      <xdr:col>9</xdr:col>
      <xdr:colOff>1189990</xdr:colOff>
      <xdr:row>519</xdr:row>
      <xdr:rowOff>904240</xdr:rowOff>
    </xdr:to>
    <xdr:pic>
      <xdr:nvPicPr>
        <xdr:cNvPr id="5561" name="Изображение 5560" descr="resizeПП-00270150"/>
        <xdr:cNvPicPr>
          <a:picLocks noChangeAspect="1"/>
        </xdr:cNvPicPr>
      </xdr:nvPicPr>
      <xdr:blipFill>
        <a:blip xmlns:r="http://schemas.openxmlformats.org/officeDocument/2006/relationships" r:embed="rId329"/>
        <a:stretch>
          <a:fillRect/>
        </a:stretch>
      </xdr:blipFill>
      <xdr:spPr>
        <a:xfrm>
          <a:off x="7235825" y="457939775"/>
          <a:ext cx="1183640" cy="878840"/>
        </a:xfrm>
        <a:prstGeom prst="rect">
          <a:avLst/>
        </a:prstGeom>
      </xdr:spPr>
    </xdr:pic>
    <xdr:clientData/>
  </xdr:twoCellAnchor>
  <xdr:twoCellAnchor>
    <xdr:from>
      <xdr:col>9</xdr:col>
      <xdr:colOff>6350</xdr:colOff>
      <xdr:row>520</xdr:row>
      <xdr:rowOff>25400</xdr:rowOff>
    </xdr:from>
    <xdr:to>
      <xdr:col>9</xdr:col>
      <xdr:colOff>1189990</xdr:colOff>
      <xdr:row>520</xdr:row>
      <xdr:rowOff>904240</xdr:rowOff>
    </xdr:to>
    <xdr:pic>
      <xdr:nvPicPr>
        <xdr:cNvPr id="5562" name="Изображение 5561" descr="resizeПП-00270155"/>
        <xdr:cNvPicPr>
          <a:picLocks noChangeAspect="1"/>
        </xdr:cNvPicPr>
      </xdr:nvPicPr>
      <xdr:blipFill>
        <a:blip xmlns:r="http://schemas.openxmlformats.org/officeDocument/2006/relationships" r:embed="rId330"/>
        <a:stretch>
          <a:fillRect/>
        </a:stretch>
      </xdr:blipFill>
      <xdr:spPr>
        <a:xfrm>
          <a:off x="7235825" y="459162150"/>
          <a:ext cx="1183640" cy="878840"/>
        </a:xfrm>
        <a:prstGeom prst="rect">
          <a:avLst/>
        </a:prstGeom>
      </xdr:spPr>
    </xdr:pic>
    <xdr:clientData/>
  </xdr:twoCellAnchor>
  <xdr:twoCellAnchor>
    <xdr:from>
      <xdr:col>9</xdr:col>
      <xdr:colOff>6350</xdr:colOff>
      <xdr:row>523</xdr:row>
      <xdr:rowOff>25400</xdr:rowOff>
    </xdr:from>
    <xdr:to>
      <xdr:col>9</xdr:col>
      <xdr:colOff>885190</xdr:colOff>
      <xdr:row>523</xdr:row>
      <xdr:rowOff>1209040</xdr:rowOff>
    </xdr:to>
    <xdr:pic>
      <xdr:nvPicPr>
        <xdr:cNvPr id="5563" name="Изображение 5562" descr="resizeПП-00206247"/>
        <xdr:cNvPicPr>
          <a:picLocks noChangeAspect="1"/>
        </xdr:cNvPicPr>
      </xdr:nvPicPr>
      <xdr:blipFill>
        <a:blip xmlns:r="http://schemas.openxmlformats.org/officeDocument/2006/relationships" r:embed="rId331"/>
        <a:stretch>
          <a:fillRect/>
        </a:stretch>
      </xdr:blipFill>
      <xdr:spPr>
        <a:xfrm>
          <a:off x="7235825" y="460689325"/>
          <a:ext cx="878840" cy="1183640"/>
        </a:xfrm>
        <a:prstGeom prst="rect">
          <a:avLst/>
        </a:prstGeom>
      </xdr:spPr>
    </xdr:pic>
    <xdr:clientData/>
  </xdr:twoCellAnchor>
  <xdr:twoCellAnchor>
    <xdr:from>
      <xdr:col>9</xdr:col>
      <xdr:colOff>6350</xdr:colOff>
      <xdr:row>525</xdr:row>
      <xdr:rowOff>25400</xdr:rowOff>
    </xdr:from>
    <xdr:to>
      <xdr:col>9</xdr:col>
      <xdr:colOff>885190</xdr:colOff>
      <xdr:row>525</xdr:row>
      <xdr:rowOff>1209040</xdr:rowOff>
    </xdr:to>
    <xdr:pic>
      <xdr:nvPicPr>
        <xdr:cNvPr id="5564" name="Изображение 5563" descr="resizeПП-00206310"/>
        <xdr:cNvPicPr>
          <a:picLocks noChangeAspect="1"/>
        </xdr:cNvPicPr>
      </xdr:nvPicPr>
      <xdr:blipFill>
        <a:blip xmlns:r="http://schemas.openxmlformats.org/officeDocument/2006/relationships" r:embed="rId332"/>
        <a:stretch>
          <a:fillRect/>
        </a:stretch>
      </xdr:blipFill>
      <xdr:spPr>
        <a:xfrm>
          <a:off x="7235825" y="462064100"/>
          <a:ext cx="878840" cy="1183640"/>
        </a:xfrm>
        <a:prstGeom prst="rect">
          <a:avLst/>
        </a:prstGeom>
      </xdr:spPr>
    </xdr:pic>
    <xdr:clientData/>
  </xdr:twoCellAnchor>
  <xdr:twoCellAnchor>
    <xdr:from>
      <xdr:col>9</xdr:col>
      <xdr:colOff>6350</xdr:colOff>
      <xdr:row>527</xdr:row>
      <xdr:rowOff>25400</xdr:rowOff>
    </xdr:from>
    <xdr:to>
      <xdr:col>9</xdr:col>
      <xdr:colOff>1189990</xdr:colOff>
      <xdr:row>527</xdr:row>
      <xdr:rowOff>904240</xdr:rowOff>
    </xdr:to>
    <xdr:pic>
      <xdr:nvPicPr>
        <xdr:cNvPr id="5565" name="Изображение 5564" descr="resizeПП-00267637"/>
        <xdr:cNvPicPr>
          <a:picLocks noChangeAspect="1"/>
        </xdr:cNvPicPr>
      </xdr:nvPicPr>
      <xdr:blipFill>
        <a:blip xmlns:r="http://schemas.openxmlformats.org/officeDocument/2006/relationships" r:embed="rId333"/>
        <a:stretch>
          <a:fillRect/>
        </a:stretch>
      </xdr:blipFill>
      <xdr:spPr>
        <a:xfrm>
          <a:off x="7235825" y="463438875"/>
          <a:ext cx="1183640" cy="878840"/>
        </a:xfrm>
        <a:prstGeom prst="rect">
          <a:avLst/>
        </a:prstGeom>
      </xdr:spPr>
    </xdr:pic>
    <xdr:clientData/>
  </xdr:twoCellAnchor>
  <xdr:twoCellAnchor>
    <xdr:from>
      <xdr:col>9</xdr:col>
      <xdr:colOff>6350</xdr:colOff>
      <xdr:row>528</xdr:row>
      <xdr:rowOff>25400</xdr:rowOff>
    </xdr:from>
    <xdr:to>
      <xdr:col>9</xdr:col>
      <xdr:colOff>1189990</xdr:colOff>
      <xdr:row>528</xdr:row>
      <xdr:rowOff>904240</xdr:rowOff>
    </xdr:to>
    <xdr:pic>
      <xdr:nvPicPr>
        <xdr:cNvPr id="5566" name="Изображение 5565" descr="resizeПП-00267633"/>
        <xdr:cNvPicPr>
          <a:picLocks noChangeAspect="1"/>
        </xdr:cNvPicPr>
      </xdr:nvPicPr>
      <xdr:blipFill>
        <a:blip xmlns:r="http://schemas.openxmlformats.org/officeDocument/2006/relationships" r:embed="rId334"/>
        <a:stretch>
          <a:fillRect/>
        </a:stretch>
      </xdr:blipFill>
      <xdr:spPr>
        <a:xfrm>
          <a:off x="7235825" y="464661250"/>
          <a:ext cx="1183640" cy="878840"/>
        </a:xfrm>
        <a:prstGeom prst="rect">
          <a:avLst/>
        </a:prstGeom>
      </xdr:spPr>
    </xdr:pic>
    <xdr:clientData/>
  </xdr:twoCellAnchor>
  <xdr:twoCellAnchor>
    <xdr:from>
      <xdr:col>9</xdr:col>
      <xdr:colOff>6350</xdr:colOff>
      <xdr:row>529</xdr:row>
      <xdr:rowOff>25400</xdr:rowOff>
    </xdr:from>
    <xdr:to>
      <xdr:col>9</xdr:col>
      <xdr:colOff>885190</xdr:colOff>
      <xdr:row>529</xdr:row>
      <xdr:rowOff>1209040</xdr:rowOff>
    </xdr:to>
    <xdr:pic>
      <xdr:nvPicPr>
        <xdr:cNvPr id="5567" name="Изображение 5566" descr="resizeПП-00267634"/>
        <xdr:cNvPicPr>
          <a:picLocks noChangeAspect="1"/>
        </xdr:cNvPicPr>
      </xdr:nvPicPr>
      <xdr:blipFill>
        <a:blip xmlns:r="http://schemas.openxmlformats.org/officeDocument/2006/relationships" r:embed="rId335"/>
        <a:stretch>
          <a:fillRect/>
        </a:stretch>
      </xdr:blipFill>
      <xdr:spPr>
        <a:xfrm>
          <a:off x="7235825" y="465883625"/>
          <a:ext cx="878840" cy="1183640"/>
        </a:xfrm>
        <a:prstGeom prst="rect">
          <a:avLst/>
        </a:prstGeom>
      </xdr:spPr>
    </xdr:pic>
    <xdr:clientData/>
  </xdr:twoCellAnchor>
  <xdr:twoCellAnchor>
    <xdr:from>
      <xdr:col>9</xdr:col>
      <xdr:colOff>6350</xdr:colOff>
      <xdr:row>530</xdr:row>
      <xdr:rowOff>25400</xdr:rowOff>
    </xdr:from>
    <xdr:to>
      <xdr:col>9</xdr:col>
      <xdr:colOff>885190</xdr:colOff>
      <xdr:row>530</xdr:row>
      <xdr:rowOff>1209040</xdr:rowOff>
    </xdr:to>
    <xdr:pic>
      <xdr:nvPicPr>
        <xdr:cNvPr id="5568" name="Изображение 5567" descr="resizeПП-00267635"/>
        <xdr:cNvPicPr>
          <a:picLocks noChangeAspect="1"/>
        </xdr:cNvPicPr>
      </xdr:nvPicPr>
      <xdr:blipFill>
        <a:blip xmlns:r="http://schemas.openxmlformats.org/officeDocument/2006/relationships" r:embed="rId336"/>
        <a:stretch>
          <a:fillRect/>
        </a:stretch>
      </xdr:blipFill>
      <xdr:spPr>
        <a:xfrm>
          <a:off x="7235825" y="467106000"/>
          <a:ext cx="878840" cy="1183640"/>
        </a:xfrm>
        <a:prstGeom prst="rect">
          <a:avLst/>
        </a:prstGeom>
      </xdr:spPr>
    </xdr:pic>
    <xdr:clientData/>
  </xdr:twoCellAnchor>
  <xdr:twoCellAnchor>
    <xdr:from>
      <xdr:col>9</xdr:col>
      <xdr:colOff>6350</xdr:colOff>
      <xdr:row>531</xdr:row>
      <xdr:rowOff>25400</xdr:rowOff>
    </xdr:from>
    <xdr:to>
      <xdr:col>9</xdr:col>
      <xdr:colOff>1189990</xdr:colOff>
      <xdr:row>531</xdr:row>
      <xdr:rowOff>904240</xdr:rowOff>
    </xdr:to>
    <xdr:pic>
      <xdr:nvPicPr>
        <xdr:cNvPr id="5569" name="Изображение 5568" descr="resizeПП-00267636"/>
        <xdr:cNvPicPr>
          <a:picLocks noChangeAspect="1"/>
        </xdr:cNvPicPr>
      </xdr:nvPicPr>
      <xdr:blipFill>
        <a:blip xmlns:r="http://schemas.openxmlformats.org/officeDocument/2006/relationships" r:embed="rId337"/>
        <a:stretch>
          <a:fillRect/>
        </a:stretch>
      </xdr:blipFill>
      <xdr:spPr>
        <a:xfrm>
          <a:off x="7235825" y="468328375"/>
          <a:ext cx="1183640" cy="878840"/>
        </a:xfrm>
        <a:prstGeom prst="rect">
          <a:avLst/>
        </a:prstGeom>
      </xdr:spPr>
    </xdr:pic>
    <xdr:clientData/>
  </xdr:twoCellAnchor>
  <xdr:twoCellAnchor>
    <xdr:from>
      <xdr:col>9</xdr:col>
      <xdr:colOff>6350</xdr:colOff>
      <xdr:row>533</xdr:row>
      <xdr:rowOff>25400</xdr:rowOff>
    </xdr:from>
    <xdr:to>
      <xdr:col>9</xdr:col>
      <xdr:colOff>885190</xdr:colOff>
      <xdr:row>533</xdr:row>
      <xdr:rowOff>1209040</xdr:rowOff>
    </xdr:to>
    <xdr:pic>
      <xdr:nvPicPr>
        <xdr:cNvPr id="5570" name="Изображение 5569" descr="resizeПП-00246147"/>
        <xdr:cNvPicPr>
          <a:picLocks noChangeAspect="1"/>
        </xdr:cNvPicPr>
      </xdr:nvPicPr>
      <xdr:blipFill>
        <a:blip xmlns:r="http://schemas.openxmlformats.org/officeDocument/2006/relationships" r:embed="rId338"/>
        <a:stretch>
          <a:fillRect/>
        </a:stretch>
      </xdr:blipFill>
      <xdr:spPr>
        <a:xfrm>
          <a:off x="7235825" y="469703150"/>
          <a:ext cx="878840" cy="1183640"/>
        </a:xfrm>
        <a:prstGeom prst="rect">
          <a:avLst/>
        </a:prstGeom>
      </xdr:spPr>
    </xdr:pic>
    <xdr:clientData/>
  </xdr:twoCellAnchor>
  <xdr:twoCellAnchor>
    <xdr:from>
      <xdr:col>9</xdr:col>
      <xdr:colOff>6350</xdr:colOff>
      <xdr:row>534</xdr:row>
      <xdr:rowOff>25400</xdr:rowOff>
    </xdr:from>
    <xdr:to>
      <xdr:col>9</xdr:col>
      <xdr:colOff>885190</xdr:colOff>
      <xdr:row>534</xdr:row>
      <xdr:rowOff>1209040</xdr:rowOff>
    </xdr:to>
    <xdr:pic>
      <xdr:nvPicPr>
        <xdr:cNvPr id="5571" name="Изображение 5570" descr="resizeПП-00269702"/>
        <xdr:cNvPicPr>
          <a:picLocks noChangeAspect="1"/>
        </xdr:cNvPicPr>
      </xdr:nvPicPr>
      <xdr:blipFill>
        <a:blip xmlns:r="http://schemas.openxmlformats.org/officeDocument/2006/relationships" r:embed="rId339"/>
        <a:stretch>
          <a:fillRect/>
        </a:stretch>
      </xdr:blipFill>
      <xdr:spPr>
        <a:xfrm>
          <a:off x="7235825" y="470925525"/>
          <a:ext cx="878840" cy="1183640"/>
        </a:xfrm>
        <a:prstGeom prst="rect">
          <a:avLst/>
        </a:prstGeom>
      </xdr:spPr>
    </xdr:pic>
    <xdr:clientData/>
  </xdr:twoCellAnchor>
  <xdr:twoCellAnchor>
    <xdr:from>
      <xdr:col>9</xdr:col>
      <xdr:colOff>6350</xdr:colOff>
      <xdr:row>535</xdr:row>
      <xdr:rowOff>25400</xdr:rowOff>
    </xdr:from>
    <xdr:to>
      <xdr:col>9</xdr:col>
      <xdr:colOff>885190</xdr:colOff>
      <xdr:row>535</xdr:row>
      <xdr:rowOff>1209040</xdr:rowOff>
    </xdr:to>
    <xdr:pic>
      <xdr:nvPicPr>
        <xdr:cNvPr id="5572" name="Изображение 5571" descr="resizeПП-00227340"/>
        <xdr:cNvPicPr>
          <a:picLocks noChangeAspect="1"/>
        </xdr:cNvPicPr>
      </xdr:nvPicPr>
      <xdr:blipFill>
        <a:blip xmlns:r="http://schemas.openxmlformats.org/officeDocument/2006/relationships" r:embed="rId340"/>
        <a:stretch>
          <a:fillRect/>
        </a:stretch>
      </xdr:blipFill>
      <xdr:spPr>
        <a:xfrm>
          <a:off x="7235825" y="472147900"/>
          <a:ext cx="878840" cy="1183640"/>
        </a:xfrm>
        <a:prstGeom prst="rect">
          <a:avLst/>
        </a:prstGeom>
      </xdr:spPr>
    </xdr:pic>
    <xdr:clientData/>
  </xdr:twoCellAnchor>
  <xdr:twoCellAnchor>
    <xdr:from>
      <xdr:col>9</xdr:col>
      <xdr:colOff>6350</xdr:colOff>
      <xdr:row>537</xdr:row>
      <xdr:rowOff>25400</xdr:rowOff>
    </xdr:from>
    <xdr:to>
      <xdr:col>9</xdr:col>
      <xdr:colOff>885190</xdr:colOff>
      <xdr:row>537</xdr:row>
      <xdr:rowOff>1209040</xdr:rowOff>
    </xdr:to>
    <xdr:pic>
      <xdr:nvPicPr>
        <xdr:cNvPr id="5573" name="Изображение 5572" descr="resizeПП-00228300"/>
        <xdr:cNvPicPr>
          <a:picLocks noChangeAspect="1"/>
        </xdr:cNvPicPr>
      </xdr:nvPicPr>
      <xdr:blipFill>
        <a:blip xmlns:r="http://schemas.openxmlformats.org/officeDocument/2006/relationships" r:embed="rId341"/>
        <a:stretch>
          <a:fillRect/>
        </a:stretch>
      </xdr:blipFill>
      <xdr:spPr>
        <a:xfrm>
          <a:off x="7235825" y="473522675"/>
          <a:ext cx="878840" cy="1183640"/>
        </a:xfrm>
        <a:prstGeom prst="rect">
          <a:avLst/>
        </a:prstGeom>
      </xdr:spPr>
    </xdr:pic>
    <xdr:clientData/>
  </xdr:twoCellAnchor>
  <xdr:twoCellAnchor>
    <xdr:from>
      <xdr:col>9</xdr:col>
      <xdr:colOff>6350</xdr:colOff>
      <xdr:row>538</xdr:row>
      <xdr:rowOff>25400</xdr:rowOff>
    </xdr:from>
    <xdr:to>
      <xdr:col>9</xdr:col>
      <xdr:colOff>885190</xdr:colOff>
      <xdr:row>538</xdr:row>
      <xdr:rowOff>1209040</xdr:rowOff>
    </xdr:to>
    <xdr:pic>
      <xdr:nvPicPr>
        <xdr:cNvPr id="5574" name="Изображение 5573" descr="resizeПП-00270421"/>
        <xdr:cNvPicPr>
          <a:picLocks noChangeAspect="1"/>
        </xdr:cNvPicPr>
      </xdr:nvPicPr>
      <xdr:blipFill>
        <a:blip xmlns:r="http://schemas.openxmlformats.org/officeDocument/2006/relationships" r:embed="rId342"/>
        <a:stretch>
          <a:fillRect/>
        </a:stretch>
      </xdr:blipFill>
      <xdr:spPr>
        <a:xfrm>
          <a:off x="7235825" y="474745050"/>
          <a:ext cx="878840" cy="1183640"/>
        </a:xfrm>
        <a:prstGeom prst="rect">
          <a:avLst/>
        </a:prstGeom>
      </xdr:spPr>
    </xdr:pic>
    <xdr:clientData/>
  </xdr:twoCellAnchor>
  <xdr:twoCellAnchor>
    <xdr:from>
      <xdr:col>9</xdr:col>
      <xdr:colOff>6350</xdr:colOff>
      <xdr:row>539</xdr:row>
      <xdr:rowOff>25400</xdr:rowOff>
    </xdr:from>
    <xdr:to>
      <xdr:col>9</xdr:col>
      <xdr:colOff>885190</xdr:colOff>
      <xdr:row>539</xdr:row>
      <xdr:rowOff>1209040</xdr:rowOff>
    </xdr:to>
    <xdr:pic>
      <xdr:nvPicPr>
        <xdr:cNvPr id="5575" name="Изображение 5574" descr="resizeПП-00270429"/>
        <xdr:cNvPicPr>
          <a:picLocks noChangeAspect="1"/>
        </xdr:cNvPicPr>
      </xdr:nvPicPr>
      <xdr:blipFill>
        <a:blip xmlns:r="http://schemas.openxmlformats.org/officeDocument/2006/relationships" r:embed="rId343"/>
        <a:stretch>
          <a:fillRect/>
        </a:stretch>
      </xdr:blipFill>
      <xdr:spPr>
        <a:xfrm>
          <a:off x="7235825" y="475967425"/>
          <a:ext cx="878840" cy="1183640"/>
        </a:xfrm>
        <a:prstGeom prst="rect">
          <a:avLst/>
        </a:prstGeom>
      </xdr:spPr>
    </xdr:pic>
    <xdr:clientData/>
  </xdr:twoCellAnchor>
  <xdr:twoCellAnchor>
    <xdr:from>
      <xdr:col>9</xdr:col>
      <xdr:colOff>6350</xdr:colOff>
      <xdr:row>540</xdr:row>
      <xdr:rowOff>25400</xdr:rowOff>
    </xdr:from>
    <xdr:to>
      <xdr:col>9</xdr:col>
      <xdr:colOff>885190</xdr:colOff>
      <xdr:row>540</xdr:row>
      <xdr:rowOff>1209040</xdr:rowOff>
    </xdr:to>
    <xdr:pic>
      <xdr:nvPicPr>
        <xdr:cNvPr id="5576" name="Изображение 5575" descr="resizeПП-00270428"/>
        <xdr:cNvPicPr>
          <a:picLocks noChangeAspect="1"/>
        </xdr:cNvPicPr>
      </xdr:nvPicPr>
      <xdr:blipFill>
        <a:blip xmlns:r="http://schemas.openxmlformats.org/officeDocument/2006/relationships" r:embed="rId344"/>
        <a:stretch>
          <a:fillRect/>
        </a:stretch>
      </xdr:blipFill>
      <xdr:spPr>
        <a:xfrm>
          <a:off x="7235825" y="477189800"/>
          <a:ext cx="878840" cy="1183640"/>
        </a:xfrm>
        <a:prstGeom prst="rect">
          <a:avLst/>
        </a:prstGeom>
      </xdr:spPr>
    </xdr:pic>
    <xdr:clientData/>
  </xdr:twoCellAnchor>
  <xdr:twoCellAnchor>
    <xdr:from>
      <xdr:col>9</xdr:col>
      <xdr:colOff>6350</xdr:colOff>
      <xdr:row>541</xdr:row>
      <xdr:rowOff>25400</xdr:rowOff>
    </xdr:from>
    <xdr:to>
      <xdr:col>9</xdr:col>
      <xdr:colOff>885190</xdr:colOff>
      <xdr:row>541</xdr:row>
      <xdr:rowOff>1209040</xdr:rowOff>
    </xdr:to>
    <xdr:pic>
      <xdr:nvPicPr>
        <xdr:cNvPr id="5577" name="Изображение 5576" descr="resizeПП-00270178"/>
        <xdr:cNvPicPr>
          <a:picLocks noChangeAspect="1"/>
        </xdr:cNvPicPr>
      </xdr:nvPicPr>
      <xdr:blipFill>
        <a:blip xmlns:r="http://schemas.openxmlformats.org/officeDocument/2006/relationships" r:embed="rId345"/>
        <a:stretch>
          <a:fillRect/>
        </a:stretch>
      </xdr:blipFill>
      <xdr:spPr>
        <a:xfrm>
          <a:off x="7235825" y="478412175"/>
          <a:ext cx="878840" cy="1183640"/>
        </a:xfrm>
        <a:prstGeom prst="rect">
          <a:avLst/>
        </a:prstGeom>
      </xdr:spPr>
    </xdr:pic>
    <xdr:clientData/>
  </xdr:twoCellAnchor>
  <xdr:twoCellAnchor>
    <xdr:from>
      <xdr:col>9</xdr:col>
      <xdr:colOff>6350</xdr:colOff>
      <xdr:row>542</xdr:row>
      <xdr:rowOff>25400</xdr:rowOff>
    </xdr:from>
    <xdr:to>
      <xdr:col>9</xdr:col>
      <xdr:colOff>885190</xdr:colOff>
      <xdr:row>542</xdr:row>
      <xdr:rowOff>1209040</xdr:rowOff>
    </xdr:to>
    <xdr:pic>
      <xdr:nvPicPr>
        <xdr:cNvPr id="5578" name="Изображение 5577" descr="resizeПП-00228173"/>
        <xdr:cNvPicPr>
          <a:picLocks noChangeAspect="1"/>
        </xdr:cNvPicPr>
      </xdr:nvPicPr>
      <xdr:blipFill>
        <a:blip xmlns:r="http://schemas.openxmlformats.org/officeDocument/2006/relationships" r:embed="rId346"/>
        <a:stretch>
          <a:fillRect/>
        </a:stretch>
      </xdr:blipFill>
      <xdr:spPr>
        <a:xfrm>
          <a:off x="7235825" y="479634550"/>
          <a:ext cx="878840" cy="1183640"/>
        </a:xfrm>
        <a:prstGeom prst="rect">
          <a:avLst/>
        </a:prstGeom>
      </xdr:spPr>
    </xdr:pic>
    <xdr:clientData/>
  </xdr:twoCellAnchor>
  <xdr:twoCellAnchor>
    <xdr:from>
      <xdr:col>9</xdr:col>
      <xdr:colOff>6350</xdr:colOff>
      <xdr:row>543</xdr:row>
      <xdr:rowOff>25400</xdr:rowOff>
    </xdr:from>
    <xdr:to>
      <xdr:col>9</xdr:col>
      <xdr:colOff>885190</xdr:colOff>
      <xdr:row>543</xdr:row>
      <xdr:rowOff>1209040</xdr:rowOff>
    </xdr:to>
    <xdr:pic>
      <xdr:nvPicPr>
        <xdr:cNvPr id="5579" name="Изображение 5578" descr="resizeПП-00228175"/>
        <xdr:cNvPicPr>
          <a:picLocks noChangeAspect="1"/>
        </xdr:cNvPicPr>
      </xdr:nvPicPr>
      <xdr:blipFill>
        <a:blip xmlns:r="http://schemas.openxmlformats.org/officeDocument/2006/relationships" r:embed="rId347"/>
        <a:stretch>
          <a:fillRect/>
        </a:stretch>
      </xdr:blipFill>
      <xdr:spPr>
        <a:xfrm>
          <a:off x="7235825" y="480856925"/>
          <a:ext cx="878840" cy="1183640"/>
        </a:xfrm>
        <a:prstGeom prst="rect">
          <a:avLst/>
        </a:prstGeom>
      </xdr:spPr>
    </xdr:pic>
    <xdr:clientData/>
  </xdr:twoCellAnchor>
  <xdr:twoCellAnchor>
    <xdr:from>
      <xdr:col>9</xdr:col>
      <xdr:colOff>6350</xdr:colOff>
      <xdr:row>544</xdr:row>
      <xdr:rowOff>25400</xdr:rowOff>
    </xdr:from>
    <xdr:to>
      <xdr:col>9</xdr:col>
      <xdr:colOff>885190</xdr:colOff>
      <xdr:row>544</xdr:row>
      <xdr:rowOff>1209040</xdr:rowOff>
    </xdr:to>
    <xdr:pic>
      <xdr:nvPicPr>
        <xdr:cNvPr id="5580" name="Изображение 5579" descr="resizeПП-00228174"/>
        <xdr:cNvPicPr>
          <a:picLocks noChangeAspect="1"/>
        </xdr:cNvPicPr>
      </xdr:nvPicPr>
      <xdr:blipFill>
        <a:blip xmlns:r="http://schemas.openxmlformats.org/officeDocument/2006/relationships" r:embed="rId348"/>
        <a:stretch>
          <a:fillRect/>
        </a:stretch>
      </xdr:blipFill>
      <xdr:spPr>
        <a:xfrm>
          <a:off x="7235825" y="482079300"/>
          <a:ext cx="878840" cy="1183640"/>
        </a:xfrm>
        <a:prstGeom prst="rect">
          <a:avLst/>
        </a:prstGeom>
      </xdr:spPr>
    </xdr:pic>
    <xdr:clientData/>
  </xdr:twoCellAnchor>
  <xdr:twoCellAnchor>
    <xdr:from>
      <xdr:col>9</xdr:col>
      <xdr:colOff>6350</xdr:colOff>
      <xdr:row>545</xdr:row>
      <xdr:rowOff>25400</xdr:rowOff>
    </xdr:from>
    <xdr:to>
      <xdr:col>9</xdr:col>
      <xdr:colOff>885190</xdr:colOff>
      <xdr:row>545</xdr:row>
      <xdr:rowOff>1209040</xdr:rowOff>
    </xdr:to>
    <xdr:pic>
      <xdr:nvPicPr>
        <xdr:cNvPr id="5581" name="Изображение 5580" descr="resizeПП-00273758"/>
        <xdr:cNvPicPr>
          <a:picLocks noChangeAspect="1"/>
        </xdr:cNvPicPr>
      </xdr:nvPicPr>
      <xdr:blipFill>
        <a:blip xmlns:r="http://schemas.openxmlformats.org/officeDocument/2006/relationships" r:embed="rId349"/>
        <a:stretch>
          <a:fillRect/>
        </a:stretch>
      </xdr:blipFill>
      <xdr:spPr>
        <a:xfrm>
          <a:off x="7235825" y="483301675"/>
          <a:ext cx="878840" cy="1183640"/>
        </a:xfrm>
        <a:prstGeom prst="rect">
          <a:avLst/>
        </a:prstGeom>
      </xdr:spPr>
    </xdr:pic>
    <xdr:clientData/>
  </xdr:twoCellAnchor>
  <xdr:twoCellAnchor>
    <xdr:from>
      <xdr:col>9</xdr:col>
      <xdr:colOff>6350</xdr:colOff>
      <xdr:row>547</xdr:row>
      <xdr:rowOff>25400</xdr:rowOff>
    </xdr:from>
    <xdr:to>
      <xdr:col>9</xdr:col>
      <xdr:colOff>885190</xdr:colOff>
      <xdr:row>547</xdr:row>
      <xdr:rowOff>1209040</xdr:rowOff>
    </xdr:to>
    <xdr:pic>
      <xdr:nvPicPr>
        <xdr:cNvPr id="5582" name="Изображение 5581" descr="resizeПП-00205728"/>
        <xdr:cNvPicPr>
          <a:picLocks noChangeAspect="1"/>
        </xdr:cNvPicPr>
      </xdr:nvPicPr>
      <xdr:blipFill>
        <a:blip xmlns:r="http://schemas.openxmlformats.org/officeDocument/2006/relationships" r:embed="rId350"/>
        <a:stretch>
          <a:fillRect/>
        </a:stretch>
      </xdr:blipFill>
      <xdr:spPr>
        <a:xfrm>
          <a:off x="7235825" y="484676450"/>
          <a:ext cx="878840" cy="1183640"/>
        </a:xfrm>
        <a:prstGeom prst="rect">
          <a:avLst/>
        </a:prstGeom>
      </xdr:spPr>
    </xdr:pic>
    <xdr:clientData/>
  </xdr:twoCellAnchor>
  <xdr:twoCellAnchor>
    <xdr:from>
      <xdr:col>9</xdr:col>
      <xdr:colOff>6350</xdr:colOff>
      <xdr:row>548</xdr:row>
      <xdr:rowOff>25400</xdr:rowOff>
    </xdr:from>
    <xdr:to>
      <xdr:col>9</xdr:col>
      <xdr:colOff>885190</xdr:colOff>
      <xdr:row>548</xdr:row>
      <xdr:rowOff>1209040</xdr:rowOff>
    </xdr:to>
    <xdr:pic>
      <xdr:nvPicPr>
        <xdr:cNvPr id="5583" name="Изображение 5582" descr="resizeПП-00249654"/>
        <xdr:cNvPicPr>
          <a:picLocks noChangeAspect="1"/>
        </xdr:cNvPicPr>
      </xdr:nvPicPr>
      <xdr:blipFill>
        <a:blip xmlns:r="http://schemas.openxmlformats.org/officeDocument/2006/relationships" r:embed="rId351"/>
        <a:stretch>
          <a:fillRect/>
        </a:stretch>
      </xdr:blipFill>
      <xdr:spPr>
        <a:xfrm>
          <a:off x="7235825" y="485898825"/>
          <a:ext cx="878840" cy="1183640"/>
        </a:xfrm>
        <a:prstGeom prst="rect">
          <a:avLst/>
        </a:prstGeom>
      </xdr:spPr>
    </xdr:pic>
    <xdr:clientData/>
  </xdr:twoCellAnchor>
  <xdr:twoCellAnchor>
    <xdr:from>
      <xdr:col>9</xdr:col>
      <xdr:colOff>6350</xdr:colOff>
      <xdr:row>550</xdr:row>
      <xdr:rowOff>25400</xdr:rowOff>
    </xdr:from>
    <xdr:to>
      <xdr:col>9</xdr:col>
      <xdr:colOff>1189990</xdr:colOff>
      <xdr:row>550</xdr:row>
      <xdr:rowOff>904240</xdr:rowOff>
    </xdr:to>
    <xdr:pic>
      <xdr:nvPicPr>
        <xdr:cNvPr id="5584" name="Изображение 5583" descr="resizeПП-00267610"/>
        <xdr:cNvPicPr>
          <a:picLocks noChangeAspect="1"/>
        </xdr:cNvPicPr>
      </xdr:nvPicPr>
      <xdr:blipFill>
        <a:blip xmlns:r="http://schemas.openxmlformats.org/officeDocument/2006/relationships" r:embed="rId352"/>
        <a:stretch>
          <a:fillRect/>
        </a:stretch>
      </xdr:blipFill>
      <xdr:spPr>
        <a:xfrm>
          <a:off x="7235825" y="487273600"/>
          <a:ext cx="1183640" cy="878840"/>
        </a:xfrm>
        <a:prstGeom prst="rect">
          <a:avLst/>
        </a:prstGeom>
      </xdr:spPr>
    </xdr:pic>
    <xdr:clientData/>
  </xdr:twoCellAnchor>
  <xdr:twoCellAnchor>
    <xdr:from>
      <xdr:col>9</xdr:col>
      <xdr:colOff>6350</xdr:colOff>
      <xdr:row>551</xdr:row>
      <xdr:rowOff>25400</xdr:rowOff>
    </xdr:from>
    <xdr:to>
      <xdr:col>9</xdr:col>
      <xdr:colOff>1189990</xdr:colOff>
      <xdr:row>551</xdr:row>
      <xdr:rowOff>904240</xdr:rowOff>
    </xdr:to>
    <xdr:pic>
      <xdr:nvPicPr>
        <xdr:cNvPr id="5585" name="Изображение 5584" descr="resizeПП-00267611"/>
        <xdr:cNvPicPr>
          <a:picLocks noChangeAspect="1"/>
        </xdr:cNvPicPr>
      </xdr:nvPicPr>
      <xdr:blipFill>
        <a:blip xmlns:r="http://schemas.openxmlformats.org/officeDocument/2006/relationships" r:embed="rId353"/>
        <a:stretch>
          <a:fillRect/>
        </a:stretch>
      </xdr:blipFill>
      <xdr:spPr>
        <a:xfrm>
          <a:off x="7235825" y="488495975"/>
          <a:ext cx="1183640" cy="878840"/>
        </a:xfrm>
        <a:prstGeom prst="rect">
          <a:avLst/>
        </a:prstGeom>
      </xdr:spPr>
    </xdr:pic>
    <xdr:clientData/>
  </xdr:twoCellAnchor>
  <xdr:twoCellAnchor>
    <xdr:from>
      <xdr:col>9</xdr:col>
      <xdr:colOff>6350</xdr:colOff>
      <xdr:row>552</xdr:row>
      <xdr:rowOff>25400</xdr:rowOff>
    </xdr:from>
    <xdr:to>
      <xdr:col>9</xdr:col>
      <xdr:colOff>1189990</xdr:colOff>
      <xdr:row>552</xdr:row>
      <xdr:rowOff>904240</xdr:rowOff>
    </xdr:to>
    <xdr:pic>
      <xdr:nvPicPr>
        <xdr:cNvPr id="5586" name="Изображение 5585" descr="resizeПП-00249877"/>
        <xdr:cNvPicPr>
          <a:picLocks noChangeAspect="1"/>
        </xdr:cNvPicPr>
      </xdr:nvPicPr>
      <xdr:blipFill>
        <a:blip xmlns:r="http://schemas.openxmlformats.org/officeDocument/2006/relationships" r:embed="rId354"/>
        <a:stretch>
          <a:fillRect/>
        </a:stretch>
      </xdr:blipFill>
      <xdr:spPr>
        <a:xfrm>
          <a:off x="7235825" y="489718350"/>
          <a:ext cx="1183640" cy="878840"/>
        </a:xfrm>
        <a:prstGeom prst="rect">
          <a:avLst/>
        </a:prstGeom>
      </xdr:spPr>
    </xdr:pic>
    <xdr:clientData/>
  </xdr:twoCellAnchor>
  <xdr:twoCellAnchor>
    <xdr:from>
      <xdr:col>9</xdr:col>
      <xdr:colOff>6350</xdr:colOff>
      <xdr:row>553</xdr:row>
      <xdr:rowOff>25400</xdr:rowOff>
    </xdr:from>
    <xdr:to>
      <xdr:col>9</xdr:col>
      <xdr:colOff>885190</xdr:colOff>
      <xdr:row>553</xdr:row>
      <xdr:rowOff>1209040</xdr:rowOff>
    </xdr:to>
    <xdr:pic>
      <xdr:nvPicPr>
        <xdr:cNvPr id="5587" name="Изображение 5586" descr="resizeПП-00226325"/>
        <xdr:cNvPicPr>
          <a:picLocks noChangeAspect="1"/>
        </xdr:cNvPicPr>
      </xdr:nvPicPr>
      <xdr:blipFill>
        <a:blip xmlns:r="http://schemas.openxmlformats.org/officeDocument/2006/relationships" r:embed="rId355"/>
        <a:stretch>
          <a:fillRect/>
        </a:stretch>
      </xdr:blipFill>
      <xdr:spPr>
        <a:xfrm>
          <a:off x="7235825" y="490940725"/>
          <a:ext cx="878840" cy="1183640"/>
        </a:xfrm>
        <a:prstGeom prst="rect">
          <a:avLst/>
        </a:prstGeom>
      </xdr:spPr>
    </xdr:pic>
    <xdr:clientData/>
  </xdr:twoCellAnchor>
  <xdr:twoCellAnchor>
    <xdr:from>
      <xdr:col>9</xdr:col>
      <xdr:colOff>6350</xdr:colOff>
      <xdr:row>554</xdr:row>
      <xdr:rowOff>25400</xdr:rowOff>
    </xdr:from>
    <xdr:to>
      <xdr:col>9</xdr:col>
      <xdr:colOff>1189990</xdr:colOff>
      <xdr:row>554</xdr:row>
      <xdr:rowOff>904240</xdr:rowOff>
    </xdr:to>
    <xdr:pic>
      <xdr:nvPicPr>
        <xdr:cNvPr id="5588" name="Изображение 5587" descr="resizeПП-00267613"/>
        <xdr:cNvPicPr>
          <a:picLocks noChangeAspect="1"/>
        </xdr:cNvPicPr>
      </xdr:nvPicPr>
      <xdr:blipFill>
        <a:blip xmlns:r="http://schemas.openxmlformats.org/officeDocument/2006/relationships" r:embed="rId356"/>
        <a:stretch>
          <a:fillRect/>
        </a:stretch>
      </xdr:blipFill>
      <xdr:spPr>
        <a:xfrm>
          <a:off x="7235825" y="492163100"/>
          <a:ext cx="1183640" cy="878840"/>
        </a:xfrm>
        <a:prstGeom prst="rect">
          <a:avLst/>
        </a:prstGeom>
      </xdr:spPr>
    </xdr:pic>
    <xdr:clientData/>
  </xdr:twoCellAnchor>
  <xdr:twoCellAnchor>
    <xdr:from>
      <xdr:col>9</xdr:col>
      <xdr:colOff>6350</xdr:colOff>
      <xdr:row>555</xdr:row>
      <xdr:rowOff>25400</xdr:rowOff>
    </xdr:from>
    <xdr:to>
      <xdr:col>9</xdr:col>
      <xdr:colOff>885190</xdr:colOff>
      <xdr:row>555</xdr:row>
      <xdr:rowOff>1209040</xdr:rowOff>
    </xdr:to>
    <xdr:pic>
      <xdr:nvPicPr>
        <xdr:cNvPr id="5589" name="Изображение 5588" descr="resizeПП-00206063"/>
        <xdr:cNvPicPr>
          <a:picLocks noChangeAspect="1"/>
        </xdr:cNvPicPr>
      </xdr:nvPicPr>
      <xdr:blipFill>
        <a:blip xmlns:r="http://schemas.openxmlformats.org/officeDocument/2006/relationships" r:embed="rId357"/>
        <a:stretch>
          <a:fillRect/>
        </a:stretch>
      </xdr:blipFill>
      <xdr:spPr>
        <a:xfrm>
          <a:off x="7235825" y="493385475"/>
          <a:ext cx="878840" cy="1183640"/>
        </a:xfrm>
        <a:prstGeom prst="rect">
          <a:avLst/>
        </a:prstGeom>
      </xdr:spPr>
    </xdr:pic>
    <xdr:clientData/>
  </xdr:twoCellAnchor>
  <xdr:twoCellAnchor>
    <xdr:from>
      <xdr:col>9</xdr:col>
      <xdr:colOff>6350</xdr:colOff>
      <xdr:row>556</xdr:row>
      <xdr:rowOff>25400</xdr:rowOff>
    </xdr:from>
    <xdr:to>
      <xdr:col>9</xdr:col>
      <xdr:colOff>1189990</xdr:colOff>
      <xdr:row>556</xdr:row>
      <xdr:rowOff>904240</xdr:rowOff>
    </xdr:to>
    <xdr:pic>
      <xdr:nvPicPr>
        <xdr:cNvPr id="5590" name="Изображение 5589" descr="resizeПП-00267606"/>
        <xdr:cNvPicPr>
          <a:picLocks noChangeAspect="1"/>
        </xdr:cNvPicPr>
      </xdr:nvPicPr>
      <xdr:blipFill>
        <a:blip xmlns:r="http://schemas.openxmlformats.org/officeDocument/2006/relationships" r:embed="rId358"/>
        <a:stretch>
          <a:fillRect/>
        </a:stretch>
      </xdr:blipFill>
      <xdr:spPr>
        <a:xfrm>
          <a:off x="7235825" y="494607850"/>
          <a:ext cx="1183640" cy="878840"/>
        </a:xfrm>
        <a:prstGeom prst="rect">
          <a:avLst/>
        </a:prstGeom>
      </xdr:spPr>
    </xdr:pic>
    <xdr:clientData/>
  </xdr:twoCellAnchor>
  <xdr:twoCellAnchor>
    <xdr:from>
      <xdr:col>9</xdr:col>
      <xdr:colOff>6350</xdr:colOff>
      <xdr:row>557</xdr:row>
      <xdr:rowOff>25400</xdr:rowOff>
    </xdr:from>
    <xdr:to>
      <xdr:col>9</xdr:col>
      <xdr:colOff>1189990</xdr:colOff>
      <xdr:row>557</xdr:row>
      <xdr:rowOff>904240</xdr:rowOff>
    </xdr:to>
    <xdr:pic>
      <xdr:nvPicPr>
        <xdr:cNvPr id="5591" name="Изображение 5590" descr="resizeПП-00267593"/>
        <xdr:cNvPicPr>
          <a:picLocks noChangeAspect="1"/>
        </xdr:cNvPicPr>
      </xdr:nvPicPr>
      <xdr:blipFill>
        <a:blip xmlns:r="http://schemas.openxmlformats.org/officeDocument/2006/relationships" r:embed="rId359"/>
        <a:stretch>
          <a:fillRect/>
        </a:stretch>
      </xdr:blipFill>
      <xdr:spPr>
        <a:xfrm>
          <a:off x="7235825" y="495830225"/>
          <a:ext cx="1183640" cy="878840"/>
        </a:xfrm>
        <a:prstGeom prst="rect">
          <a:avLst/>
        </a:prstGeom>
      </xdr:spPr>
    </xdr:pic>
    <xdr:clientData/>
  </xdr:twoCellAnchor>
  <xdr:twoCellAnchor>
    <xdr:from>
      <xdr:col>9</xdr:col>
      <xdr:colOff>6350</xdr:colOff>
      <xdr:row>558</xdr:row>
      <xdr:rowOff>25400</xdr:rowOff>
    </xdr:from>
    <xdr:to>
      <xdr:col>9</xdr:col>
      <xdr:colOff>1189990</xdr:colOff>
      <xdr:row>558</xdr:row>
      <xdr:rowOff>904240</xdr:rowOff>
    </xdr:to>
    <xdr:pic>
      <xdr:nvPicPr>
        <xdr:cNvPr id="5592" name="Изображение 5591" descr="resizeПП-00267595"/>
        <xdr:cNvPicPr>
          <a:picLocks noChangeAspect="1"/>
        </xdr:cNvPicPr>
      </xdr:nvPicPr>
      <xdr:blipFill>
        <a:blip xmlns:r="http://schemas.openxmlformats.org/officeDocument/2006/relationships" r:embed="rId360"/>
        <a:stretch>
          <a:fillRect/>
        </a:stretch>
      </xdr:blipFill>
      <xdr:spPr>
        <a:xfrm>
          <a:off x="7235825" y="497052600"/>
          <a:ext cx="1183640" cy="878840"/>
        </a:xfrm>
        <a:prstGeom prst="rect">
          <a:avLst/>
        </a:prstGeom>
      </xdr:spPr>
    </xdr:pic>
    <xdr:clientData/>
  </xdr:twoCellAnchor>
  <xdr:twoCellAnchor>
    <xdr:from>
      <xdr:col>9</xdr:col>
      <xdr:colOff>6350</xdr:colOff>
      <xdr:row>559</xdr:row>
      <xdr:rowOff>25400</xdr:rowOff>
    </xdr:from>
    <xdr:to>
      <xdr:col>9</xdr:col>
      <xdr:colOff>1189990</xdr:colOff>
      <xdr:row>559</xdr:row>
      <xdr:rowOff>904240</xdr:rowOff>
    </xdr:to>
    <xdr:pic>
      <xdr:nvPicPr>
        <xdr:cNvPr id="5593" name="Изображение 5592" descr="resizeПП-00267604"/>
        <xdr:cNvPicPr>
          <a:picLocks noChangeAspect="1"/>
        </xdr:cNvPicPr>
      </xdr:nvPicPr>
      <xdr:blipFill>
        <a:blip xmlns:r="http://schemas.openxmlformats.org/officeDocument/2006/relationships" r:embed="rId361"/>
        <a:stretch>
          <a:fillRect/>
        </a:stretch>
      </xdr:blipFill>
      <xdr:spPr>
        <a:xfrm>
          <a:off x="7235825" y="498274975"/>
          <a:ext cx="1183640" cy="878840"/>
        </a:xfrm>
        <a:prstGeom prst="rect">
          <a:avLst/>
        </a:prstGeom>
      </xdr:spPr>
    </xdr:pic>
    <xdr:clientData/>
  </xdr:twoCellAnchor>
  <xdr:twoCellAnchor>
    <xdr:from>
      <xdr:col>9</xdr:col>
      <xdr:colOff>6350</xdr:colOff>
      <xdr:row>560</xdr:row>
      <xdr:rowOff>25400</xdr:rowOff>
    </xdr:from>
    <xdr:to>
      <xdr:col>9</xdr:col>
      <xdr:colOff>1189990</xdr:colOff>
      <xdr:row>560</xdr:row>
      <xdr:rowOff>904240</xdr:rowOff>
    </xdr:to>
    <xdr:pic>
      <xdr:nvPicPr>
        <xdr:cNvPr id="5594" name="Изображение 5593" descr="resizeПП-00267603"/>
        <xdr:cNvPicPr>
          <a:picLocks noChangeAspect="1"/>
        </xdr:cNvPicPr>
      </xdr:nvPicPr>
      <xdr:blipFill>
        <a:blip xmlns:r="http://schemas.openxmlformats.org/officeDocument/2006/relationships" r:embed="rId362"/>
        <a:stretch>
          <a:fillRect/>
        </a:stretch>
      </xdr:blipFill>
      <xdr:spPr>
        <a:xfrm>
          <a:off x="7235825" y="499497350"/>
          <a:ext cx="1183640" cy="878840"/>
        </a:xfrm>
        <a:prstGeom prst="rect">
          <a:avLst/>
        </a:prstGeom>
      </xdr:spPr>
    </xdr:pic>
    <xdr:clientData/>
  </xdr:twoCellAnchor>
  <xdr:twoCellAnchor>
    <xdr:from>
      <xdr:col>9</xdr:col>
      <xdr:colOff>6350</xdr:colOff>
      <xdr:row>561</xdr:row>
      <xdr:rowOff>25400</xdr:rowOff>
    </xdr:from>
    <xdr:to>
      <xdr:col>9</xdr:col>
      <xdr:colOff>1189990</xdr:colOff>
      <xdr:row>561</xdr:row>
      <xdr:rowOff>904240</xdr:rowOff>
    </xdr:to>
    <xdr:pic>
      <xdr:nvPicPr>
        <xdr:cNvPr id="5595" name="Изображение 5594" descr="resizeПП-00267588"/>
        <xdr:cNvPicPr>
          <a:picLocks noChangeAspect="1"/>
        </xdr:cNvPicPr>
      </xdr:nvPicPr>
      <xdr:blipFill>
        <a:blip xmlns:r="http://schemas.openxmlformats.org/officeDocument/2006/relationships" r:embed="rId363"/>
        <a:stretch>
          <a:fillRect/>
        </a:stretch>
      </xdr:blipFill>
      <xdr:spPr>
        <a:xfrm>
          <a:off x="7235825" y="500719725"/>
          <a:ext cx="1183640" cy="878840"/>
        </a:xfrm>
        <a:prstGeom prst="rect">
          <a:avLst/>
        </a:prstGeom>
      </xdr:spPr>
    </xdr:pic>
    <xdr:clientData/>
  </xdr:twoCellAnchor>
  <xdr:twoCellAnchor>
    <xdr:from>
      <xdr:col>9</xdr:col>
      <xdr:colOff>6350</xdr:colOff>
      <xdr:row>562</xdr:row>
      <xdr:rowOff>25400</xdr:rowOff>
    </xdr:from>
    <xdr:to>
      <xdr:col>9</xdr:col>
      <xdr:colOff>1189990</xdr:colOff>
      <xdr:row>562</xdr:row>
      <xdr:rowOff>904240</xdr:rowOff>
    </xdr:to>
    <xdr:pic>
      <xdr:nvPicPr>
        <xdr:cNvPr id="5596" name="Изображение 5595" descr="resizeПП-00267599"/>
        <xdr:cNvPicPr>
          <a:picLocks noChangeAspect="1"/>
        </xdr:cNvPicPr>
      </xdr:nvPicPr>
      <xdr:blipFill>
        <a:blip xmlns:r="http://schemas.openxmlformats.org/officeDocument/2006/relationships" r:embed="rId364"/>
        <a:stretch>
          <a:fillRect/>
        </a:stretch>
      </xdr:blipFill>
      <xdr:spPr>
        <a:xfrm>
          <a:off x="7235825" y="501942100"/>
          <a:ext cx="1183640" cy="878840"/>
        </a:xfrm>
        <a:prstGeom prst="rect">
          <a:avLst/>
        </a:prstGeom>
      </xdr:spPr>
    </xdr:pic>
    <xdr:clientData/>
  </xdr:twoCellAnchor>
  <xdr:twoCellAnchor>
    <xdr:from>
      <xdr:col>9</xdr:col>
      <xdr:colOff>6350</xdr:colOff>
      <xdr:row>563</xdr:row>
      <xdr:rowOff>25400</xdr:rowOff>
    </xdr:from>
    <xdr:to>
      <xdr:col>9</xdr:col>
      <xdr:colOff>1189990</xdr:colOff>
      <xdr:row>563</xdr:row>
      <xdr:rowOff>904240</xdr:rowOff>
    </xdr:to>
    <xdr:pic>
      <xdr:nvPicPr>
        <xdr:cNvPr id="5597" name="Изображение 5596" descr="resizeПП-00267614"/>
        <xdr:cNvPicPr>
          <a:picLocks noChangeAspect="1"/>
        </xdr:cNvPicPr>
      </xdr:nvPicPr>
      <xdr:blipFill>
        <a:blip xmlns:r="http://schemas.openxmlformats.org/officeDocument/2006/relationships" r:embed="rId365"/>
        <a:stretch>
          <a:fillRect/>
        </a:stretch>
      </xdr:blipFill>
      <xdr:spPr>
        <a:xfrm>
          <a:off x="7235825" y="503164475"/>
          <a:ext cx="1183640" cy="878840"/>
        </a:xfrm>
        <a:prstGeom prst="rect">
          <a:avLst/>
        </a:prstGeom>
      </xdr:spPr>
    </xdr:pic>
    <xdr:clientData/>
  </xdr:twoCellAnchor>
  <xdr:twoCellAnchor>
    <xdr:from>
      <xdr:col>9</xdr:col>
      <xdr:colOff>6350</xdr:colOff>
      <xdr:row>564</xdr:row>
      <xdr:rowOff>25400</xdr:rowOff>
    </xdr:from>
    <xdr:to>
      <xdr:col>9</xdr:col>
      <xdr:colOff>1189990</xdr:colOff>
      <xdr:row>564</xdr:row>
      <xdr:rowOff>904240</xdr:rowOff>
    </xdr:to>
    <xdr:pic>
      <xdr:nvPicPr>
        <xdr:cNvPr id="5598" name="Изображение 5597" descr="resizeПП-00267601"/>
        <xdr:cNvPicPr>
          <a:picLocks noChangeAspect="1"/>
        </xdr:cNvPicPr>
      </xdr:nvPicPr>
      <xdr:blipFill>
        <a:blip xmlns:r="http://schemas.openxmlformats.org/officeDocument/2006/relationships" r:embed="rId366"/>
        <a:stretch>
          <a:fillRect/>
        </a:stretch>
      </xdr:blipFill>
      <xdr:spPr>
        <a:xfrm>
          <a:off x="7235825" y="504386850"/>
          <a:ext cx="1183640" cy="878840"/>
        </a:xfrm>
        <a:prstGeom prst="rect">
          <a:avLst/>
        </a:prstGeom>
      </xdr:spPr>
    </xdr:pic>
    <xdr:clientData/>
  </xdr:twoCellAnchor>
  <xdr:twoCellAnchor>
    <xdr:from>
      <xdr:col>9</xdr:col>
      <xdr:colOff>6350</xdr:colOff>
      <xdr:row>566</xdr:row>
      <xdr:rowOff>25400</xdr:rowOff>
    </xdr:from>
    <xdr:to>
      <xdr:col>9</xdr:col>
      <xdr:colOff>1189990</xdr:colOff>
      <xdr:row>566</xdr:row>
      <xdr:rowOff>904240</xdr:rowOff>
    </xdr:to>
    <xdr:pic>
      <xdr:nvPicPr>
        <xdr:cNvPr id="5599" name="Изображение 5598" descr="resizeПП-00271843"/>
        <xdr:cNvPicPr>
          <a:picLocks noChangeAspect="1"/>
        </xdr:cNvPicPr>
      </xdr:nvPicPr>
      <xdr:blipFill>
        <a:blip xmlns:r="http://schemas.openxmlformats.org/officeDocument/2006/relationships" r:embed="rId367"/>
        <a:stretch>
          <a:fillRect/>
        </a:stretch>
      </xdr:blipFill>
      <xdr:spPr>
        <a:xfrm>
          <a:off x="7235825" y="505761625"/>
          <a:ext cx="1183640" cy="878840"/>
        </a:xfrm>
        <a:prstGeom prst="rect">
          <a:avLst/>
        </a:prstGeom>
      </xdr:spPr>
    </xdr:pic>
    <xdr:clientData/>
  </xdr:twoCellAnchor>
  <xdr:twoCellAnchor>
    <xdr:from>
      <xdr:col>9</xdr:col>
      <xdr:colOff>6350</xdr:colOff>
      <xdr:row>567</xdr:row>
      <xdr:rowOff>25400</xdr:rowOff>
    </xdr:from>
    <xdr:to>
      <xdr:col>9</xdr:col>
      <xdr:colOff>885190</xdr:colOff>
      <xdr:row>567</xdr:row>
      <xdr:rowOff>1209040</xdr:rowOff>
    </xdr:to>
    <xdr:pic>
      <xdr:nvPicPr>
        <xdr:cNvPr id="5600" name="Изображение 5599" descr="resizeПП-00252296"/>
        <xdr:cNvPicPr>
          <a:picLocks noChangeAspect="1"/>
        </xdr:cNvPicPr>
      </xdr:nvPicPr>
      <xdr:blipFill>
        <a:blip xmlns:r="http://schemas.openxmlformats.org/officeDocument/2006/relationships" r:embed="rId368"/>
        <a:stretch>
          <a:fillRect/>
        </a:stretch>
      </xdr:blipFill>
      <xdr:spPr>
        <a:xfrm>
          <a:off x="7235825" y="506984000"/>
          <a:ext cx="878840" cy="1183640"/>
        </a:xfrm>
        <a:prstGeom prst="rect">
          <a:avLst/>
        </a:prstGeom>
      </xdr:spPr>
    </xdr:pic>
    <xdr:clientData/>
  </xdr:twoCellAnchor>
  <xdr:twoCellAnchor>
    <xdr:from>
      <xdr:col>9</xdr:col>
      <xdr:colOff>6350</xdr:colOff>
      <xdr:row>568</xdr:row>
      <xdr:rowOff>25400</xdr:rowOff>
    </xdr:from>
    <xdr:to>
      <xdr:col>9</xdr:col>
      <xdr:colOff>1189990</xdr:colOff>
      <xdr:row>568</xdr:row>
      <xdr:rowOff>904240</xdr:rowOff>
    </xdr:to>
    <xdr:pic>
      <xdr:nvPicPr>
        <xdr:cNvPr id="5601" name="Изображение 5600" descr="resizeПП-00271842"/>
        <xdr:cNvPicPr>
          <a:picLocks noChangeAspect="1"/>
        </xdr:cNvPicPr>
      </xdr:nvPicPr>
      <xdr:blipFill>
        <a:blip xmlns:r="http://schemas.openxmlformats.org/officeDocument/2006/relationships" r:embed="rId369"/>
        <a:stretch>
          <a:fillRect/>
        </a:stretch>
      </xdr:blipFill>
      <xdr:spPr>
        <a:xfrm>
          <a:off x="7235825" y="508206375"/>
          <a:ext cx="1183640" cy="878840"/>
        </a:xfrm>
        <a:prstGeom prst="rect">
          <a:avLst/>
        </a:prstGeom>
      </xdr:spPr>
    </xdr:pic>
    <xdr:clientData/>
  </xdr:twoCellAnchor>
  <xdr:twoCellAnchor>
    <xdr:from>
      <xdr:col>9</xdr:col>
      <xdr:colOff>6350</xdr:colOff>
      <xdr:row>569</xdr:row>
      <xdr:rowOff>25400</xdr:rowOff>
    </xdr:from>
    <xdr:to>
      <xdr:col>9</xdr:col>
      <xdr:colOff>885190</xdr:colOff>
      <xdr:row>569</xdr:row>
      <xdr:rowOff>1209040</xdr:rowOff>
    </xdr:to>
    <xdr:pic>
      <xdr:nvPicPr>
        <xdr:cNvPr id="5602" name="Изображение 5601" descr="resizeПП-00271840"/>
        <xdr:cNvPicPr>
          <a:picLocks noChangeAspect="1"/>
        </xdr:cNvPicPr>
      </xdr:nvPicPr>
      <xdr:blipFill>
        <a:blip xmlns:r="http://schemas.openxmlformats.org/officeDocument/2006/relationships" r:embed="rId370"/>
        <a:stretch>
          <a:fillRect/>
        </a:stretch>
      </xdr:blipFill>
      <xdr:spPr>
        <a:xfrm>
          <a:off x="7235825" y="509428750"/>
          <a:ext cx="878840" cy="1183640"/>
        </a:xfrm>
        <a:prstGeom prst="rect">
          <a:avLst/>
        </a:prstGeom>
      </xdr:spPr>
    </xdr:pic>
    <xdr:clientData/>
  </xdr:twoCellAnchor>
  <xdr:twoCellAnchor>
    <xdr:from>
      <xdr:col>9</xdr:col>
      <xdr:colOff>6350</xdr:colOff>
      <xdr:row>570</xdr:row>
      <xdr:rowOff>25400</xdr:rowOff>
    </xdr:from>
    <xdr:to>
      <xdr:col>9</xdr:col>
      <xdr:colOff>885190</xdr:colOff>
      <xdr:row>570</xdr:row>
      <xdr:rowOff>1209040</xdr:rowOff>
    </xdr:to>
    <xdr:pic>
      <xdr:nvPicPr>
        <xdr:cNvPr id="5603" name="Изображение 5602" descr="resizeПП-00252297"/>
        <xdr:cNvPicPr>
          <a:picLocks noChangeAspect="1"/>
        </xdr:cNvPicPr>
      </xdr:nvPicPr>
      <xdr:blipFill>
        <a:blip xmlns:r="http://schemas.openxmlformats.org/officeDocument/2006/relationships" r:embed="rId371"/>
        <a:stretch>
          <a:fillRect/>
        </a:stretch>
      </xdr:blipFill>
      <xdr:spPr>
        <a:xfrm>
          <a:off x="7235825" y="510651125"/>
          <a:ext cx="878840" cy="1183640"/>
        </a:xfrm>
        <a:prstGeom prst="rect">
          <a:avLst/>
        </a:prstGeom>
      </xdr:spPr>
    </xdr:pic>
    <xdr:clientData/>
  </xdr:twoCellAnchor>
  <xdr:twoCellAnchor>
    <xdr:from>
      <xdr:col>9</xdr:col>
      <xdr:colOff>6350</xdr:colOff>
      <xdr:row>571</xdr:row>
      <xdr:rowOff>25400</xdr:rowOff>
    </xdr:from>
    <xdr:to>
      <xdr:col>9</xdr:col>
      <xdr:colOff>885190</xdr:colOff>
      <xdr:row>571</xdr:row>
      <xdr:rowOff>1209040</xdr:rowOff>
    </xdr:to>
    <xdr:pic>
      <xdr:nvPicPr>
        <xdr:cNvPr id="5604" name="Изображение 5603" descr="resizeПП-00252298"/>
        <xdr:cNvPicPr>
          <a:picLocks noChangeAspect="1"/>
        </xdr:cNvPicPr>
      </xdr:nvPicPr>
      <xdr:blipFill>
        <a:blip xmlns:r="http://schemas.openxmlformats.org/officeDocument/2006/relationships" r:embed="rId372"/>
        <a:stretch>
          <a:fillRect/>
        </a:stretch>
      </xdr:blipFill>
      <xdr:spPr>
        <a:xfrm>
          <a:off x="7235825" y="511873500"/>
          <a:ext cx="878840" cy="1183640"/>
        </a:xfrm>
        <a:prstGeom prst="rect">
          <a:avLst/>
        </a:prstGeom>
      </xdr:spPr>
    </xdr:pic>
    <xdr:clientData/>
  </xdr:twoCellAnchor>
  <xdr:twoCellAnchor>
    <xdr:from>
      <xdr:col>9</xdr:col>
      <xdr:colOff>6350</xdr:colOff>
      <xdr:row>572</xdr:row>
      <xdr:rowOff>25400</xdr:rowOff>
    </xdr:from>
    <xdr:to>
      <xdr:col>9</xdr:col>
      <xdr:colOff>885190</xdr:colOff>
      <xdr:row>572</xdr:row>
      <xdr:rowOff>1209040</xdr:rowOff>
    </xdr:to>
    <xdr:pic>
      <xdr:nvPicPr>
        <xdr:cNvPr id="5605" name="Изображение 5604" descr="resizeПП-00252299"/>
        <xdr:cNvPicPr>
          <a:picLocks noChangeAspect="1"/>
        </xdr:cNvPicPr>
      </xdr:nvPicPr>
      <xdr:blipFill>
        <a:blip xmlns:r="http://schemas.openxmlformats.org/officeDocument/2006/relationships" r:embed="rId373"/>
        <a:stretch>
          <a:fillRect/>
        </a:stretch>
      </xdr:blipFill>
      <xdr:spPr>
        <a:xfrm>
          <a:off x="7235825" y="513095875"/>
          <a:ext cx="878840" cy="1183640"/>
        </a:xfrm>
        <a:prstGeom prst="rect">
          <a:avLst/>
        </a:prstGeom>
      </xdr:spPr>
    </xdr:pic>
    <xdr:clientData/>
  </xdr:twoCellAnchor>
  <xdr:twoCellAnchor>
    <xdr:from>
      <xdr:col>9</xdr:col>
      <xdr:colOff>6350</xdr:colOff>
      <xdr:row>573</xdr:row>
      <xdr:rowOff>25400</xdr:rowOff>
    </xdr:from>
    <xdr:to>
      <xdr:col>9</xdr:col>
      <xdr:colOff>1189990</xdr:colOff>
      <xdr:row>573</xdr:row>
      <xdr:rowOff>904240</xdr:rowOff>
    </xdr:to>
    <xdr:pic>
      <xdr:nvPicPr>
        <xdr:cNvPr id="5606" name="Изображение 5605" descr="resizeПП-00271844"/>
        <xdr:cNvPicPr>
          <a:picLocks noChangeAspect="1"/>
        </xdr:cNvPicPr>
      </xdr:nvPicPr>
      <xdr:blipFill>
        <a:blip xmlns:r="http://schemas.openxmlformats.org/officeDocument/2006/relationships" r:embed="rId374"/>
        <a:stretch>
          <a:fillRect/>
        </a:stretch>
      </xdr:blipFill>
      <xdr:spPr>
        <a:xfrm>
          <a:off x="7235825" y="514318250"/>
          <a:ext cx="1183640" cy="878840"/>
        </a:xfrm>
        <a:prstGeom prst="rect">
          <a:avLst/>
        </a:prstGeom>
      </xdr:spPr>
    </xdr:pic>
    <xdr:clientData/>
  </xdr:twoCellAnchor>
  <xdr:twoCellAnchor>
    <xdr:from>
      <xdr:col>9</xdr:col>
      <xdr:colOff>6350</xdr:colOff>
      <xdr:row>574</xdr:row>
      <xdr:rowOff>25400</xdr:rowOff>
    </xdr:from>
    <xdr:to>
      <xdr:col>9</xdr:col>
      <xdr:colOff>885190</xdr:colOff>
      <xdr:row>574</xdr:row>
      <xdr:rowOff>1209040</xdr:rowOff>
    </xdr:to>
    <xdr:pic>
      <xdr:nvPicPr>
        <xdr:cNvPr id="5607" name="Изображение 5606" descr="resizeПП-00230704"/>
        <xdr:cNvPicPr>
          <a:picLocks noChangeAspect="1"/>
        </xdr:cNvPicPr>
      </xdr:nvPicPr>
      <xdr:blipFill>
        <a:blip xmlns:r="http://schemas.openxmlformats.org/officeDocument/2006/relationships" r:embed="rId375"/>
        <a:stretch>
          <a:fillRect/>
        </a:stretch>
      </xdr:blipFill>
      <xdr:spPr>
        <a:xfrm>
          <a:off x="7235825" y="515540625"/>
          <a:ext cx="878840" cy="1183640"/>
        </a:xfrm>
        <a:prstGeom prst="rect">
          <a:avLst/>
        </a:prstGeom>
      </xdr:spPr>
    </xdr:pic>
    <xdr:clientData/>
  </xdr:twoCellAnchor>
  <xdr:twoCellAnchor>
    <xdr:from>
      <xdr:col>9</xdr:col>
      <xdr:colOff>6350</xdr:colOff>
      <xdr:row>578</xdr:row>
      <xdr:rowOff>25400</xdr:rowOff>
    </xdr:from>
    <xdr:to>
      <xdr:col>9</xdr:col>
      <xdr:colOff>885190</xdr:colOff>
      <xdr:row>578</xdr:row>
      <xdr:rowOff>1209040</xdr:rowOff>
    </xdr:to>
    <xdr:pic>
      <xdr:nvPicPr>
        <xdr:cNvPr id="5608" name="Изображение 5607" descr="resizeПП-00251216"/>
        <xdr:cNvPicPr>
          <a:picLocks noChangeAspect="1"/>
        </xdr:cNvPicPr>
      </xdr:nvPicPr>
      <xdr:blipFill>
        <a:blip xmlns:r="http://schemas.openxmlformats.org/officeDocument/2006/relationships" r:embed="rId376"/>
        <a:stretch>
          <a:fillRect/>
        </a:stretch>
      </xdr:blipFill>
      <xdr:spPr>
        <a:xfrm>
          <a:off x="7235825" y="517220200"/>
          <a:ext cx="878840" cy="1183640"/>
        </a:xfrm>
        <a:prstGeom prst="rect">
          <a:avLst/>
        </a:prstGeom>
      </xdr:spPr>
    </xdr:pic>
    <xdr:clientData/>
  </xdr:twoCellAnchor>
  <xdr:twoCellAnchor>
    <xdr:from>
      <xdr:col>9</xdr:col>
      <xdr:colOff>6350</xdr:colOff>
      <xdr:row>579</xdr:row>
      <xdr:rowOff>25400</xdr:rowOff>
    </xdr:from>
    <xdr:to>
      <xdr:col>9</xdr:col>
      <xdr:colOff>885190</xdr:colOff>
      <xdr:row>579</xdr:row>
      <xdr:rowOff>1209040</xdr:rowOff>
    </xdr:to>
    <xdr:pic>
      <xdr:nvPicPr>
        <xdr:cNvPr id="5609" name="Изображение 5608" descr="resizeПП-00251225"/>
        <xdr:cNvPicPr>
          <a:picLocks noChangeAspect="1"/>
        </xdr:cNvPicPr>
      </xdr:nvPicPr>
      <xdr:blipFill>
        <a:blip xmlns:r="http://schemas.openxmlformats.org/officeDocument/2006/relationships" r:embed="rId377"/>
        <a:stretch>
          <a:fillRect/>
        </a:stretch>
      </xdr:blipFill>
      <xdr:spPr>
        <a:xfrm>
          <a:off x="7235825" y="518442575"/>
          <a:ext cx="878840" cy="1183640"/>
        </a:xfrm>
        <a:prstGeom prst="rect">
          <a:avLst/>
        </a:prstGeom>
      </xdr:spPr>
    </xdr:pic>
    <xdr:clientData/>
  </xdr:twoCellAnchor>
  <xdr:twoCellAnchor>
    <xdr:from>
      <xdr:col>9</xdr:col>
      <xdr:colOff>6350</xdr:colOff>
      <xdr:row>580</xdr:row>
      <xdr:rowOff>25400</xdr:rowOff>
    </xdr:from>
    <xdr:to>
      <xdr:col>9</xdr:col>
      <xdr:colOff>885190</xdr:colOff>
      <xdr:row>580</xdr:row>
      <xdr:rowOff>1209040</xdr:rowOff>
    </xdr:to>
    <xdr:pic>
      <xdr:nvPicPr>
        <xdr:cNvPr id="5610" name="Изображение 5609" descr="resizeПП-00251221"/>
        <xdr:cNvPicPr>
          <a:picLocks noChangeAspect="1"/>
        </xdr:cNvPicPr>
      </xdr:nvPicPr>
      <xdr:blipFill>
        <a:blip xmlns:r="http://schemas.openxmlformats.org/officeDocument/2006/relationships" r:embed="rId378"/>
        <a:stretch>
          <a:fillRect/>
        </a:stretch>
      </xdr:blipFill>
      <xdr:spPr>
        <a:xfrm>
          <a:off x="7235825" y="519664950"/>
          <a:ext cx="878840" cy="1183640"/>
        </a:xfrm>
        <a:prstGeom prst="rect">
          <a:avLst/>
        </a:prstGeom>
      </xdr:spPr>
    </xdr:pic>
    <xdr:clientData/>
  </xdr:twoCellAnchor>
  <xdr:twoCellAnchor>
    <xdr:from>
      <xdr:col>9</xdr:col>
      <xdr:colOff>6350</xdr:colOff>
      <xdr:row>581</xdr:row>
      <xdr:rowOff>25400</xdr:rowOff>
    </xdr:from>
    <xdr:to>
      <xdr:col>9</xdr:col>
      <xdr:colOff>885190</xdr:colOff>
      <xdr:row>581</xdr:row>
      <xdr:rowOff>1209040</xdr:rowOff>
    </xdr:to>
    <xdr:pic>
      <xdr:nvPicPr>
        <xdr:cNvPr id="5611" name="Изображение 5610" descr="resizeПП-00251214"/>
        <xdr:cNvPicPr>
          <a:picLocks noChangeAspect="1"/>
        </xdr:cNvPicPr>
      </xdr:nvPicPr>
      <xdr:blipFill>
        <a:blip xmlns:r="http://schemas.openxmlformats.org/officeDocument/2006/relationships" r:embed="rId379"/>
        <a:stretch>
          <a:fillRect/>
        </a:stretch>
      </xdr:blipFill>
      <xdr:spPr>
        <a:xfrm>
          <a:off x="7235825" y="520887325"/>
          <a:ext cx="878840" cy="1183640"/>
        </a:xfrm>
        <a:prstGeom prst="rect">
          <a:avLst/>
        </a:prstGeom>
      </xdr:spPr>
    </xdr:pic>
    <xdr:clientData/>
  </xdr:twoCellAnchor>
  <xdr:twoCellAnchor>
    <xdr:from>
      <xdr:col>9</xdr:col>
      <xdr:colOff>6350</xdr:colOff>
      <xdr:row>582</xdr:row>
      <xdr:rowOff>25400</xdr:rowOff>
    </xdr:from>
    <xdr:to>
      <xdr:col>9</xdr:col>
      <xdr:colOff>885190</xdr:colOff>
      <xdr:row>582</xdr:row>
      <xdr:rowOff>1209040</xdr:rowOff>
    </xdr:to>
    <xdr:pic>
      <xdr:nvPicPr>
        <xdr:cNvPr id="5612" name="Изображение 5611" descr="resizeПП-00251224"/>
        <xdr:cNvPicPr>
          <a:picLocks noChangeAspect="1"/>
        </xdr:cNvPicPr>
      </xdr:nvPicPr>
      <xdr:blipFill>
        <a:blip xmlns:r="http://schemas.openxmlformats.org/officeDocument/2006/relationships" r:embed="rId380"/>
        <a:stretch>
          <a:fillRect/>
        </a:stretch>
      </xdr:blipFill>
      <xdr:spPr>
        <a:xfrm>
          <a:off x="7235825" y="522109700"/>
          <a:ext cx="878840" cy="1183640"/>
        </a:xfrm>
        <a:prstGeom prst="rect">
          <a:avLst/>
        </a:prstGeom>
      </xdr:spPr>
    </xdr:pic>
    <xdr:clientData/>
  </xdr:twoCellAnchor>
  <xdr:twoCellAnchor>
    <xdr:from>
      <xdr:col>9</xdr:col>
      <xdr:colOff>6350</xdr:colOff>
      <xdr:row>585</xdr:row>
      <xdr:rowOff>25400</xdr:rowOff>
    </xdr:from>
    <xdr:to>
      <xdr:col>9</xdr:col>
      <xdr:colOff>885190</xdr:colOff>
      <xdr:row>585</xdr:row>
      <xdr:rowOff>1209040</xdr:rowOff>
    </xdr:to>
    <xdr:pic>
      <xdr:nvPicPr>
        <xdr:cNvPr id="5613" name="Изображение 5612" descr="resizeПП-00272624"/>
        <xdr:cNvPicPr>
          <a:picLocks noChangeAspect="1"/>
        </xdr:cNvPicPr>
      </xdr:nvPicPr>
      <xdr:blipFill>
        <a:blip xmlns:r="http://schemas.openxmlformats.org/officeDocument/2006/relationships" r:embed="rId381"/>
        <a:stretch>
          <a:fillRect/>
        </a:stretch>
      </xdr:blipFill>
      <xdr:spPr>
        <a:xfrm>
          <a:off x="7235825" y="523636875"/>
          <a:ext cx="878840" cy="1183640"/>
        </a:xfrm>
        <a:prstGeom prst="rect">
          <a:avLst/>
        </a:prstGeom>
      </xdr:spPr>
    </xdr:pic>
    <xdr:clientData/>
  </xdr:twoCellAnchor>
  <xdr:twoCellAnchor>
    <xdr:from>
      <xdr:col>9</xdr:col>
      <xdr:colOff>6350</xdr:colOff>
      <xdr:row>586</xdr:row>
      <xdr:rowOff>25400</xdr:rowOff>
    </xdr:from>
    <xdr:to>
      <xdr:col>9</xdr:col>
      <xdr:colOff>885190</xdr:colOff>
      <xdr:row>586</xdr:row>
      <xdr:rowOff>1209040</xdr:rowOff>
    </xdr:to>
    <xdr:pic>
      <xdr:nvPicPr>
        <xdr:cNvPr id="5614" name="Изображение 5613" descr="resizeПП-00272622"/>
        <xdr:cNvPicPr>
          <a:picLocks noChangeAspect="1"/>
        </xdr:cNvPicPr>
      </xdr:nvPicPr>
      <xdr:blipFill>
        <a:blip xmlns:r="http://schemas.openxmlformats.org/officeDocument/2006/relationships" r:embed="rId382"/>
        <a:stretch>
          <a:fillRect/>
        </a:stretch>
      </xdr:blipFill>
      <xdr:spPr>
        <a:xfrm>
          <a:off x="7235825" y="524859250"/>
          <a:ext cx="878840" cy="1183640"/>
        </a:xfrm>
        <a:prstGeom prst="rect">
          <a:avLst/>
        </a:prstGeom>
      </xdr:spPr>
    </xdr:pic>
    <xdr:clientData/>
  </xdr:twoCellAnchor>
  <xdr:twoCellAnchor>
    <xdr:from>
      <xdr:col>9</xdr:col>
      <xdr:colOff>6350</xdr:colOff>
      <xdr:row>587</xdr:row>
      <xdr:rowOff>25400</xdr:rowOff>
    </xdr:from>
    <xdr:to>
      <xdr:col>9</xdr:col>
      <xdr:colOff>885190</xdr:colOff>
      <xdr:row>587</xdr:row>
      <xdr:rowOff>1209040</xdr:rowOff>
    </xdr:to>
    <xdr:pic>
      <xdr:nvPicPr>
        <xdr:cNvPr id="5615" name="Изображение 5614" descr="resizeПП-00201813"/>
        <xdr:cNvPicPr>
          <a:picLocks noChangeAspect="1"/>
        </xdr:cNvPicPr>
      </xdr:nvPicPr>
      <xdr:blipFill>
        <a:blip xmlns:r="http://schemas.openxmlformats.org/officeDocument/2006/relationships" r:embed="rId383"/>
        <a:stretch>
          <a:fillRect/>
        </a:stretch>
      </xdr:blipFill>
      <xdr:spPr>
        <a:xfrm>
          <a:off x="7235825" y="526081625"/>
          <a:ext cx="878840" cy="1183640"/>
        </a:xfrm>
        <a:prstGeom prst="rect">
          <a:avLst/>
        </a:prstGeom>
      </xdr:spPr>
    </xdr:pic>
    <xdr:clientData/>
  </xdr:twoCellAnchor>
  <xdr:twoCellAnchor>
    <xdr:from>
      <xdr:col>9</xdr:col>
      <xdr:colOff>6350</xdr:colOff>
      <xdr:row>589</xdr:row>
      <xdr:rowOff>25400</xdr:rowOff>
    </xdr:from>
    <xdr:to>
      <xdr:col>9</xdr:col>
      <xdr:colOff>885190</xdr:colOff>
      <xdr:row>589</xdr:row>
      <xdr:rowOff>1209040</xdr:rowOff>
    </xdr:to>
    <xdr:pic>
      <xdr:nvPicPr>
        <xdr:cNvPr id="5616" name="Изображение 5615" descr="resizeПП-00272595"/>
        <xdr:cNvPicPr>
          <a:picLocks noChangeAspect="1"/>
        </xdr:cNvPicPr>
      </xdr:nvPicPr>
      <xdr:blipFill>
        <a:blip xmlns:r="http://schemas.openxmlformats.org/officeDocument/2006/relationships" r:embed="rId384"/>
        <a:stretch>
          <a:fillRect/>
        </a:stretch>
      </xdr:blipFill>
      <xdr:spPr>
        <a:xfrm>
          <a:off x="7235825" y="527456400"/>
          <a:ext cx="878840" cy="1183640"/>
        </a:xfrm>
        <a:prstGeom prst="rect">
          <a:avLst/>
        </a:prstGeom>
      </xdr:spPr>
    </xdr:pic>
    <xdr:clientData/>
  </xdr:twoCellAnchor>
  <xdr:twoCellAnchor>
    <xdr:from>
      <xdr:col>9</xdr:col>
      <xdr:colOff>6350</xdr:colOff>
      <xdr:row>590</xdr:row>
      <xdr:rowOff>25400</xdr:rowOff>
    </xdr:from>
    <xdr:to>
      <xdr:col>9</xdr:col>
      <xdr:colOff>885190</xdr:colOff>
      <xdr:row>590</xdr:row>
      <xdr:rowOff>1209040</xdr:rowOff>
    </xdr:to>
    <xdr:pic>
      <xdr:nvPicPr>
        <xdr:cNvPr id="5617" name="Изображение 5616" descr="resizeПП-00251762"/>
        <xdr:cNvPicPr>
          <a:picLocks noChangeAspect="1"/>
        </xdr:cNvPicPr>
      </xdr:nvPicPr>
      <xdr:blipFill>
        <a:blip xmlns:r="http://schemas.openxmlformats.org/officeDocument/2006/relationships" r:embed="rId385"/>
        <a:stretch>
          <a:fillRect/>
        </a:stretch>
      </xdr:blipFill>
      <xdr:spPr>
        <a:xfrm>
          <a:off x="7235825" y="528678775"/>
          <a:ext cx="878840" cy="1183640"/>
        </a:xfrm>
        <a:prstGeom prst="rect">
          <a:avLst/>
        </a:prstGeom>
      </xdr:spPr>
    </xdr:pic>
    <xdr:clientData/>
  </xdr:twoCellAnchor>
  <xdr:twoCellAnchor>
    <xdr:from>
      <xdr:col>9</xdr:col>
      <xdr:colOff>6350</xdr:colOff>
      <xdr:row>591</xdr:row>
      <xdr:rowOff>25400</xdr:rowOff>
    </xdr:from>
    <xdr:to>
      <xdr:col>9</xdr:col>
      <xdr:colOff>885190</xdr:colOff>
      <xdr:row>591</xdr:row>
      <xdr:rowOff>1209040</xdr:rowOff>
    </xdr:to>
    <xdr:pic>
      <xdr:nvPicPr>
        <xdr:cNvPr id="5618" name="Изображение 5617" descr="resizeПП-00251759"/>
        <xdr:cNvPicPr>
          <a:picLocks noChangeAspect="1"/>
        </xdr:cNvPicPr>
      </xdr:nvPicPr>
      <xdr:blipFill>
        <a:blip xmlns:r="http://schemas.openxmlformats.org/officeDocument/2006/relationships" r:embed="rId386"/>
        <a:stretch>
          <a:fillRect/>
        </a:stretch>
      </xdr:blipFill>
      <xdr:spPr>
        <a:xfrm>
          <a:off x="7235825" y="529901150"/>
          <a:ext cx="878840" cy="1183640"/>
        </a:xfrm>
        <a:prstGeom prst="rect">
          <a:avLst/>
        </a:prstGeom>
      </xdr:spPr>
    </xdr:pic>
    <xdr:clientData/>
  </xdr:twoCellAnchor>
  <xdr:twoCellAnchor>
    <xdr:from>
      <xdr:col>9</xdr:col>
      <xdr:colOff>6350</xdr:colOff>
      <xdr:row>592</xdr:row>
      <xdr:rowOff>25400</xdr:rowOff>
    </xdr:from>
    <xdr:to>
      <xdr:col>9</xdr:col>
      <xdr:colOff>885190</xdr:colOff>
      <xdr:row>592</xdr:row>
      <xdr:rowOff>1209040</xdr:rowOff>
    </xdr:to>
    <xdr:pic>
      <xdr:nvPicPr>
        <xdr:cNvPr id="5619" name="Изображение 5618" descr="resizeПП-00251764"/>
        <xdr:cNvPicPr>
          <a:picLocks noChangeAspect="1"/>
        </xdr:cNvPicPr>
      </xdr:nvPicPr>
      <xdr:blipFill>
        <a:blip xmlns:r="http://schemas.openxmlformats.org/officeDocument/2006/relationships" r:embed="rId387"/>
        <a:stretch>
          <a:fillRect/>
        </a:stretch>
      </xdr:blipFill>
      <xdr:spPr>
        <a:xfrm>
          <a:off x="7235825" y="531123525"/>
          <a:ext cx="878840" cy="1183640"/>
        </a:xfrm>
        <a:prstGeom prst="rect">
          <a:avLst/>
        </a:prstGeom>
      </xdr:spPr>
    </xdr:pic>
    <xdr:clientData/>
  </xdr:twoCellAnchor>
  <xdr:twoCellAnchor>
    <xdr:from>
      <xdr:col>9</xdr:col>
      <xdr:colOff>6350</xdr:colOff>
      <xdr:row>594</xdr:row>
      <xdr:rowOff>25400</xdr:rowOff>
    </xdr:from>
    <xdr:to>
      <xdr:col>9</xdr:col>
      <xdr:colOff>885190</xdr:colOff>
      <xdr:row>594</xdr:row>
      <xdr:rowOff>1209040</xdr:rowOff>
    </xdr:to>
    <xdr:pic>
      <xdr:nvPicPr>
        <xdr:cNvPr id="5620" name="Изображение 5619" descr="resizeПП-00272674"/>
        <xdr:cNvPicPr>
          <a:picLocks noChangeAspect="1"/>
        </xdr:cNvPicPr>
      </xdr:nvPicPr>
      <xdr:blipFill>
        <a:blip xmlns:r="http://schemas.openxmlformats.org/officeDocument/2006/relationships" r:embed="rId388"/>
        <a:stretch>
          <a:fillRect/>
        </a:stretch>
      </xdr:blipFill>
      <xdr:spPr>
        <a:xfrm>
          <a:off x="7235825" y="532498300"/>
          <a:ext cx="878840" cy="1183640"/>
        </a:xfrm>
        <a:prstGeom prst="rect">
          <a:avLst/>
        </a:prstGeom>
      </xdr:spPr>
    </xdr:pic>
    <xdr:clientData/>
  </xdr:twoCellAnchor>
  <xdr:twoCellAnchor>
    <xdr:from>
      <xdr:col>9</xdr:col>
      <xdr:colOff>6350</xdr:colOff>
      <xdr:row>596</xdr:row>
      <xdr:rowOff>25400</xdr:rowOff>
    </xdr:from>
    <xdr:to>
      <xdr:col>9</xdr:col>
      <xdr:colOff>885190</xdr:colOff>
      <xdr:row>596</xdr:row>
      <xdr:rowOff>1209040</xdr:rowOff>
    </xdr:to>
    <xdr:pic>
      <xdr:nvPicPr>
        <xdr:cNvPr id="5621" name="Изображение 5620" descr="resizeПП-00272648"/>
        <xdr:cNvPicPr>
          <a:picLocks noChangeAspect="1"/>
        </xdr:cNvPicPr>
      </xdr:nvPicPr>
      <xdr:blipFill>
        <a:blip xmlns:r="http://schemas.openxmlformats.org/officeDocument/2006/relationships" r:embed="rId389"/>
        <a:stretch>
          <a:fillRect/>
        </a:stretch>
      </xdr:blipFill>
      <xdr:spPr>
        <a:xfrm>
          <a:off x="7235825" y="533873075"/>
          <a:ext cx="878840" cy="1183640"/>
        </a:xfrm>
        <a:prstGeom prst="rect">
          <a:avLst/>
        </a:prstGeom>
      </xdr:spPr>
    </xdr:pic>
    <xdr:clientData/>
  </xdr:twoCellAnchor>
  <xdr:twoCellAnchor>
    <xdr:from>
      <xdr:col>9</xdr:col>
      <xdr:colOff>6350</xdr:colOff>
      <xdr:row>597</xdr:row>
      <xdr:rowOff>25400</xdr:rowOff>
    </xdr:from>
    <xdr:to>
      <xdr:col>9</xdr:col>
      <xdr:colOff>885190</xdr:colOff>
      <xdr:row>597</xdr:row>
      <xdr:rowOff>1209040</xdr:rowOff>
    </xdr:to>
    <xdr:pic>
      <xdr:nvPicPr>
        <xdr:cNvPr id="5622" name="Изображение 5621" descr="resizeПП-00272642"/>
        <xdr:cNvPicPr>
          <a:picLocks noChangeAspect="1"/>
        </xdr:cNvPicPr>
      </xdr:nvPicPr>
      <xdr:blipFill>
        <a:blip xmlns:r="http://schemas.openxmlformats.org/officeDocument/2006/relationships" r:embed="rId390"/>
        <a:stretch>
          <a:fillRect/>
        </a:stretch>
      </xdr:blipFill>
      <xdr:spPr>
        <a:xfrm>
          <a:off x="7235825" y="535095450"/>
          <a:ext cx="878840" cy="1183640"/>
        </a:xfrm>
        <a:prstGeom prst="rect">
          <a:avLst/>
        </a:prstGeom>
      </xdr:spPr>
    </xdr:pic>
    <xdr:clientData/>
  </xdr:twoCellAnchor>
  <xdr:twoCellAnchor>
    <xdr:from>
      <xdr:col>9</xdr:col>
      <xdr:colOff>6350</xdr:colOff>
      <xdr:row>598</xdr:row>
      <xdr:rowOff>25400</xdr:rowOff>
    </xdr:from>
    <xdr:to>
      <xdr:col>9</xdr:col>
      <xdr:colOff>885190</xdr:colOff>
      <xdr:row>598</xdr:row>
      <xdr:rowOff>1209040</xdr:rowOff>
    </xdr:to>
    <xdr:pic>
      <xdr:nvPicPr>
        <xdr:cNvPr id="5623" name="Изображение 5622" descr="resizeПП-00272654"/>
        <xdr:cNvPicPr>
          <a:picLocks noChangeAspect="1"/>
        </xdr:cNvPicPr>
      </xdr:nvPicPr>
      <xdr:blipFill>
        <a:blip xmlns:r="http://schemas.openxmlformats.org/officeDocument/2006/relationships" r:embed="rId391"/>
        <a:stretch>
          <a:fillRect/>
        </a:stretch>
      </xdr:blipFill>
      <xdr:spPr>
        <a:xfrm>
          <a:off x="7235825" y="536317825"/>
          <a:ext cx="878840" cy="1183640"/>
        </a:xfrm>
        <a:prstGeom prst="rect">
          <a:avLst/>
        </a:prstGeom>
      </xdr:spPr>
    </xdr:pic>
    <xdr:clientData/>
  </xdr:twoCellAnchor>
  <xdr:twoCellAnchor>
    <xdr:from>
      <xdr:col>9</xdr:col>
      <xdr:colOff>6350</xdr:colOff>
      <xdr:row>599</xdr:row>
      <xdr:rowOff>25400</xdr:rowOff>
    </xdr:from>
    <xdr:to>
      <xdr:col>9</xdr:col>
      <xdr:colOff>885190</xdr:colOff>
      <xdr:row>599</xdr:row>
      <xdr:rowOff>1209040</xdr:rowOff>
    </xdr:to>
    <xdr:pic>
      <xdr:nvPicPr>
        <xdr:cNvPr id="5624" name="Изображение 5623" descr="resizeПП-00272650"/>
        <xdr:cNvPicPr>
          <a:picLocks noChangeAspect="1"/>
        </xdr:cNvPicPr>
      </xdr:nvPicPr>
      <xdr:blipFill>
        <a:blip xmlns:r="http://schemas.openxmlformats.org/officeDocument/2006/relationships" r:embed="rId392"/>
        <a:stretch>
          <a:fillRect/>
        </a:stretch>
      </xdr:blipFill>
      <xdr:spPr>
        <a:xfrm>
          <a:off x="7235825" y="537540200"/>
          <a:ext cx="878840" cy="1183640"/>
        </a:xfrm>
        <a:prstGeom prst="rect">
          <a:avLst/>
        </a:prstGeom>
      </xdr:spPr>
    </xdr:pic>
    <xdr:clientData/>
  </xdr:twoCellAnchor>
  <xdr:twoCellAnchor>
    <xdr:from>
      <xdr:col>9</xdr:col>
      <xdr:colOff>6350</xdr:colOff>
      <xdr:row>601</xdr:row>
      <xdr:rowOff>25400</xdr:rowOff>
    </xdr:from>
    <xdr:to>
      <xdr:col>9</xdr:col>
      <xdr:colOff>885190</xdr:colOff>
      <xdr:row>601</xdr:row>
      <xdr:rowOff>1209040</xdr:rowOff>
    </xdr:to>
    <xdr:pic>
      <xdr:nvPicPr>
        <xdr:cNvPr id="5625" name="Изображение 5624" descr="resizeПП-00201796"/>
        <xdr:cNvPicPr>
          <a:picLocks noChangeAspect="1"/>
        </xdr:cNvPicPr>
      </xdr:nvPicPr>
      <xdr:blipFill>
        <a:blip xmlns:r="http://schemas.openxmlformats.org/officeDocument/2006/relationships" r:embed="rId393"/>
        <a:stretch>
          <a:fillRect/>
        </a:stretch>
      </xdr:blipFill>
      <xdr:spPr>
        <a:xfrm>
          <a:off x="7235825" y="538914975"/>
          <a:ext cx="878840" cy="1183640"/>
        </a:xfrm>
        <a:prstGeom prst="rect">
          <a:avLst/>
        </a:prstGeom>
      </xdr:spPr>
    </xdr:pic>
    <xdr:clientData/>
  </xdr:twoCellAnchor>
  <xdr:twoCellAnchor>
    <xdr:from>
      <xdr:col>9</xdr:col>
      <xdr:colOff>6350</xdr:colOff>
      <xdr:row>602</xdr:row>
      <xdr:rowOff>25400</xdr:rowOff>
    </xdr:from>
    <xdr:to>
      <xdr:col>9</xdr:col>
      <xdr:colOff>885190</xdr:colOff>
      <xdr:row>602</xdr:row>
      <xdr:rowOff>1209040</xdr:rowOff>
    </xdr:to>
    <xdr:pic>
      <xdr:nvPicPr>
        <xdr:cNvPr id="5626" name="Изображение 5625" descr="resizeПП-00201798"/>
        <xdr:cNvPicPr>
          <a:picLocks noChangeAspect="1"/>
        </xdr:cNvPicPr>
      </xdr:nvPicPr>
      <xdr:blipFill>
        <a:blip xmlns:r="http://schemas.openxmlformats.org/officeDocument/2006/relationships" r:embed="rId394"/>
        <a:stretch>
          <a:fillRect/>
        </a:stretch>
      </xdr:blipFill>
      <xdr:spPr>
        <a:xfrm>
          <a:off x="7235825" y="540137350"/>
          <a:ext cx="878840" cy="1183640"/>
        </a:xfrm>
        <a:prstGeom prst="rect">
          <a:avLst/>
        </a:prstGeom>
      </xdr:spPr>
    </xdr:pic>
    <xdr:clientData/>
  </xdr:twoCellAnchor>
  <xdr:twoCellAnchor>
    <xdr:from>
      <xdr:col>9</xdr:col>
      <xdr:colOff>6350</xdr:colOff>
      <xdr:row>603</xdr:row>
      <xdr:rowOff>25400</xdr:rowOff>
    </xdr:from>
    <xdr:to>
      <xdr:col>9</xdr:col>
      <xdr:colOff>885190</xdr:colOff>
      <xdr:row>603</xdr:row>
      <xdr:rowOff>1209040</xdr:rowOff>
    </xdr:to>
    <xdr:pic>
      <xdr:nvPicPr>
        <xdr:cNvPr id="5627" name="Изображение 5626" descr="resizeПП-00201799"/>
        <xdr:cNvPicPr>
          <a:picLocks noChangeAspect="1"/>
        </xdr:cNvPicPr>
      </xdr:nvPicPr>
      <xdr:blipFill>
        <a:blip xmlns:r="http://schemas.openxmlformats.org/officeDocument/2006/relationships" r:embed="rId395"/>
        <a:stretch>
          <a:fillRect/>
        </a:stretch>
      </xdr:blipFill>
      <xdr:spPr>
        <a:xfrm>
          <a:off x="7235825" y="541359725"/>
          <a:ext cx="878840" cy="1183640"/>
        </a:xfrm>
        <a:prstGeom prst="rect">
          <a:avLst/>
        </a:prstGeom>
      </xdr:spPr>
    </xdr:pic>
    <xdr:clientData/>
  </xdr:twoCellAnchor>
  <xdr:twoCellAnchor>
    <xdr:from>
      <xdr:col>9</xdr:col>
      <xdr:colOff>6350</xdr:colOff>
      <xdr:row>604</xdr:row>
      <xdr:rowOff>25400</xdr:rowOff>
    </xdr:from>
    <xdr:to>
      <xdr:col>9</xdr:col>
      <xdr:colOff>885190</xdr:colOff>
      <xdr:row>604</xdr:row>
      <xdr:rowOff>1209040</xdr:rowOff>
    </xdr:to>
    <xdr:pic>
      <xdr:nvPicPr>
        <xdr:cNvPr id="5628" name="Изображение 5627" descr="resizeПП-00201800"/>
        <xdr:cNvPicPr>
          <a:picLocks noChangeAspect="1"/>
        </xdr:cNvPicPr>
      </xdr:nvPicPr>
      <xdr:blipFill>
        <a:blip xmlns:r="http://schemas.openxmlformats.org/officeDocument/2006/relationships" r:embed="rId396"/>
        <a:stretch>
          <a:fillRect/>
        </a:stretch>
      </xdr:blipFill>
      <xdr:spPr>
        <a:xfrm>
          <a:off x="7235825" y="542582100"/>
          <a:ext cx="878840" cy="1183640"/>
        </a:xfrm>
        <a:prstGeom prst="rect">
          <a:avLst/>
        </a:prstGeom>
      </xdr:spPr>
    </xdr:pic>
    <xdr:clientData/>
  </xdr:twoCellAnchor>
  <xdr:twoCellAnchor>
    <xdr:from>
      <xdr:col>9</xdr:col>
      <xdr:colOff>6350</xdr:colOff>
      <xdr:row>605</xdr:row>
      <xdr:rowOff>25400</xdr:rowOff>
    </xdr:from>
    <xdr:to>
      <xdr:col>9</xdr:col>
      <xdr:colOff>885190</xdr:colOff>
      <xdr:row>605</xdr:row>
      <xdr:rowOff>1209040</xdr:rowOff>
    </xdr:to>
    <xdr:pic>
      <xdr:nvPicPr>
        <xdr:cNvPr id="5629" name="Изображение 5628" descr="resizeПП-00251767"/>
        <xdr:cNvPicPr>
          <a:picLocks noChangeAspect="1"/>
        </xdr:cNvPicPr>
      </xdr:nvPicPr>
      <xdr:blipFill>
        <a:blip xmlns:r="http://schemas.openxmlformats.org/officeDocument/2006/relationships" r:embed="rId397"/>
        <a:stretch>
          <a:fillRect/>
        </a:stretch>
      </xdr:blipFill>
      <xdr:spPr>
        <a:xfrm>
          <a:off x="7235825" y="543804475"/>
          <a:ext cx="878840" cy="1183640"/>
        </a:xfrm>
        <a:prstGeom prst="rect">
          <a:avLst/>
        </a:prstGeom>
      </xdr:spPr>
    </xdr:pic>
    <xdr:clientData/>
  </xdr:twoCellAnchor>
  <xdr:twoCellAnchor>
    <xdr:from>
      <xdr:col>9</xdr:col>
      <xdr:colOff>6350</xdr:colOff>
      <xdr:row>607</xdr:row>
      <xdr:rowOff>25400</xdr:rowOff>
    </xdr:from>
    <xdr:to>
      <xdr:col>9</xdr:col>
      <xdr:colOff>885190</xdr:colOff>
      <xdr:row>607</xdr:row>
      <xdr:rowOff>1209040</xdr:rowOff>
    </xdr:to>
    <xdr:pic>
      <xdr:nvPicPr>
        <xdr:cNvPr id="5630" name="Изображение 5629" descr="resizeПП-00251770"/>
        <xdr:cNvPicPr>
          <a:picLocks noChangeAspect="1"/>
        </xdr:cNvPicPr>
      </xdr:nvPicPr>
      <xdr:blipFill>
        <a:blip xmlns:r="http://schemas.openxmlformats.org/officeDocument/2006/relationships" r:embed="rId398"/>
        <a:stretch>
          <a:fillRect/>
        </a:stretch>
      </xdr:blipFill>
      <xdr:spPr>
        <a:xfrm>
          <a:off x="7235825" y="545179250"/>
          <a:ext cx="878840" cy="1183640"/>
        </a:xfrm>
        <a:prstGeom prst="rect">
          <a:avLst/>
        </a:prstGeom>
      </xdr:spPr>
    </xdr:pic>
    <xdr:clientData/>
  </xdr:twoCellAnchor>
  <xdr:twoCellAnchor>
    <xdr:from>
      <xdr:col>9</xdr:col>
      <xdr:colOff>6350</xdr:colOff>
      <xdr:row>608</xdr:row>
      <xdr:rowOff>25400</xdr:rowOff>
    </xdr:from>
    <xdr:to>
      <xdr:col>9</xdr:col>
      <xdr:colOff>885190</xdr:colOff>
      <xdr:row>608</xdr:row>
      <xdr:rowOff>1209040</xdr:rowOff>
    </xdr:to>
    <xdr:pic>
      <xdr:nvPicPr>
        <xdr:cNvPr id="5631" name="Изображение 5630" descr="resizeПП-00251768"/>
        <xdr:cNvPicPr>
          <a:picLocks noChangeAspect="1"/>
        </xdr:cNvPicPr>
      </xdr:nvPicPr>
      <xdr:blipFill>
        <a:blip xmlns:r="http://schemas.openxmlformats.org/officeDocument/2006/relationships" r:embed="rId399"/>
        <a:stretch>
          <a:fillRect/>
        </a:stretch>
      </xdr:blipFill>
      <xdr:spPr>
        <a:xfrm>
          <a:off x="7235825" y="546401625"/>
          <a:ext cx="878840" cy="1183640"/>
        </a:xfrm>
        <a:prstGeom prst="rect">
          <a:avLst/>
        </a:prstGeom>
      </xdr:spPr>
    </xdr:pic>
    <xdr:clientData/>
  </xdr:twoCellAnchor>
  <xdr:twoCellAnchor>
    <xdr:from>
      <xdr:col>9</xdr:col>
      <xdr:colOff>6350</xdr:colOff>
      <xdr:row>610</xdr:row>
      <xdr:rowOff>25400</xdr:rowOff>
    </xdr:from>
    <xdr:to>
      <xdr:col>9</xdr:col>
      <xdr:colOff>885190</xdr:colOff>
      <xdr:row>610</xdr:row>
      <xdr:rowOff>1209040</xdr:rowOff>
    </xdr:to>
    <xdr:pic>
      <xdr:nvPicPr>
        <xdr:cNvPr id="5632" name="Изображение 5631" descr="resizeПП-00272598"/>
        <xdr:cNvPicPr>
          <a:picLocks noChangeAspect="1"/>
        </xdr:cNvPicPr>
      </xdr:nvPicPr>
      <xdr:blipFill>
        <a:blip xmlns:r="http://schemas.openxmlformats.org/officeDocument/2006/relationships" r:embed="rId400"/>
        <a:stretch>
          <a:fillRect/>
        </a:stretch>
      </xdr:blipFill>
      <xdr:spPr>
        <a:xfrm>
          <a:off x="7235825" y="547776400"/>
          <a:ext cx="878840" cy="1183640"/>
        </a:xfrm>
        <a:prstGeom prst="rect">
          <a:avLst/>
        </a:prstGeom>
      </xdr:spPr>
    </xdr:pic>
    <xdr:clientData/>
  </xdr:twoCellAnchor>
  <xdr:twoCellAnchor>
    <xdr:from>
      <xdr:col>9</xdr:col>
      <xdr:colOff>6350</xdr:colOff>
      <xdr:row>611</xdr:row>
      <xdr:rowOff>25400</xdr:rowOff>
    </xdr:from>
    <xdr:to>
      <xdr:col>9</xdr:col>
      <xdr:colOff>885190</xdr:colOff>
      <xdr:row>611</xdr:row>
      <xdr:rowOff>1209040</xdr:rowOff>
    </xdr:to>
    <xdr:pic>
      <xdr:nvPicPr>
        <xdr:cNvPr id="5633" name="Изображение 5632" descr="resizeПП-00272599"/>
        <xdr:cNvPicPr>
          <a:picLocks noChangeAspect="1"/>
        </xdr:cNvPicPr>
      </xdr:nvPicPr>
      <xdr:blipFill>
        <a:blip xmlns:r="http://schemas.openxmlformats.org/officeDocument/2006/relationships" r:embed="rId401"/>
        <a:stretch>
          <a:fillRect/>
        </a:stretch>
      </xdr:blipFill>
      <xdr:spPr>
        <a:xfrm>
          <a:off x="7235825" y="548998775"/>
          <a:ext cx="878840" cy="1183640"/>
        </a:xfrm>
        <a:prstGeom prst="rect">
          <a:avLst/>
        </a:prstGeom>
      </xdr:spPr>
    </xdr:pic>
    <xdr:clientData/>
  </xdr:twoCellAnchor>
  <xdr:twoCellAnchor>
    <xdr:from>
      <xdr:col>9</xdr:col>
      <xdr:colOff>6350</xdr:colOff>
      <xdr:row>612</xdr:row>
      <xdr:rowOff>25400</xdr:rowOff>
    </xdr:from>
    <xdr:to>
      <xdr:col>9</xdr:col>
      <xdr:colOff>885190</xdr:colOff>
      <xdr:row>612</xdr:row>
      <xdr:rowOff>1209040</xdr:rowOff>
    </xdr:to>
    <xdr:pic>
      <xdr:nvPicPr>
        <xdr:cNvPr id="5634" name="Изображение 5633" descr="resizeПП-00272602"/>
        <xdr:cNvPicPr>
          <a:picLocks noChangeAspect="1"/>
        </xdr:cNvPicPr>
      </xdr:nvPicPr>
      <xdr:blipFill>
        <a:blip xmlns:r="http://schemas.openxmlformats.org/officeDocument/2006/relationships" r:embed="rId402"/>
        <a:stretch>
          <a:fillRect/>
        </a:stretch>
      </xdr:blipFill>
      <xdr:spPr>
        <a:xfrm>
          <a:off x="7235825" y="550221150"/>
          <a:ext cx="878840" cy="1183640"/>
        </a:xfrm>
        <a:prstGeom prst="rect">
          <a:avLst/>
        </a:prstGeom>
      </xdr:spPr>
    </xdr:pic>
    <xdr:clientData/>
  </xdr:twoCellAnchor>
  <xdr:twoCellAnchor>
    <xdr:from>
      <xdr:col>9</xdr:col>
      <xdr:colOff>6350</xdr:colOff>
      <xdr:row>614</xdr:row>
      <xdr:rowOff>25400</xdr:rowOff>
    </xdr:from>
    <xdr:to>
      <xdr:col>9</xdr:col>
      <xdr:colOff>885190</xdr:colOff>
      <xdr:row>614</xdr:row>
      <xdr:rowOff>1209040</xdr:rowOff>
    </xdr:to>
    <xdr:pic>
      <xdr:nvPicPr>
        <xdr:cNvPr id="5635" name="Изображение 5634" descr="resizeПП-00272657"/>
        <xdr:cNvPicPr>
          <a:picLocks noChangeAspect="1"/>
        </xdr:cNvPicPr>
      </xdr:nvPicPr>
      <xdr:blipFill>
        <a:blip xmlns:r="http://schemas.openxmlformats.org/officeDocument/2006/relationships" r:embed="rId403"/>
        <a:stretch>
          <a:fillRect/>
        </a:stretch>
      </xdr:blipFill>
      <xdr:spPr>
        <a:xfrm>
          <a:off x="7235825" y="551595925"/>
          <a:ext cx="878840" cy="1183640"/>
        </a:xfrm>
        <a:prstGeom prst="rect">
          <a:avLst/>
        </a:prstGeom>
      </xdr:spPr>
    </xdr:pic>
    <xdr:clientData/>
  </xdr:twoCellAnchor>
  <xdr:twoCellAnchor>
    <xdr:from>
      <xdr:col>9</xdr:col>
      <xdr:colOff>6350</xdr:colOff>
      <xdr:row>615</xdr:row>
      <xdr:rowOff>25400</xdr:rowOff>
    </xdr:from>
    <xdr:to>
      <xdr:col>9</xdr:col>
      <xdr:colOff>885190</xdr:colOff>
      <xdr:row>615</xdr:row>
      <xdr:rowOff>1209040</xdr:rowOff>
    </xdr:to>
    <xdr:pic>
      <xdr:nvPicPr>
        <xdr:cNvPr id="5636" name="Изображение 5635" descr="resizeПП-00272658"/>
        <xdr:cNvPicPr>
          <a:picLocks noChangeAspect="1"/>
        </xdr:cNvPicPr>
      </xdr:nvPicPr>
      <xdr:blipFill>
        <a:blip xmlns:r="http://schemas.openxmlformats.org/officeDocument/2006/relationships" r:embed="rId404"/>
        <a:stretch>
          <a:fillRect/>
        </a:stretch>
      </xdr:blipFill>
      <xdr:spPr>
        <a:xfrm>
          <a:off x="7235825" y="552818300"/>
          <a:ext cx="878840" cy="1183640"/>
        </a:xfrm>
        <a:prstGeom prst="rect">
          <a:avLst/>
        </a:prstGeom>
      </xdr:spPr>
    </xdr:pic>
    <xdr:clientData/>
  </xdr:twoCellAnchor>
  <xdr:twoCellAnchor>
    <xdr:from>
      <xdr:col>9</xdr:col>
      <xdr:colOff>6350</xdr:colOff>
      <xdr:row>616</xdr:row>
      <xdr:rowOff>25400</xdr:rowOff>
    </xdr:from>
    <xdr:to>
      <xdr:col>9</xdr:col>
      <xdr:colOff>885190</xdr:colOff>
      <xdr:row>616</xdr:row>
      <xdr:rowOff>1209040</xdr:rowOff>
    </xdr:to>
    <xdr:pic>
      <xdr:nvPicPr>
        <xdr:cNvPr id="5637" name="Изображение 5636" descr="resizeПП-00272660"/>
        <xdr:cNvPicPr>
          <a:picLocks noChangeAspect="1"/>
        </xdr:cNvPicPr>
      </xdr:nvPicPr>
      <xdr:blipFill>
        <a:blip xmlns:r="http://schemas.openxmlformats.org/officeDocument/2006/relationships" r:embed="rId405"/>
        <a:stretch>
          <a:fillRect/>
        </a:stretch>
      </xdr:blipFill>
      <xdr:spPr>
        <a:xfrm>
          <a:off x="7235825" y="554040675"/>
          <a:ext cx="878840" cy="1183640"/>
        </a:xfrm>
        <a:prstGeom prst="rect">
          <a:avLst/>
        </a:prstGeom>
      </xdr:spPr>
    </xdr:pic>
    <xdr:clientData/>
  </xdr:twoCellAnchor>
  <xdr:twoCellAnchor>
    <xdr:from>
      <xdr:col>9</xdr:col>
      <xdr:colOff>6350</xdr:colOff>
      <xdr:row>617</xdr:row>
      <xdr:rowOff>25400</xdr:rowOff>
    </xdr:from>
    <xdr:to>
      <xdr:col>9</xdr:col>
      <xdr:colOff>885190</xdr:colOff>
      <xdr:row>617</xdr:row>
      <xdr:rowOff>1209040</xdr:rowOff>
    </xdr:to>
    <xdr:pic>
      <xdr:nvPicPr>
        <xdr:cNvPr id="5638" name="Изображение 5637" descr="resizeПП-00272659"/>
        <xdr:cNvPicPr>
          <a:picLocks noChangeAspect="1"/>
        </xdr:cNvPicPr>
      </xdr:nvPicPr>
      <xdr:blipFill>
        <a:blip xmlns:r="http://schemas.openxmlformats.org/officeDocument/2006/relationships" r:embed="rId406"/>
        <a:stretch>
          <a:fillRect/>
        </a:stretch>
      </xdr:blipFill>
      <xdr:spPr>
        <a:xfrm>
          <a:off x="7235825" y="555263050"/>
          <a:ext cx="878840" cy="1183640"/>
        </a:xfrm>
        <a:prstGeom prst="rect">
          <a:avLst/>
        </a:prstGeom>
      </xdr:spPr>
    </xdr:pic>
    <xdr:clientData/>
  </xdr:twoCellAnchor>
  <xdr:twoCellAnchor>
    <xdr:from>
      <xdr:col>9</xdr:col>
      <xdr:colOff>6350</xdr:colOff>
      <xdr:row>619</xdr:row>
      <xdr:rowOff>25400</xdr:rowOff>
    </xdr:from>
    <xdr:to>
      <xdr:col>9</xdr:col>
      <xdr:colOff>885190</xdr:colOff>
      <xdr:row>619</xdr:row>
      <xdr:rowOff>1209040</xdr:rowOff>
    </xdr:to>
    <xdr:pic>
      <xdr:nvPicPr>
        <xdr:cNvPr id="5639" name="Изображение 5638" descr="resizeПП-00272665"/>
        <xdr:cNvPicPr>
          <a:picLocks noChangeAspect="1"/>
        </xdr:cNvPicPr>
      </xdr:nvPicPr>
      <xdr:blipFill>
        <a:blip xmlns:r="http://schemas.openxmlformats.org/officeDocument/2006/relationships" r:embed="rId407"/>
        <a:stretch>
          <a:fillRect/>
        </a:stretch>
      </xdr:blipFill>
      <xdr:spPr>
        <a:xfrm>
          <a:off x="7235825" y="556637825"/>
          <a:ext cx="878840" cy="1183640"/>
        </a:xfrm>
        <a:prstGeom prst="rect">
          <a:avLst/>
        </a:prstGeom>
      </xdr:spPr>
    </xdr:pic>
    <xdr:clientData/>
  </xdr:twoCellAnchor>
  <xdr:twoCellAnchor>
    <xdr:from>
      <xdr:col>9</xdr:col>
      <xdr:colOff>6350</xdr:colOff>
      <xdr:row>620</xdr:row>
      <xdr:rowOff>25400</xdr:rowOff>
    </xdr:from>
    <xdr:to>
      <xdr:col>9</xdr:col>
      <xdr:colOff>885190</xdr:colOff>
      <xdr:row>620</xdr:row>
      <xdr:rowOff>1209040</xdr:rowOff>
    </xdr:to>
    <xdr:pic>
      <xdr:nvPicPr>
        <xdr:cNvPr id="5640" name="Изображение 5639" descr="resizeПП-00272664"/>
        <xdr:cNvPicPr>
          <a:picLocks noChangeAspect="1"/>
        </xdr:cNvPicPr>
      </xdr:nvPicPr>
      <xdr:blipFill>
        <a:blip xmlns:r="http://schemas.openxmlformats.org/officeDocument/2006/relationships" r:embed="rId408"/>
        <a:stretch>
          <a:fillRect/>
        </a:stretch>
      </xdr:blipFill>
      <xdr:spPr>
        <a:xfrm>
          <a:off x="7235825" y="557860200"/>
          <a:ext cx="878840" cy="1183640"/>
        </a:xfrm>
        <a:prstGeom prst="rect">
          <a:avLst/>
        </a:prstGeom>
      </xdr:spPr>
    </xdr:pic>
    <xdr:clientData/>
  </xdr:twoCellAnchor>
  <xdr:twoCellAnchor>
    <xdr:from>
      <xdr:col>9</xdr:col>
      <xdr:colOff>6350</xdr:colOff>
      <xdr:row>621</xdr:row>
      <xdr:rowOff>25400</xdr:rowOff>
    </xdr:from>
    <xdr:to>
      <xdr:col>9</xdr:col>
      <xdr:colOff>885190</xdr:colOff>
      <xdr:row>621</xdr:row>
      <xdr:rowOff>1209040</xdr:rowOff>
    </xdr:to>
    <xdr:pic>
      <xdr:nvPicPr>
        <xdr:cNvPr id="5641" name="Изображение 5640" descr="resizeПП-00272661"/>
        <xdr:cNvPicPr>
          <a:picLocks noChangeAspect="1"/>
        </xdr:cNvPicPr>
      </xdr:nvPicPr>
      <xdr:blipFill>
        <a:blip xmlns:r="http://schemas.openxmlformats.org/officeDocument/2006/relationships" r:embed="rId409"/>
        <a:stretch>
          <a:fillRect/>
        </a:stretch>
      </xdr:blipFill>
      <xdr:spPr>
        <a:xfrm>
          <a:off x="7235825" y="559082575"/>
          <a:ext cx="878840" cy="1183640"/>
        </a:xfrm>
        <a:prstGeom prst="rect">
          <a:avLst/>
        </a:prstGeom>
      </xdr:spPr>
    </xdr:pic>
    <xdr:clientData/>
  </xdr:twoCellAnchor>
  <xdr:twoCellAnchor>
    <xdr:from>
      <xdr:col>9</xdr:col>
      <xdr:colOff>6350</xdr:colOff>
      <xdr:row>622</xdr:row>
      <xdr:rowOff>25400</xdr:rowOff>
    </xdr:from>
    <xdr:to>
      <xdr:col>9</xdr:col>
      <xdr:colOff>885190</xdr:colOff>
      <xdr:row>622</xdr:row>
      <xdr:rowOff>1209040</xdr:rowOff>
    </xdr:to>
    <xdr:pic>
      <xdr:nvPicPr>
        <xdr:cNvPr id="5642" name="Изображение 5641" descr="resizeПП-00272663"/>
        <xdr:cNvPicPr>
          <a:picLocks noChangeAspect="1"/>
        </xdr:cNvPicPr>
      </xdr:nvPicPr>
      <xdr:blipFill>
        <a:blip xmlns:r="http://schemas.openxmlformats.org/officeDocument/2006/relationships" r:embed="rId410"/>
        <a:stretch>
          <a:fillRect/>
        </a:stretch>
      </xdr:blipFill>
      <xdr:spPr>
        <a:xfrm>
          <a:off x="7235825" y="560304950"/>
          <a:ext cx="878840" cy="1183640"/>
        </a:xfrm>
        <a:prstGeom prst="rect">
          <a:avLst/>
        </a:prstGeom>
      </xdr:spPr>
    </xdr:pic>
    <xdr:clientData/>
  </xdr:twoCellAnchor>
  <xdr:twoCellAnchor>
    <xdr:from>
      <xdr:col>9</xdr:col>
      <xdr:colOff>6350</xdr:colOff>
      <xdr:row>624</xdr:row>
      <xdr:rowOff>25400</xdr:rowOff>
    </xdr:from>
    <xdr:to>
      <xdr:col>9</xdr:col>
      <xdr:colOff>885190</xdr:colOff>
      <xdr:row>624</xdr:row>
      <xdr:rowOff>1209040</xdr:rowOff>
    </xdr:to>
    <xdr:pic>
      <xdr:nvPicPr>
        <xdr:cNvPr id="5643" name="Изображение 5642" descr="resizeПП-00272666"/>
        <xdr:cNvPicPr>
          <a:picLocks noChangeAspect="1"/>
        </xdr:cNvPicPr>
      </xdr:nvPicPr>
      <xdr:blipFill>
        <a:blip xmlns:r="http://schemas.openxmlformats.org/officeDocument/2006/relationships" r:embed="rId411"/>
        <a:stretch>
          <a:fillRect/>
        </a:stretch>
      </xdr:blipFill>
      <xdr:spPr>
        <a:xfrm>
          <a:off x="7235825" y="561679725"/>
          <a:ext cx="878840" cy="1183640"/>
        </a:xfrm>
        <a:prstGeom prst="rect">
          <a:avLst/>
        </a:prstGeom>
      </xdr:spPr>
    </xdr:pic>
    <xdr:clientData/>
  </xdr:twoCellAnchor>
  <xdr:twoCellAnchor>
    <xdr:from>
      <xdr:col>9</xdr:col>
      <xdr:colOff>6350</xdr:colOff>
      <xdr:row>625</xdr:row>
      <xdr:rowOff>25400</xdr:rowOff>
    </xdr:from>
    <xdr:to>
      <xdr:col>9</xdr:col>
      <xdr:colOff>885190</xdr:colOff>
      <xdr:row>625</xdr:row>
      <xdr:rowOff>1209040</xdr:rowOff>
    </xdr:to>
    <xdr:pic>
      <xdr:nvPicPr>
        <xdr:cNvPr id="5644" name="Изображение 5643" descr="resizeПП-00272667"/>
        <xdr:cNvPicPr>
          <a:picLocks noChangeAspect="1"/>
        </xdr:cNvPicPr>
      </xdr:nvPicPr>
      <xdr:blipFill>
        <a:blip xmlns:r="http://schemas.openxmlformats.org/officeDocument/2006/relationships" r:embed="rId412"/>
        <a:stretch>
          <a:fillRect/>
        </a:stretch>
      </xdr:blipFill>
      <xdr:spPr>
        <a:xfrm>
          <a:off x="7235825" y="562902100"/>
          <a:ext cx="878840" cy="1183640"/>
        </a:xfrm>
        <a:prstGeom prst="rect">
          <a:avLst/>
        </a:prstGeom>
      </xdr:spPr>
    </xdr:pic>
    <xdr:clientData/>
  </xdr:twoCellAnchor>
  <xdr:twoCellAnchor>
    <xdr:from>
      <xdr:col>9</xdr:col>
      <xdr:colOff>6350</xdr:colOff>
      <xdr:row>626</xdr:row>
      <xdr:rowOff>25400</xdr:rowOff>
    </xdr:from>
    <xdr:to>
      <xdr:col>9</xdr:col>
      <xdr:colOff>885190</xdr:colOff>
      <xdr:row>626</xdr:row>
      <xdr:rowOff>1209040</xdr:rowOff>
    </xdr:to>
    <xdr:pic>
      <xdr:nvPicPr>
        <xdr:cNvPr id="5645" name="Изображение 5644" descr="resizeПП-00272669"/>
        <xdr:cNvPicPr>
          <a:picLocks noChangeAspect="1"/>
        </xdr:cNvPicPr>
      </xdr:nvPicPr>
      <xdr:blipFill>
        <a:blip xmlns:r="http://schemas.openxmlformats.org/officeDocument/2006/relationships" r:embed="rId413"/>
        <a:stretch>
          <a:fillRect/>
        </a:stretch>
      </xdr:blipFill>
      <xdr:spPr>
        <a:xfrm>
          <a:off x="7235825" y="564124475"/>
          <a:ext cx="878840" cy="1183640"/>
        </a:xfrm>
        <a:prstGeom prst="rect">
          <a:avLst/>
        </a:prstGeom>
      </xdr:spPr>
    </xdr:pic>
    <xdr:clientData/>
  </xdr:twoCellAnchor>
  <xdr:twoCellAnchor>
    <xdr:from>
      <xdr:col>9</xdr:col>
      <xdr:colOff>6350</xdr:colOff>
      <xdr:row>628</xdr:row>
      <xdr:rowOff>25400</xdr:rowOff>
    </xdr:from>
    <xdr:to>
      <xdr:col>9</xdr:col>
      <xdr:colOff>885190</xdr:colOff>
      <xdr:row>628</xdr:row>
      <xdr:rowOff>1209040</xdr:rowOff>
    </xdr:to>
    <xdr:pic>
      <xdr:nvPicPr>
        <xdr:cNvPr id="5646" name="Изображение 5645" descr="resizeПП-00231899"/>
        <xdr:cNvPicPr>
          <a:picLocks noChangeAspect="1"/>
        </xdr:cNvPicPr>
      </xdr:nvPicPr>
      <xdr:blipFill>
        <a:blip xmlns:r="http://schemas.openxmlformats.org/officeDocument/2006/relationships" r:embed="rId414"/>
        <a:stretch>
          <a:fillRect/>
        </a:stretch>
      </xdr:blipFill>
      <xdr:spPr>
        <a:xfrm>
          <a:off x="7235825" y="565499250"/>
          <a:ext cx="878840" cy="1183640"/>
        </a:xfrm>
        <a:prstGeom prst="rect">
          <a:avLst/>
        </a:prstGeom>
      </xdr:spPr>
    </xdr:pic>
    <xdr:clientData/>
  </xdr:twoCellAnchor>
  <xdr:twoCellAnchor>
    <xdr:from>
      <xdr:col>9</xdr:col>
      <xdr:colOff>6350</xdr:colOff>
      <xdr:row>630</xdr:row>
      <xdr:rowOff>25400</xdr:rowOff>
    </xdr:from>
    <xdr:to>
      <xdr:col>9</xdr:col>
      <xdr:colOff>885190</xdr:colOff>
      <xdr:row>630</xdr:row>
      <xdr:rowOff>1209040</xdr:rowOff>
    </xdr:to>
    <xdr:pic>
      <xdr:nvPicPr>
        <xdr:cNvPr id="5647" name="Изображение 5646" descr="resizeПП-00201808"/>
        <xdr:cNvPicPr>
          <a:picLocks noChangeAspect="1"/>
        </xdr:cNvPicPr>
      </xdr:nvPicPr>
      <xdr:blipFill>
        <a:blip xmlns:r="http://schemas.openxmlformats.org/officeDocument/2006/relationships" r:embed="rId415"/>
        <a:stretch>
          <a:fillRect/>
        </a:stretch>
      </xdr:blipFill>
      <xdr:spPr>
        <a:xfrm>
          <a:off x="7235825" y="566874025"/>
          <a:ext cx="878840" cy="1183640"/>
        </a:xfrm>
        <a:prstGeom prst="rect">
          <a:avLst/>
        </a:prstGeom>
      </xdr:spPr>
    </xdr:pic>
    <xdr:clientData/>
  </xdr:twoCellAnchor>
  <xdr:twoCellAnchor>
    <xdr:from>
      <xdr:col>9</xdr:col>
      <xdr:colOff>6350</xdr:colOff>
      <xdr:row>632</xdr:row>
      <xdr:rowOff>25400</xdr:rowOff>
    </xdr:from>
    <xdr:to>
      <xdr:col>9</xdr:col>
      <xdr:colOff>885190</xdr:colOff>
      <xdr:row>632</xdr:row>
      <xdr:rowOff>1209040</xdr:rowOff>
    </xdr:to>
    <xdr:pic>
      <xdr:nvPicPr>
        <xdr:cNvPr id="5648" name="Изображение 5647" descr="resizeПП-00236511"/>
        <xdr:cNvPicPr>
          <a:picLocks noChangeAspect="1"/>
        </xdr:cNvPicPr>
      </xdr:nvPicPr>
      <xdr:blipFill>
        <a:blip xmlns:r="http://schemas.openxmlformats.org/officeDocument/2006/relationships" r:embed="rId416"/>
        <a:stretch>
          <a:fillRect/>
        </a:stretch>
      </xdr:blipFill>
      <xdr:spPr>
        <a:xfrm>
          <a:off x="7235825" y="568248800"/>
          <a:ext cx="878840" cy="1183640"/>
        </a:xfrm>
        <a:prstGeom prst="rect">
          <a:avLst/>
        </a:prstGeom>
      </xdr:spPr>
    </xdr:pic>
    <xdr:clientData/>
  </xdr:twoCellAnchor>
  <xdr:twoCellAnchor>
    <xdr:from>
      <xdr:col>9</xdr:col>
      <xdr:colOff>6350</xdr:colOff>
      <xdr:row>633</xdr:row>
      <xdr:rowOff>25400</xdr:rowOff>
    </xdr:from>
    <xdr:to>
      <xdr:col>9</xdr:col>
      <xdr:colOff>885190</xdr:colOff>
      <xdr:row>633</xdr:row>
      <xdr:rowOff>1209040</xdr:rowOff>
    </xdr:to>
    <xdr:pic>
      <xdr:nvPicPr>
        <xdr:cNvPr id="5649" name="Изображение 5648" descr="resizeПП-00236512"/>
        <xdr:cNvPicPr>
          <a:picLocks noChangeAspect="1"/>
        </xdr:cNvPicPr>
      </xdr:nvPicPr>
      <xdr:blipFill>
        <a:blip xmlns:r="http://schemas.openxmlformats.org/officeDocument/2006/relationships" r:embed="rId417"/>
        <a:stretch>
          <a:fillRect/>
        </a:stretch>
      </xdr:blipFill>
      <xdr:spPr>
        <a:xfrm>
          <a:off x="7235825" y="569471175"/>
          <a:ext cx="878840" cy="1183640"/>
        </a:xfrm>
        <a:prstGeom prst="rect">
          <a:avLst/>
        </a:prstGeom>
      </xdr:spPr>
    </xdr:pic>
    <xdr:clientData/>
  </xdr:twoCellAnchor>
  <xdr:twoCellAnchor>
    <xdr:from>
      <xdr:col>9</xdr:col>
      <xdr:colOff>6350</xdr:colOff>
      <xdr:row>634</xdr:row>
      <xdr:rowOff>25400</xdr:rowOff>
    </xdr:from>
    <xdr:to>
      <xdr:col>9</xdr:col>
      <xdr:colOff>885190</xdr:colOff>
      <xdr:row>634</xdr:row>
      <xdr:rowOff>1209040</xdr:rowOff>
    </xdr:to>
    <xdr:pic>
      <xdr:nvPicPr>
        <xdr:cNvPr id="5650" name="Изображение 5649" descr="resizeПП-00236510"/>
        <xdr:cNvPicPr>
          <a:picLocks noChangeAspect="1"/>
        </xdr:cNvPicPr>
      </xdr:nvPicPr>
      <xdr:blipFill>
        <a:blip xmlns:r="http://schemas.openxmlformats.org/officeDocument/2006/relationships" r:embed="rId418"/>
        <a:stretch>
          <a:fillRect/>
        </a:stretch>
      </xdr:blipFill>
      <xdr:spPr>
        <a:xfrm>
          <a:off x="7235825" y="570693550"/>
          <a:ext cx="878840" cy="1183640"/>
        </a:xfrm>
        <a:prstGeom prst="rect">
          <a:avLst/>
        </a:prstGeom>
      </xdr:spPr>
    </xdr:pic>
    <xdr:clientData/>
  </xdr:twoCellAnchor>
  <xdr:twoCellAnchor>
    <xdr:from>
      <xdr:col>9</xdr:col>
      <xdr:colOff>6350</xdr:colOff>
      <xdr:row>635</xdr:row>
      <xdr:rowOff>25400</xdr:rowOff>
    </xdr:from>
    <xdr:to>
      <xdr:col>9</xdr:col>
      <xdr:colOff>885190</xdr:colOff>
      <xdr:row>635</xdr:row>
      <xdr:rowOff>1209040</xdr:rowOff>
    </xdr:to>
    <xdr:pic>
      <xdr:nvPicPr>
        <xdr:cNvPr id="5651" name="Изображение 5650" descr="resizeПП-00236508"/>
        <xdr:cNvPicPr>
          <a:picLocks noChangeAspect="1"/>
        </xdr:cNvPicPr>
      </xdr:nvPicPr>
      <xdr:blipFill>
        <a:blip xmlns:r="http://schemas.openxmlformats.org/officeDocument/2006/relationships" r:embed="rId419"/>
        <a:stretch>
          <a:fillRect/>
        </a:stretch>
      </xdr:blipFill>
      <xdr:spPr>
        <a:xfrm>
          <a:off x="7235825" y="571915925"/>
          <a:ext cx="878840" cy="1183640"/>
        </a:xfrm>
        <a:prstGeom prst="rect">
          <a:avLst/>
        </a:prstGeom>
      </xdr:spPr>
    </xdr:pic>
    <xdr:clientData/>
  </xdr:twoCellAnchor>
  <xdr:twoCellAnchor>
    <xdr:from>
      <xdr:col>9</xdr:col>
      <xdr:colOff>6350</xdr:colOff>
      <xdr:row>637</xdr:row>
      <xdr:rowOff>25400</xdr:rowOff>
    </xdr:from>
    <xdr:to>
      <xdr:col>9</xdr:col>
      <xdr:colOff>885190</xdr:colOff>
      <xdr:row>637</xdr:row>
      <xdr:rowOff>1209040</xdr:rowOff>
    </xdr:to>
    <xdr:pic>
      <xdr:nvPicPr>
        <xdr:cNvPr id="5652" name="Изображение 5651" descr="resizeПП-00227787"/>
        <xdr:cNvPicPr>
          <a:picLocks noChangeAspect="1"/>
        </xdr:cNvPicPr>
      </xdr:nvPicPr>
      <xdr:blipFill>
        <a:blip xmlns:r="http://schemas.openxmlformats.org/officeDocument/2006/relationships" r:embed="rId420"/>
        <a:stretch>
          <a:fillRect/>
        </a:stretch>
      </xdr:blipFill>
      <xdr:spPr>
        <a:xfrm>
          <a:off x="7235825" y="573290700"/>
          <a:ext cx="878840" cy="1183640"/>
        </a:xfrm>
        <a:prstGeom prst="rect">
          <a:avLst/>
        </a:prstGeom>
      </xdr:spPr>
    </xdr:pic>
    <xdr:clientData/>
  </xdr:twoCellAnchor>
  <xdr:twoCellAnchor>
    <xdr:from>
      <xdr:col>9</xdr:col>
      <xdr:colOff>6350</xdr:colOff>
      <xdr:row>638</xdr:row>
      <xdr:rowOff>25400</xdr:rowOff>
    </xdr:from>
    <xdr:to>
      <xdr:col>9</xdr:col>
      <xdr:colOff>885190</xdr:colOff>
      <xdr:row>638</xdr:row>
      <xdr:rowOff>1209040</xdr:rowOff>
    </xdr:to>
    <xdr:pic>
      <xdr:nvPicPr>
        <xdr:cNvPr id="5653" name="Изображение 5652" descr="resizeПП-00227793"/>
        <xdr:cNvPicPr>
          <a:picLocks noChangeAspect="1"/>
        </xdr:cNvPicPr>
      </xdr:nvPicPr>
      <xdr:blipFill>
        <a:blip xmlns:r="http://schemas.openxmlformats.org/officeDocument/2006/relationships" r:embed="rId421"/>
        <a:stretch>
          <a:fillRect/>
        </a:stretch>
      </xdr:blipFill>
      <xdr:spPr>
        <a:xfrm>
          <a:off x="7235825" y="574513075"/>
          <a:ext cx="878840" cy="1183640"/>
        </a:xfrm>
        <a:prstGeom prst="rect">
          <a:avLst/>
        </a:prstGeom>
      </xdr:spPr>
    </xdr:pic>
    <xdr:clientData/>
  </xdr:twoCellAnchor>
  <xdr:twoCellAnchor>
    <xdr:from>
      <xdr:col>9</xdr:col>
      <xdr:colOff>6350</xdr:colOff>
      <xdr:row>639</xdr:row>
      <xdr:rowOff>25400</xdr:rowOff>
    </xdr:from>
    <xdr:to>
      <xdr:col>9</xdr:col>
      <xdr:colOff>885190</xdr:colOff>
      <xdr:row>639</xdr:row>
      <xdr:rowOff>1209040</xdr:rowOff>
    </xdr:to>
    <xdr:pic>
      <xdr:nvPicPr>
        <xdr:cNvPr id="5654" name="Изображение 5653" descr="resizeПП-00227791"/>
        <xdr:cNvPicPr>
          <a:picLocks noChangeAspect="1"/>
        </xdr:cNvPicPr>
      </xdr:nvPicPr>
      <xdr:blipFill>
        <a:blip xmlns:r="http://schemas.openxmlformats.org/officeDocument/2006/relationships" r:embed="rId422"/>
        <a:stretch>
          <a:fillRect/>
        </a:stretch>
      </xdr:blipFill>
      <xdr:spPr>
        <a:xfrm>
          <a:off x="7235825" y="575735450"/>
          <a:ext cx="878840" cy="1183640"/>
        </a:xfrm>
        <a:prstGeom prst="rect">
          <a:avLst/>
        </a:prstGeom>
      </xdr:spPr>
    </xdr:pic>
    <xdr:clientData/>
  </xdr:twoCellAnchor>
  <xdr:twoCellAnchor>
    <xdr:from>
      <xdr:col>9</xdr:col>
      <xdr:colOff>6350</xdr:colOff>
      <xdr:row>640</xdr:row>
      <xdr:rowOff>25400</xdr:rowOff>
    </xdr:from>
    <xdr:to>
      <xdr:col>9</xdr:col>
      <xdr:colOff>885190</xdr:colOff>
      <xdr:row>640</xdr:row>
      <xdr:rowOff>1209040</xdr:rowOff>
    </xdr:to>
    <xdr:pic>
      <xdr:nvPicPr>
        <xdr:cNvPr id="5655" name="Изображение 5654" descr="resizeПП-00227792"/>
        <xdr:cNvPicPr>
          <a:picLocks noChangeAspect="1"/>
        </xdr:cNvPicPr>
      </xdr:nvPicPr>
      <xdr:blipFill>
        <a:blip xmlns:r="http://schemas.openxmlformats.org/officeDocument/2006/relationships" r:embed="rId423"/>
        <a:stretch>
          <a:fillRect/>
        </a:stretch>
      </xdr:blipFill>
      <xdr:spPr>
        <a:xfrm>
          <a:off x="7235825" y="576957825"/>
          <a:ext cx="878840" cy="1183640"/>
        </a:xfrm>
        <a:prstGeom prst="rect">
          <a:avLst/>
        </a:prstGeom>
      </xdr:spPr>
    </xdr:pic>
    <xdr:clientData/>
  </xdr:twoCellAnchor>
  <xdr:twoCellAnchor>
    <xdr:from>
      <xdr:col>9</xdr:col>
      <xdr:colOff>6350</xdr:colOff>
      <xdr:row>642</xdr:row>
      <xdr:rowOff>25400</xdr:rowOff>
    </xdr:from>
    <xdr:to>
      <xdr:col>9</xdr:col>
      <xdr:colOff>885190</xdr:colOff>
      <xdr:row>642</xdr:row>
      <xdr:rowOff>1209040</xdr:rowOff>
    </xdr:to>
    <xdr:pic>
      <xdr:nvPicPr>
        <xdr:cNvPr id="5656" name="Изображение 5655" descr="resizeПП-00192016"/>
        <xdr:cNvPicPr>
          <a:picLocks noChangeAspect="1"/>
        </xdr:cNvPicPr>
      </xdr:nvPicPr>
      <xdr:blipFill>
        <a:blip xmlns:r="http://schemas.openxmlformats.org/officeDocument/2006/relationships" r:embed="rId424"/>
        <a:stretch>
          <a:fillRect/>
        </a:stretch>
      </xdr:blipFill>
      <xdr:spPr>
        <a:xfrm>
          <a:off x="7235825" y="578332600"/>
          <a:ext cx="878840" cy="1183640"/>
        </a:xfrm>
        <a:prstGeom prst="rect">
          <a:avLst/>
        </a:prstGeom>
      </xdr:spPr>
    </xdr:pic>
    <xdr:clientData/>
  </xdr:twoCellAnchor>
  <xdr:twoCellAnchor>
    <xdr:from>
      <xdr:col>9</xdr:col>
      <xdr:colOff>6350</xdr:colOff>
      <xdr:row>646</xdr:row>
      <xdr:rowOff>25400</xdr:rowOff>
    </xdr:from>
    <xdr:to>
      <xdr:col>9</xdr:col>
      <xdr:colOff>885190</xdr:colOff>
      <xdr:row>646</xdr:row>
      <xdr:rowOff>1209040</xdr:rowOff>
    </xdr:to>
    <xdr:pic>
      <xdr:nvPicPr>
        <xdr:cNvPr id="5657" name="Изображение 5656" descr="resizeПП-00204299"/>
        <xdr:cNvPicPr>
          <a:picLocks noChangeAspect="1"/>
        </xdr:cNvPicPr>
      </xdr:nvPicPr>
      <xdr:blipFill>
        <a:blip xmlns:r="http://schemas.openxmlformats.org/officeDocument/2006/relationships" r:embed="rId425"/>
        <a:stretch>
          <a:fillRect/>
        </a:stretch>
      </xdr:blipFill>
      <xdr:spPr>
        <a:xfrm>
          <a:off x="7235825" y="580012175"/>
          <a:ext cx="878840" cy="1183640"/>
        </a:xfrm>
        <a:prstGeom prst="rect">
          <a:avLst/>
        </a:prstGeom>
      </xdr:spPr>
    </xdr:pic>
    <xdr:clientData/>
  </xdr:twoCellAnchor>
  <xdr:twoCellAnchor>
    <xdr:from>
      <xdr:col>9</xdr:col>
      <xdr:colOff>6350</xdr:colOff>
      <xdr:row>647</xdr:row>
      <xdr:rowOff>25400</xdr:rowOff>
    </xdr:from>
    <xdr:to>
      <xdr:col>9</xdr:col>
      <xdr:colOff>885190</xdr:colOff>
      <xdr:row>647</xdr:row>
      <xdr:rowOff>1209040</xdr:rowOff>
    </xdr:to>
    <xdr:pic>
      <xdr:nvPicPr>
        <xdr:cNvPr id="5658" name="Изображение 5657" descr="resizeПП-00204297"/>
        <xdr:cNvPicPr>
          <a:picLocks noChangeAspect="1"/>
        </xdr:cNvPicPr>
      </xdr:nvPicPr>
      <xdr:blipFill>
        <a:blip xmlns:r="http://schemas.openxmlformats.org/officeDocument/2006/relationships" r:embed="rId426"/>
        <a:stretch>
          <a:fillRect/>
        </a:stretch>
      </xdr:blipFill>
      <xdr:spPr>
        <a:xfrm>
          <a:off x="7235825" y="581234550"/>
          <a:ext cx="878840" cy="1183640"/>
        </a:xfrm>
        <a:prstGeom prst="rect">
          <a:avLst/>
        </a:prstGeom>
      </xdr:spPr>
    </xdr:pic>
    <xdr:clientData/>
  </xdr:twoCellAnchor>
  <xdr:twoCellAnchor>
    <xdr:from>
      <xdr:col>9</xdr:col>
      <xdr:colOff>6350</xdr:colOff>
      <xdr:row>648</xdr:row>
      <xdr:rowOff>25400</xdr:rowOff>
    </xdr:from>
    <xdr:to>
      <xdr:col>9</xdr:col>
      <xdr:colOff>885190</xdr:colOff>
      <xdr:row>648</xdr:row>
      <xdr:rowOff>1209040</xdr:rowOff>
    </xdr:to>
    <xdr:pic>
      <xdr:nvPicPr>
        <xdr:cNvPr id="5659" name="Изображение 5658" descr="resizeПП-00204303"/>
        <xdr:cNvPicPr>
          <a:picLocks noChangeAspect="1"/>
        </xdr:cNvPicPr>
      </xdr:nvPicPr>
      <xdr:blipFill>
        <a:blip xmlns:r="http://schemas.openxmlformats.org/officeDocument/2006/relationships" r:embed="rId427"/>
        <a:stretch>
          <a:fillRect/>
        </a:stretch>
      </xdr:blipFill>
      <xdr:spPr>
        <a:xfrm>
          <a:off x="7235825" y="582456925"/>
          <a:ext cx="878840" cy="1183640"/>
        </a:xfrm>
        <a:prstGeom prst="rect">
          <a:avLst/>
        </a:prstGeom>
      </xdr:spPr>
    </xdr:pic>
    <xdr:clientData/>
  </xdr:twoCellAnchor>
  <xdr:twoCellAnchor>
    <xdr:from>
      <xdr:col>9</xdr:col>
      <xdr:colOff>6350</xdr:colOff>
      <xdr:row>649</xdr:row>
      <xdr:rowOff>25400</xdr:rowOff>
    </xdr:from>
    <xdr:to>
      <xdr:col>9</xdr:col>
      <xdr:colOff>885190</xdr:colOff>
      <xdr:row>649</xdr:row>
      <xdr:rowOff>1209040</xdr:rowOff>
    </xdr:to>
    <xdr:pic>
      <xdr:nvPicPr>
        <xdr:cNvPr id="5660" name="Изображение 5659" descr="resizeПП-00204302"/>
        <xdr:cNvPicPr>
          <a:picLocks noChangeAspect="1"/>
        </xdr:cNvPicPr>
      </xdr:nvPicPr>
      <xdr:blipFill>
        <a:blip xmlns:r="http://schemas.openxmlformats.org/officeDocument/2006/relationships" r:embed="rId428"/>
        <a:stretch>
          <a:fillRect/>
        </a:stretch>
      </xdr:blipFill>
      <xdr:spPr>
        <a:xfrm>
          <a:off x="7235825" y="583679300"/>
          <a:ext cx="878840" cy="1183640"/>
        </a:xfrm>
        <a:prstGeom prst="rect">
          <a:avLst/>
        </a:prstGeom>
      </xdr:spPr>
    </xdr:pic>
    <xdr:clientData/>
  </xdr:twoCellAnchor>
  <xdr:twoCellAnchor>
    <xdr:from>
      <xdr:col>9</xdr:col>
      <xdr:colOff>6350</xdr:colOff>
      <xdr:row>651</xdr:row>
      <xdr:rowOff>25400</xdr:rowOff>
    </xdr:from>
    <xdr:to>
      <xdr:col>9</xdr:col>
      <xdr:colOff>885190</xdr:colOff>
      <xdr:row>651</xdr:row>
      <xdr:rowOff>1209040</xdr:rowOff>
    </xdr:to>
    <xdr:pic>
      <xdr:nvPicPr>
        <xdr:cNvPr id="5661" name="Изображение 5660" descr="resizeПП-00204294"/>
        <xdr:cNvPicPr>
          <a:picLocks noChangeAspect="1"/>
        </xdr:cNvPicPr>
      </xdr:nvPicPr>
      <xdr:blipFill>
        <a:blip xmlns:r="http://schemas.openxmlformats.org/officeDocument/2006/relationships" r:embed="rId429"/>
        <a:stretch>
          <a:fillRect/>
        </a:stretch>
      </xdr:blipFill>
      <xdr:spPr>
        <a:xfrm>
          <a:off x="7235825" y="585054075"/>
          <a:ext cx="878840" cy="1183640"/>
        </a:xfrm>
        <a:prstGeom prst="rect">
          <a:avLst/>
        </a:prstGeom>
      </xdr:spPr>
    </xdr:pic>
    <xdr:clientData/>
  </xdr:twoCellAnchor>
  <xdr:twoCellAnchor>
    <xdr:from>
      <xdr:col>9</xdr:col>
      <xdr:colOff>6350</xdr:colOff>
      <xdr:row>652</xdr:row>
      <xdr:rowOff>25400</xdr:rowOff>
    </xdr:from>
    <xdr:to>
      <xdr:col>9</xdr:col>
      <xdr:colOff>885190</xdr:colOff>
      <xdr:row>652</xdr:row>
      <xdr:rowOff>1209040</xdr:rowOff>
    </xdr:to>
    <xdr:pic>
      <xdr:nvPicPr>
        <xdr:cNvPr id="5662" name="Изображение 5661" descr="resizeПП-00204295"/>
        <xdr:cNvPicPr>
          <a:picLocks noChangeAspect="1"/>
        </xdr:cNvPicPr>
      </xdr:nvPicPr>
      <xdr:blipFill>
        <a:blip xmlns:r="http://schemas.openxmlformats.org/officeDocument/2006/relationships" r:embed="rId430"/>
        <a:stretch>
          <a:fillRect/>
        </a:stretch>
      </xdr:blipFill>
      <xdr:spPr>
        <a:xfrm>
          <a:off x="7235825" y="586276450"/>
          <a:ext cx="878840" cy="1183640"/>
        </a:xfrm>
        <a:prstGeom prst="rect">
          <a:avLst/>
        </a:prstGeom>
      </xdr:spPr>
    </xdr:pic>
    <xdr:clientData/>
  </xdr:twoCellAnchor>
  <xdr:twoCellAnchor>
    <xdr:from>
      <xdr:col>9</xdr:col>
      <xdr:colOff>6350</xdr:colOff>
      <xdr:row>653</xdr:row>
      <xdr:rowOff>25400</xdr:rowOff>
    </xdr:from>
    <xdr:to>
      <xdr:col>9</xdr:col>
      <xdr:colOff>885190</xdr:colOff>
      <xdr:row>653</xdr:row>
      <xdr:rowOff>1209040</xdr:rowOff>
    </xdr:to>
    <xdr:pic>
      <xdr:nvPicPr>
        <xdr:cNvPr id="5663" name="Изображение 5662" descr="resizeПП-00204296"/>
        <xdr:cNvPicPr>
          <a:picLocks noChangeAspect="1"/>
        </xdr:cNvPicPr>
      </xdr:nvPicPr>
      <xdr:blipFill>
        <a:blip xmlns:r="http://schemas.openxmlformats.org/officeDocument/2006/relationships" r:embed="rId431"/>
        <a:stretch>
          <a:fillRect/>
        </a:stretch>
      </xdr:blipFill>
      <xdr:spPr>
        <a:xfrm>
          <a:off x="7235825" y="587498825"/>
          <a:ext cx="878840" cy="1183640"/>
        </a:xfrm>
        <a:prstGeom prst="rect">
          <a:avLst/>
        </a:prstGeom>
      </xdr:spPr>
    </xdr:pic>
    <xdr:clientData/>
  </xdr:twoCellAnchor>
  <xdr:twoCellAnchor>
    <xdr:from>
      <xdr:col>9</xdr:col>
      <xdr:colOff>6350</xdr:colOff>
      <xdr:row>655</xdr:row>
      <xdr:rowOff>25400</xdr:rowOff>
    </xdr:from>
    <xdr:to>
      <xdr:col>9</xdr:col>
      <xdr:colOff>885190</xdr:colOff>
      <xdr:row>655</xdr:row>
      <xdr:rowOff>1209040</xdr:rowOff>
    </xdr:to>
    <xdr:pic>
      <xdr:nvPicPr>
        <xdr:cNvPr id="5664" name="Изображение 5663" descr="resizeПП-00204309"/>
        <xdr:cNvPicPr>
          <a:picLocks noChangeAspect="1"/>
        </xdr:cNvPicPr>
      </xdr:nvPicPr>
      <xdr:blipFill>
        <a:blip xmlns:r="http://schemas.openxmlformats.org/officeDocument/2006/relationships" r:embed="rId432"/>
        <a:stretch>
          <a:fillRect/>
        </a:stretch>
      </xdr:blipFill>
      <xdr:spPr>
        <a:xfrm>
          <a:off x="7235825" y="588873600"/>
          <a:ext cx="878840" cy="1183640"/>
        </a:xfrm>
        <a:prstGeom prst="rect">
          <a:avLst/>
        </a:prstGeom>
      </xdr:spPr>
    </xdr:pic>
    <xdr:clientData/>
  </xdr:twoCellAnchor>
  <xdr:twoCellAnchor>
    <xdr:from>
      <xdr:col>9</xdr:col>
      <xdr:colOff>6350</xdr:colOff>
      <xdr:row>660</xdr:row>
      <xdr:rowOff>25400</xdr:rowOff>
    </xdr:from>
    <xdr:to>
      <xdr:col>9</xdr:col>
      <xdr:colOff>885190</xdr:colOff>
      <xdr:row>660</xdr:row>
      <xdr:rowOff>1209040</xdr:rowOff>
    </xdr:to>
    <xdr:pic>
      <xdr:nvPicPr>
        <xdr:cNvPr id="5665" name="Изображение 5664" descr="resizeПП-00275921"/>
        <xdr:cNvPicPr>
          <a:picLocks noChangeAspect="1"/>
        </xdr:cNvPicPr>
      </xdr:nvPicPr>
      <xdr:blipFill>
        <a:blip xmlns:r="http://schemas.openxmlformats.org/officeDocument/2006/relationships" r:embed="rId433"/>
        <a:stretch>
          <a:fillRect/>
        </a:stretch>
      </xdr:blipFill>
      <xdr:spPr>
        <a:xfrm>
          <a:off x="7235825" y="590705575"/>
          <a:ext cx="878840" cy="1183640"/>
        </a:xfrm>
        <a:prstGeom prst="rect">
          <a:avLst/>
        </a:prstGeom>
      </xdr:spPr>
    </xdr:pic>
    <xdr:clientData/>
  </xdr:twoCellAnchor>
  <xdr:twoCellAnchor>
    <xdr:from>
      <xdr:col>9</xdr:col>
      <xdr:colOff>6350</xdr:colOff>
      <xdr:row>661</xdr:row>
      <xdr:rowOff>25400</xdr:rowOff>
    </xdr:from>
    <xdr:to>
      <xdr:col>9</xdr:col>
      <xdr:colOff>885190</xdr:colOff>
      <xdr:row>661</xdr:row>
      <xdr:rowOff>1209040</xdr:rowOff>
    </xdr:to>
    <xdr:pic>
      <xdr:nvPicPr>
        <xdr:cNvPr id="5666" name="Изображение 5665" descr="resizeПП-00236035"/>
        <xdr:cNvPicPr>
          <a:picLocks noChangeAspect="1"/>
        </xdr:cNvPicPr>
      </xdr:nvPicPr>
      <xdr:blipFill>
        <a:blip xmlns:r="http://schemas.openxmlformats.org/officeDocument/2006/relationships" r:embed="rId434"/>
        <a:stretch>
          <a:fillRect/>
        </a:stretch>
      </xdr:blipFill>
      <xdr:spPr>
        <a:xfrm>
          <a:off x="7235825" y="591927950"/>
          <a:ext cx="878840" cy="1183640"/>
        </a:xfrm>
        <a:prstGeom prst="rect">
          <a:avLst/>
        </a:prstGeom>
      </xdr:spPr>
    </xdr:pic>
    <xdr:clientData/>
  </xdr:twoCellAnchor>
  <xdr:twoCellAnchor>
    <xdr:from>
      <xdr:col>9</xdr:col>
      <xdr:colOff>6350</xdr:colOff>
      <xdr:row>662</xdr:row>
      <xdr:rowOff>25400</xdr:rowOff>
    </xdr:from>
    <xdr:to>
      <xdr:col>9</xdr:col>
      <xdr:colOff>885190</xdr:colOff>
      <xdr:row>662</xdr:row>
      <xdr:rowOff>1209040</xdr:rowOff>
    </xdr:to>
    <xdr:pic>
      <xdr:nvPicPr>
        <xdr:cNvPr id="5667" name="Изображение 5666" descr="resizeПП-00275635"/>
        <xdr:cNvPicPr>
          <a:picLocks noChangeAspect="1"/>
        </xdr:cNvPicPr>
      </xdr:nvPicPr>
      <xdr:blipFill>
        <a:blip xmlns:r="http://schemas.openxmlformats.org/officeDocument/2006/relationships" r:embed="rId435"/>
        <a:stretch>
          <a:fillRect/>
        </a:stretch>
      </xdr:blipFill>
      <xdr:spPr>
        <a:xfrm>
          <a:off x="7235825" y="593150325"/>
          <a:ext cx="878840" cy="1183640"/>
        </a:xfrm>
        <a:prstGeom prst="rect">
          <a:avLst/>
        </a:prstGeom>
      </xdr:spPr>
    </xdr:pic>
    <xdr:clientData/>
  </xdr:twoCellAnchor>
  <xdr:twoCellAnchor>
    <xdr:from>
      <xdr:col>9</xdr:col>
      <xdr:colOff>6350</xdr:colOff>
      <xdr:row>663</xdr:row>
      <xdr:rowOff>25400</xdr:rowOff>
    </xdr:from>
    <xdr:to>
      <xdr:col>9</xdr:col>
      <xdr:colOff>885190</xdr:colOff>
      <xdr:row>663</xdr:row>
      <xdr:rowOff>1209040</xdr:rowOff>
    </xdr:to>
    <xdr:pic>
      <xdr:nvPicPr>
        <xdr:cNvPr id="5668" name="Изображение 5667" descr="resizeПП-00253468"/>
        <xdr:cNvPicPr>
          <a:picLocks noChangeAspect="1"/>
        </xdr:cNvPicPr>
      </xdr:nvPicPr>
      <xdr:blipFill>
        <a:blip xmlns:r="http://schemas.openxmlformats.org/officeDocument/2006/relationships" r:embed="rId436"/>
        <a:stretch>
          <a:fillRect/>
        </a:stretch>
      </xdr:blipFill>
      <xdr:spPr>
        <a:xfrm>
          <a:off x="7235825" y="594372700"/>
          <a:ext cx="878840" cy="1183640"/>
        </a:xfrm>
        <a:prstGeom prst="rect">
          <a:avLst/>
        </a:prstGeom>
      </xdr:spPr>
    </xdr:pic>
    <xdr:clientData/>
  </xdr:twoCellAnchor>
  <xdr:twoCellAnchor>
    <xdr:from>
      <xdr:col>9</xdr:col>
      <xdr:colOff>6350</xdr:colOff>
      <xdr:row>664</xdr:row>
      <xdr:rowOff>25400</xdr:rowOff>
    </xdr:from>
    <xdr:to>
      <xdr:col>9</xdr:col>
      <xdr:colOff>885190</xdr:colOff>
      <xdr:row>664</xdr:row>
      <xdr:rowOff>1209040</xdr:rowOff>
    </xdr:to>
    <xdr:pic>
      <xdr:nvPicPr>
        <xdr:cNvPr id="5669" name="Изображение 5668" descr="resizeПП-00275650"/>
        <xdr:cNvPicPr>
          <a:picLocks noChangeAspect="1"/>
        </xdr:cNvPicPr>
      </xdr:nvPicPr>
      <xdr:blipFill>
        <a:blip xmlns:r="http://schemas.openxmlformats.org/officeDocument/2006/relationships" r:embed="rId437"/>
        <a:stretch>
          <a:fillRect/>
        </a:stretch>
      </xdr:blipFill>
      <xdr:spPr>
        <a:xfrm>
          <a:off x="7235825" y="595595075"/>
          <a:ext cx="878840" cy="1183640"/>
        </a:xfrm>
        <a:prstGeom prst="rect">
          <a:avLst/>
        </a:prstGeom>
      </xdr:spPr>
    </xdr:pic>
    <xdr:clientData/>
  </xdr:twoCellAnchor>
  <xdr:twoCellAnchor>
    <xdr:from>
      <xdr:col>9</xdr:col>
      <xdr:colOff>6350</xdr:colOff>
      <xdr:row>665</xdr:row>
      <xdr:rowOff>25400</xdr:rowOff>
    </xdr:from>
    <xdr:to>
      <xdr:col>9</xdr:col>
      <xdr:colOff>885190</xdr:colOff>
      <xdr:row>665</xdr:row>
      <xdr:rowOff>1209040</xdr:rowOff>
    </xdr:to>
    <xdr:pic>
      <xdr:nvPicPr>
        <xdr:cNvPr id="5670" name="Изображение 5669" descr="resizeПП-00255171"/>
        <xdr:cNvPicPr>
          <a:picLocks noChangeAspect="1"/>
        </xdr:cNvPicPr>
      </xdr:nvPicPr>
      <xdr:blipFill>
        <a:blip xmlns:r="http://schemas.openxmlformats.org/officeDocument/2006/relationships" r:embed="rId438"/>
        <a:stretch>
          <a:fillRect/>
        </a:stretch>
      </xdr:blipFill>
      <xdr:spPr>
        <a:xfrm>
          <a:off x="7235825" y="596817450"/>
          <a:ext cx="878840" cy="1183640"/>
        </a:xfrm>
        <a:prstGeom prst="rect">
          <a:avLst/>
        </a:prstGeom>
      </xdr:spPr>
    </xdr:pic>
    <xdr:clientData/>
  </xdr:twoCellAnchor>
  <xdr:twoCellAnchor>
    <xdr:from>
      <xdr:col>9</xdr:col>
      <xdr:colOff>6350</xdr:colOff>
      <xdr:row>668</xdr:row>
      <xdr:rowOff>25400</xdr:rowOff>
    </xdr:from>
    <xdr:to>
      <xdr:col>9</xdr:col>
      <xdr:colOff>885190</xdr:colOff>
      <xdr:row>668</xdr:row>
      <xdr:rowOff>1209040</xdr:rowOff>
    </xdr:to>
    <xdr:pic>
      <xdr:nvPicPr>
        <xdr:cNvPr id="5671" name="Изображение 5670" descr="resizeПП-00275646"/>
        <xdr:cNvPicPr>
          <a:picLocks noChangeAspect="1"/>
        </xdr:cNvPicPr>
      </xdr:nvPicPr>
      <xdr:blipFill>
        <a:blip xmlns:r="http://schemas.openxmlformats.org/officeDocument/2006/relationships" r:embed="rId439"/>
        <a:stretch>
          <a:fillRect/>
        </a:stretch>
      </xdr:blipFill>
      <xdr:spPr>
        <a:xfrm>
          <a:off x="7235825" y="598344625"/>
          <a:ext cx="878840" cy="1183640"/>
        </a:xfrm>
        <a:prstGeom prst="rect">
          <a:avLst/>
        </a:prstGeom>
      </xdr:spPr>
    </xdr:pic>
    <xdr:clientData/>
  </xdr:twoCellAnchor>
  <xdr:twoCellAnchor>
    <xdr:from>
      <xdr:col>9</xdr:col>
      <xdr:colOff>6350</xdr:colOff>
      <xdr:row>669</xdr:row>
      <xdr:rowOff>25400</xdr:rowOff>
    </xdr:from>
    <xdr:to>
      <xdr:col>9</xdr:col>
      <xdr:colOff>885190</xdr:colOff>
      <xdr:row>669</xdr:row>
      <xdr:rowOff>1209040</xdr:rowOff>
    </xdr:to>
    <xdr:pic>
      <xdr:nvPicPr>
        <xdr:cNvPr id="5672" name="Изображение 5671" descr="resizeПП-00275645"/>
        <xdr:cNvPicPr>
          <a:picLocks noChangeAspect="1"/>
        </xdr:cNvPicPr>
      </xdr:nvPicPr>
      <xdr:blipFill>
        <a:blip xmlns:r="http://schemas.openxmlformats.org/officeDocument/2006/relationships" r:embed="rId440"/>
        <a:stretch>
          <a:fillRect/>
        </a:stretch>
      </xdr:blipFill>
      <xdr:spPr>
        <a:xfrm>
          <a:off x="7235825" y="599567000"/>
          <a:ext cx="878840" cy="1183640"/>
        </a:xfrm>
        <a:prstGeom prst="rect">
          <a:avLst/>
        </a:prstGeom>
      </xdr:spPr>
    </xdr:pic>
    <xdr:clientData/>
  </xdr:twoCellAnchor>
  <xdr:twoCellAnchor>
    <xdr:from>
      <xdr:col>9</xdr:col>
      <xdr:colOff>6350</xdr:colOff>
      <xdr:row>670</xdr:row>
      <xdr:rowOff>25400</xdr:rowOff>
    </xdr:from>
    <xdr:to>
      <xdr:col>9</xdr:col>
      <xdr:colOff>885190</xdr:colOff>
      <xdr:row>670</xdr:row>
      <xdr:rowOff>1209040</xdr:rowOff>
    </xdr:to>
    <xdr:pic>
      <xdr:nvPicPr>
        <xdr:cNvPr id="5673" name="Изображение 5672" descr="resizeПП-00275649"/>
        <xdr:cNvPicPr>
          <a:picLocks noChangeAspect="1"/>
        </xdr:cNvPicPr>
      </xdr:nvPicPr>
      <xdr:blipFill>
        <a:blip xmlns:r="http://schemas.openxmlformats.org/officeDocument/2006/relationships" r:embed="rId441"/>
        <a:stretch>
          <a:fillRect/>
        </a:stretch>
      </xdr:blipFill>
      <xdr:spPr>
        <a:xfrm>
          <a:off x="7235825" y="600789375"/>
          <a:ext cx="878840" cy="1183640"/>
        </a:xfrm>
        <a:prstGeom prst="rect">
          <a:avLst/>
        </a:prstGeom>
      </xdr:spPr>
    </xdr:pic>
    <xdr:clientData/>
  </xdr:twoCellAnchor>
  <xdr:twoCellAnchor>
    <xdr:from>
      <xdr:col>9</xdr:col>
      <xdr:colOff>6350</xdr:colOff>
      <xdr:row>671</xdr:row>
      <xdr:rowOff>25400</xdr:rowOff>
    </xdr:from>
    <xdr:to>
      <xdr:col>9</xdr:col>
      <xdr:colOff>885190</xdr:colOff>
      <xdr:row>671</xdr:row>
      <xdr:rowOff>1209040</xdr:rowOff>
    </xdr:to>
    <xdr:pic>
      <xdr:nvPicPr>
        <xdr:cNvPr id="5674" name="Изображение 5673" descr="resizeПП-00275648"/>
        <xdr:cNvPicPr>
          <a:picLocks noChangeAspect="1"/>
        </xdr:cNvPicPr>
      </xdr:nvPicPr>
      <xdr:blipFill>
        <a:blip xmlns:r="http://schemas.openxmlformats.org/officeDocument/2006/relationships" r:embed="rId442"/>
        <a:stretch>
          <a:fillRect/>
        </a:stretch>
      </xdr:blipFill>
      <xdr:spPr>
        <a:xfrm>
          <a:off x="7235825" y="602011750"/>
          <a:ext cx="878840" cy="1183640"/>
        </a:xfrm>
        <a:prstGeom prst="rect">
          <a:avLst/>
        </a:prstGeom>
      </xdr:spPr>
    </xdr:pic>
    <xdr:clientData/>
  </xdr:twoCellAnchor>
  <xdr:twoCellAnchor>
    <xdr:from>
      <xdr:col>9</xdr:col>
      <xdr:colOff>6350</xdr:colOff>
      <xdr:row>672</xdr:row>
      <xdr:rowOff>25400</xdr:rowOff>
    </xdr:from>
    <xdr:to>
      <xdr:col>9</xdr:col>
      <xdr:colOff>885190</xdr:colOff>
      <xdr:row>672</xdr:row>
      <xdr:rowOff>1209040</xdr:rowOff>
    </xdr:to>
    <xdr:pic>
      <xdr:nvPicPr>
        <xdr:cNvPr id="5675" name="Изображение 5674" descr="resizeПП-00275642"/>
        <xdr:cNvPicPr>
          <a:picLocks noChangeAspect="1"/>
        </xdr:cNvPicPr>
      </xdr:nvPicPr>
      <xdr:blipFill>
        <a:blip xmlns:r="http://schemas.openxmlformats.org/officeDocument/2006/relationships" r:embed="rId443"/>
        <a:stretch>
          <a:fillRect/>
        </a:stretch>
      </xdr:blipFill>
      <xdr:spPr>
        <a:xfrm>
          <a:off x="7235825" y="603234125"/>
          <a:ext cx="878840" cy="1183640"/>
        </a:xfrm>
        <a:prstGeom prst="rect">
          <a:avLst/>
        </a:prstGeom>
      </xdr:spPr>
    </xdr:pic>
    <xdr:clientData/>
  </xdr:twoCellAnchor>
  <xdr:twoCellAnchor>
    <xdr:from>
      <xdr:col>9</xdr:col>
      <xdr:colOff>6350</xdr:colOff>
      <xdr:row>673</xdr:row>
      <xdr:rowOff>25400</xdr:rowOff>
    </xdr:from>
    <xdr:to>
      <xdr:col>9</xdr:col>
      <xdr:colOff>885190</xdr:colOff>
      <xdr:row>673</xdr:row>
      <xdr:rowOff>1209040</xdr:rowOff>
    </xdr:to>
    <xdr:pic>
      <xdr:nvPicPr>
        <xdr:cNvPr id="5676" name="Изображение 5675" descr="resizeПП-00275644"/>
        <xdr:cNvPicPr>
          <a:picLocks noChangeAspect="1"/>
        </xdr:cNvPicPr>
      </xdr:nvPicPr>
      <xdr:blipFill>
        <a:blip xmlns:r="http://schemas.openxmlformats.org/officeDocument/2006/relationships" r:embed="rId444"/>
        <a:stretch>
          <a:fillRect/>
        </a:stretch>
      </xdr:blipFill>
      <xdr:spPr>
        <a:xfrm>
          <a:off x="7235825" y="604456500"/>
          <a:ext cx="878840" cy="1183640"/>
        </a:xfrm>
        <a:prstGeom prst="rect">
          <a:avLst/>
        </a:prstGeom>
      </xdr:spPr>
    </xdr:pic>
    <xdr:clientData/>
  </xdr:twoCellAnchor>
  <xdr:twoCellAnchor>
    <xdr:from>
      <xdr:col>9</xdr:col>
      <xdr:colOff>6350</xdr:colOff>
      <xdr:row>675</xdr:row>
      <xdr:rowOff>25400</xdr:rowOff>
    </xdr:from>
    <xdr:to>
      <xdr:col>9</xdr:col>
      <xdr:colOff>885190</xdr:colOff>
      <xdr:row>675</xdr:row>
      <xdr:rowOff>1209040</xdr:rowOff>
    </xdr:to>
    <xdr:pic>
      <xdr:nvPicPr>
        <xdr:cNvPr id="5677" name="Изображение 5676" descr="resizeПП-00255182"/>
        <xdr:cNvPicPr>
          <a:picLocks noChangeAspect="1"/>
        </xdr:cNvPicPr>
      </xdr:nvPicPr>
      <xdr:blipFill>
        <a:blip xmlns:r="http://schemas.openxmlformats.org/officeDocument/2006/relationships" r:embed="rId445"/>
        <a:stretch>
          <a:fillRect/>
        </a:stretch>
      </xdr:blipFill>
      <xdr:spPr>
        <a:xfrm>
          <a:off x="7235825" y="605831275"/>
          <a:ext cx="878840" cy="1183640"/>
        </a:xfrm>
        <a:prstGeom prst="rect">
          <a:avLst/>
        </a:prstGeom>
      </xdr:spPr>
    </xdr:pic>
    <xdr:clientData/>
  </xdr:twoCellAnchor>
  <xdr:twoCellAnchor>
    <xdr:from>
      <xdr:col>9</xdr:col>
      <xdr:colOff>6350</xdr:colOff>
      <xdr:row>676</xdr:row>
      <xdr:rowOff>25400</xdr:rowOff>
    </xdr:from>
    <xdr:to>
      <xdr:col>9</xdr:col>
      <xdr:colOff>885190</xdr:colOff>
      <xdr:row>676</xdr:row>
      <xdr:rowOff>1209040</xdr:rowOff>
    </xdr:to>
    <xdr:pic>
      <xdr:nvPicPr>
        <xdr:cNvPr id="5678" name="Изображение 5677" descr="resizeПП-00275636"/>
        <xdr:cNvPicPr>
          <a:picLocks noChangeAspect="1"/>
        </xdr:cNvPicPr>
      </xdr:nvPicPr>
      <xdr:blipFill>
        <a:blip xmlns:r="http://schemas.openxmlformats.org/officeDocument/2006/relationships" r:embed="rId446"/>
        <a:stretch>
          <a:fillRect/>
        </a:stretch>
      </xdr:blipFill>
      <xdr:spPr>
        <a:xfrm>
          <a:off x="7235825" y="607053650"/>
          <a:ext cx="878840" cy="1183640"/>
        </a:xfrm>
        <a:prstGeom prst="rect">
          <a:avLst/>
        </a:prstGeom>
      </xdr:spPr>
    </xdr:pic>
    <xdr:clientData/>
  </xdr:twoCellAnchor>
  <xdr:twoCellAnchor>
    <xdr:from>
      <xdr:col>9</xdr:col>
      <xdr:colOff>6350</xdr:colOff>
      <xdr:row>677</xdr:row>
      <xdr:rowOff>25400</xdr:rowOff>
    </xdr:from>
    <xdr:to>
      <xdr:col>9</xdr:col>
      <xdr:colOff>885190</xdr:colOff>
      <xdr:row>677</xdr:row>
      <xdr:rowOff>1209040</xdr:rowOff>
    </xdr:to>
    <xdr:pic>
      <xdr:nvPicPr>
        <xdr:cNvPr id="5679" name="Изображение 5678" descr="resizeПП-00275637"/>
        <xdr:cNvPicPr>
          <a:picLocks noChangeAspect="1"/>
        </xdr:cNvPicPr>
      </xdr:nvPicPr>
      <xdr:blipFill>
        <a:blip xmlns:r="http://schemas.openxmlformats.org/officeDocument/2006/relationships" r:embed="rId447"/>
        <a:stretch>
          <a:fillRect/>
        </a:stretch>
      </xdr:blipFill>
      <xdr:spPr>
        <a:xfrm>
          <a:off x="7235825" y="608276025"/>
          <a:ext cx="878840" cy="1183640"/>
        </a:xfrm>
        <a:prstGeom prst="rect">
          <a:avLst/>
        </a:prstGeom>
      </xdr:spPr>
    </xdr:pic>
    <xdr:clientData/>
  </xdr:twoCellAnchor>
  <xdr:twoCellAnchor>
    <xdr:from>
      <xdr:col>9</xdr:col>
      <xdr:colOff>6350</xdr:colOff>
      <xdr:row>678</xdr:row>
      <xdr:rowOff>25400</xdr:rowOff>
    </xdr:from>
    <xdr:to>
      <xdr:col>9</xdr:col>
      <xdr:colOff>885190</xdr:colOff>
      <xdr:row>678</xdr:row>
      <xdr:rowOff>1209040</xdr:rowOff>
    </xdr:to>
    <xdr:pic>
      <xdr:nvPicPr>
        <xdr:cNvPr id="5680" name="Изображение 5679" descr="resizeПП-00275638"/>
        <xdr:cNvPicPr>
          <a:picLocks noChangeAspect="1"/>
        </xdr:cNvPicPr>
      </xdr:nvPicPr>
      <xdr:blipFill>
        <a:blip xmlns:r="http://schemas.openxmlformats.org/officeDocument/2006/relationships" r:embed="rId448"/>
        <a:stretch>
          <a:fillRect/>
        </a:stretch>
      </xdr:blipFill>
      <xdr:spPr>
        <a:xfrm>
          <a:off x="7235825" y="609498400"/>
          <a:ext cx="878840" cy="1183640"/>
        </a:xfrm>
        <a:prstGeom prst="rect">
          <a:avLst/>
        </a:prstGeom>
      </xdr:spPr>
    </xdr:pic>
    <xdr:clientData/>
  </xdr:twoCellAnchor>
  <xdr:twoCellAnchor>
    <xdr:from>
      <xdr:col>9</xdr:col>
      <xdr:colOff>6350</xdr:colOff>
      <xdr:row>679</xdr:row>
      <xdr:rowOff>25400</xdr:rowOff>
    </xdr:from>
    <xdr:to>
      <xdr:col>9</xdr:col>
      <xdr:colOff>885190</xdr:colOff>
      <xdr:row>679</xdr:row>
      <xdr:rowOff>1209040</xdr:rowOff>
    </xdr:to>
    <xdr:pic>
      <xdr:nvPicPr>
        <xdr:cNvPr id="5681" name="Изображение 5680" descr="resizeПП-00275639"/>
        <xdr:cNvPicPr>
          <a:picLocks noChangeAspect="1"/>
        </xdr:cNvPicPr>
      </xdr:nvPicPr>
      <xdr:blipFill>
        <a:blip xmlns:r="http://schemas.openxmlformats.org/officeDocument/2006/relationships" r:embed="rId449"/>
        <a:stretch>
          <a:fillRect/>
        </a:stretch>
      </xdr:blipFill>
      <xdr:spPr>
        <a:xfrm>
          <a:off x="7235825" y="610720775"/>
          <a:ext cx="878840" cy="1183640"/>
        </a:xfrm>
        <a:prstGeom prst="rect">
          <a:avLst/>
        </a:prstGeom>
      </xdr:spPr>
    </xdr:pic>
    <xdr:clientData/>
  </xdr:twoCellAnchor>
  <xdr:twoCellAnchor>
    <xdr:from>
      <xdr:col>9</xdr:col>
      <xdr:colOff>6350</xdr:colOff>
      <xdr:row>680</xdr:row>
      <xdr:rowOff>25400</xdr:rowOff>
    </xdr:from>
    <xdr:to>
      <xdr:col>9</xdr:col>
      <xdr:colOff>885190</xdr:colOff>
      <xdr:row>680</xdr:row>
      <xdr:rowOff>1209040</xdr:rowOff>
    </xdr:to>
    <xdr:pic>
      <xdr:nvPicPr>
        <xdr:cNvPr id="5682" name="Изображение 5681" descr="resizeПП-00275640"/>
        <xdr:cNvPicPr>
          <a:picLocks noChangeAspect="1"/>
        </xdr:cNvPicPr>
      </xdr:nvPicPr>
      <xdr:blipFill>
        <a:blip xmlns:r="http://schemas.openxmlformats.org/officeDocument/2006/relationships" r:embed="rId450"/>
        <a:stretch>
          <a:fillRect/>
        </a:stretch>
      </xdr:blipFill>
      <xdr:spPr>
        <a:xfrm>
          <a:off x="7235825" y="611943150"/>
          <a:ext cx="878840" cy="1183640"/>
        </a:xfrm>
        <a:prstGeom prst="rect">
          <a:avLst/>
        </a:prstGeom>
      </xdr:spPr>
    </xdr:pic>
    <xdr:clientData/>
  </xdr:twoCellAnchor>
  <xdr:twoCellAnchor>
    <xdr:from>
      <xdr:col>9</xdr:col>
      <xdr:colOff>6350</xdr:colOff>
      <xdr:row>681</xdr:row>
      <xdr:rowOff>25400</xdr:rowOff>
    </xdr:from>
    <xdr:to>
      <xdr:col>9</xdr:col>
      <xdr:colOff>885190</xdr:colOff>
      <xdr:row>681</xdr:row>
      <xdr:rowOff>1209040</xdr:rowOff>
    </xdr:to>
    <xdr:pic>
      <xdr:nvPicPr>
        <xdr:cNvPr id="5683" name="Изображение 5682" descr="resizeПП-00275641"/>
        <xdr:cNvPicPr>
          <a:picLocks noChangeAspect="1"/>
        </xdr:cNvPicPr>
      </xdr:nvPicPr>
      <xdr:blipFill>
        <a:blip xmlns:r="http://schemas.openxmlformats.org/officeDocument/2006/relationships" r:embed="rId451"/>
        <a:stretch>
          <a:fillRect/>
        </a:stretch>
      </xdr:blipFill>
      <xdr:spPr>
        <a:xfrm>
          <a:off x="7235825" y="613165525"/>
          <a:ext cx="878840" cy="1183640"/>
        </a:xfrm>
        <a:prstGeom prst="rect">
          <a:avLst/>
        </a:prstGeom>
      </xdr:spPr>
    </xdr:pic>
    <xdr:clientData/>
  </xdr:twoCellAnchor>
  <xdr:twoCellAnchor>
    <xdr:from>
      <xdr:col>9</xdr:col>
      <xdr:colOff>6350</xdr:colOff>
      <xdr:row>683</xdr:row>
      <xdr:rowOff>25400</xdr:rowOff>
    </xdr:from>
    <xdr:to>
      <xdr:col>9</xdr:col>
      <xdr:colOff>885190</xdr:colOff>
      <xdr:row>683</xdr:row>
      <xdr:rowOff>1209040</xdr:rowOff>
    </xdr:to>
    <xdr:pic>
      <xdr:nvPicPr>
        <xdr:cNvPr id="5684" name="Изображение 5683" descr="resizeПП-00239900"/>
        <xdr:cNvPicPr>
          <a:picLocks noChangeAspect="1"/>
        </xdr:cNvPicPr>
      </xdr:nvPicPr>
      <xdr:blipFill>
        <a:blip xmlns:r="http://schemas.openxmlformats.org/officeDocument/2006/relationships" r:embed="rId452"/>
        <a:stretch>
          <a:fillRect/>
        </a:stretch>
      </xdr:blipFill>
      <xdr:spPr>
        <a:xfrm>
          <a:off x="7235825" y="614540300"/>
          <a:ext cx="878840" cy="1183640"/>
        </a:xfrm>
        <a:prstGeom prst="rect">
          <a:avLst/>
        </a:prstGeom>
      </xdr:spPr>
    </xdr:pic>
    <xdr:clientData/>
  </xdr:twoCellAnchor>
  <xdr:twoCellAnchor>
    <xdr:from>
      <xdr:col>9</xdr:col>
      <xdr:colOff>6350</xdr:colOff>
      <xdr:row>685</xdr:row>
      <xdr:rowOff>25400</xdr:rowOff>
    </xdr:from>
    <xdr:to>
      <xdr:col>9</xdr:col>
      <xdr:colOff>885190</xdr:colOff>
      <xdr:row>685</xdr:row>
      <xdr:rowOff>1209040</xdr:rowOff>
    </xdr:to>
    <xdr:pic>
      <xdr:nvPicPr>
        <xdr:cNvPr id="5685" name="Изображение 5684" descr="resizeПП-00272417"/>
        <xdr:cNvPicPr>
          <a:picLocks noChangeAspect="1"/>
        </xdr:cNvPicPr>
      </xdr:nvPicPr>
      <xdr:blipFill>
        <a:blip xmlns:r="http://schemas.openxmlformats.org/officeDocument/2006/relationships" r:embed="rId453"/>
        <a:stretch>
          <a:fillRect/>
        </a:stretch>
      </xdr:blipFill>
      <xdr:spPr>
        <a:xfrm>
          <a:off x="7235825" y="615915075"/>
          <a:ext cx="878840" cy="1183640"/>
        </a:xfrm>
        <a:prstGeom prst="rect">
          <a:avLst/>
        </a:prstGeom>
      </xdr:spPr>
    </xdr:pic>
    <xdr:clientData/>
  </xdr:twoCellAnchor>
  <xdr:twoCellAnchor>
    <xdr:from>
      <xdr:col>9</xdr:col>
      <xdr:colOff>6350</xdr:colOff>
      <xdr:row>687</xdr:row>
      <xdr:rowOff>25400</xdr:rowOff>
    </xdr:from>
    <xdr:to>
      <xdr:col>9</xdr:col>
      <xdr:colOff>885190</xdr:colOff>
      <xdr:row>687</xdr:row>
      <xdr:rowOff>1209040</xdr:rowOff>
    </xdr:to>
    <xdr:pic>
      <xdr:nvPicPr>
        <xdr:cNvPr id="5686" name="Изображение 5685" descr="resizeПП-00203457"/>
        <xdr:cNvPicPr>
          <a:picLocks noChangeAspect="1"/>
        </xdr:cNvPicPr>
      </xdr:nvPicPr>
      <xdr:blipFill>
        <a:blip xmlns:r="http://schemas.openxmlformats.org/officeDocument/2006/relationships" r:embed="rId454"/>
        <a:stretch>
          <a:fillRect/>
        </a:stretch>
      </xdr:blipFill>
      <xdr:spPr>
        <a:xfrm>
          <a:off x="7235825" y="617289850"/>
          <a:ext cx="878840" cy="1183640"/>
        </a:xfrm>
        <a:prstGeom prst="rect">
          <a:avLst/>
        </a:prstGeom>
      </xdr:spPr>
    </xdr:pic>
    <xdr:clientData/>
  </xdr:twoCellAnchor>
  <xdr:twoCellAnchor>
    <xdr:from>
      <xdr:col>9</xdr:col>
      <xdr:colOff>6350</xdr:colOff>
      <xdr:row>688</xdr:row>
      <xdr:rowOff>25400</xdr:rowOff>
    </xdr:from>
    <xdr:to>
      <xdr:col>9</xdr:col>
      <xdr:colOff>885190</xdr:colOff>
      <xdr:row>688</xdr:row>
      <xdr:rowOff>1209040</xdr:rowOff>
    </xdr:to>
    <xdr:pic>
      <xdr:nvPicPr>
        <xdr:cNvPr id="5687" name="Изображение 5686" descr="resizeПП-00203449"/>
        <xdr:cNvPicPr>
          <a:picLocks noChangeAspect="1"/>
        </xdr:cNvPicPr>
      </xdr:nvPicPr>
      <xdr:blipFill>
        <a:blip xmlns:r="http://schemas.openxmlformats.org/officeDocument/2006/relationships" r:embed="rId455"/>
        <a:stretch>
          <a:fillRect/>
        </a:stretch>
      </xdr:blipFill>
      <xdr:spPr>
        <a:xfrm>
          <a:off x="7235825" y="618512225"/>
          <a:ext cx="878840" cy="1183640"/>
        </a:xfrm>
        <a:prstGeom prst="rect">
          <a:avLst/>
        </a:prstGeom>
      </xdr:spPr>
    </xdr:pic>
    <xdr:clientData/>
  </xdr:twoCellAnchor>
  <xdr:twoCellAnchor>
    <xdr:from>
      <xdr:col>9</xdr:col>
      <xdr:colOff>6350</xdr:colOff>
      <xdr:row>689</xdr:row>
      <xdr:rowOff>25400</xdr:rowOff>
    </xdr:from>
    <xdr:to>
      <xdr:col>9</xdr:col>
      <xdr:colOff>885190</xdr:colOff>
      <xdr:row>689</xdr:row>
      <xdr:rowOff>1209040</xdr:rowOff>
    </xdr:to>
    <xdr:pic>
      <xdr:nvPicPr>
        <xdr:cNvPr id="5688" name="Изображение 5687" descr="resizeПП-00258175"/>
        <xdr:cNvPicPr>
          <a:picLocks noChangeAspect="1"/>
        </xdr:cNvPicPr>
      </xdr:nvPicPr>
      <xdr:blipFill>
        <a:blip xmlns:r="http://schemas.openxmlformats.org/officeDocument/2006/relationships" r:embed="rId456"/>
        <a:stretch>
          <a:fillRect/>
        </a:stretch>
      </xdr:blipFill>
      <xdr:spPr>
        <a:xfrm>
          <a:off x="7235825" y="619734600"/>
          <a:ext cx="878840" cy="1183640"/>
        </a:xfrm>
        <a:prstGeom prst="rect">
          <a:avLst/>
        </a:prstGeom>
      </xdr:spPr>
    </xdr:pic>
    <xdr:clientData/>
  </xdr:twoCellAnchor>
  <xdr:twoCellAnchor>
    <xdr:from>
      <xdr:col>9</xdr:col>
      <xdr:colOff>6350</xdr:colOff>
      <xdr:row>690</xdr:row>
      <xdr:rowOff>25400</xdr:rowOff>
    </xdr:from>
    <xdr:to>
      <xdr:col>9</xdr:col>
      <xdr:colOff>885190</xdr:colOff>
      <xdr:row>690</xdr:row>
      <xdr:rowOff>1209040</xdr:rowOff>
    </xdr:to>
    <xdr:pic>
      <xdr:nvPicPr>
        <xdr:cNvPr id="5689" name="Изображение 5688" descr="resizeПП-00258173"/>
        <xdr:cNvPicPr>
          <a:picLocks noChangeAspect="1"/>
        </xdr:cNvPicPr>
      </xdr:nvPicPr>
      <xdr:blipFill>
        <a:blip xmlns:r="http://schemas.openxmlformats.org/officeDocument/2006/relationships" r:embed="rId457"/>
        <a:stretch>
          <a:fillRect/>
        </a:stretch>
      </xdr:blipFill>
      <xdr:spPr>
        <a:xfrm>
          <a:off x="7235825" y="620956975"/>
          <a:ext cx="878840" cy="1183640"/>
        </a:xfrm>
        <a:prstGeom prst="rect">
          <a:avLst/>
        </a:prstGeom>
      </xdr:spPr>
    </xdr:pic>
    <xdr:clientData/>
  </xdr:twoCellAnchor>
  <xdr:twoCellAnchor>
    <xdr:from>
      <xdr:col>9</xdr:col>
      <xdr:colOff>6350</xdr:colOff>
      <xdr:row>691</xdr:row>
      <xdr:rowOff>25400</xdr:rowOff>
    </xdr:from>
    <xdr:to>
      <xdr:col>9</xdr:col>
      <xdr:colOff>885190</xdr:colOff>
      <xdr:row>691</xdr:row>
      <xdr:rowOff>1209040</xdr:rowOff>
    </xdr:to>
    <xdr:pic>
      <xdr:nvPicPr>
        <xdr:cNvPr id="5690" name="Изображение 5689" descr="resizeПП-00227873"/>
        <xdr:cNvPicPr>
          <a:picLocks noChangeAspect="1"/>
        </xdr:cNvPicPr>
      </xdr:nvPicPr>
      <xdr:blipFill>
        <a:blip xmlns:r="http://schemas.openxmlformats.org/officeDocument/2006/relationships" r:embed="rId458"/>
        <a:stretch>
          <a:fillRect/>
        </a:stretch>
      </xdr:blipFill>
      <xdr:spPr>
        <a:xfrm>
          <a:off x="7235825" y="622179350"/>
          <a:ext cx="878840" cy="1183640"/>
        </a:xfrm>
        <a:prstGeom prst="rect">
          <a:avLst/>
        </a:prstGeom>
      </xdr:spPr>
    </xdr:pic>
    <xdr:clientData/>
  </xdr:twoCellAnchor>
  <xdr:twoCellAnchor>
    <xdr:from>
      <xdr:col>9</xdr:col>
      <xdr:colOff>6350</xdr:colOff>
      <xdr:row>692</xdr:row>
      <xdr:rowOff>25400</xdr:rowOff>
    </xdr:from>
    <xdr:to>
      <xdr:col>9</xdr:col>
      <xdr:colOff>885190</xdr:colOff>
      <xdr:row>692</xdr:row>
      <xdr:rowOff>1209040</xdr:rowOff>
    </xdr:to>
    <xdr:pic>
      <xdr:nvPicPr>
        <xdr:cNvPr id="5691" name="Изображение 5690" descr="resizeПП-00227875"/>
        <xdr:cNvPicPr>
          <a:picLocks noChangeAspect="1"/>
        </xdr:cNvPicPr>
      </xdr:nvPicPr>
      <xdr:blipFill>
        <a:blip xmlns:r="http://schemas.openxmlformats.org/officeDocument/2006/relationships" r:embed="rId459"/>
        <a:stretch>
          <a:fillRect/>
        </a:stretch>
      </xdr:blipFill>
      <xdr:spPr>
        <a:xfrm>
          <a:off x="7235825" y="623401725"/>
          <a:ext cx="878840" cy="1183640"/>
        </a:xfrm>
        <a:prstGeom prst="rect">
          <a:avLst/>
        </a:prstGeom>
      </xdr:spPr>
    </xdr:pic>
    <xdr:clientData/>
  </xdr:twoCellAnchor>
  <xdr:twoCellAnchor>
    <xdr:from>
      <xdr:col>9</xdr:col>
      <xdr:colOff>6350</xdr:colOff>
      <xdr:row>693</xdr:row>
      <xdr:rowOff>25400</xdr:rowOff>
    </xdr:from>
    <xdr:to>
      <xdr:col>9</xdr:col>
      <xdr:colOff>885190</xdr:colOff>
      <xdr:row>693</xdr:row>
      <xdr:rowOff>1209040</xdr:rowOff>
    </xdr:to>
    <xdr:pic>
      <xdr:nvPicPr>
        <xdr:cNvPr id="5692" name="Изображение 5691" descr="resizeПП-00203442"/>
        <xdr:cNvPicPr>
          <a:picLocks noChangeAspect="1"/>
        </xdr:cNvPicPr>
      </xdr:nvPicPr>
      <xdr:blipFill>
        <a:blip xmlns:r="http://schemas.openxmlformats.org/officeDocument/2006/relationships" r:embed="rId460"/>
        <a:stretch>
          <a:fillRect/>
        </a:stretch>
      </xdr:blipFill>
      <xdr:spPr>
        <a:xfrm>
          <a:off x="7235825" y="624624100"/>
          <a:ext cx="878840" cy="1183640"/>
        </a:xfrm>
        <a:prstGeom prst="rect">
          <a:avLst/>
        </a:prstGeom>
      </xdr:spPr>
    </xdr:pic>
    <xdr:clientData/>
  </xdr:twoCellAnchor>
  <xdr:twoCellAnchor>
    <xdr:from>
      <xdr:col>9</xdr:col>
      <xdr:colOff>6350</xdr:colOff>
      <xdr:row>694</xdr:row>
      <xdr:rowOff>25400</xdr:rowOff>
    </xdr:from>
    <xdr:to>
      <xdr:col>9</xdr:col>
      <xdr:colOff>885190</xdr:colOff>
      <xdr:row>694</xdr:row>
      <xdr:rowOff>1209040</xdr:rowOff>
    </xdr:to>
    <xdr:pic>
      <xdr:nvPicPr>
        <xdr:cNvPr id="5693" name="Изображение 5692" descr="resizeПП-00227877"/>
        <xdr:cNvPicPr>
          <a:picLocks noChangeAspect="1"/>
        </xdr:cNvPicPr>
      </xdr:nvPicPr>
      <xdr:blipFill>
        <a:blip xmlns:r="http://schemas.openxmlformats.org/officeDocument/2006/relationships" r:embed="rId461"/>
        <a:stretch>
          <a:fillRect/>
        </a:stretch>
      </xdr:blipFill>
      <xdr:spPr>
        <a:xfrm>
          <a:off x="7235825" y="625846475"/>
          <a:ext cx="878840" cy="1183640"/>
        </a:xfrm>
        <a:prstGeom prst="rect">
          <a:avLst/>
        </a:prstGeom>
      </xdr:spPr>
    </xdr:pic>
    <xdr:clientData/>
  </xdr:twoCellAnchor>
  <xdr:twoCellAnchor>
    <xdr:from>
      <xdr:col>9</xdr:col>
      <xdr:colOff>6350</xdr:colOff>
      <xdr:row>695</xdr:row>
      <xdr:rowOff>25400</xdr:rowOff>
    </xdr:from>
    <xdr:to>
      <xdr:col>9</xdr:col>
      <xdr:colOff>885190</xdr:colOff>
      <xdr:row>695</xdr:row>
      <xdr:rowOff>1209040</xdr:rowOff>
    </xdr:to>
    <xdr:pic>
      <xdr:nvPicPr>
        <xdr:cNvPr id="5694" name="Изображение 5693" descr="resizeПП-00251501"/>
        <xdr:cNvPicPr>
          <a:picLocks noChangeAspect="1"/>
        </xdr:cNvPicPr>
      </xdr:nvPicPr>
      <xdr:blipFill>
        <a:blip xmlns:r="http://schemas.openxmlformats.org/officeDocument/2006/relationships" r:embed="rId462"/>
        <a:stretch>
          <a:fillRect/>
        </a:stretch>
      </xdr:blipFill>
      <xdr:spPr>
        <a:xfrm>
          <a:off x="7235825" y="627068850"/>
          <a:ext cx="878840" cy="1183640"/>
        </a:xfrm>
        <a:prstGeom prst="rect">
          <a:avLst/>
        </a:prstGeom>
      </xdr:spPr>
    </xdr:pic>
    <xdr:clientData/>
  </xdr:twoCellAnchor>
  <xdr:twoCellAnchor>
    <xdr:from>
      <xdr:col>9</xdr:col>
      <xdr:colOff>6350</xdr:colOff>
      <xdr:row>696</xdr:row>
      <xdr:rowOff>25400</xdr:rowOff>
    </xdr:from>
    <xdr:to>
      <xdr:col>9</xdr:col>
      <xdr:colOff>885190</xdr:colOff>
      <xdr:row>696</xdr:row>
      <xdr:rowOff>1209040</xdr:rowOff>
    </xdr:to>
    <xdr:pic>
      <xdr:nvPicPr>
        <xdr:cNvPr id="5695" name="Изображение 5694" descr="resizeПП-00227876"/>
        <xdr:cNvPicPr>
          <a:picLocks noChangeAspect="1"/>
        </xdr:cNvPicPr>
      </xdr:nvPicPr>
      <xdr:blipFill>
        <a:blip xmlns:r="http://schemas.openxmlformats.org/officeDocument/2006/relationships" r:embed="rId463"/>
        <a:stretch>
          <a:fillRect/>
        </a:stretch>
      </xdr:blipFill>
      <xdr:spPr>
        <a:xfrm>
          <a:off x="7235825" y="628291225"/>
          <a:ext cx="878840" cy="1183640"/>
        </a:xfrm>
        <a:prstGeom prst="rect">
          <a:avLst/>
        </a:prstGeom>
      </xdr:spPr>
    </xdr:pic>
    <xdr:clientData/>
  </xdr:twoCellAnchor>
  <xdr:twoCellAnchor>
    <xdr:from>
      <xdr:col>9</xdr:col>
      <xdr:colOff>6350</xdr:colOff>
      <xdr:row>697</xdr:row>
      <xdr:rowOff>25400</xdr:rowOff>
    </xdr:from>
    <xdr:to>
      <xdr:col>9</xdr:col>
      <xdr:colOff>885190</xdr:colOff>
      <xdr:row>697</xdr:row>
      <xdr:rowOff>1209040</xdr:rowOff>
    </xdr:to>
    <xdr:pic>
      <xdr:nvPicPr>
        <xdr:cNvPr id="5696" name="Изображение 5695" descr="resizeПП-00203447"/>
        <xdr:cNvPicPr>
          <a:picLocks noChangeAspect="1"/>
        </xdr:cNvPicPr>
      </xdr:nvPicPr>
      <xdr:blipFill>
        <a:blip xmlns:r="http://schemas.openxmlformats.org/officeDocument/2006/relationships" r:embed="rId464"/>
        <a:stretch>
          <a:fillRect/>
        </a:stretch>
      </xdr:blipFill>
      <xdr:spPr>
        <a:xfrm>
          <a:off x="7235825" y="629513600"/>
          <a:ext cx="878840" cy="1183640"/>
        </a:xfrm>
        <a:prstGeom prst="rect">
          <a:avLst/>
        </a:prstGeom>
      </xdr:spPr>
    </xdr:pic>
    <xdr:clientData/>
  </xdr:twoCellAnchor>
  <xdr:twoCellAnchor>
    <xdr:from>
      <xdr:col>9</xdr:col>
      <xdr:colOff>6350</xdr:colOff>
      <xdr:row>698</xdr:row>
      <xdr:rowOff>25400</xdr:rowOff>
    </xdr:from>
    <xdr:to>
      <xdr:col>9</xdr:col>
      <xdr:colOff>885190</xdr:colOff>
      <xdr:row>698</xdr:row>
      <xdr:rowOff>1209040</xdr:rowOff>
    </xdr:to>
    <xdr:pic>
      <xdr:nvPicPr>
        <xdr:cNvPr id="5697" name="Изображение 5696" descr="resizeПП-00231875"/>
        <xdr:cNvPicPr>
          <a:picLocks noChangeAspect="1"/>
        </xdr:cNvPicPr>
      </xdr:nvPicPr>
      <xdr:blipFill>
        <a:blip xmlns:r="http://schemas.openxmlformats.org/officeDocument/2006/relationships" r:embed="rId465"/>
        <a:stretch>
          <a:fillRect/>
        </a:stretch>
      </xdr:blipFill>
      <xdr:spPr>
        <a:xfrm>
          <a:off x="7235825" y="630735975"/>
          <a:ext cx="878840" cy="1183640"/>
        </a:xfrm>
        <a:prstGeom prst="rect">
          <a:avLst/>
        </a:prstGeom>
      </xdr:spPr>
    </xdr:pic>
    <xdr:clientData/>
  </xdr:twoCellAnchor>
  <xdr:twoCellAnchor>
    <xdr:from>
      <xdr:col>9</xdr:col>
      <xdr:colOff>6350</xdr:colOff>
      <xdr:row>699</xdr:row>
      <xdr:rowOff>25400</xdr:rowOff>
    </xdr:from>
    <xdr:to>
      <xdr:col>9</xdr:col>
      <xdr:colOff>885190</xdr:colOff>
      <xdr:row>699</xdr:row>
      <xdr:rowOff>1209040</xdr:rowOff>
    </xdr:to>
    <xdr:pic>
      <xdr:nvPicPr>
        <xdr:cNvPr id="5698" name="Изображение 5697" descr="resizeПП-00231876"/>
        <xdr:cNvPicPr>
          <a:picLocks noChangeAspect="1"/>
        </xdr:cNvPicPr>
      </xdr:nvPicPr>
      <xdr:blipFill>
        <a:blip xmlns:r="http://schemas.openxmlformats.org/officeDocument/2006/relationships" r:embed="rId466"/>
        <a:stretch>
          <a:fillRect/>
        </a:stretch>
      </xdr:blipFill>
      <xdr:spPr>
        <a:xfrm>
          <a:off x="7235825" y="631958350"/>
          <a:ext cx="878840" cy="1183640"/>
        </a:xfrm>
        <a:prstGeom prst="rect">
          <a:avLst/>
        </a:prstGeom>
      </xdr:spPr>
    </xdr:pic>
    <xdr:clientData/>
  </xdr:twoCellAnchor>
  <xdr:twoCellAnchor>
    <xdr:from>
      <xdr:col>9</xdr:col>
      <xdr:colOff>6350</xdr:colOff>
      <xdr:row>700</xdr:row>
      <xdr:rowOff>25400</xdr:rowOff>
    </xdr:from>
    <xdr:to>
      <xdr:col>9</xdr:col>
      <xdr:colOff>885190</xdr:colOff>
      <xdr:row>700</xdr:row>
      <xdr:rowOff>1209040</xdr:rowOff>
    </xdr:to>
    <xdr:pic>
      <xdr:nvPicPr>
        <xdr:cNvPr id="5699" name="Изображение 5698" descr="resizeПП-00231872"/>
        <xdr:cNvPicPr>
          <a:picLocks noChangeAspect="1"/>
        </xdr:cNvPicPr>
      </xdr:nvPicPr>
      <xdr:blipFill>
        <a:blip xmlns:r="http://schemas.openxmlformats.org/officeDocument/2006/relationships" r:embed="rId467"/>
        <a:stretch>
          <a:fillRect/>
        </a:stretch>
      </xdr:blipFill>
      <xdr:spPr>
        <a:xfrm>
          <a:off x="7235825" y="633180725"/>
          <a:ext cx="878840" cy="1183640"/>
        </a:xfrm>
        <a:prstGeom prst="rect">
          <a:avLst/>
        </a:prstGeom>
      </xdr:spPr>
    </xdr:pic>
    <xdr:clientData/>
  </xdr:twoCellAnchor>
  <xdr:twoCellAnchor>
    <xdr:from>
      <xdr:col>9</xdr:col>
      <xdr:colOff>6350</xdr:colOff>
      <xdr:row>701</xdr:row>
      <xdr:rowOff>25400</xdr:rowOff>
    </xdr:from>
    <xdr:to>
      <xdr:col>9</xdr:col>
      <xdr:colOff>885190</xdr:colOff>
      <xdr:row>701</xdr:row>
      <xdr:rowOff>1209040</xdr:rowOff>
    </xdr:to>
    <xdr:pic>
      <xdr:nvPicPr>
        <xdr:cNvPr id="5700" name="Изображение 5699" descr="resizeПП-00203444"/>
        <xdr:cNvPicPr>
          <a:picLocks noChangeAspect="1"/>
        </xdr:cNvPicPr>
      </xdr:nvPicPr>
      <xdr:blipFill>
        <a:blip xmlns:r="http://schemas.openxmlformats.org/officeDocument/2006/relationships" r:embed="rId468"/>
        <a:stretch>
          <a:fillRect/>
        </a:stretch>
      </xdr:blipFill>
      <xdr:spPr>
        <a:xfrm>
          <a:off x="7235825" y="634403100"/>
          <a:ext cx="878840" cy="1183640"/>
        </a:xfrm>
        <a:prstGeom prst="rect">
          <a:avLst/>
        </a:prstGeom>
      </xdr:spPr>
    </xdr:pic>
    <xdr:clientData/>
  </xdr:twoCellAnchor>
  <xdr:twoCellAnchor>
    <xdr:from>
      <xdr:col>9</xdr:col>
      <xdr:colOff>6350</xdr:colOff>
      <xdr:row>702</xdr:row>
      <xdr:rowOff>25400</xdr:rowOff>
    </xdr:from>
    <xdr:to>
      <xdr:col>9</xdr:col>
      <xdr:colOff>885190</xdr:colOff>
      <xdr:row>702</xdr:row>
      <xdr:rowOff>1209040</xdr:rowOff>
    </xdr:to>
    <xdr:pic>
      <xdr:nvPicPr>
        <xdr:cNvPr id="5701" name="Изображение 5700" descr="resizeПП-00203445"/>
        <xdr:cNvPicPr>
          <a:picLocks noChangeAspect="1"/>
        </xdr:cNvPicPr>
      </xdr:nvPicPr>
      <xdr:blipFill>
        <a:blip xmlns:r="http://schemas.openxmlformats.org/officeDocument/2006/relationships" r:embed="rId469"/>
        <a:stretch>
          <a:fillRect/>
        </a:stretch>
      </xdr:blipFill>
      <xdr:spPr>
        <a:xfrm>
          <a:off x="7235825" y="635625475"/>
          <a:ext cx="878840" cy="1183640"/>
        </a:xfrm>
        <a:prstGeom prst="rect">
          <a:avLst/>
        </a:prstGeom>
      </xdr:spPr>
    </xdr:pic>
    <xdr:clientData/>
  </xdr:twoCellAnchor>
  <xdr:twoCellAnchor>
    <xdr:from>
      <xdr:col>9</xdr:col>
      <xdr:colOff>6350</xdr:colOff>
      <xdr:row>703</xdr:row>
      <xdr:rowOff>25400</xdr:rowOff>
    </xdr:from>
    <xdr:to>
      <xdr:col>9</xdr:col>
      <xdr:colOff>885190</xdr:colOff>
      <xdr:row>703</xdr:row>
      <xdr:rowOff>1209040</xdr:rowOff>
    </xdr:to>
    <xdr:pic>
      <xdr:nvPicPr>
        <xdr:cNvPr id="5702" name="Изображение 5701" descr="resizeПП-00203446"/>
        <xdr:cNvPicPr>
          <a:picLocks noChangeAspect="1"/>
        </xdr:cNvPicPr>
      </xdr:nvPicPr>
      <xdr:blipFill>
        <a:blip xmlns:r="http://schemas.openxmlformats.org/officeDocument/2006/relationships" r:embed="rId470"/>
        <a:stretch>
          <a:fillRect/>
        </a:stretch>
      </xdr:blipFill>
      <xdr:spPr>
        <a:xfrm>
          <a:off x="7235825" y="636847850"/>
          <a:ext cx="878840" cy="1183640"/>
        </a:xfrm>
        <a:prstGeom prst="rect">
          <a:avLst/>
        </a:prstGeom>
      </xdr:spPr>
    </xdr:pic>
    <xdr:clientData/>
  </xdr:twoCellAnchor>
  <xdr:twoCellAnchor>
    <xdr:from>
      <xdr:col>9</xdr:col>
      <xdr:colOff>6350</xdr:colOff>
      <xdr:row>704</xdr:row>
      <xdr:rowOff>25400</xdr:rowOff>
    </xdr:from>
    <xdr:to>
      <xdr:col>9</xdr:col>
      <xdr:colOff>885190</xdr:colOff>
      <xdr:row>704</xdr:row>
      <xdr:rowOff>1209040</xdr:rowOff>
    </xdr:to>
    <xdr:pic>
      <xdr:nvPicPr>
        <xdr:cNvPr id="5703" name="Изображение 5702" descr="resizeПП-00233458"/>
        <xdr:cNvPicPr>
          <a:picLocks noChangeAspect="1"/>
        </xdr:cNvPicPr>
      </xdr:nvPicPr>
      <xdr:blipFill>
        <a:blip xmlns:r="http://schemas.openxmlformats.org/officeDocument/2006/relationships" r:embed="rId471"/>
        <a:stretch>
          <a:fillRect/>
        </a:stretch>
      </xdr:blipFill>
      <xdr:spPr>
        <a:xfrm>
          <a:off x="7235825" y="638070225"/>
          <a:ext cx="878840" cy="1183640"/>
        </a:xfrm>
        <a:prstGeom prst="rect">
          <a:avLst/>
        </a:prstGeom>
      </xdr:spPr>
    </xdr:pic>
    <xdr:clientData/>
  </xdr:twoCellAnchor>
  <xdr:twoCellAnchor>
    <xdr:from>
      <xdr:col>9</xdr:col>
      <xdr:colOff>6350</xdr:colOff>
      <xdr:row>705</xdr:row>
      <xdr:rowOff>25400</xdr:rowOff>
    </xdr:from>
    <xdr:to>
      <xdr:col>9</xdr:col>
      <xdr:colOff>885190</xdr:colOff>
      <xdr:row>705</xdr:row>
      <xdr:rowOff>1209040</xdr:rowOff>
    </xdr:to>
    <xdr:pic>
      <xdr:nvPicPr>
        <xdr:cNvPr id="5704" name="Изображение 5703" descr="resizeПП-00102590"/>
        <xdr:cNvPicPr>
          <a:picLocks noChangeAspect="1"/>
        </xdr:cNvPicPr>
      </xdr:nvPicPr>
      <xdr:blipFill>
        <a:blip xmlns:r="http://schemas.openxmlformats.org/officeDocument/2006/relationships" r:embed="rId472"/>
        <a:stretch>
          <a:fillRect/>
        </a:stretch>
      </xdr:blipFill>
      <xdr:spPr>
        <a:xfrm>
          <a:off x="7235825" y="639292600"/>
          <a:ext cx="878840" cy="1183640"/>
        </a:xfrm>
        <a:prstGeom prst="rect">
          <a:avLst/>
        </a:prstGeom>
      </xdr:spPr>
    </xdr:pic>
    <xdr:clientData/>
  </xdr:twoCellAnchor>
  <xdr:twoCellAnchor>
    <xdr:from>
      <xdr:col>9</xdr:col>
      <xdr:colOff>6350</xdr:colOff>
      <xdr:row>706</xdr:row>
      <xdr:rowOff>25400</xdr:rowOff>
    </xdr:from>
    <xdr:to>
      <xdr:col>9</xdr:col>
      <xdr:colOff>885190</xdr:colOff>
      <xdr:row>706</xdr:row>
      <xdr:rowOff>1209040</xdr:rowOff>
    </xdr:to>
    <xdr:pic>
      <xdr:nvPicPr>
        <xdr:cNvPr id="5705" name="Изображение 5704" descr="resizeПП-00160363"/>
        <xdr:cNvPicPr>
          <a:picLocks noChangeAspect="1"/>
        </xdr:cNvPicPr>
      </xdr:nvPicPr>
      <xdr:blipFill>
        <a:blip xmlns:r="http://schemas.openxmlformats.org/officeDocument/2006/relationships" r:embed="rId473"/>
        <a:stretch>
          <a:fillRect/>
        </a:stretch>
      </xdr:blipFill>
      <xdr:spPr>
        <a:xfrm>
          <a:off x="7235825" y="640514975"/>
          <a:ext cx="878840" cy="1183640"/>
        </a:xfrm>
        <a:prstGeom prst="rect">
          <a:avLst/>
        </a:prstGeom>
      </xdr:spPr>
    </xdr:pic>
    <xdr:clientData/>
  </xdr:twoCellAnchor>
  <xdr:twoCellAnchor>
    <xdr:from>
      <xdr:col>9</xdr:col>
      <xdr:colOff>6350</xdr:colOff>
      <xdr:row>707</xdr:row>
      <xdr:rowOff>25400</xdr:rowOff>
    </xdr:from>
    <xdr:to>
      <xdr:col>9</xdr:col>
      <xdr:colOff>885190</xdr:colOff>
      <xdr:row>707</xdr:row>
      <xdr:rowOff>1209040</xdr:rowOff>
    </xdr:to>
    <xdr:pic>
      <xdr:nvPicPr>
        <xdr:cNvPr id="5706" name="Изображение 5705" descr="resizeПП-00226288"/>
        <xdr:cNvPicPr>
          <a:picLocks noChangeAspect="1"/>
        </xdr:cNvPicPr>
      </xdr:nvPicPr>
      <xdr:blipFill>
        <a:blip xmlns:r="http://schemas.openxmlformats.org/officeDocument/2006/relationships" r:embed="rId474"/>
        <a:stretch>
          <a:fillRect/>
        </a:stretch>
      </xdr:blipFill>
      <xdr:spPr>
        <a:xfrm>
          <a:off x="7235825" y="641737350"/>
          <a:ext cx="878840" cy="1183640"/>
        </a:xfrm>
        <a:prstGeom prst="rect">
          <a:avLst/>
        </a:prstGeom>
      </xdr:spPr>
    </xdr:pic>
    <xdr:clientData/>
  </xdr:twoCellAnchor>
  <xdr:twoCellAnchor>
    <xdr:from>
      <xdr:col>9</xdr:col>
      <xdr:colOff>6350</xdr:colOff>
      <xdr:row>708</xdr:row>
      <xdr:rowOff>25400</xdr:rowOff>
    </xdr:from>
    <xdr:to>
      <xdr:col>9</xdr:col>
      <xdr:colOff>885190</xdr:colOff>
      <xdr:row>708</xdr:row>
      <xdr:rowOff>1209040</xdr:rowOff>
    </xdr:to>
    <xdr:pic>
      <xdr:nvPicPr>
        <xdr:cNvPr id="5707" name="Изображение 5706" descr="resizeПП-00231877"/>
        <xdr:cNvPicPr>
          <a:picLocks noChangeAspect="1"/>
        </xdr:cNvPicPr>
      </xdr:nvPicPr>
      <xdr:blipFill>
        <a:blip xmlns:r="http://schemas.openxmlformats.org/officeDocument/2006/relationships" r:embed="rId475"/>
        <a:stretch>
          <a:fillRect/>
        </a:stretch>
      </xdr:blipFill>
      <xdr:spPr>
        <a:xfrm>
          <a:off x="7235825" y="642959725"/>
          <a:ext cx="878840" cy="1183640"/>
        </a:xfrm>
        <a:prstGeom prst="rect">
          <a:avLst/>
        </a:prstGeom>
      </xdr:spPr>
    </xdr:pic>
    <xdr:clientData/>
  </xdr:twoCellAnchor>
  <xdr:twoCellAnchor>
    <xdr:from>
      <xdr:col>9</xdr:col>
      <xdr:colOff>6350</xdr:colOff>
      <xdr:row>712</xdr:row>
      <xdr:rowOff>25400</xdr:rowOff>
    </xdr:from>
    <xdr:to>
      <xdr:col>9</xdr:col>
      <xdr:colOff>885190</xdr:colOff>
      <xdr:row>712</xdr:row>
      <xdr:rowOff>1209040</xdr:rowOff>
    </xdr:to>
    <xdr:pic>
      <xdr:nvPicPr>
        <xdr:cNvPr id="5708" name="Изображение 5707" descr="resizeПП-00228120"/>
        <xdr:cNvPicPr>
          <a:picLocks noChangeAspect="1"/>
        </xdr:cNvPicPr>
      </xdr:nvPicPr>
      <xdr:blipFill>
        <a:blip xmlns:r="http://schemas.openxmlformats.org/officeDocument/2006/relationships" r:embed="rId476"/>
        <a:stretch>
          <a:fillRect/>
        </a:stretch>
      </xdr:blipFill>
      <xdr:spPr>
        <a:xfrm>
          <a:off x="7235825" y="644639300"/>
          <a:ext cx="878840" cy="1183640"/>
        </a:xfrm>
        <a:prstGeom prst="rect">
          <a:avLst/>
        </a:prstGeom>
      </xdr:spPr>
    </xdr:pic>
    <xdr:clientData/>
  </xdr:twoCellAnchor>
  <xdr:twoCellAnchor>
    <xdr:from>
      <xdr:col>9</xdr:col>
      <xdr:colOff>6350</xdr:colOff>
      <xdr:row>713</xdr:row>
      <xdr:rowOff>25400</xdr:rowOff>
    </xdr:from>
    <xdr:to>
      <xdr:col>9</xdr:col>
      <xdr:colOff>885190</xdr:colOff>
      <xdr:row>713</xdr:row>
      <xdr:rowOff>1209040</xdr:rowOff>
    </xdr:to>
    <xdr:pic>
      <xdr:nvPicPr>
        <xdr:cNvPr id="5709" name="Изображение 5708" descr="resizeПП-00228119"/>
        <xdr:cNvPicPr>
          <a:picLocks noChangeAspect="1"/>
        </xdr:cNvPicPr>
      </xdr:nvPicPr>
      <xdr:blipFill>
        <a:blip xmlns:r="http://schemas.openxmlformats.org/officeDocument/2006/relationships" r:embed="rId477"/>
        <a:stretch>
          <a:fillRect/>
        </a:stretch>
      </xdr:blipFill>
      <xdr:spPr>
        <a:xfrm>
          <a:off x="7235825" y="645861675"/>
          <a:ext cx="878840" cy="1183640"/>
        </a:xfrm>
        <a:prstGeom prst="rect">
          <a:avLst/>
        </a:prstGeom>
      </xdr:spPr>
    </xdr:pic>
    <xdr:clientData/>
  </xdr:twoCellAnchor>
  <xdr:twoCellAnchor>
    <xdr:from>
      <xdr:col>9</xdr:col>
      <xdr:colOff>6350</xdr:colOff>
      <xdr:row>714</xdr:row>
      <xdr:rowOff>25400</xdr:rowOff>
    </xdr:from>
    <xdr:to>
      <xdr:col>9</xdr:col>
      <xdr:colOff>885190</xdr:colOff>
      <xdr:row>714</xdr:row>
      <xdr:rowOff>1209040</xdr:rowOff>
    </xdr:to>
    <xdr:pic>
      <xdr:nvPicPr>
        <xdr:cNvPr id="5710" name="Изображение 5709" descr="resizeПП-00228116"/>
        <xdr:cNvPicPr>
          <a:picLocks noChangeAspect="1"/>
        </xdr:cNvPicPr>
      </xdr:nvPicPr>
      <xdr:blipFill>
        <a:blip xmlns:r="http://schemas.openxmlformats.org/officeDocument/2006/relationships" r:embed="rId478"/>
        <a:stretch>
          <a:fillRect/>
        </a:stretch>
      </xdr:blipFill>
      <xdr:spPr>
        <a:xfrm>
          <a:off x="7235825" y="647084050"/>
          <a:ext cx="878840" cy="1183640"/>
        </a:xfrm>
        <a:prstGeom prst="rect">
          <a:avLst/>
        </a:prstGeom>
      </xdr:spPr>
    </xdr:pic>
    <xdr:clientData/>
  </xdr:twoCellAnchor>
  <xdr:twoCellAnchor>
    <xdr:from>
      <xdr:col>9</xdr:col>
      <xdr:colOff>6350</xdr:colOff>
      <xdr:row>716</xdr:row>
      <xdr:rowOff>25400</xdr:rowOff>
    </xdr:from>
    <xdr:to>
      <xdr:col>9</xdr:col>
      <xdr:colOff>885190</xdr:colOff>
      <xdr:row>716</xdr:row>
      <xdr:rowOff>1209040</xdr:rowOff>
    </xdr:to>
    <xdr:pic>
      <xdr:nvPicPr>
        <xdr:cNvPr id="5711" name="Изображение 5710" descr="resizeПП-00228112"/>
        <xdr:cNvPicPr>
          <a:picLocks noChangeAspect="1"/>
        </xdr:cNvPicPr>
      </xdr:nvPicPr>
      <xdr:blipFill>
        <a:blip xmlns:r="http://schemas.openxmlformats.org/officeDocument/2006/relationships" r:embed="rId479"/>
        <a:stretch>
          <a:fillRect/>
        </a:stretch>
      </xdr:blipFill>
      <xdr:spPr>
        <a:xfrm>
          <a:off x="7235825" y="648458825"/>
          <a:ext cx="878840" cy="1183640"/>
        </a:xfrm>
        <a:prstGeom prst="rect">
          <a:avLst/>
        </a:prstGeom>
      </xdr:spPr>
    </xdr:pic>
    <xdr:clientData/>
  </xdr:twoCellAnchor>
  <xdr:twoCellAnchor>
    <xdr:from>
      <xdr:col>9</xdr:col>
      <xdr:colOff>6350</xdr:colOff>
      <xdr:row>718</xdr:row>
      <xdr:rowOff>25400</xdr:rowOff>
    </xdr:from>
    <xdr:to>
      <xdr:col>9</xdr:col>
      <xdr:colOff>885190</xdr:colOff>
      <xdr:row>718</xdr:row>
      <xdr:rowOff>1209040</xdr:rowOff>
    </xdr:to>
    <xdr:pic>
      <xdr:nvPicPr>
        <xdr:cNvPr id="5712" name="Изображение 5711" descr="resizeПП-00228121"/>
        <xdr:cNvPicPr>
          <a:picLocks noChangeAspect="1"/>
        </xdr:cNvPicPr>
      </xdr:nvPicPr>
      <xdr:blipFill>
        <a:blip xmlns:r="http://schemas.openxmlformats.org/officeDocument/2006/relationships" r:embed="rId480"/>
        <a:stretch>
          <a:fillRect/>
        </a:stretch>
      </xdr:blipFill>
      <xdr:spPr>
        <a:xfrm>
          <a:off x="7235825" y="649833600"/>
          <a:ext cx="878840" cy="1183640"/>
        </a:xfrm>
        <a:prstGeom prst="rect">
          <a:avLst/>
        </a:prstGeom>
      </xdr:spPr>
    </xdr:pic>
    <xdr:clientData/>
  </xdr:twoCellAnchor>
  <xdr:twoCellAnchor>
    <xdr:from>
      <xdr:col>9</xdr:col>
      <xdr:colOff>6350</xdr:colOff>
      <xdr:row>719</xdr:row>
      <xdr:rowOff>25400</xdr:rowOff>
    </xdr:from>
    <xdr:to>
      <xdr:col>9</xdr:col>
      <xdr:colOff>885190</xdr:colOff>
      <xdr:row>719</xdr:row>
      <xdr:rowOff>1209040</xdr:rowOff>
    </xdr:to>
    <xdr:pic>
      <xdr:nvPicPr>
        <xdr:cNvPr id="5713" name="Изображение 5712" descr="resizeПП-00236788"/>
        <xdr:cNvPicPr>
          <a:picLocks noChangeAspect="1"/>
        </xdr:cNvPicPr>
      </xdr:nvPicPr>
      <xdr:blipFill>
        <a:blip xmlns:r="http://schemas.openxmlformats.org/officeDocument/2006/relationships" r:embed="rId481"/>
        <a:stretch>
          <a:fillRect/>
        </a:stretch>
      </xdr:blipFill>
      <xdr:spPr>
        <a:xfrm>
          <a:off x="7235825" y="651055975"/>
          <a:ext cx="878840" cy="1183640"/>
        </a:xfrm>
        <a:prstGeom prst="rect">
          <a:avLst/>
        </a:prstGeom>
      </xdr:spPr>
    </xdr:pic>
    <xdr:clientData/>
  </xdr:twoCellAnchor>
  <xdr:twoCellAnchor>
    <xdr:from>
      <xdr:col>9</xdr:col>
      <xdr:colOff>6350</xdr:colOff>
      <xdr:row>722</xdr:row>
      <xdr:rowOff>25400</xdr:rowOff>
    </xdr:from>
    <xdr:to>
      <xdr:col>9</xdr:col>
      <xdr:colOff>885190</xdr:colOff>
      <xdr:row>722</xdr:row>
      <xdr:rowOff>1209040</xdr:rowOff>
    </xdr:to>
    <xdr:pic>
      <xdr:nvPicPr>
        <xdr:cNvPr id="5714" name="Изображение 5713" descr="resizeПП-00251154"/>
        <xdr:cNvPicPr>
          <a:picLocks noChangeAspect="1"/>
        </xdr:cNvPicPr>
      </xdr:nvPicPr>
      <xdr:blipFill>
        <a:blip xmlns:r="http://schemas.openxmlformats.org/officeDocument/2006/relationships" r:embed="rId482"/>
        <a:stretch>
          <a:fillRect/>
        </a:stretch>
      </xdr:blipFill>
      <xdr:spPr>
        <a:xfrm>
          <a:off x="7235825" y="652583150"/>
          <a:ext cx="878840" cy="1183640"/>
        </a:xfrm>
        <a:prstGeom prst="rect">
          <a:avLst/>
        </a:prstGeom>
      </xdr:spPr>
    </xdr:pic>
    <xdr:clientData/>
  </xdr:twoCellAnchor>
  <xdr:twoCellAnchor>
    <xdr:from>
      <xdr:col>9</xdr:col>
      <xdr:colOff>6350</xdr:colOff>
      <xdr:row>723</xdr:row>
      <xdr:rowOff>25400</xdr:rowOff>
    </xdr:from>
    <xdr:to>
      <xdr:col>9</xdr:col>
      <xdr:colOff>885190</xdr:colOff>
      <xdr:row>723</xdr:row>
      <xdr:rowOff>1209040</xdr:rowOff>
    </xdr:to>
    <xdr:pic>
      <xdr:nvPicPr>
        <xdr:cNvPr id="5715" name="Изображение 5714" descr="resizeПП-00274924"/>
        <xdr:cNvPicPr>
          <a:picLocks noChangeAspect="1"/>
        </xdr:cNvPicPr>
      </xdr:nvPicPr>
      <xdr:blipFill>
        <a:blip xmlns:r="http://schemas.openxmlformats.org/officeDocument/2006/relationships" r:embed="rId483"/>
        <a:stretch>
          <a:fillRect/>
        </a:stretch>
      </xdr:blipFill>
      <xdr:spPr>
        <a:xfrm>
          <a:off x="7235825" y="653805525"/>
          <a:ext cx="878840" cy="1183640"/>
        </a:xfrm>
        <a:prstGeom prst="rect">
          <a:avLst/>
        </a:prstGeom>
      </xdr:spPr>
    </xdr:pic>
    <xdr:clientData/>
  </xdr:twoCellAnchor>
  <xdr:twoCellAnchor>
    <xdr:from>
      <xdr:col>9</xdr:col>
      <xdr:colOff>6350</xdr:colOff>
      <xdr:row>724</xdr:row>
      <xdr:rowOff>25400</xdr:rowOff>
    </xdr:from>
    <xdr:to>
      <xdr:col>9</xdr:col>
      <xdr:colOff>885190</xdr:colOff>
      <xdr:row>724</xdr:row>
      <xdr:rowOff>1209040</xdr:rowOff>
    </xdr:to>
    <xdr:pic>
      <xdr:nvPicPr>
        <xdr:cNvPr id="5716" name="Изображение 5715" descr="resizeПП-00251161"/>
        <xdr:cNvPicPr>
          <a:picLocks noChangeAspect="1"/>
        </xdr:cNvPicPr>
      </xdr:nvPicPr>
      <xdr:blipFill>
        <a:blip xmlns:r="http://schemas.openxmlformats.org/officeDocument/2006/relationships" r:embed="rId484"/>
        <a:stretch>
          <a:fillRect/>
        </a:stretch>
      </xdr:blipFill>
      <xdr:spPr>
        <a:xfrm>
          <a:off x="7235825" y="655027900"/>
          <a:ext cx="878840" cy="1183640"/>
        </a:xfrm>
        <a:prstGeom prst="rect">
          <a:avLst/>
        </a:prstGeom>
      </xdr:spPr>
    </xdr:pic>
    <xdr:clientData/>
  </xdr:twoCellAnchor>
  <xdr:twoCellAnchor>
    <xdr:from>
      <xdr:col>9</xdr:col>
      <xdr:colOff>6350</xdr:colOff>
      <xdr:row>725</xdr:row>
      <xdr:rowOff>25400</xdr:rowOff>
    </xdr:from>
    <xdr:to>
      <xdr:col>9</xdr:col>
      <xdr:colOff>885190</xdr:colOff>
      <xdr:row>725</xdr:row>
      <xdr:rowOff>1209040</xdr:rowOff>
    </xdr:to>
    <xdr:pic>
      <xdr:nvPicPr>
        <xdr:cNvPr id="5717" name="Изображение 5716" descr="resizeПП-00106803"/>
        <xdr:cNvPicPr>
          <a:picLocks noChangeAspect="1"/>
        </xdr:cNvPicPr>
      </xdr:nvPicPr>
      <xdr:blipFill>
        <a:blip xmlns:r="http://schemas.openxmlformats.org/officeDocument/2006/relationships" r:embed="rId485"/>
        <a:stretch>
          <a:fillRect/>
        </a:stretch>
      </xdr:blipFill>
      <xdr:spPr>
        <a:xfrm>
          <a:off x="7235825" y="656250275"/>
          <a:ext cx="878840" cy="1183640"/>
        </a:xfrm>
        <a:prstGeom prst="rect">
          <a:avLst/>
        </a:prstGeom>
      </xdr:spPr>
    </xdr:pic>
    <xdr:clientData/>
  </xdr:twoCellAnchor>
  <xdr:twoCellAnchor>
    <xdr:from>
      <xdr:col>9</xdr:col>
      <xdr:colOff>6350</xdr:colOff>
      <xdr:row>726</xdr:row>
      <xdr:rowOff>25400</xdr:rowOff>
    </xdr:from>
    <xdr:to>
      <xdr:col>9</xdr:col>
      <xdr:colOff>885190</xdr:colOff>
      <xdr:row>726</xdr:row>
      <xdr:rowOff>1209040</xdr:rowOff>
    </xdr:to>
    <xdr:pic>
      <xdr:nvPicPr>
        <xdr:cNvPr id="5718" name="Изображение 5717" descr="resizeПП-00251463"/>
        <xdr:cNvPicPr>
          <a:picLocks noChangeAspect="1"/>
        </xdr:cNvPicPr>
      </xdr:nvPicPr>
      <xdr:blipFill>
        <a:blip xmlns:r="http://schemas.openxmlformats.org/officeDocument/2006/relationships" r:embed="rId486"/>
        <a:stretch>
          <a:fillRect/>
        </a:stretch>
      </xdr:blipFill>
      <xdr:spPr>
        <a:xfrm>
          <a:off x="7235825" y="657472650"/>
          <a:ext cx="878840" cy="1183640"/>
        </a:xfrm>
        <a:prstGeom prst="rect">
          <a:avLst/>
        </a:prstGeom>
      </xdr:spPr>
    </xdr:pic>
    <xdr:clientData/>
  </xdr:twoCellAnchor>
  <xdr:twoCellAnchor>
    <xdr:from>
      <xdr:col>9</xdr:col>
      <xdr:colOff>6350</xdr:colOff>
      <xdr:row>729</xdr:row>
      <xdr:rowOff>25400</xdr:rowOff>
    </xdr:from>
    <xdr:to>
      <xdr:col>9</xdr:col>
      <xdr:colOff>885190</xdr:colOff>
      <xdr:row>729</xdr:row>
      <xdr:rowOff>1209040</xdr:rowOff>
    </xdr:to>
    <xdr:pic>
      <xdr:nvPicPr>
        <xdr:cNvPr id="5719" name="Изображение 5718" descr="resizeПП-00203006"/>
        <xdr:cNvPicPr>
          <a:picLocks noChangeAspect="1"/>
        </xdr:cNvPicPr>
      </xdr:nvPicPr>
      <xdr:blipFill>
        <a:blip xmlns:r="http://schemas.openxmlformats.org/officeDocument/2006/relationships" r:embed="rId487"/>
        <a:stretch>
          <a:fillRect/>
        </a:stretch>
      </xdr:blipFill>
      <xdr:spPr>
        <a:xfrm>
          <a:off x="7235825" y="658999825"/>
          <a:ext cx="878840" cy="1183640"/>
        </a:xfrm>
        <a:prstGeom prst="rect">
          <a:avLst/>
        </a:prstGeom>
      </xdr:spPr>
    </xdr:pic>
    <xdr:clientData/>
  </xdr:twoCellAnchor>
  <xdr:twoCellAnchor>
    <xdr:from>
      <xdr:col>9</xdr:col>
      <xdr:colOff>6350</xdr:colOff>
      <xdr:row>731</xdr:row>
      <xdr:rowOff>25400</xdr:rowOff>
    </xdr:from>
    <xdr:to>
      <xdr:col>9</xdr:col>
      <xdr:colOff>885190</xdr:colOff>
      <xdr:row>731</xdr:row>
      <xdr:rowOff>1209040</xdr:rowOff>
    </xdr:to>
    <xdr:pic>
      <xdr:nvPicPr>
        <xdr:cNvPr id="5720" name="Изображение 5719" descr="resizeПП-00203011"/>
        <xdr:cNvPicPr>
          <a:picLocks noChangeAspect="1"/>
        </xdr:cNvPicPr>
      </xdr:nvPicPr>
      <xdr:blipFill>
        <a:blip xmlns:r="http://schemas.openxmlformats.org/officeDocument/2006/relationships" r:embed="rId488"/>
        <a:stretch>
          <a:fillRect/>
        </a:stretch>
      </xdr:blipFill>
      <xdr:spPr>
        <a:xfrm>
          <a:off x="7235825" y="660374600"/>
          <a:ext cx="878840" cy="1183640"/>
        </a:xfrm>
        <a:prstGeom prst="rect">
          <a:avLst/>
        </a:prstGeom>
      </xdr:spPr>
    </xdr:pic>
    <xdr:clientData/>
  </xdr:twoCellAnchor>
  <xdr:twoCellAnchor>
    <xdr:from>
      <xdr:col>9</xdr:col>
      <xdr:colOff>6350</xdr:colOff>
      <xdr:row>732</xdr:row>
      <xdr:rowOff>25400</xdr:rowOff>
    </xdr:from>
    <xdr:to>
      <xdr:col>9</xdr:col>
      <xdr:colOff>885190</xdr:colOff>
      <xdr:row>732</xdr:row>
      <xdr:rowOff>1209040</xdr:rowOff>
    </xdr:to>
    <xdr:pic>
      <xdr:nvPicPr>
        <xdr:cNvPr id="5721" name="Изображение 5720" descr="resizeПП-00203009"/>
        <xdr:cNvPicPr>
          <a:picLocks noChangeAspect="1"/>
        </xdr:cNvPicPr>
      </xdr:nvPicPr>
      <xdr:blipFill>
        <a:blip xmlns:r="http://schemas.openxmlformats.org/officeDocument/2006/relationships" r:embed="rId489"/>
        <a:stretch>
          <a:fillRect/>
        </a:stretch>
      </xdr:blipFill>
      <xdr:spPr>
        <a:xfrm>
          <a:off x="7235825" y="661596975"/>
          <a:ext cx="878840" cy="1183640"/>
        </a:xfrm>
        <a:prstGeom prst="rect">
          <a:avLst/>
        </a:prstGeom>
      </xdr:spPr>
    </xdr:pic>
    <xdr:clientData/>
  </xdr:twoCellAnchor>
  <xdr:twoCellAnchor>
    <xdr:from>
      <xdr:col>9</xdr:col>
      <xdr:colOff>6350</xdr:colOff>
      <xdr:row>734</xdr:row>
      <xdr:rowOff>25400</xdr:rowOff>
    </xdr:from>
    <xdr:to>
      <xdr:col>9</xdr:col>
      <xdr:colOff>885190</xdr:colOff>
      <xdr:row>734</xdr:row>
      <xdr:rowOff>1209040</xdr:rowOff>
    </xdr:to>
    <xdr:pic>
      <xdr:nvPicPr>
        <xdr:cNvPr id="5722" name="Изображение 5721" descr="resizeПП-00202918"/>
        <xdr:cNvPicPr>
          <a:picLocks noChangeAspect="1"/>
        </xdr:cNvPicPr>
      </xdr:nvPicPr>
      <xdr:blipFill>
        <a:blip xmlns:r="http://schemas.openxmlformats.org/officeDocument/2006/relationships" r:embed="rId490"/>
        <a:stretch>
          <a:fillRect/>
        </a:stretch>
      </xdr:blipFill>
      <xdr:spPr>
        <a:xfrm>
          <a:off x="7235825" y="662971750"/>
          <a:ext cx="878840" cy="1183640"/>
        </a:xfrm>
        <a:prstGeom prst="rect">
          <a:avLst/>
        </a:prstGeom>
      </xdr:spPr>
    </xdr:pic>
    <xdr:clientData/>
  </xdr:twoCellAnchor>
  <xdr:twoCellAnchor>
    <xdr:from>
      <xdr:col>9</xdr:col>
      <xdr:colOff>6350</xdr:colOff>
      <xdr:row>735</xdr:row>
      <xdr:rowOff>25400</xdr:rowOff>
    </xdr:from>
    <xdr:to>
      <xdr:col>9</xdr:col>
      <xdr:colOff>885190</xdr:colOff>
      <xdr:row>735</xdr:row>
      <xdr:rowOff>1209040</xdr:rowOff>
    </xdr:to>
    <xdr:pic>
      <xdr:nvPicPr>
        <xdr:cNvPr id="5723" name="Изображение 5722" descr="resizeПП-00202906"/>
        <xdr:cNvPicPr>
          <a:picLocks noChangeAspect="1"/>
        </xdr:cNvPicPr>
      </xdr:nvPicPr>
      <xdr:blipFill>
        <a:blip xmlns:r="http://schemas.openxmlformats.org/officeDocument/2006/relationships" r:embed="rId491"/>
        <a:stretch>
          <a:fillRect/>
        </a:stretch>
      </xdr:blipFill>
      <xdr:spPr>
        <a:xfrm>
          <a:off x="7235825" y="664194125"/>
          <a:ext cx="878840" cy="1183640"/>
        </a:xfrm>
        <a:prstGeom prst="rect">
          <a:avLst/>
        </a:prstGeom>
      </xdr:spPr>
    </xdr:pic>
    <xdr:clientData/>
  </xdr:twoCellAnchor>
  <xdr:twoCellAnchor>
    <xdr:from>
      <xdr:col>9</xdr:col>
      <xdr:colOff>6350</xdr:colOff>
      <xdr:row>736</xdr:row>
      <xdr:rowOff>25400</xdr:rowOff>
    </xdr:from>
    <xdr:to>
      <xdr:col>9</xdr:col>
      <xdr:colOff>885190</xdr:colOff>
      <xdr:row>736</xdr:row>
      <xdr:rowOff>1209040</xdr:rowOff>
    </xdr:to>
    <xdr:pic>
      <xdr:nvPicPr>
        <xdr:cNvPr id="5724" name="Изображение 5723" descr="resizeПП-00202966"/>
        <xdr:cNvPicPr>
          <a:picLocks noChangeAspect="1"/>
        </xdr:cNvPicPr>
      </xdr:nvPicPr>
      <xdr:blipFill>
        <a:blip xmlns:r="http://schemas.openxmlformats.org/officeDocument/2006/relationships" r:embed="rId492"/>
        <a:stretch>
          <a:fillRect/>
        </a:stretch>
      </xdr:blipFill>
      <xdr:spPr>
        <a:xfrm>
          <a:off x="7235825" y="665416500"/>
          <a:ext cx="878840" cy="1183640"/>
        </a:xfrm>
        <a:prstGeom prst="rect">
          <a:avLst/>
        </a:prstGeom>
      </xdr:spPr>
    </xdr:pic>
    <xdr:clientData/>
  </xdr:twoCellAnchor>
  <xdr:twoCellAnchor>
    <xdr:from>
      <xdr:col>9</xdr:col>
      <xdr:colOff>6350</xdr:colOff>
      <xdr:row>737</xdr:row>
      <xdr:rowOff>25400</xdr:rowOff>
    </xdr:from>
    <xdr:to>
      <xdr:col>9</xdr:col>
      <xdr:colOff>885190</xdr:colOff>
      <xdr:row>737</xdr:row>
      <xdr:rowOff>1209040</xdr:rowOff>
    </xdr:to>
    <xdr:pic>
      <xdr:nvPicPr>
        <xdr:cNvPr id="5725" name="Изображение 5724" descr="resizeПП-00202985"/>
        <xdr:cNvPicPr>
          <a:picLocks noChangeAspect="1"/>
        </xdr:cNvPicPr>
      </xdr:nvPicPr>
      <xdr:blipFill>
        <a:blip xmlns:r="http://schemas.openxmlformats.org/officeDocument/2006/relationships" r:embed="rId493"/>
        <a:stretch>
          <a:fillRect/>
        </a:stretch>
      </xdr:blipFill>
      <xdr:spPr>
        <a:xfrm>
          <a:off x="7235825" y="666638875"/>
          <a:ext cx="878840" cy="1183640"/>
        </a:xfrm>
        <a:prstGeom prst="rect">
          <a:avLst/>
        </a:prstGeom>
      </xdr:spPr>
    </xdr:pic>
    <xdr:clientData/>
  </xdr:twoCellAnchor>
  <xdr:twoCellAnchor>
    <xdr:from>
      <xdr:col>9</xdr:col>
      <xdr:colOff>6350</xdr:colOff>
      <xdr:row>738</xdr:row>
      <xdr:rowOff>25400</xdr:rowOff>
    </xdr:from>
    <xdr:to>
      <xdr:col>9</xdr:col>
      <xdr:colOff>885190</xdr:colOff>
      <xdr:row>738</xdr:row>
      <xdr:rowOff>1209040</xdr:rowOff>
    </xdr:to>
    <xdr:pic>
      <xdr:nvPicPr>
        <xdr:cNvPr id="5726" name="Изображение 5725" descr="resizeПП-00202910"/>
        <xdr:cNvPicPr>
          <a:picLocks noChangeAspect="1"/>
        </xdr:cNvPicPr>
      </xdr:nvPicPr>
      <xdr:blipFill>
        <a:blip xmlns:r="http://schemas.openxmlformats.org/officeDocument/2006/relationships" r:embed="rId494"/>
        <a:stretch>
          <a:fillRect/>
        </a:stretch>
      </xdr:blipFill>
      <xdr:spPr>
        <a:xfrm>
          <a:off x="7235825" y="667861250"/>
          <a:ext cx="878840" cy="1183640"/>
        </a:xfrm>
        <a:prstGeom prst="rect">
          <a:avLst/>
        </a:prstGeom>
      </xdr:spPr>
    </xdr:pic>
    <xdr:clientData/>
  </xdr:twoCellAnchor>
  <xdr:twoCellAnchor>
    <xdr:from>
      <xdr:col>9</xdr:col>
      <xdr:colOff>6350</xdr:colOff>
      <xdr:row>739</xdr:row>
      <xdr:rowOff>25400</xdr:rowOff>
    </xdr:from>
    <xdr:to>
      <xdr:col>9</xdr:col>
      <xdr:colOff>885190</xdr:colOff>
      <xdr:row>739</xdr:row>
      <xdr:rowOff>1209040</xdr:rowOff>
    </xdr:to>
    <xdr:pic>
      <xdr:nvPicPr>
        <xdr:cNvPr id="5727" name="Изображение 5726" descr="resizeПП-00202999"/>
        <xdr:cNvPicPr>
          <a:picLocks noChangeAspect="1"/>
        </xdr:cNvPicPr>
      </xdr:nvPicPr>
      <xdr:blipFill>
        <a:blip xmlns:r="http://schemas.openxmlformats.org/officeDocument/2006/relationships" r:embed="rId495"/>
        <a:stretch>
          <a:fillRect/>
        </a:stretch>
      </xdr:blipFill>
      <xdr:spPr>
        <a:xfrm>
          <a:off x="7235825" y="669083625"/>
          <a:ext cx="878840" cy="1183640"/>
        </a:xfrm>
        <a:prstGeom prst="rect">
          <a:avLst/>
        </a:prstGeom>
      </xdr:spPr>
    </xdr:pic>
    <xdr:clientData/>
  </xdr:twoCellAnchor>
  <xdr:twoCellAnchor>
    <xdr:from>
      <xdr:col>9</xdr:col>
      <xdr:colOff>6350</xdr:colOff>
      <xdr:row>740</xdr:row>
      <xdr:rowOff>25400</xdr:rowOff>
    </xdr:from>
    <xdr:to>
      <xdr:col>9</xdr:col>
      <xdr:colOff>885190</xdr:colOff>
      <xdr:row>740</xdr:row>
      <xdr:rowOff>1209040</xdr:rowOff>
    </xdr:to>
    <xdr:pic>
      <xdr:nvPicPr>
        <xdr:cNvPr id="5728" name="Изображение 5727" descr="resizeПП-00202980"/>
        <xdr:cNvPicPr>
          <a:picLocks noChangeAspect="1"/>
        </xdr:cNvPicPr>
      </xdr:nvPicPr>
      <xdr:blipFill>
        <a:blip xmlns:r="http://schemas.openxmlformats.org/officeDocument/2006/relationships" r:embed="rId496"/>
        <a:stretch>
          <a:fillRect/>
        </a:stretch>
      </xdr:blipFill>
      <xdr:spPr>
        <a:xfrm>
          <a:off x="7235825" y="670306000"/>
          <a:ext cx="878840" cy="1183640"/>
        </a:xfrm>
        <a:prstGeom prst="rect">
          <a:avLst/>
        </a:prstGeom>
      </xdr:spPr>
    </xdr:pic>
    <xdr:clientData/>
  </xdr:twoCellAnchor>
  <xdr:twoCellAnchor>
    <xdr:from>
      <xdr:col>9</xdr:col>
      <xdr:colOff>6350</xdr:colOff>
      <xdr:row>741</xdr:row>
      <xdr:rowOff>25400</xdr:rowOff>
    </xdr:from>
    <xdr:to>
      <xdr:col>9</xdr:col>
      <xdr:colOff>885190</xdr:colOff>
      <xdr:row>741</xdr:row>
      <xdr:rowOff>1209040</xdr:rowOff>
    </xdr:to>
    <xdr:pic>
      <xdr:nvPicPr>
        <xdr:cNvPr id="5729" name="Изображение 5728" descr="resizeПП-00202916"/>
        <xdr:cNvPicPr>
          <a:picLocks noChangeAspect="1"/>
        </xdr:cNvPicPr>
      </xdr:nvPicPr>
      <xdr:blipFill>
        <a:blip xmlns:r="http://schemas.openxmlformats.org/officeDocument/2006/relationships" r:embed="rId497"/>
        <a:stretch>
          <a:fillRect/>
        </a:stretch>
      </xdr:blipFill>
      <xdr:spPr>
        <a:xfrm>
          <a:off x="7235825" y="671528375"/>
          <a:ext cx="878840" cy="1183640"/>
        </a:xfrm>
        <a:prstGeom prst="rect">
          <a:avLst/>
        </a:prstGeom>
      </xdr:spPr>
    </xdr:pic>
    <xdr:clientData/>
  </xdr:twoCellAnchor>
  <xdr:twoCellAnchor>
    <xdr:from>
      <xdr:col>9</xdr:col>
      <xdr:colOff>6350</xdr:colOff>
      <xdr:row>742</xdr:row>
      <xdr:rowOff>25400</xdr:rowOff>
    </xdr:from>
    <xdr:to>
      <xdr:col>9</xdr:col>
      <xdr:colOff>885190</xdr:colOff>
      <xdr:row>742</xdr:row>
      <xdr:rowOff>1209040</xdr:rowOff>
    </xdr:to>
    <xdr:pic>
      <xdr:nvPicPr>
        <xdr:cNvPr id="5730" name="Изображение 5729" descr="resizeПП-00203020"/>
        <xdr:cNvPicPr>
          <a:picLocks noChangeAspect="1"/>
        </xdr:cNvPicPr>
      </xdr:nvPicPr>
      <xdr:blipFill>
        <a:blip xmlns:r="http://schemas.openxmlformats.org/officeDocument/2006/relationships" r:embed="rId498"/>
        <a:stretch>
          <a:fillRect/>
        </a:stretch>
      </xdr:blipFill>
      <xdr:spPr>
        <a:xfrm>
          <a:off x="7235825" y="672750750"/>
          <a:ext cx="878840" cy="1183640"/>
        </a:xfrm>
        <a:prstGeom prst="rect">
          <a:avLst/>
        </a:prstGeom>
      </xdr:spPr>
    </xdr:pic>
    <xdr:clientData/>
  </xdr:twoCellAnchor>
  <xdr:twoCellAnchor>
    <xdr:from>
      <xdr:col>9</xdr:col>
      <xdr:colOff>6350</xdr:colOff>
      <xdr:row>743</xdr:row>
      <xdr:rowOff>25400</xdr:rowOff>
    </xdr:from>
    <xdr:to>
      <xdr:col>9</xdr:col>
      <xdr:colOff>885190</xdr:colOff>
      <xdr:row>743</xdr:row>
      <xdr:rowOff>1209040</xdr:rowOff>
    </xdr:to>
    <xdr:pic>
      <xdr:nvPicPr>
        <xdr:cNvPr id="5731" name="Изображение 5730" descr="resizeПП-00251321"/>
        <xdr:cNvPicPr>
          <a:picLocks noChangeAspect="1"/>
        </xdr:cNvPicPr>
      </xdr:nvPicPr>
      <xdr:blipFill>
        <a:blip xmlns:r="http://schemas.openxmlformats.org/officeDocument/2006/relationships" r:embed="rId499"/>
        <a:stretch>
          <a:fillRect/>
        </a:stretch>
      </xdr:blipFill>
      <xdr:spPr>
        <a:xfrm>
          <a:off x="7235825" y="673973125"/>
          <a:ext cx="878840" cy="1183640"/>
        </a:xfrm>
        <a:prstGeom prst="rect">
          <a:avLst/>
        </a:prstGeom>
      </xdr:spPr>
    </xdr:pic>
    <xdr:clientData/>
  </xdr:twoCellAnchor>
  <xdr:twoCellAnchor>
    <xdr:from>
      <xdr:col>9</xdr:col>
      <xdr:colOff>6350</xdr:colOff>
      <xdr:row>744</xdr:row>
      <xdr:rowOff>25400</xdr:rowOff>
    </xdr:from>
    <xdr:to>
      <xdr:col>9</xdr:col>
      <xdr:colOff>885190</xdr:colOff>
      <xdr:row>744</xdr:row>
      <xdr:rowOff>1209040</xdr:rowOff>
    </xdr:to>
    <xdr:pic>
      <xdr:nvPicPr>
        <xdr:cNvPr id="5732" name="Изображение 5731" descr="resizeПП-00228123"/>
        <xdr:cNvPicPr>
          <a:picLocks noChangeAspect="1"/>
        </xdr:cNvPicPr>
      </xdr:nvPicPr>
      <xdr:blipFill>
        <a:blip xmlns:r="http://schemas.openxmlformats.org/officeDocument/2006/relationships" r:embed="rId500"/>
        <a:stretch>
          <a:fillRect/>
        </a:stretch>
      </xdr:blipFill>
      <xdr:spPr>
        <a:xfrm>
          <a:off x="7235825" y="675195500"/>
          <a:ext cx="878840" cy="1183640"/>
        </a:xfrm>
        <a:prstGeom prst="rect">
          <a:avLst/>
        </a:prstGeom>
      </xdr:spPr>
    </xdr:pic>
    <xdr:clientData/>
  </xdr:twoCellAnchor>
  <xdr:twoCellAnchor>
    <xdr:from>
      <xdr:col>9</xdr:col>
      <xdr:colOff>6350</xdr:colOff>
      <xdr:row>745</xdr:row>
      <xdr:rowOff>25400</xdr:rowOff>
    </xdr:from>
    <xdr:to>
      <xdr:col>9</xdr:col>
      <xdr:colOff>885190</xdr:colOff>
      <xdr:row>745</xdr:row>
      <xdr:rowOff>1209040</xdr:rowOff>
    </xdr:to>
    <xdr:pic>
      <xdr:nvPicPr>
        <xdr:cNvPr id="5733" name="Изображение 5732" descr="resizeПП-00228115"/>
        <xdr:cNvPicPr>
          <a:picLocks noChangeAspect="1"/>
        </xdr:cNvPicPr>
      </xdr:nvPicPr>
      <xdr:blipFill>
        <a:blip xmlns:r="http://schemas.openxmlformats.org/officeDocument/2006/relationships" r:embed="rId501"/>
        <a:stretch>
          <a:fillRect/>
        </a:stretch>
      </xdr:blipFill>
      <xdr:spPr>
        <a:xfrm>
          <a:off x="7235825" y="676417875"/>
          <a:ext cx="878840" cy="1183640"/>
        </a:xfrm>
        <a:prstGeom prst="rect">
          <a:avLst/>
        </a:prstGeom>
      </xdr:spPr>
    </xdr:pic>
    <xdr:clientData/>
  </xdr:twoCellAnchor>
  <xdr:twoCellAnchor>
    <xdr:from>
      <xdr:col>9</xdr:col>
      <xdr:colOff>6350</xdr:colOff>
      <xdr:row>747</xdr:row>
      <xdr:rowOff>25400</xdr:rowOff>
    </xdr:from>
    <xdr:to>
      <xdr:col>9</xdr:col>
      <xdr:colOff>885190</xdr:colOff>
      <xdr:row>747</xdr:row>
      <xdr:rowOff>1209040</xdr:rowOff>
    </xdr:to>
    <xdr:pic>
      <xdr:nvPicPr>
        <xdr:cNvPr id="5734" name="Изображение 5733" descr="resizeПП-00274750"/>
        <xdr:cNvPicPr>
          <a:picLocks noChangeAspect="1"/>
        </xdr:cNvPicPr>
      </xdr:nvPicPr>
      <xdr:blipFill>
        <a:blip xmlns:r="http://schemas.openxmlformats.org/officeDocument/2006/relationships" r:embed="rId502"/>
        <a:stretch>
          <a:fillRect/>
        </a:stretch>
      </xdr:blipFill>
      <xdr:spPr>
        <a:xfrm>
          <a:off x="7235825" y="677792650"/>
          <a:ext cx="878840" cy="1183640"/>
        </a:xfrm>
        <a:prstGeom prst="rect">
          <a:avLst/>
        </a:prstGeom>
      </xdr:spPr>
    </xdr:pic>
    <xdr:clientData/>
  </xdr:twoCellAnchor>
  <xdr:twoCellAnchor>
    <xdr:from>
      <xdr:col>9</xdr:col>
      <xdr:colOff>6350</xdr:colOff>
      <xdr:row>748</xdr:row>
      <xdr:rowOff>25400</xdr:rowOff>
    </xdr:from>
    <xdr:to>
      <xdr:col>9</xdr:col>
      <xdr:colOff>885190</xdr:colOff>
      <xdr:row>748</xdr:row>
      <xdr:rowOff>1209040</xdr:rowOff>
    </xdr:to>
    <xdr:pic>
      <xdr:nvPicPr>
        <xdr:cNvPr id="5735" name="Изображение 5734" descr="resizeПП-00274752"/>
        <xdr:cNvPicPr>
          <a:picLocks noChangeAspect="1"/>
        </xdr:cNvPicPr>
      </xdr:nvPicPr>
      <xdr:blipFill>
        <a:blip xmlns:r="http://schemas.openxmlformats.org/officeDocument/2006/relationships" r:embed="rId503"/>
        <a:stretch>
          <a:fillRect/>
        </a:stretch>
      </xdr:blipFill>
      <xdr:spPr>
        <a:xfrm>
          <a:off x="7235825" y="679015025"/>
          <a:ext cx="878840" cy="1183640"/>
        </a:xfrm>
        <a:prstGeom prst="rect">
          <a:avLst/>
        </a:prstGeom>
      </xdr:spPr>
    </xdr:pic>
    <xdr:clientData/>
  </xdr:twoCellAnchor>
  <xdr:twoCellAnchor>
    <xdr:from>
      <xdr:col>9</xdr:col>
      <xdr:colOff>6350</xdr:colOff>
      <xdr:row>749</xdr:row>
      <xdr:rowOff>25400</xdr:rowOff>
    </xdr:from>
    <xdr:to>
      <xdr:col>9</xdr:col>
      <xdr:colOff>885190</xdr:colOff>
      <xdr:row>749</xdr:row>
      <xdr:rowOff>1209040</xdr:rowOff>
    </xdr:to>
    <xdr:pic>
      <xdr:nvPicPr>
        <xdr:cNvPr id="5736" name="Изображение 5735" descr="resizeПП-00274749"/>
        <xdr:cNvPicPr>
          <a:picLocks noChangeAspect="1"/>
        </xdr:cNvPicPr>
      </xdr:nvPicPr>
      <xdr:blipFill>
        <a:blip xmlns:r="http://schemas.openxmlformats.org/officeDocument/2006/relationships" r:embed="rId504"/>
        <a:stretch>
          <a:fillRect/>
        </a:stretch>
      </xdr:blipFill>
      <xdr:spPr>
        <a:xfrm>
          <a:off x="7235825" y="680237400"/>
          <a:ext cx="878840" cy="1183640"/>
        </a:xfrm>
        <a:prstGeom prst="rect">
          <a:avLst/>
        </a:prstGeom>
      </xdr:spPr>
    </xdr:pic>
    <xdr:clientData/>
  </xdr:twoCellAnchor>
  <xdr:twoCellAnchor>
    <xdr:from>
      <xdr:col>9</xdr:col>
      <xdr:colOff>6350</xdr:colOff>
      <xdr:row>750</xdr:row>
      <xdr:rowOff>25400</xdr:rowOff>
    </xdr:from>
    <xdr:to>
      <xdr:col>9</xdr:col>
      <xdr:colOff>885190</xdr:colOff>
      <xdr:row>750</xdr:row>
      <xdr:rowOff>1209040</xdr:rowOff>
    </xdr:to>
    <xdr:pic>
      <xdr:nvPicPr>
        <xdr:cNvPr id="5737" name="Изображение 5736" descr="resizeПП-00274748"/>
        <xdr:cNvPicPr>
          <a:picLocks noChangeAspect="1"/>
        </xdr:cNvPicPr>
      </xdr:nvPicPr>
      <xdr:blipFill>
        <a:blip xmlns:r="http://schemas.openxmlformats.org/officeDocument/2006/relationships" r:embed="rId505"/>
        <a:stretch>
          <a:fillRect/>
        </a:stretch>
      </xdr:blipFill>
      <xdr:spPr>
        <a:xfrm>
          <a:off x="7235825" y="681459775"/>
          <a:ext cx="878840" cy="1183640"/>
        </a:xfrm>
        <a:prstGeom prst="rect">
          <a:avLst/>
        </a:prstGeom>
      </xdr:spPr>
    </xdr:pic>
    <xdr:clientData/>
  </xdr:twoCellAnchor>
  <xdr:twoCellAnchor>
    <xdr:from>
      <xdr:col>9</xdr:col>
      <xdr:colOff>6350</xdr:colOff>
      <xdr:row>753</xdr:row>
      <xdr:rowOff>25400</xdr:rowOff>
    </xdr:from>
    <xdr:to>
      <xdr:col>9</xdr:col>
      <xdr:colOff>885190</xdr:colOff>
      <xdr:row>753</xdr:row>
      <xdr:rowOff>1209040</xdr:rowOff>
    </xdr:to>
    <xdr:pic>
      <xdr:nvPicPr>
        <xdr:cNvPr id="5738" name="Изображение 5737" descr="resizeПП-00064826"/>
        <xdr:cNvPicPr>
          <a:picLocks noChangeAspect="1"/>
        </xdr:cNvPicPr>
      </xdr:nvPicPr>
      <xdr:blipFill>
        <a:blip xmlns:r="http://schemas.openxmlformats.org/officeDocument/2006/relationships" r:embed="rId506"/>
        <a:stretch>
          <a:fillRect/>
        </a:stretch>
      </xdr:blipFill>
      <xdr:spPr>
        <a:xfrm>
          <a:off x="7235825" y="682986950"/>
          <a:ext cx="878840" cy="1183640"/>
        </a:xfrm>
        <a:prstGeom prst="rect">
          <a:avLst/>
        </a:prstGeom>
      </xdr:spPr>
    </xdr:pic>
    <xdr:clientData/>
  </xdr:twoCellAnchor>
  <xdr:twoCellAnchor>
    <xdr:from>
      <xdr:col>9</xdr:col>
      <xdr:colOff>6350</xdr:colOff>
      <xdr:row>754</xdr:row>
      <xdr:rowOff>25400</xdr:rowOff>
    </xdr:from>
    <xdr:to>
      <xdr:col>9</xdr:col>
      <xdr:colOff>885190</xdr:colOff>
      <xdr:row>754</xdr:row>
      <xdr:rowOff>1209040</xdr:rowOff>
    </xdr:to>
    <xdr:pic>
      <xdr:nvPicPr>
        <xdr:cNvPr id="5739" name="Изображение 5738" descr="resizeПП-00064810"/>
        <xdr:cNvPicPr>
          <a:picLocks noChangeAspect="1"/>
        </xdr:cNvPicPr>
      </xdr:nvPicPr>
      <xdr:blipFill>
        <a:blip xmlns:r="http://schemas.openxmlformats.org/officeDocument/2006/relationships" r:embed="rId507"/>
        <a:stretch>
          <a:fillRect/>
        </a:stretch>
      </xdr:blipFill>
      <xdr:spPr>
        <a:xfrm>
          <a:off x="7235825" y="684209325"/>
          <a:ext cx="878840" cy="1183640"/>
        </a:xfrm>
        <a:prstGeom prst="rect">
          <a:avLst/>
        </a:prstGeom>
      </xdr:spPr>
    </xdr:pic>
    <xdr:clientData/>
  </xdr:twoCellAnchor>
  <xdr:twoCellAnchor>
    <xdr:from>
      <xdr:col>9</xdr:col>
      <xdr:colOff>6350</xdr:colOff>
      <xdr:row>755</xdr:row>
      <xdr:rowOff>25400</xdr:rowOff>
    </xdr:from>
    <xdr:to>
      <xdr:col>9</xdr:col>
      <xdr:colOff>885190</xdr:colOff>
      <xdr:row>755</xdr:row>
      <xdr:rowOff>1209040</xdr:rowOff>
    </xdr:to>
    <xdr:pic>
      <xdr:nvPicPr>
        <xdr:cNvPr id="5740" name="Изображение 5739" descr="resizeПП-00064802"/>
        <xdr:cNvPicPr>
          <a:picLocks noChangeAspect="1"/>
        </xdr:cNvPicPr>
      </xdr:nvPicPr>
      <xdr:blipFill>
        <a:blip xmlns:r="http://schemas.openxmlformats.org/officeDocument/2006/relationships" r:embed="rId508"/>
        <a:stretch>
          <a:fillRect/>
        </a:stretch>
      </xdr:blipFill>
      <xdr:spPr>
        <a:xfrm>
          <a:off x="7235825" y="685431700"/>
          <a:ext cx="878840" cy="1183640"/>
        </a:xfrm>
        <a:prstGeom prst="rect">
          <a:avLst/>
        </a:prstGeom>
      </xdr:spPr>
    </xdr:pic>
    <xdr:clientData/>
  </xdr:twoCellAnchor>
  <xdr:twoCellAnchor>
    <xdr:from>
      <xdr:col>9</xdr:col>
      <xdr:colOff>6350</xdr:colOff>
      <xdr:row>756</xdr:row>
      <xdr:rowOff>25400</xdr:rowOff>
    </xdr:from>
    <xdr:to>
      <xdr:col>9</xdr:col>
      <xdr:colOff>885190</xdr:colOff>
      <xdr:row>756</xdr:row>
      <xdr:rowOff>1209040</xdr:rowOff>
    </xdr:to>
    <xdr:pic>
      <xdr:nvPicPr>
        <xdr:cNvPr id="5741" name="Изображение 5740" descr="resizeПП-00104442"/>
        <xdr:cNvPicPr>
          <a:picLocks noChangeAspect="1"/>
        </xdr:cNvPicPr>
      </xdr:nvPicPr>
      <xdr:blipFill>
        <a:blip xmlns:r="http://schemas.openxmlformats.org/officeDocument/2006/relationships" r:embed="rId509"/>
        <a:stretch>
          <a:fillRect/>
        </a:stretch>
      </xdr:blipFill>
      <xdr:spPr>
        <a:xfrm>
          <a:off x="7235825" y="686654075"/>
          <a:ext cx="878840" cy="1183640"/>
        </a:xfrm>
        <a:prstGeom prst="rect">
          <a:avLst/>
        </a:prstGeom>
      </xdr:spPr>
    </xdr:pic>
    <xdr:clientData/>
  </xdr:twoCellAnchor>
  <xdr:twoCellAnchor>
    <xdr:from>
      <xdr:col>9</xdr:col>
      <xdr:colOff>6350</xdr:colOff>
      <xdr:row>757</xdr:row>
      <xdr:rowOff>25400</xdr:rowOff>
    </xdr:from>
    <xdr:to>
      <xdr:col>9</xdr:col>
      <xdr:colOff>885190</xdr:colOff>
      <xdr:row>757</xdr:row>
      <xdr:rowOff>1209040</xdr:rowOff>
    </xdr:to>
    <xdr:pic>
      <xdr:nvPicPr>
        <xdr:cNvPr id="5742" name="Изображение 5741" descr="resizeПП-00203588"/>
        <xdr:cNvPicPr>
          <a:picLocks noChangeAspect="1"/>
        </xdr:cNvPicPr>
      </xdr:nvPicPr>
      <xdr:blipFill>
        <a:blip xmlns:r="http://schemas.openxmlformats.org/officeDocument/2006/relationships" r:embed="rId510"/>
        <a:stretch>
          <a:fillRect/>
        </a:stretch>
      </xdr:blipFill>
      <xdr:spPr>
        <a:xfrm>
          <a:off x="7235825" y="687876450"/>
          <a:ext cx="878840" cy="1183640"/>
        </a:xfrm>
        <a:prstGeom prst="rect">
          <a:avLst/>
        </a:prstGeom>
      </xdr:spPr>
    </xdr:pic>
    <xdr:clientData/>
  </xdr:twoCellAnchor>
  <xdr:twoCellAnchor>
    <xdr:from>
      <xdr:col>9</xdr:col>
      <xdr:colOff>6350</xdr:colOff>
      <xdr:row>758</xdr:row>
      <xdr:rowOff>25400</xdr:rowOff>
    </xdr:from>
    <xdr:to>
      <xdr:col>9</xdr:col>
      <xdr:colOff>885190</xdr:colOff>
      <xdr:row>758</xdr:row>
      <xdr:rowOff>1209040</xdr:rowOff>
    </xdr:to>
    <xdr:pic>
      <xdr:nvPicPr>
        <xdr:cNvPr id="5743" name="Изображение 5742" descr="resizeПП-00203587"/>
        <xdr:cNvPicPr>
          <a:picLocks noChangeAspect="1"/>
        </xdr:cNvPicPr>
      </xdr:nvPicPr>
      <xdr:blipFill>
        <a:blip xmlns:r="http://schemas.openxmlformats.org/officeDocument/2006/relationships" r:embed="rId511"/>
        <a:stretch>
          <a:fillRect/>
        </a:stretch>
      </xdr:blipFill>
      <xdr:spPr>
        <a:xfrm>
          <a:off x="7235825" y="689098825"/>
          <a:ext cx="878840" cy="1183640"/>
        </a:xfrm>
        <a:prstGeom prst="rect">
          <a:avLst/>
        </a:prstGeom>
      </xdr:spPr>
    </xdr:pic>
    <xdr:clientData/>
  </xdr:twoCellAnchor>
  <xdr:twoCellAnchor>
    <xdr:from>
      <xdr:col>9</xdr:col>
      <xdr:colOff>6350</xdr:colOff>
      <xdr:row>759</xdr:row>
      <xdr:rowOff>25400</xdr:rowOff>
    </xdr:from>
    <xdr:to>
      <xdr:col>9</xdr:col>
      <xdr:colOff>885190</xdr:colOff>
      <xdr:row>759</xdr:row>
      <xdr:rowOff>1209040</xdr:rowOff>
    </xdr:to>
    <xdr:pic>
      <xdr:nvPicPr>
        <xdr:cNvPr id="5744" name="Изображение 5743" descr="resizeПП-00203589"/>
        <xdr:cNvPicPr>
          <a:picLocks noChangeAspect="1"/>
        </xdr:cNvPicPr>
      </xdr:nvPicPr>
      <xdr:blipFill>
        <a:blip xmlns:r="http://schemas.openxmlformats.org/officeDocument/2006/relationships" r:embed="rId512"/>
        <a:stretch>
          <a:fillRect/>
        </a:stretch>
      </xdr:blipFill>
      <xdr:spPr>
        <a:xfrm>
          <a:off x="7235825" y="690321200"/>
          <a:ext cx="878840" cy="1183640"/>
        </a:xfrm>
        <a:prstGeom prst="rect">
          <a:avLst/>
        </a:prstGeom>
      </xdr:spPr>
    </xdr:pic>
    <xdr:clientData/>
  </xdr:twoCellAnchor>
  <xdr:twoCellAnchor>
    <xdr:from>
      <xdr:col>9</xdr:col>
      <xdr:colOff>6350</xdr:colOff>
      <xdr:row>760</xdr:row>
      <xdr:rowOff>25400</xdr:rowOff>
    </xdr:from>
    <xdr:to>
      <xdr:col>9</xdr:col>
      <xdr:colOff>885190</xdr:colOff>
      <xdr:row>760</xdr:row>
      <xdr:rowOff>1209040</xdr:rowOff>
    </xdr:to>
    <xdr:pic>
      <xdr:nvPicPr>
        <xdr:cNvPr id="5745" name="Изображение 5744" descr="resizeПП-00104444"/>
        <xdr:cNvPicPr>
          <a:picLocks noChangeAspect="1"/>
        </xdr:cNvPicPr>
      </xdr:nvPicPr>
      <xdr:blipFill>
        <a:blip xmlns:r="http://schemas.openxmlformats.org/officeDocument/2006/relationships" r:embed="rId513"/>
        <a:stretch>
          <a:fillRect/>
        </a:stretch>
      </xdr:blipFill>
      <xdr:spPr>
        <a:xfrm>
          <a:off x="7235825" y="691543575"/>
          <a:ext cx="878840" cy="1183640"/>
        </a:xfrm>
        <a:prstGeom prst="rect">
          <a:avLst/>
        </a:prstGeom>
      </xdr:spPr>
    </xdr:pic>
    <xdr:clientData/>
  </xdr:twoCellAnchor>
  <xdr:twoCellAnchor>
    <xdr:from>
      <xdr:col>9</xdr:col>
      <xdr:colOff>6350</xdr:colOff>
      <xdr:row>762</xdr:row>
      <xdr:rowOff>25400</xdr:rowOff>
    </xdr:from>
    <xdr:to>
      <xdr:col>9</xdr:col>
      <xdr:colOff>885190</xdr:colOff>
      <xdr:row>762</xdr:row>
      <xdr:rowOff>1209040</xdr:rowOff>
    </xdr:to>
    <xdr:pic>
      <xdr:nvPicPr>
        <xdr:cNvPr id="5746" name="Изображение 5745" descr="resizeПП-00064805"/>
        <xdr:cNvPicPr>
          <a:picLocks noChangeAspect="1"/>
        </xdr:cNvPicPr>
      </xdr:nvPicPr>
      <xdr:blipFill>
        <a:blip xmlns:r="http://schemas.openxmlformats.org/officeDocument/2006/relationships" r:embed="rId514"/>
        <a:stretch>
          <a:fillRect/>
        </a:stretch>
      </xdr:blipFill>
      <xdr:spPr>
        <a:xfrm>
          <a:off x="7235825" y="692918350"/>
          <a:ext cx="878840" cy="1183640"/>
        </a:xfrm>
        <a:prstGeom prst="rect">
          <a:avLst/>
        </a:prstGeom>
      </xdr:spPr>
    </xdr:pic>
    <xdr:clientData/>
  </xdr:twoCellAnchor>
  <xdr:twoCellAnchor>
    <xdr:from>
      <xdr:col>9</xdr:col>
      <xdr:colOff>6350</xdr:colOff>
      <xdr:row>763</xdr:row>
      <xdr:rowOff>25400</xdr:rowOff>
    </xdr:from>
    <xdr:to>
      <xdr:col>9</xdr:col>
      <xdr:colOff>885190</xdr:colOff>
      <xdr:row>763</xdr:row>
      <xdr:rowOff>1209040</xdr:rowOff>
    </xdr:to>
    <xdr:pic>
      <xdr:nvPicPr>
        <xdr:cNvPr id="5747" name="Изображение 5746" descr="resizeПП-00251325"/>
        <xdr:cNvPicPr>
          <a:picLocks noChangeAspect="1"/>
        </xdr:cNvPicPr>
      </xdr:nvPicPr>
      <xdr:blipFill>
        <a:blip xmlns:r="http://schemas.openxmlformats.org/officeDocument/2006/relationships" r:embed="rId515"/>
        <a:stretch>
          <a:fillRect/>
        </a:stretch>
      </xdr:blipFill>
      <xdr:spPr>
        <a:xfrm>
          <a:off x="7235825" y="694140725"/>
          <a:ext cx="878840" cy="1183640"/>
        </a:xfrm>
        <a:prstGeom prst="rect">
          <a:avLst/>
        </a:prstGeom>
      </xdr:spPr>
    </xdr:pic>
    <xdr:clientData/>
  </xdr:twoCellAnchor>
  <xdr:twoCellAnchor>
    <xdr:from>
      <xdr:col>9</xdr:col>
      <xdr:colOff>6350</xdr:colOff>
      <xdr:row>764</xdr:row>
      <xdr:rowOff>25400</xdr:rowOff>
    </xdr:from>
    <xdr:to>
      <xdr:col>9</xdr:col>
      <xdr:colOff>885190</xdr:colOff>
      <xdr:row>764</xdr:row>
      <xdr:rowOff>1209040</xdr:rowOff>
    </xdr:to>
    <xdr:pic>
      <xdr:nvPicPr>
        <xdr:cNvPr id="5748" name="Изображение 5747" descr="resizeПП-00203001"/>
        <xdr:cNvPicPr>
          <a:picLocks noChangeAspect="1"/>
        </xdr:cNvPicPr>
      </xdr:nvPicPr>
      <xdr:blipFill>
        <a:blip xmlns:r="http://schemas.openxmlformats.org/officeDocument/2006/relationships" r:embed="rId516"/>
        <a:stretch>
          <a:fillRect/>
        </a:stretch>
      </xdr:blipFill>
      <xdr:spPr>
        <a:xfrm>
          <a:off x="7235825" y="695363100"/>
          <a:ext cx="878840" cy="1183640"/>
        </a:xfrm>
        <a:prstGeom prst="rect">
          <a:avLst/>
        </a:prstGeom>
      </xdr:spPr>
    </xdr:pic>
    <xdr:clientData/>
  </xdr:twoCellAnchor>
  <xdr:twoCellAnchor>
    <xdr:from>
      <xdr:col>9</xdr:col>
      <xdr:colOff>6350</xdr:colOff>
      <xdr:row>765</xdr:row>
      <xdr:rowOff>25400</xdr:rowOff>
    </xdr:from>
    <xdr:to>
      <xdr:col>9</xdr:col>
      <xdr:colOff>885190</xdr:colOff>
      <xdr:row>765</xdr:row>
      <xdr:rowOff>1209040</xdr:rowOff>
    </xdr:to>
    <xdr:pic>
      <xdr:nvPicPr>
        <xdr:cNvPr id="5749" name="Изображение 5748" descr="resizeПП-00193755"/>
        <xdr:cNvPicPr>
          <a:picLocks noChangeAspect="1"/>
        </xdr:cNvPicPr>
      </xdr:nvPicPr>
      <xdr:blipFill>
        <a:blip xmlns:r="http://schemas.openxmlformats.org/officeDocument/2006/relationships" r:embed="rId517"/>
        <a:stretch>
          <a:fillRect/>
        </a:stretch>
      </xdr:blipFill>
      <xdr:spPr>
        <a:xfrm>
          <a:off x="7235825" y="696585475"/>
          <a:ext cx="878840" cy="1183640"/>
        </a:xfrm>
        <a:prstGeom prst="rect">
          <a:avLst/>
        </a:prstGeom>
      </xdr:spPr>
    </xdr:pic>
    <xdr:clientData/>
  </xdr:twoCellAnchor>
  <xdr:twoCellAnchor>
    <xdr:from>
      <xdr:col>9</xdr:col>
      <xdr:colOff>6350</xdr:colOff>
      <xdr:row>766</xdr:row>
      <xdr:rowOff>25400</xdr:rowOff>
    </xdr:from>
    <xdr:to>
      <xdr:col>9</xdr:col>
      <xdr:colOff>885190</xdr:colOff>
      <xdr:row>766</xdr:row>
      <xdr:rowOff>1209040</xdr:rowOff>
    </xdr:to>
    <xdr:pic>
      <xdr:nvPicPr>
        <xdr:cNvPr id="5750" name="Изображение 5749" descr="resizeПП-00160575"/>
        <xdr:cNvPicPr>
          <a:picLocks noChangeAspect="1"/>
        </xdr:cNvPicPr>
      </xdr:nvPicPr>
      <xdr:blipFill>
        <a:blip xmlns:r="http://schemas.openxmlformats.org/officeDocument/2006/relationships" r:embed="rId518"/>
        <a:stretch>
          <a:fillRect/>
        </a:stretch>
      </xdr:blipFill>
      <xdr:spPr>
        <a:xfrm>
          <a:off x="7235825" y="697807850"/>
          <a:ext cx="878840" cy="1183640"/>
        </a:xfrm>
        <a:prstGeom prst="rect">
          <a:avLst/>
        </a:prstGeom>
      </xdr:spPr>
    </xdr:pic>
    <xdr:clientData/>
  </xdr:twoCellAnchor>
  <xdr:twoCellAnchor>
    <xdr:from>
      <xdr:col>9</xdr:col>
      <xdr:colOff>6350</xdr:colOff>
      <xdr:row>767</xdr:row>
      <xdr:rowOff>25400</xdr:rowOff>
    </xdr:from>
    <xdr:to>
      <xdr:col>9</xdr:col>
      <xdr:colOff>885190</xdr:colOff>
      <xdr:row>767</xdr:row>
      <xdr:rowOff>1209040</xdr:rowOff>
    </xdr:to>
    <xdr:pic>
      <xdr:nvPicPr>
        <xdr:cNvPr id="5751" name="Изображение 5750" descr="resizeПП-00251324"/>
        <xdr:cNvPicPr>
          <a:picLocks noChangeAspect="1"/>
        </xdr:cNvPicPr>
      </xdr:nvPicPr>
      <xdr:blipFill>
        <a:blip xmlns:r="http://schemas.openxmlformats.org/officeDocument/2006/relationships" r:embed="rId519"/>
        <a:stretch>
          <a:fillRect/>
        </a:stretch>
      </xdr:blipFill>
      <xdr:spPr>
        <a:xfrm>
          <a:off x="7235825" y="699030225"/>
          <a:ext cx="878840" cy="1183640"/>
        </a:xfrm>
        <a:prstGeom prst="rect">
          <a:avLst/>
        </a:prstGeom>
      </xdr:spPr>
    </xdr:pic>
    <xdr:clientData/>
  </xdr:twoCellAnchor>
  <xdr:twoCellAnchor>
    <xdr:from>
      <xdr:col>9</xdr:col>
      <xdr:colOff>6350</xdr:colOff>
      <xdr:row>768</xdr:row>
      <xdr:rowOff>25400</xdr:rowOff>
    </xdr:from>
    <xdr:to>
      <xdr:col>9</xdr:col>
      <xdr:colOff>885190</xdr:colOff>
      <xdr:row>768</xdr:row>
      <xdr:rowOff>1209040</xdr:rowOff>
    </xdr:to>
    <xdr:pic>
      <xdr:nvPicPr>
        <xdr:cNvPr id="5752" name="Изображение 5751" descr="resizeПП-00255710"/>
        <xdr:cNvPicPr>
          <a:picLocks noChangeAspect="1"/>
        </xdr:cNvPicPr>
      </xdr:nvPicPr>
      <xdr:blipFill>
        <a:blip xmlns:r="http://schemas.openxmlformats.org/officeDocument/2006/relationships" r:embed="rId520"/>
        <a:stretch>
          <a:fillRect/>
        </a:stretch>
      </xdr:blipFill>
      <xdr:spPr>
        <a:xfrm>
          <a:off x="7235825" y="700252600"/>
          <a:ext cx="878840" cy="1183640"/>
        </a:xfrm>
        <a:prstGeom prst="rect">
          <a:avLst/>
        </a:prstGeom>
      </xdr:spPr>
    </xdr:pic>
    <xdr:clientData/>
  </xdr:twoCellAnchor>
  <xdr:twoCellAnchor>
    <xdr:from>
      <xdr:col>9</xdr:col>
      <xdr:colOff>6350</xdr:colOff>
      <xdr:row>769</xdr:row>
      <xdr:rowOff>25400</xdr:rowOff>
    </xdr:from>
    <xdr:to>
      <xdr:col>9</xdr:col>
      <xdr:colOff>885190</xdr:colOff>
      <xdr:row>769</xdr:row>
      <xdr:rowOff>1209040</xdr:rowOff>
    </xdr:to>
    <xdr:pic>
      <xdr:nvPicPr>
        <xdr:cNvPr id="5753" name="Изображение 5752" descr="resizeПП-00255709"/>
        <xdr:cNvPicPr>
          <a:picLocks noChangeAspect="1"/>
        </xdr:cNvPicPr>
      </xdr:nvPicPr>
      <xdr:blipFill>
        <a:blip xmlns:r="http://schemas.openxmlformats.org/officeDocument/2006/relationships" r:embed="rId521"/>
        <a:stretch>
          <a:fillRect/>
        </a:stretch>
      </xdr:blipFill>
      <xdr:spPr>
        <a:xfrm>
          <a:off x="7235825" y="701474975"/>
          <a:ext cx="878840" cy="1183640"/>
        </a:xfrm>
        <a:prstGeom prst="rect">
          <a:avLst/>
        </a:prstGeom>
      </xdr:spPr>
    </xdr:pic>
    <xdr:clientData/>
  </xdr:twoCellAnchor>
  <xdr:twoCellAnchor>
    <xdr:from>
      <xdr:col>9</xdr:col>
      <xdr:colOff>6350</xdr:colOff>
      <xdr:row>770</xdr:row>
      <xdr:rowOff>25400</xdr:rowOff>
    </xdr:from>
    <xdr:to>
      <xdr:col>9</xdr:col>
      <xdr:colOff>885190</xdr:colOff>
      <xdr:row>770</xdr:row>
      <xdr:rowOff>1209040</xdr:rowOff>
    </xdr:to>
    <xdr:pic>
      <xdr:nvPicPr>
        <xdr:cNvPr id="5754" name="Изображение 5753" descr="resizeПП-00255712"/>
        <xdr:cNvPicPr>
          <a:picLocks noChangeAspect="1"/>
        </xdr:cNvPicPr>
      </xdr:nvPicPr>
      <xdr:blipFill>
        <a:blip xmlns:r="http://schemas.openxmlformats.org/officeDocument/2006/relationships" r:embed="rId522"/>
        <a:stretch>
          <a:fillRect/>
        </a:stretch>
      </xdr:blipFill>
      <xdr:spPr>
        <a:xfrm>
          <a:off x="7235825" y="702697350"/>
          <a:ext cx="878840" cy="1183640"/>
        </a:xfrm>
        <a:prstGeom prst="rect">
          <a:avLst/>
        </a:prstGeom>
      </xdr:spPr>
    </xdr:pic>
    <xdr:clientData/>
  </xdr:twoCellAnchor>
  <xdr:twoCellAnchor>
    <xdr:from>
      <xdr:col>9</xdr:col>
      <xdr:colOff>6350</xdr:colOff>
      <xdr:row>771</xdr:row>
      <xdr:rowOff>25400</xdr:rowOff>
    </xdr:from>
    <xdr:to>
      <xdr:col>9</xdr:col>
      <xdr:colOff>885190</xdr:colOff>
      <xdr:row>771</xdr:row>
      <xdr:rowOff>1209040</xdr:rowOff>
    </xdr:to>
    <xdr:pic>
      <xdr:nvPicPr>
        <xdr:cNvPr id="5755" name="Изображение 5754" descr="resizeПП-00255711"/>
        <xdr:cNvPicPr>
          <a:picLocks noChangeAspect="1"/>
        </xdr:cNvPicPr>
      </xdr:nvPicPr>
      <xdr:blipFill>
        <a:blip xmlns:r="http://schemas.openxmlformats.org/officeDocument/2006/relationships" r:embed="rId523"/>
        <a:stretch>
          <a:fillRect/>
        </a:stretch>
      </xdr:blipFill>
      <xdr:spPr>
        <a:xfrm>
          <a:off x="7235825" y="703919725"/>
          <a:ext cx="878840" cy="1183640"/>
        </a:xfrm>
        <a:prstGeom prst="rect">
          <a:avLst/>
        </a:prstGeom>
      </xdr:spPr>
    </xdr:pic>
    <xdr:clientData/>
  </xdr:twoCellAnchor>
  <xdr:twoCellAnchor>
    <xdr:from>
      <xdr:col>9</xdr:col>
      <xdr:colOff>6350</xdr:colOff>
      <xdr:row>772</xdr:row>
      <xdr:rowOff>25400</xdr:rowOff>
    </xdr:from>
    <xdr:to>
      <xdr:col>9</xdr:col>
      <xdr:colOff>885190</xdr:colOff>
      <xdr:row>772</xdr:row>
      <xdr:rowOff>1209040</xdr:rowOff>
    </xdr:to>
    <xdr:pic>
      <xdr:nvPicPr>
        <xdr:cNvPr id="5756" name="Изображение 5755" descr="resizeПП-00255708"/>
        <xdr:cNvPicPr>
          <a:picLocks noChangeAspect="1"/>
        </xdr:cNvPicPr>
      </xdr:nvPicPr>
      <xdr:blipFill>
        <a:blip xmlns:r="http://schemas.openxmlformats.org/officeDocument/2006/relationships" r:embed="rId524"/>
        <a:stretch>
          <a:fillRect/>
        </a:stretch>
      </xdr:blipFill>
      <xdr:spPr>
        <a:xfrm>
          <a:off x="7235825" y="705142100"/>
          <a:ext cx="878840" cy="1183640"/>
        </a:xfrm>
        <a:prstGeom prst="rect">
          <a:avLst/>
        </a:prstGeom>
      </xdr:spPr>
    </xdr:pic>
    <xdr:clientData/>
  </xdr:twoCellAnchor>
  <xdr:twoCellAnchor>
    <xdr:from>
      <xdr:col>9</xdr:col>
      <xdr:colOff>6350</xdr:colOff>
      <xdr:row>773</xdr:row>
      <xdr:rowOff>25400</xdr:rowOff>
    </xdr:from>
    <xdr:to>
      <xdr:col>9</xdr:col>
      <xdr:colOff>885190</xdr:colOff>
      <xdr:row>773</xdr:row>
      <xdr:rowOff>1209040</xdr:rowOff>
    </xdr:to>
    <xdr:pic>
      <xdr:nvPicPr>
        <xdr:cNvPr id="5757" name="Изображение 5756" descr="resizeПП-00255704"/>
        <xdr:cNvPicPr>
          <a:picLocks noChangeAspect="1"/>
        </xdr:cNvPicPr>
      </xdr:nvPicPr>
      <xdr:blipFill>
        <a:blip xmlns:r="http://schemas.openxmlformats.org/officeDocument/2006/relationships" r:embed="rId525"/>
        <a:stretch>
          <a:fillRect/>
        </a:stretch>
      </xdr:blipFill>
      <xdr:spPr>
        <a:xfrm>
          <a:off x="7235825" y="706364475"/>
          <a:ext cx="878840" cy="1183640"/>
        </a:xfrm>
        <a:prstGeom prst="rect">
          <a:avLst/>
        </a:prstGeom>
      </xdr:spPr>
    </xdr:pic>
    <xdr:clientData/>
  </xdr:twoCellAnchor>
  <xdr:twoCellAnchor>
    <xdr:from>
      <xdr:col>9</xdr:col>
      <xdr:colOff>6350</xdr:colOff>
      <xdr:row>774</xdr:row>
      <xdr:rowOff>25400</xdr:rowOff>
    </xdr:from>
    <xdr:to>
      <xdr:col>9</xdr:col>
      <xdr:colOff>885190</xdr:colOff>
      <xdr:row>774</xdr:row>
      <xdr:rowOff>1209040</xdr:rowOff>
    </xdr:to>
    <xdr:pic>
      <xdr:nvPicPr>
        <xdr:cNvPr id="5758" name="Изображение 5757" descr="resizeПП-00255705"/>
        <xdr:cNvPicPr>
          <a:picLocks noChangeAspect="1"/>
        </xdr:cNvPicPr>
      </xdr:nvPicPr>
      <xdr:blipFill>
        <a:blip xmlns:r="http://schemas.openxmlformats.org/officeDocument/2006/relationships" r:embed="rId526"/>
        <a:stretch>
          <a:fillRect/>
        </a:stretch>
      </xdr:blipFill>
      <xdr:spPr>
        <a:xfrm>
          <a:off x="7235825" y="707586850"/>
          <a:ext cx="878840" cy="1183640"/>
        </a:xfrm>
        <a:prstGeom prst="rect">
          <a:avLst/>
        </a:prstGeom>
      </xdr:spPr>
    </xdr:pic>
    <xdr:clientData/>
  </xdr:twoCellAnchor>
  <xdr:twoCellAnchor>
    <xdr:from>
      <xdr:col>9</xdr:col>
      <xdr:colOff>6350</xdr:colOff>
      <xdr:row>775</xdr:row>
      <xdr:rowOff>25400</xdr:rowOff>
    </xdr:from>
    <xdr:to>
      <xdr:col>9</xdr:col>
      <xdr:colOff>885190</xdr:colOff>
      <xdr:row>775</xdr:row>
      <xdr:rowOff>1209040</xdr:rowOff>
    </xdr:to>
    <xdr:pic>
      <xdr:nvPicPr>
        <xdr:cNvPr id="5759" name="Изображение 5758" descr="resizeПП-00255707"/>
        <xdr:cNvPicPr>
          <a:picLocks noChangeAspect="1"/>
        </xdr:cNvPicPr>
      </xdr:nvPicPr>
      <xdr:blipFill>
        <a:blip xmlns:r="http://schemas.openxmlformats.org/officeDocument/2006/relationships" r:embed="rId527"/>
        <a:stretch>
          <a:fillRect/>
        </a:stretch>
      </xdr:blipFill>
      <xdr:spPr>
        <a:xfrm>
          <a:off x="7235825" y="708809225"/>
          <a:ext cx="878840" cy="1183640"/>
        </a:xfrm>
        <a:prstGeom prst="rect">
          <a:avLst/>
        </a:prstGeom>
      </xdr:spPr>
    </xdr:pic>
    <xdr:clientData/>
  </xdr:twoCellAnchor>
  <xdr:twoCellAnchor>
    <xdr:from>
      <xdr:col>9</xdr:col>
      <xdr:colOff>6350</xdr:colOff>
      <xdr:row>776</xdr:row>
      <xdr:rowOff>25400</xdr:rowOff>
    </xdr:from>
    <xdr:to>
      <xdr:col>9</xdr:col>
      <xdr:colOff>885190</xdr:colOff>
      <xdr:row>776</xdr:row>
      <xdr:rowOff>1209040</xdr:rowOff>
    </xdr:to>
    <xdr:pic>
      <xdr:nvPicPr>
        <xdr:cNvPr id="5760" name="Изображение 5759" descr="resizeПП-00255703"/>
        <xdr:cNvPicPr>
          <a:picLocks noChangeAspect="1"/>
        </xdr:cNvPicPr>
      </xdr:nvPicPr>
      <xdr:blipFill>
        <a:blip xmlns:r="http://schemas.openxmlformats.org/officeDocument/2006/relationships" r:embed="rId528"/>
        <a:stretch>
          <a:fillRect/>
        </a:stretch>
      </xdr:blipFill>
      <xdr:spPr>
        <a:xfrm>
          <a:off x="7235825" y="710031600"/>
          <a:ext cx="878840" cy="1183640"/>
        </a:xfrm>
        <a:prstGeom prst="rect">
          <a:avLst/>
        </a:prstGeom>
      </xdr:spPr>
    </xdr:pic>
    <xdr:clientData/>
  </xdr:twoCellAnchor>
  <xdr:twoCellAnchor>
    <xdr:from>
      <xdr:col>9</xdr:col>
      <xdr:colOff>6350</xdr:colOff>
      <xdr:row>779</xdr:row>
      <xdr:rowOff>25400</xdr:rowOff>
    </xdr:from>
    <xdr:to>
      <xdr:col>9</xdr:col>
      <xdr:colOff>885190</xdr:colOff>
      <xdr:row>779</xdr:row>
      <xdr:rowOff>1209040</xdr:rowOff>
    </xdr:to>
    <xdr:pic>
      <xdr:nvPicPr>
        <xdr:cNvPr id="5761" name="Изображение 5760" descr="resizeПП-00275430"/>
        <xdr:cNvPicPr>
          <a:picLocks noChangeAspect="1"/>
        </xdr:cNvPicPr>
      </xdr:nvPicPr>
      <xdr:blipFill>
        <a:blip xmlns:r="http://schemas.openxmlformats.org/officeDocument/2006/relationships" r:embed="rId529"/>
        <a:stretch>
          <a:fillRect/>
        </a:stretch>
      </xdr:blipFill>
      <xdr:spPr>
        <a:xfrm>
          <a:off x="7235825" y="711558775"/>
          <a:ext cx="878840" cy="1183640"/>
        </a:xfrm>
        <a:prstGeom prst="rect">
          <a:avLst/>
        </a:prstGeom>
      </xdr:spPr>
    </xdr:pic>
    <xdr:clientData/>
  </xdr:twoCellAnchor>
  <xdr:twoCellAnchor>
    <xdr:from>
      <xdr:col>9</xdr:col>
      <xdr:colOff>6350</xdr:colOff>
      <xdr:row>780</xdr:row>
      <xdr:rowOff>25400</xdr:rowOff>
    </xdr:from>
    <xdr:to>
      <xdr:col>9</xdr:col>
      <xdr:colOff>885190</xdr:colOff>
      <xdr:row>780</xdr:row>
      <xdr:rowOff>1209040</xdr:rowOff>
    </xdr:to>
    <xdr:pic>
      <xdr:nvPicPr>
        <xdr:cNvPr id="5762" name="Изображение 5761" descr="resizeПП-00234441"/>
        <xdr:cNvPicPr>
          <a:picLocks noChangeAspect="1"/>
        </xdr:cNvPicPr>
      </xdr:nvPicPr>
      <xdr:blipFill>
        <a:blip xmlns:r="http://schemas.openxmlformats.org/officeDocument/2006/relationships" r:embed="rId530"/>
        <a:stretch>
          <a:fillRect/>
        </a:stretch>
      </xdr:blipFill>
      <xdr:spPr>
        <a:xfrm>
          <a:off x="7235825" y="712781150"/>
          <a:ext cx="878840" cy="1183640"/>
        </a:xfrm>
        <a:prstGeom prst="rect">
          <a:avLst/>
        </a:prstGeom>
      </xdr:spPr>
    </xdr:pic>
    <xdr:clientData/>
  </xdr:twoCellAnchor>
  <xdr:twoCellAnchor>
    <xdr:from>
      <xdr:col>9</xdr:col>
      <xdr:colOff>6350</xdr:colOff>
      <xdr:row>781</xdr:row>
      <xdr:rowOff>25400</xdr:rowOff>
    </xdr:from>
    <xdr:to>
      <xdr:col>9</xdr:col>
      <xdr:colOff>885190</xdr:colOff>
      <xdr:row>781</xdr:row>
      <xdr:rowOff>1209040</xdr:rowOff>
    </xdr:to>
    <xdr:pic>
      <xdr:nvPicPr>
        <xdr:cNvPr id="5763" name="Изображение 5762" descr="resizeПП-00234439"/>
        <xdr:cNvPicPr>
          <a:picLocks noChangeAspect="1"/>
        </xdr:cNvPicPr>
      </xdr:nvPicPr>
      <xdr:blipFill>
        <a:blip xmlns:r="http://schemas.openxmlformats.org/officeDocument/2006/relationships" r:embed="rId531"/>
        <a:stretch>
          <a:fillRect/>
        </a:stretch>
      </xdr:blipFill>
      <xdr:spPr>
        <a:xfrm>
          <a:off x="7235825" y="714003525"/>
          <a:ext cx="878840" cy="1183640"/>
        </a:xfrm>
        <a:prstGeom prst="rect">
          <a:avLst/>
        </a:prstGeom>
      </xdr:spPr>
    </xdr:pic>
    <xdr:clientData/>
  </xdr:twoCellAnchor>
  <xdr:twoCellAnchor>
    <xdr:from>
      <xdr:col>9</xdr:col>
      <xdr:colOff>6350</xdr:colOff>
      <xdr:row>783</xdr:row>
      <xdr:rowOff>25400</xdr:rowOff>
    </xdr:from>
    <xdr:to>
      <xdr:col>9</xdr:col>
      <xdr:colOff>885190</xdr:colOff>
      <xdr:row>783</xdr:row>
      <xdr:rowOff>1209040</xdr:rowOff>
    </xdr:to>
    <xdr:pic>
      <xdr:nvPicPr>
        <xdr:cNvPr id="5764" name="Изображение 5763" descr="resizeПП-00275408"/>
        <xdr:cNvPicPr>
          <a:picLocks noChangeAspect="1"/>
        </xdr:cNvPicPr>
      </xdr:nvPicPr>
      <xdr:blipFill>
        <a:blip xmlns:r="http://schemas.openxmlformats.org/officeDocument/2006/relationships" r:embed="rId532"/>
        <a:stretch>
          <a:fillRect/>
        </a:stretch>
      </xdr:blipFill>
      <xdr:spPr>
        <a:xfrm>
          <a:off x="7235825" y="715378300"/>
          <a:ext cx="878840" cy="1183640"/>
        </a:xfrm>
        <a:prstGeom prst="rect">
          <a:avLst/>
        </a:prstGeom>
      </xdr:spPr>
    </xdr:pic>
    <xdr:clientData/>
  </xdr:twoCellAnchor>
  <xdr:twoCellAnchor>
    <xdr:from>
      <xdr:col>9</xdr:col>
      <xdr:colOff>6350</xdr:colOff>
      <xdr:row>784</xdr:row>
      <xdr:rowOff>25400</xdr:rowOff>
    </xdr:from>
    <xdr:to>
      <xdr:col>9</xdr:col>
      <xdr:colOff>885190</xdr:colOff>
      <xdr:row>784</xdr:row>
      <xdr:rowOff>1209040</xdr:rowOff>
    </xdr:to>
    <xdr:pic>
      <xdr:nvPicPr>
        <xdr:cNvPr id="5765" name="Изображение 5764" descr="resizeПП-00275426"/>
        <xdr:cNvPicPr>
          <a:picLocks noChangeAspect="1"/>
        </xdr:cNvPicPr>
      </xdr:nvPicPr>
      <xdr:blipFill>
        <a:blip xmlns:r="http://schemas.openxmlformats.org/officeDocument/2006/relationships" r:embed="rId533"/>
        <a:stretch>
          <a:fillRect/>
        </a:stretch>
      </xdr:blipFill>
      <xdr:spPr>
        <a:xfrm>
          <a:off x="7235825" y="716600675"/>
          <a:ext cx="878840" cy="1183640"/>
        </a:xfrm>
        <a:prstGeom prst="rect">
          <a:avLst/>
        </a:prstGeom>
      </xdr:spPr>
    </xdr:pic>
    <xdr:clientData/>
  </xdr:twoCellAnchor>
  <xdr:twoCellAnchor>
    <xdr:from>
      <xdr:col>9</xdr:col>
      <xdr:colOff>6350</xdr:colOff>
      <xdr:row>785</xdr:row>
      <xdr:rowOff>25400</xdr:rowOff>
    </xdr:from>
    <xdr:to>
      <xdr:col>9</xdr:col>
      <xdr:colOff>885190</xdr:colOff>
      <xdr:row>785</xdr:row>
      <xdr:rowOff>1209040</xdr:rowOff>
    </xdr:to>
    <xdr:pic>
      <xdr:nvPicPr>
        <xdr:cNvPr id="5766" name="Изображение 5765" descr="resizeПП-00275415"/>
        <xdr:cNvPicPr>
          <a:picLocks noChangeAspect="1"/>
        </xdr:cNvPicPr>
      </xdr:nvPicPr>
      <xdr:blipFill>
        <a:blip xmlns:r="http://schemas.openxmlformats.org/officeDocument/2006/relationships" r:embed="rId534"/>
        <a:stretch>
          <a:fillRect/>
        </a:stretch>
      </xdr:blipFill>
      <xdr:spPr>
        <a:xfrm>
          <a:off x="7235825" y="717823050"/>
          <a:ext cx="878840" cy="1183640"/>
        </a:xfrm>
        <a:prstGeom prst="rect">
          <a:avLst/>
        </a:prstGeom>
      </xdr:spPr>
    </xdr:pic>
    <xdr:clientData/>
  </xdr:twoCellAnchor>
  <xdr:twoCellAnchor>
    <xdr:from>
      <xdr:col>9</xdr:col>
      <xdr:colOff>6350</xdr:colOff>
      <xdr:row>786</xdr:row>
      <xdr:rowOff>25400</xdr:rowOff>
    </xdr:from>
    <xdr:to>
      <xdr:col>9</xdr:col>
      <xdr:colOff>885190</xdr:colOff>
      <xdr:row>786</xdr:row>
      <xdr:rowOff>1209040</xdr:rowOff>
    </xdr:to>
    <xdr:pic>
      <xdr:nvPicPr>
        <xdr:cNvPr id="5767" name="Изображение 5766" descr="resizeПП-00275405"/>
        <xdr:cNvPicPr>
          <a:picLocks noChangeAspect="1"/>
        </xdr:cNvPicPr>
      </xdr:nvPicPr>
      <xdr:blipFill>
        <a:blip xmlns:r="http://schemas.openxmlformats.org/officeDocument/2006/relationships" r:embed="rId535"/>
        <a:stretch>
          <a:fillRect/>
        </a:stretch>
      </xdr:blipFill>
      <xdr:spPr>
        <a:xfrm>
          <a:off x="7235825" y="719045425"/>
          <a:ext cx="878840" cy="1183640"/>
        </a:xfrm>
        <a:prstGeom prst="rect">
          <a:avLst/>
        </a:prstGeom>
      </xdr:spPr>
    </xdr:pic>
    <xdr:clientData/>
  </xdr:twoCellAnchor>
  <xdr:twoCellAnchor>
    <xdr:from>
      <xdr:col>9</xdr:col>
      <xdr:colOff>6350</xdr:colOff>
      <xdr:row>787</xdr:row>
      <xdr:rowOff>25400</xdr:rowOff>
    </xdr:from>
    <xdr:to>
      <xdr:col>9</xdr:col>
      <xdr:colOff>885190</xdr:colOff>
      <xdr:row>787</xdr:row>
      <xdr:rowOff>1209040</xdr:rowOff>
    </xdr:to>
    <xdr:pic>
      <xdr:nvPicPr>
        <xdr:cNvPr id="5768" name="Изображение 5767" descr="resizeПП-00275427"/>
        <xdr:cNvPicPr>
          <a:picLocks noChangeAspect="1"/>
        </xdr:cNvPicPr>
      </xdr:nvPicPr>
      <xdr:blipFill>
        <a:blip xmlns:r="http://schemas.openxmlformats.org/officeDocument/2006/relationships" r:embed="rId536"/>
        <a:stretch>
          <a:fillRect/>
        </a:stretch>
      </xdr:blipFill>
      <xdr:spPr>
        <a:xfrm>
          <a:off x="7235825" y="720267800"/>
          <a:ext cx="878840" cy="1183640"/>
        </a:xfrm>
        <a:prstGeom prst="rect">
          <a:avLst/>
        </a:prstGeom>
      </xdr:spPr>
    </xdr:pic>
    <xdr:clientData/>
  </xdr:twoCellAnchor>
  <xdr:twoCellAnchor>
    <xdr:from>
      <xdr:col>9</xdr:col>
      <xdr:colOff>6350</xdr:colOff>
      <xdr:row>788</xdr:row>
      <xdr:rowOff>25400</xdr:rowOff>
    </xdr:from>
    <xdr:to>
      <xdr:col>9</xdr:col>
      <xdr:colOff>885190</xdr:colOff>
      <xdr:row>788</xdr:row>
      <xdr:rowOff>1209040</xdr:rowOff>
    </xdr:to>
    <xdr:pic>
      <xdr:nvPicPr>
        <xdr:cNvPr id="5769" name="Изображение 5768" descr="resizeПП-00211084"/>
        <xdr:cNvPicPr>
          <a:picLocks noChangeAspect="1"/>
        </xdr:cNvPicPr>
      </xdr:nvPicPr>
      <xdr:blipFill>
        <a:blip xmlns:r="http://schemas.openxmlformats.org/officeDocument/2006/relationships" r:embed="rId537"/>
        <a:stretch>
          <a:fillRect/>
        </a:stretch>
      </xdr:blipFill>
      <xdr:spPr>
        <a:xfrm>
          <a:off x="7235825" y="721490175"/>
          <a:ext cx="878840" cy="1183640"/>
        </a:xfrm>
        <a:prstGeom prst="rect">
          <a:avLst/>
        </a:prstGeom>
      </xdr:spPr>
    </xdr:pic>
    <xdr:clientData/>
  </xdr:twoCellAnchor>
  <xdr:twoCellAnchor>
    <xdr:from>
      <xdr:col>9</xdr:col>
      <xdr:colOff>6350</xdr:colOff>
      <xdr:row>789</xdr:row>
      <xdr:rowOff>25400</xdr:rowOff>
    </xdr:from>
    <xdr:to>
      <xdr:col>9</xdr:col>
      <xdr:colOff>885190</xdr:colOff>
      <xdr:row>789</xdr:row>
      <xdr:rowOff>1209040</xdr:rowOff>
    </xdr:to>
    <xdr:pic>
      <xdr:nvPicPr>
        <xdr:cNvPr id="5770" name="Изображение 5769" descr="resizeПП-00211088"/>
        <xdr:cNvPicPr>
          <a:picLocks noChangeAspect="1"/>
        </xdr:cNvPicPr>
      </xdr:nvPicPr>
      <xdr:blipFill>
        <a:blip xmlns:r="http://schemas.openxmlformats.org/officeDocument/2006/relationships" r:embed="rId538"/>
        <a:stretch>
          <a:fillRect/>
        </a:stretch>
      </xdr:blipFill>
      <xdr:spPr>
        <a:xfrm>
          <a:off x="7235825" y="722712550"/>
          <a:ext cx="878840" cy="1183640"/>
        </a:xfrm>
        <a:prstGeom prst="rect">
          <a:avLst/>
        </a:prstGeom>
      </xdr:spPr>
    </xdr:pic>
    <xdr:clientData/>
  </xdr:twoCellAnchor>
  <xdr:twoCellAnchor>
    <xdr:from>
      <xdr:col>9</xdr:col>
      <xdr:colOff>6350</xdr:colOff>
      <xdr:row>790</xdr:row>
      <xdr:rowOff>25400</xdr:rowOff>
    </xdr:from>
    <xdr:to>
      <xdr:col>9</xdr:col>
      <xdr:colOff>885190</xdr:colOff>
      <xdr:row>790</xdr:row>
      <xdr:rowOff>1209040</xdr:rowOff>
    </xdr:to>
    <xdr:pic>
      <xdr:nvPicPr>
        <xdr:cNvPr id="5771" name="Изображение 5770" descr="resizeПП-00211094"/>
        <xdr:cNvPicPr>
          <a:picLocks noChangeAspect="1"/>
        </xdr:cNvPicPr>
      </xdr:nvPicPr>
      <xdr:blipFill>
        <a:blip xmlns:r="http://schemas.openxmlformats.org/officeDocument/2006/relationships" r:embed="rId539"/>
        <a:stretch>
          <a:fillRect/>
        </a:stretch>
      </xdr:blipFill>
      <xdr:spPr>
        <a:xfrm>
          <a:off x="7235825" y="723934925"/>
          <a:ext cx="878840" cy="1183640"/>
        </a:xfrm>
        <a:prstGeom prst="rect">
          <a:avLst/>
        </a:prstGeom>
      </xdr:spPr>
    </xdr:pic>
    <xdr:clientData/>
  </xdr:twoCellAnchor>
  <xdr:twoCellAnchor>
    <xdr:from>
      <xdr:col>9</xdr:col>
      <xdr:colOff>6350</xdr:colOff>
      <xdr:row>791</xdr:row>
      <xdr:rowOff>25400</xdr:rowOff>
    </xdr:from>
    <xdr:to>
      <xdr:col>9</xdr:col>
      <xdr:colOff>885190</xdr:colOff>
      <xdr:row>791</xdr:row>
      <xdr:rowOff>1209040</xdr:rowOff>
    </xdr:to>
    <xdr:pic>
      <xdr:nvPicPr>
        <xdr:cNvPr id="5772" name="Изображение 5771" descr="resizeПП-00275425"/>
        <xdr:cNvPicPr>
          <a:picLocks noChangeAspect="1"/>
        </xdr:cNvPicPr>
      </xdr:nvPicPr>
      <xdr:blipFill>
        <a:blip xmlns:r="http://schemas.openxmlformats.org/officeDocument/2006/relationships" r:embed="rId540"/>
        <a:stretch>
          <a:fillRect/>
        </a:stretch>
      </xdr:blipFill>
      <xdr:spPr>
        <a:xfrm>
          <a:off x="7235825" y="725157300"/>
          <a:ext cx="878840" cy="1183640"/>
        </a:xfrm>
        <a:prstGeom prst="rect">
          <a:avLst/>
        </a:prstGeom>
      </xdr:spPr>
    </xdr:pic>
    <xdr:clientData/>
  </xdr:twoCellAnchor>
  <xdr:twoCellAnchor>
    <xdr:from>
      <xdr:col>9</xdr:col>
      <xdr:colOff>6350</xdr:colOff>
      <xdr:row>792</xdr:row>
      <xdr:rowOff>25400</xdr:rowOff>
    </xdr:from>
    <xdr:to>
      <xdr:col>9</xdr:col>
      <xdr:colOff>885190</xdr:colOff>
      <xdr:row>792</xdr:row>
      <xdr:rowOff>1209040</xdr:rowOff>
    </xdr:to>
    <xdr:pic>
      <xdr:nvPicPr>
        <xdr:cNvPr id="5773" name="Изображение 5772" descr="resizeПП-00275420"/>
        <xdr:cNvPicPr>
          <a:picLocks noChangeAspect="1"/>
        </xdr:cNvPicPr>
      </xdr:nvPicPr>
      <xdr:blipFill>
        <a:blip xmlns:r="http://schemas.openxmlformats.org/officeDocument/2006/relationships" r:embed="rId541"/>
        <a:stretch>
          <a:fillRect/>
        </a:stretch>
      </xdr:blipFill>
      <xdr:spPr>
        <a:xfrm>
          <a:off x="7235825" y="726379675"/>
          <a:ext cx="878840" cy="1183640"/>
        </a:xfrm>
        <a:prstGeom prst="rect">
          <a:avLst/>
        </a:prstGeom>
      </xdr:spPr>
    </xdr:pic>
    <xdr:clientData/>
  </xdr:twoCellAnchor>
  <xdr:twoCellAnchor>
    <xdr:from>
      <xdr:col>9</xdr:col>
      <xdr:colOff>6350</xdr:colOff>
      <xdr:row>793</xdr:row>
      <xdr:rowOff>25400</xdr:rowOff>
    </xdr:from>
    <xdr:to>
      <xdr:col>9</xdr:col>
      <xdr:colOff>885190</xdr:colOff>
      <xdr:row>793</xdr:row>
      <xdr:rowOff>1209040</xdr:rowOff>
    </xdr:to>
    <xdr:pic>
      <xdr:nvPicPr>
        <xdr:cNvPr id="5774" name="Изображение 5773" descr="resizeПП-00275421"/>
        <xdr:cNvPicPr>
          <a:picLocks noChangeAspect="1"/>
        </xdr:cNvPicPr>
      </xdr:nvPicPr>
      <xdr:blipFill>
        <a:blip xmlns:r="http://schemas.openxmlformats.org/officeDocument/2006/relationships" r:embed="rId542"/>
        <a:stretch>
          <a:fillRect/>
        </a:stretch>
      </xdr:blipFill>
      <xdr:spPr>
        <a:xfrm>
          <a:off x="7235825" y="727602050"/>
          <a:ext cx="878840" cy="1183640"/>
        </a:xfrm>
        <a:prstGeom prst="rect">
          <a:avLst/>
        </a:prstGeom>
      </xdr:spPr>
    </xdr:pic>
    <xdr:clientData/>
  </xdr:twoCellAnchor>
  <xdr:twoCellAnchor>
    <xdr:from>
      <xdr:col>9</xdr:col>
      <xdr:colOff>6350</xdr:colOff>
      <xdr:row>794</xdr:row>
      <xdr:rowOff>25400</xdr:rowOff>
    </xdr:from>
    <xdr:to>
      <xdr:col>9</xdr:col>
      <xdr:colOff>885190</xdr:colOff>
      <xdr:row>794</xdr:row>
      <xdr:rowOff>1209040</xdr:rowOff>
    </xdr:to>
    <xdr:pic>
      <xdr:nvPicPr>
        <xdr:cNvPr id="5775" name="Изображение 5774" descr="resizeПП-00275411"/>
        <xdr:cNvPicPr>
          <a:picLocks noChangeAspect="1"/>
        </xdr:cNvPicPr>
      </xdr:nvPicPr>
      <xdr:blipFill>
        <a:blip xmlns:r="http://schemas.openxmlformats.org/officeDocument/2006/relationships" r:embed="rId543"/>
        <a:stretch>
          <a:fillRect/>
        </a:stretch>
      </xdr:blipFill>
      <xdr:spPr>
        <a:xfrm>
          <a:off x="7235825" y="728824425"/>
          <a:ext cx="878840" cy="1183640"/>
        </a:xfrm>
        <a:prstGeom prst="rect">
          <a:avLst/>
        </a:prstGeom>
      </xdr:spPr>
    </xdr:pic>
    <xdr:clientData/>
  </xdr:twoCellAnchor>
  <xdr:twoCellAnchor>
    <xdr:from>
      <xdr:col>9</xdr:col>
      <xdr:colOff>6350</xdr:colOff>
      <xdr:row>795</xdr:row>
      <xdr:rowOff>25400</xdr:rowOff>
    </xdr:from>
    <xdr:to>
      <xdr:col>9</xdr:col>
      <xdr:colOff>885190</xdr:colOff>
      <xdr:row>795</xdr:row>
      <xdr:rowOff>1209040</xdr:rowOff>
    </xdr:to>
    <xdr:pic>
      <xdr:nvPicPr>
        <xdr:cNvPr id="5776" name="Изображение 5775" descr="resizeПП-00275410"/>
        <xdr:cNvPicPr>
          <a:picLocks noChangeAspect="1"/>
        </xdr:cNvPicPr>
      </xdr:nvPicPr>
      <xdr:blipFill>
        <a:blip xmlns:r="http://schemas.openxmlformats.org/officeDocument/2006/relationships" r:embed="rId544"/>
        <a:stretch>
          <a:fillRect/>
        </a:stretch>
      </xdr:blipFill>
      <xdr:spPr>
        <a:xfrm>
          <a:off x="7235825" y="730046800"/>
          <a:ext cx="878840" cy="1183640"/>
        </a:xfrm>
        <a:prstGeom prst="rect">
          <a:avLst/>
        </a:prstGeom>
      </xdr:spPr>
    </xdr:pic>
    <xdr:clientData/>
  </xdr:twoCellAnchor>
  <xdr:twoCellAnchor>
    <xdr:from>
      <xdr:col>9</xdr:col>
      <xdr:colOff>6350</xdr:colOff>
      <xdr:row>796</xdr:row>
      <xdr:rowOff>25400</xdr:rowOff>
    </xdr:from>
    <xdr:to>
      <xdr:col>9</xdr:col>
      <xdr:colOff>885190</xdr:colOff>
      <xdr:row>796</xdr:row>
      <xdr:rowOff>1209040</xdr:rowOff>
    </xdr:to>
    <xdr:pic>
      <xdr:nvPicPr>
        <xdr:cNvPr id="5777" name="Изображение 5776" descr="resizeПП-00275406"/>
        <xdr:cNvPicPr>
          <a:picLocks noChangeAspect="1"/>
        </xdr:cNvPicPr>
      </xdr:nvPicPr>
      <xdr:blipFill>
        <a:blip xmlns:r="http://schemas.openxmlformats.org/officeDocument/2006/relationships" r:embed="rId545"/>
        <a:stretch>
          <a:fillRect/>
        </a:stretch>
      </xdr:blipFill>
      <xdr:spPr>
        <a:xfrm>
          <a:off x="7235825" y="731269175"/>
          <a:ext cx="878840" cy="1183640"/>
        </a:xfrm>
        <a:prstGeom prst="rect">
          <a:avLst/>
        </a:prstGeom>
      </xdr:spPr>
    </xdr:pic>
    <xdr:clientData/>
  </xdr:twoCellAnchor>
  <xdr:twoCellAnchor>
    <xdr:from>
      <xdr:col>9</xdr:col>
      <xdr:colOff>6350</xdr:colOff>
      <xdr:row>797</xdr:row>
      <xdr:rowOff>25400</xdr:rowOff>
    </xdr:from>
    <xdr:to>
      <xdr:col>9</xdr:col>
      <xdr:colOff>885190</xdr:colOff>
      <xdr:row>797</xdr:row>
      <xdr:rowOff>1209040</xdr:rowOff>
    </xdr:to>
    <xdr:pic>
      <xdr:nvPicPr>
        <xdr:cNvPr id="5778" name="Изображение 5777" descr="resizeПП-00275407"/>
        <xdr:cNvPicPr>
          <a:picLocks noChangeAspect="1"/>
        </xdr:cNvPicPr>
      </xdr:nvPicPr>
      <xdr:blipFill>
        <a:blip xmlns:r="http://schemas.openxmlformats.org/officeDocument/2006/relationships" r:embed="rId546"/>
        <a:stretch>
          <a:fillRect/>
        </a:stretch>
      </xdr:blipFill>
      <xdr:spPr>
        <a:xfrm>
          <a:off x="7235825" y="732491550"/>
          <a:ext cx="878840" cy="1183640"/>
        </a:xfrm>
        <a:prstGeom prst="rect">
          <a:avLst/>
        </a:prstGeom>
      </xdr:spPr>
    </xdr:pic>
    <xdr:clientData/>
  </xdr:twoCellAnchor>
  <xdr:twoCellAnchor>
    <xdr:from>
      <xdr:col>9</xdr:col>
      <xdr:colOff>6350</xdr:colOff>
      <xdr:row>798</xdr:row>
      <xdr:rowOff>25400</xdr:rowOff>
    </xdr:from>
    <xdr:to>
      <xdr:col>9</xdr:col>
      <xdr:colOff>885190</xdr:colOff>
      <xdr:row>798</xdr:row>
      <xdr:rowOff>1209040</xdr:rowOff>
    </xdr:to>
    <xdr:pic>
      <xdr:nvPicPr>
        <xdr:cNvPr id="5779" name="Изображение 5778" descr="resizeПП-00275404"/>
        <xdr:cNvPicPr>
          <a:picLocks noChangeAspect="1"/>
        </xdr:cNvPicPr>
      </xdr:nvPicPr>
      <xdr:blipFill>
        <a:blip xmlns:r="http://schemas.openxmlformats.org/officeDocument/2006/relationships" r:embed="rId547"/>
        <a:stretch>
          <a:fillRect/>
        </a:stretch>
      </xdr:blipFill>
      <xdr:spPr>
        <a:xfrm>
          <a:off x="7235825" y="733713925"/>
          <a:ext cx="878840" cy="1183640"/>
        </a:xfrm>
        <a:prstGeom prst="rect">
          <a:avLst/>
        </a:prstGeom>
      </xdr:spPr>
    </xdr:pic>
    <xdr:clientData/>
  </xdr:twoCellAnchor>
  <xdr:twoCellAnchor>
    <xdr:from>
      <xdr:col>9</xdr:col>
      <xdr:colOff>6350</xdr:colOff>
      <xdr:row>799</xdr:row>
      <xdr:rowOff>25400</xdr:rowOff>
    </xdr:from>
    <xdr:to>
      <xdr:col>9</xdr:col>
      <xdr:colOff>885190</xdr:colOff>
      <xdr:row>799</xdr:row>
      <xdr:rowOff>1209040</xdr:rowOff>
    </xdr:to>
    <xdr:pic>
      <xdr:nvPicPr>
        <xdr:cNvPr id="5780" name="Изображение 5779" descr="resizeПП-00211075"/>
        <xdr:cNvPicPr>
          <a:picLocks noChangeAspect="1"/>
        </xdr:cNvPicPr>
      </xdr:nvPicPr>
      <xdr:blipFill>
        <a:blip xmlns:r="http://schemas.openxmlformats.org/officeDocument/2006/relationships" r:embed="rId548"/>
        <a:stretch>
          <a:fillRect/>
        </a:stretch>
      </xdr:blipFill>
      <xdr:spPr>
        <a:xfrm>
          <a:off x="7235825" y="734936300"/>
          <a:ext cx="878840" cy="1183640"/>
        </a:xfrm>
        <a:prstGeom prst="rect">
          <a:avLst/>
        </a:prstGeom>
      </xdr:spPr>
    </xdr:pic>
    <xdr:clientData/>
  </xdr:twoCellAnchor>
  <xdr:twoCellAnchor>
    <xdr:from>
      <xdr:col>9</xdr:col>
      <xdr:colOff>6350</xdr:colOff>
      <xdr:row>801</xdr:row>
      <xdr:rowOff>25400</xdr:rowOff>
    </xdr:from>
    <xdr:to>
      <xdr:col>9</xdr:col>
      <xdr:colOff>885190</xdr:colOff>
      <xdr:row>801</xdr:row>
      <xdr:rowOff>1209040</xdr:rowOff>
    </xdr:to>
    <xdr:pic>
      <xdr:nvPicPr>
        <xdr:cNvPr id="5781" name="Изображение 5780" descr="resizeПП-00251199"/>
        <xdr:cNvPicPr>
          <a:picLocks noChangeAspect="1"/>
        </xdr:cNvPicPr>
      </xdr:nvPicPr>
      <xdr:blipFill>
        <a:blip xmlns:r="http://schemas.openxmlformats.org/officeDocument/2006/relationships" r:embed="rId549"/>
        <a:stretch>
          <a:fillRect/>
        </a:stretch>
      </xdr:blipFill>
      <xdr:spPr>
        <a:xfrm>
          <a:off x="7235825" y="736311075"/>
          <a:ext cx="878840" cy="1183640"/>
        </a:xfrm>
        <a:prstGeom prst="rect">
          <a:avLst/>
        </a:prstGeom>
      </xdr:spPr>
    </xdr:pic>
    <xdr:clientData/>
  </xdr:twoCellAnchor>
  <xdr:twoCellAnchor>
    <xdr:from>
      <xdr:col>9</xdr:col>
      <xdr:colOff>6350</xdr:colOff>
      <xdr:row>802</xdr:row>
      <xdr:rowOff>25400</xdr:rowOff>
    </xdr:from>
    <xdr:to>
      <xdr:col>9</xdr:col>
      <xdr:colOff>885190</xdr:colOff>
      <xdr:row>802</xdr:row>
      <xdr:rowOff>1209040</xdr:rowOff>
    </xdr:to>
    <xdr:pic>
      <xdr:nvPicPr>
        <xdr:cNvPr id="5782" name="Изображение 5781" descr="resizeПП-00251196"/>
        <xdr:cNvPicPr>
          <a:picLocks noChangeAspect="1"/>
        </xdr:cNvPicPr>
      </xdr:nvPicPr>
      <xdr:blipFill>
        <a:blip xmlns:r="http://schemas.openxmlformats.org/officeDocument/2006/relationships" r:embed="rId550"/>
        <a:stretch>
          <a:fillRect/>
        </a:stretch>
      </xdr:blipFill>
      <xdr:spPr>
        <a:xfrm>
          <a:off x="7235825" y="737533450"/>
          <a:ext cx="878840" cy="1183640"/>
        </a:xfrm>
        <a:prstGeom prst="rect">
          <a:avLst/>
        </a:prstGeom>
      </xdr:spPr>
    </xdr:pic>
    <xdr:clientData/>
  </xdr:twoCellAnchor>
  <xdr:twoCellAnchor>
    <xdr:from>
      <xdr:col>9</xdr:col>
      <xdr:colOff>6350</xdr:colOff>
      <xdr:row>803</xdr:row>
      <xdr:rowOff>25400</xdr:rowOff>
    </xdr:from>
    <xdr:to>
      <xdr:col>9</xdr:col>
      <xdr:colOff>885190</xdr:colOff>
      <xdr:row>803</xdr:row>
      <xdr:rowOff>1209040</xdr:rowOff>
    </xdr:to>
    <xdr:pic>
      <xdr:nvPicPr>
        <xdr:cNvPr id="5783" name="Изображение 5782" descr="resizeПП-00202562"/>
        <xdr:cNvPicPr>
          <a:picLocks noChangeAspect="1"/>
        </xdr:cNvPicPr>
      </xdr:nvPicPr>
      <xdr:blipFill>
        <a:blip xmlns:r="http://schemas.openxmlformats.org/officeDocument/2006/relationships" r:embed="rId551"/>
        <a:stretch>
          <a:fillRect/>
        </a:stretch>
      </xdr:blipFill>
      <xdr:spPr>
        <a:xfrm>
          <a:off x="7235825" y="738755825"/>
          <a:ext cx="878840" cy="1183640"/>
        </a:xfrm>
        <a:prstGeom prst="rect">
          <a:avLst/>
        </a:prstGeom>
      </xdr:spPr>
    </xdr:pic>
    <xdr:clientData/>
  </xdr:twoCellAnchor>
  <xdr:twoCellAnchor>
    <xdr:from>
      <xdr:col>9</xdr:col>
      <xdr:colOff>6350</xdr:colOff>
      <xdr:row>804</xdr:row>
      <xdr:rowOff>25400</xdr:rowOff>
    </xdr:from>
    <xdr:to>
      <xdr:col>9</xdr:col>
      <xdr:colOff>885190</xdr:colOff>
      <xdr:row>804</xdr:row>
      <xdr:rowOff>1209040</xdr:rowOff>
    </xdr:to>
    <xdr:pic>
      <xdr:nvPicPr>
        <xdr:cNvPr id="5784" name="Изображение 5783" descr="resizeПП-00202551"/>
        <xdr:cNvPicPr>
          <a:picLocks noChangeAspect="1"/>
        </xdr:cNvPicPr>
      </xdr:nvPicPr>
      <xdr:blipFill>
        <a:blip xmlns:r="http://schemas.openxmlformats.org/officeDocument/2006/relationships" r:embed="rId552"/>
        <a:stretch>
          <a:fillRect/>
        </a:stretch>
      </xdr:blipFill>
      <xdr:spPr>
        <a:xfrm>
          <a:off x="7235825" y="739978200"/>
          <a:ext cx="878840" cy="1183640"/>
        </a:xfrm>
        <a:prstGeom prst="rect">
          <a:avLst/>
        </a:prstGeom>
      </xdr:spPr>
    </xdr:pic>
    <xdr:clientData/>
  </xdr:twoCellAnchor>
  <xdr:twoCellAnchor>
    <xdr:from>
      <xdr:col>9</xdr:col>
      <xdr:colOff>6350</xdr:colOff>
      <xdr:row>805</xdr:row>
      <xdr:rowOff>25400</xdr:rowOff>
    </xdr:from>
    <xdr:to>
      <xdr:col>9</xdr:col>
      <xdr:colOff>885190</xdr:colOff>
      <xdr:row>805</xdr:row>
      <xdr:rowOff>1209040</xdr:rowOff>
    </xdr:to>
    <xdr:pic>
      <xdr:nvPicPr>
        <xdr:cNvPr id="5785" name="Изображение 5784" descr="resizeПП-00223955"/>
        <xdr:cNvPicPr>
          <a:picLocks noChangeAspect="1"/>
        </xdr:cNvPicPr>
      </xdr:nvPicPr>
      <xdr:blipFill>
        <a:blip xmlns:r="http://schemas.openxmlformats.org/officeDocument/2006/relationships" r:embed="rId553"/>
        <a:stretch>
          <a:fillRect/>
        </a:stretch>
      </xdr:blipFill>
      <xdr:spPr>
        <a:xfrm>
          <a:off x="7235825" y="741200575"/>
          <a:ext cx="878840" cy="1183640"/>
        </a:xfrm>
        <a:prstGeom prst="rect">
          <a:avLst/>
        </a:prstGeom>
      </xdr:spPr>
    </xdr:pic>
    <xdr:clientData/>
  </xdr:twoCellAnchor>
  <xdr:twoCellAnchor>
    <xdr:from>
      <xdr:col>9</xdr:col>
      <xdr:colOff>6350</xdr:colOff>
      <xdr:row>806</xdr:row>
      <xdr:rowOff>25400</xdr:rowOff>
    </xdr:from>
    <xdr:to>
      <xdr:col>9</xdr:col>
      <xdr:colOff>885190</xdr:colOff>
      <xdr:row>806</xdr:row>
      <xdr:rowOff>1209040</xdr:rowOff>
    </xdr:to>
    <xdr:pic>
      <xdr:nvPicPr>
        <xdr:cNvPr id="5786" name="Изображение 5785" descr="resizeПП-00202549"/>
        <xdr:cNvPicPr>
          <a:picLocks noChangeAspect="1"/>
        </xdr:cNvPicPr>
      </xdr:nvPicPr>
      <xdr:blipFill>
        <a:blip xmlns:r="http://schemas.openxmlformats.org/officeDocument/2006/relationships" r:embed="rId554"/>
        <a:stretch>
          <a:fillRect/>
        </a:stretch>
      </xdr:blipFill>
      <xdr:spPr>
        <a:xfrm>
          <a:off x="7235825" y="742422950"/>
          <a:ext cx="878840" cy="1183640"/>
        </a:xfrm>
        <a:prstGeom prst="rect">
          <a:avLst/>
        </a:prstGeom>
      </xdr:spPr>
    </xdr:pic>
    <xdr:clientData/>
  </xdr:twoCellAnchor>
  <xdr:twoCellAnchor>
    <xdr:from>
      <xdr:col>9</xdr:col>
      <xdr:colOff>6350</xdr:colOff>
      <xdr:row>807</xdr:row>
      <xdr:rowOff>25400</xdr:rowOff>
    </xdr:from>
    <xdr:to>
      <xdr:col>9</xdr:col>
      <xdr:colOff>885190</xdr:colOff>
      <xdr:row>807</xdr:row>
      <xdr:rowOff>1209040</xdr:rowOff>
    </xdr:to>
    <xdr:pic>
      <xdr:nvPicPr>
        <xdr:cNvPr id="5787" name="Изображение 5786" descr="resizeПП-00202546"/>
        <xdr:cNvPicPr>
          <a:picLocks noChangeAspect="1"/>
        </xdr:cNvPicPr>
      </xdr:nvPicPr>
      <xdr:blipFill>
        <a:blip xmlns:r="http://schemas.openxmlformats.org/officeDocument/2006/relationships" r:embed="rId555"/>
        <a:stretch>
          <a:fillRect/>
        </a:stretch>
      </xdr:blipFill>
      <xdr:spPr>
        <a:xfrm>
          <a:off x="7235825" y="743645325"/>
          <a:ext cx="878840" cy="1183640"/>
        </a:xfrm>
        <a:prstGeom prst="rect">
          <a:avLst/>
        </a:prstGeom>
      </xdr:spPr>
    </xdr:pic>
    <xdr:clientData/>
  </xdr:twoCellAnchor>
  <xdr:twoCellAnchor>
    <xdr:from>
      <xdr:col>9</xdr:col>
      <xdr:colOff>6350</xdr:colOff>
      <xdr:row>808</xdr:row>
      <xdr:rowOff>25400</xdr:rowOff>
    </xdr:from>
    <xdr:to>
      <xdr:col>9</xdr:col>
      <xdr:colOff>885190</xdr:colOff>
      <xdr:row>808</xdr:row>
      <xdr:rowOff>1209040</xdr:rowOff>
    </xdr:to>
    <xdr:pic>
      <xdr:nvPicPr>
        <xdr:cNvPr id="5788" name="Изображение 5787" descr="resizeПП-00202560"/>
        <xdr:cNvPicPr>
          <a:picLocks noChangeAspect="1"/>
        </xdr:cNvPicPr>
      </xdr:nvPicPr>
      <xdr:blipFill>
        <a:blip xmlns:r="http://schemas.openxmlformats.org/officeDocument/2006/relationships" r:embed="rId556"/>
        <a:stretch>
          <a:fillRect/>
        </a:stretch>
      </xdr:blipFill>
      <xdr:spPr>
        <a:xfrm>
          <a:off x="7235825" y="744867700"/>
          <a:ext cx="878840" cy="1183640"/>
        </a:xfrm>
        <a:prstGeom prst="rect">
          <a:avLst/>
        </a:prstGeom>
      </xdr:spPr>
    </xdr:pic>
    <xdr:clientData/>
  </xdr:twoCellAnchor>
  <xdr:twoCellAnchor>
    <xdr:from>
      <xdr:col>9</xdr:col>
      <xdr:colOff>6350</xdr:colOff>
      <xdr:row>809</xdr:row>
      <xdr:rowOff>25400</xdr:rowOff>
    </xdr:from>
    <xdr:to>
      <xdr:col>9</xdr:col>
      <xdr:colOff>885190</xdr:colOff>
      <xdr:row>809</xdr:row>
      <xdr:rowOff>1209040</xdr:rowOff>
    </xdr:to>
    <xdr:pic>
      <xdr:nvPicPr>
        <xdr:cNvPr id="5789" name="Изображение 5788" descr="resizeПП-00223960"/>
        <xdr:cNvPicPr>
          <a:picLocks noChangeAspect="1"/>
        </xdr:cNvPicPr>
      </xdr:nvPicPr>
      <xdr:blipFill>
        <a:blip xmlns:r="http://schemas.openxmlformats.org/officeDocument/2006/relationships" r:embed="rId557"/>
        <a:stretch>
          <a:fillRect/>
        </a:stretch>
      </xdr:blipFill>
      <xdr:spPr>
        <a:xfrm>
          <a:off x="7235825" y="746090075"/>
          <a:ext cx="878840" cy="1183640"/>
        </a:xfrm>
        <a:prstGeom prst="rect">
          <a:avLst/>
        </a:prstGeom>
      </xdr:spPr>
    </xdr:pic>
    <xdr:clientData/>
  </xdr:twoCellAnchor>
  <xdr:twoCellAnchor>
    <xdr:from>
      <xdr:col>9</xdr:col>
      <xdr:colOff>6350</xdr:colOff>
      <xdr:row>810</xdr:row>
      <xdr:rowOff>25400</xdr:rowOff>
    </xdr:from>
    <xdr:to>
      <xdr:col>9</xdr:col>
      <xdr:colOff>885190</xdr:colOff>
      <xdr:row>810</xdr:row>
      <xdr:rowOff>1209040</xdr:rowOff>
    </xdr:to>
    <xdr:pic>
      <xdr:nvPicPr>
        <xdr:cNvPr id="5790" name="Изображение 5789" descr="resizeПП-00202543"/>
        <xdr:cNvPicPr>
          <a:picLocks noChangeAspect="1"/>
        </xdr:cNvPicPr>
      </xdr:nvPicPr>
      <xdr:blipFill>
        <a:blip xmlns:r="http://schemas.openxmlformats.org/officeDocument/2006/relationships" r:embed="rId558"/>
        <a:stretch>
          <a:fillRect/>
        </a:stretch>
      </xdr:blipFill>
      <xdr:spPr>
        <a:xfrm>
          <a:off x="7235825" y="747312450"/>
          <a:ext cx="878840" cy="1183640"/>
        </a:xfrm>
        <a:prstGeom prst="rect">
          <a:avLst/>
        </a:prstGeom>
      </xdr:spPr>
    </xdr:pic>
    <xdr:clientData/>
  </xdr:twoCellAnchor>
  <xdr:twoCellAnchor>
    <xdr:from>
      <xdr:col>9</xdr:col>
      <xdr:colOff>6350</xdr:colOff>
      <xdr:row>811</xdr:row>
      <xdr:rowOff>25400</xdr:rowOff>
    </xdr:from>
    <xdr:to>
      <xdr:col>9</xdr:col>
      <xdr:colOff>885190</xdr:colOff>
      <xdr:row>811</xdr:row>
      <xdr:rowOff>1209040</xdr:rowOff>
    </xdr:to>
    <xdr:pic>
      <xdr:nvPicPr>
        <xdr:cNvPr id="5791" name="Изображение 5790" descr="resizeПП-00223956"/>
        <xdr:cNvPicPr>
          <a:picLocks noChangeAspect="1"/>
        </xdr:cNvPicPr>
      </xdr:nvPicPr>
      <xdr:blipFill>
        <a:blip xmlns:r="http://schemas.openxmlformats.org/officeDocument/2006/relationships" r:embed="rId559"/>
        <a:stretch>
          <a:fillRect/>
        </a:stretch>
      </xdr:blipFill>
      <xdr:spPr>
        <a:xfrm>
          <a:off x="7235825" y="748534825"/>
          <a:ext cx="878840" cy="1183640"/>
        </a:xfrm>
        <a:prstGeom prst="rect">
          <a:avLst/>
        </a:prstGeom>
      </xdr:spPr>
    </xdr:pic>
    <xdr:clientData/>
  </xdr:twoCellAnchor>
  <xdr:twoCellAnchor>
    <xdr:from>
      <xdr:col>9</xdr:col>
      <xdr:colOff>6350</xdr:colOff>
      <xdr:row>812</xdr:row>
      <xdr:rowOff>25400</xdr:rowOff>
    </xdr:from>
    <xdr:to>
      <xdr:col>9</xdr:col>
      <xdr:colOff>885190</xdr:colOff>
      <xdr:row>812</xdr:row>
      <xdr:rowOff>1209040</xdr:rowOff>
    </xdr:to>
    <xdr:pic>
      <xdr:nvPicPr>
        <xdr:cNvPr id="5792" name="Изображение 5791" descr="resizeПП-00223958"/>
        <xdr:cNvPicPr>
          <a:picLocks noChangeAspect="1"/>
        </xdr:cNvPicPr>
      </xdr:nvPicPr>
      <xdr:blipFill>
        <a:blip xmlns:r="http://schemas.openxmlformats.org/officeDocument/2006/relationships" r:embed="rId560"/>
        <a:stretch>
          <a:fillRect/>
        </a:stretch>
      </xdr:blipFill>
      <xdr:spPr>
        <a:xfrm>
          <a:off x="7235825" y="749757200"/>
          <a:ext cx="878840" cy="1183640"/>
        </a:xfrm>
        <a:prstGeom prst="rect">
          <a:avLst/>
        </a:prstGeom>
      </xdr:spPr>
    </xdr:pic>
    <xdr:clientData/>
  </xdr:twoCellAnchor>
  <xdr:twoCellAnchor>
    <xdr:from>
      <xdr:col>9</xdr:col>
      <xdr:colOff>6350</xdr:colOff>
      <xdr:row>813</xdr:row>
      <xdr:rowOff>25400</xdr:rowOff>
    </xdr:from>
    <xdr:to>
      <xdr:col>9</xdr:col>
      <xdr:colOff>885190</xdr:colOff>
      <xdr:row>813</xdr:row>
      <xdr:rowOff>1209040</xdr:rowOff>
    </xdr:to>
    <xdr:pic>
      <xdr:nvPicPr>
        <xdr:cNvPr id="5793" name="Изображение 5792" descr="resizeПП-00223962"/>
        <xdr:cNvPicPr>
          <a:picLocks noChangeAspect="1"/>
        </xdr:cNvPicPr>
      </xdr:nvPicPr>
      <xdr:blipFill>
        <a:blip xmlns:r="http://schemas.openxmlformats.org/officeDocument/2006/relationships" r:embed="rId561"/>
        <a:stretch>
          <a:fillRect/>
        </a:stretch>
      </xdr:blipFill>
      <xdr:spPr>
        <a:xfrm>
          <a:off x="7235825" y="750979575"/>
          <a:ext cx="878840" cy="1183640"/>
        </a:xfrm>
        <a:prstGeom prst="rect">
          <a:avLst/>
        </a:prstGeom>
      </xdr:spPr>
    </xdr:pic>
    <xdr:clientData/>
  </xdr:twoCellAnchor>
  <xdr:twoCellAnchor>
    <xdr:from>
      <xdr:col>9</xdr:col>
      <xdr:colOff>6350</xdr:colOff>
      <xdr:row>814</xdr:row>
      <xdr:rowOff>25400</xdr:rowOff>
    </xdr:from>
    <xdr:to>
      <xdr:col>9</xdr:col>
      <xdr:colOff>885190</xdr:colOff>
      <xdr:row>814</xdr:row>
      <xdr:rowOff>1209040</xdr:rowOff>
    </xdr:to>
    <xdr:pic>
      <xdr:nvPicPr>
        <xdr:cNvPr id="5794" name="Изображение 5793" descr="resizeПП-00202552"/>
        <xdr:cNvPicPr>
          <a:picLocks noChangeAspect="1"/>
        </xdr:cNvPicPr>
      </xdr:nvPicPr>
      <xdr:blipFill>
        <a:blip xmlns:r="http://schemas.openxmlformats.org/officeDocument/2006/relationships" r:embed="rId562"/>
        <a:stretch>
          <a:fillRect/>
        </a:stretch>
      </xdr:blipFill>
      <xdr:spPr>
        <a:xfrm>
          <a:off x="7235825" y="752201950"/>
          <a:ext cx="878840" cy="1183640"/>
        </a:xfrm>
        <a:prstGeom prst="rect">
          <a:avLst/>
        </a:prstGeom>
      </xdr:spPr>
    </xdr:pic>
    <xdr:clientData/>
  </xdr:twoCellAnchor>
  <xdr:twoCellAnchor>
    <xdr:from>
      <xdr:col>9</xdr:col>
      <xdr:colOff>6350</xdr:colOff>
      <xdr:row>815</xdr:row>
      <xdr:rowOff>25400</xdr:rowOff>
    </xdr:from>
    <xdr:to>
      <xdr:col>9</xdr:col>
      <xdr:colOff>885190</xdr:colOff>
      <xdr:row>815</xdr:row>
      <xdr:rowOff>1209040</xdr:rowOff>
    </xdr:to>
    <xdr:pic>
      <xdr:nvPicPr>
        <xdr:cNvPr id="5795" name="Изображение 5794" descr="resizeПП-00223957"/>
        <xdr:cNvPicPr>
          <a:picLocks noChangeAspect="1"/>
        </xdr:cNvPicPr>
      </xdr:nvPicPr>
      <xdr:blipFill>
        <a:blip xmlns:r="http://schemas.openxmlformats.org/officeDocument/2006/relationships" r:embed="rId563"/>
        <a:stretch>
          <a:fillRect/>
        </a:stretch>
      </xdr:blipFill>
      <xdr:spPr>
        <a:xfrm>
          <a:off x="7235825" y="753424325"/>
          <a:ext cx="878840" cy="1183640"/>
        </a:xfrm>
        <a:prstGeom prst="rect">
          <a:avLst/>
        </a:prstGeom>
      </xdr:spPr>
    </xdr:pic>
    <xdr:clientData/>
  </xdr:twoCellAnchor>
  <xdr:twoCellAnchor>
    <xdr:from>
      <xdr:col>9</xdr:col>
      <xdr:colOff>6350</xdr:colOff>
      <xdr:row>816</xdr:row>
      <xdr:rowOff>25400</xdr:rowOff>
    </xdr:from>
    <xdr:to>
      <xdr:col>9</xdr:col>
      <xdr:colOff>885190</xdr:colOff>
      <xdr:row>816</xdr:row>
      <xdr:rowOff>1209040</xdr:rowOff>
    </xdr:to>
    <xdr:pic>
      <xdr:nvPicPr>
        <xdr:cNvPr id="5796" name="Изображение 5795" descr="resizeПП-00223959"/>
        <xdr:cNvPicPr>
          <a:picLocks noChangeAspect="1"/>
        </xdr:cNvPicPr>
      </xdr:nvPicPr>
      <xdr:blipFill>
        <a:blip xmlns:r="http://schemas.openxmlformats.org/officeDocument/2006/relationships" r:embed="rId564"/>
        <a:stretch>
          <a:fillRect/>
        </a:stretch>
      </xdr:blipFill>
      <xdr:spPr>
        <a:xfrm>
          <a:off x="7235825" y="754646700"/>
          <a:ext cx="878840" cy="1183640"/>
        </a:xfrm>
        <a:prstGeom prst="rect">
          <a:avLst/>
        </a:prstGeom>
      </xdr:spPr>
    </xdr:pic>
    <xdr:clientData/>
  </xdr:twoCellAnchor>
  <xdr:twoCellAnchor>
    <xdr:from>
      <xdr:col>9</xdr:col>
      <xdr:colOff>6350</xdr:colOff>
      <xdr:row>817</xdr:row>
      <xdr:rowOff>25400</xdr:rowOff>
    </xdr:from>
    <xdr:to>
      <xdr:col>9</xdr:col>
      <xdr:colOff>885190</xdr:colOff>
      <xdr:row>817</xdr:row>
      <xdr:rowOff>1209040</xdr:rowOff>
    </xdr:to>
    <xdr:pic>
      <xdr:nvPicPr>
        <xdr:cNvPr id="5797" name="Изображение 5796" descr="resizeПП-00251195"/>
        <xdr:cNvPicPr>
          <a:picLocks noChangeAspect="1"/>
        </xdr:cNvPicPr>
      </xdr:nvPicPr>
      <xdr:blipFill>
        <a:blip xmlns:r="http://schemas.openxmlformats.org/officeDocument/2006/relationships" r:embed="rId565"/>
        <a:stretch>
          <a:fillRect/>
        </a:stretch>
      </xdr:blipFill>
      <xdr:spPr>
        <a:xfrm>
          <a:off x="7235825" y="755869075"/>
          <a:ext cx="878840" cy="1183640"/>
        </a:xfrm>
        <a:prstGeom prst="rect">
          <a:avLst/>
        </a:prstGeom>
      </xdr:spPr>
    </xdr:pic>
    <xdr:clientData/>
  </xdr:twoCellAnchor>
  <xdr:twoCellAnchor>
    <xdr:from>
      <xdr:col>9</xdr:col>
      <xdr:colOff>6350</xdr:colOff>
      <xdr:row>818</xdr:row>
      <xdr:rowOff>25400</xdr:rowOff>
    </xdr:from>
    <xdr:to>
      <xdr:col>9</xdr:col>
      <xdr:colOff>885190</xdr:colOff>
      <xdr:row>818</xdr:row>
      <xdr:rowOff>1209040</xdr:rowOff>
    </xdr:to>
    <xdr:pic>
      <xdr:nvPicPr>
        <xdr:cNvPr id="5798" name="Изображение 5797" descr="resizeПП-00223953"/>
        <xdr:cNvPicPr>
          <a:picLocks noChangeAspect="1"/>
        </xdr:cNvPicPr>
      </xdr:nvPicPr>
      <xdr:blipFill>
        <a:blip xmlns:r="http://schemas.openxmlformats.org/officeDocument/2006/relationships" r:embed="rId566"/>
        <a:stretch>
          <a:fillRect/>
        </a:stretch>
      </xdr:blipFill>
      <xdr:spPr>
        <a:xfrm>
          <a:off x="7235825" y="757091450"/>
          <a:ext cx="878840" cy="1183640"/>
        </a:xfrm>
        <a:prstGeom prst="rect">
          <a:avLst/>
        </a:prstGeom>
      </xdr:spPr>
    </xdr:pic>
    <xdr:clientData/>
  </xdr:twoCellAnchor>
  <xdr:twoCellAnchor>
    <xdr:from>
      <xdr:col>9</xdr:col>
      <xdr:colOff>6350</xdr:colOff>
      <xdr:row>819</xdr:row>
      <xdr:rowOff>25400</xdr:rowOff>
    </xdr:from>
    <xdr:to>
      <xdr:col>9</xdr:col>
      <xdr:colOff>885190</xdr:colOff>
      <xdr:row>819</xdr:row>
      <xdr:rowOff>1209040</xdr:rowOff>
    </xdr:to>
    <xdr:pic>
      <xdr:nvPicPr>
        <xdr:cNvPr id="5799" name="Изображение 5798" descr="resizeПП-00223954"/>
        <xdr:cNvPicPr>
          <a:picLocks noChangeAspect="1"/>
        </xdr:cNvPicPr>
      </xdr:nvPicPr>
      <xdr:blipFill>
        <a:blip xmlns:r="http://schemas.openxmlformats.org/officeDocument/2006/relationships" r:embed="rId567"/>
        <a:stretch>
          <a:fillRect/>
        </a:stretch>
      </xdr:blipFill>
      <xdr:spPr>
        <a:xfrm>
          <a:off x="7235825" y="758313825"/>
          <a:ext cx="878840" cy="1183640"/>
        </a:xfrm>
        <a:prstGeom prst="rect">
          <a:avLst/>
        </a:prstGeom>
      </xdr:spPr>
    </xdr:pic>
    <xdr:clientData/>
  </xdr:twoCellAnchor>
  <xdr:twoCellAnchor>
    <xdr:from>
      <xdr:col>9</xdr:col>
      <xdr:colOff>6350</xdr:colOff>
      <xdr:row>821</xdr:row>
      <xdr:rowOff>25400</xdr:rowOff>
    </xdr:from>
    <xdr:to>
      <xdr:col>9</xdr:col>
      <xdr:colOff>885190</xdr:colOff>
      <xdr:row>821</xdr:row>
      <xdr:rowOff>1209040</xdr:rowOff>
    </xdr:to>
    <xdr:pic>
      <xdr:nvPicPr>
        <xdr:cNvPr id="5800" name="Изображение 5799" descr="resizeПП-00160657"/>
        <xdr:cNvPicPr>
          <a:picLocks noChangeAspect="1"/>
        </xdr:cNvPicPr>
      </xdr:nvPicPr>
      <xdr:blipFill>
        <a:blip xmlns:r="http://schemas.openxmlformats.org/officeDocument/2006/relationships" r:embed="rId568"/>
        <a:stretch>
          <a:fillRect/>
        </a:stretch>
      </xdr:blipFill>
      <xdr:spPr>
        <a:xfrm>
          <a:off x="7235825" y="759688600"/>
          <a:ext cx="878840" cy="1183640"/>
        </a:xfrm>
        <a:prstGeom prst="rect">
          <a:avLst/>
        </a:prstGeom>
      </xdr:spPr>
    </xdr:pic>
    <xdr:clientData/>
  </xdr:twoCellAnchor>
  <xdr:twoCellAnchor>
    <xdr:from>
      <xdr:col>9</xdr:col>
      <xdr:colOff>6350</xdr:colOff>
      <xdr:row>823</xdr:row>
      <xdr:rowOff>25400</xdr:rowOff>
    </xdr:from>
    <xdr:to>
      <xdr:col>9</xdr:col>
      <xdr:colOff>885190</xdr:colOff>
      <xdr:row>823</xdr:row>
      <xdr:rowOff>1209040</xdr:rowOff>
    </xdr:to>
    <xdr:pic>
      <xdr:nvPicPr>
        <xdr:cNvPr id="5801" name="Изображение 5800" descr="resizeПП-00275471"/>
        <xdr:cNvPicPr>
          <a:picLocks noChangeAspect="1"/>
        </xdr:cNvPicPr>
      </xdr:nvPicPr>
      <xdr:blipFill>
        <a:blip xmlns:r="http://schemas.openxmlformats.org/officeDocument/2006/relationships" r:embed="rId569"/>
        <a:stretch>
          <a:fillRect/>
        </a:stretch>
      </xdr:blipFill>
      <xdr:spPr>
        <a:xfrm>
          <a:off x="7235825" y="761063375"/>
          <a:ext cx="878840" cy="1183640"/>
        </a:xfrm>
        <a:prstGeom prst="rect">
          <a:avLst/>
        </a:prstGeom>
      </xdr:spPr>
    </xdr:pic>
    <xdr:clientData/>
  </xdr:twoCellAnchor>
  <xdr:twoCellAnchor>
    <xdr:from>
      <xdr:col>9</xdr:col>
      <xdr:colOff>6350</xdr:colOff>
      <xdr:row>824</xdr:row>
      <xdr:rowOff>25400</xdr:rowOff>
    </xdr:from>
    <xdr:to>
      <xdr:col>9</xdr:col>
      <xdr:colOff>885190</xdr:colOff>
      <xdr:row>824</xdr:row>
      <xdr:rowOff>1209040</xdr:rowOff>
    </xdr:to>
    <xdr:pic>
      <xdr:nvPicPr>
        <xdr:cNvPr id="5802" name="Изображение 5801" descr="resizeПП-00275469"/>
        <xdr:cNvPicPr>
          <a:picLocks noChangeAspect="1"/>
        </xdr:cNvPicPr>
      </xdr:nvPicPr>
      <xdr:blipFill>
        <a:blip xmlns:r="http://schemas.openxmlformats.org/officeDocument/2006/relationships" r:embed="rId570"/>
        <a:stretch>
          <a:fillRect/>
        </a:stretch>
      </xdr:blipFill>
      <xdr:spPr>
        <a:xfrm>
          <a:off x="7235825" y="762285750"/>
          <a:ext cx="878840" cy="1183640"/>
        </a:xfrm>
        <a:prstGeom prst="rect">
          <a:avLst/>
        </a:prstGeom>
      </xdr:spPr>
    </xdr:pic>
    <xdr:clientData/>
  </xdr:twoCellAnchor>
  <xdr:twoCellAnchor>
    <xdr:from>
      <xdr:col>9</xdr:col>
      <xdr:colOff>6350</xdr:colOff>
      <xdr:row>825</xdr:row>
      <xdr:rowOff>25400</xdr:rowOff>
    </xdr:from>
    <xdr:to>
      <xdr:col>9</xdr:col>
      <xdr:colOff>885190</xdr:colOff>
      <xdr:row>825</xdr:row>
      <xdr:rowOff>1209040</xdr:rowOff>
    </xdr:to>
    <xdr:pic>
      <xdr:nvPicPr>
        <xdr:cNvPr id="5803" name="Изображение 5802" descr="resizeПП-00275470"/>
        <xdr:cNvPicPr>
          <a:picLocks noChangeAspect="1"/>
        </xdr:cNvPicPr>
      </xdr:nvPicPr>
      <xdr:blipFill>
        <a:blip xmlns:r="http://schemas.openxmlformats.org/officeDocument/2006/relationships" r:embed="rId571"/>
        <a:stretch>
          <a:fillRect/>
        </a:stretch>
      </xdr:blipFill>
      <xdr:spPr>
        <a:xfrm>
          <a:off x="7235825" y="763508125"/>
          <a:ext cx="878840" cy="1183640"/>
        </a:xfrm>
        <a:prstGeom prst="rect">
          <a:avLst/>
        </a:prstGeom>
      </xdr:spPr>
    </xdr:pic>
    <xdr:clientData/>
  </xdr:twoCellAnchor>
  <xdr:twoCellAnchor>
    <xdr:from>
      <xdr:col>9</xdr:col>
      <xdr:colOff>6350</xdr:colOff>
      <xdr:row>826</xdr:row>
      <xdr:rowOff>25400</xdr:rowOff>
    </xdr:from>
    <xdr:to>
      <xdr:col>9</xdr:col>
      <xdr:colOff>885190</xdr:colOff>
      <xdr:row>826</xdr:row>
      <xdr:rowOff>1209040</xdr:rowOff>
    </xdr:to>
    <xdr:pic>
      <xdr:nvPicPr>
        <xdr:cNvPr id="5804" name="Изображение 5803" descr="resizeПП-00275468"/>
        <xdr:cNvPicPr>
          <a:picLocks noChangeAspect="1"/>
        </xdr:cNvPicPr>
      </xdr:nvPicPr>
      <xdr:blipFill>
        <a:blip xmlns:r="http://schemas.openxmlformats.org/officeDocument/2006/relationships" r:embed="rId572"/>
        <a:stretch>
          <a:fillRect/>
        </a:stretch>
      </xdr:blipFill>
      <xdr:spPr>
        <a:xfrm>
          <a:off x="7235825" y="764730500"/>
          <a:ext cx="878840" cy="1183640"/>
        </a:xfrm>
        <a:prstGeom prst="rect">
          <a:avLst/>
        </a:prstGeom>
      </xdr:spPr>
    </xdr:pic>
    <xdr:clientData/>
  </xdr:twoCellAnchor>
  <xdr:twoCellAnchor>
    <xdr:from>
      <xdr:col>9</xdr:col>
      <xdr:colOff>6350</xdr:colOff>
      <xdr:row>827</xdr:row>
      <xdr:rowOff>25400</xdr:rowOff>
    </xdr:from>
    <xdr:to>
      <xdr:col>9</xdr:col>
      <xdr:colOff>885190</xdr:colOff>
      <xdr:row>827</xdr:row>
      <xdr:rowOff>1209040</xdr:rowOff>
    </xdr:to>
    <xdr:pic>
      <xdr:nvPicPr>
        <xdr:cNvPr id="5805" name="Изображение 5804" descr="resizeПП-00275473"/>
        <xdr:cNvPicPr>
          <a:picLocks noChangeAspect="1"/>
        </xdr:cNvPicPr>
      </xdr:nvPicPr>
      <xdr:blipFill>
        <a:blip xmlns:r="http://schemas.openxmlformats.org/officeDocument/2006/relationships" r:embed="rId573"/>
        <a:stretch>
          <a:fillRect/>
        </a:stretch>
      </xdr:blipFill>
      <xdr:spPr>
        <a:xfrm>
          <a:off x="7235825" y="765952875"/>
          <a:ext cx="878840" cy="1183640"/>
        </a:xfrm>
        <a:prstGeom prst="rect">
          <a:avLst/>
        </a:prstGeom>
      </xdr:spPr>
    </xdr:pic>
    <xdr:clientData/>
  </xdr:twoCellAnchor>
  <xdr:twoCellAnchor>
    <xdr:from>
      <xdr:col>9</xdr:col>
      <xdr:colOff>6350</xdr:colOff>
      <xdr:row>828</xdr:row>
      <xdr:rowOff>25400</xdr:rowOff>
    </xdr:from>
    <xdr:to>
      <xdr:col>9</xdr:col>
      <xdr:colOff>885190</xdr:colOff>
      <xdr:row>828</xdr:row>
      <xdr:rowOff>1209040</xdr:rowOff>
    </xdr:to>
    <xdr:pic>
      <xdr:nvPicPr>
        <xdr:cNvPr id="5806" name="Изображение 5805" descr="resizeПП-00275474"/>
        <xdr:cNvPicPr>
          <a:picLocks noChangeAspect="1"/>
        </xdr:cNvPicPr>
      </xdr:nvPicPr>
      <xdr:blipFill>
        <a:blip xmlns:r="http://schemas.openxmlformats.org/officeDocument/2006/relationships" r:embed="rId574"/>
        <a:stretch>
          <a:fillRect/>
        </a:stretch>
      </xdr:blipFill>
      <xdr:spPr>
        <a:xfrm>
          <a:off x="7235825" y="767175250"/>
          <a:ext cx="878840" cy="1183640"/>
        </a:xfrm>
        <a:prstGeom prst="rect">
          <a:avLst/>
        </a:prstGeom>
      </xdr:spPr>
    </xdr:pic>
    <xdr:clientData/>
  </xdr:twoCellAnchor>
  <xdr:twoCellAnchor>
    <xdr:from>
      <xdr:col>9</xdr:col>
      <xdr:colOff>6350</xdr:colOff>
      <xdr:row>829</xdr:row>
      <xdr:rowOff>25400</xdr:rowOff>
    </xdr:from>
    <xdr:to>
      <xdr:col>9</xdr:col>
      <xdr:colOff>885190</xdr:colOff>
      <xdr:row>829</xdr:row>
      <xdr:rowOff>1209040</xdr:rowOff>
    </xdr:to>
    <xdr:pic>
      <xdr:nvPicPr>
        <xdr:cNvPr id="5807" name="Изображение 5806" descr="resizeПП-00275472"/>
        <xdr:cNvPicPr>
          <a:picLocks noChangeAspect="1"/>
        </xdr:cNvPicPr>
      </xdr:nvPicPr>
      <xdr:blipFill>
        <a:blip xmlns:r="http://schemas.openxmlformats.org/officeDocument/2006/relationships" r:embed="rId575"/>
        <a:stretch>
          <a:fillRect/>
        </a:stretch>
      </xdr:blipFill>
      <xdr:spPr>
        <a:xfrm>
          <a:off x="7235825" y="768397625"/>
          <a:ext cx="878840" cy="1183640"/>
        </a:xfrm>
        <a:prstGeom prst="rect">
          <a:avLst/>
        </a:prstGeom>
      </xdr:spPr>
    </xdr:pic>
    <xdr:clientData/>
  </xdr:twoCellAnchor>
  <xdr:twoCellAnchor>
    <xdr:from>
      <xdr:col>9</xdr:col>
      <xdr:colOff>6350</xdr:colOff>
      <xdr:row>834</xdr:row>
      <xdr:rowOff>25400</xdr:rowOff>
    </xdr:from>
    <xdr:to>
      <xdr:col>9</xdr:col>
      <xdr:colOff>885190</xdr:colOff>
      <xdr:row>834</xdr:row>
      <xdr:rowOff>1209040</xdr:rowOff>
    </xdr:to>
    <xdr:pic>
      <xdr:nvPicPr>
        <xdr:cNvPr id="5808" name="Изображение 5807" descr="resizeПП-00227748"/>
        <xdr:cNvPicPr>
          <a:picLocks noChangeAspect="1"/>
        </xdr:cNvPicPr>
      </xdr:nvPicPr>
      <xdr:blipFill>
        <a:blip xmlns:r="http://schemas.openxmlformats.org/officeDocument/2006/relationships" r:embed="rId576"/>
        <a:stretch>
          <a:fillRect/>
        </a:stretch>
      </xdr:blipFill>
      <xdr:spPr>
        <a:xfrm>
          <a:off x="7235825" y="770229600"/>
          <a:ext cx="878840" cy="1183640"/>
        </a:xfrm>
        <a:prstGeom prst="rect">
          <a:avLst/>
        </a:prstGeom>
      </xdr:spPr>
    </xdr:pic>
    <xdr:clientData/>
  </xdr:twoCellAnchor>
  <xdr:twoCellAnchor>
    <xdr:from>
      <xdr:col>9</xdr:col>
      <xdr:colOff>6350</xdr:colOff>
      <xdr:row>835</xdr:row>
      <xdr:rowOff>25400</xdr:rowOff>
    </xdr:from>
    <xdr:to>
      <xdr:col>9</xdr:col>
      <xdr:colOff>885190</xdr:colOff>
      <xdr:row>835</xdr:row>
      <xdr:rowOff>1209040</xdr:rowOff>
    </xdr:to>
    <xdr:pic>
      <xdr:nvPicPr>
        <xdr:cNvPr id="5809" name="Изображение 5808" descr="resizeПП-00227750"/>
        <xdr:cNvPicPr>
          <a:picLocks noChangeAspect="1"/>
        </xdr:cNvPicPr>
      </xdr:nvPicPr>
      <xdr:blipFill>
        <a:blip xmlns:r="http://schemas.openxmlformats.org/officeDocument/2006/relationships" r:embed="rId577"/>
        <a:stretch>
          <a:fillRect/>
        </a:stretch>
      </xdr:blipFill>
      <xdr:spPr>
        <a:xfrm>
          <a:off x="7235825" y="771451975"/>
          <a:ext cx="878840" cy="1183640"/>
        </a:xfrm>
        <a:prstGeom prst="rect">
          <a:avLst/>
        </a:prstGeom>
      </xdr:spPr>
    </xdr:pic>
    <xdr:clientData/>
  </xdr:twoCellAnchor>
  <xdr:twoCellAnchor>
    <xdr:from>
      <xdr:col>9</xdr:col>
      <xdr:colOff>6350</xdr:colOff>
      <xdr:row>836</xdr:row>
      <xdr:rowOff>25400</xdr:rowOff>
    </xdr:from>
    <xdr:to>
      <xdr:col>9</xdr:col>
      <xdr:colOff>885190</xdr:colOff>
      <xdr:row>836</xdr:row>
      <xdr:rowOff>1209040</xdr:rowOff>
    </xdr:to>
    <xdr:pic>
      <xdr:nvPicPr>
        <xdr:cNvPr id="5810" name="Изображение 5809" descr="resizeПП-00227743"/>
        <xdr:cNvPicPr>
          <a:picLocks noChangeAspect="1"/>
        </xdr:cNvPicPr>
      </xdr:nvPicPr>
      <xdr:blipFill>
        <a:blip xmlns:r="http://schemas.openxmlformats.org/officeDocument/2006/relationships" r:embed="rId578"/>
        <a:stretch>
          <a:fillRect/>
        </a:stretch>
      </xdr:blipFill>
      <xdr:spPr>
        <a:xfrm>
          <a:off x="7235825" y="772674350"/>
          <a:ext cx="878840" cy="1183640"/>
        </a:xfrm>
        <a:prstGeom prst="rect">
          <a:avLst/>
        </a:prstGeom>
      </xdr:spPr>
    </xdr:pic>
    <xdr:clientData/>
  </xdr:twoCellAnchor>
  <xdr:twoCellAnchor>
    <xdr:from>
      <xdr:col>9</xdr:col>
      <xdr:colOff>6350</xdr:colOff>
      <xdr:row>837</xdr:row>
      <xdr:rowOff>25400</xdr:rowOff>
    </xdr:from>
    <xdr:to>
      <xdr:col>9</xdr:col>
      <xdr:colOff>885190</xdr:colOff>
      <xdr:row>837</xdr:row>
      <xdr:rowOff>1209040</xdr:rowOff>
    </xdr:to>
    <xdr:pic>
      <xdr:nvPicPr>
        <xdr:cNvPr id="5811" name="Изображение 5810" descr="resizeПП-00227747"/>
        <xdr:cNvPicPr>
          <a:picLocks noChangeAspect="1"/>
        </xdr:cNvPicPr>
      </xdr:nvPicPr>
      <xdr:blipFill>
        <a:blip xmlns:r="http://schemas.openxmlformats.org/officeDocument/2006/relationships" r:embed="rId579"/>
        <a:stretch>
          <a:fillRect/>
        </a:stretch>
      </xdr:blipFill>
      <xdr:spPr>
        <a:xfrm>
          <a:off x="7235825" y="773896725"/>
          <a:ext cx="878840" cy="1183640"/>
        </a:xfrm>
        <a:prstGeom prst="rect">
          <a:avLst/>
        </a:prstGeom>
      </xdr:spPr>
    </xdr:pic>
    <xdr:clientData/>
  </xdr:twoCellAnchor>
  <xdr:twoCellAnchor>
    <xdr:from>
      <xdr:col>9</xdr:col>
      <xdr:colOff>6350</xdr:colOff>
      <xdr:row>838</xdr:row>
      <xdr:rowOff>25400</xdr:rowOff>
    </xdr:from>
    <xdr:to>
      <xdr:col>9</xdr:col>
      <xdr:colOff>885190</xdr:colOff>
      <xdr:row>838</xdr:row>
      <xdr:rowOff>1209040</xdr:rowOff>
    </xdr:to>
    <xdr:pic>
      <xdr:nvPicPr>
        <xdr:cNvPr id="5812" name="Изображение 5811" descr="resizeПП-00246257"/>
        <xdr:cNvPicPr>
          <a:picLocks noChangeAspect="1"/>
        </xdr:cNvPicPr>
      </xdr:nvPicPr>
      <xdr:blipFill>
        <a:blip xmlns:r="http://schemas.openxmlformats.org/officeDocument/2006/relationships" r:embed="rId580"/>
        <a:stretch>
          <a:fillRect/>
        </a:stretch>
      </xdr:blipFill>
      <xdr:spPr>
        <a:xfrm>
          <a:off x="7235825" y="775119100"/>
          <a:ext cx="878840" cy="1183640"/>
        </a:xfrm>
        <a:prstGeom prst="rect">
          <a:avLst/>
        </a:prstGeom>
      </xdr:spPr>
    </xdr:pic>
    <xdr:clientData/>
  </xdr:twoCellAnchor>
  <xdr:twoCellAnchor>
    <xdr:from>
      <xdr:col>9</xdr:col>
      <xdr:colOff>6350</xdr:colOff>
      <xdr:row>840</xdr:row>
      <xdr:rowOff>25400</xdr:rowOff>
    </xdr:from>
    <xdr:to>
      <xdr:col>9</xdr:col>
      <xdr:colOff>885190</xdr:colOff>
      <xdr:row>840</xdr:row>
      <xdr:rowOff>1209040</xdr:rowOff>
    </xdr:to>
    <xdr:pic>
      <xdr:nvPicPr>
        <xdr:cNvPr id="5813" name="Изображение 5812" descr="resizeПП-00227723"/>
        <xdr:cNvPicPr>
          <a:picLocks noChangeAspect="1"/>
        </xdr:cNvPicPr>
      </xdr:nvPicPr>
      <xdr:blipFill>
        <a:blip xmlns:r="http://schemas.openxmlformats.org/officeDocument/2006/relationships" r:embed="rId581"/>
        <a:stretch>
          <a:fillRect/>
        </a:stretch>
      </xdr:blipFill>
      <xdr:spPr>
        <a:xfrm>
          <a:off x="7235825" y="776493875"/>
          <a:ext cx="878840" cy="1183640"/>
        </a:xfrm>
        <a:prstGeom prst="rect">
          <a:avLst/>
        </a:prstGeom>
      </xdr:spPr>
    </xdr:pic>
    <xdr:clientData/>
  </xdr:twoCellAnchor>
  <xdr:twoCellAnchor>
    <xdr:from>
      <xdr:col>9</xdr:col>
      <xdr:colOff>6350</xdr:colOff>
      <xdr:row>841</xdr:row>
      <xdr:rowOff>25400</xdr:rowOff>
    </xdr:from>
    <xdr:to>
      <xdr:col>9</xdr:col>
      <xdr:colOff>885190</xdr:colOff>
      <xdr:row>841</xdr:row>
      <xdr:rowOff>1209040</xdr:rowOff>
    </xdr:to>
    <xdr:pic>
      <xdr:nvPicPr>
        <xdr:cNvPr id="5814" name="Изображение 5813" descr="resizeПП-00227722"/>
        <xdr:cNvPicPr>
          <a:picLocks noChangeAspect="1"/>
        </xdr:cNvPicPr>
      </xdr:nvPicPr>
      <xdr:blipFill>
        <a:blip xmlns:r="http://schemas.openxmlformats.org/officeDocument/2006/relationships" r:embed="rId582"/>
        <a:stretch>
          <a:fillRect/>
        </a:stretch>
      </xdr:blipFill>
      <xdr:spPr>
        <a:xfrm>
          <a:off x="7235825" y="777716250"/>
          <a:ext cx="878840" cy="1183640"/>
        </a:xfrm>
        <a:prstGeom prst="rect">
          <a:avLst/>
        </a:prstGeom>
      </xdr:spPr>
    </xdr:pic>
    <xdr:clientData/>
  </xdr:twoCellAnchor>
  <xdr:twoCellAnchor>
    <xdr:from>
      <xdr:col>9</xdr:col>
      <xdr:colOff>6350</xdr:colOff>
      <xdr:row>842</xdr:row>
      <xdr:rowOff>25400</xdr:rowOff>
    </xdr:from>
    <xdr:to>
      <xdr:col>9</xdr:col>
      <xdr:colOff>885190</xdr:colOff>
      <xdr:row>842</xdr:row>
      <xdr:rowOff>1209040</xdr:rowOff>
    </xdr:to>
    <xdr:pic>
      <xdr:nvPicPr>
        <xdr:cNvPr id="5815" name="Изображение 5814" descr="resizeПП-00227725"/>
        <xdr:cNvPicPr>
          <a:picLocks noChangeAspect="1"/>
        </xdr:cNvPicPr>
      </xdr:nvPicPr>
      <xdr:blipFill>
        <a:blip xmlns:r="http://schemas.openxmlformats.org/officeDocument/2006/relationships" r:embed="rId583"/>
        <a:stretch>
          <a:fillRect/>
        </a:stretch>
      </xdr:blipFill>
      <xdr:spPr>
        <a:xfrm>
          <a:off x="7235825" y="778938625"/>
          <a:ext cx="878840" cy="1183640"/>
        </a:xfrm>
        <a:prstGeom prst="rect">
          <a:avLst/>
        </a:prstGeom>
      </xdr:spPr>
    </xdr:pic>
    <xdr:clientData/>
  </xdr:twoCellAnchor>
  <xdr:twoCellAnchor>
    <xdr:from>
      <xdr:col>9</xdr:col>
      <xdr:colOff>6350</xdr:colOff>
      <xdr:row>843</xdr:row>
      <xdr:rowOff>25400</xdr:rowOff>
    </xdr:from>
    <xdr:to>
      <xdr:col>9</xdr:col>
      <xdr:colOff>885190</xdr:colOff>
      <xdr:row>843</xdr:row>
      <xdr:rowOff>1209040</xdr:rowOff>
    </xdr:to>
    <xdr:pic>
      <xdr:nvPicPr>
        <xdr:cNvPr id="5816" name="Изображение 5815" descr="resizeПП-00227724"/>
        <xdr:cNvPicPr>
          <a:picLocks noChangeAspect="1"/>
        </xdr:cNvPicPr>
      </xdr:nvPicPr>
      <xdr:blipFill>
        <a:blip xmlns:r="http://schemas.openxmlformats.org/officeDocument/2006/relationships" r:embed="rId584"/>
        <a:stretch>
          <a:fillRect/>
        </a:stretch>
      </xdr:blipFill>
      <xdr:spPr>
        <a:xfrm>
          <a:off x="7235825" y="780161000"/>
          <a:ext cx="878840" cy="1183640"/>
        </a:xfrm>
        <a:prstGeom prst="rect">
          <a:avLst/>
        </a:prstGeom>
      </xdr:spPr>
    </xdr:pic>
    <xdr:clientData/>
  </xdr:twoCellAnchor>
  <xdr:twoCellAnchor>
    <xdr:from>
      <xdr:col>9</xdr:col>
      <xdr:colOff>6350</xdr:colOff>
      <xdr:row>845</xdr:row>
      <xdr:rowOff>25400</xdr:rowOff>
    </xdr:from>
    <xdr:to>
      <xdr:col>9</xdr:col>
      <xdr:colOff>885190</xdr:colOff>
      <xdr:row>845</xdr:row>
      <xdr:rowOff>1209040</xdr:rowOff>
    </xdr:to>
    <xdr:pic>
      <xdr:nvPicPr>
        <xdr:cNvPr id="5817" name="Изображение 5816" descr="resizeПП-00227733"/>
        <xdr:cNvPicPr>
          <a:picLocks noChangeAspect="1"/>
        </xdr:cNvPicPr>
      </xdr:nvPicPr>
      <xdr:blipFill>
        <a:blip xmlns:r="http://schemas.openxmlformats.org/officeDocument/2006/relationships" r:embed="rId585"/>
        <a:stretch>
          <a:fillRect/>
        </a:stretch>
      </xdr:blipFill>
      <xdr:spPr>
        <a:xfrm>
          <a:off x="7235825" y="781535775"/>
          <a:ext cx="878840" cy="1183640"/>
        </a:xfrm>
        <a:prstGeom prst="rect">
          <a:avLst/>
        </a:prstGeom>
      </xdr:spPr>
    </xdr:pic>
    <xdr:clientData/>
  </xdr:twoCellAnchor>
  <xdr:twoCellAnchor>
    <xdr:from>
      <xdr:col>9</xdr:col>
      <xdr:colOff>6350</xdr:colOff>
      <xdr:row>846</xdr:row>
      <xdr:rowOff>25400</xdr:rowOff>
    </xdr:from>
    <xdr:to>
      <xdr:col>9</xdr:col>
      <xdr:colOff>885190</xdr:colOff>
      <xdr:row>846</xdr:row>
      <xdr:rowOff>1209040</xdr:rowOff>
    </xdr:to>
    <xdr:pic>
      <xdr:nvPicPr>
        <xdr:cNvPr id="5818" name="Изображение 5817" descr="resizeПП-00227734"/>
        <xdr:cNvPicPr>
          <a:picLocks noChangeAspect="1"/>
        </xdr:cNvPicPr>
      </xdr:nvPicPr>
      <xdr:blipFill>
        <a:blip xmlns:r="http://schemas.openxmlformats.org/officeDocument/2006/relationships" r:embed="rId586"/>
        <a:stretch>
          <a:fillRect/>
        </a:stretch>
      </xdr:blipFill>
      <xdr:spPr>
        <a:xfrm>
          <a:off x="7235825" y="782758150"/>
          <a:ext cx="878840" cy="1183640"/>
        </a:xfrm>
        <a:prstGeom prst="rect">
          <a:avLst/>
        </a:prstGeom>
      </xdr:spPr>
    </xdr:pic>
    <xdr:clientData/>
  </xdr:twoCellAnchor>
  <xdr:twoCellAnchor>
    <xdr:from>
      <xdr:col>9</xdr:col>
      <xdr:colOff>6350</xdr:colOff>
      <xdr:row>847</xdr:row>
      <xdr:rowOff>25400</xdr:rowOff>
    </xdr:from>
    <xdr:to>
      <xdr:col>9</xdr:col>
      <xdr:colOff>885190</xdr:colOff>
      <xdr:row>847</xdr:row>
      <xdr:rowOff>1209040</xdr:rowOff>
    </xdr:to>
    <xdr:pic>
      <xdr:nvPicPr>
        <xdr:cNvPr id="5819" name="Изображение 5818" descr="resizeПП-00227735"/>
        <xdr:cNvPicPr>
          <a:picLocks noChangeAspect="1"/>
        </xdr:cNvPicPr>
      </xdr:nvPicPr>
      <xdr:blipFill>
        <a:blip xmlns:r="http://schemas.openxmlformats.org/officeDocument/2006/relationships" r:embed="rId587"/>
        <a:stretch>
          <a:fillRect/>
        </a:stretch>
      </xdr:blipFill>
      <xdr:spPr>
        <a:xfrm>
          <a:off x="7235825" y="783980525"/>
          <a:ext cx="878840" cy="1183640"/>
        </a:xfrm>
        <a:prstGeom prst="rect">
          <a:avLst/>
        </a:prstGeom>
      </xdr:spPr>
    </xdr:pic>
    <xdr:clientData/>
  </xdr:twoCellAnchor>
  <xdr:twoCellAnchor>
    <xdr:from>
      <xdr:col>9</xdr:col>
      <xdr:colOff>6350</xdr:colOff>
      <xdr:row>848</xdr:row>
      <xdr:rowOff>25400</xdr:rowOff>
    </xdr:from>
    <xdr:to>
      <xdr:col>9</xdr:col>
      <xdr:colOff>885190</xdr:colOff>
      <xdr:row>848</xdr:row>
      <xdr:rowOff>1209040</xdr:rowOff>
    </xdr:to>
    <xdr:pic>
      <xdr:nvPicPr>
        <xdr:cNvPr id="5820" name="Изображение 5819" descr="resizeПП-00227732"/>
        <xdr:cNvPicPr>
          <a:picLocks noChangeAspect="1"/>
        </xdr:cNvPicPr>
      </xdr:nvPicPr>
      <xdr:blipFill>
        <a:blip xmlns:r="http://schemas.openxmlformats.org/officeDocument/2006/relationships" r:embed="rId588"/>
        <a:stretch>
          <a:fillRect/>
        </a:stretch>
      </xdr:blipFill>
      <xdr:spPr>
        <a:xfrm>
          <a:off x="7235825" y="785202900"/>
          <a:ext cx="878840" cy="1183640"/>
        </a:xfrm>
        <a:prstGeom prst="rect">
          <a:avLst/>
        </a:prstGeom>
      </xdr:spPr>
    </xdr:pic>
    <xdr:clientData/>
  </xdr:twoCellAnchor>
  <xdr:twoCellAnchor>
    <xdr:from>
      <xdr:col>9</xdr:col>
      <xdr:colOff>6350</xdr:colOff>
      <xdr:row>850</xdr:row>
      <xdr:rowOff>25400</xdr:rowOff>
    </xdr:from>
    <xdr:to>
      <xdr:col>9</xdr:col>
      <xdr:colOff>885190</xdr:colOff>
      <xdr:row>850</xdr:row>
      <xdr:rowOff>1209040</xdr:rowOff>
    </xdr:to>
    <xdr:pic>
      <xdr:nvPicPr>
        <xdr:cNvPr id="5821" name="Изображение 5820" descr="resizeПП-00227713"/>
        <xdr:cNvPicPr>
          <a:picLocks noChangeAspect="1"/>
        </xdr:cNvPicPr>
      </xdr:nvPicPr>
      <xdr:blipFill>
        <a:blip xmlns:r="http://schemas.openxmlformats.org/officeDocument/2006/relationships" r:embed="rId589"/>
        <a:stretch>
          <a:fillRect/>
        </a:stretch>
      </xdr:blipFill>
      <xdr:spPr>
        <a:xfrm>
          <a:off x="7235825" y="786577675"/>
          <a:ext cx="878840" cy="1183640"/>
        </a:xfrm>
        <a:prstGeom prst="rect">
          <a:avLst/>
        </a:prstGeom>
      </xdr:spPr>
    </xdr:pic>
    <xdr:clientData/>
  </xdr:twoCellAnchor>
  <xdr:twoCellAnchor>
    <xdr:from>
      <xdr:col>9</xdr:col>
      <xdr:colOff>6350</xdr:colOff>
      <xdr:row>851</xdr:row>
      <xdr:rowOff>25400</xdr:rowOff>
    </xdr:from>
    <xdr:to>
      <xdr:col>9</xdr:col>
      <xdr:colOff>885190</xdr:colOff>
      <xdr:row>851</xdr:row>
      <xdr:rowOff>1209040</xdr:rowOff>
    </xdr:to>
    <xdr:pic>
      <xdr:nvPicPr>
        <xdr:cNvPr id="5822" name="Изображение 5821" descr="resizeПП-00227712"/>
        <xdr:cNvPicPr>
          <a:picLocks noChangeAspect="1"/>
        </xdr:cNvPicPr>
      </xdr:nvPicPr>
      <xdr:blipFill>
        <a:blip xmlns:r="http://schemas.openxmlformats.org/officeDocument/2006/relationships" r:embed="rId590"/>
        <a:stretch>
          <a:fillRect/>
        </a:stretch>
      </xdr:blipFill>
      <xdr:spPr>
        <a:xfrm>
          <a:off x="7235825" y="787800050"/>
          <a:ext cx="878840" cy="1183640"/>
        </a:xfrm>
        <a:prstGeom prst="rect">
          <a:avLst/>
        </a:prstGeom>
      </xdr:spPr>
    </xdr:pic>
    <xdr:clientData/>
  </xdr:twoCellAnchor>
  <xdr:twoCellAnchor>
    <xdr:from>
      <xdr:col>9</xdr:col>
      <xdr:colOff>6350</xdr:colOff>
      <xdr:row>852</xdr:row>
      <xdr:rowOff>25400</xdr:rowOff>
    </xdr:from>
    <xdr:to>
      <xdr:col>9</xdr:col>
      <xdr:colOff>885190</xdr:colOff>
      <xdr:row>852</xdr:row>
      <xdr:rowOff>1209040</xdr:rowOff>
    </xdr:to>
    <xdr:pic>
      <xdr:nvPicPr>
        <xdr:cNvPr id="5823" name="Изображение 5822" descr="resizeПП-00227710"/>
        <xdr:cNvPicPr>
          <a:picLocks noChangeAspect="1"/>
        </xdr:cNvPicPr>
      </xdr:nvPicPr>
      <xdr:blipFill>
        <a:blip xmlns:r="http://schemas.openxmlformats.org/officeDocument/2006/relationships" r:embed="rId591"/>
        <a:stretch>
          <a:fillRect/>
        </a:stretch>
      </xdr:blipFill>
      <xdr:spPr>
        <a:xfrm>
          <a:off x="7235825" y="789022425"/>
          <a:ext cx="878840" cy="1183640"/>
        </a:xfrm>
        <a:prstGeom prst="rect">
          <a:avLst/>
        </a:prstGeom>
      </xdr:spPr>
    </xdr:pic>
    <xdr:clientData/>
  </xdr:twoCellAnchor>
  <xdr:twoCellAnchor>
    <xdr:from>
      <xdr:col>9</xdr:col>
      <xdr:colOff>6350</xdr:colOff>
      <xdr:row>853</xdr:row>
      <xdr:rowOff>25400</xdr:rowOff>
    </xdr:from>
    <xdr:to>
      <xdr:col>9</xdr:col>
      <xdr:colOff>885190</xdr:colOff>
      <xdr:row>853</xdr:row>
      <xdr:rowOff>1209040</xdr:rowOff>
    </xdr:to>
    <xdr:pic>
      <xdr:nvPicPr>
        <xdr:cNvPr id="5824" name="Изображение 5823" descr="resizeПП-00227715"/>
        <xdr:cNvPicPr>
          <a:picLocks noChangeAspect="1"/>
        </xdr:cNvPicPr>
      </xdr:nvPicPr>
      <xdr:blipFill>
        <a:blip xmlns:r="http://schemas.openxmlformats.org/officeDocument/2006/relationships" r:embed="rId592"/>
        <a:stretch>
          <a:fillRect/>
        </a:stretch>
      </xdr:blipFill>
      <xdr:spPr>
        <a:xfrm>
          <a:off x="7235825" y="790244800"/>
          <a:ext cx="878840" cy="1183640"/>
        </a:xfrm>
        <a:prstGeom prst="rect">
          <a:avLst/>
        </a:prstGeom>
      </xdr:spPr>
    </xdr:pic>
    <xdr:clientData/>
  </xdr:twoCellAnchor>
  <xdr:twoCellAnchor>
    <xdr:from>
      <xdr:col>9</xdr:col>
      <xdr:colOff>6350</xdr:colOff>
      <xdr:row>854</xdr:row>
      <xdr:rowOff>25400</xdr:rowOff>
    </xdr:from>
    <xdr:to>
      <xdr:col>9</xdr:col>
      <xdr:colOff>885190</xdr:colOff>
      <xdr:row>854</xdr:row>
      <xdr:rowOff>1209040</xdr:rowOff>
    </xdr:to>
    <xdr:pic>
      <xdr:nvPicPr>
        <xdr:cNvPr id="5825" name="Изображение 5824" descr="resizeПП-00246246"/>
        <xdr:cNvPicPr>
          <a:picLocks noChangeAspect="1"/>
        </xdr:cNvPicPr>
      </xdr:nvPicPr>
      <xdr:blipFill>
        <a:blip xmlns:r="http://schemas.openxmlformats.org/officeDocument/2006/relationships" r:embed="rId593"/>
        <a:stretch>
          <a:fillRect/>
        </a:stretch>
      </xdr:blipFill>
      <xdr:spPr>
        <a:xfrm>
          <a:off x="7235825" y="791467175"/>
          <a:ext cx="878840" cy="1183640"/>
        </a:xfrm>
        <a:prstGeom prst="rect">
          <a:avLst/>
        </a:prstGeom>
      </xdr:spPr>
    </xdr:pic>
    <xdr:clientData/>
  </xdr:twoCellAnchor>
  <xdr:twoCellAnchor>
    <xdr:from>
      <xdr:col>9</xdr:col>
      <xdr:colOff>6350</xdr:colOff>
      <xdr:row>856</xdr:row>
      <xdr:rowOff>25400</xdr:rowOff>
    </xdr:from>
    <xdr:to>
      <xdr:col>9</xdr:col>
      <xdr:colOff>885190</xdr:colOff>
      <xdr:row>856</xdr:row>
      <xdr:rowOff>1209040</xdr:rowOff>
    </xdr:to>
    <xdr:pic>
      <xdr:nvPicPr>
        <xdr:cNvPr id="5826" name="Изображение 5825" descr="resizeПП-00227727"/>
        <xdr:cNvPicPr>
          <a:picLocks noChangeAspect="1"/>
        </xdr:cNvPicPr>
      </xdr:nvPicPr>
      <xdr:blipFill>
        <a:blip xmlns:r="http://schemas.openxmlformats.org/officeDocument/2006/relationships" r:embed="rId594"/>
        <a:stretch>
          <a:fillRect/>
        </a:stretch>
      </xdr:blipFill>
      <xdr:spPr>
        <a:xfrm>
          <a:off x="7235825" y="792841950"/>
          <a:ext cx="878840" cy="1183640"/>
        </a:xfrm>
        <a:prstGeom prst="rect">
          <a:avLst/>
        </a:prstGeom>
      </xdr:spPr>
    </xdr:pic>
    <xdr:clientData/>
  </xdr:twoCellAnchor>
  <xdr:twoCellAnchor>
    <xdr:from>
      <xdr:col>9</xdr:col>
      <xdr:colOff>6350</xdr:colOff>
      <xdr:row>857</xdr:row>
      <xdr:rowOff>25400</xdr:rowOff>
    </xdr:from>
    <xdr:to>
      <xdr:col>9</xdr:col>
      <xdr:colOff>885190</xdr:colOff>
      <xdr:row>857</xdr:row>
      <xdr:rowOff>1209040</xdr:rowOff>
    </xdr:to>
    <xdr:pic>
      <xdr:nvPicPr>
        <xdr:cNvPr id="5827" name="Изображение 5826" descr="resizeПП-00227729"/>
        <xdr:cNvPicPr>
          <a:picLocks noChangeAspect="1"/>
        </xdr:cNvPicPr>
      </xdr:nvPicPr>
      <xdr:blipFill>
        <a:blip xmlns:r="http://schemas.openxmlformats.org/officeDocument/2006/relationships" r:embed="rId595"/>
        <a:stretch>
          <a:fillRect/>
        </a:stretch>
      </xdr:blipFill>
      <xdr:spPr>
        <a:xfrm>
          <a:off x="7235825" y="794064325"/>
          <a:ext cx="878840" cy="1183640"/>
        </a:xfrm>
        <a:prstGeom prst="rect">
          <a:avLst/>
        </a:prstGeom>
      </xdr:spPr>
    </xdr:pic>
    <xdr:clientData/>
  </xdr:twoCellAnchor>
  <xdr:twoCellAnchor>
    <xdr:from>
      <xdr:col>9</xdr:col>
      <xdr:colOff>6350</xdr:colOff>
      <xdr:row>858</xdr:row>
      <xdr:rowOff>25400</xdr:rowOff>
    </xdr:from>
    <xdr:to>
      <xdr:col>9</xdr:col>
      <xdr:colOff>885190</xdr:colOff>
      <xdr:row>858</xdr:row>
      <xdr:rowOff>1209040</xdr:rowOff>
    </xdr:to>
    <xdr:pic>
      <xdr:nvPicPr>
        <xdr:cNvPr id="5828" name="Изображение 5827" descr="resizeПП-00227730"/>
        <xdr:cNvPicPr>
          <a:picLocks noChangeAspect="1"/>
        </xdr:cNvPicPr>
      </xdr:nvPicPr>
      <xdr:blipFill>
        <a:blip xmlns:r="http://schemas.openxmlformats.org/officeDocument/2006/relationships" r:embed="rId596"/>
        <a:stretch>
          <a:fillRect/>
        </a:stretch>
      </xdr:blipFill>
      <xdr:spPr>
        <a:xfrm>
          <a:off x="7235825" y="795286700"/>
          <a:ext cx="878840" cy="1183640"/>
        </a:xfrm>
        <a:prstGeom prst="rect">
          <a:avLst/>
        </a:prstGeom>
      </xdr:spPr>
    </xdr:pic>
    <xdr:clientData/>
  </xdr:twoCellAnchor>
  <xdr:twoCellAnchor>
    <xdr:from>
      <xdr:col>9</xdr:col>
      <xdr:colOff>6350</xdr:colOff>
      <xdr:row>859</xdr:row>
      <xdr:rowOff>25400</xdr:rowOff>
    </xdr:from>
    <xdr:to>
      <xdr:col>9</xdr:col>
      <xdr:colOff>885190</xdr:colOff>
      <xdr:row>859</xdr:row>
      <xdr:rowOff>1209040</xdr:rowOff>
    </xdr:to>
    <xdr:pic>
      <xdr:nvPicPr>
        <xdr:cNvPr id="5829" name="Изображение 5828" descr="resizeПП-00227728"/>
        <xdr:cNvPicPr>
          <a:picLocks noChangeAspect="1"/>
        </xdr:cNvPicPr>
      </xdr:nvPicPr>
      <xdr:blipFill>
        <a:blip xmlns:r="http://schemas.openxmlformats.org/officeDocument/2006/relationships" r:embed="rId597"/>
        <a:stretch>
          <a:fillRect/>
        </a:stretch>
      </xdr:blipFill>
      <xdr:spPr>
        <a:xfrm>
          <a:off x="7235825" y="796509075"/>
          <a:ext cx="878840" cy="1183640"/>
        </a:xfrm>
        <a:prstGeom prst="rect">
          <a:avLst/>
        </a:prstGeom>
      </xdr:spPr>
    </xdr:pic>
    <xdr:clientData/>
  </xdr:twoCellAnchor>
  <xdr:twoCellAnchor>
    <xdr:from>
      <xdr:col>9</xdr:col>
      <xdr:colOff>6350</xdr:colOff>
      <xdr:row>861</xdr:row>
      <xdr:rowOff>25400</xdr:rowOff>
    </xdr:from>
    <xdr:to>
      <xdr:col>9</xdr:col>
      <xdr:colOff>885190</xdr:colOff>
      <xdr:row>861</xdr:row>
      <xdr:rowOff>1209040</xdr:rowOff>
    </xdr:to>
    <xdr:pic>
      <xdr:nvPicPr>
        <xdr:cNvPr id="5830" name="Изображение 5829" descr="resizeПП-00228660"/>
        <xdr:cNvPicPr>
          <a:picLocks noChangeAspect="1"/>
        </xdr:cNvPicPr>
      </xdr:nvPicPr>
      <xdr:blipFill>
        <a:blip xmlns:r="http://schemas.openxmlformats.org/officeDocument/2006/relationships" r:embed="rId598"/>
        <a:stretch>
          <a:fillRect/>
        </a:stretch>
      </xdr:blipFill>
      <xdr:spPr>
        <a:xfrm>
          <a:off x="7235825" y="797883850"/>
          <a:ext cx="878840" cy="1183640"/>
        </a:xfrm>
        <a:prstGeom prst="rect">
          <a:avLst/>
        </a:prstGeom>
      </xdr:spPr>
    </xdr:pic>
    <xdr:clientData/>
  </xdr:twoCellAnchor>
  <xdr:twoCellAnchor>
    <xdr:from>
      <xdr:col>9</xdr:col>
      <xdr:colOff>6350</xdr:colOff>
      <xdr:row>862</xdr:row>
      <xdr:rowOff>25400</xdr:rowOff>
    </xdr:from>
    <xdr:to>
      <xdr:col>9</xdr:col>
      <xdr:colOff>885190</xdr:colOff>
      <xdr:row>862</xdr:row>
      <xdr:rowOff>1209040</xdr:rowOff>
    </xdr:to>
    <xdr:pic>
      <xdr:nvPicPr>
        <xdr:cNvPr id="5831" name="Изображение 5830" descr="resizeПП-00228661"/>
        <xdr:cNvPicPr>
          <a:picLocks noChangeAspect="1"/>
        </xdr:cNvPicPr>
      </xdr:nvPicPr>
      <xdr:blipFill>
        <a:blip xmlns:r="http://schemas.openxmlformats.org/officeDocument/2006/relationships" r:embed="rId599"/>
        <a:stretch>
          <a:fillRect/>
        </a:stretch>
      </xdr:blipFill>
      <xdr:spPr>
        <a:xfrm>
          <a:off x="7235825" y="799106225"/>
          <a:ext cx="878840" cy="1183640"/>
        </a:xfrm>
        <a:prstGeom prst="rect">
          <a:avLst/>
        </a:prstGeom>
      </xdr:spPr>
    </xdr:pic>
    <xdr:clientData/>
  </xdr:twoCellAnchor>
  <xdr:twoCellAnchor>
    <xdr:from>
      <xdr:col>9</xdr:col>
      <xdr:colOff>6350</xdr:colOff>
      <xdr:row>863</xdr:row>
      <xdr:rowOff>25400</xdr:rowOff>
    </xdr:from>
    <xdr:to>
      <xdr:col>9</xdr:col>
      <xdr:colOff>885190</xdr:colOff>
      <xdr:row>863</xdr:row>
      <xdr:rowOff>1209040</xdr:rowOff>
    </xdr:to>
    <xdr:pic>
      <xdr:nvPicPr>
        <xdr:cNvPr id="5832" name="Изображение 5831" descr="resizeПП-00228664"/>
        <xdr:cNvPicPr>
          <a:picLocks noChangeAspect="1"/>
        </xdr:cNvPicPr>
      </xdr:nvPicPr>
      <xdr:blipFill>
        <a:blip xmlns:r="http://schemas.openxmlformats.org/officeDocument/2006/relationships" r:embed="rId600"/>
        <a:stretch>
          <a:fillRect/>
        </a:stretch>
      </xdr:blipFill>
      <xdr:spPr>
        <a:xfrm>
          <a:off x="7235825" y="800328600"/>
          <a:ext cx="878840" cy="1183640"/>
        </a:xfrm>
        <a:prstGeom prst="rect">
          <a:avLst/>
        </a:prstGeom>
      </xdr:spPr>
    </xdr:pic>
    <xdr:clientData/>
  </xdr:twoCellAnchor>
  <xdr:twoCellAnchor>
    <xdr:from>
      <xdr:col>9</xdr:col>
      <xdr:colOff>6350</xdr:colOff>
      <xdr:row>864</xdr:row>
      <xdr:rowOff>25400</xdr:rowOff>
    </xdr:from>
    <xdr:to>
      <xdr:col>9</xdr:col>
      <xdr:colOff>885190</xdr:colOff>
      <xdr:row>864</xdr:row>
      <xdr:rowOff>1209040</xdr:rowOff>
    </xdr:to>
    <xdr:pic>
      <xdr:nvPicPr>
        <xdr:cNvPr id="5833" name="Изображение 5832" descr="resizeПП-00228662"/>
        <xdr:cNvPicPr>
          <a:picLocks noChangeAspect="1"/>
        </xdr:cNvPicPr>
      </xdr:nvPicPr>
      <xdr:blipFill>
        <a:blip xmlns:r="http://schemas.openxmlformats.org/officeDocument/2006/relationships" r:embed="rId601"/>
        <a:stretch>
          <a:fillRect/>
        </a:stretch>
      </xdr:blipFill>
      <xdr:spPr>
        <a:xfrm>
          <a:off x="7235825" y="801550975"/>
          <a:ext cx="878840" cy="1183640"/>
        </a:xfrm>
        <a:prstGeom prst="rect">
          <a:avLst/>
        </a:prstGeom>
      </xdr:spPr>
    </xdr:pic>
    <xdr:clientData/>
  </xdr:twoCellAnchor>
  <xdr:twoCellAnchor>
    <xdr:from>
      <xdr:col>9</xdr:col>
      <xdr:colOff>6350</xdr:colOff>
      <xdr:row>865</xdr:row>
      <xdr:rowOff>25400</xdr:rowOff>
    </xdr:from>
    <xdr:to>
      <xdr:col>9</xdr:col>
      <xdr:colOff>885190</xdr:colOff>
      <xdr:row>865</xdr:row>
      <xdr:rowOff>1209040</xdr:rowOff>
    </xdr:to>
    <xdr:pic>
      <xdr:nvPicPr>
        <xdr:cNvPr id="5834" name="Изображение 5833" descr="resizeПП-00246243"/>
        <xdr:cNvPicPr>
          <a:picLocks noChangeAspect="1"/>
        </xdr:cNvPicPr>
      </xdr:nvPicPr>
      <xdr:blipFill>
        <a:blip xmlns:r="http://schemas.openxmlformats.org/officeDocument/2006/relationships" r:embed="rId602"/>
        <a:stretch>
          <a:fillRect/>
        </a:stretch>
      </xdr:blipFill>
      <xdr:spPr>
        <a:xfrm>
          <a:off x="7235825" y="802773350"/>
          <a:ext cx="878840" cy="1183640"/>
        </a:xfrm>
        <a:prstGeom prst="rect">
          <a:avLst/>
        </a:prstGeom>
      </xdr:spPr>
    </xdr:pic>
    <xdr:clientData/>
  </xdr:twoCellAnchor>
  <xdr:twoCellAnchor>
    <xdr:from>
      <xdr:col>9</xdr:col>
      <xdr:colOff>6350</xdr:colOff>
      <xdr:row>867</xdr:row>
      <xdr:rowOff>25400</xdr:rowOff>
    </xdr:from>
    <xdr:to>
      <xdr:col>9</xdr:col>
      <xdr:colOff>885190</xdr:colOff>
      <xdr:row>867</xdr:row>
      <xdr:rowOff>1209040</xdr:rowOff>
    </xdr:to>
    <xdr:pic>
      <xdr:nvPicPr>
        <xdr:cNvPr id="5835" name="Изображение 5834" descr="resizeПП-00232201"/>
        <xdr:cNvPicPr>
          <a:picLocks noChangeAspect="1"/>
        </xdr:cNvPicPr>
      </xdr:nvPicPr>
      <xdr:blipFill>
        <a:blip xmlns:r="http://schemas.openxmlformats.org/officeDocument/2006/relationships" r:embed="rId603"/>
        <a:stretch>
          <a:fillRect/>
        </a:stretch>
      </xdr:blipFill>
      <xdr:spPr>
        <a:xfrm>
          <a:off x="7235825" y="804148125"/>
          <a:ext cx="878840" cy="1183640"/>
        </a:xfrm>
        <a:prstGeom prst="rect">
          <a:avLst/>
        </a:prstGeom>
      </xdr:spPr>
    </xdr:pic>
    <xdr:clientData/>
  </xdr:twoCellAnchor>
  <xdr:twoCellAnchor>
    <xdr:from>
      <xdr:col>9</xdr:col>
      <xdr:colOff>6350</xdr:colOff>
      <xdr:row>868</xdr:row>
      <xdr:rowOff>25400</xdr:rowOff>
    </xdr:from>
    <xdr:to>
      <xdr:col>9</xdr:col>
      <xdr:colOff>885190</xdr:colOff>
      <xdr:row>868</xdr:row>
      <xdr:rowOff>1209040</xdr:rowOff>
    </xdr:to>
    <xdr:pic>
      <xdr:nvPicPr>
        <xdr:cNvPr id="5836" name="Изображение 5835" descr="resizeПП-00232205"/>
        <xdr:cNvPicPr>
          <a:picLocks noChangeAspect="1"/>
        </xdr:cNvPicPr>
      </xdr:nvPicPr>
      <xdr:blipFill>
        <a:blip xmlns:r="http://schemas.openxmlformats.org/officeDocument/2006/relationships" r:embed="rId604"/>
        <a:stretch>
          <a:fillRect/>
        </a:stretch>
      </xdr:blipFill>
      <xdr:spPr>
        <a:xfrm>
          <a:off x="7235825" y="805370500"/>
          <a:ext cx="878840" cy="1183640"/>
        </a:xfrm>
        <a:prstGeom prst="rect">
          <a:avLst/>
        </a:prstGeom>
      </xdr:spPr>
    </xdr:pic>
    <xdr:clientData/>
  </xdr:twoCellAnchor>
  <xdr:twoCellAnchor>
    <xdr:from>
      <xdr:col>9</xdr:col>
      <xdr:colOff>6350</xdr:colOff>
      <xdr:row>869</xdr:row>
      <xdr:rowOff>25400</xdr:rowOff>
    </xdr:from>
    <xdr:to>
      <xdr:col>9</xdr:col>
      <xdr:colOff>885190</xdr:colOff>
      <xdr:row>869</xdr:row>
      <xdr:rowOff>1209040</xdr:rowOff>
    </xdr:to>
    <xdr:pic>
      <xdr:nvPicPr>
        <xdr:cNvPr id="5837" name="Изображение 5836" descr="resizeПП-00232202"/>
        <xdr:cNvPicPr>
          <a:picLocks noChangeAspect="1"/>
        </xdr:cNvPicPr>
      </xdr:nvPicPr>
      <xdr:blipFill>
        <a:blip xmlns:r="http://schemas.openxmlformats.org/officeDocument/2006/relationships" r:embed="rId605"/>
        <a:stretch>
          <a:fillRect/>
        </a:stretch>
      </xdr:blipFill>
      <xdr:spPr>
        <a:xfrm>
          <a:off x="7235825" y="806592875"/>
          <a:ext cx="878840" cy="1183640"/>
        </a:xfrm>
        <a:prstGeom prst="rect">
          <a:avLst/>
        </a:prstGeom>
      </xdr:spPr>
    </xdr:pic>
    <xdr:clientData/>
  </xdr:twoCellAnchor>
  <xdr:twoCellAnchor>
    <xdr:from>
      <xdr:col>9</xdr:col>
      <xdr:colOff>6350</xdr:colOff>
      <xdr:row>870</xdr:row>
      <xdr:rowOff>25400</xdr:rowOff>
    </xdr:from>
    <xdr:to>
      <xdr:col>9</xdr:col>
      <xdr:colOff>885190</xdr:colOff>
      <xdr:row>870</xdr:row>
      <xdr:rowOff>1209040</xdr:rowOff>
    </xdr:to>
    <xdr:pic>
      <xdr:nvPicPr>
        <xdr:cNvPr id="5838" name="Изображение 5837" descr="resizeПП-00232204"/>
        <xdr:cNvPicPr>
          <a:picLocks noChangeAspect="1"/>
        </xdr:cNvPicPr>
      </xdr:nvPicPr>
      <xdr:blipFill>
        <a:blip xmlns:r="http://schemas.openxmlformats.org/officeDocument/2006/relationships" r:embed="rId606"/>
        <a:stretch>
          <a:fillRect/>
        </a:stretch>
      </xdr:blipFill>
      <xdr:spPr>
        <a:xfrm>
          <a:off x="7235825" y="807815250"/>
          <a:ext cx="878840" cy="1183640"/>
        </a:xfrm>
        <a:prstGeom prst="rect">
          <a:avLst/>
        </a:prstGeom>
      </xdr:spPr>
    </xdr:pic>
    <xdr:clientData/>
  </xdr:twoCellAnchor>
  <xdr:twoCellAnchor>
    <xdr:from>
      <xdr:col>9</xdr:col>
      <xdr:colOff>6350</xdr:colOff>
      <xdr:row>871</xdr:row>
      <xdr:rowOff>25400</xdr:rowOff>
    </xdr:from>
    <xdr:to>
      <xdr:col>9</xdr:col>
      <xdr:colOff>885190</xdr:colOff>
      <xdr:row>871</xdr:row>
      <xdr:rowOff>1209040</xdr:rowOff>
    </xdr:to>
    <xdr:pic>
      <xdr:nvPicPr>
        <xdr:cNvPr id="5839" name="Изображение 5838" descr="resizeПП-00246239"/>
        <xdr:cNvPicPr>
          <a:picLocks noChangeAspect="1"/>
        </xdr:cNvPicPr>
      </xdr:nvPicPr>
      <xdr:blipFill>
        <a:blip xmlns:r="http://schemas.openxmlformats.org/officeDocument/2006/relationships" r:embed="rId607"/>
        <a:stretch>
          <a:fillRect/>
        </a:stretch>
      </xdr:blipFill>
      <xdr:spPr>
        <a:xfrm>
          <a:off x="7235825" y="809037625"/>
          <a:ext cx="878840" cy="1183640"/>
        </a:xfrm>
        <a:prstGeom prst="rect">
          <a:avLst/>
        </a:prstGeom>
      </xdr:spPr>
    </xdr:pic>
    <xdr:clientData/>
  </xdr:twoCellAnchor>
  <xdr:twoCellAnchor>
    <xdr:from>
      <xdr:col>9</xdr:col>
      <xdr:colOff>6350</xdr:colOff>
      <xdr:row>874</xdr:row>
      <xdr:rowOff>25400</xdr:rowOff>
    </xdr:from>
    <xdr:to>
      <xdr:col>9</xdr:col>
      <xdr:colOff>885190</xdr:colOff>
      <xdr:row>874</xdr:row>
      <xdr:rowOff>1209040</xdr:rowOff>
    </xdr:to>
    <xdr:pic>
      <xdr:nvPicPr>
        <xdr:cNvPr id="5840" name="Изображение 5839" descr="resizeПП-00227692"/>
        <xdr:cNvPicPr>
          <a:picLocks noChangeAspect="1"/>
        </xdr:cNvPicPr>
      </xdr:nvPicPr>
      <xdr:blipFill>
        <a:blip xmlns:r="http://schemas.openxmlformats.org/officeDocument/2006/relationships" r:embed="rId608"/>
        <a:stretch>
          <a:fillRect/>
        </a:stretch>
      </xdr:blipFill>
      <xdr:spPr>
        <a:xfrm>
          <a:off x="7235825" y="810564800"/>
          <a:ext cx="878840" cy="1183640"/>
        </a:xfrm>
        <a:prstGeom prst="rect">
          <a:avLst/>
        </a:prstGeom>
      </xdr:spPr>
    </xdr:pic>
    <xdr:clientData/>
  </xdr:twoCellAnchor>
  <xdr:twoCellAnchor>
    <xdr:from>
      <xdr:col>9</xdr:col>
      <xdr:colOff>6350</xdr:colOff>
      <xdr:row>875</xdr:row>
      <xdr:rowOff>25400</xdr:rowOff>
    </xdr:from>
    <xdr:to>
      <xdr:col>9</xdr:col>
      <xdr:colOff>885190</xdr:colOff>
      <xdr:row>875</xdr:row>
      <xdr:rowOff>1209040</xdr:rowOff>
    </xdr:to>
    <xdr:pic>
      <xdr:nvPicPr>
        <xdr:cNvPr id="5841" name="Изображение 5840" descr="resizeПП-00227694"/>
        <xdr:cNvPicPr>
          <a:picLocks noChangeAspect="1"/>
        </xdr:cNvPicPr>
      </xdr:nvPicPr>
      <xdr:blipFill>
        <a:blip xmlns:r="http://schemas.openxmlformats.org/officeDocument/2006/relationships" r:embed="rId609"/>
        <a:stretch>
          <a:fillRect/>
        </a:stretch>
      </xdr:blipFill>
      <xdr:spPr>
        <a:xfrm>
          <a:off x="7235825" y="811787175"/>
          <a:ext cx="878840" cy="1183640"/>
        </a:xfrm>
        <a:prstGeom prst="rect">
          <a:avLst/>
        </a:prstGeom>
      </xdr:spPr>
    </xdr:pic>
    <xdr:clientData/>
  </xdr:twoCellAnchor>
  <xdr:twoCellAnchor>
    <xdr:from>
      <xdr:col>9</xdr:col>
      <xdr:colOff>6350</xdr:colOff>
      <xdr:row>876</xdr:row>
      <xdr:rowOff>25400</xdr:rowOff>
    </xdr:from>
    <xdr:to>
      <xdr:col>9</xdr:col>
      <xdr:colOff>885190</xdr:colOff>
      <xdr:row>876</xdr:row>
      <xdr:rowOff>1209040</xdr:rowOff>
    </xdr:to>
    <xdr:pic>
      <xdr:nvPicPr>
        <xdr:cNvPr id="5842" name="Изображение 5841" descr="resizeПП-00227690"/>
        <xdr:cNvPicPr>
          <a:picLocks noChangeAspect="1"/>
        </xdr:cNvPicPr>
      </xdr:nvPicPr>
      <xdr:blipFill>
        <a:blip xmlns:r="http://schemas.openxmlformats.org/officeDocument/2006/relationships" r:embed="rId610"/>
        <a:stretch>
          <a:fillRect/>
        </a:stretch>
      </xdr:blipFill>
      <xdr:spPr>
        <a:xfrm>
          <a:off x="7235825" y="813009550"/>
          <a:ext cx="878840" cy="1183640"/>
        </a:xfrm>
        <a:prstGeom prst="rect">
          <a:avLst/>
        </a:prstGeom>
      </xdr:spPr>
    </xdr:pic>
    <xdr:clientData/>
  </xdr:twoCellAnchor>
  <xdr:twoCellAnchor>
    <xdr:from>
      <xdr:col>9</xdr:col>
      <xdr:colOff>6350</xdr:colOff>
      <xdr:row>877</xdr:row>
      <xdr:rowOff>25400</xdr:rowOff>
    </xdr:from>
    <xdr:to>
      <xdr:col>9</xdr:col>
      <xdr:colOff>885190</xdr:colOff>
      <xdr:row>877</xdr:row>
      <xdr:rowOff>1209040</xdr:rowOff>
    </xdr:to>
    <xdr:pic>
      <xdr:nvPicPr>
        <xdr:cNvPr id="5843" name="Изображение 5842" descr="resizeПП-00227696"/>
        <xdr:cNvPicPr>
          <a:picLocks noChangeAspect="1"/>
        </xdr:cNvPicPr>
      </xdr:nvPicPr>
      <xdr:blipFill>
        <a:blip xmlns:r="http://schemas.openxmlformats.org/officeDocument/2006/relationships" r:embed="rId611"/>
        <a:stretch>
          <a:fillRect/>
        </a:stretch>
      </xdr:blipFill>
      <xdr:spPr>
        <a:xfrm>
          <a:off x="7235825" y="814231925"/>
          <a:ext cx="878840" cy="1183640"/>
        </a:xfrm>
        <a:prstGeom prst="rect">
          <a:avLst/>
        </a:prstGeom>
      </xdr:spPr>
    </xdr:pic>
    <xdr:clientData/>
  </xdr:twoCellAnchor>
  <xdr:twoCellAnchor>
    <xdr:from>
      <xdr:col>9</xdr:col>
      <xdr:colOff>6350</xdr:colOff>
      <xdr:row>879</xdr:row>
      <xdr:rowOff>25400</xdr:rowOff>
    </xdr:from>
    <xdr:to>
      <xdr:col>9</xdr:col>
      <xdr:colOff>885190</xdr:colOff>
      <xdr:row>879</xdr:row>
      <xdr:rowOff>1209040</xdr:rowOff>
    </xdr:to>
    <xdr:pic>
      <xdr:nvPicPr>
        <xdr:cNvPr id="5844" name="Изображение 5843" descr="resizeПП-00227679"/>
        <xdr:cNvPicPr>
          <a:picLocks noChangeAspect="1"/>
        </xdr:cNvPicPr>
      </xdr:nvPicPr>
      <xdr:blipFill>
        <a:blip xmlns:r="http://schemas.openxmlformats.org/officeDocument/2006/relationships" r:embed="rId612"/>
        <a:stretch>
          <a:fillRect/>
        </a:stretch>
      </xdr:blipFill>
      <xdr:spPr>
        <a:xfrm>
          <a:off x="7235825" y="815606700"/>
          <a:ext cx="878840" cy="1183640"/>
        </a:xfrm>
        <a:prstGeom prst="rect">
          <a:avLst/>
        </a:prstGeom>
      </xdr:spPr>
    </xdr:pic>
    <xdr:clientData/>
  </xdr:twoCellAnchor>
  <xdr:twoCellAnchor>
    <xdr:from>
      <xdr:col>9</xdr:col>
      <xdr:colOff>6350</xdr:colOff>
      <xdr:row>880</xdr:row>
      <xdr:rowOff>25400</xdr:rowOff>
    </xdr:from>
    <xdr:to>
      <xdr:col>9</xdr:col>
      <xdr:colOff>885190</xdr:colOff>
      <xdr:row>880</xdr:row>
      <xdr:rowOff>1209040</xdr:rowOff>
    </xdr:to>
    <xdr:pic>
      <xdr:nvPicPr>
        <xdr:cNvPr id="5845" name="Изображение 5844" descr="resizeПП-00227678"/>
        <xdr:cNvPicPr>
          <a:picLocks noChangeAspect="1"/>
        </xdr:cNvPicPr>
      </xdr:nvPicPr>
      <xdr:blipFill>
        <a:blip xmlns:r="http://schemas.openxmlformats.org/officeDocument/2006/relationships" r:embed="rId613"/>
        <a:stretch>
          <a:fillRect/>
        </a:stretch>
      </xdr:blipFill>
      <xdr:spPr>
        <a:xfrm>
          <a:off x="7235825" y="816829075"/>
          <a:ext cx="878840" cy="1183640"/>
        </a:xfrm>
        <a:prstGeom prst="rect">
          <a:avLst/>
        </a:prstGeom>
      </xdr:spPr>
    </xdr:pic>
    <xdr:clientData/>
  </xdr:twoCellAnchor>
  <xdr:twoCellAnchor>
    <xdr:from>
      <xdr:col>9</xdr:col>
      <xdr:colOff>6350</xdr:colOff>
      <xdr:row>881</xdr:row>
      <xdr:rowOff>25400</xdr:rowOff>
    </xdr:from>
    <xdr:to>
      <xdr:col>9</xdr:col>
      <xdr:colOff>885190</xdr:colOff>
      <xdr:row>881</xdr:row>
      <xdr:rowOff>1209040</xdr:rowOff>
    </xdr:to>
    <xdr:pic>
      <xdr:nvPicPr>
        <xdr:cNvPr id="5846" name="Изображение 5845" descr="resizeПП-00227676"/>
        <xdr:cNvPicPr>
          <a:picLocks noChangeAspect="1"/>
        </xdr:cNvPicPr>
      </xdr:nvPicPr>
      <xdr:blipFill>
        <a:blip xmlns:r="http://schemas.openxmlformats.org/officeDocument/2006/relationships" r:embed="rId614"/>
        <a:stretch>
          <a:fillRect/>
        </a:stretch>
      </xdr:blipFill>
      <xdr:spPr>
        <a:xfrm>
          <a:off x="7235825" y="818051450"/>
          <a:ext cx="878840" cy="1183640"/>
        </a:xfrm>
        <a:prstGeom prst="rect">
          <a:avLst/>
        </a:prstGeom>
      </xdr:spPr>
    </xdr:pic>
    <xdr:clientData/>
  </xdr:twoCellAnchor>
  <xdr:twoCellAnchor>
    <xdr:from>
      <xdr:col>9</xdr:col>
      <xdr:colOff>6350</xdr:colOff>
      <xdr:row>882</xdr:row>
      <xdr:rowOff>25400</xdr:rowOff>
    </xdr:from>
    <xdr:to>
      <xdr:col>9</xdr:col>
      <xdr:colOff>885190</xdr:colOff>
      <xdr:row>882</xdr:row>
      <xdr:rowOff>1209040</xdr:rowOff>
    </xdr:to>
    <xdr:pic>
      <xdr:nvPicPr>
        <xdr:cNvPr id="5847" name="Изображение 5846" descr="resizeПП-00246255"/>
        <xdr:cNvPicPr>
          <a:picLocks noChangeAspect="1"/>
        </xdr:cNvPicPr>
      </xdr:nvPicPr>
      <xdr:blipFill>
        <a:blip xmlns:r="http://schemas.openxmlformats.org/officeDocument/2006/relationships" r:embed="rId615"/>
        <a:stretch>
          <a:fillRect/>
        </a:stretch>
      </xdr:blipFill>
      <xdr:spPr>
        <a:xfrm>
          <a:off x="7235825" y="819273825"/>
          <a:ext cx="878840" cy="1183640"/>
        </a:xfrm>
        <a:prstGeom prst="rect">
          <a:avLst/>
        </a:prstGeom>
      </xdr:spPr>
    </xdr:pic>
    <xdr:clientData/>
  </xdr:twoCellAnchor>
  <xdr:twoCellAnchor>
    <xdr:from>
      <xdr:col>9</xdr:col>
      <xdr:colOff>6350</xdr:colOff>
      <xdr:row>884</xdr:row>
      <xdr:rowOff>25400</xdr:rowOff>
    </xdr:from>
    <xdr:to>
      <xdr:col>9</xdr:col>
      <xdr:colOff>885190</xdr:colOff>
      <xdr:row>884</xdr:row>
      <xdr:rowOff>1209040</xdr:rowOff>
    </xdr:to>
    <xdr:pic>
      <xdr:nvPicPr>
        <xdr:cNvPr id="5848" name="Изображение 5847" descr="resizeПП-00227646"/>
        <xdr:cNvPicPr>
          <a:picLocks noChangeAspect="1"/>
        </xdr:cNvPicPr>
      </xdr:nvPicPr>
      <xdr:blipFill>
        <a:blip xmlns:r="http://schemas.openxmlformats.org/officeDocument/2006/relationships" r:embed="rId616"/>
        <a:stretch>
          <a:fillRect/>
        </a:stretch>
      </xdr:blipFill>
      <xdr:spPr>
        <a:xfrm>
          <a:off x="7235825" y="820648600"/>
          <a:ext cx="878840" cy="1183640"/>
        </a:xfrm>
        <a:prstGeom prst="rect">
          <a:avLst/>
        </a:prstGeom>
      </xdr:spPr>
    </xdr:pic>
    <xdr:clientData/>
  </xdr:twoCellAnchor>
  <xdr:twoCellAnchor>
    <xdr:from>
      <xdr:col>9</xdr:col>
      <xdr:colOff>6350</xdr:colOff>
      <xdr:row>885</xdr:row>
      <xdr:rowOff>25400</xdr:rowOff>
    </xdr:from>
    <xdr:to>
      <xdr:col>9</xdr:col>
      <xdr:colOff>885190</xdr:colOff>
      <xdr:row>885</xdr:row>
      <xdr:rowOff>1209040</xdr:rowOff>
    </xdr:to>
    <xdr:pic>
      <xdr:nvPicPr>
        <xdr:cNvPr id="5849" name="Изображение 5848" descr="resizeПП-00230595"/>
        <xdr:cNvPicPr>
          <a:picLocks noChangeAspect="1"/>
        </xdr:cNvPicPr>
      </xdr:nvPicPr>
      <xdr:blipFill>
        <a:blip xmlns:r="http://schemas.openxmlformats.org/officeDocument/2006/relationships" r:embed="rId617"/>
        <a:stretch>
          <a:fillRect/>
        </a:stretch>
      </xdr:blipFill>
      <xdr:spPr>
        <a:xfrm>
          <a:off x="7235825" y="821870975"/>
          <a:ext cx="878840" cy="1183640"/>
        </a:xfrm>
        <a:prstGeom prst="rect">
          <a:avLst/>
        </a:prstGeom>
      </xdr:spPr>
    </xdr:pic>
    <xdr:clientData/>
  </xdr:twoCellAnchor>
  <xdr:twoCellAnchor>
    <xdr:from>
      <xdr:col>9</xdr:col>
      <xdr:colOff>6350</xdr:colOff>
      <xdr:row>886</xdr:row>
      <xdr:rowOff>25400</xdr:rowOff>
    </xdr:from>
    <xdr:to>
      <xdr:col>9</xdr:col>
      <xdr:colOff>885190</xdr:colOff>
      <xdr:row>886</xdr:row>
      <xdr:rowOff>1209040</xdr:rowOff>
    </xdr:to>
    <xdr:pic>
      <xdr:nvPicPr>
        <xdr:cNvPr id="5850" name="Изображение 5849" descr="resizeПП-00227649"/>
        <xdr:cNvPicPr>
          <a:picLocks noChangeAspect="1"/>
        </xdr:cNvPicPr>
      </xdr:nvPicPr>
      <xdr:blipFill>
        <a:blip xmlns:r="http://schemas.openxmlformats.org/officeDocument/2006/relationships" r:embed="rId618"/>
        <a:stretch>
          <a:fillRect/>
        </a:stretch>
      </xdr:blipFill>
      <xdr:spPr>
        <a:xfrm>
          <a:off x="7235825" y="823093350"/>
          <a:ext cx="878840" cy="1183640"/>
        </a:xfrm>
        <a:prstGeom prst="rect">
          <a:avLst/>
        </a:prstGeom>
      </xdr:spPr>
    </xdr:pic>
    <xdr:clientData/>
  </xdr:twoCellAnchor>
  <xdr:twoCellAnchor>
    <xdr:from>
      <xdr:col>9</xdr:col>
      <xdr:colOff>6350</xdr:colOff>
      <xdr:row>888</xdr:row>
      <xdr:rowOff>25400</xdr:rowOff>
    </xdr:from>
    <xdr:to>
      <xdr:col>9</xdr:col>
      <xdr:colOff>885190</xdr:colOff>
      <xdr:row>888</xdr:row>
      <xdr:rowOff>1209040</xdr:rowOff>
    </xdr:to>
    <xdr:pic>
      <xdr:nvPicPr>
        <xdr:cNvPr id="5851" name="Изображение 5850" descr="resizeПП-00230600"/>
        <xdr:cNvPicPr>
          <a:picLocks noChangeAspect="1"/>
        </xdr:cNvPicPr>
      </xdr:nvPicPr>
      <xdr:blipFill>
        <a:blip xmlns:r="http://schemas.openxmlformats.org/officeDocument/2006/relationships" r:embed="rId619"/>
        <a:stretch>
          <a:fillRect/>
        </a:stretch>
      </xdr:blipFill>
      <xdr:spPr>
        <a:xfrm>
          <a:off x="7235825" y="824468125"/>
          <a:ext cx="878840" cy="1183640"/>
        </a:xfrm>
        <a:prstGeom prst="rect">
          <a:avLst/>
        </a:prstGeom>
      </xdr:spPr>
    </xdr:pic>
    <xdr:clientData/>
  </xdr:twoCellAnchor>
  <xdr:twoCellAnchor>
    <xdr:from>
      <xdr:col>9</xdr:col>
      <xdr:colOff>6350</xdr:colOff>
      <xdr:row>889</xdr:row>
      <xdr:rowOff>25400</xdr:rowOff>
    </xdr:from>
    <xdr:to>
      <xdr:col>9</xdr:col>
      <xdr:colOff>885190</xdr:colOff>
      <xdr:row>889</xdr:row>
      <xdr:rowOff>1209040</xdr:rowOff>
    </xdr:to>
    <xdr:pic>
      <xdr:nvPicPr>
        <xdr:cNvPr id="5852" name="Изображение 5851" descr="resizeПП-00230599"/>
        <xdr:cNvPicPr>
          <a:picLocks noChangeAspect="1"/>
        </xdr:cNvPicPr>
      </xdr:nvPicPr>
      <xdr:blipFill>
        <a:blip xmlns:r="http://schemas.openxmlformats.org/officeDocument/2006/relationships" r:embed="rId620"/>
        <a:stretch>
          <a:fillRect/>
        </a:stretch>
      </xdr:blipFill>
      <xdr:spPr>
        <a:xfrm>
          <a:off x="7235825" y="825690500"/>
          <a:ext cx="878840" cy="1183640"/>
        </a:xfrm>
        <a:prstGeom prst="rect">
          <a:avLst/>
        </a:prstGeom>
      </xdr:spPr>
    </xdr:pic>
    <xdr:clientData/>
  </xdr:twoCellAnchor>
  <xdr:twoCellAnchor>
    <xdr:from>
      <xdr:col>9</xdr:col>
      <xdr:colOff>6350</xdr:colOff>
      <xdr:row>890</xdr:row>
      <xdr:rowOff>25400</xdr:rowOff>
    </xdr:from>
    <xdr:to>
      <xdr:col>9</xdr:col>
      <xdr:colOff>885190</xdr:colOff>
      <xdr:row>890</xdr:row>
      <xdr:rowOff>1209040</xdr:rowOff>
    </xdr:to>
    <xdr:pic>
      <xdr:nvPicPr>
        <xdr:cNvPr id="5853" name="Изображение 5852" descr="resizeПП-00230597"/>
        <xdr:cNvPicPr>
          <a:picLocks noChangeAspect="1"/>
        </xdr:cNvPicPr>
      </xdr:nvPicPr>
      <xdr:blipFill>
        <a:blip xmlns:r="http://schemas.openxmlformats.org/officeDocument/2006/relationships" r:embed="rId621"/>
        <a:stretch>
          <a:fillRect/>
        </a:stretch>
      </xdr:blipFill>
      <xdr:spPr>
        <a:xfrm>
          <a:off x="7235825" y="826912875"/>
          <a:ext cx="878840" cy="1183640"/>
        </a:xfrm>
        <a:prstGeom prst="rect">
          <a:avLst/>
        </a:prstGeom>
      </xdr:spPr>
    </xdr:pic>
    <xdr:clientData/>
  </xdr:twoCellAnchor>
  <xdr:twoCellAnchor>
    <xdr:from>
      <xdr:col>9</xdr:col>
      <xdr:colOff>6350</xdr:colOff>
      <xdr:row>891</xdr:row>
      <xdr:rowOff>25400</xdr:rowOff>
    </xdr:from>
    <xdr:to>
      <xdr:col>9</xdr:col>
      <xdr:colOff>885190</xdr:colOff>
      <xdr:row>891</xdr:row>
      <xdr:rowOff>1209040</xdr:rowOff>
    </xdr:to>
    <xdr:pic>
      <xdr:nvPicPr>
        <xdr:cNvPr id="5854" name="Изображение 5853" descr="resizeПП-00230598"/>
        <xdr:cNvPicPr>
          <a:picLocks noChangeAspect="1"/>
        </xdr:cNvPicPr>
      </xdr:nvPicPr>
      <xdr:blipFill>
        <a:blip xmlns:r="http://schemas.openxmlformats.org/officeDocument/2006/relationships" r:embed="rId622"/>
        <a:stretch>
          <a:fillRect/>
        </a:stretch>
      </xdr:blipFill>
      <xdr:spPr>
        <a:xfrm>
          <a:off x="7235825" y="828135250"/>
          <a:ext cx="878840" cy="1183640"/>
        </a:xfrm>
        <a:prstGeom prst="rect">
          <a:avLst/>
        </a:prstGeom>
      </xdr:spPr>
    </xdr:pic>
    <xdr:clientData/>
  </xdr:twoCellAnchor>
  <xdr:twoCellAnchor>
    <xdr:from>
      <xdr:col>9</xdr:col>
      <xdr:colOff>6350</xdr:colOff>
      <xdr:row>893</xdr:row>
      <xdr:rowOff>25400</xdr:rowOff>
    </xdr:from>
    <xdr:to>
      <xdr:col>9</xdr:col>
      <xdr:colOff>885190</xdr:colOff>
      <xdr:row>893</xdr:row>
      <xdr:rowOff>1209040</xdr:rowOff>
    </xdr:to>
    <xdr:pic>
      <xdr:nvPicPr>
        <xdr:cNvPr id="5855" name="Изображение 5854" descr="resizeПП-00227671"/>
        <xdr:cNvPicPr>
          <a:picLocks noChangeAspect="1"/>
        </xdr:cNvPicPr>
      </xdr:nvPicPr>
      <xdr:blipFill>
        <a:blip xmlns:r="http://schemas.openxmlformats.org/officeDocument/2006/relationships" r:embed="rId623"/>
        <a:stretch>
          <a:fillRect/>
        </a:stretch>
      </xdr:blipFill>
      <xdr:spPr>
        <a:xfrm>
          <a:off x="7235825" y="829510025"/>
          <a:ext cx="878840" cy="1183640"/>
        </a:xfrm>
        <a:prstGeom prst="rect">
          <a:avLst/>
        </a:prstGeom>
      </xdr:spPr>
    </xdr:pic>
    <xdr:clientData/>
  </xdr:twoCellAnchor>
  <xdr:twoCellAnchor>
    <xdr:from>
      <xdr:col>9</xdr:col>
      <xdr:colOff>6350</xdr:colOff>
      <xdr:row>894</xdr:row>
      <xdr:rowOff>25400</xdr:rowOff>
    </xdr:from>
    <xdr:to>
      <xdr:col>9</xdr:col>
      <xdr:colOff>885190</xdr:colOff>
      <xdr:row>894</xdr:row>
      <xdr:rowOff>1209040</xdr:rowOff>
    </xdr:to>
    <xdr:pic>
      <xdr:nvPicPr>
        <xdr:cNvPr id="5856" name="Изображение 5855" descr="resizeПП-00227672"/>
        <xdr:cNvPicPr>
          <a:picLocks noChangeAspect="1"/>
        </xdr:cNvPicPr>
      </xdr:nvPicPr>
      <xdr:blipFill>
        <a:blip xmlns:r="http://schemas.openxmlformats.org/officeDocument/2006/relationships" r:embed="rId624"/>
        <a:stretch>
          <a:fillRect/>
        </a:stretch>
      </xdr:blipFill>
      <xdr:spPr>
        <a:xfrm>
          <a:off x="7235825" y="830732400"/>
          <a:ext cx="878840" cy="1183640"/>
        </a:xfrm>
        <a:prstGeom prst="rect">
          <a:avLst/>
        </a:prstGeom>
      </xdr:spPr>
    </xdr:pic>
    <xdr:clientData/>
  </xdr:twoCellAnchor>
  <xdr:twoCellAnchor>
    <xdr:from>
      <xdr:col>9</xdr:col>
      <xdr:colOff>6350</xdr:colOff>
      <xdr:row>895</xdr:row>
      <xdr:rowOff>25400</xdr:rowOff>
    </xdr:from>
    <xdr:to>
      <xdr:col>9</xdr:col>
      <xdr:colOff>885190</xdr:colOff>
      <xdr:row>895</xdr:row>
      <xdr:rowOff>1209040</xdr:rowOff>
    </xdr:to>
    <xdr:pic>
      <xdr:nvPicPr>
        <xdr:cNvPr id="5857" name="Изображение 5856" descr="resizeПП-00227673"/>
        <xdr:cNvPicPr>
          <a:picLocks noChangeAspect="1"/>
        </xdr:cNvPicPr>
      </xdr:nvPicPr>
      <xdr:blipFill>
        <a:blip xmlns:r="http://schemas.openxmlformats.org/officeDocument/2006/relationships" r:embed="rId625"/>
        <a:stretch>
          <a:fillRect/>
        </a:stretch>
      </xdr:blipFill>
      <xdr:spPr>
        <a:xfrm>
          <a:off x="7235825" y="831954775"/>
          <a:ext cx="878840" cy="1183640"/>
        </a:xfrm>
        <a:prstGeom prst="rect">
          <a:avLst/>
        </a:prstGeom>
      </xdr:spPr>
    </xdr:pic>
    <xdr:clientData/>
  </xdr:twoCellAnchor>
  <xdr:twoCellAnchor>
    <xdr:from>
      <xdr:col>9</xdr:col>
      <xdr:colOff>6350</xdr:colOff>
      <xdr:row>896</xdr:row>
      <xdr:rowOff>25400</xdr:rowOff>
    </xdr:from>
    <xdr:to>
      <xdr:col>9</xdr:col>
      <xdr:colOff>885190</xdr:colOff>
      <xdr:row>896</xdr:row>
      <xdr:rowOff>1209040</xdr:rowOff>
    </xdr:to>
    <xdr:pic>
      <xdr:nvPicPr>
        <xdr:cNvPr id="5858" name="Изображение 5857" descr="resizeПП-00227669"/>
        <xdr:cNvPicPr>
          <a:picLocks noChangeAspect="1"/>
        </xdr:cNvPicPr>
      </xdr:nvPicPr>
      <xdr:blipFill>
        <a:blip xmlns:r="http://schemas.openxmlformats.org/officeDocument/2006/relationships" r:embed="rId626"/>
        <a:stretch>
          <a:fillRect/>
        </a:stretch>
      </xdr:blipFill>
      <xdr:spPr>
        <a:xfrm>
          <a:off x="7235825" y="833177150"/>
          <a:ext cx="878840" cy="1183640"/>
        </a:xfrm>
        <a:prstGeom prst="rect">
          <a:avLst/>
        </a:prstGeom>
      </xdr:spPr>
    </xdr:pic>
    <xdr:clientData/>
  </xdr:twoCellAnchor>
  <xdr:twoCellAnchor>
    <xdr:from>
      <xdr:col>9</xdr:col>
      <xdr:colOff>6350</xdr:colOff>
      <xdr:row>897</xdr:row>
      <xdr:rowOff>25400</xdr:rowOff>
    </xdr:from>
    <xdr:to>
      <xdr:col>9</xdr:col>
      <xdr:colOff>885190</xdr:colOff>
      <xdr:row>897</xdr:row>
      <xdr:rowOff>1209040</xdr:rowOff>
    </xdr:to>
    <xdr:pic>
      <xdr:nvPicPr>
        <xdr:cNvPr id="5859" name="Изображение 5858" descr="resizeПП-00246254"/>
        <xdr:cNvPicPr>
          <a:picLocks noChangeAspect="1"/>
        </xdr:cNvPicPr>
      </xdr:nvPicPr>
      <xdr:blipFill>
        <a:blip xmlns:r="http://schemas.openxmlformats.org/officeDocument/2006/relationships" r:embed="rId627"/>
        <a:stretch>
          <a:fillRect/>
        </a:stretch>
      </xdr:blipFill>
      <xdr:spPr>
        <a:xfrm>
          <a:off x="7235825" y="834399525"/>
          <a:ext cx="878840" cy="1183640"/>
        </a:xfrm>
        <a:prstGeom prst="rect">
          <a:avLst/>
        </a:prstGeom>
      </xdr:spPr>
    </xdr:pic>
    <xdr:clientData/>
  </xdr:twoCellAnchor>
  <xdr:twoCellAnchor>
    <xdr:from>
      <xdr:col>9</xdr:col>
      <xdr:colOff>6350</xdr:colOff>
      <xdr:row>899</xdr:row>
      <xdr:rowOff>25400</xdr:rowOff>
    </xdr:from>
    <xdr:to>
      <xdr:col>9</xdr:col>
      <xdr:colOff>885190</xdr:colOff>
      <xdr:row>899</xdr:row>
      <xdr:rowOff>1209040</xdr:rowOff>
    </xdr:to>
    <xdr:pic>
      <xdr:nvPicPr>
        <xdr:cNvPr id="5860" name="Изображение 5859" descr="resizeПП-00227689"/>
        <xdr:cNvPicPr>
          <a:picLocks noChangeAspect="1"/>
        </xdr:cNvPicPr>
      </xdr:nvPicPr>
      <xdr:blipFill>
        <a:blip xmlns:r="http://schemas.openxmlformats.org/officeDocument/2006/relationships" r:embed="rId628"/>
        <a:stretch>
          <a:fillRect/>
        </a:stretch>
      </xdr:blipFill>
      <xdr:spPr>
        <a:xfrm>
          <a:off x="7235825" y="835774300"/>
          <a:ext cx="878840" cy="1183640"/>
        </a:xfrm>
        <a:prstGeom prst="rect">
          <a:avLst/>
        </a:prstGeom>
      </xdr:spPr>
    </xdr:pic>
    <xdr:clientData/>
  </xdr:twoCellAnchor>
  <xdr:twoCellAnchor>
    <xdr:from>
      <xdr:col>9</xdr:col>
      <xdr:colOff>6350</xdr:colOff>
      <xdr:row>900</xdr:row>
      <xdr:rowOff>25400</xdr:rowOff>
    </xdr:from>
    <xdr:to>
      <xdr:col>9</xdr:col>
      <xdr:colOff>885190</xdr:colOff>
      <xdr:row>900</xdr:row>
      <xdr:rowOff>1209040</xdr:rowOff>
    </xdr:to>
    <xdr:pic>
      <xdr:nvPicPr>
        <xdr:cNvPr id="5861" name="Изображение 5860" descr="resizeПП-00227686"/>
        <xdr:cNvPicPr>
          <a:picLocks noChangeAspect="1"/>
        </xdr:cNvPicPr>
      </xdr:nvPicPr>
      <xdr:blipFill>
        <a:blip xmlns:r="http://schemas.openxmlformats.org/officeDocument/2006/relationships" r:embed="rId629"/>
        <a:stretch>
          <a:fillRect/>
        </a:stretch>
      </xdr:blipFill>
      <xdr:spPr>
        <a:xfrm>
          <a:off x="7235825" y="836996675"/>
          <a:ext cx="878840" cy="1183640"/>
        </a:xfrm>
        <a:prstGeom prst="rect">
          <a:avLst/>
        </a:prstGeom>
      </xdr:spPr>
    </xdr:pic>
    <xdr:clientData/>
  </xdr:twoCellAnchor>
  <xdr:twoCellAnchor>
    <xdr:from>
      <xdr:col>9</xdr:col>
      <xdr:colOff>6350</xdr:colOff>
      <xdr:row>901</xdr:row>
      <xdr:rowOff>25400</xdr:rowOff>
    </xdr:from>
    <xdr:to>
      <xdr:col>9</xdr:col>
      <xdr:colOff>885190</xdr:colOff>
      <xdr:row>901</xdr:row>
      <xdr:rowOff>1209040</xdr:rowOff>
    </xdr:to>
    <xdr:pic>
      <xdr:nvPicPr>
        <xdr:cNvPr id="5862" name="Изображение 5861" descr="resizeПП-00227688"/>
        <xdr:cNvPicPr>
          <a:picLocks noChangeAspect="1"/>
        </xdr:cNvPicPr>
      </xdr:nvPicPr>
      <xdr:blipFill>
        <a:blip xmlns:r="http://schemas.openxmlformats.org/officeDocument/2006/relationships" r:embed="rId630"/>
        <a:stretch>
          <a:fillRect/>
        </a:stretch>
      </xdr:blipFill>
      <xdr:spPr>
        <a:xfrm>
          <a:off x="7235825" y="838219050"/>
          <a:ext cx="878840" cy="1183640"/>
        </a:xfrm>
        <a:prstGeom prst="rect">
          <a:avLst/>
        </a:prstGeom>
      </xdr:spPr>
    </xdr:pic>
    <xdr:clientData/>
  </xdr:twoCellAnchor>
  <xdr:twoCellAnchor>
    <xdr:from>
      <xdr:col>9</xdr:col>
      <xdr:colOff>6350</xdr:colOff>
      <xdr:row>902</xdr:row>
      <xdr:rowOff>25400</xdr:rowOff>
    </xdr:from>
    <xdr:to>
      <xdr:col>9</xdr:col>
      <xdr:colOff>885190</xdr:colOff>
      <xdr:row>902</xdr:row>
      <xdr:rowOff>1209040</xdr:rowOff>
    </xdr:to>
    <xdr:pic>
      <xdr:nvPicPr>
        <xdr:cNvPr id="5863" name="Изображение 5862" descr="resizeПП-00227687"/>
        <xdr:cNvPicPr>
          <a:picLocks noChangeAspect="1"/>
        </xdr:cNvPicPr>
      </xdr:nvPicPr>
      <xdr:blipFill>
        <a:blip xmlns:r="http://schemas.openxmlformats.org/officeDocument/2006/relationships" r:embed="rId631"/>
        <a:stretch>
          <a:fillRect/>
        </a:stretch>
      </xdr:blipFill>
      <xdr:spPr>
        <a:xfrm>
          <a:off x="7235825" y="839441425"/>
          <a:ext cx="878840" cy="1183640"/>
        </a:xfrm>
        <a:prstGeom prst="rect">
          <a:avLst/>
        </a:prstGeom>
      </xdr:spPr>
    </xdr:pic>
    <xdr:clientData/>
  </xdr:twoCellAnchor>
  <xdr:twoCellAnchor>
    <xdr:from>
      <xdr:col>9</xdr:col>
      <xdr:colOff>6350</xdr:colOff>
      <xdr:row>904</xdr:row>
      <xdr:rowOff>25400</xdr:rowOff>
    </xdr:from>
    <xdr:to>
      <xdr:col>9</xdr:col>
      <xdr:colOff>885190</xdr:colOff>
      <xdr:row>904</xdr:row>
      <xdr:rowOff>1209040</xdr:rowOff>
    </xdr:to>
    <xdr:pic>
      <xdr:nvPicPr>
        <xdr:cNvPr id="5864" name="Изображение 5863" descr="resizeПП-00227652"/>
        <xdr:cNvPicPr>
          <a:picLocks noChangeAspect="1"/>
        </xdr:cNvPicPr>
      </xdr:nvPicPr>
      <xdr:blipFill>
        <a:blip xmlns:r="http://schemas.openxmlformats.org/officeDocument/2006/relationships" r:embed="rId632"/>
        <a:stretch>
          <a:fillRect/>
        </a:stretch>
      </xdr:blipFill>
      <xdr:spPr>
        <a:xfrm>
          <a:off x="7235825" y="840816200"/>
          <a:ext cx="878840" cy="1183640"/>
        </a:xfrm>
        <a:prstGeom prst="rect">
          <a:avLst/>
        </a:prstGeom>
      </xdr:spPr>
    </xdr:pic>
    <xdr:clientData/>
  </xdr:twoCellAnchor>
  <xdr:twoCellAnchor>
    <xdr:from>
      <xdr:col>9</xdr:col>
      <xdr:colOff>6350</xdr:colOff>
      <xdr:row>905</xdr:row>
      <xdr:rowOff>25400</xdr:rowOff>
    </xdr:from>
    <xdr:to>
      <xdr:col>9</xdr:col>
      <xdr:colOff>885190</xdr:colOff>
      <xdr:row>905</xdr:row>
      <xdr:rowOff>1209040</xdr:rowOff>
    </xdr:to>
    <xdr:pic>
      <xdr:nvPicPr>
        <xdr:cNvPr id="5865" name="Изображение 5864" descr="resizeПП-00227653"/>
        <xdr:cNvPicPr>
          <a:picLocks noChangeAspect="1"/>
        </xdr:cNvPicPr>
      </xdr:nvPicPr>
      <xdr:blipFill>
        <a:blip xmlns:r="http://schemas.openxmlformats.org/officeDocument/2006/relationships" r:embed="rId633"/>
        <a:stretch>
          <a:fillRect/>
        </a:stretch>
      </xdr:blipFill>
      <xdr:spPr>
        <a:xfrm>
          <a:off x="7235825" y="842038575"/>
          <a:ext cx="878840" cy="1183640"/>
        </a:xfrm>
        <a:prstGeom prst="rect">
          <a:avLst/>
        </a:prstGeom>
      </xdr:spPr>
    </xdr:pic>
    <xdr:clientData/>
  </xdr:twoCellAnchor>
  <xdr:twoCellAnchor>
    <xdr:from>
      <xdr:col>9</xdr:col>
      <xdr:colOff>6350</xdr:colOff>
      <xdr:row>906</xdr:row>
      <xdr:rowOff>25400</xdr:rowOff>
    </xdr:from>
    <xdr:to>
      <xdr:col>9</xdr:col>
      <xdr:colOff>885190</xdr:colOff>
      <xdr:row>906</xdr:row>
      <xdr:rowOff>1209040</xdr:rowOff>
    </xdr:to>
    <xdr:pic>
      <xdr:nvPicPr>
        <xdr:cNvPr id="5866" name="Изображение 5865" descr="resizeПП-00227651"/>
        <xdr:cNvPicPr>
          <a:picLocks noChangeAspect="1"/>
        </xdr:cNvPicPr>
      </xdr:nvPicPr>
      <xdr:blipFill>
        <a:blip xmlns:r="http://schemas.openxmlformats.org/officeDocument/2006/relationships" r:embed="rId634"/>
        <a:stretch>
          <a:fillRect/>
        </a:stretch>
      </xdr:blipFill>
      <xdr:spPr>
        <a:xfrm>
          <a:off x="7235825" y="843260950"/>
          <a:ext cx="878840" cy="1183640"/>
        </a:xfrm>
        <a:prstGeom prst="rect">
          <a:avLst/>
        </a:prstGeom>
      </xdr:spPr>
    </xdr:pic>
    <xdr:clientData/>
  </xdr:twoCellAnchor>
  <xdr:twoCellAnchor>
    <xdr:from>
      <xdr:col>9</xdr:col>
      <xdr:colOff>6350</xdr:colOff>
      <xdr:row>907</xdr:row>
      <xdr:rowOff>25400</xdr:rowOff>
    </xdr:from>
    <xdr:to>
      <xdr:col>9</xdr:col>
      <xdr:colOff>885190</xdr:colOff>
      <xdr:row>907</xdr:row>
      <xdr:rowOff>1209040</xdr:rowOff>
    </xdr:to>
    <xdr:pic>
      <xdr:nvPicPr>
        <xdr:cNvPr id="5867" name="Изображение 5866" descr="resizeПП-00227757"/>
        <xdr:cNvPicPr>
          <a:picLocks noChangeAspect="1"/>
        </xdr:cNvPicPr>
      </xdr:nvPicPr>
      <xdr:blipFill>
        <a:blip xmlns:r="http://schemas.openxmlformats.org/officeDocument/2006/relationships" r:embed="rId635"/>
        <a:stretch>
          <a:fillRect/>
        </a:stretch>
      </xdr:blipFill>
      <xdr:spPr>
        <a:xfrm>
          <a:off x="7235825" y="844483325"/>
          <a:ext cx="878840" cy="1183640"/>
        </a:xfrm>
        <a:prstGeom prst="rect">
          <a:avLst/>
        </a:prstGeom>
      </xdr:spPr>
    </xdr:pic>
    <xdr:clientData/>
  </xdr:twoCellAnchor>
  <xdr:twoCellAnchor>
    <xdr:from>
      <xdr:col>9</xdr:col>
      <xdr:colOff>6350</xdr:colOff>
      <xdr:row>908</xdr:row>
      <xdr:rowOff>25400</xdr:rowOff>
    </xdr:from>
    <xdr:to>
      <xdr:col>9</xdr:col>
      <xdr:colOff>885190</xdr:colOff>
      <xdr:row>908</xdr:row>
      <xdr:rowOff>1209040</xdr:rowOff>
    </xdr:to>
    <xdr:pic>
      <xdr:nvPicPr>
        <xdr:cNvPr id="5868" name="Изображение 5867" descr="resizeПП-00246253"/>
        <xdr:cNvPicPr>
          <a:picLocks noChangeAspect="1"/>
        </xdr:cNvPicPr>
      </xdr:nvPicPr>
      <xdr:blipFill>
        <a:blip xmlns:r="http://schemas.openxmlformats.org/officeDocument/2006/relationships" r:embed="rId636"/>
        <a:stretch>
          <a:fillRect/>
        </a:stretch>
      </xdr:blipFill>
      <xdr:spPr>
        <a:xfrm>
          <a:off x="7235825" y="845705700"/>
          <a:ext cx="878840" cy="1183640"/>
        </a:xfrm>
        <a:prstGeom prst="rect">
          <a:avLst/>
        </a:prstGeom>
      </xdr:spPr>
    </xdr:pic>
    <xdr:clientData/>
  </xdr:twoCellAnchor>
  <xdr:twoCellAnchor>
    <xdr:from>
      <xdr:col>9</xdr:col>
      <xdr:colOff>6350</xdr:colOff>
      <xdr:row>910</xdr:row>
      <xdr:rowOff>25400</xdr:rowOff>
    </xdr:from>
    <xdr:to>
      <xdr:col>9</xdr:col>
      <xdr:colOff>885190</xdr:colOff>
      <xdr:row>910</xdr:row>
      <xdr:rowOff>1209040</xdr:rowOff>
    </xdr:to>
    <xdr:pic>
      <xdr:nvPicPr>
        <xdr:cNvPr id="5869" name="Изображение 5868" descr="resizeПП-00204273"/>
        <xdr:cNvPicPr>
          <a:picLocks noChangeAspect="1"/>
        </xdr:cNvPicPr>
      </xdr:nvPicPr>
      <xdr:blipFill>
        <a:blip xmlns:r="http://schemas.openxmlformats.org/officeDocument/2006/relationships" r:embed="rId637"/>
        <a:stretch>
          <a:fillRect/>
        </a:stretch>
      </xdr:blipFill>
      <xdr:spPr>
        <a:xfrm>
          <a:off x="7235825" y="847080475"/>
          <a:ext cx="878840" cy="1183640"/>
        </a:xfrm>
        <a:prstGeom prst="rect">
          <a:avLst/>
        </a:prstGeom>
      </xdr:spPr>
    </xdr:pic>
    <xdr:clientData/>
  </xdr:twoCellAnchor>
  <xdr:twoCellAnchor>
    <xdr:from>
      <xdr:col>9</xdr:col>
      <xdr:colOff>6350</xdr:colOff>
      <xdr:row>911</xdr:row>
      <xdr:rowOff>25400</xdr:rowOff>
    </xdr:from>
    <xdr:to>
      <xdr:col>9</xdr:col>
      <xdr:colOff>885190</xdr:colOff>
      <xdr:row>911</xdr:row>
      <xdr:rowOff>1209040</xdr:rowOff>
    </xdr:to>
    <xdr:pic>
      <xdr:nvPicPr>
        <xdr:cNvPr id="5870" name="Изображение 5869" descr="resizeПП-00204272"/>
        <xdr:cNvPicPr>
          <a:picLocks noChangeAspect="1"/>
        </xdr:cNvPicPr>
      </xdr:nvPicPr>
      <xdr:blipFill>
        <a:blip xmlns:r="http://schemas.openxmlformats.org/officeDocument/2006/relationships" r:embed="rId638"/>
        <a:stretch>
          <a:fillRect/>
        </a:stretch>
      </xdr:blipFill>
      <xdr:spPr>
        <a:xfrm>
          <a:off x="7235825" y="848302850"/>
          <a:ext cx="878840" cy="1183640"/>
        </a:xfrm>
        <a:prstGeom prst="rect">
          <a:avLst/>
        </a:prstGeom>
      </xdr:spPr>
    </xdr:pic>
    <xdr:clientData/>
  </xdr:twoCellAnchor>
  <xdr:twoCellAnchor>
    <xdr:from>
      <xdr:col>9</xdr:col>
      <xdr:colOff>6350</xdr:colOff>
      <xdr:row>912</xdr:row>
      <xdr:rowOff>25400</xdr:rowOff>
    </xdr:from>
    <xdr:to>
      <xdr:col>9</xdr:col>
      <xdr:colOff>885190</xdr:colOff>
      <xdr:row>912</xdr:row>
      <xdr:rowOff>1209040</xdr:rowOff>
    </xdr:to>
    <xdr:pic>
      <xdr:nvPicPr>
        <xdr:cNvPr id="5871" name="Изображение 5870" descr="resizeПП-00204269"/>
        <xdr:cNvPicPr>
          <a:picLocks noChangeAspect="1"/>
        </xdr:cNvPicPr>
      </xdr:nvPicPr>
      <xdr:blipFill>
        <a:blip xmlns:r="http://schemas.openxmlformats.org/officeDocument/2006/relationships" r:embed="rId639"/>
        <a:stretch>
          <a:fillRect/>
        </a:stretch>
      </xdr:blipFill>
      <xdr:spPr>
        <a:xfrm>
          <a:off x="7235825" y="849525225"/>
          <a:ext cx="878840" cy="1183640"/>
        </a:xfrm>
        <a:prstGeom prst="rect">
          <a:avLst/>
        </a:prstGeom>
      </xdr:spPr>
    </xdr:pic>
    <xdr:clientData/>
  </xdr:twoCellAnchor>
  <xdr:twoCellAnchor>
    <xdr:from>
      <xdr:col>9</xdr:col>
      <xdr:colOff>6350</xdr:colOff>
      <xdr:row>913</xdr:row>
      <xdr:rowOff>25400</xdr:rowOff>
    </xdr:from>
    <xdr:to>
      <xdr:col>9</xdr:col>
      <xdr:colOff>885190</xdr:colOff>
      <xdr:row>913</xdr:row>
      <xdr:rowOff>1209040</xdr:rowOff>
    </xdr:to>
    <xdr:pic>
      <xdr:nvPicPr>
        <xdr:cNvPr id="5872" name="Изображение 5871" descr="resizeПП-00204270"/>
        <xdr:cNvPicPr>
          <a:picLocks noChangeAspect="1"/>
        </xdr:cNvPicPr>
      </xdr:nvPicPr>
      <xdr:blipFill>
        <a:blip xmlns:r="http://schemas.openxmlformats.org/officeDocument/2006/relationships" r:embed="rId640"/>
        <a:stretch>
          <a:fillRect/>
        </a:stretch>
      </xdr:blipFill>
      <xdr:spPr>
        <a:xfrm>
          <a:off x="7235825" y="850747600"/>
          <a:ext cx="878840" cy="1183640"/>
        </a:xfrm>
        <a:prstGeom prst="rect">
          <a:avLst/>
        </a:prstGeom>
      </xdr:spPr>
    </xdr:pic>
    <xdr:clientData/>
  </xdr:twoCellAnchor>
  <xdr:twoCellAnchor>
    <xdr:from>
      <xdr:col>9</xdr:col>
      <xdr:colOff>6350</xdr:colOff>
      <xdr:row>915</xdr:row>
      <xdr:rowOff>25400</xdr:rowOff>
    </xdr:from>
    <xdr:to>
      <xdr:col>9</xdr:col>
      <xdr:colOff>885190</xdr:colOff>
      <xdr:row>915</xdr:row>
      <xdr:rowOff>1209040</xdr:rowOff>
    </xdr:to>
    <xdr:pic>
      <xdr:nvPicPr>
        <xdr:cNvPr id="5873" name="Изображение 5872" descr="resizeПП-00227683"/>
        <xdr:cNvPicPr>
          <a:picLocks noChangeAspect="1"/>
        </xdr:cNvPicPr>
      </xdr:nvPicPr>
      <xdr:blipFill>
        <a:blip xmlns:r="http://schemas.openxmlformats.org/officeDocument/2006/relationships" r:embed="rId641"/>
        <a:stretch>
          <a:fillRect/>
        </a:stretch>
      </xdr:blipFill>
      <xdr:spPr>
        <a:xfrm>
          <a:off x="7235825" y="852122375"/>
          <a:ext cx="878840" cy="1183640"/>
        </a:xfrm>
        <a:prstGeom prst="rect">
          <a:avLst/>
        </a:prstGeom>
      </xdr:spPr>
    </xdr:pic>
    <xdr:clientData/>
  </xdr:twoCellAnchor>
  <xdr:twoCellAnchor>
    <xdr:from>
      <xdr:col>9</xdr:col>
      <xdr:colOff>6350</xdr:colOff>
      <xdr:row>916</xdr:row>
      <xdr:rowOff>25400</xdr:rowOff>
    </xdr:from>
    <xdr:to>
      <xdr:col>9</xdr:col>
      <xdr:colOff>885190</xdr:colOff>
      <xdr:row>916</xdr:row>
      <xdr:rowOff>1209040</xdr:rowOff>
    </xdr:to>
    <xdr:pic>
      <xdr:nvPicPr>
        <xdr:cNvPr id="5874" name="Изображение 5873" descr="resizeПП-00227681"/>
        <xdr:cNvPicPr>
          <a:picLocks noChangeAspect="1"/>
        </xdr:cNvPicPr>
      </xdr:nvPicPr>
      <xdr:blipFill>
        <a:blip xmlns:r="http://schemas.openxmlformats.org/officeDocument/2006/relationships" r:embed="rId642"/>
        <a:stretch>
          <a:fillRect/>
        </a:stretch>
      </xdr:blipFill>
      <xdr:spPr>
        <a:xfrm>
          <a:off x="7235825" y="853344750"/>
          <a:ext cx="878840" cy="1183640"/>
        </a:xfrm>
        <a:prstGeom prst="rect">
          <a:avLst/>
        </a:prstGeom>
      </xdr:spPr>
    </xdr:pic>
    <xdr:clientData/>
  </xdr:twoCellAnchor>
  <xdr:twoCellAnchor>
    <xdr:from>
      <xdr:col>9</xdr:col>
      <xdr:colOff>6350</xdr:colOff>
      <xdr:row>917</xdr:row>
      <xdr:rowOff>25400</xdr:rowOff>
    </xdr:from>
    <xdr:to>
      <xdr:col>9</xdr:col>
      <xdr:colOff>885190</xdr:colOff>
      <xdr:row>917</xdr:row>
      <xdr:rowOff>1209040</xdr:rowOff>
    </xdr:to>
    <xdr:pic>
      <xdr:nvPicPr>
        <xdr:cNvPr id="5875" name="Изображение 5874" descr="resizeПП-00227682"/>
        <xdr:cNvPicPr>
          <a:picLocks noChangeAspect="1"/>
        </xdr:cNvPicPr>
      </xdr:nvPicPr>
      <xdr:blipFill>
        <a:blip xmlns:r="http://schemas.openxmlformats.org/officeDocument/2006/relationships" r:embed="rId643"/>
        <a:stretch>
          <a:fillRect/>
        </a:stretch>
      </xdr:blipFill>
      <xdr:spPr>
        <a:xfrm>
          <a:off x="7235825" y="854567125"/>
          <a:ext cx="878840" cy="1183640"/>
        </a:xfrm>
        <a:prstGeom prst="rect">
          <a:avLst/>
        </a:prstGeom>
      </xdr:spPr>
    </xdr:pic>
    <xdr:clientData/>
  </xdr:twoCellAnchor>
  <xdr:twoCellAnchor>
    <xdr:from>
      <xdr:col>9</xdr:col>
      <xdr:colOff>6350</xdr:colOff>
      <xdr:row>918</xdr:row>
      <xdr:rowOff>25400</xdr:rowOff>
    </xdr:from>
    <xdr:to>
      <xdr:col>9</xdr:col>
      <xdr:colOff>885190</xdr:colOff>
      <xdr:row>918</xdr:row>
      <xdr:rowOff>1209040</xdr:rowOff>
    </xdr:to>
    <xdr:pic>
      <xdr:nvPicPr>
        <xdr:cNvPr id="5876" name="Изображение 5875" descr="resizeПП-00227684"/>
        <xdr:cNvPicPr>
          <a:picLocks noChangeAspect="1"/>
        </xdr:cNvPicPr>
      </xdr:nvPicPr>
      <xdr:blipFill>
        <a:blip xmlns:r="http://schemas.openxmlformats.org/officeDocument/2006/relationships" r:embed="rId644"/>
        <a:stretch>
          <a:fillRect/>
        </a:stretch>
      </xdr:blipFill>
      <xdr:spPr>
        <a:xfrm>
          <a:off x="7235825" y="855789500"/>
          <a:ext cx="878840" cy="1183640"/>
        </a:xfrm>
        <a:prstGeom prst="rect">
          <a:avLst/>
        </a:prstGeom>
      </xdr:spPr>
    </xdr:pic>
    <xdr:clientData/>
  </xdr:twoCellAnchor>
  <xdr:twoCellAnchor>
    <xdr:from>
      <xdr:col>9</xdr:col>
      <xdr:colOff>6350</xdr:colOff>
      <xdr:row>919</xdr:row>
      <xdr:rowOff>25400</xdr:rowOff>
    </xdr:from>
    <xdr:to>
      <xdr:col>9</xdr:col>
      <xdr:colOff>885190</xdr:colOff>
      <xdr:row>919</xdr:row>
      <xdr:rowOff>1209040</xdr:rowOff>
    </xdr:to>
    <xdr:pic>
      <xdr:nvPicPr>
        <xdr:cNvPr id="5877" name="Изображение 5876" descr="resizeПП-00246252"/>
        <xdr:cNvPicPr>
          <a:picLocks noChangeAspect="1"/>
        </xdr:cNvPicPr>
      </xdr:nvPicPr>
      <xdr:blipFill>
        <a:blip xmlns:r="http://schemas.openxmlformats.org/officeDocument/2006/relationships" r:embed="rId645"/>
        <a:stretch>
          <a:fillRect/>
        </a:stretch>
      </xdr:blipFill>
      <xdr:spPr>
        <a:xfrm>
          <a:off x="7235825" y="857011875"/>
          <a:ext cx="878840" cy="1183640"/>
        </a:xfrm>
        <a:prstGeom prst="rect">
          <a:avLst/>
        </a:prstGeom>
      </xdr:spPr>
    </xdr:pic>
    <xdr:clientData/>
  </xdr:twoCellAnchor>
  <xdr:twoCellAnchor>
    <xdr:from>
      <xdr:col>9</xdr:col>
      <xdr:colOff>6350</xdr:colOff>
      <xdr:row>921</xdr:row>
      <xdr:rowOff>25400</xdr:rowOff>
    </xdr:from>
    <xdr:to>
      <xdr:col>9</xdr:col>
      <xdr:colOff>885190</xdr:colOff>
      <xdr:row>921</xdr:row>
      <xdr:rowOff>1209040</xdr:rowOff>
    </xdr:to>
    <xdr:pic>
      <xdr:nvPicPr>
        <xdr:cNvPr id="5878" name="Изображение 5877" descr="resizeПП-00228654"/>
        <xdr:cNvPicPr>
          <a:picLocks noChangeAspect="1"/>
        </xdr:cNvPicPr>
      </xdr:nvPicPr>
      <xdr:blipFill>
        <a:blip xmlns:r="http://schemas.openxmlformats.org/officeDocument/2006/relationships" r:embed="rId646"/>
        <a:stretch>
          <a:fillRect/>
        </a:stretch>
      </xdr:blipFill>
      <xdr:spPr>
        <a:xfrm>
          <a:off x="7235825" y="858386650"/>
          <a:ext cx="878840" cy="1183640"/>
        </a:xfrm>
        <a:prstGeom prst="rect">
          <a:avLst/>
        </a:prstGeom>
      </xdr:spPr>
    </xdr:pic>
    <xdr:clientData/>
  </xdr:twoCellAnchor>
  <xdr:twoCellAnchor>
    <xdr:from>
      <xdr:col>9</xdr:col>
      <xdr:colOff>6350</xdr:colOff>
      <xdr:row>922</xdr:row>
      <xdr:rowOff>25400</xdr:rowOff>
    </xdr:from>
    <xdr:to>
      <xdr:col>9</xdr:col>
      <xdr:colOff>885190</xdr:colOff>
      <xdr:row>922</xdr:row>
      <xdr:rowOff>1209040</xdr:rowOff>
    </xdr:to>
    <xdr:pic>
      <xdr:nvPicPr>
        <xdr:cNvPr id="5879" name="Изображение 5878" descr="resizeПП-00228655"/>
        <xdr:cNvPicPr>
          <a:picLocks noChangeAspect="1"/>
        </xdr:cNvPicPr>
      </xdr:nvPicPr>
      <xdr:blipFill>
        <a:blip xmlns:r="http://schemas.openxmlformats.org/officeDocument/2006/relationships" r:embed="rId647"/>
        <a:stretch>
          <a:fillRect/>
        </a:stretch>
      </xdr:blipFill>
      <xdr:spPr>
        <a:xfrm>
          <a:off x="7235825" y="859609025"/>
          <a:ext cx="878840" cy="1183640"/>
        </a:xfrm>
        <a:prstGeom prst="rect">
          <a:avLst/>
        </a:prstGeom>
      </xdr:spPr>
    </xdr:pic>
    <xdr:clientData/>
  </xdr:twoCellAnchor>
  <xdr:twoCellAnchor>
    <xdr:from>
      <xdr:col>9</xdr:col>
      <xdr:colOff>6350</xdr:colOff>
      <xdr:row>923</xdr:row>
      <xdr:rowOff>25400</xdr:rowOff>
    </xdr:from>
    <xdr:to>
      <xdr:col>9</xdr:col>
      <xdr:colOff>885190</xdr:colOff>
      <xdr:row>923</xdr:row>
      <xdr:rowOff>1209040</xdr:rowOff>
    </xdr:to>
    <xdr:pic>
      <xdr:nvPicPr>
        <xdr:cNvPr id="5880" name="Изображение 5879" descr="resizeПП-00228657"/>
        <xdr:cNvPicPr>
          <a:picLocks noChangeAspect="1"/>
        </xdr:cNvPicPr>
      </xdr:nvPicPr>
      <xdr:blipFill>
        <a:blip xmlns:r="http://schemas.openxmlformats.org/officeDocument/2006/relationships" r:embed="rId648"/>
        <a:stretch>
          <a:fillRect/>
        </a:stretch>
      </xdr:blipFill>
      <xdr:spPr>
        <a:xfrm>
          <a:off x="7235825" y="860831400"/>
          <a:ext cx="878840" cy="1183640"/>
        </a:xfrm>
        <a:prstGeom prst="rect">
          <a:avLst/>
        </a:prstGeom>
      </xdr:spPr>
    </xdr:pic>
    <xdr:clientData/>
  </xdr:twoCellAnchor>
  <xdr:twoCellAnchor>
    <xdr:from>
      <xdr:col>9</xdr:col>
      <xdr:colOff>6350</xdr:colOff>
      <xdr:row>924</xdr:row>
      <xdr:rowOff>25400</xdr:rowOff>
    </xdr:from>
    <xdr:to>
      <xdr:col>9</xdr:col>
      <xdr:colOff>885190</xdr:colOff>
      <xdr:row>924</xdr:row>
      <xdr:rowOff>1209040</xdr:rowOff>
    </xdr:to>
    <xdr:pic>
      <xdr:nvPicPr>
        <xdr:cNvPr id="5881" name="Изображение 5880" descr="resizeПП-00228656"/>
        <xdr:cNvPicPr>
          <a:picLocks noChangeAspect="1"/>
        </xdr:cNvPicPr>
      </xdr:nvPicPr>
      <xdr:blipFill>
        <a:blip xmlns:r="http://schemas.openxmlformats.org/officeDocument/2006/relationships" r:embed="rId649"/>
        <a:stretch>
          <a:fillRect/>
        </a:stretch>
      </xdr:blipFill>
      <xdr:spPr>
        <a:xfrm>
          <a:off x="7235825" y="862053775"/>
          <a:ext cx="878840" cy="1183640"/>
        </a:xfrm>
        <a:prstGeom prst="rect">
          <a:avLst/>
        </a:prstGeom>
      </xdr:spPr>
    </xdr:pic>
    <xdr:clientData/>
  </xdr:twoCellAnchor>
  <xdr:twoCellAnchor>
    <xdr:from>
      <xdr:col>9</xdr:col>
      <xdr:colOff>6350</xdr:colOff>
      <xdr:row>925</xdr:row>
      <xdr:rowOff>25400</xdr:rowOff>
    </xdr:from>
    <xdr:to>
      <xdr:col>9</xdr:col>
      <xdr:colOff>885190</xdr:colOff>
      <xdr:row>925</xdr:row>
      <xdr:rowOff>1209040</xdr:rowOff>
    </xdr:to>
    <xdr:pic>
      <xdr:nvPicPr>
        <xdr:cNvPr id="5882" name="Изображение 5881" descr="resizeПП-00246250"/>
        <xdr:cNvPicPr>
          <a:picLocks noChangeAspect="1"/>
        </xdr:cNvPicPr>
      </xdr:nvPicPr>
      <xdr:blipFill>
        <a:blip xmlns:r="http://schemas.openxmlformats.org/officeDocument/2006/relationships" r:embed="rId650"/>
        <a:stretch>
          <a:fillRect/>
        </a:stretch>
      </xdr:blipFill>
      <xdr:spPr>
        <a:xfrm>
          <a:off x="7235825" y="863276150"/>
          <a:ext cx="878840" cy="1183640"/>
        </a:xfrm>
        <a:prstGeom prst="rect">
          <a:avLst/>
        </a:prstGeom>
      </xdr:spPr>
    </xdr:pic>
    <xdr:clientData/>
  </xdr:twoCellAnchor>
  <xdr:twoCellAnchor>
    <xdr:from>
      <xdr:col>9</xdr:col>
      <xdr:colOff>6350</xdr:colOff>
      <xdr:row>927</xdr:row>
      <xdr:rowOff>25400</xdr:rowOff>
    </xdr:from>
    <xdr:to>
      <xdr:col>9</xdr:col>
      <xdr:colOff>885190</xdr:colOff>
      <xdr:row>927</xdr:row>
      <xdr:rowOff>1209040</xdr:rowOff>
    </xdr:to>
    <xdr:pic>
      <xdr:nvPicPr>
        <xdr:cNvPr id="5883" name="Изображение 5882" descr="resizeПП-00227639"/>
        <xdr:cNvPicPr>
          <a:picLocks noChangeAspect="1"/>
        </xdr:cNvPicPr>
      </xdr:nvPicPr>
      <xdr:blipFill>
        <a:blip xmlns:r="http://schemas.openxmlformats.org/officeDocument/2006/relationships" r:embed="rId651"/>
        <a:stretch>
          <a:fillRect/>
        </a:stretch>
      </xdr:blipFill>
      <xdr:spPr>
        <a:xfrm>
          <a:off x="7235825" y="864650925"/>
          <a:ext cx="878840" cy="1183640"/>
        </a:xfrm>
        <a:prstGeom prst="rect">
          <a:avLst/>
        </a:prstGeom>
      </xdr:spPr>
    </xdr:pic>
    <xdr:clientData/>
  </xdr:twoCellAnchor>
  <xdr:twoCellAnchor>
    <xdr:from>
      <xdr:col>9</xdr:col>
      <xdr:colOff>6350</xdr:colOff>
      <xdr:row>928</xdr:row>
      <xdr:rowOff>25400</xdr:rowOff>
    </xdr:from>
    <xdr:to>
      <xdr:col>9</xdr:col>
      <xdr:colOff>885190</xdr:colOff>
      <xdr:row>928</xdr:row>
      <xdr:rowOff>1209040</xdr:rowOff>
    </xdr:to>
    <xdr:pic>
      <xdr:nvPicPr>
        <xdr:cNvPr id="5884" name="Изображение 5883" descr="resizeПП-00227641"/>
        <xdr:cNvPicPr>
          <a:picLocks noChangeAspect="1"/>
        </xdr:cNvPicPr>
      </xdr:nvPicPr>
      <xdr:blipFill>
        <a:blip xmlns:r="http://schemas.openxmlformats.org/officeDocument/2006/relationships" r:embed="rId652"/>
        <a:stretch>
          <a:fillRect/>
        </a:stretch>
      </xdr:blipFill>
      <xdr:spPr>
        <a:xfrm>
          <a:off x="7235825" y="865873300"/>
          <a:ext cx="878840" cy="1183640"/>
        </a:xfrm>
        <a:prstGeom prst="rect">
          <a:avLst/>
        </a:prstGeom>
      </xdr:spPr>
    </xdr:pic>
    <xdr:clientData/>
  </xdr:twoCellAnchor>
  <xdr:twoCellAnchor>
    <xdr:from>
      <xdr:col>9</xdr:col>
      <xdr:colOff>6350</xdr:colOff>
      <xdr:row>929</xdr:row>
      <xdr:rowOff>25400</xdr:rowOff>
    </xdr:from>
    <xdr:to>
      <xdr:col>9</xdr:col>
      <xdr:colOff>885190</xdr:colOff>
      <xdr:row>929</xdr:row>
      <xdr:rowOff>1209040</xdr:rowOff>
    </xdr:to>
    <xdr:pic>
      <xdr:nvPicPr>
        <xdr:cNvPr id="5885" name="Изображение 5884" descr="resizeПП-00227637"/>
        <xdr:cNvPicPr>
          <a:picLocks noChangeAspect="1"/>
        </xdr:cNvPicPr>
      </xdr:nvPicPr>
      <xdr:blipFill>
        <a:blip xmlns:r="http://schemas.openxmlformats.org/officeDocument/2006/relationships" r:embed="rId653"/>
        <a:stretch>
          <a:fillRect/>
        </a:stretch>
      </xdr:blipFill>
      <xdr:spPr>
        <a:xfrm>
          <a:off x="7235825" y="867095675"/>
          <a:ext cx="878840" cy="1183640"/>
        </a:xfrm>
        <a:prstGeom prst="rect">
          <a:avLst/>
        </a:prstGeom>
      </xdr:spPr>
    </xdr:pic>
    <xdr:clientData/>
  </xdr:twoCellAnchor>
  <xdr:twoCellAnchor>
    <xdr:from>
      <xdr:col>9</xdr:col>
      <xdr:colOff>6350</xdr:colOff>
      <xdr:row>930</xdr:row>
      <xdr:rowOff>25400</xdr:rowOff>
    </xdr:from>
    <xdr:to>
      <xdr:col>9</xdr:col>
      <xdr:colOff>885190</xdr:colOff>
      <xdr:row>930</xdr:row>
      <xdr:rowOff>1209040</xdr:rowOff>
    </xdr:to>
    <xdr:pic>
      <xdr:nvPicPr>
        <xdr:cNvPr id="5886" name="Изображение 5885" descr="resizeПП-00227642"/>
        <xdr:cNvPicPr>
          <a:picLocks noChangeAspect="1"/>
        </xdr:cNvPicPr>
      </xdr:nvPicPr>
      <xdr:blipFill>
        <a:blip xmlns:r="http://schemas.openxmlformats.org/officeDocument/2006/relationships" r:embed="rId654"/>
        <a:stretch>
          <a:fillRect/>
        </a:stretch>
      </xdr:blipFill>
      <xdr:spPr>
        <a:xfrm>
          <a:off x="7235825" y="868318050"/>
          <a:ext cx="878840" cy="1183640"/>
        </a:xfrm>
        <a:prstGeom prst="rect">
          <a:avLst/>
        </a:prstGeom>
      </xdr:spPr>
    </xdr:pic>
    <xdr:clientData/>
  </xdr:twoCellAnchor>
  <xdr:twoCellAnchor>
    <xdr:from>
      <xdr:col>9</xdr:col>
      <xdr:colOff>6350</xdr:colOff>
      <xdr:row>932</xdr:row>
      <xdr:rowOff>25400</xdr:rowOff>
    </xdr:from>
    <xdr:to>
      <xdr:col>9</xdr:col>
      <xdr:colOff>885190</xdr:colOff>
      <xdr:row>932</xdr:row>
      <xdr:rowOff>1209040</xdr:rowOff>
    </xdr:to>
    <xdr:pic>
      <xdr:nvPicPr>
        <xdr:cNvPr id="5887" name="Изображение 5886" descr="resizeПП-00227661"/>
        <xdr:cNvPicPr>
          <a:picLocks noChangeAspect="1"/>
        </xdr:cNvPicPr>
      </xdr:nvPicPr>
      <xdr:blipFill>
        <a:blip xmlns:r="http://schemas.openxmlformats.org/officeDocument/2006/relationships" r:embed="rId655"/>
        <a:stretch>
          <a:fillRect/>
        </a:stretch>
      </xdr:blipFill>
      <xdr:spPr>
        <a:xfrm>
          <a:off x="7235825" y="869692825"/>
          <a:ext cx="878840" cy="1183640"/>
        </a:xfrm>
        <a:prstGeom prst="rect">
          <a:avLst/>
        </a:prstGeom>
      </xdr:spPr>
    </xdr:pic>
    <xdr:clientData/>
  </xdr:twoCellAnchor>
  <xdr:twoCellAnchor>
    <xdr:from>
      <xdr:col>9</xdr:col>
      <xdr:colOff>6350</xdr:colOff>
      <xdr:row>933</xdr:row>
      <xdr:rowOff>25400</xdr:rowOff>
    </xdr:from>
    <xdr:to>
      <xdr:col>9</xdr:col>
      <xdr:colOff>885190</xdr:colOff>
      <xdr:row>933</xdr:row>
      <xdr:rowOff>1209040</xdr:rowOff>
    </xdr:to>
    <xdr:pic>
      <xdr:nvPicPr>
        <xdr:cNvPr id="5888" name="Изображение 5887" descr="resizeПП-00227663"/>
        <xdr:cNvPicPr>
          <a:picLocks noChangeAspect="1"/>
        </xdr:cNvPicPr>
      </xdr:nvPicPr>
      <xdr:blipFill>
        <a:blip xmlns:r="http://schemas.openxmlformats.org/officeDocument/2006/relationships" r:embed="rId656"/>
        <a:stretch>
          <a:fillRect/>
        </a:stretch>
      </xdr:blipFill>
      <xdr:spPr>
        <a:xfrm>
          <a:off x="7235825" y="870915200"/>
          <a:ext cx="878840" cy="1183640"/>
        </a:xfrm>
        <a:prstGeom prst="rect">
          <a:avLst/>
        </a:prstGeom>
      </xdr:spPr>
    </xdr:pic>
    <xdr:clientData/>
  </xdr:twoCellAnchor>
  <xdr:twoCellAnchor>
    <xdr:from>
      <xdr:col>9</xdr:col>
      <xdr:colOff>6350</xdr:colOff>
      <xdr:row>934</xdr:row>
      <xdr:rowOff>25400</xdr:rowOff>
    </xdr:from>
    <xdr:to>
      <xdr:col>9</xdr:col>
      <xdr:colOff>885190</xdr:colOff>
      <xdr:row>934</xdr:row>
      <xdr:rowOff>1209040</xdr:rowOff>
    </xdr:to>
    <xdr:pic>
      <xdr:nvPicPr>
        <xdr:cNvPr id="5889" name="Изображение 5888" descr="resizeПП-00227662"/>
        <xdr:cNvPicPr>
          <a:picLocks noChangeAspect="1"/>
        </xdr:cNvPicPr>
      </xdr:nvPicPr>
      <xdr:blipFill>
        <a:blip xmlns:r="http://schemas.openxmlformats.org/officeDocument/2006/relationships" r:embed="rId657"/>
        <a:stretch>
          <a:fillRect/>
        </a:stretch>
      </xdr:blipFill>
      <xdr:spPr>
        <a:xfrm>
          <a:off x="7235825" y="872137575"/>
          <a:ext cx="878840" cy="1183640"/>
        </a:xfrm>
        <a:prstGeom prst="rect">
          <a:avLst/>
        </a:prstGeom>
      </xdr:spPr>
    </xdr:pic>
    <xdr:clientData/>
  </xdr:twoCellAnchor>
  <xdr:twoCellAnchor>
    <xdr:from>
      <xdr:col>9</xdr:col>
      <xdr:colOff>6350</xdr:colOff>
      <xdr:row>935</xdr:row>
      <xdr:rowOff>25400</xdr:rowOff>
    </xdr:from>
    <xdr:to>
      <xdr:col>9</xdr:col>
      <xdr:colOff>885190</xdr:colOff>
      <xdr:row>935</xdr:row>
      <xdr:rowOff>1209040</xdr:rowOff>
    </xdr:to>
    <xdr:pic>
      <xdr:nvPicPr>
        <xdr:cNvPr id="5890" name="Изображение 5889" descr="resizeПП-00227660"/>
        <xdr:cNvPicPr>
          <a:picLocks noChangeAspect="1"/>
        </xdr:cNvPicPr>
      </xdr:nvPicPr>
      <xdr:blipFill>
        <a:blip xmlns:r="http://schemas.openxmlformats.org/officeDocument/2006/relationships" r:embed="rId658"/>
        <a:stretch>
          <a:fillRect/>
        </a:stretch>
      </xdr:blipFill>
      <xdr:spPr>
        <a:xfrm>
          <a:off x="7235825" y="873359950"/>
          <a:ext cx="878840" cy="1183640"/>
        </a:xfrm>
        <a:prstGeom prst="rect">
          <a:avLst/>
        </a:prstGeom>
      </xdr:spPr>
    </xdr:pic>
    <xdr:clientData/>
  </xdr:twoCellAnchor>
  <xdr:twoCellAnchor>
    <xdr:from>
      <xdr:col>9</xdr:col>
      <xdr:colOff>6350</xdr:colOff>
      <xdr:row>936</xdr:row>
      <xdr:rowOff>25400</xdr:rowOff>
    </xdr:from>
    <xdr:to>
      <xdr:col>9</xdr:col>
      <xdr:colOff>885190</xdr:colOff>
      <xdr:row>936</xdr:row>
      <xdr:rowOff>1209040</xdr:rowOff>
    </xdr:to>
    <xdr:pic>
      <xdr:nvPicPr>
        <xdr:cNvPr id="5891" name="Изображение 5890" descr="resizeПП-00246248"/>
        <xdr:cNvPicPr>
          <a:picLocks noChangeAspect="1"/>
        </xdr:cNvPicPr>
      </xdr:nvPicPr>
      <xdr:blipFill>
        <a:blip xmlns:r="http://schemas.openxmlformats.org/officeDocument/2006/relationships" r:embed="rId659"/>
        <a:stretch>
          <a:fillRect/>
        </a:stretch>
      </xdr:blipFill>
      <xdr:spPr>
        <a:xfrm>
          <a:off x="7235825" y="874582325"/>
          <a:ext cx="878840" cy="1183640"/>
        </a:xfrm>
        <a:prstGeom prst="rect">
          <a:avLst/>
        </a:prstGeom>
      </xdr:spPr>
    </xdr:pic>
    <xdr:clientData/>
  </xdr:twoCellAnchor>
  <xdr:twoCellAnchor>
    <xdr:from>
      <xdr:col>9</xdr:col>
      <xdr:colOff>6350</xdr:colOff>
      <xdr:row>938</xdr:row>
      <xdr:rowOff>25400</xdr:rowOff>
    </xdr:from>
    <xdr:to>
      <xdr:col>9</xdr:col>
      <xdr:colOff>885190</xdr:colOff>
      <xdr:row>938</xdr:row>
      <xdr:rowOff>1209040</xdr:rowOff>
    </xdr:to>
    <xdr:pic>
      <xdr:nvPicPr>
        <xdr:cNvPr id="5892" name="Изображение 5891" descr="resizeПП-00227665"/>
        <xdr:cNvPicPr>
          <a:picLocks noChangeAspect="1"/>
        </xdr:cNvPicPr>
      </xdr:nvPicPr>
      <xdr:blipFill>
        <a:blip xmlns:r="http://schemas.openxmlformats.org/officeDocument/2006/relationships" r:embed="rId660"/>
        <a:stretch>
          <a:fillRect/>
        </a:stretch>
      </xdr:blipFill>
      <xdr:spPr>
        <a:xfrm>
          <a:off x="7235825" y="875957100"/>
          <a:ext cx="878840" cy="1183640"/>
        </a:xfrm>
        <a:prstGeom prst="rect">
          <a:avLst/>
        </a:prstGeom>
      </xdr:spPr>
    </xdr:pic>
    <xdr:clientData/>
  </xdr:twoCellAnchor>
  <xdr:twoCellAnchor>
    <xdr:from>
      <xdr:col>9</xdr:col>
      <xdr:colOff>6350</xdr:colOff>
      <xdr:row>939</xdr:row>
      <xdr:rowOff>25400</xdr:rowOff>
    </xdr:from>
    <xdr:to>
      <xdr:col>9</xdr:col>
      <xdr:colOff>885190</xdr:colOff>
      <xdr:row>939</xdr:row>
      <xdr:rowOff>1209040</xdr:rowOff>
    </xdr:to>
    <xdr:pic>
      <xdr:nvPicPr>
        <xdr:cNvPr id="5893" name="Изображение 5892" descr="resizeПП-00227666"/>
        <xdr:cNvPicPr>
          <a:picLocks noChangeAspect="1"/>
        </xdr:cNvPicPr>
      </xdr:nvPicPr>
      <xdr:blipFill>
        <a:blip xmlns:r="http://schemas.openxmlformats.org/officeDocument/2006/relationships" r:embed="rId661"/>
        <a:stretch>
          <a:fillRect/>
        </a:stretch>
      </xdr:blipFill>
      <xdr:spPr>
        <a:xfrm>
          <a:off x="7235825" y="877179475"/>
          <a:ext cx="878840" cy="1183640"/>
        </a:xfrm>
        <a:prstGeom prst="rect">
          <a:avLst/>
        </a:prstGeom>
      </xdr:spPr>
    </xdr:pic>
    <xdr:clientData/>
  </xdr:twoCellAnchor>
  <xdr:twoCellAnchor>
    <xdr:from>
      <xdr:col>9</xdr:col>
      <xdr:colOff>6350</xdr:colOff>
      <xdr:row>940</xdr:row>
      <xdr:rowOff>25400</xdr:rowOff>
    </xdr:from>
    <xdr:to>
      <xdr:col>9</xdr:col>
      <xdr:colOff>885190</xdr:colOff>
      <xdr:row>940</xdr:row>
      <xdr:rowOff>1209040</xdr:rowOff>
    </xdr:to>
    <xdr:pic>
      <xdr:nvPicPr>
        <xdr:cNvPr id="5894" name="Изображение 5893" descr="resizeПП-00227668"/>
        <xdr:cNvPicPr>
          <a:picLocks noChangeAspect="1"/>
        </xdr:cNvPicPr>
      </xdr:nvPicPr>
      <xdr:blipFill>
        <a:blip xmlns:r="http://schemas.openxmlformats.org/officeDocument/2006/relationships" r:embed="rId662"/>
        <a:stretch>
          <a:fillRect/>
        </a:stretch>
      </xdr:blipFill>
      <xdr:spPr>
        <a:xfrm>
          <a:off x="7235825" y="878401850"/>
          <a:ext cx="878840" cy="1183640"/>
        </a:xfrm>
        <a:prstGeom prst="rect">
          <a:avLst/>
        </a:prstGeom>
      </xdr:spPr>
    </xdr:pic>
    <xdr:clientData/>
  </xdr:twoCellAnchor>
  <xdr:twoCellAnchor>
    <xdr:from>
      <xdr:col>9</xdr:col>
      <xdr:colOff>6350</xdr:colOff>
      <xdr:row>941</xdr:row>
      <xdr:rowOff>25400</xdr:rowOff>
    </xdr:from>
    <xdr:to>
      <xdr:col>9</xdr:col>
      <xdr:colOff>885190</xdr:colOff>
      <xdr:row>941</xdr:row>
      <xdr:rowOff>1209040</xdr:rowOff>
    </xdr:to>
    <xdr:pic>
      <xdr:nvPicPr>
        <xdr:cNvPr id="5895" name="Изображение 5894" descr="resizeПП-00227667"/>
        <xdr:cNvPicPr>
          <a:picLocks noChangeAspect="1"/>
        </xdr:cNvPicPr>
      </xdr:nvPicPr>
      <xdr:blipFill>
        <a:blip xmlns:r="http://schemas.openxmlformats.org/officeDocument/2006/relationships" r:embed="rId663"/>
        <a:stretch>
          <a:fillRect/>
        </a:stretch>
      </xdr:blipFill>
      <xdr:spPr>
        <a:xfrm>
          <a:off x="7235825" y="879624225"/>
          <a:ext cx="878840" cy="1183640"/>
        </a:xfrm>
        <a:prstGeom prst="rect">
          <a:avLst/>
        </a:prstGeom>
      </xdr:spPr>
    </xdr:pic>
    <xdr:clientData/>
  </xdr:twoCellAnchor>
  <xdr:twoCellAnchor>
    <xdr:from>
      <xdr:col>9</xdr:col>
      <xdr:colOff>6350</xdr:colOff>
      <xdr:row>942</xdr:row>
      <xdr:rowOff>25400</xdr:rowOff>
    </xdr:from>
    <xdr:to>
      <xdr:col>9</xdr:col>
      <xdr:colOff>885190</xdr:colOff>
      <xdr:row>942</xdr:row>
      <xdr:rowOff>1209040</xdr:rowOff>
    </xdr:to>
    <xdr:pic>
      <xdr:nvPicPr>
        <xdr:cNvPr id="5896" name="Изображение 5895" descr="resizeПП-00246247"/>
        <xdr:cNvPicPr>
          <a:picLocks noChangeAspect="1"/>
        </xdr:cNvPicPr>
      </xdr:nvPicPr>
      <xdr:blipFill>
        <a:blip xmlns:r="http://schemas.openxmlformats.org/officeDocument/2006/relationships" r:embed="rId664"/>
        <a:stretch>
          <a:fillRect/>
        </a:stretch>
      </xdr:blipFill>
      <xdr:spPr>
        <a:xfrm>
          <a:off x="7235825" y="880846600"/>
          <a:ext cx="878840" cy="1183640"/>
        </a:xfrm>
        <a:prstGeom prst="rect">
          <a:avLst/>
        </a:prstGeom>
      </xdr:spPr>
    </xdr:pic>
    <xdr:clientData/>
  </xdr:twoCellAnchor>
  <xdr:twoCellAnchor>
    <xdr:from>
      <xdr:col>9</xdr:col>
      <xdr:colOff>6350</xdr:colOff>
      <xdr:row>944</xdr:row>
      <xdr:rowOff>25400</xdr:rowOff>
    </xdr:from>
    <xdr:to>
      <xdr:col>9</xdr:col>
      <xdr:colOff>885190</xdr:colOff>
      <xdr:row>944</xdr:row>
      <xdr:rowOff>1209040</xdr:rowOff>
    </xdr:to>
    <xdr:pic>
      <xdr:nvPicPr>
        <xdr:cNvPr id="5897" name="Изображение 5896" descr="resizeПП-00204221"/>
        <xdr:cNvPicPr>
          <a:picLocks noChangeAspect="1"/>
        </xdr:cNvPicPr>
      </xdr:nvPicPr>
      <xdr:blipFill>
        <a:blip xmlns:r="http://schemas.openxmlformats.org/officeDocument/2006/relationships" r:embed="rId665"/>
        <a:stretch>
          <a:fillRect/>
        </a:stretch>
      </xdr:blipFill>
      <xdr:spPr>
        <a:xfrm>
          <a:off x="7235825" y="882221375"/>
          <a:ext cx="878840" cy="1183640"/>
        </a:xfrm>
        <a:prstGeom prst="rect">
          <a:avLst/>
        </a:prstGeom>
      </xdr:spPr>
    </xdr:pic>
    <xdr:clientData/>
  </xdr:twoCellAnchor>
  <xdr:twoCellAnchor>
    <xdr:from>
      <xdr:col>9</xdr:col>
      <xdr:colOff>6350</xdr:colOff>
      <xdr:row>945</xdr:row>
      <xdr:rowOff>25400</xdr:rowOff>
    </xdr:from>
    <xdr:to>
      <xdr:col>9</xdr:col>
      <xdr:colOff>885190</xdr:colOff>
      <xdr:row>945</xdr:row>
      <xdr:rowOff>1209040</xdr:rowOff>
    </xdr:to>
    <xdr:pic>
      <xdr:nvPicPr>
        <xdr:cNvPr id="5898" name="Изображение 5897" descr="resizeПП-00204220"/>
        <xdr:cNvPicPr>
          <a:picLocks noChangeAspect="1"/>
        </xdr:cNvPicPr>
      </xdr:nvPicPr>
      <xdr:blipFill>
        <a:blip xmlns:r="http://schemas.openxmlformats.org/officeDocument/2006/relationships" r:embed="rId666"/>
        <a:stretch>
          <a:fillRect/>
        </a:stretch>
      </xdr:blipFill>
      <xdr:spPr>
        <a:xfrm>
          <a:off x="7235825" y="883443750"/>
          <a:ext cx="878840" cy="1183640"/>
        </a:xfrm>
        <a:prstGeom prst="rect">
          <a:avLst/>
        </a:prstGeom>
      </xdr:spPr>
    </xdr:pic>
    <xdr:clientData/>
  </xdr:twoCellAnchor>
  <xdr:twoCellAnchor>
    <xdr:from>
      <xdr:col>9</xdr:col>
      <xdr:colOff>6350</xdr:colOff>
      <xdr:row>947</xdr:row>
      <xdr:rowOff>25400</xdr:rowOff>
    </xdr:from>
    <xdr:to>
      <xdr:col>9</xdr:col>
      <xdr:colOff>885190</xdr:colOff>
      <xdr:row>947</xdr:row>
      <xdr:rowOff>1209040</xdr:rowOff>
    </xdr:to>
    <xdr:pic>
      <xdr:nvPicPr>
        <xdr:cNvPr id="5899" name="Изображение 5898" descr="resizeПП-00204258"/>
        <xdr:cNvPicPr>
          <a:picLocks noChangeAspect="1"/>
        </xdr:cNvPicPr>
      </xdr:nvPicPr>
      <xdr:blipFill>
        <a:blip xmlns:r="http://schemas.openxmlformats.org/officeDocument/2006/relationships" r:embed="rId667"/>
        <a:stretch>
          <a:fillRect/>
        </a:stretch>
      </xdr:blipFill>
      <xdr:spPr>
        <a:xfrm>
          <a:off x="7235825" y="884818525"/>
          <a:ext cx="878840" cy="1183640"/>
        </a:xfrm>
        <a:prstGeom prst="rect">
          <a:avLst/>
        </a:prstGeom>
      </xdr:spPr>
    </xdr:pic>
    <xdr:clientData/>
  </xdr:twoCellAnchor>
  <xdr:twoCellAnchor>
    <xdr:from>
      <xdr:col>9</xdr:col>
      <xdr:colOff>6350</xdr:colOff>
      <xdr:row>948</xdr:row>
      <xdr:rowOff>25400</xdr:rowOff>
    </xdr:from>
    <xdr:to>
      <xdr:col>9</xdr:col>
      <xdr:colOff>885190</xdr:colOff>
      <xdr:row>948</xdr:row>
      <xdr:rowOff>1209040</xdr:rowOff>
    </xdr:to>
    <xdr:pic>
      <xdr:nvPicPr>
        <xdr:cNvPr id="5900" name="Изображение 5899" descr="resizeПП-00204255"/>
        <xdr:cNvPicPr>
          <a:picLocks noChangeAspect="1"/>
        </xdr:cNvPicPr>
      </xdr:nvPicPr>
      <xdr:blipFill>
        <a:blip xmlns:r="http://schemas.openxmlformats.org/officeDocument/2006/relationships" r:embed="rId668"/>
        <a:stretch>
          <a:fillRect/>
        </a:stretch>
      </xdr:blipFill>
      <xdr:spPr>
        <a:xfrm>
          <a:off x="7235825" y="886040900"/>
          <a:ext cx="878840" cy="1183640"/>
        </a:xfrm>
        <a:prstGeom prst="rect">
          <a:avLst/>
        </a:prstGeom>
      </xdr:spPr>
    </xdr:pic>
    <xdr:clientData/>
  </xdr:twoCellAnchor>
  <xdr:twoCellAnchor>
    <xdr:from>
      <xdr:col>9</xdr:col>
      <xdr:colOff>6350</xdr:colOff>
      <xdr:row>949</xdr:row>
      <xdr:rowOff>25400</xdr:rowOff>
    </xdr:from>
    <xdr:to>
      <xdr:col>9</xdr:col>
      <xdr:colOff>885190</xdr:colOff>
      <xdr:row>949</xdr:row>
      <xdr:rowOff>1209040</xdr:rowOff>
    </xdr:to>
    <xdr:pic>
      <xdr:nvPicPr>
        <xdr:cNvPr id="5901" name="Изображение 5900" descr="resizeПП-00204256"/>
        <xdr:cNvPicPr>
          <a:picLocks noChangeAspect="1"/>
        </xdr:cNvPicPr>
      </xdr:nvPicPr>
      <xdr:blipFill>
        <a:blip xmlns:r="http://schemas.openxmlformats.org/officeDocument/2006/relationships" r:embed="rId669"/>
        <a:stretch>
          <a:fillRect/>
        </a:stretch>
      </xdr:blipFill>
      <xdr:spPr>
        <a:xfrm>
          <a:off x="7235825" y="887263275"/>
          <a:ext cx="878840" cy="1183640"/>
        </a:xfrm>
        <a:prstGeom prst="rect">
          <a:avLst/>
        </a:prstGeom>
      </xdr:spPr>
    </xdr:pic>
    <xdr:clientData/>
  </xdr:twoCellAnchor>
  <xdr:twoCellAnchor>
    <xdr:from>
      <xdr:col>9</xdr:col>
      <xdr:colOff>6350</xdr:colOff>
      <xdr:row>950</xdr:row>
      <xdr:rowOff>25400</xdr:rowOff>
    </xdr:from>
    <xdr:to>
      <xdr:col>9</xdr:col>
      <xdr:colOff>885190</xdr:colOff>
      <xdr:row>950</xdr:row>
      <xdr:rowOff>1209040</xdr:rowOff>
    </xdr:to>
    <xdr:pic>
      <xdr:nvPicPr>
        <xdr:cNvPr id="5902" name="Изображение 5901" descr="resizeПП-00204231"/>
        <xdr:cNvPicPr>
          <a:picLocks noChangeAspect="1"/>
        </xdr:cNvPicPr>
      </xdr:nvPicPr>
      <xdr:blipFill>
        <a:blip xmlns:r="http://schemas.openxmlformats.org/officeDocument/2006/relationships" r:embed="rId670"/>
        <a:stretch>
          <a:fillRect/>
        </a:stretch>
      </xdr:blipFill>
      <xdr:spPr>
        <a:xfrm>
          <a:off x="7235825" y="888485650"/>
          <a:ext cx="878840" cy="1183640"/>
        </a:xfrm>
        <a:prstGeom prst="rect">
          <a:avLst/>
        </a:prstGeom>
      </xdr:spPr>
    </xdr:pic>
    <xdr:clientData/>
  </xdr:twoCellAnchor>
  <xdr:twoCellAnchor>
    <xdr:from>
      <xdr:col>9</xdr:col>
      <xdr:colOff>6350</xdr:colOff>
      <xdr:row>952</xdr:row>
      <xdr:rowOff>25400</xdr:rowOff>
    </xdr:from>
    <xdr:to>
      <xdr:col>9</xdr:col>
      <xdr:colOff>885190</xdr:colOff>
      <xdr:row>952</xdr:row>
      <xdr:rowOff>1209040</xdr:rowOff>
    </xdr:to>
    <xdr:pic>
      <xdr:nvPicPr>
        <xdr:cNvPr id="5903" name="Изображение 5902" descr="resizeПП-00227709"/>
        <xdr:cNvPicPr>
          <a:picLocks noChangeAspect="1"/>
        </xdr:cNvPicPr>
      </xdr:nvPicPr>
      <xdr:blipFill>
        <a:blip xmlns:r="http://schemas.openxmlformats.org/officeDocument/2006/relationships" r:embed="rId671"/>
        <a:stretch>
          <a:fillRect/>
        </a:stretch>
      </xdr:blipFill>
      <xdr:spPr>
        <a:xfrm>
          <a:off x="7235825" y="889860425"/>
          <a:ext cx="878840" cy="1183640"/>
        </a:xfrm>
        <a:prstGeom prst="rect">
          <a:avLst/>
        </a:prstGeom>
      </xdr:spPr>
    </xdr:pic>
    <xdr:clientData/>
  </xdr:twoCellAnchor>
  <xdr:twoCellAnchor>
    <xdr:from>
      <xdr:col>9</xdr:col>
      <xdr:colOff>6350</xdr:colOff>
      <xdr:row>953</xdr:row>
      <xdr:rowOff>25400</xdr:rowOff>
    </xdr:from>
    <xdr:to>
      <xdr:col>9</xdr:col>
      <xdr:colOff>885190</xdr:colOff>
      <xdr:row>953</xdr:row>
      <xdr:rowOff>1209040</xdr:rowOff>
    </xdr:to>
    <xdr:pic>
      <xdr:nvPicPr>
        <xdr:cNvPr id="5904" name="Изображение 5903" descr="resizeПП-00227706"/>
        <xdr:cNvPicPr>
          <a:picLocks noChangeAspect="1"/>
        </xdr:cNvPicPr>
      </xdr:nvPicPr>
      <xdr:blipFill>
        <a:blip xmlns:r="http://schemas.openxmlformats.org/officeDocument/2006/relationships" r:embed="rId672"/>
        <a:stretch>
          <a:fillRect/>
        </a:stretch>
      </xdr:blipFill>
      <xdr:spPr>
        <a:xfrm>
          <a:off x="7235825" y="891082800"/>
          <a:ext cx="878840" cy="1183640"/>
        </a:xfrm>
        <a:prstGeom prst="rect">
          <a:avLst/>
        </a:prstGeom>
      </xdr:spPr>
    </xdr:pic>
    <xdr:clientData/>
  </xdr:twoCellAnchor>
  <xdr:twoCellAnchor>
    <xdr:from>
      <xdr:col>9</xdr:col>
      <xdr:colOff>6350</xdr:colOff>
      <xdr:row>954</xdr:row>
      <xdr:rowOff>25400</xdr:rowOff>
    </xdr:from>
    <xdr:to>
      <xdr:col>9</xdr:col>
      <xdr:colOff>885190</xdr:colOff>
      <xdr:row>954</xdr:row>
      <xdr:rowOff>1209040</xdr:rowOff>
    </xdr:to>
    <xdr:pic>
      <xdr:nvPicPr>
        <xdr:cNvPr id="5905" name="Изображение 5904" descr="resizeПП-00227708"/>
        <xdr:cNvPicPr>
          <a:picLocks noChangeAspect="1"/>
        </xdr:cNvPicPr>
      </xdr:nvPicPr>
      <xdr:blipFill>
        <a:blip xmlns:r="http://schemas.openxmlformats.org/officeDocument/2006/relationships" r:embed="rId673"/>
        <a:stretch>
          <a:fillRect/>
        </a:stretch>
      </xdr:blipFill>
      <xdr:spPr>
        <a:xfrm>
          <a:off x="7235825" y="892305175"/>
          <a:ext cx="878840" cy="1183640"/>
        </a:xfrm>
        <a:prstGeom prst="rect">
          <a:avLst/>
        </a:prstGeom>
      </xdr:spPr>
    </xdr:pic>
    <xdr:clientData/>
  </xdr:twoCellAnchor>
  <xdr:twoCellAnchor>
    <xdr:from>
      <xdr:col>9</xdr:col>
      <xdr:colOff>6350</xdr:colOff>
      <xdr:row>955</xdr:row>
      <xdr:rowOff>25400</xdr:rowOff>
    </xdr:from>
    <xdr:to>
      <xdr:col>9</xdr:col>
      <xdr:colOff>885190</xdr:colOff>
      <xdr:row>955</xdr:row>
      <xdr:rowOff>1209040</xdr:rowOff>
    </xdr:to>
    <xdr:pic>
      <xdr:nvPicPr>
        <xdr:cNvPr id="5906" name="Изображение 5905" descr="resizeПП-00227705"/>
        <xdr:cNvPicPr>
          <a:picLocks noChangeAspect="1"/>
        </xdr:cNvPicPr>
      </xdr:nvPicPr>
      <xdr:blipFill>
        <a:blip xmlns:r="http://schemas.openxmlformats.org/officeDocument/2006/relationships" r:embed="rId674"/>
        <a:stretch>
          <a:fillRect/>
        </a:stretch>
      </xdr:blipFill>
      <xdr:spPr>
        <a:xfrm>
          <a:off x="7235825" y="893527550"/>
          <a:ext cx="878840" cy="1183640"/>
        </a:xfrm>
        <a:prstGeom prst="rect">
          <a:avLst/>
        </a:prstGeom>
      </xdr:spPr>
    </xdr:pic>
    <xdr:clientData/>
  </xdr:twoCellAnchor>
  <xdr:twoCellAnchor>
    <xdr:from>
      <xdr:col>9</xdr:col>
      <xdr:colOff>6350</xdr:colOff>
      <xdr:row>957</xdr:row>
      <xdr:rowOff>25400</xdr:rowOff>
    </xdr:from>
    <xdr:to>
      <xdr:col>9</xdr:col>
      <xdr:colOff>885190</xdr:colOff>
      <xdr:row>957</xdr:row>
      <xdr:rowOff>1209040</xdr:rowOff>
    </xdr:to>
    <xdr:pic>
      <xdr:nvPicPr>
        <xdr:cNvPr id="5907" name="Изображение 5906" descr="resizeПП-00227628"/>
        <xdr:cNvPicPr>
          <a:picLocks noChangeAspect="1"/>
        </xdr:cNvPicPr>
      </xdr:nvPicPr>
      <xdr:blipFill>
        <a:blip xmlns:r="http://schemas.openxmlformats.org/officeDocument/2006/relationships" r:embed="rId675"/>
        <a:stretch>
          <a:fillRect/>
        </a:stretch>
      </xdr:blipFill>
      <xdr:spPr>
        <a:xfrm>
          <a:off x="7235825" y="894902325"/>
          <a:ext cx="878840" cy="1183640"/>
        </a:xfrm>
        <a:prstGeom prst="rect">
          <a:avLst/>
        </a:prstGeom>
      </xdr:spPr>
    </xdr:pic>
    <xdr:clientData/>
  </xdr:twoCellAnchor>
  <xdr:twoCellAnchor>
    <xdr:from>
      <xdr:col>9</xdr:col>
      <xdr:colOff>6350</xdr:colOff>
      <xdr:row>958</xdr:row>
      <xdr:rowOff>25400</xdr:rowOff>
    </xdr:from>
    <xdr:to>
      <xdr:col>9</xdr:col>
      <xdr:colOff>885190</xdr:colOff>
      <xdr:row>958</xdr:row>
      <xdr:rowOff>1209040</xdr:rowOff>
    </xdr:to>
    <xdr:pic>
      <xdr:nvPicPr>
        <xdr:cNvPr id="5908" name="Изображение 5907" descr="resizeПП-00227631"/>
        <xdr:cNvPicPr>
          <a:picLocks noChangeAspect="1"/>
        </xdr:cNvPicPr>
      </xdr:nvPicPr>
      <xdr:blipFill>
        <a:blip xmlns:r="http://schemas.openxmlformats.org/officeDocument/2006/relationships" r:embed="rId676"/>
        <a:stretch>
          <a:fillRect/>
        </a:stretch>
      </xdr:blipFill>
      <xdr:spPr>
        <a:xfrm>
          <a:off x="7235825" y="896124700"/>
          <a:ext cx="878840" cy="1183640"/>
        </a:xfrm>
        <a:prstGeom prst="rect">
          <a:avLst/>
        </a:prstGeom>
      </xdr:spPr>
    </xdr:pic>
    <xdr:clientData/>
  </xdr:twoCellAnchor>
  <xdr:twoCellAnchor>
    <xdr:from>
      <xdr:col>9</xdr:col>
      <xdr:colOff>6350</xdr:colOff>
      <xdr:row>959</xdr:row>
      <xdr:rowOff>25400</xdr:rowOff>
    </xdr:from>
    <xdr:to>
      <xdr:col>9</xdr:col>
      <xdr:colOff>885190</xdr:colOff>
      <xdr:row>959</xdr:row>
      <xdr:rowOff>1209040</xdr:rowOff>
    </xdr:to>
    <xdr:pic>
      <xdr:nvPicPr>
        <xdr:cNvPr id="5909" name="Изображение 5908" descr="resizeПП-00227630"/>
        <xdr:cNvPicPr>
          <a:picLocks noChangeAspect="1"/>
        </xdr:cNvPicPr>
      </xdr:nvPicPr>
      <xdr:blipFill>
        <a:blip xmlns:r="http://schemas.openxmlformats.org/officeDocument/2006/relationships" r:embed="rId677"/>
        <a:stretch>
          <a:fillRect/>
        </a:stretch>
      </xdr:blipFill>
      <xdr:spPr>
        <a:xfrm>
          <a:off x="7235825" y="897347075"/>
          <a:ext cx="878840" cy="1183640"/>
        </a:xfrm>
        <a:prstGeom prst="rect">
          <a:avLst/>
        </a:prstGeom>
      </xdr:spPr>
    </xdr:pic>
    <xdr:clientData/>
  </xdr:twoCellAnchor>
  <xdr:twoCellAnchor>
    <xdr:from>
      <xdr:col>9</xdr:col>
      <xdr:colOff>6350</xdr:colOff>
      <xdr:row>960</xdr:row>
      <xdr:rowOff>25400</xdr:rowOff>
    </xdr:from>
    <xdr:to>
      <xdr:col>9</xdr:col>
      <xdr:colOff>885190</xdr:colOff>
      <xdr:row>960</xdr:row>
      <xdr:rowOff>1209040</xdr:rowOff>
    </xdr:to>
    <xdr:pic>
      <xdr:nvPicPr>
        <xdr:cNvPr id="5910" name="Изображение 5909" descr="resizeПП-00227629"/>
        <xdr:cNvPicPr>
          <a:picLocks noChangeAspect="1"/>
        </xdr:cNvPicPr>
      </xdr:nvPicPr>
      <xdr:blipFill>
        <a:blip xmlns:r="http://schemas.openxmlformats.org/officeDocument/2006/relationships" r:embed="rId678"/>
        <a:stretch>
          <a:fillRect/>
        </a:stretch>
      </xdr:blipFill>
      <xdr:spPr>
        <a:xfrm>
          <a:off x="7235825" y="898569450"/>
          <a:ext cx="878840" cy="1183640"/>
        </a:xfrm>
        <a:prstGeom prst="rect">
          <a:avLst/>
        </a:prstGeom>
      </xdr:spPr>
    </xdr:pic>
    <xdr:clientData/>
  </xdr:twoCellAnchor>
  <xdr:twoCellAnchor>
    <xdr:from>
      <xdr:col>9</xdr:col>
      <xdr:colOff>6350</xdr:colOff>
      <xdr:row>961</xdr:row>
      <xdr:rowOff>25400</xdr:rowOff>
    </xdr:from>
    <xdr:to>
      <xdr:col>9</xdr:col>
      <xdr:colOff>885190</xdr:colOff>
      <xdr:row>961</xdr:row>
      <xdr:rowOff>1209040</xdr:rowOff>
    </xdr:to>
    <xdr:pic>
      <xdr:nvPicPr>
        <xdr:cNvPr id="5911" name="Изображение 5910" descr="resizeПП-00246244"/>
        <xdr:cNvPicPr>
          <a:picLocks noChangeAspect="1"/>
        </xdr:cNvPicPr>
      </xdr:nvPicPr>
      <xdr:blipFill>
        <a:blip xmlns:r="http://schemas.openxmlformats.org/officeDocument/2006/relationships" r:embed="rId679"/>
        <a:stretch>
          <a:fillRect/>
        </a:stretch>
      </xdr:blipFill>
      <xdr:spPr>
        <a:xfrm>
          <a:off x="7235825" y="899791825"/>
          <a:ext cx="878840" cy="1183640"/>
        </a:xfrm>
        <a:prstGeom prst="rect">
          <a:avLst/>
        </a:prstGeom>
      </xdr:spPr>
    </xdr:pic>
    <xdr:clientData/>
  </xdr:twoCellAnchor>
  <xdr:twoCellAnchor>
    <xdr:from>
      <xdr:col>9</xdr:col>
      <xdr:colOff>6350</xdr:colOff>
      <xdr:row>963</xdr:row>
      <xdr:rowOff>25400</xdr:rowOff>
    </xdr:from>
    <xdr:to>
      <xdr:col>9</xdr:col>
      <xdr:colOff>885190</xdr:colOff>
      <xdr:row>963</xdr:row>
      <xdr:rowOff>1209040</xdr:rowOff>
    </xdr:to>
    <xdr:pic>
      <xdr:nvPicPr>
        <xdr:cNvPr id="5912" name="Изображение 5911" descr="resizeПП-00227634"/>
        <xdr:cNvPicPr>
          <a:picLocks noChangeAspect="1"/>
        </xdr:cNvPicPr>
      </xdr:nvPicPr>
      <xdr:blipFill>
        <a:blip xmlns:r="http://schemas.openxmlformats.org/officeDocument/2006/relationships" r:embed="rId680"/>
        <a:stretch>
          <a:fillRect/>
        </a:stretch>
      </xdr:blipFill>
      <xdr:spPr>
        <a:xfrm>
          <a:off x="7235825" y="901166600"/>
          <a:ext cx="878840" cy="1183640"/>
        </a:xfrm>
        <a:prstGeom prst="rect">
          <a:avLst/>
        </a:prstGeom>
      </xdr:spPr>
    </xdr:pic>
    <xdr:clientData/>
  </xdr:twoCellAnchor>
  <xdr:twoCellAnchor>
    <xdr:from>
      <xdr:col>9</xdr:col>
      <xdr:colOff>6350</xdr:colOff>
      <xdr:row>964</xdr:row>
      <xdr:rowOff>25400</xdr:rowOff>
    </xdr:from>
    <xdr:to>
      <xdr:col>9</xdr:col>
      <xdr:colOff>885190</xdr:colOff>
      <xdr:row>964</xdr:row>
      <xdr:rowOff>1209040</xdr:rowOff>
    </xdr:to>
    <xdr:pic>
      <xdr:nvPicPr>
        <xdr:cNvPr id="5913" name="Изображение 5912" descr="resizeПП-00227635"/>
        <xdr:cNvPicPr>
          <a:picLocks noChangeAspect="1"/>
        </xdr:cNvPicPr>
      </xdr:nvPicPr>
      <xdr:blipFill>
        <a:blip xmlns:r="http://schemas.openxmlformats.org/officeDocument/2006/relationships" r:embed="rId681"/>
        <a:stretch>
          <a:fillRect/>
        </a:stretch>
      </xdr:blipFill>
      <xdr:spPr>
        <a:xfrm>
          <a:off x="7235825" y="902388975"/>
          <a:ext cx="878840" cy="1183640"/>
        </a:xfrm>
        <a:prstGeom prst="rect">
          <a:avLst/>
        </a:prstGeom>
      </xdr:spPr>
    </xdr:pic>
    <xdr:clientData/>
  </xdr:twoCellAnchor>
  <xdr:twoCellAnchor>
    <xdr:from>
      <xdr:col>9</xdr:col>
      <xdr:colOff>6350</xdr:colOff>
      <xdr:row>965</xdr:row>
      <xdr:rowOff>25400</xdr:rowOff>
    </xdr:from>
    <xdr:to>
      <xdr:col>9</xdr:col>
      <xdr:colOff>885190</xdr:colOff>
      <xdr:row>965</xdr:row>
      <xdr:rowOff>1209040</xdr:rowOff>
    </xdr:to>
    <xdr:pic>
      <xdr:nvPicPr>
        <xdr:cNvPr id="5914" name="Изображение 5913" descr="resizeПП-00227633"/>
        <xdr:cNvPicPr>
          <a:picLocks noChangeAspect="1"/>
        </xdr:cNvPicPr>
      </xdr:nvPicPr>
      <xdr:blipFill>
        <a:blip xmlns:r="http://schemas.openxmlformats.org/officeDocument/2006/relationships" r:embed="rId682"/>
        <a:stretch>
          <a:fillRect/>
        </a:stretch>
      </xdr:blipFill>
      <xdr:spPr>
        <a:xfrm>
          <a:off x="7235825" y="903611350"/>
          <a:ext cx="878840" cy="1183640"/>
        </a:xfrm>
        <a:prstGeom prst="rect">
          <a:avLst/>
        </a:prstGeom>
      </xdr:spPr>
    </xdr:pic>
    <xdr:clientData/>
  </xdr:twoCellAnchor>
  <xdr:twoCellAnchor>
    <xdr:from>
      <xdr:col>9</xdr:col>
      <xdr:colOff>6350</xdr:colOff>
      <xdr:row>966</xdr:row>
      <xdr:rowOff>25400</xdr:rowOff>
    </xdr:from>
    <xdr:to>
      <xdr:col>9</xdr:col>
      <xdr:colOff>885190</xdr:colOff>
      <xdr:row>966</xdr:row>
      <xdr:rowOff>1209040</xdr:rowOff>
    </xdr:to>
    <xdr:pic>
      <xdr:nvPicPr>
        <xdr:cNvPr id="5915" name="Изображение 5914" descr="resizeПП-00227636"/>
        <xdr:cNvPicPr>
          <a:picLocks noChangeAspect="1"/>
        </xdr:cNvPicPr>
      </xdr:nvPicPr>
      <xdr:blipFill>
        <a:blip xmlns:r="http://schemas.openxmlformats.org/officeDocument/2006/relationships" r:embed="rId683"/>
        <a:stretch>
          <a:fillRect/>
        </a:stretch>
      </xdr:blipFill>
      <xdr:spPr>
        <a:xfrm>
          <a:off x="7235825" y="904833725"/>
          <a:ext cx="878840" cy="1183640"/>
        </a:xfrm>
        <a:prstGeom prst="rect">
          <a:avLst/>
        </a:prstGeom>
      </xdr:spPr>
    </xdr:pic>
    <xdr:clientData/>
  </xdr:twoCellAnchor>
  <xdr:twoCellAnchor>
    <xdr:from>
      <xdr:col>9</xdr:col>
      <xdr:colOff>6350</xdr:colOff>
      <xdr:row>968</xdr:row>
      <xdr:rowOff>25400</xdr:rowOff>
    </xdr:from>
    <xdr:to>
      <xdr:col>9</xdr:col>
      <xdr:colOff>885190</xdr:colOff>
      <xdr:row>968</xdr:row>
      <xdr:rowOff>1209040</xdr:rowOff>
    </xdr:to>
    <xdr:pic>
      <xdr:nvPicPr>
        <xdr:cNvPr id="5916" name="Изображение 5915" descr="resizeПП-00227657"/>
        <xdr:cNvPicPr>
          <a:picLocks noChangeAspect="1"/>
        </xdr:cNvPicPr>
      </xdr:nvPicPr>
      <xdr:blipFill>
        <a:blip xmlns:r="http://schemas.openxmlformats.org/officeDocument/2006/relationships" r:embed="rId684"/>
        <a:stretch>
          <a:fillRect/>
        </a:stretch>
      </xdr:blipFill>
      <xdr:spPr>
        <a:xfrm>
          <a:off x="7235825" y="906208500"/>
          <a:ext cx="878840" cy="1183640"/>
        </a:xfrm>
        <a:prstGeom prst="rect">
          <a:avLst/>
        </a:prstGeom>
      </xdr:spPr>
    </xdr:pic>
    <xdr:clientData/>
  </xdr:twoCellAnchor>
  <xdr:twoCellAnchor>
    <xdr:from>
      <xdr:col>9</xdr:col>
      <xdr:colOff>6350</xdr:colOff>
      <xdr:row>969</xdr:row>
      <xdr:rowOff>25400</xdr:rowOff>
    </xdr:from>
    <xdr:to>
      <xdr:col>9</xdr:col>
      <xdr:colOff>885190</xdr:colOff>
      <xdr:row>969</xdr:row>
      <xdr:rowOff>1209040</xdr:rowOff>
    </xdr:to>
    <xdr:pic>
      <xdr:nvPicPr>
        <xdr:cNvPr id="5917" name="Изображение 5916" descr="resizeПП-00227654"/>
        <xdr:cNvPicPr>
          <a:picLocks noChangeAspect="1"/>
        </xdr:cNvPicPr>
      </xdr:nvPicPr>
      <xdr:blipFill>
        <a:blip xmlns:r="http://schemas.openxmlformats.org/officeDocument/2006/relationships" r:embed="rId685"/>
        <a:stretch>
          <a:fillRect/>
        </a:stretch>
      </xdr:blipFill>
      <xdr:spPr>
        <a:xfrm>
          <a:off x="7235825" y="907430875"/>
          <a:ext cx="878840" cy="1183640"/>
        </a:xfrm>
        <a:prstGeom prst="rect">
          <a:avLst/>
        </a:prstGeom>
      </xdr:spPr>
    </xdr:pic>
    <xdr:clientData/>
  </xdr:twoCellAnchor>
  <xdr:twoCellAnchor>
    <xdr:from>
      <xdr:col>9</xdr:col>
      <xdr:colOff>6350</xdr:colOff>
      <xdr:row>970</xdr:row>
      <xdr:rowOff>25400</xdr:rowOff>
    </xdr:from>
    <xdr:to>
      <xdr:col>9</xdr:col>
      <xdr:colOff>885190</xdr:colOff>
      <xdr:row>970</xdr:row>
      <xdr:rowOff>1209040</xdr:rowOff>
    </xdr:to>
    <xdr:pic>
      <xdr:nvPicPr>
        <xdr:cNvPr id="5918" name="Изображение 5917" descr="resizeПП-00227656"/>
        <xdr:cNvPicPr>
          <a:picLocks noChangeAspect="1"/>
        </xdr:cNvPicPr>
      </xdr:nvPicPr>
      <xdr:blipFill>
        <a:blip xmlns:r="http://schemas.openxmlformats.org/officeDocument/2006/relationships" r:embed="rId686"/>
        <a:stretch>
          <a:fillRect/>
        </a:stretch>
      </xdr:blipFill>
      <xdr:spPr>
        <a:xfrm>
          <a:off x="7235825" y="908653250"/>
          <a:ext cx="878840" cy="1183640"/>
        </a:xfrm>
        <a:prstGeom prst="rect">
          <a:avLst/>
        </a:prstGeom>
      </xdr:spPr>
    </xdr:pic>
    <xdr:clientData/>
  </xdr:twoCellAnchor>
  <xdr:twoCellAnchor>
    <xdr:from>
      <xdr:col>9</xdr:col>
      <xdr:colOff>6350</xdr:colOff>
      <xdr:row>971</xdr:row>
      <xdr:rowOff>25400</xdr:rowOff>
    </xdr:from>
    <xdr:to>
      <xdr:col>9</xdr:col>
      <xdr:colOff>885190</xdr:colOff>
      <xdr:row>971</xdr:row>
      <xdr:rowOff>1209040</xdr:rowOff>
    </xdr:to>
    <xdr:pic>
      <xdr:nvPicPr>
        <xdr:cNvPr id="5919" name="Изображение 5918" descr="resizeПП-00227658"/>
        <xdr:cNvPicPr>
          <a:picLocks noChangeAspect="1"/>
        </xdr:cNvPicPr>
      </xdr:nvPicPr>
      <xdr:blipFill>
        <a:blip xmlns:r="http://schemas.openxmlformats.org/officeDocument/2006/relationships" r:embed="rId687"/>
        <a:stretch>
          <a:fillRect/>
        </a:stretch>
      </xdr:blipFill>
      <xdr:spPr>
        <a:xfrm>
          <a:off x="7235825" y="909875625"/>
          <a:ext cx="878840" cy="1183640"/>
        </a:xfrm>
        <a:prstGeom prst="rect">
          <a:avLst/>
        </a:prstGeom>
      </xdr:spPr>
    </xdr:pic>
    <xdr:clientData/>
  </xdr:twoCellAnchor>
  <xdr:twoCellAnchor>
    <xdr:from>
      <xdr:col>9</xdr:col>
      <xdr:colOff>6350</xdr:colOff>
      <xdr:row>972</xdr:row>
      <xdr:rowOff>25400</xdr:rowOff>
    </xdr:from>
    <xdr:to>
      <xdr:col>9</xdr:col>
      <xdr:colOff>885190</xdr:colOff>
      <xdr:row>972</xdr:row>
      <xdr:rowOff>1209040</xdr:rowOff>
    </xdr:to>
    <xdr:pic>
      <xdr:nvPicPr>
        <xdr:cNvPr id="5920" name="Изображение 5919" descr="resizeПП-00246241"/>
        <xdr:cNvPicPr>
          <a:picLocks noChangeAspect="1"/>
        </xdr:cNvPicPr>
      </xdr:nvPicPr>
      <xdr:blipFill>
        <a:blip xmlns:r="http://schemas.openxmlformats.org/officeDocument/2006/relationships" r:embed="rId688"/>
        <a:stretch>
          <a:fillRect/>
        </a:stretch>
      </xdr:blipFill>
      <xdr:spPr>
        <a:xfrm>
          <a:off x="7235825" y="911098000"/>
          <a:ext cx="878840" cy="1183640"/>
        </a:xfrm>
        <a:prstGeom prst="rect">
          <a:avLst/>
        </a:prstGeom>
      </xdr:spPr>
    </xdr:pic>
    <xdr:clientData/>
  </xdr:twoCellAnchor>
  <xdr:twoCellAnchor>
    <xdr:from>
      <xdr:col>9</xdr:col>
      <xdr:colOff>6350</xdr:colOff>
      <xdr:row>974</xdr:row>
      <xdr:rowOff>25400</xdr:rowOff>
    </xdr:from>
    <xdr:to>
      <xdr:col>9</xdr:col>
      <xdr:colOff>885190</xdr:colOff>
      <xdr:row>974</xdr:row>
      <xdr:rowOff>1209040</xdr:rowOff>
    </xdr:to>
    <xdr:pic>
      <xdr:nvPicPr>
        <xdr:cNvPr id="5921" name="Изображение 5920" descr="resizeПП-00227702"/>
        <xdr:cNvPicPr>
          <a:picLocks noChangeAspect="1"/>
        </xdr:cNvPicPr>
      </xdr:nvPicPr>
      <xdr:blipFill>
        <a:blip xmlns:r="http://schemas.openxmlformats.org/officeDocument/2006/relationships" r:embed="rId689"/>
        <a:stretch>
          <a:fillRect/>
        </a:stretch>
      </xdr:blipFill>
      <xdr:spPr>
        <a:xfrm>
          <a:off x="7235825" y="912472775"/>
          <a:ext cx="878840" cy="1183640"/>
        </a:xfrm>
        <a:prstGeom prst="rect">
          <a:avLst/>
        </a:prstGeom>
      </xdr:spPr>
    </xdr:pic>
    <xdr:clientData/>
  </xdr:twoCellAnchor>
  <xdr:twoCellAnchor>
    <xdr:from>
      <xdr:col>9</xdr:col>
      <xdr:colOff>6350</xdr:colOff>
      <xdr:row>975</xdr:row>
      <xdr:rowOff>25400</xdr:rowOff>
    </xdr:from>
    <xdr:to>
      <xdr:col>9</xdr:col>
      <xdr:colOff>885190</xdr:colOff>
      <xdr:row>975</xdr:row>
      <xdr:rowOff>1209040</xdr:rowOff>
    </xdr:to>
    <xdr:pic>
      <xdr:nvPicPr>
        <xdr:cNvPr id="5922" name="Изображение 5921" descr="resizeПП-00227700"/>
        <xdr:cNvPicPr>
          <a:picLocks noChangeAspect="1"/>
        </xdr:cNvPicPr>
      </xdr:nvPicPr>
      <xdr:blipFill>
        <a:blip xmlns:r="http://schemas.openxmlformats.org/officeDocument/2006/relationships" r:embed="rId690"/>
        <a:stretch>
          <a:fillRect/>
        </a:stretch>
      </xdr:blipFill>
      <xdr:spPr>
        <a:xfrm>
          <a:off x="7235825" y="913695150"/>
          <a:ext cx="878840" cy="1183640"/>
        </a:xfrm>
        <a:prstGeom prst="rect">
          <a:avLst/>
        </a:prstGeom>
      </xdr:spPr>
    </xdr:pic>
    <xdr:clientData/>
  </xdr:twoCellAnchor>
  <xdr:twoCellAnchor>
    <xdr:from>
      <xdr:col>9</xdr:col>
      <xdr:colOff>6350</xdr:colOff>
      <xdr:row>976</xdr:row>
      <xdr:rowOff>25400</xdr:rowOff>
    </xdr:from>
    <xdr:to>
      <xdr:col>9</xdr:col>
      <xdr:colOff>885190</xdr:colOff>
      <xdr:row>976</xdr:row>
      <xdr:rowOff>1209040</xdr:rowOff>
    </xdr:to>
    <xdr:pic>
      <xdr:nvPicPr>
        <xdr:cNvPr id="5923" name="Изображение 5922" descr="resizeПП-00227701"/>
        <xdr:cNvPicPr>
          <a:picLocks noChangeAspect="1"/>
        </xdr:cNvPicPr>
      </xdr:nvPicPr>
      <xdr:blipFill>
        <a:blip xmlns:r="http://schemas.openxmlformats.org/officeDocument/2006/relationships" r:embed="rId691"/>
        <a:stretch>
          <a:fillRect/>
        </a:stretch>
      </xdr:blipFill>
      <xdr:spPr>
        <a:xfrm>
          <a:off x="7235825" y="914917525"/>
          <a:ext cx="878840" cy="1183640"/>
        </a:xfrm>
        <a:prstGeom prst="rect">
          <a:avLst/>
        </a:prstGeom>
      </xdr:spPr>
    </xdr:pic>
    <xdr:clientData/>
  </xdr:twoCellAnchor>
  <xdr:twoCellAnchor>
    <xdr:from>
      <xdr:col>9</xdr:col>
      <xdr:colOff>6350</xdr:colOff>
      <xdr:row>977</xdr:row>
      <xdr:rowOff>25400</xdr:rowOff>
    </xdr:from>
    <xdr:to>
      <xdr:col>9</xdr:col>
      <xdr:colOff>885190</xdr:colOff>
      <xdr:row>977</xdr:row>
      <xdr:rowOff>1209040</xdr:rowOff>
    </xdr:to>
    <xdr:pic>
      <xdr:nvPicPr>
        <xdr:cNvPr id="5924" name="Изображение 5923" descr="resizeПП-00227698"/>
        <xdr:cNvPicPr>
          <a:picLocks noChangeAspect="1"/>
        </xdr:cNvPicPr>
      </xdr:nvPicPr>
      <xdr:blipFill>
        <a:blip xmlns:r="http://schemas.openxmlformats.org/officeDocument/2006/relationships" r:embed="rId692"/>
        <a:stretch>
          <a:fillRect/>
        </a:stretch>
      </xdr:blipFill>
      <xdr:spPr>
        <a:xfrm>
          <a:off x="7235825" y="916139900"/>
          <a:ext cx="878840" cy="1183640"/>
        </a:xfrm>
        <a:prstGeom prst="rect">
          <a:avLst/>
        </a:prstGeom>
      </xdr:spPr>
    </xdr:pic>
    <xdr:clientData/>
  </xdr:twoCellAnchor>
  <xdr:twoCellAnchor>
    <xdr:from>
      <xdr:col>9</xdr:col>
      <xdr:colOff>6350</xdr:colOff>
      <xdr:row>979</xdr:row>
      <xdr:rowOff>25400</xdr:rowOff>
    </xdr:from>
    <xdr:to>
      <xdr:col>9</xdr:col>
      <xdr:colOff>885190</xdr:colOff>
      <xdr:row>979</xdr:row>
      <xdr:rowOff>1209040</xdr:rowOff>
    </xdr:to>
    <xdr:pic>
      <xdr:nvPicPr>
        <xdr:cNvPr id="5925" name="Изображение 5924" descr="resizeПП-00232279"/>
        <xdr:cNvPicPr>
          <a:picLocks noChangeAspect="1"/>
        </xdr:cNvPicPr>
      </xdr:nvPicPr>
      <xdr:blipFill>
        <a:blip xmlns:r="http://schemas.openxmlformats.org/officeDocument/2006/relationships" r:embed="rId693"/>
        <a:stretch>
          <a:fillRect/>
        </a:stretch>
      </xdr:blipFill>
      <xdr:spPr>
        <a:xfrm>
          <a:off x="7235825" y="917514675"/>
          <a:ext cx="878840" cy="1183640"/>
        </a:xfrm>
        <a:prstGeom prst="rect">
          <a:avLst/>
        </a:prstGeom>
      </xdr:spPr>
    </xdr:pic>
    <xdr:clientData/>
  </xdr:twoCellAnchor>
  <xdr:twoCellAnchor>
    <xdr:from>
      <xdr:col>9</xdr:col>
      <xdr:colOff>6350</xdr:colOff>
      <xdr:row>980</xdr:row>
      <xdr:rowOff>25400</xdr:rowOff>
    </xdr:from>
    <xdr:to>
      <xdr:col>9</xdr:col>
      <xdr:colOff>885190</xdr:colOff>
      <xdr:row>980</xdr:row>
      <xdr:rowOff>1209040</xdr:rowOff>
    </xdr:to>
    <xdr:pic>
      <xdr:nvPicPr>
        <xdr:cNvPr id="5926" name="Изображение 5925" descr="resizeПП-00232282"/>
        <xdr:cNvPicPr>
          <a:picLocks noChangeAspect="1"/>
        </xdr:cNvPicPr>
      </xdr:nvPicPr>
      <xdr:blipFill>
        <a:blip xmlns:r="http://schemas.openxmlformats.org/officeDocument/2006/relationships" r:embed="rId694"/>
        <a:stretch>
          <a:fillRect/>
        </a:stretch>
      </xdr:blipFill>
      <xdr:spPr>
        <a:xfrm>
          <a:off x="7235825" y="918737050"/>
          <a:ext cx="878840" cy="1183640"/>
        </a:xfrm>
        <a:prstGeom prst="rect">
          <a:avLst/>
        </a:prstGeom>
      </xdr:spPr>
    </xdr:pic>
    <xdr:clientData/>
  </xdr:twoCellAnchor>
  <xdr:twoCellAnchor>
    <xdr:from>
      <xdr:col>9</xdr:col>
      <xdr:colOff>6350</xdr:colOff>
      <xdr:row>981</xdr:row>
      <xdr:rowOff>25400</xdr:rowOff>
    </xdr:from>
    <xdr:to>
      <xdr:col>9</xdr:col>
      <xdr:colOff>885190</xdr:colOff>
      <xdr:row>981</xdr:row>
      <xdr:rowOff>1209040</xdr:rowOff>
    </xdr:to>
    <xdr:pic>
      <xdr:nvPicPr>
        <xdr:cNvPr id="5927" name="Изображение 5926" descr="resizeПП-00232281"/>
        <xdr:cNvPicPr>
          <a:picLocks noChangeAspect="1"/>
        </xdr:cNvPicPr>
      </xdr:nvPicPr>
      <xdr:blipFill>
        <a:blip xmlns:r="http://schemas.openxmlformats.org/officeDocument/2006/relationships" r:embed="rId695"/>
        <a:stretch>
          <a:fillRect/>
        </a:stretch>
      </xdr:blipFill>
      <xdr:spPr>
        <a:xfrm>
          <a:off x="7235825" y="919959425"/>
          <a:ext cx="878840" cy="1183640"/>
        </a:xfrm>
        <a:prstGeom prst="rect">
          <a:avLst/>
        </a:prstGeom>
      </xdr:spPr>
    </xdr:pic>
    <xdr:clientData/>
  </xdr:twoCellAnchor>
  <xdr:twoCellAnchor>
    <xdr:from>
      <xdr:col>9</xdr:col>
      <xdr:colOff>6350</xdr:colOff>
      <xdr:row>982</xdr:row>
      <xdr:rowOff>25400</xdr:rowOff>
    </xdr:from>
    <xdr:to>
      <xdr:col>9</xdr:col>
      <xdr:colOff>885190</xdr:colOff>
      <xdr:row>982</xdr:row>
      <xdr:rowOff>1209040</xdr:rowOff>
    </xdr:to>
    <xdr:pic>
      <xdr:nvPicPr>
        <xdr:cNvPr id="5928" name="Изображение 5927" descr="resizeПП-00246238"/>
        <xdr:cNvPicPr>
          <a:picLocks noChangeAspect="1"/>
        </xdr:cNvPicPr>
      </xdr:nvPicPr>
      <xdr:blipFill>
        <a:blip xmlns:r="http://schemas.openxmlformats.org/officeDocument/2006/relationships" r:embed="rId696"/>
        <a:stretch>
          <a:fillRect/>
        </a:stretch>
      </xdr:blipFill>
      <xdr:spPr>
        <a:xfrm>
          <a:off x="7235825" y="921181800"/>
          <a:ext cx="878840" cy="1183640"/>
        </a:xfrm>
        <a:prstGeom prst="rect">
          <a:avLst/>
        </a:prstGeom>
      </xdr:spPr>
    </xdr:pic>
    <xdr:clientData/>
  </xdr:twoCellAnchor>
  <xdr:twoCellAnchor>
    <xdr:from>
      <xdr:col>9</xdr:col>
      <xdr:colOff>6350</xdr:colOff>
      <xdr:row>983</xdr:row>
      <xdr:rowOff>25400</xdr:rowOff>
    </xdr:from>
    <xdr:to>
      <xdr:col>9</xdr:col>
      <xdr:colOff>885190</xdr:colOff>
      <xdr:row>983</xdr:row>
      <xdr:rowOff>1209040</xdr:rowOff>
    </xdr:to>
    <xdr:pic>
      <xdr:nvPicPr>
        <xdr:cNvPr id="5929" name="Изображение 5928" descr="resizeПП-00232280"/>
        <xdr:cNvPicPr>
          <a:picLocks noChangeAspect="1"/>
        </xdr:cNvPicPr>
      </xdr:nvPicPr>
      <xdr:blipFill>
        <a:blip xmlns:r="http://schemas.openxmlformats.org/officeDocument/2006/relationships" r:embed="rId697"/>
        <a:stretch>
          <a:fillRect/>
        </a:stretch>
      </xdr:blipFill>
      <xdr:spPr>
        <a:xfrm>
          <a:off x="7235825" y="922404175"/>
          <a:ext cx="878840" cy="1183640"/>
        </a:xfrm>
        <a:prstGeom prst="rect">
          <a:avLst/>
        </a:prstGeom>
      </xdr:spPr>
    </xdr:pic>
    <xdr:clientData/>
  </xdr:twoCellAnchor>
  <xdr:twoCellAnchor>
    <xdr:from>
      <xdr:col>9</xdr:col>
      <xdr:colOff>6350</xdr:colOff>
      <xdr:row>986</xdr:row>
      <xdr:rowOff>25400</xdr:rowOff>
    </xdr:from>
    <xdr:to>
      <xdr:col>9</xdr:col>
      <xdr:colOff>885190</xdr:colOff>
      <xdr:row>986</xdr:row>
      <xdr:rowOff>1209040</xdr:rowOff>
    </xdr:to>
    <xdr:pic>
      <xdr:nvPicPr>
        <xdr:cNvPr id="5930" name="Изображение 5929" descr="resizeПП-00187060"/>
        <xdr:cNvPicPr>
          <a:picLocks noChangeAspect="1"/>
        </xdr:cNvPicPr>
      </xdr:nvPicPr>
      <xdr:blipFill>
        <a:blip xmlns:r="http://schemas.openxmlformats.org/officeDocument/2006/relationships" r:embed="rId698"/>
        <a:stretch>
          <a:fillRect/>
        </a:stretch>
      </xdr:blipFill>
      <xdr:spPr>
        <a:xfrm>
          <a:off x="7235825" y="923931350"/>
          <a:ext cx="878840" cy="1183640"/>
        </a:xfrm>
        <a:prstGeom prst="rect">
          <a:avLst/>
        </a:prstGeom>
      </xdr:spPr>
    </xdr:pic>
    <xdr:clientData/>
  </xdr:twoCellAnchor>
  <xdr:twoCellAnchor>
    <xdr:from>
      <xdr:col>9</xdr:col>
      <xdr:colOff>6350</xdr:colOff>
      <xdr:row>987</xdr:row>
      <xdr:rowOff>25400</xdr:rowOff>
    </xdr:from>
    <xdr:to>
      <xdr:col>9</xdr:col>
      <xdr:colOff>885190</xdr:colOff>
      <xdr:row>987</xdr:row>
      <xdr:rowOff>1209040</xdr:rowOff>
    </xdr:to>
    <xdr:pic>
      <xdr:nvPicPr>
        <xdr:cNvPr id="5931" name="Изображение 5930" descr="resizeПП-00187061"/>
        <xdr:cNvPicPr>
          <a:picLocks noChangeAspect="1"/>
        </xdr:cNvPicPr>
      </xdr:nvPicPr>
      <xdr:blipFill>
        <a:blip xmlns:r="http://schemas.openxmlformats.org/officeDocument/2006/relationships" r:embed="rId699"/>
        <a:stretch>
          <a:fillRect/>
        </a:stretch>
      </xdr:blipFill>
      <xdr:spPr>
        <a:xfrm>
          <a:off x="7235825" y="925153725"/>
          <a:ext cx="878840" cy="1183640"/>
        </a:xfrm>
        <a:prstGeom prst="rect">
          <a:avLst/>
        </a:prstGeom>
      </xdr:spPr>
    </xdr:pic>
    <xdr:clientData/>
  </xdr:twoCellAnchor>
  <xdr:twoCellAnchor>
    <xdr:from>
      <xdr:col>9</xdr:col>
      <xdr:colOff>6350</xdr:colOff>
      <xdr:row>988</xdr:row>
      <xdr:rowOff>25400</xdr:rowOff>
    </xdr:from>
    <xdr:to>
      <xdr:col>9</xdr:col>
      <xdr:colOff>885190</xdr:colOff>
      <xdr:row>988</xdr:row>
      <xdr:rowOff>1209040</xdr:rowOff>
    </xdr:to>
    <xdr:pic>
      <xdr:nvPicPr>
        <xdr:cNvPr id="5932" name="Изображение 5931" descr="resizeПП-00187059"/>
        <xdr:cNvPicPr>
          <a:picLocks noChangeAspect="1"/>
        </xdr:cNvPicPr>
      </xdr:nvPicPr>
      <xdr:blipFill>
        <a:blip xmlns:r="http://schemas.openxmlformats.org/officeDocument/2006/relationships" r:embed="rId700"/>
        <a:stretch>
          <a:fillRect/>
        </a:stretch>
      </xdr:blipFill>
      <xdr:spPr>
        <a:xfrm>
          <a:off x="7235825" y="926376100"/>
          <a:ext cx="878840" cy="1183640"/>
        </a:xfrm>
        <a:prstGeom prst="rect">
          <a:avLst/>
        </a:prstGeom>
      </xdr:spPr>
    </xdr:pic>
    <xdr:clientData/>
  </xdr:twoCellAnchor>
  <xdr:twoCellAnchor>
    <xdr:from>
      <xdr:col>9</xdr:col>
      <xdr:colOff>6350</xdr:colOff>
      <xdr:row>989</xdr:row>
      <xdr:rowOff>25400</xdr:rowOff>
    </xdr:from>
    <xdr:to>
      <xdr:col>9</xdr:col>
      <xdr:colOff>885190</xdr:colOff>
      <xdr:row>989</xdr:row>
      <xdr:rowOff>1209040</xdr:rowOff>
    </xdr:to>
    <xdr:pic>
      <xdr:nvPicPr>
        <xdr:cNvPr id="5933" name="Изображение 5932" descr="resizeПП-00187058"/>
        <xdr:cNvPicPr>
          <a:picLocks noChangeAspect="1"/>
        </xdr:cNvPicPr>
      </xdr:nvPicPr>
      <xdr:blipFill>
        <a:blip xmlns:r="http://schemas.openxmlformats.org/officeDocument/2006/relationships" r:embed="rId701"/>
        <a:stretch>
          <a:fillRect/>
        </a:stretch>
      </xdr:blipFill>
      <xdr:spPr>
        <a:xfrm>
          <a:off x="7235825" y="927598475"/>
          <a:ext cx="878840" cy="1183640"/>
        </a:xfrm>
        <a:prstGeom prst="rect">
          <a:avLst/>
        </a:prstGeom>
      </xdr:spPr>
    </xdr:pic>
    <xdr:clientData/>
  </xdr:twoCellAnchor>
  <xdr:twoCellAnchor>
    <xdr:from>
      <xdr:col>9</xdr:col>
      <xdr:colOff>6350</xdr:colOff>
      <xdr:row>990</xdr:row>
      <xdr:rowOff>25400</xdr:rowOff>
    </xdr:from>
    <xdr:to>
      <xdr:col>9</xdr:col>
      <xdr:colOff>885190</xdr:colOff>
      <xdr:row>990</xdr:row>
      <xdr:rowOff>1209040</xdr:rowOff>
    </xdr:to>
    <xdr:pic>
      <xdr:nvPicPr>
        <xdr:cNvPr id="5934" name="Изображение 5933" descr="resizeПП-00187055"/>
        <xdr:cNvPicPr>
          <a:picLocks noChangeAspect="1"/>
        </xdr:cNvPicPr>
      </xdr:nvPicPr>
      <xdr:blipFill>
        <a:blip xmlns:r="http://schemas.openxmlformats.org/officeDocument/2006/relationships" r:embed="rId702"/>
        <a:stretch>
          <a:fillRect/>
        </a:stretch>
      </xdr:blipFill>
      <xdr:spPr>
        <a:xfrm>
          <a:off x="7235825" y="928820850"/>
          <a:ext cx="878840" cy="1183640"/>
        </a:xfrm>
        <a:prstGeom prst="rect">
          <a:avLst/>
        </a:prstGeom>
      </xdr:spPr>
    </xdr:pic>
    <xdr:clientData/>
  </xdr:twoCellAnchor>
  <xdr:twoCellAnchor>
    <xdr:from>
      <xdr:col>9</xdr:col>
      <xdr:colOff>6350</xdr:colOff>
      <xdr:row>991</xdr:row>
      <xdr:rowOff>25400</xdr:rowOff>
    </xdr:from>
    <xdr:to>
      <xdr:col>9</xdr:col>
      <xdr:colOff>885190</xdr:colOff>
      <xdr:row>991</xdr:row>
      <xdr:rowOff>1209040</xdr:rowOff>
    </xdr:to>
    <xdr:pic>
      <xdr:nvPicPr>
        <xdr:cNvPr id="5935" name="Изображение 5934" descr="resizeПП-00187054"/>
        <xdr:cNvPicPr>
          <a:picLocks noChangeAspect="1"/>
        </xdr:cNvPicPr>
      </xdr:nvPicPr>
      <xdr:blipFill>
        <a:blip xmlns:r="http://schemas.openxmlformats.org/officeDocument/2006/relationships" r:embed="rId703"/>
        <a:stretch>
          <a:fillRect/>
        </a:stretch>
      </xdr:blipFill>
      <xdr:spPr>
        <a:xfrm>
          <a:off x="7235825" y="930043225"/>
          <a:ext cx="878840" cy="1183640"/>
        </a:xfrm>
        <a:prstGeom prst="rect">
          <a:avLst/>
        </a:prstGeom>
      </xdr:spPr>
    </xdr:pic>
    <xdr:clientData/>
  </xdr:twoCellAnchor>
  <xdr:twoCellAnchor>
    <xdr:from>
      <xdr:col>9</xdr:col>
      <xdr:colOff>6350</xdr:colOff>
      <xdr:row>992</xdr:row>
      <xdr:rowOff>25400</xdr:rowOff>
    </xdr:from>
    <xdr:to>
      <xdr:col>9</xdr:col>
      <xdr:colOff>885190</xdr:colOff>
      <xdr:row>992</xdr:row>
      <xdr:rowOff>1209040</xdr:rowOff>
    </xdr:to>
    <xdr:pic>
      <xdr:nvPicPr>
        <xdr:cNvPr id="5936" name="Изображение 5935" descr="resizeПП-00176782"/>
        <xdr:cNvPicPr>
          <a:picLocks noChangeAspect="1"/>
        </xdr:cNvPicPr>
      </xdr:nvPicPr>
      <xdr:blipFill>
        <a:blip xmlns:r="http://schemas.openxmlformats.org/officeDocument/2006/relationships" r:embed="rId704"/>
        <a:stretch>
          <a:fillRect/>
        </a:stretch>
      </xdr:blipFill>
      <xdr:spPr>
        <a:xfrm>
          <a:off x="7235825" y="931265600"/>
          <a:ext cx="878840" cy="1183640"/>
        </a:xfrm>
        <a:prstGeom prst="rect">
          <a:avLst/>
        </a:prstGeom>
      </xdr:spPr>
    </xdr:pic>
    <xdr:clientData/>
  </xdr:twoCellAnchor>
  <xdr:twoCellAnchor>
    <xdr:from>
      <xdr:col>9</xdr:col>
      <xdr:colOff>6350</xdr:colOff>
      <xdr:row>993</xdr:row>
      <xdr:rowOff>25400</xdr:rowOff>
    </xdr:from>
    <xdr:to>
      <xdr:col>9</xdr:col>
      <xdr:colOff>885190</xdr:colOff>
      <xdr:row>993</xdr:row>
      <xdr:rowOff>1209040</xdr:rowOff>
    </xdr:to>
    <xdr:pic>
      <xdr:nvPicPr>
        <xdr:cNvPr id="5937" name="Изображение 5936" descr="resizeПП-00163919"/>
        <xdr:cNvPicPr>
          <a:picLocks noChangeAspect="1"/>
        </xdr:cNvPicPr>
      </xdr:nvPicPr>
      <xdr:blipFill>
        <a:blip xmlns:r="http://schemas.openxmlformats.org/officeDocument/2006/relationships" r:embed="rId705"/>
        <a:stretch>
          <a:fillRect/>
        </a:stretch>
      </xdr:blipFill>
      <xdr:spPr>
        <a:xfrm>
          <a:off x="7235825" y="932487975"/>
          <a:ext cx="878840" cy="1183640"/>
        </a:xfrm>
        <a:prstGeom prst="rect">
          <a:avLst/>
        </a:prstGeom>
      </xdr:spPr>
    </xdr:pic>
    <xdr:clientData/>
  </xdr:twoCellAnchor>
  <xdr:twoCellAnchor>
    <xdr:from>
      <xdr:col>9</xdr:col>
      <xdr:colOff>6350</xdr:colOff>
      <xdr:row>994</xdr:row>
      <xdr:rowOff>25400</xdr:rowOff>
    </xdr:from>
    <xdr:to>
      <xdr:col>9</xdr:col>
      <xdr:colOff>885190</xdr:colOff>
      <xdr:row>994</xdr:row>
      <xdr:rowOff>1209040</xdr:rowOff>
    </xdr:to>
    <xdr:pic>
      <xdr:nvPicPr>
        <xdr:cNvPr id="5938" name="Изображение 5937" descr="resizeПП-00163916"/>
        <xdr:cNvPicPr>
          <a:picLocks noChangeAspect="1"/>
        </xdr:cNvPicPr>
      </xdr:nvPicPr>
      <xdr:blipFill>
        <a:blip xmlns:r="http://schemas.openxmlformats.org/officeDocument/2006/relationships" r:embed="rId706"/>
        <a:stretch>
          <a:fillRect/>
        </a:stretch>
      </xdr:blipFill>
      <xdr:spPr>
        <a:xfrm>
          <a:off x="7235825" y="933710350"/>
          <a:ext cx="878840" cy="1183640"/>
        </a:xfrm>
        <a:prstGeom prst="rect">
          <a:avLst/>
        </a:prstGeom>
      </xdr:spPr>
    </xdr:pic>
    <xdr:clientData/>
  </xdr:twoCellAnchor>
  <xdr:twoCellAnchor>
    <xdr:from>
      <xdr:col>9</xdr:col>
      <xdr:colOff>6350</xdr:colOff>
      <xdr:row>997</xdr:row>
      <xdr:rowOff>25400</xdr:rowOff>
    </xdr:from>
    <xdr:to>
      <xdr:col>9</xdr:col>
      <xdr:colOff>885190</xdr:colOff>
      <xdr:row>997</xdr:row>
      <xdr:rowOff>1209040</xdr:rowOff>
    </xdr:to>
    <xdr:pic>
      <xdr:nvPicPr>
        <xdr:cNvPr id="5939" name="Изображение 5938" descr="resizeПП-00103692"/>
        <xdr:cNvPicPr>
          <a:picLocks noChangeAspect="1"/>
        </xdr:cNvPicPr>
      </xdr:nvPicPr>
      <xdr:blipFill>
        <a:blip xmlns:r="http://schemas.openxmlformats.org/officeDocument/2006/relationships" r:embed="rId707"/>
        <a:stretch>
          <a:fillRect/>
        </a:stretch>
      </xdr:blipFill>
      <xdr:spPr>
        <a:xfrm>
          <a:off x="7235825" y="935237525"/>
          <a:ext cx="878840" cy="1183640"/>
        </a:xfrm>
        <a:prstGeom prst="rect">
          <a:avLst/>
        </a:prstGeom>
      </xdr:spPr>
    </xdr:pic>
    <xdr:clientData/>
  </xdr:twoCellAnchor>
  <xdr:twoCellAnchor>
    <xdr:from>
      <xdr:col>9</xdr:col>
      <xdr:colOff>6350</xdr:colOff>
      <xdr:row>998</xdr:row>
      <xdr:rowOff>25400</xdr:rowOff>
    </xdr:from>
    <xdr:to>
      <xdr:col>9</xdr:col>
      <xdr:colOff>885190</xdr:colOff>
      <xdr:row>998</xdr:row>
      <xdr:rowOff>1209040</xdr:rowOff>
    </xdr:to>
    <xdr:pic>
      <xdr:nvPicPr>
        <xdr:cNvPr id="5940" name="Изображение 5939" descr="resizeПП-00187105"/>
        <xdr:cNvPicPr>
          <a:picLocks noChangeAspect="1"/>
        </xdr:cNvPicPr>
      </xdr:nvPicPr>
      <xdr:blipFill>
        <a:blip xmlns:r="http://schemas.openxmlformats.org/officeDocument/2006/relationships" r:embed="rId708"/>
        <a:stretch>
          <a:fillRect/>
        </a:stretch>
      </xdr:blipFill>
      <xdr:spPr>
        <a:xfrm>
          <a:off x="7235825" y="936459900"/>
          <a:ext cx="878840" cy="1183640"/>
        </a:xfrm>
        <a:prstGeom prst="rect">
          <a:avLst/>
        </a:prstGeom>
      </xdr:spPr>
    </xdr:pic>
    <xdr:clientData/>
  </xdr:twoCellAnchor>
  <xdr:twoCellAnchor>
    <xdr:from>
      <xdr:col>9</xdr:col>
      <xdr:colOff>6350</xdr:colOff>
      <xdr:row>999</xdr:row>
      <xdr:rowOff>25400</xdr:rowOff>
    </xdr:from>
    <xdr:to>
      <xdr:col>9</xdr:col>
      <xdr:colOff>885190</xdr:colOff>
      <xdr:row>999</xdr:row>
      <xdr:rowOff>1209040</xdr:rowOff>
    </xdr:to>
    <xdr:pic>
      <xdr:nvPicPr>
        <xdr:cNvPr id="5941" name="Изображение 5940" descr="resizeПП-00187075"/>
        <xdr:cNvPicPr>
          <a:picLocks noChangeAspect="1"/>
        </xdr:cNvPicPr>
      </xdr:nvPicPr>
      <xdr:blipFill>
        <a:blip xmlns:r="http://schemas.openxmlformats.org/officeDocument/2006/relationships" r:embed="rId709"/>
        <a:stretch>
          <a:fillRect/>
        </a:stretch>
      </xdr:blipFill>
      <xdr:spPr>
        <a:xfrm>
          <a:off x="7235825" y="937682275"/>
          <a:ext cx="878840" cy="1183640"/>
        </a:xfrm>
        <a:prstGeom prst="rect">
          <a:avLst/>
        </a:prstGeom>
      </xdr:spPr>
    </xdr:pic>
    <xdr:clientData/>
  </xdr:twoCellAnchor>
  <xdr:twoCellAnchor>
    <xdr:from>
      <xdr:col>9</xdr:col>
      <xdr:colOff>6350</xdr:colOff>
      <xdr:row>1000</xdr:row>
      <xdr:rowOff>25400</xdr:rowOff>
    </xdr:from>
    <xdr:to>
      <xdr:col>9</xdr:col>
      <xdr:colOff>885190</xdr:colOff>
      <xdr:row>1000</xdr:row>
      <xdr:rowOff>1209040</xdr:rowOff>
    </xdr:to>
    <xdr:pic>
      <xdr:nvPicPr>
        <xdr:cNvPr id="5942" name="Изображение 5941" descr="resizeПП-00187102"/>
        <xdr:cNvPicPr>
          <a:picLocks noChangeAspect="1"/>
        </xdr:cNvPicPr>
      </xdr:nvPicPr>
      <xdr:blipFill>
        <a:blip xmlns:r="http://schemas.openxmlformats.org/officeDocument/2006/relationships" r:embed="rId710"/>
        <a:stretch>
          <a:fillRect/>
        </a:stretch>
      </xdr:blipFill>
      <xdr:spPr>
        <a:xfrm>
          <a:off x="7235825" y="938904650"/>
          <a:ext cx="878840" cy="1183640"/>
        </a:xfrm>
        <a:prstGeom prst="rect">
          <a:avLst/>
        </a:prstGeom>
      </xdr:spPr>
    </xdr:pic>
    <xdr:clientData/>
  </xdr:twoCellAnchor>
  <xdr:twoCellAnchor>
    <xdr:from>
      <xdr:col>9</xdr:col>
      <xdr:colOff>6350</xdr:colOff>
      <xdr:row>1001</xdr:row>
      <xdr:rowOff>25400</xdr:rowOff>
    </xdr:from>
    <xdr:to>
      <xdr:col>9</xdr:col>
      <xdr:colOff>885190</xdr:colOff>
      <xdr:row>1001</xdr:row>
      <xdr:rowOff>1209040</xdr:rowOff>
    </xdr:to>
    <xdr:pic>
      <xdr:nvPicPr>
        <xdr:cNvPr id="5943" name="Изображение 5942" descr="resizeПП-00187082"/>
        <xdr:cNvPicPr>
          <a:picLocks noChangeAspect="1"/>
        </xdr:cNvPicPr>
      </xdr:nvPicPr>
      <xdr:blipFill>
        <a:blip xmlns:r="http://schemas.openxmlformats.org/officeDocument/2006/relationships" r:embed="rId711"/>
        <a:stretch>
          <a:fillRect/>
        </a:stretch>
      </xdr:blipFill>
      <xdr:spPr>
        <a:xfrm>
          <a:off x="7235825" y="940127025"/>
          <a:ext cx="878840" cy="1183640"/>
        </a:xfrm>
        <a:prstGeom prst="rect">
          <a:avLst/>
        </a:prstGeom>
      </xdr:spPr>
    </xdr:pic>
    <xdr:clientData/>
  </xdr:twoCellAnchor>
  <xdr:twoCellAnchor>
    <xdr:from>
      <xdr:col>9</xdr:col>
      <xdr:colOff>6350</xdr:colOff>
      <xdr:row>1002</xdr:row>
      <xdr:rowOff>25400</xdr:rowOff>
    </xdr:from>
    <xdr:to>
      <xdr:col>9</xdr:col>
      <xdr:colOff>885190</xdr:colOff>
      <xdr:row>1002</xdr:row>
      <xdr:rowOff>1209040</xdr:rowOff>
    </xdr:to>
    <xdr:pic>
      <xdr:nvPicPr>
        <xdr:cNvPr id="5944" name="Изображение 5943" descr="resizeПП-00187093"/>
        <xdr:cNvPicPr>
          <a:picLocks noChangeAspect="1"/>
        </xdr:cNvPicPr>
      </xdr:nvPicPr>
      <xdr:blipFill>
        <a:blip xmlns:r="http://schemas.openxmlformats.org/officeDocument/2006/relationships" r:embed="rId712"/>
        <a:stretch>
          <a:fillRect/>
        </a:stretch>
      </xdr:blipFill>
      <xdr:spPr>
        <a:xfrm>
          <a:off x="7235825" y="941349400"/>
          <a:ext cx="878840" cy="1183640"/>
        </a:xfrm>
        <a:prstGeom prst="rect">
          <a:avLst/>
        </a:prstGeom>
      </xdr:spPr>
    </xdr:pic>
    <xdr:clientData/>
  </xdr:twoCellAnchor>
  <xdr:twoCellAnchor>
    <xdr:from>
      <xdr:col>9</xdr:col>
      <xdr:colOff>6350</xdr:colOff>
      <xdr:row>1003</xdr:row>
      <xdr:rowOff>25400</xdr:rowOff>
    </xdr:from>
    <xdr:to>
      <xdr:col>9</xdr:col>
      <xdr:colOff>885190</xdr:colOff>
      <xdr:row>1003</xdr:row>
      <xdr:rowOff>1209040</xdr:rowOff>
    </xdr:to>
    <xdr:pic>
      <xdr:nvPicPr>
        <xdr:cNvPr id="5945" name="Изображение 5944" descr="resizeПП-00082753"/>
        <xdr:cNvPicPr>
          <a:picLocks noChangeAspect="1"/>
        </xdr:cNvPicPr>
      </xdr:nvPicPr>
      <xdr:blipFill>
        <a:blip xmlns:r="http://schemas.openxmlformats.org/officeDocument/2006/relationships" r:embed="rId713"/>
        <a:stretch>
          <a:fillRect/>
        </a:stretch>
      </xdr:blipFill>
      <xdr:spPr>
        <a:xfrm>
          <a:off x="7235825" y="942571775"/>
          <a:ext cx="878840" cy="1183640"/>
        </a:xfrm>
        <a:prstGeom prst="rect">
          <a:avLst/>
        </a:prstGeom>
      </xdr:spPr>
    </xdr:pic>
    <xdr:clientData/>
  </xdr:twoCellAnchor>
  <xdr:twoCellAnchor>
    <xdr:from>
      <xdr:col>9</xdr:col>
      <xdr:colOff>6350</xdr:colOff>
      <xdr:row>1004</xdr:row>
      <xdr:rowOff>25400</xdr:rowOff>
    </xdr:from>
    <xdr:to>
      <xdr:col>9</xdr:col>
      <xdr:colOff>885190</xdr:colOff>
      <xdr:row>1004</xdr:row>
      <xdr:rowOff>1209040</xdr:rowOff>
    </xdr:to>
    <xdr:pic>
      <xdr:nvPicPr>
        <xdr:cNvPr id="5946" name="Изображение 5945" descr="resizeПП-00163924"/>
        <xdr:cNvPicPr>
          <a:picLocks noChangeAspect="1"/>
        </xdr:cNvPicPr>
      </xdr:nvPicPr>
      <xdr:blipFill>
        <a:blip xmlns:r="http://schemas.openxmlformats.org/officeDocument/2006/relationships" r:embed="rId705"/>
        <a:stretch>
          <a:fillRect/>
        </a:stretch>
      </xdr:blipFill>
      <xdr:spPr>
        <a:xfrm>
          <a:off x="7235825" y="943794150"/>
          <a:ext cx="878840" cy="1183640"/>
        </a:xfrm>
        <a:prstGeom prst="rect">
          <a:avLst/>
        </a:prstGeom>
      </xdr:spPr>
    </xdr:pic>
    <xdr:clientData/>
  </xdr:twoCellAnchor>
  <xdr:twoCellAnchor>
    <xdr:from>
      <xdr:col>9</xdr:col>
      <xdr:colOff>6350</xdr:colOff>
      <xdr:row>1005</xdr:row>
      <xdr:rowOff>25400</xdr:rowOff>
    </xdr:from>
    <xdr:to>
      <xdr:col>9</xdr:col>
      <xdr:colOff>885190</xdr:colOff>
      <xdr:row>1005</xdr:row>
      <xdr:rowOff>1209040</xdr:rowOff>
    </xdr:to>
    <xdr:pic>
      <xdr:nvPicPr>
        <xdr:cNvPr id="5947" name="Изображение 5946" descr="resizeПП-00203582"/>
        <xdr:cNvPicPr>
          <a:picLocks noChangeAspect="1"/>
        </xdr:cNvPicPr>
      </xdr:nvPicPr>
      <xdr:blipFill>
        <a:blip xmlns:r="http://schemas.openxmlformats.org/officeDocument/2006/relationships" r:embed="rId714"/>
        <a:stretch>
          <a:fillRect/>
        </a:stretch>
      </xdr:blipFill>
      <xdr:spPr>
        <a:xfrm>
          <a:off x="7235825" y="945016525"/>
          <a:ext cx="878840" cy="1183640"/>
        </a:xfrm>
        <a:prstGeom prst="rect">
          <a:avLst/>
        </a:prstGeom>
      </xdr:spPr>
    </xdr:pic>
    <xdr:clientData/>
  </xdr:twoCellAnchor>
  <xdr:twoCellAnchor>
    <xdr:from>
      <xdr:col>9</xdr:col>
      <xdr:colOff>6350</xdr:colOff>
      <xdr:row>1006</xdr:row>
      <xdr:rowOff>25400</xdr:rowOff>
    </xdr:from>
    <xdr:to>
      <xdr:col>9</xdr:col>
      <xdr:colOff>885190</xdr:colOff>
      <xdr:row>1006</xdr:row>
      <xdr:rowOff>1209040</xdr:rowOff>
    </xdr:to>
    <xdr:pic>
      <xdr:nvPicPr>
        <xdr:cNvPr id="5948" name="Изображение 5947" descr="resizeПП-00203583"/>
        <xdr:cNvPicPr>
          <a:picLocks noChangeAspect="1"/>
        </xdr:cNvPicPr>
      </xdr:nvPicPr>
      <xdr:blipFill>
        <a:blip xmlns:r="http://schemas.openxmlformats.org/officeDocument/2006/relationships" r:embed="rId715"/>
        <a:stretch>
          <a:fillRect/>
        </a:stretch>
      </xdr:blipFill>
      <xdr:spPr>
        <a:xfrm>
          <a:off x="7235825" y="946238900"/>
          <a:ext cx="878840" cy="1183640"/>
        </a:xfrm>
        <a:prstGeom prst="rect">
          <a:avLst/>
        </a:prstGeom>
      </xdr:spPr>
    </xdr:pic>
    <xdr:clientData/>
  </xdr:twoCellAnchor>
  <xdr:twoCellAnchor>
    <xdr:from>
      <xdr:col>9</xdr:col>
      <xdr:colOff>6350</xdr:colOff>
      <xdr:row>1007</xdr:row>
      <xdr:rowOff>25400</xdr:rowOff>
    </xdr:from>
    <xdr:to>
      <xdr:col>9</xdr:col>
      <xdr:colOff>885190</xdr:colOff>
      <xdr:row>1007</xdr:row>
      <xdr:rowOff>1209040</xdr:rowOff>
    </xdr:to>
    <xdr:pic>
      <xdr:nvPicPr>
        <xdr:cNvPr id="5949" name="Изображение 5948" descr="resizeПП-00163922"/>
        <xdr:cNvPicPr>
          <a:picLocks noChangeAspect="1"/>
        </xdr:cNvPicPr>
      </xdr:nvPicPr>
      <xdr:blipFill>
        <a:blip xmlns:r="http://schemas.openxmlformats.org/officeDocument/2006/relationships" r:embed="rId716"/>
        <a:stretch>
          <a:fillRect/>
        </a:stretch>
      </xdr:blipFill>
      <xdr:spPr>
        <a:xfrm>
          <a:off x="7235825" y="947461275"/>
          <a:ext cx="878840" cy="1183640"/>
        </a:xfrm>
        <a:prstGeom prst="rect">
          <a:avLst/>
        </a:prstGeom>
      </xdr:spPr>
    </xdr:pic>
    <xdr:clientData/>
  </xdr:twoCellAnchor>
  <xdr:twoCellAnchor>
    <xdr:from>
      <xdr:col>9</xdr:col>
      <xdr:colOff>6350</xdr:colOff>
      <xdr:row>1009</xdr:row>
      <xdr:rowOff>25400</xdr:rowOff>
    </xdr:from>
    <xdr:to>
      <xdr:col>9</xdr:col>
      <xdr:colOff>885190</xdr:colOff>
      <xdr:row>1009</xdr:row>
      <xdr:rowOff>1209040</xdr:rowOff>
    </xdr:to>
    <xdr:pic>
      <xdr:nvPicPr>
        <xdr:cNvPr id="5950" name="Изображение 5949" descr="resizeПП-00103700"/>
        <xdr:cNvPicPr>
          <a:picLocks noChangeAspect="1"/>
        </xdr:cNvPicPr>
      </xdr:nvPicPr>
      <xdr:blipFill>
        <a:blip xmlns:r="http://schemas.openxmlformats.org/officeDocument/2006/relationships" r:embed="rId717"/>
        <a:stretch>
          <a:fillRect/>
        </a:stretch>
      </xdr:blipFill>
      <xdr:spPr>
        <a:xfrm>
          <a:off x="7235825" y="948836050"/>
          <a:ext cx="878840" cy="1183640"/>
        </a:xfrm>
        <a:prstGeom prst="rect">
          <a:avLst/>
        </a:prstGeom>
      </xdr:spPr>
    </xdr:pic>
    <xdr:clientData/>
  </xdr:twoCellAnchor>
  <xdr:twoCellAnchor>
    <xdr:from>
      <xdr:col>9</xdr:col>
      <xdr:colOff>6350</xdr:colOff>
      <xdr:row>1011</xdr:row>
      <xdr:rowOff>25400</xdr:rowOff>
    </xdr:from>
    <xdr:to>
      <xdr:col>9</xdr:col>
      <xdr:colOff>885190</xdr:colOff>
      <xdr:row>1011</xdr:row>
      <xdr:rowOff>1209040</xdr:rowOff>
    </xdr:to>
    <xdr:pic>
      <xdr:nvPicPr>
        <xdr:cNvPr id="5951" name="Изображение 5950" descr="resizeПП-00203523"/>
        <xdr:cNvPicPr>
          <a:picLocks noChangeAspect="1"/>
        </xdr:cNvPicPr>
      </xdr:nvPicPr>
      <xdr:blipFill>
        <a:blip xmlns:r="http://schemas.openxmlformats.org/officeDocument/2006/relationships" r:embed="rId718"/>
        <a:stretch>
          <a:fillRect/>
        </a:stretch>
      </xdr:blipFill>
      <xdr:spPr>
        <a:xfrm>
          <a:off x="7235825" y="950210825"/>
          <a:ext cx="878840" cy="1183640"/>
        </a:xfrm>
        <a:prstGeom prst="rect">
          <a:avLst/>
        </a:prstGeom>
      </xdr:spPr>
    </xdr:pic>
    <xdr:clientData/>
  </xdr:twoCellAnchor>
  <xdr:twoCellAnchor>
    <xdr:from>
      <xdr:col>9</xdr:col>
      <xdr:colOff>6350</xdr:colOff>
      <xdr:row>1012</xdr:row>
      <xdr:rowOff>25400</xdr:rowOff>
    </xdr:from>
    <xdr:to>
      <xdr:col>9</xdr:col>
      <xdr:colOff>885190</xdr:colOff>
      <xdr:row>1012</xdr:row>
      <xdr:rowOff>1209040</xdr:rowOff>
    </xdr:to>
    <xdr:pic>
      <xdr:nvPicPr>
        <xdr:cNvPr id="5952" name="Изображение 5951" descr="resizeПП-00187072"/>
        <xdr:cNvPicPr>
          <a:picLocks noChangeAspect="1"/>
        </xdr:cNvPicPr>
      </xdr:nvPicPr>
      <xdr:blipFill>
        <a:blip xmlns:r="http://schemas.openxmlformats.org/officeDocument/2006/relationships" r:embed="rId719"/>
        <a:stretch>
          <a:fillRect/>
        </a:stretch>
      </xdr:blipFill>
      <xdr:spPr>
        <a:xfrm>
          <a:off x="7235825" y="951433200"/>
          <a:ext cx="878840" cy="1183640"/>
        </a:xfrm>
        <a:prstGeom prst="rect">
          <a:avLst/>
        </a:prstGeom>
      </xdr:spPr>
    </xdr:pic>
    <xdr:clientData/>
  </xdr:twoCellAnchor>
  <xdr:twoCellAnchor>
    <xdr:from>
      <xdr:col>9</xdr:col>
      <xdr:colOff>6350</xdr:colOff>
      <xdr:row>1013</xdr:row>
      <xdr:rowOff>25400</xdr:rowOff>
    </xdr:from>
    <xdr:to>
      <xdr:col>9</xdr:col>
      <xdr:colOff>885190</xdr:colOff>
      <xdr:row>1013</xdr:row>
      <xdr:rowOff>1209040</xdr:rowOff>
    </xdr:to>
    <xdr:pic>
      <xdr:nvPicPr>
        <xdr:cNvPr id="5953" name="Изображение 5952" descr="resizeПП-00203527"/>
        <xdr:cNvPicPr>
          <a:picLocks noChangeAspect="1"/>
        </xdr:cNvPicPr>
      </xdr:nvPicPr>
      <xdr:blipFill>
        <a:blip xmlns:r="http://schemas.openxmlformats.org/officeDocument/2006/relationships" r:embed="rId720"/>
        <a:stretch>
          <a:fillRect/>
        </a:stretch>
      </xdr:blipFill>
      <xdr:spPr>
        <a:xfrm>
          <a:off x="7235825" y="952655575"/>
          <a:ext cx="878840" cy="1183640"/>
        </a:xfrm>
        <a:prstGeom prst="rect">
          <a:avLst/>
        </a:prstGeom>
      </xdr:spPr>
    </xdr:pic>
    <xdr:clientData/>
  </xdr:twoCellAnchor>
  <xdr:twoCellAnchor>
    <xdr:from>
      <xdr:col>9</xdr:col>
      <xdr:colOff>6350</xdr:colOff>
      <xdr:row>1014</xdr:row>
      <xdr:rowOff>25400</xdr:rowOff>
    </xdr:from>
    <xdr:to>
      <xdr:col>9</xdr:col>
      <xdr:colOff>885190</xdr:colOff>
      <xdr:row>1014</xdr:row>
      <xdr:rowOff>1209040</xdr:rowOff>
    </xdr:to>
    <xdr:pic>
      <xdr:nvPicPr>
        <xdr:cNvPr id="5954" name="Изображение 5953" descr="resizeПП-00203536"/>
        <xdr:cNvPicPr>
          <a:picLocks noChangeAspect="1"/>
        </xdr:cNvPicPr>
      </xdr:nvPicPr>
      <xdr:blipFill>
        <a:blip xmlns:r="http://schemas.openxmlformats.org/officeDocument/2006/relationships" r:embed="rId721"/>
        <a:stretch>
          <a:fillRect/>
        </a:stretch>
      </xdr:blipFill>
      <xdr:spPr>
        <a:xfrm>
          <a:off x="7235825" y="953877950"/>
          <a:ext cx="878840" cy="1183640"/>
        </a:xfrm>
        <a:prstGeom prst="rect">
          <a:avLst/>
        </a:prstGeom>
      </xdr:spPr>
    </xdr:pic>
    <xdr:clientData/>
  </xdr:twoCellAnchor>
  <xdr:twoCellAnchor>
    <xdr:from>
      <xdr:col>9</xdr:col>
      <xdr:colOff>6350</xdr:colOff>
      <xdr:row>1015</xdr:row>
      <xdr:rowOff>25400</xdr:rowOff>
    </xdr:from>
    <xdr:to>
      <xdr:col>9</xdr:col>
      <xdr:colOff>885190</xdr:colOff>
      <xdr:row>1015</xdr:row>
      <xdr:rowOff>1209040</xdr:rowOff>
    </xdr:to>
    <xdr:pic>
      <xdr:nvPicPr>
        <xdr:cNvPr id="5955" name="Изображение 5954" descr="resizeПП-00203539"/>
        <xdr:cNvPicPr>
          <a:picLocks noChangeAspect="1"/>
        </xdr:cNvPicPr>
      </xdr:nvPicPr>
      <xdr:blipFill>
        <a:blip xmlns:r="http://schemas.openxmlformats.org/officeDocument/2006/relationships" r:embed="rId722"/>
        <a:stretch>
          <a:fillRect/>
        </a:stretch>
      </xdr:blipFill>
      <xdr:spPr>
        <a:xfrm>
          <a:off x="7235825" y="955100325"/>
          <a:ext cx="878840" cy="1183640"/>
        </a:xfrm>
        <a:prstGeom prst="rect">
          <a:avLst/>
        </a:prstGeom>
      </xdr:spPr>
    </xdr:pic>
    <xdr:clientData/>
  </xdr:twoCellAnchor>
  <xdr:twoCellAnchor>
    <xdr:from>
      <xdr:col>9</xdr:col>
      <xdr:colOff>6350</xdr:colOff>
      <xdr:row>1018</xdr:row>
      <xdr:rowOff>25400</xdr:rowOff>
    </xdr:from>
    <xdr:to>
      <xdr:col>9</xdr:col>
      <xdr:colOff>885190</xdr:colOff>
      <xdr:row>1018</xdr:row>
      <xdr:rowOff>1209040</xdr:rowOff>
    </xdr:to>
    <xdr:pic>
      <xdr:nvPicPr>
        <xdr:cNvPr id="5956" name="Изображение 5955" descr="resizeПП-00187133"/>
        <xdr:cNvPicPr>
          <a:picLocks noChangeAspect="1"/>
        </xdr:cNvPicPr>
      </xdr:nvPicPr>
      <xdr:blipFill>
        <a:blip xmlns:r="http://schemas.openxmlformats.org/officeDocument/2006/relationships" r:embed="rId723"/>
        <a:stretch>
          <a:fillRect/>
        </a:stretch>
      </xdr:blipFill>
      <xdr:spPr>
        <a:xfrm>
          <a:off x="7235825" y="956627500"/>
          <a:ext cx="878840" cy="1183640"/>
        </a:xfrm>
        <a:prstGeom prst="rect">
          <a:avLst/>
        </a:prstGeom>
      </xdr:spPr>
    </xdr:pic>
    <xdr:clientData/>
  </xdr:twoCellAnchor>
  <xdr:twoCellAnchor>
    <xdr:from>
      <xdr:col>9</xdr:col>
      <xdr:colOff>6350</xdr:colOff>
      <xdr:row>1019</xdr:row>
      <xdr:rowOff>25400</xdr:rowOff>
    </xdr:from>
    <xdr:to>
      <xdr:col>9</xdr:col>
      <xdr:colOff>885190</xdr:colOff>
      <xdr:row>1019</xdr:row>
      <xdr:rowOff>1209040</xdr:rowOff>
    </xdr:to>
    <xdr:pic>
      <xdr:nvPicPr>
        <xdr:cNvPr id="5957" name="Изображение 5956" descr="resizeПП-00203542"/>
        <xdr:cNvPicPr>
          <a:picLocks noChangeAspect="1"/>
        </xdr:cNvPicPr>
      </xdr:nvPicPr>
      <xdr:blipFill>
        <a:blip xmlns:r="http://schemas.openxmlformats.org/officeDocument/2006/relationships" r:embed="rId724"/>
        <a:stretch>
          <a:fillRect/>
        </a:stretch>
      </xdr:blipFill>
      <xdr:spPr>
        <a:xfrm>
          <a:off x="7235825" y="957849875"/>
          <a:ext cx="878840" cy="1183640"/>
        </a:xfrm>
        <a:prstGeom prst="rect">
          <a:avLst/>
        </a:prstGeom>
      </xdr:spPr>
    </xdr:pic>
    <xdr:clientData/>
  </xdr:twoCellAnchor>
  <xdr:twoCellAnchor>
    <xdr:from>
      <xdr:col>9</xdr:col>
      <xdr:colOff>6350</xdr:colOff>
      <xdr:row>1020</xdr:row>
      <xdr:rowOff>25400</xdr:rowOff>
    </xdr:from>
    <xdr:to>
      <xdr:col>9</xdr:col>
      <xdr:colOff>885190</xdr:colOff>
      <xdr:row>1020</xdr:row>
      <xdr:rowOff>1209040</xdr:rowOff>
    </xdr:to>
    <xdr:pic>
      <xdr:nvPicPr>
        <xdr:cNvPr id="5958" name="Изображение 5957" descr="resizeПП-00187110"/>
        <xdr:cNvPicPr>
          <a:picLocks noChangeAspect="1"/>
        </xdr:cNvPicPr>
      </xdr:nvPicPr>
      <xdr:blipFill>
        <a:blip xmlns:r="http://schemas.openxmlformats.org/officeDocument/2006/relationships" r:embed="rId725"/>
        <a:stretch>
          <a:fillRect/>
        </a:stretch>
      </xdr:blipFill>
      <xdr:spPr>
        <a:xfrm>
          <a:off x="7235825" y="959072250"/>
          <a:ext cx="878840" cy="1183640"/>
        </a:xfrm>
        <a:prstGeom prst="rect">
          <a:avLst/>
        </a:prstGeom>
      </xdr:spPr>
    </xdr:pic>
    <xdr:clientData/>
  </xdr:twoCellAnchor>
  <xdr:twoCellAnchor>
    <xdr:from>
      <xdr:col>9</xdr:col>
      <xdr:colOff>6350</xdr:colOff>
      <xdr:row>1021</xdr:row>
      <xdr:rowOff>25400</xdr:rowOff>
    </xdr:from>
    <xdr:to>
      <xdr:col>9</xdr:col>
      <xdr:colOff>885190</xdr:colOff>
      <xdr:row>1021</xdr:row>
      <xdr:rowOff>1209040</xdr:rowOff>
    </xdr:to>
    <xdr:pic>
      <xdr:nvPicPr>
        <xdr:cNvPr id="5959" name="Изображение 5958" descr="resizeПП-00187116"/>
        <xdr:cNvPicPr>
          <a:picLocks noChangeAspect="1"/>
        </xdr:cNvPicPr>
      </xdr:nvPicPr>
      <xdr:blipFill>
        <a:blip xmlns:r="http://schemas.openxmlformats.org/officeDocument/2006/relationships" r:embed="rId726"/>
        <a:stretch>
          <a:fillRect/>
        </a:stretch>
      </xdr:blipFill>
      <xdr:spPr>
        <a:xfrm>
          <a:off x="7235825" y="960294625"/>
          <a:ext cx="878840" cy="1183640"/>
        </a:xfrm>
        <a:prstGeom prst="rect">
          <a:avLst/>
        </a:prstGeom>
      </xdr:spPr>
    </xdr:pic>
    <xdr:clientData/>
  </xdr:twoCellAnchor>
  <xdr:twoCellAnchor>
    <xdr:from>
      <xdr:col>9</xdr:col>
      <xdr:colOff>6350</xdr:colOff>
      <xdr:row>1022</xdr:row>
      <xdr:rowOff>25400</xdr:rowOff>
    </xdr:from>
    <xdr:to>
      <xdr:col>9</xdr:col>
      <xdr:colOff>885190</xdr:colOff>
      <xdr:row>1022</xdr:row>
      <xdr:rowOff>1209040</xdr:rowOff>
    </xdr:to>
    <xdr:pic>
      <xdr:nvPicPr>
        <xdr:cNvPr id="5960" name="Изображение 5959" descr="resizeПП-00187130"/>
        <xdr:cNvPicPr>
          <a:picLocks noChangeAspect="1"/>
        </xdr:cNvPicPr>
      </xdr:nvPicPr>
      <xdr:blipFill>
        <a:blip xmlns:r="http://schemas.openxmlformats.org/officeDocument/2006/relationships" r:embed="rId727"/>
        <a:stretch>
          <a:fillRect/>
        </a:stretch>
      </xdr:blipFill>
      <xdr:spPr>
        <a:xfrm>
          <a:off x="7235825" y="961517000"/>
          <a:ext cx="878840" cy="1183640"/>
        </a:xfrm>
        <a:prstGeom prst="rect">
          <a:avLst/>
        </a:prstGeom>
      </xdr:spPr>
    </xdr:pic>
    <xdr:clientData/>
  </xdr:twoCellAnchor>
  <xdr:twoCellAnchor>
    <xdr:from>
      <xdr:col>9</xdr:col>
      <xdr:colOff>6350</xdr:colOff>
      <xdr:row>1023</xdr:row>
      <xdr:rowOff>25400</xdr:rowOff>
    </xdr:from>
    <xdr:to>
      <xdr:col>9</xdr:col>
      <xdr:colOff>885190</xdr:colOff>
      <xdr:row>1023</xdr:row>
      <xdr:rowOff>1209040</xdr:rowOff>
    </xdr:to>
    <xdr:pic>
      <xdr:nvPicPr>
        <xdr:cNvPr id="5961" name="Изображение 5960" descr="resizeПП-00187115"/>
        <xdr:cNvPicPr>
          <a:picLocks noChangeAspect="1"/>
        </xdr:cNvPicPr>
      </xdr:nvPicPr>
      <xdr:blipFill>
        <a:blip xmlns:r="http://schemas.openxmlformats.org/officeDocument/2006/relationships" r:embed="rId728"/>
        <a:stretch>
          <a:fillRect/>
        </a:stretch>
      </xdr:blipFill>
      <xdr:spPr>
        <a:xfrm>
          <a:off x="7235825" y="962739375"/>
          <a:ext cx="878840" cy="1183640"/>
        </a:xfrm>
        <a:prstGeom prst="rect">
          <a:avLst/>
        </a:prstGeom>
      </xdr:spPr>
    </xdr:pic>
    <xdr:clientData/>
  </xdr:twoCellAnchor>
  <xdr:twoCellAnchor>
    <xdr:from>
      <xdr:col>9</xdr:col>
      <xdr:colOff>6350</xdr:colOff>
      <xdr:row>1025</xdr:row>
      <xdr:rowOff>25400</xdr:rowOff>
    </xdr:from>
    <xdr:to>
      <xdr:col>9</xdr:col>
      <xdr:colOff>885190</xdr:colOff>
      <xdr:row>1025</xdr:row>
      <xdr:rowOff>1209040</xdr:rowOff>
    </xdr:to>
    <xdr:pic>
      <xdr:nvPicPr>
        <xdr:cNvPr id="5962" name="Изображение 5961" descr="resizeПП-00186960"/>
        <xdr:cNvPicPr>
          <a:picLocks noChangeAspect="1"/>
        </xdr:cNvPicPr>
      </xdr:nvPicPr>
      <xdr:blipFill>
        <a:blip xmlns:r="http://schemas.openxmlformats.org/officeDocument/2006/relationships" r:embed="rId729"/>
        <a:stretch>
          <a:fillRect/>
        </a:stretch>
      </xdr:blipFill>
      <xdr:spPr>
        <a:xfrm>
          <a:off x="7235825" y="964114150"/>
          <a:ext cx="878840" cy="1183640"/>
        </a:xfrm>
        <a:prstGeom prst="rect">
          <a:avLst/>
        </a:prstGeom>
      </xdr:spPr>
    </xdr:pic>
    <xdr:clientData/>
  </xdr:twoCellAnchor>
  <xdr:twoCellAnchor>
    <xdr:from>
      <xdr:col>9</xdr:col>
      <xdr:colOff>6350</xdr:colOff>
      <xdr:row>1027</xdr:row>
      <xdr:rowOff>25400</xdr:rowOff>
    </xdr:from>
    <xdr:to>
      <xdr:col>9</xdr:col>
      <xdr:colOff>885190</xdr:colOff>
      <xdr:row>1027</xdr:row>
      <xdr:rowOff>1209040</xdr:rowOff>
    </xdr:to>
    <xdr:pic>
      <xdr:nvPicPr>
        <xdr:cNvPr id="5963" name="Изображение 5962" descr="resizeПП-00213267"/>
        <xdr:cNvPicPr>
          <a:picLocks noChangeAspect="1"/>
        </xdr:cNvPicPr>
      </xdr:nvPicPr>
      <xdr:blipFill>
        <a:blip xmlns:r="http://schemas.openxmlformats.org/officeDocument/2006/relationships" r:embed="rId730"/>
        <a:stretch>
          <a:fillRect/>
        </a:stretch>
      </xdr:blipFill>
      <xdr:spPr>
        <a:xfrm>
          <a:off x="7235825" y="965488925"/>
          <a:ext cx="878840" cy="1183640"/>
        </a:xfrm>
        <a:prstGeom prst="rect">
          <a:avLst/>
        </a:prstGeom>
      </xdr:spPr>
    </xdr:pic>
    <xdr:clientData/>
  </xdr:twoCellAnchor>
  <xdr:twoCellAnchor>
    <xdr:from>
      <xdr:col>9</xdr:col>
      <xdr:colOff>6350</xdr:colOff>
      <xdr:row>1030</xdr:row>
      <xdr:rowOff>25400</xdr:rowOff>
    </xdr:from>
    <xdr:to>
      <xdr:col>9</xdr:col>
      <xdr:colOff>885190</xdr:colOff>
      <xdr:row>1030</xdr:row>
      <xdr:rowOff>1209040</xdr:rowOff>
    </xdr:to>
    <xdr:pic>
      <xdr:nvPicPr>
        <xdr:cNvPr id="5964" name="Изображение 5963" descr="resizeПП-00046769"/>
        <xdr:cNvPicPr>
          <a:picLocks noChangeAspect="1"/>
        </xdr:cNvPicPr>
      </xdr:nvPicPr>
      <xdr:blipFill>
        <a:blip xmlns:r="http://schemas.openxmlformats.org/officeDocument/2006/relationships" r:embed="rId731"/>
        <a:stretch>
          <a:fillRect/>
        </a:stretch>
      </xdr:blipFill>
      <xdr:spPr>
        <a:xfrm>
          <a:off x="7235825" y="967016100"/>
          <a:ext cx="878840" cy="1183640"/>
        </a:xfrm>
        <a:prstGeom prst="rect">
          <a:avLst/>
        </a:prstGeom>
      </xdr:spPr>
    </xdr:pic>
    <xdr:clientData/>
  </xdr:twoCellAnchor>
  <xdr:twoCellAnchor>
    <xdr:from>
      <xdr:col>9</xdr:col>
      <xdr:colOff>6350</xdr:colOff>
      <xdr:row>1031</xdr:row>
      <xdr:rowOff>25400</xdr:rowOff>
    </xdr:from>
    <xdr:to>
      <xdr:col>9</xdr:col>
      <xdr:colOff>885190</xdr:colOff>
      <xdr:row>1031</xdr:row>
      <xdr:rowOff>1209040</xdr:rowOff>
    </xdr:to>
    <xdr:pic>
      <xdr:nvPicPr>
        <xdr:cNvPr id="5965" name="Изображение 5964" descr="resizeПП-00046765"/>
        <xdr:cNvPicPr>
          <a:picLocks noChangeAspect="1"/>
        </xdr:cNvPicPr>
      </xdr:nvPicPr>
      <xdr:blipFill>
        <a:blip xmlns:r="http://schemas.openxmlformats.org/officeDocument/2006/relationships" r:embed="rId732"/>
        <a:stretch>
          <a:fillRect/>
        </a:stretch>
      </xdr:blipFill>
      <xdr:spPr>
        <a:xfrm>
          <a:off x="7235825" y="968238475"/>
          <a:ext cx="878840" cy="1183640"/>
        </a:xfrm>
        <a:prstGeom prst="rect">
          <a:avLst/>
        </a:prstGeom>
      </xdr:spPr>
    </xdr:pic>
    <xdr:clientData/>
  </xdr:twoCellAnchor>
  <xdr:twoCellAnchor>
    <xdr:from>
      <xdr:col>9</xdr:col>
      <xdr:colOff>6350</xdr:colOff>
      <xdr:row>1032</xdr:row>
      <xdr:rowOff>25400</xdr:rowOff>
    </xdr:from>
    <xdr:to>
      <xdr:col>9</xdr:col>
      <xdr:colOff>885190</xdr:colOff>
      <xdr:row>1032</xdr:row>
      <xdr:rowOff>1209040</xdr:rowOff>
    </xdr:to>
    <xdr:pic>
      <xdr:nvPicPr>
        <xdr:cNvPr id="5966" name="Изображение 5965" descr="resizeПП-00275583"/>
        <xdr:cNvPicPr>
          <a:picLocks noChangeAspect="1"/>
        </xdr:cNvPicPr>
      </xdr:nvPicPr>
      <xdr:blipFill>
        <a:blip xmlns:r="http://schemas.openxmlformats.org/officeDocument/2006/relationships" r:embed="rId733"/>
        <a:stretch>
          <a:fillRect/>
        </a:stretch>
      </xdr:blipFill>
      <xdr:spPr>
        <a:xfrm>
          <a:off x="7235825" y="969460850"/>
          <a:ext cx="878840" cy="1183640"/>
        </a:xfrm>
        <a:prstGeom prst="rect">
          <a:avLst/>
        </a:prstGeom>
      </xdr:spPr>
    </xdr:pic>
    <xdr:clientData/>
  </xdr:twoCellAnchor>
  <xdr:twoCellAnchor>
    <xdr:from>
      <xdr:col>9</xdr:col>
      <xdr:colOff>6350</xdr:colOff>
      <xdr:row>1033</xdr:row>
      <xdr:rowOff>25400</xdr:rowOff>
    </xdr:from>
    <xdr:to>
      <xdr:col>9</xdr:col>
      <xdr:colOff>885190</xdr:colOff>
      <xdr:row>1033</xdr:row>
      <xdr:rowOff>1209040</xdr:rowOff>
    </xdr:to>
    <xdr:pic>
      <xdr:nvPicPr>
        <xdr:cNvPr id="5967" name="Изображение 5966" descr="resizeПП-00251465"/>
        <xdr:cNvPicPr>
          <a:picLocks noChangeAspect="1"/>
        </xdr:cNvPicPr>
      </xdr:nvPicPr>
      <xdr:blipFill>
        <a:blip xmlns:r="http://schemas.openxmlformats.org/officeDocument/2006/relationships" r:embed="rId734"/>
        <a:stretch>
          <a:fillRect/>
        </a:stretch>
      </xdr:blipFill>
      <xdr:spPr>
        <a:xfrm>
          <a:off x="7235825" y="970683225"/>
          <a:ext cx="878840" cy="1183640"/>
        </a:xfrm>
        <a:prstGeom prst="rect">
          <a:avLst/>
        </a:prstGeom>
      </xdr:spPr>
    </xdr:pic>
    <xdr:clientData/>
  </xdr:twoCellAnchor>
  <xdr:twoCellAnchor>
    <xdr:from>
      <xdr:col>9</xdr:col>
      <xdr:colOff>6350</xdr:colOff>
      <xdr:row>1034</xdr:row>
      <xdr:rowOff>25400</xdr:rowOff>
    </xdr:from>
    <xdr:to>
      <xdr:col>9</xdr:col>
      <xdr:colOff>885190</xdr:colOff>
      <xdr:row>1034</xdr:row>
      <xdr:rowOff>1209040</xdr:rowOff>
    </xdr:to>
    <xdr:pic>
      <xdr:nvPicPr>
        <xdr:cNvPr id="5968" name="Изображение 5967" descr="resizeПП-00275581"/>
        <xdr:cNvPicPr>
          <a:picLocks noChangeAspect="1"/>
        </xdr:cNvPicPr>
      </xdr:nvPicPr>
      <xdr:blipFill>
        <a:blip xmlns:r="http://schemas.openxmlformats.org/officeDocument/2006/relationships" r:embed="rId735"/>
        <a:stretch>
          <a:fillRect/>
        </a:stretch>
      </xdr:blipFill>
      <xdr:spPr>
        <a:xfrm>
          <a:off x="7235825" y="971905600"/>
          <a:ext cx="878840" cy="1183640"/>
        </a:xfrm>
        <a:prstGeom prst="rect">
          <a:avLst/>
        </a:prstGeom>
      </xdr:spPr>
    </xdr:pic>
    <xdr:clientData/>
  </xdr:twoCellAnchor>
  <xdr:twoCellAnchor>
    <xdr:from>
      <xdr:col>9</xdr:col>
      <xdr:colOff>6350</xdr:colOff>
      <xdr:row>1035</xdr:row>
      <xdr:rowOff>25400</xdr:rowOff>
    </xdr:from>
    <xdr:to>
      <xdr:col>9</xdr:col>
      <xdr:colOff>885190</xdr:colOff>
      <xdr:row>1035</xdr:row>
      <xdr:rowOff>1209040</xdr:rowOff>
    </xdr:to>
    <xdr:pic>
      <xdr:nvPicPr>
        <xdr:cNvPr id="5969" name="Изображение 5968" descr="resizeПП-00275577"/>
        <xdr:cNvPicPr>
          <a:picLocks noChangeAspect="1"/>
        </xdr:cNvPicPr>
      </xdr:nvPicPr>
      <xdr:blipFill>
        <a:blip xmlns:r="http://schemas.openxmlformats.org/officeDocument/2006/relationships" r:embed="rId736"/>
        <a:stretch>
          <a:fillRect/>
        </a:stretch>
      </xdr:blipFill>
      <xdr:spPr>
        <a:xfrm>
          <a:off x="7235825" y="973127975"/>
          <a:ext cx="878840" cy="1183640"/>
        </a:xfrm>
        <a:prstGeom prst="rect">
          <a:avLst/>
        </a:prstGeom>
      </xdr:spPr>
    </xdr:pic>
    <xdr:clientData/>
  </xdr:twoCellAnchor>
  <xdr:twoCellAnchor>
    <xdr:from>
      <xdr:col>9</xdr:col>
      <xdr:colOff>6350</xdr:colOff>
      <xdr:row>1036</xdr:row>
      <xdr:rowOff>25400</xdr:rowOff>
    </xdr:from>
    <xdr:to>
      <xdr:col>9</xdr:col>
      <xdr:colOff>885190</xdr:colOff>
      <xdr:row>1036</xdr:row>
      <xdr:rowOff>1209040</xdr:rowOff>
    </xdr:to>
    <xdr:pic>
      <xdr:nvPicPr>
        <xdr:cNvPr id="5970" name="Изображение 5969" descr="resizeПП-00275578"/>
        <xdr:cNvPicPr>
          <a:picLocks noChangeAspect="1"/>
        </xdr:cNvPicPr>
      </xdr:nvPicPr>
      <xdr:blipFill>
        <a:blip xmlns:r="http://schemas.openxmlformats.org/officeDocument/2006/relationships" r:embed="rId737"/>
        <a:stretch>
          <a:fillRect/>
        </a:stretch>
      </xdr:blipFill>
      <xdr:spPr>
        <a:xfrm>
          <a:off x="7235825" y="974350350"/>
          <a:ext cx="878840" cy="1183640"/>
        </a:xfrm>
        <a:prstGeom prst="rect">
          <a:avLst/>
        </a:prstGeom>
      </xdr:spPr>
    </xdr:pic>
    <xdr:clientData/>
  </xdr:twoCellAnchor>
  <xdr:twoCellAnchor>
    <xdr:from>
      <xdr:col>9</xdr:col>
      <xdr:colOff>6350</xdr:colOff>
      <xdr:row>1037</xdr:row>
      <xdr:rowOff>25400</xdr:rowOff>
    </xdr:from>
    <xdr:to>
      <xdr:col>9</xdr:col>
      <xdr:colOff>885190</xdr:colOff>
      <xdr:row>1037</xdr:row>
      <xdr:rowOff>1209040</xdr:rowOff>
    </xdr:to>
    <xdr:pic>
      <xdr:nvPicPr>
        <xdr:cNvPr id="5971" name="Изображение 5970" descr="resizeПП-00046803"/>
        <xdr:cNvPicPr>
          <a:picLocks noChangeAspect="1"/>
        </xdr:cNvPicPr>
      </xdr:nvPicPr>
      <xdr:blipFill>
        <a:blip xmlns:r="http://schemas.openxmlformats.org/officeDocument/2006/relationships" r:embed="rId738"/>
        <a:stretch>
          <a:fillRect/>
        </a:stretch>
      </xdr:blipFill>
      <xdr:spPr>
        <a:xfrm>
          <a:off x="7235825" y="975572725"/>
          <a:ext cx="878840" cy="1183640"/>
        </a:xfrm>
        <a:prstGeom prst="rect">
          <a:avLst/>
        </a:prstGeom>
      </xdr:spPr>
    </xdr:pic>
    <xdr:clientData/>
  </xdr:twoCellAnchor>
  <xdr:twoCellAnchor>
    <xdr:from>
      <xdr:col>9</xdr:col>
      <xdr:colOff>6350</xdr:colOff>
      <xdr:row>1038</xdr:row>
      <xdr:rowOff>25400</xdr:rowOff>
    </xdr:from>
    <xdr:to>
      <xdr:col>9</xdr:col>
      <xdr:colOff>885190</xdr:colOff>
      <xdr:row>1038</xdr:row>
      <xdr:rowOff>1209040</xdr:rowOff>
    </xdr:to>
    <xdr:pic>
      <xdr:nvPicPr>
        <xdr:cNvPr id="5972" name="Изображение 5971" descr="resizeПП-00046792"/>
        <xdr:cNvPicPr>
          <a:picLocks noChangeAspect="1"/>
        </xdr:cNvPicPr>
      </xdr:nvPicPr>
      <xdr:blipFill>
        <a:blip xmlns:r="http://schemas.openxmlformats.org/officeDocument/2006/relationships" r:embed="rId739"/>
        <a:stretch>
          <a:fillRect/>
        </a:stretch>
      </xdr:blipFill>
      <xdr:spPr>
        <a:xfrm>
          <a:off x="7235825" y="976795100"/>
          <a:ext cx="878840" cy="1183640"/>
        </a:xfrm>
        <a:prstGeom prst="rect">
          <a:avLst/>
        </a:prstGeom>
      </xdr:spPr>
    </xdr:pic>
    <xdr:clientData/>
  </xdr:twoCellAnchor>
  <xdr:twoCellAnchor>
    <xdr:from>
      <xdr:col>9</xdr:col>
      <xdr:colOff>6350</xdr:colOff>
      <xdr:row>1039</xdr:row>
      <xdr:rowOff>25400</xdr:rowOff>
    </xdr:from>
    <xdr:to>
      <xdr:col>9</xdr:col>
      <xdr:colOff>885190</xdr:colOff>
      <xdr:row>1039</xdr:row>
      <xdr:rowOff>1209040</xdr:rowOff>
    </xdr:to>
    <xdr:pic>
      <xdr:nvPicPr>
        <xdr:cNvPr id="5973" name="Изображение 5972" descr="resizeПП-00046755"/>
        <xdr:cNvPicPr>
          <a:picLocks noChangeAspect="1"/>
        </xdr:cNvPicPr>
      </xdr:nvPicPr>
      <xdr:blipFill>
        <a:blip xmlns:r="http://schemas.openxmlformats.org/officeDocument/2006/relationships" r:embed="rId740"/>
        <a:stretch>
          <a:fillRect/>
        </a:stretch>
      </xdr:blipFill>
      <xdr:spPr>
        <a:xfrm>
          <a:off x="7235825" y="978017475"/>
          <a:ext cx="878840" cy="1183640"/>
        </a:xfrm>
        <a:prstGeom prst="rect">
          <a:avLst/>
        </a:prstGeom>
      </xdr:spPr>
    </xdr:pic>
    <xdr:clientData/>
  </xdr:twoCellAnchor>
  <xdr:twoCellAnchor>
    <xdr:from>
      <xdr:col>9</xdr:col>
      <xdr:colOff>6350</xdr:colOff>
      <xdr:row>1040</xdr:row>
      <xdr:rowOff>25400</xdr:rowOff>
    </xdr:from>
    <xdr:to>
      <xdr:col>9</xdr:col>
      <xdr:colOff>885190</xdr:colOff>
      <xdr:row>1040</xdr:row>
      <xdr:rowOff>1209040</xdr:rowOff>
    </xdr:to>
    <xdr:pic>
      <xdr:nvPicPr>
        <xdr:cNvPr id="5974" name="Изображение 5973" descr="resizeПП-00046799"/>
        <xdr:cNvPicPr>
          <a:picLocks noChangeAspect="1"/>
        </xdr:cNvPicPr>
      </xdr:nvPicPr>
      <xdr:blipFill>
        <a:blip xmlns:r="http://schemas.openxmlformats.org/officeDocument/2006/relationships" r:embed="rId741"/>
        <a:stretch>
          <a:fillRect/>
        </a:stretch>
      </xdr:blipFill>
      <xdr:spPr>
        <a:xfrm>
          <a:off x="7235825" y="979239850"/>
          <a:ext cx="878840" cy="1183640"/>
        </a:xfrm>
        <a:prstGeom prst="rect">
          <a:avLst/>
        </a:prstGeom>
      </xdr:spPr>
    </xdr:pic>
    <xdr:clientData/>
  </xdr:twoCellAnchor>
  <xdr:twoCellAnchor>
    <xdr:from>
      <xdr:col>9</xdr:col>
      <xdr:colOff>6350</xdr:colOff>
      <xdr:row>1041</xdr:row>
      <xdr:rowOff>25400</xdr:rowOff>
    </xdr:from>
    <xdr:to>
      <xdr:col>9</xdr:col>
      <xdr:colOff>885190</xdr:colOff>
      <xdr:row>1041</xdr:row>
      <xdr:rowOff>1209040</xdr:rowOff>
    </xdr:to>
    <xdr:pic>
      <xdr:nvPicPr>
        <xdr:cNvPr id="5975" name="Изображение 5974" descr="resizeПП-00046814"/>
        <xdr:cNvPicPr>
          <a:picLocks noChangeAspect="1"/>
        </xdr:cNvPicPr>
      </xdr:nvPicPr>
      <xdr:blipFill>
        <a:blip xmlns:r="http://schemas.openxmlformats.org/officeDocument/2006/relationships" r:embed="rId742"/>
        <a:stretch>
          <a:fillRect/>
        </a:stretch>
      </xdr:blipFill>
      <xdr:spPr>
        <a:xfrm>
          <a:off x="7235825" y="980462225"/>
          <a:ext cx="878840" cy="1183640"/>
        </a:xfrm>
        <a:prstGeom prst="rect">
          <a:avLst/>
        </a:prstGeom>
      </xdr:spPr>
    </xdr:pic>
    <xdr:clientData/>
  </xdr:twoCellAnchor>
  <xdr:twoCellAnchor>
    <xdr:from>
      <xdr:col>9</xdr:col>
      <xdr:colOff>6350</xdr:colOff>
      <xdr:row>1042</xdr:row>
      <xdr:rowOff>25400</xdr:rowOff>
    </xdr:from>
    <xdr:to>
      <xdr:col>9</xdr:col>
      <xdr:colOff>885190</xdr:colOff>
      <xdr:row>1042</xdr:row>
      <xdr:rowOff>1209040</xdr:rowOff>
    </xdr:to>
    <xdr:pic>
      <xdr:nvPicPr>
        <xdr:cNvPr id="5976" name="Изображение 5975" descr="resizeПП-00046796"/>
        <xdr:cNvPicPr>
          <a:picLocks noChangeAspect="1"/>
        </xdr:cNvPicPr>
      </xdr:nvPicPr>
      <xdr:blipFill>
        <a:blip xmlns:r="http://schemas.openxmlformats.org/officeDocument/2006/relationships" r:embed="rId743"/>
        <a:stretch>
          <a:fillRect/>
        </a:stretch>
      </xdr:blipFill>
      <xdr:spPr>
        <a:xfrm>
          <a:off x="7235825" y="981684600"/>
          <a:ext cx="878840" cy="1183640"/>
        </a:xfrm>
        <a:prstGeom prst="rect">
          <a:avLst/>
        </a:prstGeom>
      </xdr:spPr>
    </xdr:pic>
    <xdr:clientData/>
  </xdr:twoCellAnchor>
  <xdr:twoCellAnchor>
    <xdr:from>
      <xdr:col>9</xdr:col>
      <xdr:colOff>6350</xdr:colOff>
      <xdr:row>1043</xdr:row>
      <xdr:rowOff>25400</xdr:rowOff>
    </xdr:from>
    <xdr:to>
      <xdr:col>9</xdr:col>
      <xdr:colOff>885190</xdr:colOff>
      <xdr:row>1043</xdr:row>
      <xdr:rowOff>1209040</xdr:rowOff>
    </xdr:to>
    <xdr:pic>
      <xdr:nvPicPr>
        <xdr:cNvPr id="5977" name="Изображение 5976" descr="resizeПП-00046800"/>
        <xdr:cNvPicPr>
          <a:picLocks noChangeAspect="1"/>
        </xdr:cNvPicPr>
      </xdr:nvPicPr>
      <xdr:blipFill>
        <a:blip xmlns:r="http://schemas.openxmlformats.org/officeDocument/2006/relationships" r:embed="rId744"/>
        <a:stretch>
          <a:fillRect/>
        </a:stretch>
      </xdr:blipFill>
      <xdr:spPr>
        <a:xfrm>
          <a:off x="7235825" y="982906975"/>
          <a:ext cx="878840" cy="1183640"/>
        </a:xfrm>
        <a:prstGeom prst="rect">
          <a:avLst/>
        </a:prstGeom>
      </xdr:spPr>
    </xdr:pic>
    <xdr:clientData/>
  </xdr:twoCellAnchor>
  <xdr:twoCellAnchor>
    <xdr:from>
      <xdr:col>9</xdr:col>
      <xdr:colOff>6350</xdr:colOff>
      <xdr:row>1044</xdr:row>
      <xdr:rowOff>25400</xdr:rowOff>
    </xdr:from>
    <xdr:to>
      <xdr:col>9</xdr:col>
      <xdr:colOff>885190</xdr:colOff>
      <xdr:row>1044</xdr:row>
      <xdr:rowOff>1209040</xdr:rowOff>
    </xdr:to>
    <xdr:pic>
      <xdr:nvPicPr>
        <xdr:cNvPr id="5978" name="Изображение 5977" descr="resizeПП-00200524"/>
        <xdr:cNvPicPr>
          <a:picLocks noChangeAspect="1"/>
        </xdr:cNvPicPr>
      </xdr:nvPicPr>
      <xdr:blipFill>
        <a:blip xmlns:r="http://schemas.openxmlformats.org/officeDocument/2006/relationships" r:embed="rId745"/>
        <a:stretch>
          <a:fillRect/>
        </a:stretch>
      </xdr:blipFill>
      <xdr:spPr>
        <a:xfrm>
          <a:off x="7235825" y="984129350"/>
          <a:ext cx="878840" cy="1183640"/>
        </a:xfrm>
        <a:prstGeom prst="rect">
          <a:avLst/>
        </a:prstGeom>
      </xdr:spPr>
    </xdr:pic>
    <xdr:clientData/>
  </xdr:twoCellAnchor>
  <xdr:twoCellAnchor>
    <xdr:from>
      <xdr:col>9</xdr:col>
      <xdr:colOff>6350</xdr:colOff>
      <xdr:row>1045</xdr:row>
      <xdr:rowOff>25400</xdr:rowOff>
    </xdr:from>
    <xdr:to>
      <xdr:col>9</xdr:col>
      <xdr:colOff>885190</xdr:colOff>
      <xdr:row>1045</xdr:row>
      <xdr:rowOff>1209040</xdr:rowOff>
    </xdr:to>
    <xdr:pic>
      <xdr:nvPicPr>
        <xdr:cNvPr id="5979" name="Изображение 5978" descr="resizeПП-00163945"/>
        <xdr:cNvPicPr>
          <a:picLocks noChangeAspect="1"/>
        </xdr:cNvPicPr>
      </xdr:nvPicPr>
      <xdr:blipFill>
        <a:blip xmlns:r="http://schemas.openxmlformats.org/officeDocument/2006/relationships" r:embed="rId746"/>
        <a:stretch>
          <a:fillRect/>
        </a:stretch>
      </xdr:blipFill>
      <xdr:spPr>
        <a:xfrm>
          <a:off x="7235825" y="985351725"/>
          <a:ext cx="878840" cy="1183640"/>
        </a:xfrm>
        <a:prstGeom prst="rect">
          <a:avLst/>
        </a:prstGeom>
      </xdr:spPr>
    </xdr:pic>
    <xdr:clientData/>
  </xdr:twoCellAnchor>
  <xdr:twoCellAnchor>
    <xdr:from>
      <xdr:col>9</xdr:col>
      <xdr:colOff>6350</xdr:colOff>
      <xdr:row>1046</xdr:row>
      <xdr:rowOff>25400</xdr:rowOff>
    </xdr:from>
    <xdr:to>
      <xdr:col>9</xdr:col>
      <xdr:colOff>885190</xdr:colOff>
      <xdr:row>1046</xdr:row>
      <xdr:rowOff>1209040</xdr:rowOff>
    </xdr:to>
    <xdr:pic>
      <xdr:nvPicPr>
        <xdr:cNvPr id="5980" name="Изображение 5979" descr="resizeПП-00163936"/>
        <xdr:cNvPicPr>
          <a:picLocks noChangeAspect="1"/>
        </xdr:cNvPicPr>
      </xdr:nvPicPr>
      <xdr:blipFill>
        <a:blip xmlns:r="http://schemas.openxmlformats.org/officeDocument/2006/relationships" r:embed="rId747"/>
        <a:stretch>
          <a:fillRect/>
        </a:stretch>
      </xdr:blipFill>
      <xdr:spPr>
        <a:xfrm>
          <a:off x="7235825" y="986574100"/>
          <a:ext cx="878840" cy="1183640"/>
        </a:xfrm>
        <a:prstGeom prst="rect">
          <a:avLst/>
        </a:prstGeom>
      </xdr:spPr>
    </xdr:pic>
    <xdr:clientData/>
  </xdr:twoCellAnchor>
  <xdr:twoCellAnchor>
    <xdr:from>
      <xdr:col>9</xdr:col>
      <xdr:colOff>6350</xdr:colOff>
      <xdr:row>1047</xdr:row>
      <xdr:rowOff>25400</xdr:rowOff>
    </xdr:from>
    <xdr:to>
      <xdr:col>9</xdr:col>
      <xdr:colOff>885190</xdr:colOff>
      <xdr:row>1047</xdr:row>
      <xdr:rowOff>1209040</xdr:rowOff>
    </xdr:to>
    <xdr:pic>
      <xdr:nvPicPr>
        <xdr:cNvPr id="5981" name="Изображение 5980" descr="resizeПП-00200464"/>
        <xdr:cNvPicPr>
          <a:picLocks noChangeAspect="1"/>
        </xdr:cNvPicPr>
      </xdr:nvPicPr>
      <xdr:blipFill>
        <a:blip xmlns:r="http://schemas.openxmlformats.org/officeDocument/2006/relationships" r:embed="rId748"/>
        <a:stretch>
          <a:fillRect/>
        </a:stretch>
      </xdr:blipFill>
      <xdr:spPr>
        <a:xfrm>
          <a:off x="7235825" y="987796475"/>
          <a:ext cx="878840" cy="1183640"/>
        </a:xfrm>
        <a:prstGeom prst="rect">
          <a:avLst/>
        </a:prstGeom>
      </xdr:spPr>
    </xdr:pic>
    <xdr:clientData/>
  </xdr:twoCellAnchor>
  <xdr:twoCellAnchor>
    <xdr:from>
      <xdr:col>9</xdr:col>
      <xdr:colOff>6350</xdr:colOff>
      <xdr:row>1049</xdr:row>
      <xdr:rowOff>25400</xdr:rowOff>
    </xdr:from>
    <xdr:to>
      <xdr:col>9</xdr:col>
      <xdr:colOff>885190</xdr:colOff>
      <xdr:row>1049</xdr:row>
      <xdr:rowOff>1209040</xdr:rowOff>
    </xdr:to>
    <xdr:pic>
      <xdr:nvPicPr>
        <xdr:cNvPr id="5982" name="Изображение 5981" descr="resizeПП-00258181"/>
        <xdr:cNvPicPr>
          <a:picLocks noChangeAspect="1"/>
        </xdr:cNvPicPr>
      </xdr:nvPicPr>
      <xdr:blipFill>
        <a:blip xmlns:r="http://schemas.openxmlformats.org/officeDocument/2006/relationships" r:embed="rId749"/>
        <a:stretch>
          <a:fillRect/>
        </a:stretch>
      </xdr:blipFill>
      <xdr:spPr>
        <a:xfrm>
          <a:off x="7235825" y="989171250"/>
          <a:ext cx="878840" cy="1183640"/>
        </a:xfrm>
        <a:prstGeom prst="rect">
          <a:avLst/>
        </a:prstGeom>
      </xdr:spPr>
    </xdr:pic>
    <xdr:clientData/>
  </xdr:twoCellAnchor>
  <xdr:twoCellAnchor>
    <xdr:from>
      <xdr:col>9</xdr:col>
      <xdr:colOff>6350</xdr:colOff>
      <xdr:row>1050</xdr:row>
      <xdr:rowOff>25400</xdr:rowOff>
    </xdr:from>
    <xdr:to>
      <xdr:col>9</xdr:col>
      <xdr:colOff>885190</xdr:colOff>
      <xdr:row>1050</xdr:row>
      <xdr:rowOff>1209040</xdr:rowOff>
    </xdr:to>
    <xdr:pic>
      <xdr:nvPicPr>
        <xdr:cNvPr id="5983" name="Изображение 5982" descr="resizeПП-00258182"/>
        <xdr:cNvPicPr>
          <a:picLocks noChangeAspect="1"/>
        </xdr:cNvPicPr>
      </xdr:nvPicPr>
      <xdr:blipFill>
        <a:blip xmlns:r="http://schemas.openxmlformats.org/officeDocument/2006/relationships" r:embed="rId750"/>
        <a:stretch>
          <a:fillRect/>
        </a:stretch>
      </xdr:blipFill>
      <xdr:spPr>
        <a:xfrm>
          <a:off x="7235825" y="990393625"/>
          <a:ext cx="878840" cy="1183640"/>
        </a:xfrm>
        <a:prstGeom prst="rect">
          <a:avLst/>
        </a:prstGeom>
      </xdr:spPr>
    </xdr:pic>
    <xdr:clientData/>
  </xdr:twoCellAnchor>
  <xdr:twoCellAnchor>
    <xdr:from>
      <xdr:col>9</xdr:col>
      <xdr:colOff>6350</xdr:colOff>
      <xdr:row>1051</xdr:row>
      <xdr:rowOff>25400</xdr:rowOff>
    </xdr:from>
    <xdr:to>
      <xdr:col>9</xdr:col>
      <xdr:colOff>885190</xdr:colOff>
      <xdr:row>1051</xdr:row>
      <xdr:rowOff>1209040</xdr:rowOff>
    </xdr:to>
    <xdr:pic>
      <xdr:nvPicPr>
        <xdr:cNvPr id="5984" name="Изображение 5983" descr="resizeПП-00187145"/>
        <xdr:cNvPicPr>
          <a:picLocks noChangeAspect="1"/>
        </xdr:cNvPicPr>
      </xdr:nvPicPr>
      <xdr:blipFill>
        <a:blip xmlns:r="http://schemas.openxmlformats.org/officeDocument/2006/relationships" r:embed="rId751"/>
        <a:stretch>
          <a:fillRect/>
        </a:stretch>
      </xdr:blipFill>
      <xdr:spPr>
        <a:xfrm>
          <a:off x="7235825" y="991616000"/>
          <a:ext cx="878840" cy="1183640"/>
        </a:xfrm>
        <a:prstGeom prst="rect">
          <a:avLst/>
        </a:prstGeom>
      </xdr:spPr>
    </xdr:pic>
    <xdr:clientData/>
  </xdr:twoCellAnchor>
  <xdr:twoCellAnchor>
    <xdr:from>
      <xdr:col>9</xdr:col>
      <xdr:colOff>6350</xdr:colOff>
      <xdr:row>1052</xdr:row>
      <xdr:rowOff>25400</xdr:rowOff>
    </xdr:from>
    <xdr:to>
      <xdr:col>9</xdr:col>
      <xdr:colOff>885190</xdr:colOff>
      <xdr:row>1052</xdr:row>
      <xdr:rowOff>1209040</xdr:rowOff>
    </xdr:to>
    <xdr:pic>
      <xdr:nvPicPr>
        <xdr:cNvPr id="5985" name="Изображение 5984" descr="resizeПП-00187149"/>
        <xdr:cNvPicPr>
          <a:picLocks noChangeAspect="1"/>
        </xdr:cNvPicPr>
      </xdr:nvPicPr>
      <xdr:blipFill>
        <a:blip xmlns:r="http://schemas.openxmlformats.org/officeDocument/2006/relationships" r:embed="rId752"/>
        <a:stretch>
          <a:fillRect/>
        </a:stretch>
      </xdr:blipFill>
      <xdr:spPr>
        <a:xfrm>
          <a:off x="7235825" y="992838375"/>
          <a:ext cx="878840" cy="1183640"/>
        </a:xfrm>
        <a:prstGeom prst="rect">
          <a:avLst/>
        </a:prstGeom>
      </xdr:spPr>
    </xdr:pic>
    <xdr:clientData/>
  </xdr:twoCellAnchor>
  <xdr:twoCellAnchor>
    <xdr:from>
      <xdr:col>9</xdr:col>
      <xdr:colOff>6350</xdr:colOff>
      <xdr:row>1053</xdr:row>
      <xdr:rowOff>25400</xdr:rowOff>
    </xdr:from>
    <xdr:to>
      <xdr:col>9</xdr:col>
      <xdr:colOff>885190</xdr:colOff>
      <xdr:row>1053</xdr:row>
      <xdr:rowOff>1209040</xdr:rowOff>
    </xdr:to>
    <xdr:pic>
      <xdr:nvPicPr>
        <xdr:cNvPr id="5986" name="Изображение 5985" descr="resizeПП-00187151"/>
        <xdr:cNvPicPr>
          <a:picLocks noChangeAspect="1"/>
        </xdr:cNvPicPr>
      </xdr:nvPicPr>
      <xdr:blipFill>
        <a:blip xmlns:r="http://schemas.openxmlformats.org/officeDocument/2006/relationships" r:embed="rId753"/>
        <a:stretch>
          <a:fillRect/>
        </a:stretch>
      </xdr:blipFill>
      <xdr:spPr>
        <a:xfrm>
          <a:off x="7235825" y="994060750"/>
          <a:ext cx="878840" cy="1183640"/>
        </a:xfrm>
        <a:prstGeom prst="rect">
          <a:avLst/>
        </a:prstGeom>
      </xdr:spPr>
    </xdr:pic>
    <xdr:clientData/>
  </xdr:twoCellAnchor>
  <xdr:twoCellAnchor>
    <xdr:from>
      <xdr:col>9</xdr:col>
      <xdr:colOff>6350</xdr:colOff>
      <xdr:row>1054</xdr:row>
      <xdr:rowOff>25400</xdr:rowOff>
    </xdr:from>
    <xdr:to>
      <xdr:col>9</xdr:col>
      <xdr:colOff>885190</xdr:colOff>
      <xdr:row>1054</xdr:row>
      <xdr:rowOff>1209040</xdr:rowOff>
    </xdr:to>
    <xdr:pic>
      <xdr:nvPicPr>
        <xdr:cNvPr id="5987" name="Изображение 5986" descr="resizeПП-00187148"/>
        <xdr:cNvPicPr>
          <a:picLocks noChangeAspect="1"/>
        </xdr:cNvPicPr>
      </xdr:nvPicPr>
      <xdr:blipFill>
        <a:blip xmlns:r="http://schemas.openxmlformats.org/officeDocument/2006/relationships" r:embed="rId754"/>
        <a:stretch>
          <a:fillRect/>
        </a:stretch>
      </xdr:blipFill>
      <xdr:spPr>
        <a:xfrm>
          <a:off x="7235825" y="995283125"/>
          <a:ext cx="878840" cy="1183640"/>
        </a:xfrm>
        <a:prstGeom prst="rect">
          <a:avLst/>
        </a:prstGeom>
      </xdr:spPr>
    </xdr:pic>
    <xdr:clientData/>
  </xdr:twoCellAnchor>
  <xdr:twoCellAnchor>
    <xdr:from>
      <xdr:col>9</xdr:col>
      <xdr:colOff>6350</xdr:colOff>
      <xdr:row>1055</xdr:row>
      <xdr:rowOff>25400</xdr:rowOff>
    </xdr:from>
    <xdr:to>
      <xdr:col>9</xdr:col>
      <xdr:colOff>885190</xdr:colOff>
      <xdr:row>1055</xdr:row>
      <xdr:rowOff>1209040</xdr:rowOff>
    </xdr:to>
    <xdr:pic>
      <xdr:nvPicPr>
        <xdr:cNvPr id="5988" name="Изображение 5987" descr="resizeПП-00082751"/>
        <xdr:cNvPicPr>
          <a:picLocks noChangeAspect="1"/>
        </xdr:cNvPicPr>
      </xdr:nvPicPr>
      <xdr:blipFill>
        <a:blip xmlns:r="http://schemas.openxmlformats.org/officeDocument/2006/relationships" r:embed="rId755"/>
        <a:stretch>
          <a:fillRect/>
        </a:stretch>
      </xdr:blipFill>
      <xdr:spPr>
        <a:xfrm>
          <a:off x="7235825" y="996505500"/>
          <a:ext cx="878840" cy="1183640"/>
        </a:xfrm>
        <a:prstGeom prst="rect">
          <a:avLst/>
        </a:prstGeom>
      </xdr:spPr>
    </xdr:pic>
    <xdr:clientData/>
  </xdr:twoCellAnchor>
  <xdr:twoCellAnchor>
    <xdr:from>
      <xdr:col>9</xdr:col>
      <xdr:colOff>6350</xdr:colOff>
      <xdr:row>1056</xdr:row>
      <xdr:rowOff>25400</xdr:rowOff>
    </xdr:from>
    <xdr:to>
      <xdr:col>9</xdr:col>
      <xdr:colOff>885190</xdr:colOff>
      <xdr:row>1056</xdr:row>
      <xdr:rowOff>1209040</xdr:rowOff>
    </xdr:to>
    <xdr:pic>
      <xdr:nvPicPr>
        <xdr:cNvPr id="5989" name="Изображение 5988" descr="resizeПП-00082745"/>
        <xdr:cNvPicPr>
          <a:picLocks noChangeAspect="1"/>
        </xdr:cNvPicPr>
      </xdr:nvPicPr>
      <xdr:blipFill>
        <a:blip xmlns:r="http://schemas.openxmlformats.org/officeDocument/2006/relationships" r:embed="rId756"/>
        <a:stretch>
          <a:fillRect/>
        </a:stretch>
      </xdr:blipFill>
      <xdr:spPr>
        <a:xfrm>
          <a:off x="7235825" y="997727875"/>
          <a:ext cx="878840" cy="1183640"/>
        </a:xfrm>
        <a:prstGeom prst="rect">
          <a:avLst/>
        </a:prstGeom>
      </xdr:spPr>
    </xdr:pic>
    <xdr:clientData/>
  </xdr:twoCellAnchor>
  <xdr:twoCellAnchor>
    <xdr:from>
      <xdr:col>9</xdr:col>
      <xdr:colOff>6350</xdr:colOff>
      <xdr:row>1057</xdr:row>
      <xdr:rowOff>25400</xdr:rowOff>
    </xdr:from>
    <xdr:to>
      <xdr:col>9</xdr:col>
      <xdr:colOff>885190</xdr:colOff>
      <xdr:row>1057</xdr:row>
      <xdr:rowOff>1209040</xdr:rowOff>
    </xdr:to>
    <xdr:pic>
      <xdr:nvPicPr>
        <xdr:cNvPr id="5990" name="Изображение 5989" descr="resizeПП-00251507"/>
        <xdr:cNvPicPr>
          <a:picLocks noChangeAspect="1"/>
        </xdr:cNvPicPr>
      </xdr:nvPicPr>
      <xdr:blipFill>
        <a:blip xmlns:r="http://schemas.openxmlformats.org/officeDocument/2006/relationships" r:embed="rId757"/>
        <a:stretch>
          <a:fillRect/>
        </a:stretch>
      </xdr:blipFill>
      <xdr:spPr>
        <a:xfrm>
          <a:off x="7235825" y="998950250"/>
          <a:ext cx="878840" cy="1183640"/>
        </a:xfrm>
        <a:prstGeom prst="rect">
          <a:avLst/>
        </a:prstGeom>
      </xdr:spPr>
    </xdr:pic>
    <xdr:clientData/>
  </xdr:twoCellAnchor>
  <xdr:twoCellAnchor>
    <xdr:from>
      <xdr:col>9</xdr:col>
      <xdr:colOff>6350</xdr:colOff>
      <xdr:row>1058</xdr:row>
      <xdr:rowOff>25400</xdr:rowOff>
    </xdr:from>
    <xdr:to>
      <xdr:col>9</xdr:col>
      <xdr:colOff>885190</xdr:colOff>
      <xdr:row>1058</xdr:row>
      <xdr:rowOff>1209040</xdr:rowOff>
    </xdr:to>
    <xdr:pic>
      <xdr:nvPicPr>
        <xdr:cNvPr id="5991" name="Изображение 5990" descr="resizeПП-00200398"/>
        <xdr:cNvPicPr>
          <a:picLocks noChangeAspect="1"/>
        </xdr:cNvPicPr>
      </xdr:nvPicPr>
      <xdr:blipFill>
        <a:blip xmlns:r="http://schemas.openxmlformats.org/officeDocument/2006/relationships" r:embed="rId758"/>
        <a:stretch>
          <a:fillRect/>
        </a:stretch>
      </xdr:blipFill>
      <xdr:spPr>
        <a:xfrm>
          <a:off x="7235825" y="1000172625"/>
          <a:ext cx="878840" cy="1183640"/>
        </a:xfrm>
        <a:prstGeom prst="rect">
          <a:avLst/>
        </a:prstGeom>
      </xdr:spPr>
    </xdr:pic>
    <xdr:clientData/>
  </xdr:twoCellAnchor>
  <xdr:twoCellAnchor>
    <xdr:from>
      <xdr:col>9</xdr:col>
      <xdr:colOff>6350</xdr:colOff>
      <xdr:row>1059</xdr:row>
      <xdr:rowOff>25400</xdr:rowOff>
    </xdr:from>
    <xdr:to>
      <xdr:col>9</xdr:col>
      <xdr:colOff>885190</xdr:colOff>
      <xdr:row>1059</xdr:row>
      <xdr:rowOff>1209040</xdr:rowOff>
    </xdr:to>
    <xdr:pic>
      <xdr:nvPicPr>
        <xdr:cNvPr id="5992" name="Изображение 5991" descr="resizeПП-00200399"/>
        <xdr:cNvPicPr>
          <a:picLocks noChangeAspect="1"/>
        </xdr:cNvPicPr>
      </xdr:nvPicPr>
      <xdr:blipFill>
        <a:blip xmlns:r="http://schemas.openxmlformats.org/officeDocument/2006/relationships" r:embed="rId759"/>
        <a:stretch>
          <a:fillRect/>
        </a:stretch>
      </xdr:blipFill>
      <xdr:spPr>
        <a:xfrm>
          <a:off x="7235825" y="1001395000"/>
          <a:ext cx="878840" cy="1183640"/>
        </a:xfrm>
        <a:prstGeom prst="rect">
          <a:avLst/>
        </a:prstGeom>
      </xdr:spPr>
    </xdr:pic>
    <xdr:clientData/>
  </xdr:twoCellAnchor>
  <xdr:twoCellAnchor>
    <xdr:from>
      <xdr:col>9</xdr:col>
      <xdr:colOff>6350</xdr:colOff>
      <xdr:row>1060</xdr:row>
      <xdr:rowOff>25400</xdr:rowOff>
    </xdr:from>
    <xdr:to>
      <xdr:col>9</xdr:col>
      <xdr:colOff>885190</xdr:colOff>
      <xdr:row>1060</xdr:row>
      <xdr:rowOff>1209040</xdr:rowOff>
    </xdr:to>
    <xdr:pic>
      <xdr:nvPicPr>
        <xdr:cNvPr id="5993" name="Изображение 5992" descr="resizeПП-00200395"/>
        <xdr:cNvPicPr>
          <a:picLocks noChangeAspect="1"/>
        </xdr:cNvPicPr>
      </xdr:nvPicPr>
      <xdr:blipFill>
        <a:blip xmlns:r="http://schemas.openxmlformats.org/officeDocument/2006/relationships" r:embed="rId760"/>
        <a:stretch>
          <a:fillRect/>
        </a:stretch>
      </xdr:blipFill>
      <xdr:spPr>
        <a:xfrm>
          <a:off x="7235825" y="1002617375"/>
          <a:ext cx="878840" cy="1183640"/>
        </a:xfrm>
        <a:prstGeom prst="rect">
          <a:avLst/>
        </a:prstGeom>
      </xdr:spPr>
    </xdr:pic>
    <xdr:clientData/>
  </xdr:twoCellAnchor>
  <xdr:twoCellAnchor>
    <xdr:from>
      <xdr:col>9</xdr:col>
      <xdr:colOff>6350</xdr:colOff>
      <xdr:row>1061</xdr:row>
      <xdr:rowOff>25400</xdr:rowOff>
    </xdr:from>
    <xdr:to>
      <xdr:col>9</xdr:col>
      <xdr:colOff>885190</xdr:colOff>
      <xdr:row>1061</xdr:row>
      <xdr:rowOff>1209040</xdr:rowOff>
    </xdr:to>
    <xdr:pic>
      <xdr:nvPicPr>
        <xdr:cNvPr id="5994" name="Изображение 5993" descr="resizeПП-00200396"/>
        <xdr:cNvPicPr>
          <a:picLocks noChangeAspect="1"/>
        </xdr:cNvPicPr>
      </xdr:nvPicPr>
      <xdr:blipFill>
        <a:blip xmlns:r="http://schemas.openxmlformats.org/officeDocument/2006/relationships" r:embed="rId761"/>
        <a:stretch>
          <a:fillRect/>
        </a:stretch>
      </xdr:blipFill>
      <xdr:spPr>
        <a:xfrm>
          <a:off x="7235825" y="1003839750"/>
          <a:ext cx="878840" cy="1183640"/>
        </a:xfrm>
        <a:prstGeom prst="rect">
          <a:avLst/>
        </a:prstGeom>
      </xdr:spPr>
    </xdr:pic>
    <xdr:clientData/>
  </xdr:twoCellAnchor>
  <xdr:twoCellAnchor>
    <xdr:from>
      <xdr:col>9</xdr:col>
      <xdr:colOff>6350</xdr:colOff>
      <xdr:row>1062</xdr:row>
      <xdr:rowOff>25400</xdr:rowOff>
    </xdr:from>
    <xdr:to>
      <xdr:col>9</xdr:col>
      <xdr:colOff>885190</xdr:colOff>
      <xdr:row>1062</xdr:row>
      <xdr:rowOff>1209040</xdr:rowOff>
    </xdr:to>
    <xdr:pic>
      <xdr:nvPicPr>
        <xdr:cNvPr id="5995" name="Изображение 5994" descr="resizeПП-00200397"/>
        <xdr:cNvPicPr>
          <a:picLocks noChangeAspect="1"/>
        </xdr:cNvPicPr>
      </xdr:nvPicPr>
      <xdr:blipFill>
        <a:blip xmlns:r="http://schemas.openxmlformats.org/officeDocument/2006/relationships" r:embed="rId762"/>
        <a:stretch>
          <a:fillRect/>
        </a:stretch>
      </xdr:blipFill>
      <xdr:spPr>
        <a:xfrm>
          <a:off x="7235825" y="1005062125"/>
          <a:ext cx="878840" cy="1183640"/>
        </a:xfrm>
        <a:prstGeom prst="rect">
          <a:avLst/>
        </a:prstGeom>
      </xdr:spPr>
    </xdr:pic>
    <xdr:clientData/>
  </xdr:twoCellAnchor>
  <xdr:twoCellAnchor>
    <xdr:from>
      <xdr:col>9</xdr:col>
      <xdr:colOff>6350</xdr:colOff>
      <xdr:row>1063</xdr:row>
      <xdr:rowOff>25400</xdr:rowOff>
    </xdr:from>
    <xdr:to>
      <xdr:col>9</xdr:col>
      <xdr:colOff>885190</xdr:colOff>
      <xdr:row>1063</xdr:row>
      <xdr:rowOff>1209040</xdr:rowOff>
    </xdr:to>
    <xdr:pic>
      <xdr:nvPicPr>
        <xdr:cNvPr id="5996" name="Изображение 5995" descr="resizeПП-00200393"/>
        <xdr:cNvPicPr>
          <a:picLocks noChangeAspect="1"/>
        </xdr:cNvPicPr>
      </xdr:nvPicPr>
      <xdr:blipFill>
        <a:blip xmlns:r="http://schemas.openxmlformats.org/officeDocument/2006/relationships" r:embed="rId763"/>
        <a:stretch>
          <a:fillRect/>
        </a:stretch>
      </xdr:blipFill>
      <xdr:spPr>
        <a:xfrm>
          <a:off x="7235825" y="1006284500"/>
          <a:ext cx="878840" cy="1183640"/>
        </a:xfrm>
        <a:prstGeom prst="rect">
          <a:avLst/>
        </a:prstGeom>
      </xdr:spPr>
    </xdr:pic>
    <xdr:clientData/>
  </xdr:twoCellAnchor>
  <xdr:twoCellAnchor>
    <xdr:from>
      <xdr:col>9</xdr:col>
      <xdr:colOff>6350</xdr:colOff>
      <xdr:row>1064</xdr:row>
      <xdr:rowOff>25400</xdr:rowOff>
    </xdr:from>
    <xdr:to>
      <xdr:col>9</xdr:col>
      <xdr:colOff>885190</xdr:colOff>
      <xdr:row>1064</xdr:row>
      <xdr:rowOff>1209040</xdr:rowOff>
    </xdr:to>
    <xdr:pic>
      <xdr:nvPicPr>
        <xdr:cNvPr id="5997" name="Изображение 5996" descr="resizeПП-00200390"/>
        <xdr:cNvPicPr>
          <a:picLocks noChangeAspect="1"/>
        </xdr:cNvPicPr>
      </xdr:nvPicPr>
      <xdr:blipFill>
        <a:blip xmlns:r="http://schemas.openxmlformats.org/officeDocument/2006/relationships" r:embed="rId764"/>
        <a:stretch>
          <a:fillRect/>
        </a:stretch>
      </xdr:blipFill>
      <xdr:spPr>
        <a:xfrm>
          <a:off x="7235825" y="1007506875"/>
          <a:ext cx="878840" cy="1183640"/>
        </a:xfrm>
        <a:prstGeom prst="rect">
          <a:avLst/>
        </a:prstGeom>
      </xdr:spPr>
    </xdr:pic>
    <xdr:clientData/>
  </xdr:twoCellAnchor>
  <xdr:twoCellAnchor>
    <xdr:from>
      <xdr:col>9</xdr:col>
      <xdr:colOff>6350</xdr:colOff>
      <xdr:row>1065</xdr:row>
      <xdr:rowOff>25400</xdr:rowOff>
    </xdr:from>
    <xdr:to>
      <xdr:col>9</xdr:col>
      <xdr:colOff>885190</xdr:colOff>
      <xdr:row>1065</xdr:row>
      <xdr:rowOff>1209040</xdr:rowOff>
    </xdr:to>
    <xdr:pic>
      <xdr:nvPicPr>
        <xdr:cNvPr id="5998" name="Изображение 5997" descr="resizeПП-00200392"/>
        <xdr:cNvPicPr>
          <a:picLocks noChangeAspect="1"/>
        </xdr:cNvPicPr>
      </xdr:nvPicPr>
      <xdr:blipFill>
        <a:blip xmlns:r="http://schemas.openxmlformats.org/officeDocument/2006/relationships" r:embed="rId765"/>
        <a:stretch>
          <a:fillRect/>
        </a:stretch>
      </xdr:blipFill>
      <xdr:spPr>
        <a:xfrm>
          <a:off x="7235825" y="1008729250"/>
          <a:ext cx="878840" cy="1183640"/>
        </a:xfrm>
        <a:prstGeom prst="rect">
          <a:avLst/>
        </a:prstGeom>
      </xdr:spPr>
    </xdr:pic>
    <xdr:clientData/>
  </xdr:twoCellAnchor>
  <xdr:twoCellAnchor>
    <xdr:from>
      <xdr:col>9</xdr:col>
      <xdr:colOff>6350</xdr:colOff>
      <xdr:row>1066</xdr:row>
      <xdr:rowOff>25400</xdr:rowOff>
    </xdr:from>
    <xdr:to>
      <xdr:col>9</xdr:col>
      <xdr:colOff>885190</xdr:colOff>
      <xdr:row>1066</xdr:row>
      <xdr:rowOff>1209040</xdr:rowOff>
    </xdr:to>
    <xdr:pic>
      <xdr:nvPicPr>
        <xdr:cNvPr id="5999" name="Изображение 5998" descr="resizeПП-00200394"/>
        <xdr:cNvPicPr>
          <a:picLocks noChangeAspect="1"/>
        </xdr:cNvPicPr>
      </xdr:nvPicPr>
      <xdr:blipFill>
        <a:blip xmlns:r="http://schemas.openxmlformats.org/officeDocument/2006/relationships" r:embed="rId766"/>
        <a:stretch>
          <a:fillRect/>
        </a:stretch>
      </xdr:blipFill>
      <xdr:spPr>
        <a:xfrm>
          <a:off x="7235825" y="1009951625"/>
          <a:ext cx="878840" cy="1183640"/>
        </a:xfrm>
        <a:prstGeom prst="rect">
          <a:avLst/>
        </a:prstGeom>
      </xdr:spPr>
    </xdr:pic>
    <xdr:clientData/>
  </xdr:twoCellAnchor>
  <xdr:twoCellAnchor>
    <xdr:from>
      <xdr:col>9</xdr:col>
      <xdr:colOff>6350</xdr:colOff>
      <xdr:row>1068</xdr:row>
      <xdr:rowOff>25400</xdr:rowOff>
    </xdr:from>
    <xdr:to>
      <xdr:col>9</xdr:col>
      <xdr:colOff>885190</xdr:colOff>
      <xdr:row>1068</xdr:row>
      <xdr:rowOff>1209040</xdr:rowOff>
    </xdr:to>
    <xdr:pic>
      <xdr:nvPicPr>
        <xdr:cNvPr id="6000" name="Изображение 5999" descr="resizeПП-00200371"/>
        <xdr:cNvPicPr>
          <a:picLocks noChangeAspect="1"/>
        </xdr:cNvPicPr>
      </xdr:nvPicPr>
      <xdr:blipFill>
        <a:blip xmlns:r="http://schemas.openxmlformats.org/officeDocument/2006/relationships" r:embed="rId767"/>
        <a:stretch>
          <a:fillRect/>
        </a:stretch>
      </xdr:blipFill>
      <xdr:spPr>
        <a:xfrm>
          <a:off x="7235825" y="1011326400"/>
          <a:ext cx="878840" cy="1183640"/>
        </a:xfrm>
        <a:prstGeom prst="rect">
          <a:avLst/>
        </a:prstGeom>
      </xdr:spPr>
    </xdr:pic>
    <xdr:clientData/>
  </xdr:twoCellAnchor>
  <xdr:twoCellAnchor>
    <xdr:from>
      <xdr:col>9</xdr:col>
      <xdr:colOff>6350</xdr:colOff>
      <xdr:row>1069</xdr:row>
      <xdr:rowOff>25400</xdr:rowOff>
    </xdr:from>
    <xdr:to>
      <xdr:col>9</xdr:col>
      <xdr:colOff>885190</xdr:colOff>
      <xdr:row>1069</xdr:row>
      <xdr:rowOff>1209040</xdr:rowOff>
    </xdr:to>
    <xdr:pic>
      <xdr:nvPicPr>
        <xdr:cNvPr id="6001" name="Изображение 6000" descr="resizeПП-00200373"/>
        <xdr:cNvPicPr>
          <a:picLocks noChangeAspect="1"/>
        </xdr:cNvPicPr>
      </xdr:nvPicPr>
      <xdr:blipFill>
        <a:blip xmlns:r="http://schemas.openxmlformats.org/officeDocument/2006/relationships" r:embed="rId768"/>
        <a:stretch>
          <a:fillRect/>
        </a:stretch>
      </xdr:blipFill>
      <xdr:spPr>
        <a:xfrm>
          <a:off x="7235825" y="1012548775"/>
          <a:ext cx="878840" cy="1183640"/>
        </a:xfrm>
        <a:prstGeom prst="rect">
          <a:avLst/>
        </a:prstGeom>
      </xdr:spPr>
    </xdr:pic>
    <xdr:clientData/>
  </xdr:twoCellAnchor>
  <xdr:twoCellAnchor>
    <xdr:from>
      <xdr:col>9</xdr:col>
      <xdr:colOff>6350</xdr:colOff>
      <xdr:row>1070</xdr:row>
      <xdr:rowOff>25400</xdr:rowOff>
    </xdr:from>
    <xdr:to>
      <xdr:col>9</xdr:col>
      <xdr:colOff>885190</xdr:colOff>
      <xdr:row>1070</xdr:row>
      <xdr:rowOff>1209040</xdr:rowOff>
    </xdr:to>
    <xdr:pic>
      <xdr:nvPicPr>
        <xdr:cNvPr id="6002" name="Изображение 6001" descr="resizeПП-00274908"/>
        <xdr:cNvPicPr>
          <a:picLocks noChangeAspect="1"/>
        </xdr:cNvPicPr>
      </xdr:nvPicPr>
      <xdr:blipFill>
        <a:blip xmlns:r="http://schemas.openxmlformats.org/officeDocument/2006/relationships" r:embed="rId769"/>
        <a:stretch>
          <a:fillRect/>
        </a:stretch>
      </xdr:blipFill>
      <xdr:spPr>
        <a:xfrm>
          <a:off x="7235825" y="1013771150"/>
          <a:ext cx="878840" cy="1183640"/>
        </a:xfrm>
        <a:prstGeom prst="rect">
          <a:avLst/>
        </a:prstGeom>
      </xdr:spPr>
    </xdr:pic>
    <xdr:clientData/>
  </xdr:twoCellAnchor>
  <xdr:twoCellAnchor>
    <xdr:from>
      <xdr:col>9</xdr:col>
      <xdr:colOff>6350</xdr:colOff>
      <xdr:row>1072</xdr:row>
      <xdr:rowOff>25400</xdr:rowOff>
    </xdr:from>
    <xdr:to>
      <xdr:col>9</xdr:col>
      <xdr:colOff>885190</xdr:colOff>
      <xdr:row>1072</xdr:row>
      <xdr:rowOff>1209040</xdr:rowOff>
    </xdr:to>
    <xdr:pic>
      <xdr:nvPicPr>
        <xdr:cNvPr id="6003" name="Изображение 6002" descr="resizeПП-00187159"/>
        <xdr:cNvPicPr>
          <a:picLocks noChangeAspect="1"/>
        </xdr:cNvPicPr>
      </xdr:nvPicPr>
      <xdr:blipFill>
        <a:blip xmlns:r="http://schemas.openxmlformats.org/officeDocument/2006/relationships" r:embed="rId770"/>
        <a:stretch>
          <a:fillRect/>
        </a:stretch>
      </xdr:blipFill>
      <xdr:spPr>
        <a:xfrm>
          <a:off x="7235825" y="1015145925"/>
          <a:ext cx="878840" cy="1183640"/>
        </a:xfrm>
        <a:prstGeom prst="rect">
          <a:avLst/>
        </a:prstGeom>
      </xdr:spPr>
    </xdr:pic>
    <xdr:clientData/>
  </xdr:twoCellAnchor>
  <xdr:twoCellAnchor>
    <xdr:from>
      <xdr:col>9</xdr:col>
      <xdr:colOff>6350</xdr:colOff>
      <xdr:row>1073</xdr:row>
      <xdr:rowOff>25400</xdr:rowOff>
    </xdr:from>
    <xdr:to>
      <xdr:col>9</xdr:col>
      <xdr:colOff>885190</xdr:colOff>
      <xdr:row>1073</xdr:row>
      <xdr:rowOff>1209040</xdr:rowOff>
    </xdr:to>
    <xdr:pic>
      <xdr:nvPicPr>
        <xdr:cNvPr id="6004" name="Изображение 6003" descr="resizeПП-00187162"/>
        <xdr:cNvPicPr>
          <a:picLocks noChangeAspect="1"/>
        </xdr:cNvPicPr>
      </xdr:nvPicPr>
      <xdr:blipFill>
        <a:blip xmlns:r="http://schemas.openxmlformats.org/officeDocument/2006/relationships" r:embed="rId771"/>
        <a:stretch>
          <a:fillRect/>
        </a:stretch>
      </xdr:blipFill>
      <xdr:spPr>
        <a:xfrm>
          <a:off x="7235825" y="1016368300"/>
          <a:ext cx="878840" cy="1183640"/>
        </a:xfrm>
        <a:prstGeom prst="rect">
          <a:avLst/>
        </a:prstGeom>
      </xdr:spPr>
    </xdr:pic>
    <xdr:clientData/>
  </xdr:twoCellAnchor>
  <xdr:twoCellAnchor>
    <xdr:from>
      <xdr:col>9</xdr:col>
      <xdr:colOff>6350</xdr:colOff>
      <xdr:row>1074</xdr:row>
      <xdr:rowOff>25400</xdr:rowOff>
    </xdr:from>
    <xdr:to>
      <xdr:col>9</xdr:col>
      <xdr:colOff>885190</xdr:colOff>
      <xdr:row>1074</xdr:row>
      <xdr:rowOff>1209040</xdr:rowOff>
    </xdr:to>
    <xdr:pic>
      <xdr:nvPicPr>
        <xdr:cNvPr id="6005" name="Изображение 6004" descr="resizeПП-00187155"/>
        <xdr:cNvPicPr>
          <a:picLocks noChangeAspect="1"/>
        </xdr:cNvPicPr>
      </xdr:nvPicPr>
      <xdr:blipFill>
        <a:blip xmlns:r="http://schemas.openxmlformats.org/officeDocument/2006/relationships" r:embed="rId772"/>
        <a:stretch>
          <a:fillRect/>
        </a:stretch>
      </xdr:blipFill>
      <xdr:spPr>
        <a:xfrm>
          <a:off x="7235825" y="1017590675"/>
          <a:ext cx="878840" cy="1183640"/>
        </a:xfrm>
        <a:prstGeom prst="rect">
          <a:avLst/>
        </a:prstGeom>
      </xdr:spPr>
    </xdr:pic>
    <xdr:clientData/>
  </xdr:twoCellAnchor>
  <xdr:twoCellAnchor>
    <xdr:from>
      <xdr:col>9</xdr:col>
      <xdr:colOff>6350</xdr:colOff>
      <xdr:row>1075</xdr:row>
      <xdr:rowOff>25400</xdr:rowOff>
    </xdr:from>
    <xdr:to>
      <xdr:col>9</xdr:col>
      <xdr:colOff>885190</xdr:colOff>
      <xdr:row>1075</xdr:row>
      <xdr:rowOff>1209040</xdr:rowOff>
    </xdr:to>
    <xdr:pic>
      <xdr:nvPicPr>
        <xdr:cNvPr id="6006" name="Изображение 6005" descr="resizeПП-00274914"/>
        <xdr:cNvPicPr>
          <a:picLocks noChangeAspect="1"/>
        </xdr:cNvPicPr>
      </xdr:nvPicPr>
      <xdr:blipFill>
        <a:blip xmlns:r="http://schemas.openxmlformats.org/officeDocument/2006/relationships" r:embed="rId773"/>
        <a:stretch>
          <a:fillRect/>
        </a:stretch>
      </xdr:blipFill>
      <xdr:spPr>
        <a:xfrm>
          <a:off x="7235825" y="1018813050"/>
          <a:ext cx="878840" cy="1183640"/>
        </a:xfrm>
        <a:prstGeom prst="rect">
          <a:avLst/>
        </a:prstGeom>
      </xdr:spPr>
    </xdr:pic>
    <xdr:clientData/>
  </xdr:twoCellAnchor>
  <xdr:twoCellAnchor>
    <xdr:from>
      <xdr:col>9</xdr:col>
      <xdr:colOff>6350</xdr:colOff>
      <xdr:row>1077</xdr:row>
      <xdr:rowOff>25400</xdr:rowOff>
    </xdr:from>
    <xdr:to>
      <xdr:col>9</xdr:col>
      <xdr:colOff>885190</xdr:colOff>
      <xdr:row>1077</xdr:row>
      <xdr:rowOff>1209040</xdr:rowOff>
    </xdr:to>
    <xdr:pic>
      <xdr:nvPicPr>
        <xdr:cNvPr id="6007" name="Изображение 6006" descr="resizeПП-00187350"/>
        <xdr:cNvPicPr>
          <a:picLocks noChangeAspect="1"/>
        </xdr:cNvPicPr>
      </xdr:nvPicPr>
      <xdr:blipFill>
        <a:blip xmlns:r="http://schemas.openxmlformats.org/officeDocument/2006/relationships" r:embed="rId774"/>
        <a:stretch>
          <a:fillRect/>
        </a:stretch>
      </xdr:blipFill>
      <xdr:spPr>
        <a:xfrm>
          <a:off x="7235825" y="1020187825"/>
          <a:ext cx="878840" cy="1183640"/>
        </a:xfrm>
        <a:prstGeom prst="rect">
          <a:avLst/>
        </a:prstGeom>
      </xdr:spPr>
    </xdr:pic>
    <xdr:clientData/>
  </xdr:twoCellAnchor>
  <xdr:twoCellAnchor>
    <xdr:from>
      <xdr:col>9</xdr:col>
      <xdr:colOff>6350</xdr:colOff>
      <xdr:row>1078</xdr:row>
      <xdr:rowOff>25400</xdr:rowOff>
    </xdr:from>
    <xdr:to>
      <xdr:col>9</xdr:col>
      <xdr:colOff>885190</xdr:colOff>
      <xdr:row>1078</xdr:row>
      <xdr:rowOff>1209040</xdr:rowOff>
    </xdr:to>
    <xdr:pic>
      <xdr:nvPicPr>
        <xdr:cNvPr id="6008" name="Изображение 6007" descr="resizeПП-00187346"/>
        <xdr:cNvPicPr>
          <a:picLocks noChangeAspect="1"/>
        </xdr:cNvPicPr>
      </xdr:nvPicPr>
      <xdr:blipFill>
        <a:blip xmlns:r="http://schemas.openxmlformats.org/officeDocument/2006/relationships" r:embed="rId775"/>
        <a:stretch>
          <a:fillRect/>
        </a:stretch>
      </xdr:blipFill>
      <xdr:spPr>
        <a:xfrm>
          <a:off x="7235825" y="1021410200"/>
          <a:ext cx="878840" cy="1183640"/>
        </a:xfrm>
        <a:prstGeom prst="rect">
          <a:avLst/>
        </a:prstGeom>
      </xdr:spPr>
    </xdr:pic>
    <xdr:clientData/>
  </xdr:twoCellAnchor>
  <xdr:twoCellAnchor>
    <xdr:from>
      <xdr:col>9</xdr:col>
      <xdr:colOff>6350</xdr:colOff>
      <xdr:row>1079</xdr:row>
      <xdr:rowOff>25400</xdr:rowOff>
    </xdr:from>
    <xdr:to>
      <xdr:col>9</xdr:col>
      <xdr:colOff>885190</xdr:colOff>
      <xdr:row>1079</xdr:row>
      <xdr:rowOff>1209040</xdr:rowOff>
    </xdr:to>
    <xdr:pic>
      <xdr:nvPicPr>
        <xdr:cNvPr id="6009" name="Изображение 6008" descr="resizeПП-00187349"/>
        <xdr:cNvPicPr>
          <a:picLocks noChangeAspect="1"/>
        </xdr:cNvPicPr>
      </xdr:nvPicPr>
      <xdr:blipFill>
        <a:blip xmlns:r="http://schemas.openxmlformats.org/officeDocument/2006/relationships" r:embed="rId776"/>
        <a:stretch>
          <a:fillRect/>
        </a:stretch>
      </xdr:blipFill>
      <xdr:spPr>
        <a:xfrm>
          <a:off x="7235825" y="1022632575"/>
          <a:ext cx="878840" cy="1183640"/>
        </a:xfrm>
        <a:prstGeom prst="rect">
          <a:avLst/>
        </a:prstGeom>
      </xdr:spPr>
    </xdr:pic>
    <xdr:clientData/>
  </xdr:twoCellAnchor>
  <xdr:twoCellAnchor>
    <xdr:from>
      <xdr:col>9</xdr:col>
      <xdr:colOff>6350</xdr:colOff>
      <xdr:row>1080</xdr:row>
      <xdr:rowOff>25400</xdr:rowOff>
    </xdr:from>
    <xdr:to>
      <xdr:col>9</xdr:col>
      <xdr:colOff>885190</xdr:colOff>
      <xdr:row>1080</xdr:row>
      <xdr:rowOff>1209040</xdr:rowOff>
    </xdr:to>
    <xdr:pic>
      <xdr:nvPicPr>
        <xdr:cNvPr id="6010" name="Изображение 6009" descr="resizeПП-00187339"/>
        <xdr:cNvPicPr>
          <a:picLocks noChangeAspect="1"/>
        </xdr:cNvPicPr>
      </xdr:nvPicPr>
      <xdr:blipFill>
        <a:blip xmlns:r="http://schemas.openxmlformats.org/officeDocument/2006/relationships" r:embed="rId777"/>
        <a:stretch>
          <a:fillRect/>
        </a:stretch>
      </xdr:blipFill>
      <xdr:spPr>
        <a:xfrm>
          <a:off x="7235825" y="1023854950"/>
          <a:ext cx="878840" cy="1183640"/>
        </a:xfrm>
        <a:prstGeom prst="rect">
          <a:avLst/>
        </a:prstGeom>
      </xdr:spPr>
    </xdr:pic>
    <xdr:clientData/>
  </xdr:twoCellAnchor>
  <xdr:twoCellAnchor>
    <xdr:from>
      <xdr:col>9</xdr:col>
      <xdr:colOff>6350</xdr:colOff>
      <xdr:row>1082</xdr:row>
      <xdr:rowOff>25400</xdr:rowOff>
    </xdr:from>
    <xdr:to>
      <xdr:col>9</xdr:col>
      <xdr:colOff>885190</xdr:colOff>
      <xdr:row>1082</xdr:row>
      <xdr:rowOff>1209040</xdr:rowOff>
    </xdr:to>
    <xdr:pic>
      <xdr:nvPicPr>
        <xdr:cNvPr id="6011" name="Изображение 6010" descr="resizeПП-00187169"/>
        <xdr:cNvPicPr>
          <a:picLocks noChangeAspect="1"/>
        </xdr:cNvPicPr>
      </xdr:nvPicPr>
      <xdr:blipFill>
        <a:blip xmlns:r="http://schemas.openxmlformats.org/officeDocument/2006/relationships" r:embed="rId778"/>
        <a:stretch>
          <a:fillRect/>
        </a:stretch>
      </xdr:blipFill>
      <xdr:spPr>
        <a:xfrm>
          <a:off x="7235825" y="1025229725"/>
          <a:ext cx="878840" cy="1183640"/>
        </a:xfrm>
        <a:prstGeom prst="rect">
          <a:avLst/>
        </a:prstGeom>
      </xdr:spPr>
    </xdr:pic>
    <xdr:clientData/>
  </xdr:twoCellAnchor>
  <xdr:twoCellAnchor>
    <xdr:from>
      <xdr:col>9</xdr:col>
      <xdr:colOff>6350</xdr:colOff>
      <xdr:row>1084</xdr:row>
      <xdr:rowOff>25400</xdr:rowOff>
    </xdr:from>
    <xdr:to>
      <xdr:col>9</xdr:col>
      <xdr:colOff>885190</xdr:colOff>
      <xdr:row>1084</xdr:row>
      <xdr:rowOff>1209040</xdr:rowOff>
    </xdr:to>
    <xdr:pic>
      <xdr:nvPicPr>
        <xdr:cNvPr id="6012" name="Изображение 6011" descr="resizeПП-00200374"/>
        <xdr:cNvPicPr>
          <a:picLocks noChangeAspect="1"/>
        </xdr:cNvPicPr>
      </xdr:nvPicPr>
      <xdr:blipFill>
        <a:blip xmlns:r="http://schemas.openxmlformats.org/officeDocument/2006/relationships" r:embed="rId779"/>
        <a:stretch>
          <a:fillRect/>
        </a:stretch>
      </xdr:blipFill>
      <xdr:spPr>
        <a:xfrm>
          <a:off x="7235825" y="1026604500"/>
          <a:ext cx="878840" cy="1183640"/>
        </a:xfrm>
        <a:prstGeom prst="rect">
          <a:avLst/>
        </a:prstGeom>
      </xdr:spPr>
    </xdr:pic>
    <xdr:clientData/>
  </xdr:twoCellAnchor>
  <xdr:twoCellAnchor>
    <xdr:from>
      <xdr:col>9</xdr:col>
      <xdr:colOff>6350</xdr:colOff>
      <xdr:row>1085</xdr:row>
      <xdr:rowOff>25400</xdr:rowOff>
    </xdr:from>
    <xdr:to>
      <xdr:col>9</xdr:col>
      <xdr:colOff>885190</xdr:colOff>
      <xdr:row>1085</xdr:row>
      <xdr:rowOff>1209040</xdr:rowOff>
    </xdr:to>
    <xdr:pic>
      <xdr:nvPicPr>
        <xdr:cNvPr id="6013" name="Изображение 6012" descr="resizeПП-00200376"/>
        <xdr:cNvPicPr>
          <a:picLocks noChangeAspect="1"/>
        </xdr:cNvPicPr>
      </xdr:nvPicPr>
      <xdr:blipFill>
        <a:blip xmlns:r="http://schemas.openxmlformats.org/officeDocument/2006/relationships" r:embed="rId780"/>
        <a:stretch>
          <a:fillRect/>
        </a:stretch>
      </xdr:blipFill>
      <xdr:spPr>
        <a:xfrm>
          <a:off x="7235825" y="1027826875"/>
          <a:ext cx="878840" cy="1183640"/>
        </a:xfrm>
        <a:prstGeom prst="rect">
          <a:avLst/>
        </a:prstGeom>
      </xdr:spPr>
    </xdr:pic>
    <xdr:clientData/>
  </xdr:twoCellAnchor>
  <xdr:twoCellAnchor>
    <xdr:from>
      <xdr:col>9</xdr:col>
      <xdr:colOff>6350</xdr:colOff>
      <xdr:row>1086</xdr:row>
      <xdr:rowOff>25400</xdr:rowOff>
    </xdr:from>
    <xdr:to>
      <xdr:col>9</xdr:col>
      <xdr:colOff>885190</xdr:colOff>
      <xdr:row>1086</xdr:row>
      <xdr:rowOff>1209040</xdr:rowOff>
    </xdr:to>
    <xdr:pic>
      <xdr:nvPicPr>
        <xdr:cNvPr id="6014" name="Изображение 6013" descr="resizeПП-00200375"/>
        <xdr:cNvPicPr>
          <a:picLocks noChangeAspect="1"/>
        </xdr:cNvPicPr>
      </xdr:nvPicPr>
      <xdr:blipFill>
        <a:blip xmlns:r="http://schemas.openxmlformats.org/officeDocument/2006/relationships" r:embed="rId781"/>
        <a:stretch>
          <a:fillRect/>
        </a:stretch>
      </xdr:blipFill>
      <xdr:spPr>
        <a:xfrm>
          <a:off x="7235825" y="1029049250"/>
          <a:ext cx="878840" cy="1183640"/>
        </a:xfrm>
        <a:prstGeom prst="rect">
          <a:avLst/>
        </a:prstGeom>
      </xdr:spPr>
    </xdr:pic>
    <xdr:clientData/>
  </xdr:twoCellAnchor>
  <xdr:twoCellAnchor>
    <xdr:from>
      <xdr:col>9</xdr:col>
      <xdr:colOff>6350</xdr:colOff>
      <xdr:row>1087</xdr:row>
      <xdr:rowOff>25400</xdr:rowOff>
    </xdr:from>
    <xdr:to>
      <xdr:col>9</xdr:col>
      <xdr:colOff>885190</xdr:colOff>
      <xdr:row>1087</xdr:row>
      <xdr:rowOff>1209040</xdr:rowOff>
    </xdr:to>
    <xdr:pic>
      <xdr:nvPicPr>
        <xdr:cNvPr id="6015" name="Изображение 6014" descr="resizeПП-00200377"/>
        <xdr:cNvPicPr>
          <a:picLocks noChangeAspect="1"/>
        </xdr:cNvPicPr>
      </xdr:nvPicPr>
      <xdr:blipFill>
        <a:blip xmlns:r="http://schemas.openxmlformats.org/officeDocument/2006/relationships" r:embed="rId782"/>
        <a:stretch>
          <a:fillRect/>
        </a:stretch>
      </xdr:blipFill>
      <xdr:spPr>
        <a:xfrm>
          <a:off x="7235825" y="1030271625"/>
          <a:ext cx="878840" cy="1183640"/>
        </a:xfrm>
        <a:prstGeom prst="rect">
          <a:avLst/>
        </a:prstGeom>
      </xdr:spPr>
    </xdr:pic>
    <xdr:clientData/>
  </xdr:twoCellAnchor>
  <xdr:twoCellAnchor>
    <xdr:from>
      <xdr:col>9</xdr:col>
      <xdr:colOff>6350</xdr:colOff>
      <xdr:row>1090</xdr:row>
      <xdr:rowOff>25400</xdr:rowOff>
    </xdr:from>
    <xdr:to>
      <xdr:col>9</xdr:col>
      <xdr:colOff>885190</xdr:colOff>
      <xdr:row>1090</xdr:row>
      <xdr:rowOff>1209040</xdr:rowOff>
    </xdr:to>
    <xdr:pic>
      <xdr:nvPicPr>
        <xdr:cNvPr id="6016" name="Изображение 6015" descr="resizeПП-00274936"/>
        <xdr:cNvPicPr>
          <a:picLocks noChangeAspect="1"/>
        </xdr:cNvPicPr>
      </xdr:nvPicPr>
      <xdr:blipFill>
        <a:blip xmlns:r="http://schemas.openxmlformats.org/officeDocument/2006/relationships" r:embed="rId783"/>
        <a:stretch>
          <a:fillRect/>
        </a:stretch>
      </xdr:blipFill>
      <xdr:spPr>
        <a:xfrm>
          <a:off x="7235825" y="1031798800"/>
          <a:ext cx="878840" cy="1183640"/>
        </a:xfrm>
        <a:prstGeom prst="rect">
          <a:avLst/>
        </a:prstGeom>
      </xdr:spPr>
    </xdr:pic>
    <xdr:clientData/>
  </xdr:twoCellAnchor>
  <xdr:twoCellAnchor>
    <xdr:from>
      <xdr:col>9</xdr:col>
      <xdr:colOff>6350</xdr:colOff>
      <xdr:row>1092</xdr:row>
      <xdr:rowOff>25400</xdr:rowOff>
    </xdr:from>
    <xdr:to>
      <xdr:col>9</xdr:col>
      <xdr:colOff>885190</xdr:colOff>
      <xdr:row>1092</xdr:row>
      <xdr:rowOff>1209040</xdr:rowOff>
    </xdr:to>
    <xdr:pic>
      <xdr:nvPicPr>
        <xdr:cNvPr id="6017" name="Изображение 6016" descr="resizeПП-00187177"/>
        <xdr:cNvPicPr>
          <a:picLocks noChangeAspect="1"/>
        </xdr:cNvPicPr>
      </xdr:nvPicPr>
      <xdr:blipFill>
        <a:blip xmlns:r="http://schemas.openxmlformats.org/officeDocument/2006/relationships" r:embed="rId784"/>
        <a:stretch>
          <a:fillRect/>
        </a:stretch>
      </xdr:blipFill>
      <xdr:spPr>
        <a:xfrm>
          <a:off x="7235825" y="1033173575"/>
          <a:ext cx="878840" cy="1183640"/>
        </a:xfrm>
        <a:prstGeom prst="rect">
          <a:avLst/>
        </a:prstGeom>
      </xdr:spPr>
    </xdr:pic>
    <xdr:clientData/>
  </xdr:twoCellAnchor>
  <xdr:twoCellAnchor>
    <xdr:from>
      <xdr:col>9</xdr:col>
      <xdr:colOff>6350</xdr:colOff>
      <xdr:row>1093</xdr:row>
      <xdr:rowOff>25400</xdr:rowOff>
    </xdr:from>
    <xdr:to>
      <xdr:col>9</xdr:col>
      <xdr:colOff>885190</xdr:colOff>
      <xdr:row>1093</xdr:row>
      <xdr:rowOff>1209040</xdr:rowOff>
    </xdr:to>
    <xdr:pic>
      <xdr:nvPicPr>
        <xdr:cNvPr id="6018" name="Изображение 6017" descr="resizeПП-00046781"/>
        <xdr:cNvPicPr>
          <a:picLocks noChangeAspect="1"/>
        </xdr:cNvPicPr>
      </xdr:nvPicPr>
      <xdr:blipFill>
        <a:blip xmlns:r="http://schemas.openxmlformats.org/officeDocument/2006/relationships" r:embed="rId785"/>
        <a:stretch>
          <a:fillRect/>
        </a:stretch>
      </xdr:blipFill>
      <xdr:spPr>
        <a:xfrm>
          <a:off x="7235825" y="1034395950"/>
          <a:ext cx="878840" cy="1183640"/>
        </a:xfrm>
        <a:prstGeom prst="rect">
          <a:avLst/>
        </a:prstGeom>
      </xdr:spPr>
    </xdr:pic>
    <xdr:clientData/>
  </xdr:twoCellAnchor>
  <xdr:twoCellAnchor>
    <xdr:from>
      <xdr:col>9</xdr:col>
      <xdr:colOff>6350</xdr:colOff>
      <xdr:row>1095</xdr:row>
      <xdr:rowOff>25400</xdr:rowOff>
    </xdr:from>
    <xdr:to>
      <xdr:col>9</xdr:col>
      <xdr:colOff>885190</xdr:colOff>
      <xdr:row>1095</xdr:row>
      <xdr:rowOff>1209040</xdr:rowOff>
    </xdr:to>
    <xdr:pic>
      <xdr:nvPicPr>
        <xdr:cNvPr id="6019" name="Изображение 6018" descr="resizeПП-00251474"/>
        <xdr:cNvPicPr>
          <a:picLocks noChangeAspect="1"/>
        </xdr:cNvPicPr>
      </xdr:nvPicPr>
      <xdr:blipFill>
        <a:blip xmlns:r="http://schemas.openxmlformats.org/officeDocument/2006/relationships" r:embed="rId786"/>
        <a:stretch>
          <a:fillRect/>
        </a:stretch>
      </xdr:blipFill>
      <xdr:spPr>
        <a:xfrm>
          <a:off x="7235825" y="1035770725"/>
          <a:ext cx="878840" cy="1183640"/>
        </a:xfrm>
        <a:prstGeom prst="rect">
          <a:avLst/>
        </a:prstGeom>
      </xdr:spPr>
    </xdr:pic>
    <xdr:clientData/>
  </xdr:twoCellAnchor>
  <xdr:twoCellAnchor>
    <xdr:from>
      <xdr:col>9</xdr:col>
      <xdr:colOff>6350</xdr:colOff>
      <xdr:row>1096</xdr:row>
      <xdr:rowOff>25400</xdr:rowOff>
    </xdr:from>
    <xdr:to>
      <xdr:col>9</xdr:col>
      <xdr:colOff>885190</xdr:colOff>
      <xdr:row>1096</xdr:row>
      <xdr:rowOff>1209040</xdr:rowOff>
    </xdr:to>
    <xdr:pic>
      <xdr:nvPicPr>
        <xdr:cNvPr id="6020" name="Изображение 6019" descr="resizeПП-00251506"/>
        <xdr:cNvPicPr>
          <a:picLocks noChangeAspect="1"/>
        </xdr:cNvPicPr>
      </xdr:nvPicPr>
      <xdr:blipFill>
        <a:blip xmlns:r="http://schemas.openxmlformats.org/officeDocument/2006/relationships" r:embed="rId787"/>
        <a:stretch>
          <a:fillRect/>
        </a:stretch>
      </xdr:blipFill>
      <xdr:spPr>
        <a:xfrm>
          <a:off x="7235825" y="1036993100"/>
          <a:ext cx="878840" cy="1183640"/>
        </a:xfrm>
        <a:prstGeom prst="rect">
          <a:avLst/>
        </a:prstGeom>
      </xdr:spPr>
    </xdr:pic>
    <xdr:clientData/>
  </xdr:twoCellAnchor>
  <xdr:twoCellAnchor>
    <xdr:from>
      <xdr:col>9</xdr:col>
      <xdr:colOff>6350</xdr:colOff>
      <xdr:row>1097</xdr:row>
      <xdr:rowOff>25400</xdr:rowOff>
    </xdr:from>
    <xdr:to>
      <xdr:col>9</xdr:col>
      <xdr:colOff>885190</xdr:colOff>
      <xdr:row>1097</xdr:row>
      <xdr:rowOff>1209040</xdr:rowOff>
    </xdr:to>
    <xdr:pic>
      <xdr:nvPicPr>
        <xdr:cNvPr id="6021" name="Изображение 6020" descr="resizeПП-00251473"/>
        <xdr:cNvPicPr>
          <a:picLocks noChangeAspect="1"/>
        </xdr:cNvPicPr>
      </xdr:nvPicPr>
      <xdr:blipFill>
        <a:blip xmlns:r="http://schemas.openxmlformats.org/officeDocument/2006/relationships" r:embed="rId788"/>
        <a:stretch>
          <a:fillRect/>
        </a:stretch>
      </xdr:blipFill>
      <xdr:spPr>
        <a:xfrm>
          <a:off x="7235825" y="1038215475"/>
          <a:ext cx="878840" cy="1183640"/>
        </a:xfrm>
        <a:prstGeom prst="rect">
          <a:avLst/>
        </a:prstGeom>
      </xdr:spPr>
    </xdr:pic>
    <xdr:clientData/>
  </xdr:twoCellAnchor>
  <xdr:twoCellAnchor>
    <xdr:from>
      <xdr:col>9</xdr:col>
      <xdr:colOff>6350</xdr:colOff>
      <xdr:row>1098</xdr:row>
      <xdr:rowOff>25400</xdr:rowOff>
    </xdr:from>
    <xdr:to>
      <xdr:col>9</xdr:col>
      <xdr:colOff>885190</xdr:colOff>
      <xdr:row>1098</xdr:row>
      <xdr:rowOff>1209040</xdr:rowOff>
    </xdr:to>
    <xdr:pic>
      <xdr:nvPicPr>
        <xdr:cNvPr id="6022" name="Изображение 6021" descr="resizeПП-00275566"/>
        <xdr:cNvPicPr>
          <a:picLocks noChangeAspect="1"/>
        </xdr:cNvPicPr>
      </xdr:nvPicPr>
      <xdr:blipFill>
        <a:blip xmlns:r="http://schemas.openxmlformats.org/officeDocument/2006/relationships" r:embed="rId789"/>
        <a:stretch>
          <a:fillRect/>
        </a:stretch>
      </xdr:blipFill>
      <xdr:spPr>
        <a:xfrm>
          <a:off x="7235825" y="1039437850"/>
          <a:ext cx="878840" cy="1183640"/>
        </a:xfrm>
        <a:prstGeom prst="rect">
          <a:avLst/>
        </a:prstGeom>
      </xdr:spPr>
    </xdr:pic>
    <xdr:clientData/>
  </xdr:twoCellAnchor>
  <xdr:twoCellAnchor>
    <xdr:from>
      <xdr:col>9</xdr:col>
      <xdr:colOff>6350</xdr:colOff>
      <xdr:row>1099</xdr:row>
      <xdr:rowOff>25400</xdr:rowOff>
    </xdr:from>
    <xdr:to>
      <xdr:col>9</xdr:col>
      <xdr:colOff>885190</xdr:colOff>
      <xdr:row>1099</xdr:row>
      <xdr:rowOff>1209040</xdr:rowOff>
    </xdr:to>
    <xdr:pic>
      <xdr:nvPicPr>
        <xdr:cNvPr id="6023" name="Изображение 6022" descr="resizeПП-00275563"/>
        <xdr:cNvPicPr>
          <a:picLocks noChangeAspect="1"/>
        </xdr:cNvPicPr>
      </xdr:nvPicPr>
      <xdr:blipFill>
        <a:blip xmlns:r="http://schemas.openxmlformats.org/officeDocument/2006/relationships" r:embed="rId790"/>
        <a:stretch>
          <a:fillRect/>
        </a:stretch>
      </xdr:blipFill>
      <xdr:spPr>
        <a:xfrm>
          <a:off x="7235825" y="1040660225"/>
          <a:ext cx="878840" cy="1183640"/>
        </a:xfrm>
        <a:prstGeom prst="rect">
          <a:avLst/>
        </a:prstGeom>
      </xdr:spPr>
    </xdr:pic>
    <xdr:clientData/>
  </xdr:twoCellAnchor>
  <xdr:twoCellAnchor>
    <xdr:from>
      <xdr:col>9</xdr:col>
      <xdr:colOff>6350</xdr:colOff>
      <xdr:row>1100</xdr:row>
      <xdr:rowOff>25400</xdr:rowOff>
    </xdr:from>
    <xdr:to>
      <xdr:col>9</xdr:col>
      <xdr:colOff>885190</xdr:colOff>
      <xdr:row>1100</xdr:row>
      <xdr:rowOff>1209040</xdr:rowOff>
    </xdr:to>
    <xdr:pic>
      <xdr:nvPicPr>
        <xdr:cNvPr id="6024" name="Изображение 6023" descr="resizeПП-00275572"/>
        <xdr:cNvPicPr>
          <a:picLocks noChangeAspect="1"/>
        </xdr:cNvPicPr>
      </xdr:nvPicPr>
      <xdr:blipFill>
        <a:blip xmlns:r="http://schemas.openxmlformats.org/officeDocument/2006/relationships" r:embed="rId791"/>
        <a:stretch>
          <a:fillRect/>
        </a:stretch>
      </xdr:blipFill>
      <xdr:spPr>
        <a:xfrm>
          <a:off x="7235825" y="1041882600"/>
          <a:ext cx="878840" cy="1183640"/>
        </a:xfrm>
        <a:prstGeom prst="rect">
          <a:avLst/>
        </a:prstGeom>
      </xdr:spPr>
    </xdr:pic>
    <xdr:clientData/>
  </xdr:twoCellAnchor>
  <xdr:twoCellAnchor>
    <xdr:from>
      <xdr:col>9</xdr:col>
      <xdr:colOff>6350</xdr:colOff>
      <xdr:row>1101</xdr:row>
      <xdr:rowOff>25400</xdr:rowOff>
    </xdr:from>
    <xdr:to>
      <xdr:col>9</xdr:col>
      <xdr:colOff>885190</xdr:colOff>
      <xdr:row>1101</xdr:row>
      <xdr:rowOff>1209040</xdr:rowOff>
    </xdr:to>
    <xdr:pic>
      <xdr:nvPicPr>
        <xdr:cNvPr id="6025" name="Изображение 6024" descr="resizeПП-00275571"/>
        <xdr:cNvPicPr>
          <a:picLocks noChangeAspect="1"/>
        </xdr:cNvPicPr>
      </xdr:nvPicPr>
      <xdr:blipFill>
        <a:blip xmlns:r="http://schemas.openxmlformats.org/officeDocument/2006/relationships" r:embed="rId792"/>
        <a:stretch>
          <a:fillRect/>
        </a:stretch>
      </xdr:blipFill>
      <xdr:spPr>
        <a:xfrm>
          <a:off x="7235825" y="1043104975"/>
          <a:ext cx="878840" cy="1183640"/>
        </a:xfrm>
        <a:prstGeom prst="rect">
          <a:avLst/>
        </a:prstGeom>
      </xdr:spPr>
    </xdr:pic>
    <xdr:clientData/>
  </xdr:twoCellAnchor>
  <xdr:twoCellAnchor>
    <xdr:from>
      <xdr:col>9</xdr:col>
      <xdr:colOff>6350</xdr:colOff>
      <xdr:row>1102</xdr:row>
      <xdr:rowOff>25400</xdr:rowOff>
    </xdr:from>
    <xdr:to>
      <xdr:col>9</xdr:col>
      <xdr:colOff>885190</xdr:colOff>
      <xdr:row>1102</xdr:row>
      <xdr:rowOff>1209040</xdr:rowOff>
    </xdr:to>
    <xdr:pic>
      <xdr:nvPicPr>
        <xdr:cNvPr id="6026" name="Изображение 6025" descr="resizeПП-00275564"/>
        <xdr:cNvPicPr>
          <a:picLocks noChangeAspect="1"/>
        </xdr:cNvPicPr>
      </xdr:nvPicPr>
      <xdr:blipFill>
        <a:blip xmlns:r="http://schemas.openxmlformats.org/officeDocument/2006/relationships" r:embed="rId793"/>
        <a:stretch>
          <a:fillRect/>
        </a:stretch>
      </xdr:blipFill>
      <xdr:spPr>
        <a:xfrm>
          <a:off x="7235825" y="1044327350"/>
          <a:ext cx="878840" cy="1183640"/>
        </a:xfrm>
        <a:prstGeom prst="rect">
          <a:avLst/>
        </a:prstGeom>
      </xdr:spPr>
    </xdr:pic>
    <xdr:clientData/>
  </xdr:twoCellAnchor>
  <xdr:twoCellAnchor>
    <xdr:from>
      <xdr:col>9</xdr:col>
      <xdr:colOff>6350</xdr:colOff>
      <xdr:row>1103</xdr:row>
      <xdr:rowOff>25400</xdr:rowOff>
    </xdr:from>
    <xdr:to>
      <xdr:col>9</xdr:col>
      <xdr:colOff>1189990</xdr:colOff>
      <xdr:row>1103</xdr:row>
      <xdr:rowOff>904240</xdr:rowOff>
    </xdr:to>
    <xdr:pic>
      <xdr:nvPicPr>
        <xdr:cNvPr id="6027" name="Изображение 6026" descr="resizeПП-00275565"/>
        <xdr:cNvPicPr>
          <a:picLocks noChangeAspect="1"/>
        </xdr:cNvPicPr>
      </xdr:nvPicPr>
      <xdr:blipFill>
        <a:blip xmlns:r="http://schemas.openxmlformats.org/officeDocument/2006/relationships" r:embed="rId794"/>
        <a:stretch>
          <a:fillRect/>
        </a:stretch>
      </xdr:blipFill>
      <xdr:spPr>
        <a:xfrm>
          <a:off x="7235825" y="1045549725"/>
          <a:ext cx="1183640" cy="878840"/>
        </a:xfrm>
        <a:prstGeom prst="rect">
          <a:avLst/>
        </a:prstGeom>
      </xdr:spPr>
    </xdr:pic>
    <xdr:clientData/>
  </xdr:twoCellAnchor>
  <xdr:twoCellAnchor>
    <xdr:from>
      <xdr:col>9</xdr:col>
      <xdr:colOff>6350</xdr:colOff>
      <xdr:row>1104</xdr:row>
      <xdr:rowOff>25400</xdr:rowOff>
    </xdr:from>
    <xdr:to>
      <xdr:col>9</xdr:col>
      <xdr:colOff>885190</xdr:colOff>
      <xdr:row>1104</xdr:row>
      <xdr:rowOff>1209040</xdr:rowOff>
    </xdr:to>
    <xdr:pic>
      <xdr:nvPicPr>
        <xdr:cNvPr id="6028" name="Изображение 6027" descr="resizeПП-00046812"/>
        <xdr:cNvPicPr>
          <a:picLocks noChangeAspect="1"/>
        </xdr:cNvPicPr>
      </xdr:nvPicPr>
      <xdr:blipFill>
        <a:blip xmlns:r="http://schemas.openxmlformats.org/officeDocument/2006/relationships" r:embed="rId795"/>
        <a:stretch>
          <a:fillRect/>
        </a:stretch>
      </xdr:blipFill>
      <xdr:spPr>
        <a:xfrm>
          <a:off x="7235825" y="1046772100"/>
          <a:ext cx="878840" cy="1183640"/>
        </a:xfrm>
        <a:prstGeom prst="rect">
          <a:avLst/>
        </a:prstGeom>
      </xdr:spPr>
    </xdr:pic>
    <xdr:clientData/>
  </xdr:twoCellAnchor>
  <xdr:twoCellAnchor>
    <xdr:from>
      <xdr:col>9</xdr:col>
      <xdr:colOff>6350</xdr:colOff>
      <xdr:row>1105</xdr:row>
      <xdr:rowOff>25400</xdr:rowOff>
    </xdr:from>
    <xdr:to>
      <xdr:col>9</xdr:col>
      <xdr:colOff>885190</xdr:colOff>
      <xdr:row>1105</xdr:row>
      <xdr:rowOff>1209040</xdr:rowOff>
    </xdr:to>
    <xdr:pic>
      <xdr:nvPicPr>
        <xdr:cNvPr id="6029" name="Изображение 6028" descr="resizeПП-00200473"/>
        <xdr:cNvPicPr>
          <a:picLocks noChangeAspect="1"/>
        </xdr:cNvPicPr>
      </xdr:nvPicPr>
      <xdr:blipFill>
        <a:blip xmlns:r="http://schemas.openxmlformats.org/officeDocument/2006/relationships" r:embed="rId796"/>
        <a:stretch>
          <a:fillRect/>
        </a:stretch>
      </xdr:blipFill>
      <xdr:spPr>
        <a:xfrm>
          <a:off x="7235825" y="1047994475"/>
          <a:ext cx="878840" cy="1183640"/>
        </a:xfrm>
        <a:prstGeom prst="rect">
          <a:avLst/>
        </a:prstGeom>
      </xdr:spPr>
    </xdr:pic>
    <xdr:clientData/>
  </xdr:twoCellAnchor>
  <xdr:twoCellAnchor>
    <xdr:from>
      <xdr:col>9</xdr:col>
      <xdr:colOff>6350</xdr:colOff>
      <xdr:row>1106</xdr:row>
      <xdr:rowOff>25400</xdr:rowOff>
    </xdr:from>
    <xdr:to>
      <xdr:col>9</xdr:col>
      <xdr:colOff>885190</xdr:colOff>
      <xdr:row>1106</xdr:row>
      <xdr:rowOff>1209040</xdr:rowOff>
    </xdr:to>
    <xdr:pic>
      <xdr:nvPicPr>
        <xdr:cNvPr id="6030" name="Изображение 6029" descr="resizeПП-00200479"/>
        <xdr:cNvPicPr>
          <a:picLocks noChangeAspect="1"/>
        </xdr:cNvPicPr>
      </xdr:nvPicPr>
      <xdr:blipFill>
        <a:blip xmlns:r="http://schemas.openxmlformats.org/officeDocument/2006/relationships" r:embed="rId797"/>
        <a:stretch>
          <a:fillRect/>
        </a:stretch>
      </xdr:blipFill>
      <xdr:spPr>
        <a:xfrm>
          <a:off x="7235825" y="1049216850"/>
          <a:ext cx="878840" cy="1183640"/>
        </a:xfrm>
        <a:prstGeom prst="rect">
          <a:avLst/>
        </a:prstGeom>
      </xdr:spPr>
    </xdr:pic>
    <xdr:clientData/>
  </xdr:twoCellAnchor>
  <xdr:twoCellAnchor>
    <xdr:from>
      <xdr:col>9</xdr:col>
      <xdr:colOff>6350</xdr:colOff>
      <xdr:row>1107</xdr:row>
      <xdr:rowOff>25400</xdr:rowOff>
    </xdr:from>
    <xdr:to>
      <xdr:col>9</xdr:col>
      <xdr:colOff>885190</xdr:colOff>
      <xdr:row>1107</xdr:row>
      <xdr:rowOff>1209040</xdr:rowOff>
    </xdr:to>
    <xdr:pic>
      <xdr:nvPicPr>
        <xdr:cNvPr id="6031" name="Изображение 6030" descr="resizeПП-00046819"/>
        <xdr:cNvPicPr>
          <a:picLocks noChangeAspect="1"/>
        </xdr:cNvPicPr>
      </xdr:nvPicPr>
      <xdr:blipFill>
        <a:blip xmlns:r="http://schemas.openxmlformats.org/officeDocument/2006/relationships" r:embed="rId798"/>
        <a:stretch>
          <a:fillRect/>
        </a:stretch>
      </xdr:blipFill>
      <xdr:spPr>
        <a:xfrm>
          <a:off x="7235825" y="1050439225"/>
          <a:ext cx="878840" cy="1183640"/>
        </a:xfrm>
        <a:prstGeom prst="rect">
          <a:avLst/>
        </a:prstGeom>
      </xdr:spPr>
    </xdr:pic>
    <xdr:clientData/>
  </xdr:twoCellAnchor>
  <xdr:twoCellAnchor>
    <xdr:from>
      <xdr:col>9</xdr:col>
      <xdr:colOff>6350</xdr:colOff>
      <xdr:row>1108</xdr:row>
      <xdr:rowOff>25400</xdr:rowOff>
    </xdr:from>
    <xdr:to>
      <xdr:col>9</xdr:col>
      <xdr:colOff>885190</xdr:colOff>
      <xdr:row>1108</xdr:row>
      <xdr:rowOff>1209040</xdr:rowOff>
    </xdr:to>
    <xdr:pic>
      <xdr:nvPicPr>
        <xdr:cNvPr id="6032" name="Изображение 6031" descr="resizeПП-00200525"/>
        <xdr:cNvPicPr>
          <a:picLocks noChangeAspect="1"/>
        </xdr:cNvPicPr>
      </xdr:nvPicPr>
      <xdr:blipFill>
        <a:blip xmlns:r="http://schemas.openxmlformats.org/officeDocument/2006/relationships" r:embed="rId799"/>
        <a:stretch>
          <a:fillRect/>
        </a:stretch>
      </xdr:blipFill>
      <xdr:spPr>
        <a:xfrm>
          <a:off x="7235825" y="1051661600"/>
          <a:ext cx="878840" cy="1183640"/>
        </a:xfrm>
        <a:prstGeom prst="rect">
          <a:avLst/>
        </a:prstGeom>
      </xdr:spPr>
    </xdr:pic>
    <xdr:clientData/>
  </xdr:twoCellAnchor>
  <xdr:twoCellAnchor>
    <xdr:from>
      <xdr:col>9</xdr:col>
      <xdr:colOff>6350</xdr:colOff>
      <xdr:row>1109</xdr:row>
      <xdr:rowOff>25400</xdr:rowOff>
    </xdr:from>
    <xdr:to>
      <xdr:col>9</xdr:col>
      <xdr:colOff>885190</xdr:colOff>
      <xdr:row>1109</xdr:row>
      <xdr:rowOff>1209040</xdr:rowOff>
    </xdr:to>
    <xdr:pic>
      <xdr:nvPicPr>
        <xdr:cNvPr id="6033" name="Изображение 6032" descr="resizeПП-00274910"/>
        <xdr:cNvPicPr>
          <a:picLocks noChangeAspect="1"/>
        </xdr:cNvPicPr>
      </xdr:nvPicPr>
      <xdr:blipFill>
        <a:blip xmlns:r="http://schemas.openxmlformats.org/officeDocument/2006/relationships" r:embed="rId800"/>
        <a:stretch>
          <a:fillRect/>
        </a:stretch>
      </xdr:blipFill>
      <xdr:spPr>
        <a:xfrm>
          <a:off x="7235825" y="1052883975"/>
          <a:ext cx="878840" cy="1183640"/>
        </a:xfrm>
        <a:prstGeom prst="rect">
          <a:avLst/>
        </a:prstGeom>
      </xdr:spPr>
    </xdr:pic>
    <xdr:clientData/>
  </xdr:twoCellAnchor>
  <xdr:twoCellAnchor>
    <xdr:from>
      <xdr:col>9</xdr:col>
      <xdr:colOff>6350</xdr:colOff>
      <xdr:row>1110</xdr:row>
      <xdr:rowOff>25400</xdr:rowOff>
    </xdr:from>
    <xdr:to>
      <xdr:col>9</xdr:col>
      <xdr:colOff>885190</xdr:colOff>
      <xdr:row>1110</xdr:row>
      <xdr:rowOff>1209040</xdr:rowOff>
    </xdr:to>
    <xdr:pic>
      <xdr:nvPicPr>
        <xdr:cNvPr id="6034" name="Изображение 6033" descr="resizeПП-00274940"/>
        <xdr:cNvPicPr>
          <a:picLocks noChangeAspect="1"/>
        </xdr:cNvPicPr>
      </xdr:nvPicPr>
      <xdr:blipFill>
        <a:blip xmlns:r="http://schemas.openxmlformats.org/officeDocument/2006/relationships" r:embed="rId801"/>
        <a:stretch>
          <a:fillRect/>
        </a:stretch>
      </xdr:blipFill>
      <xdr:spPr>
        <a:xfrm>
          <a:off x="7235825" y="1054106350"/>
          <a:ext cx="878840" cy="1183640"/>
        </a:xfrm>
        <a:prstGeom prst="rect">
          <a:avLst/>
        </a:prstGeom>
      </xdr:spPr>
    </xdr:pic>
    <xdr:clientData/>
  </xdr:twoCellAnchor>
  <xdr:twoCellAnchor>
    <xdr:from>
      <xdr:col>9</xdr:col>
      <xdr:colOff>6350</xdr:colOff>
      <xdr:row>1111</xdr:row>
      <xdr:rowOff>25400</xdr:rowOff>
    </xdr:from>
    <xdr:to>
      <xdr:col>9</xdr:col>
      <xdr:colOff>885190</xdr:colOff>
      <xdr:row>1111</xdr:row>
      <xdr:rowOff>1209040</xdr:rowOff>
    </xdr:to>
    <xdr:pic>
      <xdr:nvPicPr>
        <xdr:cNvPr id="6035" name="Изображение 6034" descr="resizeПП-00274920"/>
        <xdr:cNvPicPr>
          <a:picLocks noChangeAspect="1"/>
        </xdr:cNvPicPr>
      </xdr:nvPicPr>
      <xdr:blipFill>
        <a:blip xmlns:r="http://schemas.openxmlformats.org/officeDocument/2006/relationships" r:embed="rId802"/>
        <a:stretch>
          <a:fillRect/>
        </a:stretch>
      </xdr:blipFill>
      <xdr:spPr>
        <a:xfrm>
          <a:off x="7235825" y="1055328725"/>
          <a:ext cx="878840" cy="1183640"/>
        </a:xfrm>
        <a:prstGeom prst="rect">
          <a:avLst/>
        </a:prstGeom>
      </xdr:spPr>
    </xdr:pic>
    <xdr:clientData/>
  </xdr:twoCellAnchor>
  <xdr:twoCellAnchor>
    <xdr:from>
      <xdr:col>9</xdr:col>
      <xdr:colOff>6350</xdr:colOff>
      <xdr:row>1112</xdr:row>
      <xdr:rowOff>25400</xdr:rowOff>
    </xdr:from>
    <xdr:to>
      <xdr:col>9</xdr:col>
      <xdr:colOff>885190</xdr:colOff>
      <xdr:row>1112</xdr:row>
      <xdr:rowOff>1209040</xdr:rowOff>
    </xdr:to>
    <xdr:pic>
      <xdr:nvPicPr>
        <xdr:cNvPr id="6036" name="Изображение 6035" descr="resizeПП-00163989"/>
        <xdr:cNvPicPr>
          <a:picLocks noChangeAspect="1"/>
        </xdr:cNvPicPr>
      </xdr:nvPicPr>
      <xdr:blipFill>
        <a:blip xmlns:r="http://schemas.openxmlformats.org/officeDocument/2006/relationships" r:embed="rId803"/>
        <a:stretch>
          <a:fillRect/>
        </a:stretch>
      </xdr:blipFill>
      <xdr:spPr>
        <a:xfrm>
          <a:off x="7235825" y="1056551100"/>
          <a:ext cx="878840" cy="1183640"/>
        </a:xfrm>
        <a:prstGeom prst="rect">
          <a:avLst/>
        </a:prstGeom>
      </xdr:spPr>
    </xdr:pic>
    <xdr:clientData/>
  </xdr:twoCellAnchor>
  <xdr:twoCellAnchor>
    <xdr:from>
      <xdr:col>9</xdr:col>
      <xdr:colOff>6350</xdr:colOff>
      <xdr:row>1114</xdr:row>
      <xdr:rowOff>25400</xdr:rowOff>
    </xdr:from>
    <xdr:to>
      <xdr:col>9</xdr:col>
      <xdr:colOff>885190</xdr:colOff>
      <xdr:row>1114</xdr:row>
      <xdr:rowOff>1209040</xdr:rowOff>
    </xdr:to>
    <xdr:pic>
      <xdr:nvPicPr>
        <xdr:cNvPr id="6037" name="Изображение 6036" descr="resizeПП-00251467"/>
        <xdr:cNvPicPr>
          <a:picLocks noChangeAspect="1"/>
        </xdr:cNvPicPr>
      </xdr:nvPicPr>
      <xdr:blipFill>
        <a:blip xmlns:r="http://schemas.openxmlformats.org/officeDocument/2006/relationships" r:embed="rId804"/>
        <a:stretch>
          <a:fillRect/>
        </a:stretch>
      </xdr:blipFill>
      <xdr:spPr>
        <a:xfrm>
          <a:off x="7235825" y="1057925875"/>
          <a:ext cx="878840" cy="1183640"/>
        </a:xfrm>
        <a:prstGeom prst="rect">
          <a:avLst/>
        </a:prstGeom>
      </xdr:spPr>
    </xdr:pic>
    <xdr:clientData/>
  </xdr:twoCellAnchor>
  <xdr:twoCellAnchor>
    <xdr:from>
      <xdr:col>9</xdr:col>
      <xdr:colOff>6350</xdr:colOff>
      <xdr:row>1116</xdr:row>
      <xdr:rowOff>25400</xdr:rowOff>
    </xdr:from>
    <xdr:to>
      <xdr:col>9</xdr:col>
      <xdr:colOff>885190</xdr:colOff>
      <xdr:row>1116</xdr:row>
      <xdr:rowOff>1209040</xdr:rowOff>
    </xdr:to>
    <xdr:pic>
      <xdr:nvPicPr>
        <xdr:cNvPr id="6038" name="Изображение 6037" descr="resizeПП-00203557"/>
        <xdr:cNvPicPr>
          <a:picLocks noChangeAspect="1"/>
        </xdr:cNvPicPr>
      </xdr:nvPicPr>
      <xdr:blipFill>
        <a:blip xmlns:r="http://schemas.openxmlformats.org/officeDocument/2006/relationships" r:embed="rId805"/>
        <a:stretch>
          <a:fillRect/>
        </a:stretch>
      </xdr:blipFill>
      <xdr:spPr>
        <a:xfrm>
          <a:off x="7235825" y="1059300650"/>
          <a:ext cx="878840" cy="1183640"/>
        </a:xfrm>
        <a:prstGeom prst="rect">
          <a:avLst/>
        </a:prstGeom>
      </xdr:spPr>
    </xdr:pic>
    <xdr:clientData/>
  </xdr:twoCellAnchor>
  <xdr:twoCellAnchor>
    <xdr:from>
      <xdr:col>9</xdr:col>
      <xdr:colOff>6350</xdr:colOff>
      <xdr:row>1117</xdr:row>
      <xdr:rowOff>25400</xdr:rowOff>
    </xdr:from>
    <xdr:to>
      <xdr:col>9</xdr:col>
      <xdr:colOff>885190</xdr:colOff>
      <xdr:row>1117</xdr:row>
      <xdr:rowOff>1209040</xdr:rowOff>
    </xdr:to>
    <xdr:pic>
      <xdr:nvPicPr>
        <xdr:cNvPr id="6039" name="Изображение 6038" descr="resizeПП-00203563"/>
        <xdr:cNvPicPr>
          <a:picLocks noChangeAspect="1"/>
        </xdr:cNvPicPr>
      </xdr:nvPicPr>
      <xdr:blipFill>
        <a:blip xmlns:r="http://schemas.openxmlformats.org/officeDocument/2006/relationships" r:embed="rId806"/>
        <a:stretch>
          <a:fillRect/>
        </a:stretch>
      </xdr:blipFill>
      <xdr:spPr>
        <a:xfrm>
          <a:off x="7235825" y="1060523025"/>
          <a:ext cx="878840" cy="1183640"/>
        </a:xfrm>
        <a:prstGeom prst="rect">
          <a:avLst/>
        </a:prstGeom>
      </xdr:spPr>
    </xdr:pic>
    <xdr:clientData/>
  </xdr:twoCellAnchor>
  <xdr:twoCellAnchor>
    <xdr:from>
      <xdr:col>9</xdr:col>
      <xdr:colOff>6350</xdr:colOff>
      <xdr:row>1118</xdr:row>
      <xdr:rowOff>25400</xdr:rowOff>
    </xdr:from>
    <xdr:to>
      <xdr:col>9</xdr:col>
      <xdr:colOff>885190</xdr:colOff>
      <xdr:row>1118</xdr:row>
      <xdr:rowOff>1209040</xdr:rowOff>
    </xdr:to>
    <xdr:pic>
      <xdr:nvPicPr>
        <xdr:cNvPr id="6040" name="Изображение 6039" descr="resizeПП-00203567"/>
        <xdr:cNvPicPr>
          <a:picLocks noChangeAspect="1"/>
        </xdr:cNvPicPr>
      </xdr:nvPicPr>
      <xdr:blipFill>
        <a:blip xmlns:r="http://schemas.openxmlformats.org/officeDocument/2006/relationships" r:embed="rId807"/>
        <a:stretch>
          <a:fillRect/>
        </a:stretch>
      </xdr:blipFill>
      <xdr:spPr>
        <a:xfrm>
          <a:off x="7235825" y="1061745400"/>
          <a:ext cx="878840" cy="1183640"/>
        </a:xfrm>
        <a:prstGeom prst="rect">
          <a:avLst/>
        </a:prstGeom>
      </xdr:spPr>
    </xdr:pic>
    <xdr:clientData/>
  </xdr:twoCellAnchor>
  <xdr:twoCellAnchor>
    <xdr:from>
      <xdr:col>9</xdr:col>
      <xdr:colOff>6350</xdr:colOff>
      <xdr:row>1119</xdr:row>
      <xdr:rowOff>25400</xdr:rowOff>
    </xdr:from>
    <xdr:to>
      <xdr:col>9</xdr:col>
      <xdr:colOff>885190</xdr:colOff>
      <xdr:row>1119</xdr:row>
      <xdr:rowOff>1209040</xdr:rowOff>
    </xdr:to>
    <xdr:pic>
      <xdr:nvPicPr>
        <xdr:cNvPr id="6041" name="Изображение 6040" descr="resizeПП-00203561"/>
        <xdr:cNvPicPr>
          <a:picLocks noChangeAspect="1"/>
        </xdr:cNvPicPr>
      </xdr:nvPicPr>
      <xdr:blipFill>
        <a:blip xmlns:r="http://schemas.openxmlformats.org/officeDocument/2006/relationships" r:embed="rId808"/>
        <a:stretch>
          <a:fillRect/>
        </a:stretch>
      </xdr:blipFill>
      <xdr:spPr>
        <a:xfrm>
          <a:off x="7235825" y="1062967775"/>
          <a:ext cx="878840" cy="1183640"/>
        </a:xfrm>
        <a:prstGeom prst="rect">
          <a:avLst/>
        </a:prstGeom>
      </xdr:spPr>
    </xdr:pic>
    <xdr:clientData/>
  </xdr:twoCellAnchor>
  <xdr:twoCellAnchor>
    <xdr:from>
      <xdr:col>9</xdr:col>
      <xdr:colOff>6350</xdr:colOff>
      <xdr:row>1120</xdr:row>
      <xdr:rowOff>25400</xdr:rowOff>
    </xdr:from>
    <xdr:to>
      <xdr:col>9</xdr:col>
      <xdr:colOff>885190</xdr:colOff>
      <xdr:row>1120</xdr:row>
      <xdr:rowOff>1209040</xdr:rowOff>
    </xdr:to>
    <xdr:pic>
      <xdr:nvPicPr>
        <xdr:cNvPr id="6042" name="Изображение 6041" descr="resizeПП-00203562"/>
        <xdr:cNvPicPr>
          <a:picLocks noChangeAspect="1"/>
        </xdr:cNvPicPr>
      </xdr:nvPicPr>
      <xdr:blipFill>
        <a:blip xmlns:r="http://schemas.openxmlformats.org/officeDocument/2006/relationships" r:embed="rId809"/>
        <a:stretch>
          <a:fillRect/>
        </a:stretch>
      </xdr:blipFill>
      <xdr:spPr>
        <a:xfrm>
          <a:off x="7235825" y="1064190150"/>
          <a:ext cx="878840" cy="1183640"/>
        </a:xfrm>
        <a:prstGeom prst="rect">
          <a:avLst/>
        </a:prstGeom>
      </xdr:spPr>
    </xdr:pic>
    <xdr:clientData/>
  </xdr:twoCellAnchor>
  <xdr:twoCellAnchor>
    <xdr:from>
      <xdr:col>9</xdr:col>
      <xdr:colOff>6350</xdr:colOff>
      <xdr:row>1121</xdr:row>
      <xdr:rowOff>25400</xdr:rowOff>
    </xdr:from>
    <xdr:to>
      <xdr:col>9</xdr:col>
      <xdr:colOff>885190</xdr:colOff>
      <xdr:row>1121</xdr:row>
      <xdr:rowOff>1209040</xdr:rowOff>
    </xdr:to>
    <xdr:pic>
      <xdr:nvPicPr>
        <xdr:cNvPr id="6043" name="Изображение 6042" descr="resizeПП-00203580"/>
        <xdr:cNvPicPr>
          <a:picLocks noChangeAspect="1"/>
        </xdr:cNvPicPr>
      </xdr:nvPicPr>
      <xdr:blipFill>
        <a:blip xmlns:r="http://schemas.openxmlformats.org/officeDocument/2006/relationships" r:embed="rId810"/>
        <a:stretch>
          <a:fillRect/>
        </a:stretch>
      </xdr:blipFill>
      <xdr:spPr>
        <a:xfrm>
          <a:off x="7235825" y="1065412525"/>
          <a:ext cx="878840" cy="1183640"/>
        </a:xfrm>
        <a:prstGeom prst="rect">
          <a:avLst/>
        </a:prstGeom>
      </xdr:spPr>
    </xdr:pic>
    <xdr:clientData/>
  </xdr:twoCellAnchor>
  <xdr:twoCellAnchor>
    <xdr:from>
      <xdr:col>9</xdr:col>
      <xdr:colOff>6350</xdr:colOff>
      <xdr:row>1124</xdr:row>
      <xdr:rowOff>25400</xdr:rowOff>
    </xdr:from>
    <xdr:to>
      <xdr:col>9</xdr:col>
      <xdr:colOff>885190</xdr:colOff>
      <xdr:row>1124</xdr:row>
      <xdr:rowOff>1209040</xdr:rowOff>
    </xdr:to>
    <xdr:pic>
      <xdr:nvPicPr>
        <xdr:cNvPr id="6044" name="Изображение 6043" descr="resizeПП-00103728"/>
        <xdr:cNvPicPr>
          <a:picLocks noChangeAspect="1"/>
        </xdr:cNvPicPr>
      </xdr:nvPicPr>
      <xdr:blipFill>
        <a:blip xmlns:r="http://schemas.openxmlformats.org/officeDocument/2006/relationships" r:embed="rId811"/>
        <a:stretch>
          <a:fillRect/>
        </a:stretch>
      </xdr:blipFill>
      <xdr:spPr>
        <a:xfrm>
          <a:off x="7235825" y="1066939700"/>
          <a:ext cx="878840" cy="1183640"/>
        </a:xfrm>
        <a:prstGeom prst="rect">
          <a:avLst/>
        </a:prstGeom>
      </xdr:spPr>
    </xdr:pic>
    <xdr:clientData/>
  </xdr:twoCellAnchor>
  <xdr:twoCellAnchor>
    <xdr:from>
      <xdr:col>9</xdr:col>
      <xdr:colOff>6350</xdr:colOff>
      <xdr:row>1125</xdr:row>
      <xdr:rowOff>25400</xdr:rowOff>
    </xdr:from>
    <xdr:to>
      <xdr:col>9</xdr:col>
      <xdr:colOff>885190</xdr:colOff>
      <xdr:row>1125</xdr:row>
      <xdr:rowOff>1209040</xdr:rowOff>
    </xdr:to>
    <xdr:pic>
      <xdr:nvPicPr>
        <xdr:cNvPr id="6045" name="Изображение 6044" descr="resizeПП-00103727"/>
        <xdr:cNvPicPr>
          <a:picLocks noChangeAspect="1"/>
        </xdr:cNvPicPr>
      </xdr:nvPicPr>
      <xdr:blipFill>
        <a:blip xmlns:r="http://schemas.openxmlformats.org/officeDocument/2006/relationships" r:embed="rId812"/>
        <a:stretch>
          <a:fillRect/>
        </a:stretch>
      </xdr:blipFill>
      <xdr:spPr>
        <a:xfrm>
          <a:off x="7235825" y="1068162075"/>
          <a:ext cx="878840" cy="1183640"/>
        </a:xfrm>
        <a:prstGeom prst="rect">
          <a:avLst/>
        </a:prstGeom>
      </xdr:spPr>
    </xdr:pic>
    <xdr:clientData/>
  </xdr:twoCellAnchor>
  <xdr:twoCellAnchor>
    <xdr:from>
      <xdr:col>9</xdr:col>
      <xdr:colOff>6350</xdr:colOff>
      <xdr:row>1126</xdr:row>
      <xdr:rowOff>25400</xdr:rowOff>
    </xdr:from>
    <xdr:to>
      <xdr:col>9</xdr:col>
      <xdr:colOff>885190</xdr:colOff>
      <xdr:row>1126</xdr:row>
      <xdr:rowOff>1209040</xdr:rowOff>
    </xdr:to>
    <xdr:pic>
      <xdr:nvPicPr>
        <xdr:cNvPr id="6046" name="Изображение 6045" descr="resizeПП-00103730"/>
        <xdr:cNvPicPr>
          <a:picLocks noChangeAspect="1"/>
        </xdr:cNvPicPr>
      </xdr:nvPicPr>
      <xdr:blipFill>
        <a:blip xmlns:r="http://schemas.openxmlformats.org/officeDocument/2006/relationships" r:embed="rId813"/>
        <a:stretch>
          <a:fillRect/>
        </a:stretch>
      </xdr:blipFill>
      <xdr:spPr>
        <a:xfrm>
          <a:off x="7235825" y="1069384450"/>
          <a:ext cx="878840" cy="1183640"/>
        </a:xfrm>
        <a:prstGeom prst="rect">
          <a:avLst/>
        </a:prstGeom>
      </xdr:spPr>
    </xdr:pic>
    <xdr:clientData/>
  </xdr:twoCellAnchor>
  <xdr:twoCellAnchor>
    <xdr:from>
      <xdr:col>9</xdr:col>
      <xdr:colOff>6350</xdr:colOff>
      <xdr:row>1127</xdr:row>
      <xdr:rowOff>25400</xdr:rowOff>
    </xdr:from>
    <xdr:to>
      <xdr:col>9</xdr:col>
      <xdr:colOff>885190</xdr:colOff>
      <xdr:row>1127</xdr:row>
      <xdr:rowOff>1209040</xdr:rowOff>
    </xdr:to>
    <xdr:pic>
      <xdr:nvPicPr>
        <xdr:cNvPr id="6047" name="Изображение 6046" descr="resizeПП-00103732"/>
        <xdr:cNvPicPr>
          <a:picLocks noChangeAspect="1"/>
        </xdr:cNvPicPr>
      </xdr:nvPicPr>
      <xdr:blipFill>
        <a:blip xmlns:r="http://schemas.openxmlformats.org/officeDocument/2006/relationships" r:embed="rId814"/>
        <a:stretch>
          <a:fillRect/>
        </a:stretch>
      </xdr:blipFill>
      <xdr:spPr>
        <a:xfrm>
          <a:off x="7235825" y="1070606825"/>
          <a:ext cx="878840" cy="1183640"/>
        </a:xfrm>
        <a:prstGeom prst="rect">
          <a:avLst/>
        </a:prstGeom>
      </xdr:spPr>
    </xdr:pic>
    <xdr:clientData/>
  </xdr:twoCellAnchor>
  <xdr:twoCellAnchor>
    <xdr:from>
      <xdr:col>9</xdr:col>
      <xdr:colOff>6350</xdr:colOff>
      <xdr:row>1128</xdr:row>
      <xdr:rowOff>25400</xdr:rowOff>
    </xdr:from>
    <xdr:to>
      <xdr:col>9</xdr:col>
      <xdr:colOff>885190</xdr:colOff>
      <xdr:row>1128</xdr:row>
      <xdr:rowOff>1209040</xdr:rowOff>
    </xdr:to>
    <xdr:pic>
      <xdr:nvPicPr>
        <xdr:cNvPr id="6048" name="Изображение 6047" descr="resizeПП-00187315"/>
        <xdr:cNvPicPr>
          <a:picLocks noChangeAspect="1"/>
        </xdr:cNvPicPr>
      </xdr:nvPicPr>
      <xdr:blipFill>
        <a:blip xmlns:r="http://schemas.openxmlformats.org/officeDocument/2006/relationships" r:embed="rId815"/>
        <a:stretch>
          <a:fillRect/>
        </a:stretch>
      </xdr:blipFill>
      <xdr:spPr>
        <a:xfrm>
          <a:off x="7235825" y="1071829200"/>
          <a:ext cx="878840" cy="1183640"/>
        </a:xfrm>
        <a:prstGeom prst="rect">
          <a:avLst/>
        </a:prstGeom>
      </xdr:spPr>
    </xdr:pic>
    <xdr:clientData/>
  </xdr:twoCellAnchor>
  <xdr:twoCellAnchor>
    <xdr:from>
      <xdr:col>9</xdr:col>
      <xdr:colOff>6350</xdr:colOff>
      <xdr:row>1129</xdr:row>
      <xdr:rowOff>25400</xdr:rowOff>
    </xdr:from>
    <xdr:to>
      <xdr:col>9</xdr:col>
      <xdr:colOff>885190</xdr:colOff>
      <xdr:row>1129</xdr:row>
      <xdr:rowOff>1209040</xdr:rowOff>
    </xdr:to>
    <xdr:pic>
      <xdr:nvPicPr>
        <xdr:cNvPr id="6049" name="Изображение 6048" descr="resizeПП-00103725"/>
        <xdr:cNvPicPr>
          <a:picLocks noChangeAspect="1"/>
        </xdr:cNvPicPr>
      </xdr:nvPicPr>
      <xdr:blipFill>
        <a:blip xmlns:r="http://schemas.openxmlformats.org/officeDocument/2006/relationships" r:embed="rId816"/>
        <a:stretch>
          <a:fillRect/>
        </a:stretch>
      </xdr:blipFill>
      <xdr:spPr>
        <a:xfrm>
          <a:off x="7235825" y="1073051575"/>
          <a:ext cx="878840" cy="1183640"/>
        </a:xfrm>
        <a:prstGeom prst="rect">
          <a:avLst/>
        </a:prstGeom>
      </xdr:spPr>
    </xdr:pic>
    <xdr:clientData/>
  </xdr:twoCellAnchor>
  <xdr:twoCellAnchor>
    <xdr:from>
      <xdr:col>9</xdr:col>
      <xdr:colOff>6350</xdr:colOff>
      <xdr:row>1130</xdr:row>
      <xdr:rowOff>25400</xdr:rowOff>
    </xdr:from>
    <xdr:to>
      <xdr:col>9</xdr:col>
      <xdr:colOff>885190</xdr:colOff>
      <xdr:row>1130</xdr:row>
      <xdr:rowOff>1209040</xdr:rowOff>
    </xdr:to>
    <xdr:pic>
      <xdr:nvPicPr>
        <xdr:cNvPr id="6050" name="Изображение 6049" descr="resizeПП-00187317"/>
        <xdr:cNvPicPr>
          <a:picLocks noChangeAspect="1"/>
        </xdr:cNvPicPr>
      </xdr:nvPicPr>
      <xdr:blipFill>
        <a:blip xmlns:r="http://schemas.openxmlformats.org/officeDocument/2006/relationships" r:embed="rId817"/>
        <a:stretch>
          <a:fillRect/>
        </a:stretch>
      </xdr:blipFill>
      <xdr:spPr>
        <a:xfrm>
          <a:off x="7235825" y="1074273950"/>
          <a:ext cx="878840" cy="1183640"/>
        </a:xfrm>
        <a:prstGeom prst="rect">
          <a:avLst/>
        </a:prstGeom>
      </xdr:spPr>
    </xdr:pic>
    <xdr:clientData/>
  </xdr:twoCellAnchor>
  <xdr:twoCellAnchor>
    <xdr:from>
      <xdr:col>9</xdr:col>
      <xdr:colOff>6350</xdr:colOff>
      <xdr:row>1131</xdr:row>
      <xdr:rowOff>25400</xdr:rowOff>
    </xdr:from>
    <xdr:to>
      <xdr:col>9</xdr:col>
      <xdr:colOff>885190</xdr:colOff>
      <xdr:row>1131</xdr:row>
      <xdr:rowOff>1209040</xdr:rowOff>
    </xdr:to>
    <xdr:pic>
      <xdr:nvPicPr>
        <xdr:cNvPr id="6051" name="Изображение 6050" descr="resizeПП-00103723"/>
        <xdr:cNvPicPr>
          <a:picLocks noChangeAspect="1"/>
        </xdr:cNvPicPr>
      </xdr:nvPicPr>
      <xdr:blipFill>
        <a:blip xmlns:r="http://schemas.openxmlformats.org/officeDocument/2006/relationships" r:embed="rId818"/>
        <a:stretch>
          <a:fillRect/>
        </a:stretch>
      </xdr:blipFill>
      <xdr:spPr>
        <a:xfrm>
          <a:off x="7235825" y="1075496325"/>
          <a:ext cx="878840" cy="1183640"/>
        </a:xfrm>
        <a:prstGeom prst="rect">
          <a:avLst/>
        </a:prstGeom>
      </xdr:spPr>
    </xdr:pic>
    <xdr:clientData/>
  </xdr:twoCellAnchor>
  <xdr:twoCellAnchor>
    <xdr:from>
      <xdr:col>9</xdr:col>
      <xdr:colOff>6350</xdr:colOff>
      <xdr:row>1133</xdr:row>
      <xdr:rowOff>25400</xdr:rowOff>
    </xdr:from>
    <xdr:to>
      <xdr:col>9</xdr:col>
      <xdr:colOff>885190</xdr:colOff>
      <xdr:row>1133</xdr:row>
      <xdr:rowOff>1209040</xdr:rowOff>
    </xdr:to>
    <xdr:pic>
      <xdr:nvPicPr>
        <xdr:cNvPr id="6052" name="Изображение 6051" descr="resizeПП-00275597"/>
        <xdr:cNvPicPr>
          <a:picLocks noChangeAspect="1"/>
        </xdr:cNvPicPr>
      </xdr:nvPicPr>
      <xdr:blipFill>
        <a:blip xmlns:r="http://schemas.openxmlformats.org/officeDocument/2006/relationships" r:embed="rId819"/>
        <a:stretch>
          <a:fillRect/>
        </a:stretch>
      </xdr:blipFill>
      <xdr:spPr>
        <a:xfrm>
          <a:off x="7235825" y="1076871100"/>
          <a:ext cx="878840" cy="1183640"/>
        </a:xfrm>
        <a:prstGeom prst="rect">
          <a:avLst/>
        </a:prstGeom>
      </xdr:spPr>
    </xdr:pic>
    <xdr:clientData/>
  </xdr:twoCellAnchor>
  <xdr:twoCellAnchor>
    <xdr:from>
      <xdr:col>9</xdr:col>
      <xdr:colOff>6350</xdr:colOff>
      <xdr:row>1134</xdr:row>
      <xdr:rowOff>25400</xdr:rowOff>
    </xdr:from>
    <xdr:to>
      <xdr:col>9</xdr:col>
      <xdr:colOff>885190</xdr:colOff>
      <xdr:row>1134</xdr:row>
      <xdr:rowOff>1209040</xdr:rowOff>
    </xdr:to>
    <xdr:pic>
      <xdr:nvPicPr>
        <xdr:cNvPr id="6053" name="Изображение 6052" descr="resizeПП-00275592"/>
        <xdr:cNvPicPr>
          <a:picLocks noChangeAspect="1"/>
        </xdr:cNvPicPr>
      </xdr:nvPicPr>
      <xdr:blipFill>
        <a:blip xmlns:r="http://schemas.openxmlformats.org/officeDocument/2006/relationships" r:embed="rId820"/>
        <a:stretch>
          <a:fillRect/>
        </a:stretch>
      </xdr:blipFill>
      <xdr:spPr>
        <a:xfrm>
          <a:off x="7235825" y="1078093475"/>
          <a:ext cx="878840" cy="1183640"/>
        </a:xfrm>
        <a:prstGeom prst="rect">
          <a:avLst/>
        </a:prstGeom>
      </xdr:spPr>
    </xdr:pic>
    <xdr:clientData/>
  </xdr:twoCellAnchor>
  <xdr:twoCellAnchor>
    <xdr:from>
      <xdr:col>9</xdr:col>
      <xdr:colOff>6350</xdr:colOff>
      <xdr:row>1135</xdr:row>
      <xdr:rowOff>25400</xdr:rowOff>
    </xdr:from>
    <xdr:to>
      <xdr:col>9</xdr:col>
      <xdr:colOff>885190</xdr:colOff>
      <xdr:row>1135</xdr:row>
      <xdr:rowOff>1209040</xdr:rowOff>
    </xdr:to>
    <xdr:pic>
      <xdr:nvPicPr>
        <xdr:cNvPr id="6054" name="Изображение 6053" descr="resizeПП-00275590"/>
        <xdr:cNvPicPr>
          <a:picLocks noChangeAspect="1"/>
        </xdr:cNvPicPr>
      </xdr:nvPicPr>
      <xdr:blipFill>
        <a:blip xmlns:r="http://schemas.openxmlformats.org/officeDocument/2006/relationships" r:embed="rId821"/>
        <a:stretch>
          <a:fillRect/>
        </a:stretch>
      </xdr:blipFill>
      <xdr:spPr>
        <a:xfrm>
          <a:off x="7235825" y="1079315850"/>
          <a:ext cx="878840" cy="1183640"/>
        </a:xfrm>
        <a:prstGeom prst="rect">
          <a:avLst/>
        </a:prstGeom>
      </xdr:spPr>
    </xdr:pic>
    <xdr:clientData/>
  </xdr:twoCellAnchor>
  <xdr:twoCellAnchor>
    <xdr:from>
      <xdr:col>9</xdr:col>
      <xdr:colOff>6350</xdr:colOff>
      <xdr:row>1136</xdr:row>
      <xdr:rowOff>25400</xdr:rowOff>
    </xdr:from>
    <xdr:to>
      <xdr:col>9</xdr:col>
      <xdr:colOff>885190</xdr:colOff>
      <xdr:row>1136</xdr:row>
      <xdr:rowOff>1209040</xdr:rowOff>
    </xdr:to>
    <xdr:pic>
      <xdr:nvPicPr>
        <xdr:cNvPr id="6055" name="Изображение 6054" descr="resizeПП-00275595"/>
        <xdr:cNvPicPr>
          <a:picLocks noChangeAspect="1"/>
        </xdr:cNvPicPr>
      </xdr:nvPicPr>
      <xdr:blipFill>
        <a:blip xmlns:r="http://schemas.openxmlformats.org/officeDocument/2006/relationships" r:embed="rId822"/>
        <a:stretch>
          <a:fillRect/>
        </a:stretch>
      </xdr:blipFill>
      <xdr:spPr>
        <a:xfrm>
          <a:off x="7235825" y="1080538225"/>
          <a:ext cx="878840" cy="1183640"/>
        </a:xfrm>
        <a:prstGeom prst="rect">
          <a:avLst/>
        </a:prstGeom>
      </xdr:spPr>
    </xdr:pic>
    <xdr:clientData/>
  </xdr:twoCellAnchor>
  <xdr:twoCellAnchor>
    <xdr:from>
      <xdr:col>9</xdr:col>
      <xdr:colOff>6350</xdr:colOff>
      <xdr:row>1137</xdr:row>
      <xdr:rowOff>25400</xdr:rowOff>
    </xdr:from>
    <xdr:to>
      <xdr:col>9</xdr:col>
      <xdr:colOff>885190</xdr:colOff>
      <xdr:row>1137</xdr:row>
      <xdr:rowOff>1209040</xdr:rowOff>
    </xdr:to>
    <xdr:pic>
      <xdr:nvPicPr>
        <xdr:cNvPr id="6056" name="Изображение 6055" descr="resizeПП-00275586"/>
        <xdr:cNvPicPr>
          <a:picLocks noChangeAspect="1"/>
        </xdr:cNvPicPr>
      </xdr:nvPicPr>
      <xdr:blipFill>
        <a:blip xmlns:r="http://schemas.openxmlformats.org/officeDocument/2006/relationships" r:embed="rId823"/>
        <a:stretch>
          <a:fillRect/>
        </a:stretch>
      </xdr:blipFill>
      <xdr:spPr>
        <a:xfrm>
          <a:off x="7235825" y="1081760600"/>
          <a:ext cx="878840" cy="1183640"/>
        </a:xfrm>
        <a:prstGeom prst="rect">
          <a:avLst/>
        </a:prstGeom>
      </xdr:spPr>
    </xdr:pic>
    <xdr:clientData/>
  </xdr:twoCellAnchor>
  <xdr:twoCellAnchor>
    <xdr:from>
      <xdr:col>9</xdr:col>
      <xdr:colOff>6350</xdr:colOff>
      <xdr:row>1138</xdr:row>
      <xdr:rowOff>25400</xdr:rowOff>
    </xdr:from>
    <xdr:to>
      <xdr:col>9</xdr:col>
      <xdr:colOff>885190</xdr:colOff>
      <xdr:row>1138</xdr:row>
      <xdr:rowOff>1209040</xdr:rowOff>
    </xdr:to>
    <xdr:pic>
      <xdr:nvPicPr>
        <xdr:cNvPr id="6057" name="Изображение 6056" descr="resizeПП-00275589"/>
        <xdr:cNvPicPr>
          <a:picLocks noChangeAspect="1"/>
        </xdr:cNvPicPr>
      </xdr:nvPicPr>
      <xdr:blipFill>
        <a:blip xmlns:r="http://schemas.openxmlformats.org/officeDocument/2006/relationships" r:embed="rId824"/>
        <a:stretch>
          <a:fillRect/>
        </a:stretch>
      </xdr:blipFill>
      <xdr:spPr>
        <a:xfrm>
          <a:off x="7235825" y="1082982975"/>
          <a:ext cx="878840" cy="1183640"/>
        </a:xfrm>
        <a:prstGeom prst="rect">
          <a:avLst/>
        </a:prstGeom>
      </xdr:spPr>
    </xdr:pic>
    <xdr:clientData/>
  </xdr:twoCellAnchor>
  <xdr:twoCellAnchor>
    <xdr:from>
      <xdr:col>9</xdr:col>
      <xdr:colOff>6350</xdr:colOff>
      <xdr:row>1139</xdr:row>
      <xdr:rowOff>25400</xdr:rowOff>
    </xdr:from>
    <xdr:to>
      <xdr:col>9</xdr:col>
      <xdr:colOff>885190</xdr:colOff>
      <xdr:row>1139</xdr:row>
      <xdr:rowOff>1209040</xdr:rowOff>
    </xdr:to>
    <xdr:pic>
      <xdr:nvPicPr>
        <xdr:cNvPr id="6058" name="Изображение 6057" descr="resizeПП-00275593"/>
        <xdr:cNvPicPr>
          <a:picLocks noChangeAspect="1"/>
        </xdr:cNvPicPr>
      </xdr:nvPicPr>
      <xdr:blipFill>
        <a:blip xmlns:r="http://schemas.openxmlformats.org/officeDocument/2006/relationships" r:embed="rId825"/>
        <a:stretch>
          <a:fillRect/>
        </a:stretch>
      </xdr:blipFill>
      <xdr:spPr>
        <a:xfrm>
          <a:off x="7235825" y="1084205350"/>
          <a:ext cx="878840" cy="1183640"/>
        </a:xfrm>
        <a:prstGeom prst="rect">
          <a:avLst/>
        </a:prstGeom>
      </xdr:spPr>
    </xdr:pic>
    <xdr:clientData/>
  </xdr:twoCellAnchor>
  <xdr:twoCellAnchor>
    <xdr:from>
      <xdr:col>9</xdr:col>
      <xdr:colOff>6350</xdr:colOff>
      <xdr:row>1140</xdr:row>
      <xdr:rowOff>25400</xdr:rowOff>
    </xdr:from>
    <xdr:to>
      <xdr:col>9</xdr:col>
      <xdr:colOff>885190</xdr:colOff>
      <xdr:row>1140</xdr:row>
      <xdr:rowOff>1209040</xdr:rowOff>
    </xdr:to>
    <xdr:pic>
      <xdr:nvPicPr>
        <xdr:cNvPr id="6059" name="Изображение 6058" descr="resizeПП-00274943"/>
        <xdr:cNvPicPr>
          <a:picLocks noChangeAspect="1"/>
        </xdr:cNvPicPr>
      </xdr:nvPicPr>
      <xdr:blipFill>
        <a:blip xmlns:r="http://schemas.openxmlformats.org/officeDocument/2006/relationships" r:embed="rId826"/>
        <a:stretch>
          <a:fillRect/>
        </a:stretch>
      </xdr:blipFill>
      <xdr:spPr>
        <a:xfrm>
          <a:off x="7235825" y="1085427725"/>
          <a:ext cx="878840" cy="1183640"/>
        </a:xfrm>
        <a:prstGeom prst="rect">
          <a:avLst/>
        </a:prstGeom>
      </xdr:spPr>
    </xdr:pic>
    <xdr:clientData/>
  </xdr:twoCellAnchor>
  <xdr:twoCellAnchor>
    <xdr:from>
      <xdr:col>9</xdr:col>
      <xdr:colOff>6350</xdr:colOff>
      <xdr:row>1142</xdr:row>
      <xdr:rowOff>25400</xdr:rowOff>
    </xdr:from>
    <xdr:to>
      <xdr:col>9</xdr:col>
      <xdr:colOff>885190</xdr:colOff>
      <xdr:row>1142</xdr:row>
      <xdr:rowOff>1209040</xdr:rowOff>
    </xdr:to>
    <xdr:pic>
      <xdr:nvPicPr>
        <xdr:cNvPr id="6060" name="Изображение 6059" descr="resizeПП-00275450"/>
        <xdr:cNvPicPr>
          <a:picLocks noChangeAspect="1"/>
        </xdr:cNvPicPr>
      </xdr:nvPicPr>
      <xdr:blipFill>
        <a:blip xmlns:r="http://schemas.openxmlformats.org/officeDocument/2006/relationships" r:embed="rId827"/>
        <a:stretch>
          <a:fillRect/>
        </a:stretch>
      </xdr:blipFill>
      <xdr:spPr>
        <a:xfrm>
          <a:off x="7235825" y="1086802500"/>
          <a:ext cx="878840" cy="1183640"/>
        </a:xfrm>
        <a:prstGeom prst="rect">
          <a:avLst/>
        </a:prstGeom>
      </xdr:spPr>
    </xdr:pic>
    <xdr:clientData/>
  </xdr:twoCellAnchor>
  <xdr:twoCellAnchor>
    <xdr:from>
      <xdr:col>9</xdr:col>
      <xdr:colOff>6350</xdr:colOff>
      <xdr:row>1143</xdr:row>
      <xdr:rowOff>25400</xdr:rowOff>
    </xdr:from>
    <xdr:to>
      <xdr:col>9</xdr:col>
      <xdr:colOff>885190</xdr:colOff>
      <xdr:row>1143</xdr:row>
      <xdr:rowOff>1209040</xdr:rowOff>
    </xdr:to>
    <xdr:pic>
      <xdr:nvPicPr>
        <xdr:cNvPr id="6061" name="Изображение 6060" descr="resizeПП-00275449"/>
        <xdr:cNvPicPr>
          <a:picLocks noChangeAspect="1"/>
        </xdr:cNvPicPr>
      </xdr:nvPicPr>
      <xdr:blipFill>
        <a:blip xmlns:r="http://schemas.openxmlformats.org/officeDocument/2006/relationships" r:embed="rId828"/>
        <a:stretch>
          <a:fillRect/>
        </a:stretch>
      </xdr:blipFill>
      <xdr:spPr>
        <a:xfrm>
          <a:off x="7235825" y="1088024875"/>
          <a:ext cx="878840" cy="1183640"/>
        </a:xfrm>
        <a:prstGeom prst="rect">
          <a:avLst/>
        </a:prstGeom>
      </xdr:spPr>
    </xdr:pic>
    <xdr:clientData/>
  </xdr:twoCellAnchor>
  <xdr:twoCellAnchor>
    <xdr:from>
      <xdr:col>9</xdr:col>
      <xdr:colOff>6350</xdr:colOff>
      <xdr:row>1144</xdr:row>
      <xdr:rowOff>25400</xdr:rowOff>
    </xdr:from>
    <xdr:to>
      <xdr:col>9</xdr:col>
      <xdr:colOff>885190</xdr:colOff>
      <xdr:row>1144</xdr:row>
      <xdr:rowOff>1209040</xdr:rowOff>
    </xdr:to>
    <xdr:pic>
      <xdr:nvPicPr>
        <xdr:cNvPr id="6062" name="Изображение 6061" descr="resizeПП-00275448"/>
        <xdr:cNvPicPr>
          <a:picLocks noChangeAspect="1"/>
        </xdr:cNvPicPr>
      </xdr:nvPicPr>
      <xdr:blipFill>
        <a:blip xmlns:r="http://schemas.openxmlformats.org/officeDocument/2006/relationships" r:embed="rId829"/>
        <a:stretch>
          <a:fillRect/>
        </a:stretch>
      </xdr:blipFill>
      <xdr:spPr>
        <a:xfrm>
          <a:off x="7235825" y="1089247250"/>
          <a:ext cx="878840" cy="1183640"/>
        </a:xfrm>
        <a:prstGeom prst="rect">
          <a:avLst/>
        </a:prstGeom>
      </xdr:spPr>
    </xdr:pic>
    <xdr:clientData/>
  </xdr:twoCellAnchor>
  <xdr:twoCellAnchor>
    <xdr:from>
      <xdr:col>9</xdr:col>
      <xdr:colOff>6350</xdr:colOff>
      <xdr:row>1145</xdr:row>
      <xdr:rowOff>25400</xdr:rowOff>
    </xdr:from>
    <xdr:to>
      <xdr:col>9</xdr:col>
      <xdr:colOff>885190</xdr:colOff>
      <xdr:row>1145</xdr:row>
      <xdr:rowOff>1209040</xdr:rowOff>
    </xdr:to>
    <xdr:pic>
      <xdr:nvPicPr>
        <xdr:cNvPr id="6063" name="Изображение 6062" descr="resizeПП-00269843"/>
        <xdr:cNvPicPr>
          <a:picLocks noChangeAspect="1"/>
        </xdr:cNvPicPr>
      </xdr:nvPicPr>
      <xdr:blipFill>
        <a:blip xmlns:r="http://schemas.openxmlformats.org/officeDocument/2006/relationships" r:embed="rId830"/>
        <a:stretch>
          <a:fillRect/>
        </a:stretch>
      </xdr:blipFill>
      <xdr:spPr>
        <a:xfrm>
          <a:off x="7235825" y="1090469625"/>
          <a:ext cx="878840" cy="1183640"/>
        </a:xfrm>
        <a:prstGeom prst="rect">
          <a:avLst/>
        </a:prstGeom>
      </xdr:spPr>
    </xdr:pic>
    <xdr:clientData/>
  </xdr:twoCellAnchor>
  <xdr:twoCellAnchor>
    <xdr:from>
      <xdr:col>9</xdr:col>
      <xdr:colOff>6350</xdr:colOff>
      <xdr:row>1146</xdr:row>
      <xdr:rowOff>25400</xdr:rowOff>
    </xdr:from>
    <xdr:to>
      <xdr:col>9</xdr:col>
      <xdr:colOff>885190</xdr:colOff>
      <xdr:row>1146</xdr:row>
      <xdr:rowOff>1209040</xdr:rowOff>
    </xdr:to>
    <xdr:pic>
      <xdr:nvPicPr>
        <xdr:cNvPr id="6064" name="Изображение 6063" descr="resizeПП-00269836"/>
        <xdr:cNvPicPr>
          <a:picLocks noChangeAspect="1"/>
        </xdr:cNvPicPr>
      </xdr:nvPicPr>
      <xdr:blipFill>
        <a:blip xmlns:r="http://schemas.openxmlformats.org/officeDocument/2006/relationships" r:embed="rId831"/>
        <a:stretch>
          <a:fillRect/>
        </a:stretch>
      </xdr:blipFill>
      <xdr:spPr>
        <a:xfrm>
          <a:off x="7235825" y="1091692000"/>
          <a:ext cx="878840" cy="1183640"/>
        </a:xfrm>
        <a:prstGeom prst="rect">
          <a:avLst/>
        </a:prstGeom>
      </xdr:spPr>
    </xdr:pic>
    <xdr:clientData/>
  </xdr:twoCellAnchor>
  <xdr:twoCellAnchor>
    <xdr:from>
      <xdr:col>9</xdr:col>
      <xdr:colOff>6350</xdr:colOff>
      <xdr:row>1147</xdr:row>
      <xdr:rowOff>25400</xdr:rowOff>
    </xdr:from>
    <xdr:to>
      <xdr:col>9</xdr:col>
      <xdr:colOff>885190</xdr:colOff>
      <xdr:row>1147</xdr:row>
      <xdr:rowOff>1209040</xdr:rowOff>
    </xdr:to>
    <xdr:pic>
      <xdr:nvPicPr>
        <xdr:cNvPr id="6065" name="Изображение 6064" descr="resizeПП-00269838"/>
        <xdr:cNvPicPr>
          <a:picLocks noChangeAspect="1"/>
        </xdr:cNvPicPr>
      </xdr:nvPicPr>
      <xdr:blipFill>
        <a:blip xmlns:r="http://schemas.openxmlformats.org/officeDocument/2006/relationships" r:embed="rId832"/>
        <a:stretch>
          <a:fillRect/>
        </a:stretch>
      </xdr:blipFill>
      <xdr:spPr>
        <a:xfrm>
          <a:off x="7235825" y="1092914375"/>
          <a:ext cx="878840" cy="1183640"/>
        </a:xfrm>
        <a:prstGeom prst="rect">
          <a:avLst/>
        </a:prstGeom>
      </xdr:spPr>
    </xdr:pic>
    <xdr:clientData/>
  </xdr:twoCellAnchor>
  <xdr:twoCellAnchor>
    <xdr:from>
      <xdr:col>9</xdr:col>
      <xdr:colOff>6350</xdr:colOff>
      <xdr:row>1148</xdr:row>
      <xdr:rowOff>25400</xdr:rowOff>
    </xdr:from>
    <xdr:to>
      <xdr:col>9</xdr:col>
      <xdr:colOff>885190</xdr:colOff>
      <xdr:row>1148</xdr:row>
      <xdr:rowOff>1209040</xdr:rowOff>
    </xdr:to>
    <xdr:pic>
      <xdr:nvPicPr>
        <xdr:cNvPr id="6066" name="Изображение 6065" descr="resizeПП-00269835"/>
        <xdr:cNvPicPr>
          <a:picLocks noChangeAspect="1"/>
        </xdr:cNvPicPr>
      </xdr:nvPicPr>
      <xdr:blipFill>
        <a:blip xmlns:r="http://schemas.openxmlformats.org/officeDocument/2006/relationships" r:embed="rId833"/>
        <a:stretch>
          <a:fillRect/>
        </a:stretch>
      </xdr:blipFill>
      <xdr:spPr>
        <a:xfrm>
          <a:off x="7235825" y="1094136750"/>
          <a:ext cx="878840" cy="1183640"/>
        </a:xfrm>
        <a:prstGeom prst="rect">
          <a:avLst/>
        </a:prstGeom>
      </xdr:spPr>
    </xdr:pic>
    <xdr:clientData/>
  </xdr:twoCellAnchor>
  <xdr:twoCellAnchor>
    <xdr:from>
      <xdr:col>9</xdr:col>
      <xdr:colOff>6350</xdr:colOff>
      <xdr:row>1149</xdr:row>
      <xdr:rowOff>25400</xdr:rowOff>
    </xdr:from>
    <xdr:to>
      <xdr:col>9</xdr:col>
      <xdr:colOff>885190</xdr:colOff>
      <xdr:row>1149</xdr:row>
      <xdr:rowOff>1209040</xdr:rowOff>
    </xdr:to>
    <xdr:pic>
      <xdr:nvPicPr>
        <xdr:cNvPr id="6067" name="Изображение 6066" descr="resizeПП-00269840"/>
        <xdr:cNvPicPr>
          <a:picLocks noChangeAspect="1"/>
        </xdr:cNvPicPr>
      </xdr:nvPicPr>
      <xdr:blipFill>
        <a:blip xmlns:r="http://schemas.openxmlformats.org/officeDocument/2006/relationships" r:embed="rId834"/>
        <a:stretch>
          <a:fillRect/>
        </a:stretch>
      </xdr:blipFill>
      <xdr:spPr>
        <a:xfrm>
          <a:off x="7235825" y="1095359125"/>
          <a:ext cx="878840" cy="1183640"/>
        </a:xfrm>
        <a:prstGeom prst="rect">
          <a:avLst/>
        </a:prstGeom>
      </xdr:spPr>
    </xdr:pic>
    <xdr:clientData/>
  </xdr:twoCellAnchor>
  <xdr:twoCellAnchor>
    <xdr:from>
      <xdr:col>9</xdr:col>
      <xdr:colOff>6350</xdr:colOff>
      <xdr:row>1150</xdr:row>
      <xdr:rowOff>25400</xdr:rowOff>
    </xdr:from>
    <xdr:to>
      <xdr:col>9</xdr:col>
      <xdr:colOff>885190</xdr:colOff>
      <xdr:row>1150</xdr:row>
      <xdr:rowOff>1209040</xdr:rowOff>
    </xdr:to>
    <xdr:pic>
      <xdr:nvPicPr>
        <xdr:cNvPr id="6068" name="Изображение 6067" descr="resizeПП-00269842"/>
        <xdr:cNvPicPr>
          <a:picLocks noChangeAspect="1"/>
        </xdr:cNvPicPr>
      </xdr:nvPicPr>
      <xdr:blipFill>
        <a:blip xmlns:r="http://schemas.openxmlformats.org/officeDocument/2006/relationships" r:embed="rId835"/>
        <a:stretch>
          <a:fillRect/>
        </a:stretch>
      </xdr:blipFill>
      <xdr:spPr>
        <a:xfrm>
          <a:off x="7235825" y="1096581500"/>
          <a:ext cx="878840" cy="1183640"/>
        </a:xfrm>
        <a:prstGeom prst="rect">
          <a:avLst/>
        </a:prstGeom>
      </xdr:spPr>
    </xdr:pic>
    <xdr:clientData/>
  </xdr:twoCellAnchor>
  <xdr:twoCellAnchor>
    <xdr:from>
      <xdr:col>9</xdr:col>
      <xdr:colOff>6350</xdr:colOff>
      <xdr:row>1151</xdr:row>
      <xdr:rowOff>25400</xdr:rowOff>
    </xdr:from>
    <xdr:to>
      <xdr:col>9</xdr:col>
      <xdr:colOff>885190</xdr:colOff>
      <xdr:row>1151</xdr:row>
      <xdr:rowOff>1209040</xdr:rowOff>
    </xdr:to>
    <xdr:pic>
      <xdr:nvPicPr>
        <xdr:cNvPr id="6069" name="Изображение 6068" descr="resizeПП-00269832"/>
        <xdr:cNvPicPr>
          <a:picLocks noChangeAspect="1"/>
        </xdr:cNvPicPr>
      </xdr:nvPicPr>
      <xdr:blipFill>
        <a:blip xmlns:r="http://schemas.openxmlformats.org/officeDocument/2006/relationships" r:embed="rId836"/>
        <a:stretch>
          <a:fillRect/>
        </a:stretch>
      </xdr:blipFill>
      <xdr:spPr>
        <a:xfrm>
          <a:off x="7235825" y="1097803875"/>
          <a:ext cx="878840" cy="1183640"/>
        </a:xfrm>
        <a:prstGeom prst="rect">
          <a:avLst/>
        </a:prstGeom>
      </xdr:spPr>
    </xdr:pic>
    <xdr:clientData/>
  </xdr:twoCellAnchor>
  <xdr:twoCellAnchor>
    <xdr:from>
      <xdr:col>9</xdr:col>
      <xdr:colOff>6350</xdr:colOff>
      <xdr:row>1152</xdr:row>
      <xdr:rowOff>25400</xdr:rowOff>
    </xdr:from>
    <xdr:to>
      <xdr:col>9</xdr:col>
      <xdr:colOff>885190</xdr:colOff>
      <xdr:row>1152</xdr:row>
      <xdr:rowOff>1209040</xdr:rowOff>
    </xdr:to>
    <xdr:pic>
      <xdr:nvPicPr>
        <xdr:cNvPr id="6070" name="Изображение 6069" descr="resizeПП-00269833"/>
        <xdr:cNvPicPr>
          <a:picLocks noChangeAspect="1"/>
        </xdr:cNvPicPr>
      </xdr:nvPicPr>
      <xdr:blipFill>
        <a:blip xmlns:r="http://schemas.openxmlformats.org/officeDocument/2006/relationships" r:embed="rId837"/>
        <a:stretch>
          <a:fillRect/>
        </a:stretch>
      </xdr:blipFill>
      <xdr:spPr>
        <a:xfrm>
          <a:off x="7235825" y="1099026250"/>
          <a:ext cx="878840" cy="1183640"/>
        </a:xfrm>
        <a:prstGeom prst="rect">
          <a:avLst/>
        </a:prstGeom>
      </xdr:spPr>
    </xdr:pic>
    <xdr:clientData/>
  </xdr:twoCellAnchor>
  <xdr:twoCellAnchor>
    <xdr:from>
      <xdr:col>9</xdr:col>
      <xdr:colOff>6350</xdr:colOff>
      <xdr:row>1153</xdr:row>
      <xdr:rowOff>25400</xdr:rowOff>
    </xdr:from>
    <xdr:to>
      <xdr:col>9</xdr:col>
      <xdr:colOff>885190</xdr:colOff>
      <xdr:row>1153</xdr:row>
      <xdr:rowOff>1209040</xdr:rowOff>
    </xdr:to>
    <xdr:pic>
      <xdr:nvPicPr>
        <xdr:cNvPr id="6071" name="Изображение 6070" descr="resizeПП-00269841"/>
        <xdr:cNvPicPr>
          <a:picLocks noChangeAspect="1"/>
        </xdr:cNvPicPr>
      </xdr:nvPicPr>
      <xdr:blipFill>
        <a:blip xmlns:r="http://schemas.openxmlformats.org/officeDocument/2006/relationships" r:embed="rId838"/>
        <a:stretch>
          <a:fillRect/>
        </a:stretch>
      </xdr:blipFill>
      <xdr:spPr>
        <a:xfrm>
          <a:off x="7235825" y="1100248625"/>
          <a:ext cx="878840" cy="1183640"/>
        </a:xfrm>
        <a:prstGeom prst="rect">
          <a:avLst/>
        </a:prstGeom>
      </xdr:spPr>
    </xdr:pic>
    <xdr:clientData/>
  </xdr:twoCellAnchor>
  <xdr:twoCellAnchor>
    <xdr:from>
      <xdr:col>9</xdr:col>
      <xdr:colOff>6350</xdr:colOff>
      <xdr:row>1154</xdr:row>
      <xdr:rowOff>25400</xdr:rowOff>
    </xdr:from>
    <xdr:to>
      <xdr:col>9</xdr:col>
      <xdr:colOff>885190</xdr:colOff>
      <xdr:row>1154</xdr:row>
      <xdr:rowOff>1209040</xdr:rowOff>
    </xdr:to>
    <xdr:pic>
      <xdr:nvPicPr>
        <xdr:cNvPr id="6072" name="Изображение 6071" descr="resizeПП-00269844"/>
        <xdr:cNvPicPr>
          <a:picLocks noChangeAspect="1"/>
        </xdr:cNvPicPr>
      </xdr:nvPicPr>
      <xdr:blipFill>
        <a:blip xmlns:r="http://schemas.openxmlformats.org/officeDocument/2006/relationships" r:embed="rId839"/>
        <a:stretch>
          <a:fillRect/>
        </a:stretch>
      </xdr:blipFill>
      <xdr:spPr>
        <a:xfrm>
          <a:off x="7235825" y="1101471000"/>
          <a:ext cx="878840" cy="1183640"/>
        </a:xfrm>
        <a:prstGeom prst="rect">
          <a:avLst/>
        </a:prstGeom>
      </xdr:spPr>
    </xdr:pic>
    <xdr:clientData/>
  </xdr:twoCellAnchor>
  <xdr:twoCellAnchor>
    <xdr:from>
      <xdr:col>9</xdr:col>
      <xdr:colOff>6350</xdr:colOff>
      <xdr:row>1157</xdr:row>
      <xdr:rowOff>25400</xdr:rowOff>
    </xdr:from>
    <xdr:to>
      <xdr:col>9</xdr:col>
      <xdr:colOff>885190</xdr:colOff>
      <xdr:row>1157</xdr:row>
      <xdr:rowOff>1209040</xdr:rowOff>
    </xdr:to>
    <xdr:pic>
      <xdr:nvPicPr>
        <xdr:cNvPr id="6073" name="Изображение 6072" descr="resizeПП-00251469"/>
        <xdr:cNvPicPr>
          <a:picLocks noChangeAspect="1"/>
        </xdr:cNvPicPr>
      </xdr:nvPicPr>
      <xdr:blipFill>
        <a:blip xmlns:r="http://schemas.openxmlformats.org/officeDocument/2006/relationships" r:embed="rId840"/>
        <a:stretch>
          <a:fillRect/>
        </a:stretch>
      </xdr:blipFill>
      <xdr:spPr>
        <a:xfrm>
          <a:off x="7235825" y="1102998175"/>
          <a:ext cx="878840" cy="1183640"/>
        </a:xfrm>
        <a:prstGeom prst="rect">
          <a:avLst/>
        </a:prstGeom>
      </xdr:spPr>
    </xdr:pic>
    <xdr:clientData/>
  </xdr:twoCellAnchor>
  <xdr:twoCellAnchor>
    <xdr:from>
      <xdr:col>9</xdr:col>
      <xdr:colOff>6350</xdr:colOff>
      <xdr:row>1158</xdr:row>
      <xdr:rowOff>25400</xdr:rowOff>
    </xdr:from>
    <xdr:to>
      <xdr:col>9</xdr:col>
      <xdr:colOff>885190</xdr:colOff>
      <xdr:row>1158</xdr:row>
      <xdr:rowOff>1209040</xdr:rowOff>
    </xdr:to>
    <xdr:pic>
      <xdr:nvPicPr>
        <xdr:cNvPr id="6074" name="Изображение 6073" descr="resizeПП-00251471"/>
        <xdr:cNvPicPr>
          <a:picLocks noChangeAspect="1"/>
        </xdr:cNvPicPr>
      </xdr:nvPicPr>
      <xdr:blipFill>
        <a:blip xmlns:r="http://schemas.openxmlformats.org/officeDocument/2006/relationships" r:embed="rId841"/>
        <a:stretch>
          <a:fillRect/>
        </a:stretch>
      </xdr:blipFill>
      <xdr:spPr>
        <a:xfrm>
          <a:off x="7235825" y="1104220550"/>
          <a:ext cx="878840" cy="1183640"/>
        </a:xfrm>
        <a:prstGeom prst="rect">
          <a:avLst/>
        </a:prstGeom>
      </xdr:spPr>
    </xdr:pic>
    <xdr:clientData/>
  </xdr:twoCellAnchor>
  <xdr:twoCellAnchor>
    <xdr:from>
      <xdr:col>9</xdr:col>
      <xdr:colOff>6350</xdr:colOff>
      <xdr:row>1159</xdr:row>
      <xdr:rowOff>25400</xdr:rowOff>
    </xdr:from>
    <xdr:to>
      <xdr:col>9</xdr:col>
      <xdr:colOff>885190</xdr:colOff>
      <xdr:row>1159</xdr:row>
      <xdr:rowOff>1209040</xdr:rowOff>
    </xdr:to>
    <xdr:pic>
      <xdr:nvPicPr>
        <xdr:cNvPr id="6075" name="Изображение 6074" descr="resizeПП-00251472"/>
        <xdr:cNvPicPr>
          <a:picLocks noChangeAspect="1"/>
        </xdr:cNvPicPr>
      </xdr:nvPicPr>
      <xdr:blipFill>
        <a:blip xmlns:r="http://schemas.openxmlformats.org/officeDocument/2006/relationships" r:embed="rId842"/>
        <a:stretch>
          <a:fillRect/>
        </a:stretch>
      </xdr:blipFill>
      <xdr:spPr>
        <a:xfrm>
          <a:off x="7235825" y="1105442925"/>
          <a:ext cx="878840" cy="1183640"/>
        </a:xfrm>
        <a:prstGeom prst="rect">
          <a:avLst/>
        </a:prstGeom>
      </xdr:spPr>
    </xdr:pic>
    <xdr:clientData/>
  </xdr:twoCellAnchor>
  <xdr:twoCellAnchor>
    <xdr:from>
      <xdr:col>9</xdr:col>
      <xdr:colOff>6350</xdr:colOff>
      <xdr:row>1161</xdr:row>
      <xdr:rowOff>25400</xdr:rowOff>
    </xdr:from>
    <xdr:to>
      <xdr:col>9</xdr:col>
      <xdr:colOff>885190</xdr:colOff>
      <xdr:row>1161</xdr:row>
      <xdr:rowOff>1209040</xdr:rowOff>
    </xdr:to>
    <xdr:pic>
      <xdr:nvPicPr>
        <xdr:cNvPr id="6076" name="Изображение 6075" descr="resizeПП-00275546"/>
        <xdr:cNvPicPr>
          <a:picLocks noChangeAspect="1"/>
        </xdr:cNvPicPr>
      </xdr:nvPicPr>
      <xdr:blipFill>
        <a:blip xmlns:r="http://schemas.openxmlformats.org/officeDocument/2006/relationships" r:embed="rId843"/>
        <a:stretch>
          <a:fillRect/>
        </a:stretch>
      </xdr:blipFill>
      <xdr:spPr>
        <a:xfrm>
          <a:off x="7235825" y="1106817700"/>
          <a:ext cx="878840" cy="1183640"/>
        </a:xfrm>
        <a:prstGeom prst="rect">
          <a:avLst/>
        </a:prstGeom>
      </xdr:spPr>
    </xdr:pic>
    <xdr:clientData/>
  </xdr:twoCellAnchor>
  <xdr:twoCellAnchor>
    <xdr:from>
      <xdr:col>9</xdr:col>
      <xdr:colOff>6350</xdr:colOff>
      <xdr:row>1162</xdr:row>
      <xdr:rowOff>25400</xdr:rowOff>
    </xdr:from>
    <xdr:to>
      <xdr:col>9</xdr:col>
      <xdr:colOff>885190</xdr:colOff>
      <xdr:row>1162</xdr:row>
      <xdr:rowOff>1209040</xdr:rowOff>
    </xdr:to>
    <xdr:pic>
      <xdr:nvPicPr>
        <xdr:cNvPr id="6077" name="Изображение 6076" descr="resizeПП-00275553"/>
        <xdr:cNvPicPr>
          <a:picLocks noChangeAspect="1"/>
        </xdr:cNvPicPr>
      </xdr:nvPicPr>
      <xdr:blipFill>
        <a:blip xmlns:r="http://schemas.openxmlformats.org/officeDocument/2006/relationships" r:embed="rId844"/>
        <a:stretch>
          <a:fillRect/>
        </a:stretch>
      </xdr:blipFill>
      <xdr:spPr>
        <a:xfrm>
          <a:off x="7235825" y="1108040075"/>
          <a:ext cx="878840" cy="1183640"/>
        </a:xfrm>
        <a:prstGeom prst="rect">
          <a:avLst/>
        </a:prstGeom>
      </xdr:spPr>
    </xdr:pic>
    <xdr:clientData/>
  </xdr:twoCellAnchor>
  <xdr:twoCellAnchor>
    <xdr:from>
      <xdr:col>9</xdr:col>
      <xdr:colOff>6350</xdr:colOff>
      <xdr:row>1163</xdr:row>
      <xdr:rowOff>25400</xdr:rowOff>
    </xdr:from>
    <xdr:to>
      <xdr:col>9</xdr:col>
      <xdr:colOff>885190</xdr:colOff>
      <xdr:row>1163</xdr:row>
      <xdr:rowOff>1209040</xdr:rowOff>
    </xdr:to>
    <xdr:pic>
      <xdr:nvPicPr>
        <xdr:cNvPr id="6078" name="Изображение 6077" descr="resizeПП-00187319"/>
        <xdr:cNvPicPr>
          <a:picLocks noChangeAspect="1"/>
        </xdr:cNvPicPr>
      </xdr:nvPicPr>
      <xdr:blipFill>
        <a:blip xmlns:r="http://schemas.openxmlformats.org/officeDocument/2006/relationships" r:embed="rId845"/>
        <a:stretch>
          <a:fillRect/>
        </a:stretch>
      </xdr:blipFill>
      <xdr:spPr>
        <a:xfrm>
          <a:off x="7235825" y="1109262450"/>
          <a:ext cx="878840" cy="1183640"/>
        </a:xfrm>
        <a:prstGeom prst="rect">
          <a:avLst/>
        </a:prstGeom>
      </xdr:spPr>
    </xdr:pic>
    <xdr:clientData/>
  </xdr:twoCellAnchor>
  <xdr:twoCellAnchor>
    <xdr:from>
      <xdr:col>9</xdr:col>
      <xdr:colOff>6350</xdr:colOff>
      <xdr:row>1164</xdr:row>
      <xdr:rowOff>25400</xdr:rowOff>
    </xdr:from>
    <xdr:to>
      <xdr:col>9</xdr:col>
      <xdr:colOff>885190</xdr:colOff>
      <xdr:row>1164</xdr:row>
      <xdr:rowOff>1209040</xdr:rowOff>
    </xdr:to>
    <xdr:pic>
      <xdr:nvPicPr>
        <xdr:cNvPr id="6079" name="Изображение 6078" descr="resizeПП-00187323"/>
        <xdr:cNvPicPr>
          <a:picLocks noChangeAspect="1"/>
        </xdr:cNvPicPr>
      </xdr:nvPicPr>
      <xdr:blipFill>
        <a:blip xmlns:r="http://schemas.openxmlformats.org/officeDocument/2006/relationships" r:embed="rId846"/>
        <a:stretch>
          <a:fillRect/>
        </a:stretch>
      </xdr:blipFill>
      <xdr:spPr>
        <a:xfrm>
          <a:off x="7235825" y="1110484825"/>
          <a:ext cx="878840" cy="1183640"/>
        </a:xfrm>
        <a:prstGeom prst="rect">
          <a:avLst/>
        </a:prstGeom>
      </xdr:spPr>
    </xdr:pic>
    <xdr:clientData/>
  </xdr:twoCellAnchor>
  <xdr:twoCellAnchor>
    <xdr:from>
      <xdr:col>9</xdr:col>
      <xdr:colOff>6350</xdr:colOff>
      <xdr:row>1165</xdr:row>
      <xdr:rowOff>25400</xdr:rowOff>
    </xdr:from>
    <xdr:to>
      <xdr:col>9</xdr:col>
      <xdr:colOff>885190</xdr:colOff>
      <xdr:row>1165</xdr:row>
      <xdr:rowOff>1209040</xdr:rowOff>
    </xdr:to>
    <xdr:pic>
      <xdr:nvPicPr>
        <xdr:cNvPr id="6080" name="Изображение 6079" descr="resizeПП-00275550"/>
        <xdr:cNvPicPr>
          <a:picLocks noChangeAspect="1"/>
        </xdr:cNvPicPr>
      </xdr:nvPicPr>
      <xdr:blipFill>
        <a:blip xmlns:r="http://schemas.openxmlformats.org/officeDocument/2006/relationships" r:embed="rId847"/>
        <a:stretch>
          <a:fillRect/>
        </a:stretch>
      </xdr:blipFill>
      <xdr:spPr>
        <a:xfrm>
          <a:off x="7235825" y="1111707200"/>
          <a:ext cx="878840" cy="1183640"/>
        </a:xfrm>
        <a:prstGeom prst="rect">
          <a:avLst/>
        </a:prstGeom>
      </xdr:spPr>
    </xdr:pic>
    <xdr:clientData/>
  </xdr:twoCellAnchor>
  <xdr:twoCellAnchor>
    <xdr:from>
      <xdr:col>9</xdr:col>
      <xdr:colOff>6350</xdr:colOff>
      <xdr:row>1166</xdr:row>
      <xdr:rowOff>25400</xdr:rowOff>
    </xdr:from>
    <xdr:to>
      <xdr:col>9</xdr:col>
      <xdr:colOff>885190</xdr:colOff>
      <xdr:row>1166</xdr:row>
      <xdr:rowOff>1209040</xdr:rowOff>
    </xdr:to>
    <xdr:pic>
      <xdr:nvPicPr>
        <xdr:cNvPr id="6081" name="Изображение 6080" descr="resizeПП-00275552"/>
        <xdr:cNvPicPr>
          <a:picLocks noChangeAspect="1"/>
        </xdr:cNvPicPr>
      </xdr:nvPicPr>
      <xdr:blipFill>
        <a:blip xmlns:r="http://schemas.openxmlformats.org/officeDocument/2006/relationships" r:embed="rId848"/>
        <a:stretch>
          <a:fillRect/>
        </a:stretch>
      </xdr:blipFill>
      <xdr:spPr>
        <a:xfrm>
          <a:off x="7235825" y="1112929575"/>
          <a:ext cx="878840" cy="1183640"/>
        </a:xfrm>
        <a:prstGeom prst="rect">
          <a:avLst/>
        </a:prstGeom>
      </xdr:spPr>
    </xdr:pic>
    <xdr:clientData/>
  </xdr:twoCellAnchor>
  <xdr:twoCellAnchor>
    <xdr:from>
      <xdr:col>9</xdr:col>
      <xdr:colOff>6350</xdr:colOff>
      <xdr:row>1167</xdr:row>
      <xdr:rowOff>25400</xdr:rowOff>
    </xdr:from>
    <xdr:to>
      <xdr:col>9</xdr:col>
      <xdr:colOff>885190</xdr:colOff>
      <xdr:row>1167</xdr:row>
      <xdr:rowOff>1209040</xdr:rowOff>
    </xdr:to>
    <xdr:pic>
      <xdr:nvPicPr>
        <xdr:cNvPr id="6082" name="Изображение 6081" descr="resizeПП-00275547"/>
        <xdr:cNvPicPr>
          <a:picLocks noChangeAspect="1"/>
        </xdr:cNvPicPr>
      </xdr:nvPicPr>
      <xdr:blipFill>
        <a:blip xmlns:r="http://schemas.openxmlformats.org/officeDocument/2006/relationships" r:embed="rId849"/>
        <a:stretch>
          <a:fillRect/>
        </a:stretch>
      </xdr:blipFill>
      <xdr:spPr>
        <a:xfrm>
          <a:off x="7235825" y="1114151950"/>
          <a:ext cx="878840" cy="1183640"/>
        </a:xfrm>
        <a:prstGeom prst="rect">
          <a:avLst/>
        </a:prstGeom>
      </xdr:spPr>
    </xdr:pic>
    <xdr:clientData/>
  </xdr:twoCellAnchor>
  <xdr:twoCellAnchor>
    <xdr:from>
      <xdr:col>9</xdr:col>
      <xdr:colOff>6350</xdr:colOff>
      <xdr:row>1168</xdr:row>
      <xdr:rowOff>25400</xdr:rowOff>
    </xdr:from>
    <xdr:to>
      <xdr:col>9</xdr:col>
      <xdr:colOff>885190</xdr:colOff>
      <xdr:row>1168</xdr:row>
      <xdr:rowOff>1209040</xdr:rowOff>
    </xdr:to>
    <xdr:pic>
      <xdr:nvPicPr>
        <xdr:cNvPr id="6083" name="Изображение 6082" descr="resizeПП-00275554"/>
        <xdr:cNvPicPr>
          <a:picLocks noChangeAspect="1"/>
        </xdr:cNvPicPr>
      </xdr:nvPicPr>
      <xdr:blipFill>
        <a:blip xmlns:r="http://schemas.openxmlformats.org/officeDocument/2006/relationships" r:embed="rId850"/>
        <a:stretch>
          <a:fillRect/>
        </a:stretch>
      </xdr:blipFill>
      <xdr:spPr>
        <a:xfrm>
          <a:off x="7235825" y="1115374325"/>
          <a:ext cx="878840" cy="1183640"/>
        </a:xfrm>
        <a:prstGeom prst="rect">
          <a:avLst/>
        </a:prstGeom>
      </xdr:spPr>
    </xdr:pic>
    <xdr:clientData/>
  </xdr:twoCellAnchor>
  <xdr:twoCellAnchor>
    <xdr:from>
      <xdr:col>9</xdr:col>
      <xdr:colOff>6350</xdr:colOff>
      <xdr:row>1169</xdr:row>
      <xdr:rowOff>25400</xdr:rowOff>
    </xdr:from>
    <xdr:to>
      <xdr:col>9</xdr:col>
      <xdr:colOff>885190</xdr:colOff>
      <xdr:row>1169</xdr:row>
      <xdr:rowOff>1209040</xdr:rowOff>
    </xdr:to>
    <xdr:pic>
      <xdr:nvPicPr>
        <xdr:cNvPr id="6084" name="Изображение 6083" descr="resizeПП-00275545"/>
        <xdr:cNvPicPr>
          <a:picLocks noChangeAspect="1"/>
        </xdr:cNvPicPr>
      </xdr:nvPicPr>
      <xdr:blipFill>
        <a:blip xmlns:r="http://schemas.openxmlformats.org/officeDocument/2006/relationships" r:embed="rId851"/>
        <a:stretch>
          <a:fillRect/>
        </a:stretch>
      </xdr:blipFill>
      <xdr:spPr>
        <a:xfrm>
          <a:off x="7235825" y="1116596700"/>
          <a:ext cx="878840" cy="1183640"/>
        </a:xfrm>
        <a:prstGeom prst="rect">
          <a:avLst/>
        </a:prstGeom>
      </xdr:spPr>
    </xdr:pic>
    <xdr:clientData/>
  </xdr:twoCellAnchor>
  <xdr:twoCellAnchor>
    <xdr:from>
      <xdr:col>9</xdr:col>
      <xdr:colOff>6350</xdr:colOff>
      <xdr:row>1170</xdr:row>
      <xdr:rowOff>25400</xdr:rowOff>
    </xdr:from>
    <xdr:to>
      <xdr:col>9</xdr:col>
      <xdr:colOff>885190</xdr:colOff>
      <xdr:row>1170</xdr:row>
      <xdr:rowOff>1209040</xdr:rowOff>
    </xdr:to>
    <xdr:pic>
      <xdr:nvPicPr>
        <xdr:cNvPr id="6085" name="Изображение 6084" descr="resizeПП-00275551"/>
        <xdr:cNvPicPr>
          <a:picLocks noChangeAspect="1"/>
        </xdr:cNvPicPr>
      </xdr:nvPicPr>
      <xdr:blipFill>
        <a:blip xmlns:r="http://schemas.openxmlformats.org/officeDocument/2006/relationships" r:embed="rId852"/>
        <a:stretch>
          <a:fillRect/>
        </a:stretch>
      </xdr:blipFill>
      <xdr:spPr>
        <a:xfrm>
          <a:off x="7235825" y="1117819075"/>
          <a:ext cx="878840" cy="1183640"/>
        </a:xfrm>
        <a:prstGeom prst="rect">
          <a:avLst/>
        </a:prstGeom>
      </xdr:spPr>
    </xdr:pic>
    <xdr:clientData/>
  </xdr:twoCellAnchor>
  <xdr:twoCellAnchor>
    <xdr:from>
      <xdr:col>9</xdr:col>
      <xdr:colOff>6350</xdr:colOff>
      <xdr:row>1171</xdr:row>
      <xdr:rowOff>25400</xdr:rowOff>
    </xdr:from>
    <xdr:to>
      <xdr:col>9</xdr:col>
      <xdr:colOff>885190</xdr:colOff>
      <xdr:row>1171</xdr:row>
      <xdr:rowOff>1209040</xdr:rowOff>
    </xdr:to>
    <xdr:pic>
      <xdr:nvPicPr>
        <xdr:cNvPr id="6086" name="Изображение 6085" descr="resizeПП-00187322"/>
        <xdr:cNvPicPr>
          <a:picLocks noChangeAspect="1"/>
        </xdr:cNvPicPr>
      </xdr:nvPicPr>
      <xdr:blipFill>
        <a:blip xmlns:r="http://schemas.openxmlformats.org/officeDocument/2006/relationships" r:embed="rId853"/>
        <a:stretch>
          <a:fillRect/>
        </a:stretch>
      </xdr:blipFill>
      <xdr:spPr>
        <a:xfrm>
          <a:off x="7235825" y="1119041450"/>
          <a:ext cx="878840" cy="1183640"/>
        </a:xfrm>
        <a:prstGeom prst="rect">
          <a:avLst/>
        </a:prstGeom>
      </xdr:spPr>
    </xdr:pic>
    <xdr:clientData/>
  </xdr:twoCellAnchor>
  <xdr:twoCellAnchor>
    <xdr:from>
      <xdr:col>9</xdr:col>
      <xdr:colOff>6350</xdr:colOff>
      <xdr:row>1172</xdr:row>
      <xdr:rowOff>25400</xdr:rowOff>
    </xdr:from>
    <xdr:to>
      <xdr:col>9</xdr:col>
      <xdr:colOff>885190</xdr:colOff>
      <xdr:row>1172</xdr:row>
      <xdr:rowOff>1209040</xdr:rowOff>
    </xdr:to>
    <xdr:pic>
      <xdr:nvPicPr>
        <xdr:cNvPr id="6087" name="Изображение 6086" descr="resizeПП-00275543"/>
        <xdr:cNvPicPr>
          <a:picLocks noChangeAspect="1"/>
        </xdr:cNvPicPr>
      </xdr:nvPicPr>
      <xdr:blipFill>
        <a:blip xmlns:r="http://schemas.openxmlformats.org/officeDocument/2006/relationships" r:embed="rId854"/>
        <a:stretch>
          <a:fillRect/>
        </a:stretch>
      </xdr:blipFill>
      <xdr:spPr>
        <a:xfrm>
          <a:off x="7235825" y="1120263825"/>
          <a:ext cx="878840" cy="1183640"/>
        </a:xfrm>
        <a:prstGeom prst="rect">
          <a:avLst/>
        </a:prstGeom>
      </xdr:spPr>
    </xdr:pic>
    <xdr:clientData/>
  </xdr:twoCellAnchor>
  <xdr:twoCellAnchor>
    <xdr:from>
      <xdr:col>9</xdr:col>
      <xdr:colOff>6350</xdr:colOff>
      <xdr:row>1173</xdr:row>
      <xdr:rowOff>25400</xdr:rowOff>
    </xdr:from>
    <xdr:to>
      <xdr:col>9</xdr:col>
      <xdr:colOff>885190</xdr:colOff>
      <xdr:row>1173</xdr:row>
      <xdr:rowOff>1209040</xdr:rowOff>
    </xdr:to>
    <xdr:pic>
      <xdr:nvPicPr>
        <xdr:cNvPr id="6088" name="Изображение 6087" descr="resizeПП-00275526"/>
        <xdr:cNvPicPr>
          <a:picLocks noChangeAspect="1"/>
        </xdr:cNvPicPr>
      </xdr:nvPicPr>
      <xdr:blipFill>
        <a:blip xmlns:r="http://schemas.openxmlformats.org/officeDocument/2006/relationships" r:embed="rId855"/>
        <a:stretch>
          <a:fillRect/>
        </a:stretch>
      </xdr:blipFill>
      <xdr:spPr>
        <a:xfrm>
          <a:off x="7235825" y="1121486200"/>
          <a:ext cx="878840" cy="1183640"/>
        </a:xfrm>
        <a:prstGeom prst="rect">
          <a:avLst/>
        </a:prstGeom>
      </xdr:spPr>
    </xdr:pic>
    <xdr:clientData/>
  </xdr:twoCellAnchor>
  <xdr:twoCellAnchor>
    <xdr:from>
      <xdr:col>9</xdr:col>
      <xdr:colOff>6350</xdr:colOff>
      <xdr:row>1174</xdr:row>
      <xdr:rowOff>25400</xdr:rowOff>
    </xdr:from>
    <xdr:to>
      <xdr:col>9</xdr:col>
      <xdr:colOff>885190</xdr:colOff>
      <xdr:row>1174</xdr:row>
      <xdr:rowOff>1209040</xdr:rowOff>
    </xdr:to>
    <xdr:pic>
      <xdr:nvPicPr>
        <xdr:cNvPr id="6089" name="Изображение 6088" descr="resizeПП-00275531"/>
        <xdr:cNvPicPr>
          <a:picLocks noChangeAspect="1"/>
        </xdr:cNvPicPr>
      </xdr:nvPicPr>
      <xdr:blipFill>
        <a:blip xmlns:r="http://schemas.openxmlformats.org/officeDocument/2006/relationships" r:embed="rId856"/>
        <a:stretch>
          <a:fillRect/>
        </a:stretch>
      </xdr:blipFill>
      <xdr:spPr>
        <a:xfrm>
          <a:off x="7235825" y="1122708575"/>
          <a:ext cx="878840" cy="1183640"/>
        </a:xfrm>
        <a:prstGeom prst="rect">
          <a:avLst/>
        </a:prstGeom>
      </xdr:spPr>
    </xdr:pic>
    <xdr:clientData/>
  </xdr:twoCellAnchor>
  <xdr:twoCellAnchor>
    <xdr:from>
      <xdr:col>9</xdr:col>
      <xdr:colOff>6350</xdr:colOff>
      <xdr:row>1175</xdr:row>
      <xdr:rowOff>25400</xdr:rowOff>
    </xdr:from>
    <xdr:to>
      <xdr:col>9</xdr:col>
      <xdr:colOff>885190</xdr:colOff>
      <xdr:row>1175</xdr:row>
      <xdr:rowOff>1209040</xdr:rowOff>
    </xdr:to>
    <xdr:pic>
      <xdr:nvPicPr>
        <xdr:cNvPr id="6090" name="Изображение 6089" descr="resizeПП-00275537"/>
        <xdr:cNvPicPr>
          <a:picLocks noChangeAspect="1"/>
        </xdr:cNvPicPr>
      </xdr:nvPicPr>
      <xdr:blipFill>
        <a:blip xmlns:r="http://schemas.openxmlformats.org/officeDocument/2006/relationships" r:embed="rId857"/>
        <a:stretch>
          <a:fillRect/>
        </a:stretch>
      </xdr:blipFill>
      <xdr:spPr>
        <a:xfrm>
          <a:off x="7235825" y="1123930950"/>
          <a:ext cx="878840" cy="1183640"/>
        </a:xfrm>
        <a:prstGeom prst="rect">
          <a:avLst/>
        </a:prstGeom>
      </xdr:spPr>
    </xdr:pic>
    <xdr:clientData/>
  </xdr:twoCellAnchor>
  <xdr:twoCellAnchor>
    <xdr:from>
      <xdr:col>9</xdr:col>
      <xdr:colOff>6350</xdr:colOff>
      <xdr:row>1176</xdr:row>
      <xdr:rowOff>25400</xdr:rowOff>
    </xdr:from>
    <xdr:to>
      <xdr:col>9</xdr:col>
      <xdr:colOff>885190</xdr:colOff>
      <xdr:row>1176</xdr:row>
      <xdr:rowOff>1209040</xdr:rowOff>
    </xdr:to>
    <xdr:pic>
      <xdr:nvPicPr>
        <xdr:cNvPr id="6091" name="Изображение 6090" descr="resizeПП-00275535"/>
        <xdr:cNvPicPr>
          <a:picLocks noChangeAspect="1"/>
        </xdr:cNvPicPr>
      </xdr:nvPicPr>
      <xdr:blipFill>
        <a:blip xmlns:r="http://schemas.openxmlformats.org/officeDocument/2006/relationships" r:embed="rId858"/>
        <a:stretch>
          <a:fillRect/>
        </a:stretch>
      </xdr:blipFill>
      <xdr:spPr>
        <a:xfrm>
          <a:off x="7235825" y="1125153325"/>
          <a:ext cx="878840" cy="1183640"/>
        </a:xfrm>
        <a:prstGeom prst="rect">
          <a:avLst/>
        </a:prstGeom>
      </xdr:spPr>
    </xdr:pic>
    <xdr:clientData/>
  </xdr:twoCellAnchor>
  <xdr:twoCellAnchor>
    <xdr:from>
      <xdr:col>9</xdr:col>
      <xdr:colOff>6350</xdr:colOff>
      <xdr:row>1177</xdr:row>
      <xdr:rowOff>25400</xdr:rowOff>
    </xdr:from>
    <xdr:to>
      <xdr:col>9</xdr:col>
      <xdr:colOff>885190</xdr:colOff>
      <xdr:row>1177</xdr:row>
      <xdr:rowOff>1209040</xdr:rowOff>
    </xdr:to>
    <xdr:pic>
      <xdr:nvPicPr>
        <xdr:cNvPr id="6092" name="Изображение 6091" descr="resizeПП-00275540"/>
        <xdr:cNvPicPr>
          <a:picLocks noChangeAspect="1"/>
        </xdr:cNvPicPr>
      </xdr:nvPicPr>
      <xdr:blipFill>
        <a:blip xmlns:r="http://schemas.openxmlformats.org/officeDocument/2006/relationships" r:embed="rId859"/>
        <a:stretch>
          <a:fillRect/>
        </a:stretch>
      </xdr:blipFill>
      <xdr:spPr>
        <a:xfrm>
          <a:off x="7235825" y="1126375700"/>
          <a:ext cx="878840" cy="1183640"/>
        </a:xfrm>
        <a:prstGeom prst="rect">
          <a:avLst/>
        </a:prstGeom>
      </xdr:spPr>
    </xdr:pic>
    <xdr:clientData/>
  </xdr:twoCellAnchor>
  <xdr:twoCellAnchor>
    <xdr:from>
      <xdr:col>9</xdr:col>
      <xdr:colOff>6350</xdr:colOff>
      <xdr:row>1178</xdr:row>
      <xdr:rowOff>25400</xdr:rowOff>
    </xdr:from>
    <xdr:to>
      <xdr:col>9</xdr:col>
      <xdr:colOff>885190</xdr:colOff>
      <xdr:row>1178</xdr:row>
      <xdr:rowOff>1209040</xdr:rowOff>
    </xdr:to>
    <xdr:pic>
      <xdr:nvPicPr>
        <xdr:cNvPr id="6093" name="Изображение 6092" descr="resizeПП-00275539"/>
        <xdr:cNvPicPr>
          <a:picLocks noChangeAspect="1"/>
        </xdr:cNvPicPr>
      </xdr:nvPicPr>
      <xdr:blipFill>
        <a:blip xmlns:r="http://schemas.openxmlformats.org/officeDocument/2006/relationships" r:embed="rId860"/>
        <a:stretch>
          <a:fillRect/>
        </a:stretch>
      </xdr:blipFill>
      <xdr:spPr>
        <a:xfrm>
          <a:off x="7235825" y="1127598075"/>
          <a:ext cx="878840" cy="1183640"/>
        </a:xfrm>
        <a:prstGeom prst="rect">
          <a:avLst/>
        </a:prstGeom>
      </xdr:spPr>
    </xdr:pic>
    <xdr:clientData/>
  </xdr:twoCellAnchor>
  <xdr:twoCellAnchor>
    <xdr:from>
      <xdr:col>9</xdr:col>
      <xdr:colOff>6350</xdr:colOff>
      <xdr:row>1179</xdr:row>
      <xdr:rowOff>25400</xdr:rowOff>
    </xdr:from>
    <xdr:to>
      <xdr:col>9</xdr:col>
      <xdr:colOff>885190</xdr:colOff>
      <xdr:row>1179</xdr:row>
      <xdr:rowOff>1209040</xdr:rowOff>
    </xdr:to>
    <xdr:pic>
      <xdr:nvPicPr>
        <xdr:cNvPr id="6094" name="Изображение 6093" descr="resizeПП-00103740"/>
        <xdr:cNvPicPr>
          <a:picLocks noChangeAspect="1"/>
        </xdr:cNvPicPr>
      </xdr:nvPicPr>
      <xdr:blipFill>
        <a:blip xmlns:r="http://schemas.openxmlformats.org/officeDocument/2006/relationships" r:embed="rId861"/>
        <a:stretch>
          <a:fillRect/>
        </a:stretch>
      </xdr:blipFill>
      <xdr:spPr>
        <a:xfrm>
          <a:off x="7235825" y="1128820450"/>
          <a:ext cx="878840" cy="1183640"/>
        </a:xfrm>
        <a:prstGeom prst="rect">
          <a:avLst/>
        </a:prstGeom>
      </xdr:spPr>
    </xdr:pic>
    <xdr:clientData/>
  </xdr:twoCellAnchor>
  <xdr:twoCellAnchor>
    <xdr:from>
      <xdr:col>9</xdr:col>
      <xdr:colOff>6350</xdr:colOff>
      <xdr:row>1180</xdr:row>
      <xdr:rowOff>25400</xdr:rowOff>
    </xdr:from>
    <xdr:to>
      <xdr:col>9</xdr:col>
      <xdr:colOff>885190</xdr:colOff>
      <xdr:row>1180</xdr:row>
      <xdr:rowOff>1209040</xdr:rowOff>
    </xdr:to>
    <xdr:pic>
      <xdr:nvPicPr>
        <xdr:cNvPr id="6095" name="Изображение 6094" descr="resizeПП-00103736"/>
        <xdr:cNvPicPr>
          <a:picLocks noChangeAspect="1"/>
        </xdr:cNvPicPr>
      </xdr:nvPicPr>
      <xdr:blipFill>
        <a:blip xmlns:r="http://schemas.openxmlformats.org/officeDocument/2006/relationships" r:embed="rId862"/>
        <a:stretch>
          <a:fillRect/>
        </a:stretch>
      </xdr:blipFill>
      <xdr:spPr>
        <a:xfrm>
          <a:off x="7235825" y="1130042825"/>
          <a:ext cx="878840" cy="1183640"/>
        </a:xfrm>
        <a:prstGeom prst="rect">
          <a:avLst/>
        </a:prstGeom>
      </xdr:spPr>
    </xdr:pic>
    <xdr:clientData/>
  </xdr:twoCellAnchor>
  <xdr:twoCellAnchor>
    <xdr:from>
      <xdr:col>9</xdr:col>
      <xdr:colOff>6350</xdr:colOff>
      <xdr:row>1181</xdr:row>
      <xdr:rowOff>25400</xdr:rowOff>
    </xdr:from>
    <xdr:to>
      <xdr:col>9</xdr:col>
      <xdr:colOff>885190</xdr:colOff>
      <xdr:row>1181</xdr:row>
      <xdr:rowOff>1209040</xdr:rowOff>
    </xdr:to>
    <xdr:pic>
      <xdr:nvPicPr>
        <xdr:cNvPr id="6096" name="Изображение 6095" descr="resizeПП-00275530"/>
        <xdr:cNvPicPr>
          <a:picLocks noChangeAspect="1"/>
        </xdr:cNvPicPr>
      </xdr:nvPicPr>
      <xdr:blipFill>
        <a:blip xmlns:r="http://schemas.openxmlformats.org/officeDocument/2006/relationships" r:embed="rId863"/>
        <a:stretch>
          <a:fillRect/>
        </a:stretch>
      </xdr:blipFill>
      <xdr:spPr>
        <a:xfrm>
          <a:off x="7235825" y="1131265200"/>
          <a:ext cx="878840" cy="1183640"/>
        </a:xfrm>
        <a:prstGeom prst="rect">
          <a:avLst/>
        </a:prstGeom>
      </xdr:spPr>
    </xdr:pic>
    <xdr:clientData/>
  </xdr:twoCellAnchor>
  <xdr:twoCellAnchor>
    <xdr:from>
      <xdr:col>9</xdr:col>
      <xdr:colOff>6350</xdr:colOff>
      <xdr:row>1182</xdr:row>
      <xdr:rowOff>25400</xdr:rowOff>
    </xdr:from>
    <xdr:to>
      <xdr:col>9</xdr:col>
      <xdr:colOff>885190</xdr:colOff>
      <xdr:row>1182</xdr:row>
      <xdr:rowOff>1209040</xdr:rowOff>
    </xdr:to>
    <xdr:pic>
      <xdr:nvPicPr>
        <xdr:cNvPr id="6097" name="Изображение 6096" descr="resizeПП-00275532"/>
        <xdr:cNvPicPr>
          <a:picLocks noChangeAspect="1"/>
        </xdr:cNvPicPr>
      </xdr:nvPicPr>
      <xdr:blipFill>
        <a:blip xmlns:r="http://schemas.openxmlformats.org/officeDocument/2006/relationships" r:embed="rId864"/>
        <a:stretch>
          <a:fillRect/>
        </a:stretch>
      </xdr:blipFill>
      <xdr:spPr>
        <a:xfrm>
          <a:off x="7235825" y="1132487575"/>
          <a:ext cx="878840" cy="1183640"/>
        </a:xfrm>
        <a:prstGeom prst="rect">
          <a:avLst/>
        </a:prstGeom>
      </xdr:spPr>
    </xdr:pic>
    <xdr:clientData/>
  </xdr:twoCellAnchor>
  <xdr:twoCellAnchor>
    <xdr:from>
      <xdr:col>9</xdr:col>
      <xdr:colOff>6350</xdr:colOff>
      <xdr:row>1183</xdr:row>
      <xdr:rowOff>25400</xdr:rowOff>
    </xdr:from>
    <xdr:to>
      <xdr:col>9</xdr:col>
      <xdr:colOff>885190</xdr:colOff>
      <xdr:row>1183</xdr:row>
      <xdr:rowOff>1209040</xdr:rowOff>
    </xdr:to>
    <xdr:pic>
      <xdr:nvPicPr>
        <xdr:cNvPr id="6098" name="Изображение 6097" descr="resizeПП-00275536"/>
        <xdr:cNvPicPr>
          <a:picLocks noChangeAspect="1"/>
        </xdr:cNvPicPr>
      </xdr:nvPicPr>
      <xdr:blipFill>
        <a:blip xmlns:r="http://schemas.openxmlformats.org/officeDocument/2006/relationships" r:embed="rId865"/>
        <a:stretch>
          <a:fillRect/>
        </a:stretch>
      </xdr:blipFill>
      <xdr:spPr>
        <a:xfrm>
          <a:off x="7235825" y="1133709950"/>
          <a:ext cx="878840" cy="1183640"/>
        </a:xfrm>
        <a:prstGeom prst="rect">
          <a:avLst/>
        </a:prstGeom>
      </xdr:spPr>
    </xdr:pic>
    <xdr:clientData/>
  </xdr:twoCellAnchor>
  <xdr:twoCellAnchor>
    <xdr:from>
      <xdr:col>9</xdr:col>
      <xdr:colOff>6350</xdr:colOff>
      <xdr:row>1184</xdr:row>
      <xdr:rowOff>25400</xdr:rowOff>
    </xdr:from>
    <xdr:to>
      <xdr:col>9</xdr:col>
      <xdr:colOff>885190</xdr:colOff>
      <xdr:row>1184</xdr:row>
      <xdr:rowOff>1209040</xdr:rowOff>
    </xdr:to>
    <xdr:pic>
      <xdr:nvPicPr>
        <xdr:cNvPr id="6099" name="Изображение 6098" descr="resizeПП-00200504"/>
        <xdr:cNvPicPr>
          <a:picLocks noChangeAspect="1"/>
        </xdr:cNvPicPr>
      </xdr:nvPicPr>
      <xdr:blipFill>
        <a:blip xmlns:r="http://schemas.openxmlformats.org/officeDocument/2006/relationships" r:embed="rId866"/>
        <a:stretch>
          <a:fillRect/>
        </a:stretch>
      </xdr:blipFill>
      <xdr:spPr>
        <a:xfrm>
          <a:off x="7235825" y="1134932325"/>
          <a:ext cx="878840" cy="1183640"/>
        </a:xfrm>
        <a:prstGeom prst="rect">
          <a:avLst/>
        </a:prstGeom>
      </xdr:spPr>
    </xdr:pic>
    <xdr:clientData/>
  </xdr:twoCellAnchor>
  <xdr:twoCellAnchor>
    <xdr:from>
      <xdr:col>9</xdr:col>
      <xdr:colOff>6350</xdr:colOff>
      <xdr:row>1185</xdr:row>
      <xdr:rowOff>25400</xdr:rowOff>
    </xdr:from>
    <xdr:to>
      <xdr:col>9</xdr:col>
      <xdr:colOff>885190</xdr:colOff>
      <xdr:row>1185</xdr:row>
      <xdr:rowOff>1209040</xdr:rowOff>
    </xdr:to>
    <xdr:pic>
      <xdr:nvPicPr>
        <xdr:cNvPr id="6100" name="Изображение 6099" descr="resizeПП-00200508"/>
        <xdr:cNvPicPr>
          <a:picLocks noChangeAspect="1"/>
        </xdr:cNvPicPr>
      </xdr:nvPicPr>
      <xdr:blipFill>
        <a:blip xmlns:r="http://schemas.openxmlformats.org/officeDocument/2006/relationships" r:embed="rId867"/>
        <a:stretch>
          <a:fillRect/>
        </a:stretch>
      </xdr:blipFill>
      <xdr:spPr>
        <a:xfrm>
          <a:off x="7235825" y="1136154700"/>
          <a:ext cx="878840" cy="1183640"/>
        </a:xfrm>
        <a:prstGeom prst="rect">
          <a:avLst/>
        </a:prstGeom>
      </xdr:spPr>
    </xdr:pic>
    <xdr:clientData/>
  </xdr:twoCellAnchor>
  <xdr:twoCellAnchor>
    <xdr:from>
      <xdr:col>9</xdr:col>
      <xdr:colOff>6350</xdr:colOff>
      <xdr:row>1187</xdr:row>
      <xdr:rowOff>25400</xdr:rowOff>
    </xdr:from>
    <xdr:to>
      <xdr:col>9</xdr:col>
      <xdr:colOff>885190</xdr:colOff>
      <xdr:row>1187</xdr:row>
      <xdr:rowOff>1209040</xdr:rowOff>
    </xdr:to>
    <xdr:pic>
      <xdr:nvPicPr>
        <xdr:cNvPr id="6101" name="Изображение 6100" descr="resizeПП-00251509"/>
        <xdr:cNvPicPr>
          <a:picLocks noChangeAspect="1"/>
        </xdr:cNvPicPr>
      </xdr:nvPicPr>
      <xdr:blipFill>
        <a:blip xmlns:r="http://schemas.openxmlformats.org/officeDocument/2006/relationships" r:embed="rId868"/>
        <a:stretch>
          <a:fillRect/>
        </a:stretch>
      </xdr:blipFill>
      <xdr:spPr>
        <a:xfrm>
          <a:off x="7235825" y="1137529475"/>
          <a:ext cx="878840" cy="1183640"/>
        </a:xfrm>
        <a:prstGeom prst="rect">
          <a:avLst/>
        </a:prstGeom>
      </xdr:spPr>
    </xdr:pic>
    <xdr:clientData/>
  </xdr:twoCellAnchor>
  <xdr:twoCellAnchor>
    <xdr:from>
      <xdr:col>9</xdr:col>
      <xdr:colOff>6350</xdr:colOff>
      <xdr:row>1188</xdr:row>
      <xdr:rowOff>25400</xdr:rowOff>
    </xdr:from>
    <xdr:to>
      <xdr:col>9</xdr:col>
      <xdr:colOff>885190</xdr:colOff>
      <xdr:row>1188</xdr:row>
      <xdr:rowOff>1209040</xdr:rowOff>
    </xdr:to>
    <xdr:pic>
      <xdr:nvPicPr>
        <xdr:cNvPr id="6102" name="Изображение 6101" descr="resizeПП-00200380"/>
        <xdr:cNvPicPr>
          <a:picLocks noChangeAspect="1"/>
        </xdr:cNvPicPr>
      </xdr:nvPicPr>
      <xdr:blipFill>
        <a:blip xmlns:r="http://schemas.openxmlformats.org/officeDocument/2006/relationships" r:embed="rId869"/>
        <a:stretch>
          <a:fillRect/>
        </a:stretch>
      </xdr:blipFill>
      <xdr:spPr>
        <a:xfrm>
          <a:off x="7235825" y="1138751850"/>
          <a:ext cx="878840" cy="1183640"/>
        </a:xfrm>
        <a:prstGeom prst="rect">
          <a:avLst/>
        </a:prstGeom>
      </xdr:spPr>
    </xdr:pic>
    <xdr:clientData/>
  </xdr:twoCellAnchor>
  <xdr:twoCellAnchor>
    <xdr:from>
      <xdr:col>9</xdr:col>
      <xdr:colOff>6350</xdr:colOff>
      <xdr:row>1189</xdr:row>
      <xdr:rowOff>25400</xdr:rowOff>
    </xdr:from>
    <xdr:to>
      <xdr:col>9</xdr:col>
      <xdr:colOff>885190</xdr:colOff>
      <xdr:row>1189</xdr:row>
      <xdr:rowOff>1209040</xdr:rowOff>
    </xdr:to>
    <xdr:pic>
      <xdr:nvPicPr>
        <xdr:cNvPr id="6103" name="Изображение 6102" descr="resizeПП-00200383"/>
        <xdr:cNvPicPr>
          <a:picLocks noChangeAspect="1"/>
        </xdr:cNvPicPr>
      </xdr:nvPicPr>
      <xdr:blipFill>
        <a:blip xmlns:r="http://schemas.openxmlformats.org/officeDocument/2006/relationships" r:embed="rId870"/>
        <a:stretch>
          <a:fillRect/>
        </a:stretch>
      </xdr:blipFill>
      <xdr:spPr>
        <a:xfrm>
          <a:off x="7235825" y="1139974225"/>
          <a:ext cx="878840" cy="1183640"/>
        </a:xfrm>
        <a:prstGeom prst="rect">
          <a:avLst/>
        </a:prstGeom>
      </xdr:spPr>
    </xdr:pic>
    <xdr:clientData/>
  </xdr:twoCellAnchor>
  <xdr:twoCellAnchor>
    <xdr:from>
      <xdr:col>9</xdr:col>
      <xdr:colOff>6350</xdr:colOff>
      <xdr:row>1190</xdr:row>
      <xdr:rowOff>25400</xdr:rowOff>
    </xdr:from>
    <xdr:to>
      <xdr:col>9</xdr:col>
      <xdr:colOff>885190</xdr:colOff>
      <xdr:row>1190</xdr:row>
      <xdr:rowOff>1209040</xdr:rowOff>
    </xdr:to>
    <xdr:pic>
      <xdr:nvPicPr>
        <xdr:cNvPr id="6104" name="Изображение 6103" descr="resizeПП-00200382"/>
        <xdr:cNvPicPr>
          <a:picLocks noChangeAspect="1"/>
        </xdr:cNvPicPr>
      </xdr:nvPicPr>
      <xdr:blipFill>
        <a:blip xmlns:r="http://schemas.openxmlformats.org/officeDocument/2006/relationships" r:embed="rId871"/>
        <a:stretch>
          <a:fillRect/>
        </a:stretch>
      </xdr:blipFill>
      <xdr:spPr>
        <a:xfrm>
          <a:off x="7235825" y="1141196600"/>
          <a:ext cx="878840" cy="1183640"/>
        </a:xfrm>
        <a:prstGeom prst="rect">
          <a:avLst/>
        </a:prstGeom>
      </xdr:spPr>
    </xdr:pic>
    <xdr:clientData/>
  </xdr:twoCellAnchor>
  <xdr:twoCellAnchor>
    <xdr:from>
      <xdr:col>9</xdr:col>
      <xdr:colOff>6350</xdr:colOff>
      <xdr:row>1191</xdr:row>
      <xdr:rowOff>25400</xdr:rowOff>
    </xdr:from>
    <xdr:to>
      <xdr:col>9</xdr:col>
      <xdr:colOff>885190</xdr:colOff>
      <xdr:row>1191</xdr:row>
      <xdr:rowOff>1209040</xdr:rowOff>
    </xdr:to>
    <xdr:pic>
      <xdr:nvPicPr>
        <xdr:cNvPr id="6105" name="Изображение 6104" descr="resizeПП-00203586"/>
        <xdr:cNvPicPr>
          <a:picLocks noChangeAspect="1"/>
        </xdr:cNvPicPr>
      </xdr:nvPicPr>
      <xdr:blipFill>
        <a:blip xmlns:r="http://schemas.openxmlformats.org/officeDocument/2006/relationships" r:embed="rId872"/>
        <a:stretch>
          <a:fillRect/>
        </a:stretch>
      </xdr:blipFill>
      <xdr:spPr>
        <a:xfrm>
          <a:off x="7235825" y="1142418975"/>
          <a:ext cx="878840" cy="1183640"/>
        </a:xfrm>
        <a:prstGeom prst="rect">
          <a:avLst/>
        </a:prstGeom>
      </xdr:spPr>
    </xdr:pic>
    <xdr:clientData/>
  </xdr:twoCellAnchor>
  <xdr:twoCellAnchor>
    <xdr:from>
      <xdr:col>9</xdr:col>
      <xdr:colOff>6350</xdr:colOff>
      <xdr:row>1192</xdr:row>
      <xdr:rowOff>25400</xdr:rowOff>
    </xdr:from>
    <xdr:to>
      <xdr:col>9</xdr:col>
      <xdr:colOff>885190</xdr:colOff>
      <xdr:row>1192</xdr:row>
      <xdr:rowOff>1209040</xdr:rowOff>
    </xdr:to>
    <xdr:pic>
      <xdr:nvPicPr>
        <xdr:cNvPr id="6106" name="Изображение 6105" descr="resizeПП-00203585"/>
        <xdr:cNvPicPr>
          <a:picLocks noChangeAspect="1"/>
        </xdr:cNvPicPr>
      </xdr:nvPicPr>
      <xdr:blipFill>
        <a:blip xmlns:r="http://schemas.openxmlformats.org/officeDocument/2006/relationships" r:embed="rId873"/>
        <a:stretch>
          <a:fillRect/>
        </a:stretch>
      </xdr:blipFill>
      <xdr:spPr>
        <a:xfrm>
          <a:off x="7235825" y="1143641350"/>
          <a:ext cx="878840" cy="1183640"/>
        </a:xfrm>
        <a:prstGeom prst="rect">
          <a:avLst/>
        </a:prstGeom>
      </xdr:spPr>
    </xdr:pic>
    <xdr:clientData/>
  </xdr:twoCellAnchor>
  <xdr:twoCellAnchor>
    <xdr:from>
      <xdr:col>9</xdr:col>
      <xdr:colOff>6350</xdr:colOff>
      <xdr:row>1193</xdr:row>
      <xdr:rowOff>25400</xdr:rowOff>
    </xdr:from>
    <xdr:to>
      <xdr:col>9</xdr:col>
      <xdr:colOff>885190</xdr:colOff>
      <xdr:row>1193</xdr:row>
      <xdr:rowOff>1209040</xdr:rowOff>
    </xdr:to>
    <xdr:pic>
      <xdr:nvPicPr>
        <xdr:cNvPr id="6107" name="Изображение 6106" descr="resizeПП-00203584"/>
        <xdr:cNvPicPr>
          <a:picLocks noChangeAspect="1"/>
        </xdr:cNvPicPr>
      </xdr:nvPicPr>
      <xdr:blipFill>
        <a:blip xmlns:r="http://schemas.openxmlformats.org/officeDocument/2006/relationships" r:embed="rId874"/>
        <a:stretch>
          <a:fillRect/>
        </a:stretch>
      </xdr:blipFill>
      <xdr:spPr>
        <a:xfrm>
          <a:off x="7235825" y="1144863725"/>
          <a:ext cx="878840" cy="1183640"/>
        </a:xfrm>
        <a:prstGeom prst="rect">
          <a:avLst/>
        </a:prstGeom>
      </xdr:spPr>
    </xdr:pic>
    <xdr:clientData/>
  </xdr:twoCellAnchor>
  <xdr:twoCellAnchor>
    <xdr:from>
      <xdr:col>9</xdr:col>
      <xdr:colOff>6350</xdr:colOff>
      <xdr:row>1195</xdr:row>
      <xdr:rowOff>25400</xdr:rowOff>
    </xdr:from>
    <xdr:to>
      <xdr:col>9</xdr:col>
      <xdr:colOff>885190</xdr:colOff>
      <xdr:row>1195</xdr:row>
      <xdr:rowOff>1209040</xdr:rowOff>
    </xdr:to>
    <xdr:pic>
      <xdr:nvPicPr>
        <xdr:cNvPr id="6108" name="Изображение 6107" descr="resizeПП-00275600"/>
        <xdr:cNvPicPr>
          <a:picLocks noChangeAspect="1"/>
        </xdr:cNvPicPr>
      </xdr:nvPicPr>
      <xdr:blipFill>
        <a:blip xmlns:r="http://schemas.openxmlformats.org/officeDocument/2006/relationships" r:embed="rId875"/>
        <a:stretch>
          <a:fillRect/>
        </a:stretch>
      </xdr:blipFill>
      <xdr:spPr>
        <a:xfrm>
          <a:off x="7235825" y="1146238500"/>
          <a:ext cx="878840" cy="1183640"/>
        </a:xfrm>
        <a:prstGeom prst="rect">
          <a:avLst/>
        </a:prstGeom>
      </xdr:spPr>
    </xdr:pic>
    <xdr:clientData/>
  </xdr:twoCellAnchor>
  <xdr:twoCellAnchor>
    <xdr:from>
      <xdr:col>9</xdr:col>
      <xdr:colOff>6350</xdr:colOff>
      <xdr:row>1196</xdr:row>
      <xdr:rowOff>25400</xdr:rowOff>
    </xdr:from>
    <xdr:to>
      <xdr:col>9</xdr:col>
      <xdr:colOff>885190</xdr:colOff>
      <xdr:row>1196</xdr:row>
      <xdr:rowOff>1209040</xdr:rowOff>
    </xdr:to>
    <xdr:pic>
      <xdr:nvPicPr>
        <xdr:cNvPr id="6109" name="Изображение 6108" descr="resizeПП-00275557"/>
        <xdr:cNvPicPr>
          <a:picLocks noChangeAspect="1"/>
        </xdr:cNvPicPr>
      </xdr:nvPicPr>
      <xdr:blipFill>
        <a:blip xmlns:r="http://schemas.openxmlformats.org/officeDocument/2006/relationships" r:embed="rId876"/>
        <a:stretch>
          <a:fillRect/>
        </a:stretch>
      </xdr:blipFill>
      <xdr:spPr>
        <a:xfrm>
          <a:off x="7235825" y="1147460875"/>
          <a:ext cx="878840" cy="1183640"/>
        </a:xfrm>
        <a:prstGeom prst="rect">
          <a:avLst/>
        </a:prstGeom>
      </xdr:spPr>
    </xdr:pic>
    <xdr:clientData/>
  </xdr:twoCellAnchor>
  <xdr:twoCellAnchor>
    <xdr:from>
      <xdr:col>9</xdr:col>
      <xdr:colOff>6350</xdr:colOff>
      <xdr:row>1197</xdr:row>
      <xdr:rowOff>25400</xdr:rowOff>
    </xdr:from>
    <xdr:to>
      <xdr:col>9</xdr:col>
      <xdr:colOff>885190</xdr:colOff>
      <xdr:row>1197</xdr:row>
      <xdr:rowOff>1209040</xdr:rowOff>
    </xdr:to>
    <xdr:pic>
      <xdr:nvPicPr>
        <xdr:cNvPr id="6110" name="Изображение 6109" descr="resizeПП-00275558"/>
        <xdr:cNvPicPr>
          <a:picLocks noChangeAspect="1"/>
        </xdr:cNvPicPr>
      </xdr:nvPicPr>
      <xdr:blipFill>
        <a:blip xmlns:r="http://schemas.openxmlformats.org/officeDocument/2006/relationships" r:embed="rId877"/>
        <a:stretch>
          <a:fillRect/>
        </a:stretch>
      </xdr:blipFill>
      <xdr:spPr>
        <a:xfrm>
          <a:off x="7235825" y="1148683250"/>
          <a:ext cx="878840" cy="1183640"/>
        </a:xfrm>
        <a:prstGeom prst="rect">
          <a:avLst/>
        </a:prstGeom>
      </xdr:spPr>
    </xdr:pic>
    <xdr:clientData/>
  </xdr:twoCellAnchor>
  <xdr:twoCellAnchor>
    <xdr:from>
      <xdr:col>9</xdr:col>
      <xdr:colOff>6350</xdr:colOff>
      <xdr:row>1199</xdr:row>
      <xdr:rowOff>25400</xdr:rowOff>
    </xdr:from>
    <xdr:to>
      <xdr:col>9</xdr:col>
      <xdr:colOff>885190</xdr:colOff>
      <xdr:row>1199</xdr:row>
      <xdr:rowOff>1209040</xdr:rowOff>
    </xdr:to>
    <xdr:pic>
      <xdr:nvPicPr>
        <xdr:cNvPr id="6111" name="Изображение 6110" descr="resizeПП-00236552"/>
        <xdr:cNvPicPr>
          <a:picLocks noChangeAspect="1"/>
        </xdr:cNvPicPr>
      </xdr:nvPicPr>
      <xdr:blipFill>
        <a:blip xmlns:r="http://schemas.openxmlformats.org/officeDocument/2006/relationships" r:embed="rId878"/>
        <a:stretch>
          <a:fillRect/>
        </a:stretch>
      </xdr:blipFill>
      <xdr:spPr>
        <a:xfrm>
          <a:off x="7235825" y="1150058025"/>
          <a:ext cx="878840" cy="1183640"/>
        </a:xfrm>
        <a:prstGeom prst="rect">
          <a:avLst/>
        </a:prstGeom>
      </xdr:spPr>
    </xdr:pic>
    <xdr:clientData/>
  </xdr:twoCellAnchor>
  <xdr:twoCellAnchor>
    <xdr:from>
      <xdr:col>9</xdr:col>
      <xdr:colOff>6350</xdr:colOff>
      <xdr:row>1200</xdr:row>
      <xdr:rowOff>25400</xdr:rowOff>
    </xdr:from>
    <xdr:to>
      <xdr:col>9</xdr:col>
      <xdr:colOff>885190</xdr:colOff>
      <xdr:row>1200</xdr:row>
      <xdr:rowOff>1209040</xdr:rowOff>
    </xdr:to>
    <xdr:pic>
      <xdr:nvPicPr>
        <xdr:cNvPr id="6112" name="Изображение 6111" descr="resizeПП-00202536"/>
        <xdr:cNvPicPr>
          <a:picLocks noChangeAspect="1"/>
        </xdr:cNvPicPr>
      </xdr:nvPicPr>
      <xdr:blipFill>
        <a:blip xmlns:r="http://schemas.openxmlformats.org/officeDocument/2006/relationships" r:embed="rId879"/>
        <a:stretch>
          <a:fillRect/>
        </a:stretch>
      </xdr:blipFill>
      <xdr:spPr>
        <a:xfrm>
          <a:off x="7235825" y="1151280400"/>
          <a:ext cx="878840" cy="1183640"/>
        </a:xfrm>
        <a:prstGeom prst="rect">
          <a:avLst/>
        </a:prstGeom>
      </xdr:spPr>
    </xdr:pic>
    <xdr:clientData/>
  </xdr:twoCellAnchor>
  <xdr:twoCellAnchor>
    <xdr:from>
      <xdr:col>9</xdr:col>
      <xdr:colOff>6350</xdr:colOff>
      <xdr:row>1201</xdr:row>
      <xdr:rowOff>25400</xdr:rowOff>
    </xdr:from>
    <xdr:to>
      <xdr:col>9</xdr:col>
      <xdr:colOff>885190</xdr:colOff>
      <xdr:row>1201</xdr:row>
      <xdr:rowOff>1209040</xdr:rowOff>
    </xdr:to>
    <xdr:pic>
      <xdr:nvPicPr>
        <xdr:cNvPr id="6113" name="Изображение 6112" descr="resizeПП-00202538"/>
        <xdr:cNvPicPr>
          <a:picLocks noChangeAspect="1"/>
        </xdr:cNvPicPr>
      </xdr:nvPicPr>
      <xdr:blipFill>
        <a:blip xmlns:r="http://schemas.openxmlformats.org/officeDocument/2006/relationships" r:embed="rId880"/>
        <a:stretch>
          <a:fillRect/>
        </a:stretch>
      </xdr:blipFill>
      <xdr:spPr>
        <a:xfrm>
          <a:off x="7235825" y="1152502775"/>
          <a:ext cx="878840" cy="1183640"/>
        </a:xfrm>
        <a:prstGeom prst="rect">
          <a:avLst/>
        </a:prstGeom>
      </xdr:spPr>
    </xdr:pic>
    <xdr:clientData/>
  </xdr:twoCellAnchor>
  <xdr:twoCellAnchor>
    <xdr:from>
      <xdr:col>9</xdr:col>
      <xdr:colOff>6350</xdr:colOff>
      <xdr:row>1202</xdr:row>
      <xdr:rowOff>25400</xdr:rowOff>
    </xdr:from>
    <xdr:to>
      <xdr:col>9</xdr:col>
      <xdr:colOff>885190</xdr:colOff>
      <xdr:row>1202</xdr:row>
      <xdr:rowOff>1209040</xdr:rowOff>
    </xdr:to>
    <xdr:pic>
      <xdr:nvPicPr>
        <xdr:cNvPr id="6114" name="Изображение 6113" descr="resizeПП-00202537"/>
        <xdr:cNvPicPr>
          <a:picLocks noChangeAspect="1"/>
        </xdr:cNvPicPr>
      </xdr:nvPicPr>
      <xdr:blipFill>
        <a:blip xmlns:r="http://schemas.openxmlformats.org/officeDocument/2006/relationships" r:embed="rId881"/>
        <a:stretch>
          <a:fillRect/>
        </a:stretch>
      </xdr:blipFill>
      <xdr:spPr>
        <a:xfrm>
          <a:off x="7235825" y="1153725150"/>
          <a:ext cx="878840" cy="1183640"/>
        </a:xfrm>
        <a:prstGeom prst="rect">
          <a:avLst/>
        </a:prstGeom>
      </xdr:spPr>
    </xdr:pic>
    <xdr:clientData/>
  </xdr:twoCellAnchor>
  <xdr:twoCellAnchor>
    <xdr:from>
      <xdr:col>9</xdr:col>
      <xdr:colOff>6350</xdr:colOff>
      <xdr:row>1203</xdr:row>
      <xdr:rowOff>25400</xdr:rowOff>
    </xdr:from>
    <xdr:to>
      <xdr:col>9</xdr:col>
      <xdr:colOff>885190</xdr:colOff>
      <xdr:row>1203</xdr:row>
      <xdr:rowOff>1209040</xdr:rowOff>
    </xdr:to>
    <xdr:pic>
      <xdr:nvPicPr>
        <xdr:cNvPr id="6115" name="Изображение 6114" descr="resizeПП-00187190"/>
        <xdr:cNvPicPr>
          <a:picLocks noChangeAspect="1"/>
        </xdr:cNvPicPr>
      </xdr:nvPicPr>
      <xdr:blipFill>
        <a:blip xmlns:r="http://schemas.openxmlformats.org/officeDocument/2006/relationships" r:embed="rId882"/>
        <a:stretch>
          <a:fillRect/>
        </a:stretch>
      </xdr:blipFill>
      <xdr:spPr>
        <a:xfrm>
          <a:off x="7235825" y="1154947525"/>
          <a:ext cx="878840" cy="1183640"/>
        </a:xfrm>
        <a:prstGeom prst="rect">
          <a:avLst/>
        </a:prstGeom>
      </xdr:spPr>
    </xdr:pic>
    <xdr:clientData/>
  </xdr:twoCellAnchor>
  <xdr:twoCellAnchor>
    <xdr:from>
      <xdr:col>9</xdr:col>
      <xdr:colOff>6350</xdr:colOff>
      <xdr:row>1204</xdr:row>
      <xdr:rowOff>25400</xdr:rowOff>
    </xdr:from>
    <xdr:to>
      <xdr:col>9</xdr:col>
      <xdr:colOff>885190</xdr:colOff>
      <xdr:row>1204</xdr:row>
      <xdr:rowOff>1209040</xdr:rowOff>
    </xdr:to>
    <xdr:pic>
      <xdr:nvPicPr>
        <xdr:cNvPr id="6116" name="Изображение 6115" descr="resizeПП-00187361"/>
        <xdr:cNvPicPr>
          <a:picLocks noChangeAspect="1"/>
        </xdr:cNvPicPr>
      </xdr:nvPicPr>
      <xdr:blipFill>
        <a:blip xmlns:r="http://schemas.openxmlformats.org/officeDocument/2006/relationships" r:embed="rId883"/>
        <a:stretch>
          <a:fillRect/>
        </a:stretch>
      </xdr:blipFill>
      <xdr:spPr>
        <a:xfrm>
          <a:off x="7235825" y="1156169900"/>
          <a:ext cx="878840" cy="1183640"/>
        </a:xfrm>
        <a:prstGeom prst="rect">
          <a:avLst/>
        </a:prstGeom>
      </xdr:spPr>
    </xdr:pic>
    <xdr:clientData/>
  </xdr:twoCellAnchor>
  <xdr:twoCellAnchor>
    <xdr:from>
      <xdr:col>9</xdr:col>
      <xdr:colOff>6350</xdr:colOff>
      <xdr:row>1205</xdr:row>
      <xdr:rowOff>25400</xdr:rowOff>
    </xdr:from>
    <xdr:to>
      <xdr:col>9</xdr:col>
      <xdr:colOff>885190</xdr:colOff>
      <xdr:row>1205</xdr:row>
      <xdr:rowOff>1209040</xdr:rowOff>
    </xdr:to>
    <xdr:pic>
      <xdr:nvPicPr>
        <xdr:cNvPr id="6117" name="Изображение 6116" descr="resizeПП-00203572"/>
        <xdr:cNvPicPr>
          <a:picLocks noChangeAspect="1"/>
        </xdr:cNvPicPr>
      </xdr:nvPicPr>
      <xdr:blipFill>
        <a:blip xmlns:r="http://schemas.openxmlformats.org/officeDocument/2006/relationships" r:embed="rId884"/>
        <a:stretch>
          <a:fillRect/>
        </a:stretch>
      </xdr:blipFill>
      <xdr:spPr>
        <a:xfrm>
          <a:off x="7235825" y="1157392275"/>
          <a:ext cx="878840" cy="1183640"/>
        </a:xfrm>
        <a:prstGeom prst="rect">
          <a:avLst/>
        </a:prstGeom>
      </xdr:spPr>
    </xdr:pic>
    <xdr:clientData/>
  </xdr:twoCellAnchor>
  <xdr:twoCellAnchor>
    <xdr:from>
      <xdr:col>9</xdr:col>
      <xdr:colOff>6350</xdr:colOff>
      <xdr:row>1206</xdr:row>
      <xdr:rowOff>25400</xdr:rowOff>
    </xdr:from>
    <xdr:to>
      <xdr:col>9</xdr:col>
      <xdr:colOff>885190</xdr:colOff>
      <xdr:row>1206</xdr:row>
      <xdr:rowOff>1209040</xdr:rowOff>
    </xdr:to>
    <xdr:pic>
      <xdr:nvPicPr>
        <xdr:cNvPr id="6118" name="Изображение 6117" descr="resizeПП-00203578"/>
        <xdr:cNvPicPr>
          <a:picLocks noChangeAspect="1"/>
        </xdr:cNvPicPr>
      </xdr:nvPicPr>
      <xdr:blipFill>
        <a:blip xmlns:r="http://schemas.openxmlformats.org/officeDocument/2006/relationships" r:embed="rId885"/>
        <a:stretch>
          <a:fillRect/>
        </a:stretch>
      </xdr:blipFill>
      <xdr:spPr>
        <a:xfrm>
          <a:off x="7235825" y="1158614650"/>
          <a:ext cx="878840" cy="1183640"/>
        </a:xfrm>
        <a:prstGeom prst="rect">
          <a:avLst/>
        </a:prstGeom>
      </xdr:spPr>
    </xdr:pic>
    <xdr:clientData/>
  </xdr:twoCellAnchor>
  <xdr:twoCellAnchor>
    <xdr:from>
      <xdr:col>9</xdr:col>
      <xdr:colOff>6350</xdr:colOff>
      <xdr:row>1207</xdr:row>
      <xdr:rowOff>25400</xdr:rowOff>
    </xdr:from>
    <xdr:to>
      <xdr:col>9</xdr:col>
      <xdr:colOff>885190</xdr:colOff>
      <xdr:row>1207</xdr:row>
      <xdr:rowOff>1209040</xdr:rowOff>
    </xdr:to>
    <xdr:pic>
      <xdr:nvPicPr>
        <xdr:cNvPr id="6119" name="Изображение 6118" descr="resizeПП-00203571"/>
        <xdr:cNvPicPr>
          <a:picLocks noChangeAspect="1"/>
        </xdr:cNvPicPr>
      </xdr:nvPicPr>
      <xdr:blipFill>
        <a:blip xmlns:r="http://schemas.openxmlformats.org/officeDocument/2006/relationships" r:embed="rId886"/>
        <a:stretch>
          <a:fillRect/>
        </a:stretch>
      </xdr:blipFill>
      <xdr:spPr>
        <a:xfrm>
          <a:off x="7235825" y="1159837025"/>
          <a:ext cx="878840" cy="1183640"/>
        </a:xfrm>
        <a:prstGeom prst="rect">
          <a:avLst/>
        </a:prstGeom>
      </xdr:spPr>
    </xdr:pic>
    <xdr:clientData/>
  </xdr:twoCellAnchor>
  <xdr:twoCellAnchor>
    <xdr:from>
      <xdr:col>9</xdr:col>
      <xdr:colOff>6350</xdr:colOff>
      <xdr:row>1210</xdr:row>
      <xdr:rowOff>25400</xdr:rowOff>
    </xdr:from>
    <xdr:to>
      <xdr:col>9</xdr:col>
      <xdr:colOff>885190</xdr:colOff>
      <xdr:row>1210</xdr:row>
      <xdr:rowOff>1209040</xdr:rowOff>
    </xdr:to>
    <xdr:pic>
      <xdr:nvPicPr>
        <xdr:cNvPr id="6120" name="Изображение 6119" descr="resizeПП-00189988"/>
        <xdr:cNvPicPr>
          <a:picLocks noChangeAspect="1"/>
        </xdr:cNvPicPr>
      </xdr:nvPicPr>
      <xdr:blipFill>
        <a:blip xmlns:r="http://schemas.openxmlformats.org/officeDocument/2006/relationships" r:embed="rId887"/>
        <a:stretch>
          <a:fillRect/>
        </a:stretch>
      </xdr:blipFill>
      <xdr:spPr>
        <a:xfrm>
          <a:off x="7235825" y="1161364200"/>
          <a:ext cx="878840" cy="1183640"/>
        </a:xfrm>
        <a:prstGeom prst="rect">
          <a:avLst/>
        </a:prstGeom>
      </xdr:spPr>
    </xdr:pic>
    <xdr:clientData/>
  </xdr:twoCellAnchor>
  <xdr:twoCellAnchor>
    <xdr:from>
      <xdr:col>9</xdr:col>
      <xdr:colOff>6350</xdr:colOff>
      <xdr:row>1211</xdr:row>
      <xdr:rowOff>25400</xdr:rowOff>
    </xdr:from>
    <xdr:to>
      <xdr:col>9</xdr:col>
      <xdr:colOff>885190</xdr:colOff>
      <xdr:row>1211</xdr:row>
      <xdr:rowOff>1209040</xdr:rowOff>
    </xdr:to>
    <xdr:pic>
      <xdr:nvPicPr>
        <xdr:cNvPr id="6121" name="Изображение 6120" descr="resizeПП-00274374"/>
        <xdr:cNvPicPr>
          <a:picLocks noChangeAspect="1"/>
        </xdr:cNvPicPr>
      </xdr:nvPicPr>
      <xdr:blipFill>
        <a:blip xmlns:r="http://schemas.openxmlformats.org/officeDocument/2006/relationships" r:embed="rId888"/>
        <a:stretch>
          <a:fillRect/>
        </a:stretch>
      </xdr:blipFill>
      <xdr:spPr>
        <a:xfrm>
          <a:off x="7235825" y="1162586575"/>
          <a:ext cx="878840" cy="1183640"/>
        </a:xfrm>
        <a:prstGeom prst="rect">
          <a:avLst/>
        </a:prstGeom>
      </xdr:spPr>
    </xdr:pic>
    <xdr:clientData/>
  </xdr:twoCellAnchor>
  <xdr:twoCellAnchor>
    <xdr:from>
      <xdr:col>9</xdr:col>
      <xdr:colOff>6350</xdr:colOff>
      <xdr:row>1212</xdr:row>
      <xdr:rowOff>25400</xdr:rowOff>
    </xdr:from>
    <xdr:to>
      <xdr:col>9</xdr:col>
      <xdr:colOff>885190</xdr:colOff>
      <xdr:row>1212</xdr:row>
      <xdr:rowOff>1209040</xdr:rowOff>
    </xdr:to>
    <xdr:pic>
      <xdr:nvPicPr>
        <xdr:cNvPr id="6122" name="Изображение 6121" descr="resizeПП-00274376"/>
        <xdr:cNvPicPr>
          <a:picLocks noChangeAspect="1"/>
        </xdr:cNvPicPr>
      </xdr:nvPicPr>
      <xdr:blipFill>
        <a:blip xmlns:r="http://schemas.openxmlformats.org/officeDocument/2006/relationships" r:embed="rId889"/>
        <a:stretch>
          <a:fillRect/>
        </a:stretch>
      </xdr:blipFill>
      <xdr:spPr>
        <a:xfrm>
          <a:off x="7235825" y="1163808950"/>
          <a:ext cx="878840" cy="1183640"/>
        </a:xfrm>
        <a:prstGeom prst="rect">
          <a:avLst/>
        </a:prstGeom>
      </xdr:spPr>
    </xdr:pic>
    <xdr:clientData/>
  </xdr:twoCellAnchor>
  <xdr:twoCellAnchor>
    <xdr:from>
      <xdr:col>9</xdr:col>
      <xdr:colOff>6350</xdr:colOff>
      <xdr:row>1213</xdr:row>
      <xdr:rowOff>25400</xdr:rowOff>
    </xdr:from>
    <xdr:to>
      <xdr:col>9</xdr:col>
      <xdr:colOff>885190</xdr:colOff>
      <xdr:row>1213</xdr:row>
      <xdr:rowOff>1209040</xdr:rowOff>
    </xdr:to>
    <xdr:pic>
      <xdr:nvPicPr>
        <xdr:cNvPr id="6123" name="Изображение 6122" descr="resizeПП-00274377"/>
        <xdr:cNvPicPr>
          <a:picLocks noChangeAspect="1"/>
        </xdr:cNvPicPr>
      </xdr:nvPicPr>
      <xdr:blipFill>
        <a:blip xmlns:r="http://schemas.openxmlformats.org/officeDocument/2006/relationships" r:embed="rId890"/>
        <a:stretch>
          <a:fillRect/>
        </a:stretch>
      </xdr:blipFill>
      <xdr:spPr>
        <a:xfrm>
          <a:off x="7235825" y="1165031325"/>
          <a:ext cx="878840" cy="1183640"/>
        </a:xfrm>
        <a:prstGeom prst="rect">
          <a:avLst/>
        </a:prstGeom>
      </xdr:spPr>
    </xdr:pic>
    <xdr:clientData/>
  </xdr:twoCellAnchor>
  <xdr:twoCellAnchor>
    <xdr:from>
      <xdr:col>9</xdr:col>
      <xdr:colOff>6350</xdr:colOff>
      <xdr:row>1215</xdr:row>
      <xdr:rowOff>25400</xdr:rowOff>
    </xdr:from>
    <xdr:to>
      <xdr:col>9</xdr:col>
      <xdr:colOff>885190</xdr:colOff>
      <xdr:row>1215</xdr:row>
      <xdr:rowOff>1209040</xdr:rowOff>
    </xdr:to>
    <xdr:pic>
      <xdr:nvPicPr>
        <xdr:cNvPr id="6124" name="Изображение 6123" descr="resizeПП-00189979"/>
        <xdr:cNvPicPr>
          <a:picLocks noChangeAspect="1"/>
        </xdr:cNvPicPr>
      </xdr:nvPicPr>
      <xdr:blipFill>
        <a:blip xmlns:r="http://schemas.openxmlformats.org/officeDocument/2006/relationships" r:embed="rId891"/>
        <a:stretch>
          <a:fillRect/>
        </a:stretch>
      </xdr:blipFill>
      <xdr:spPr>
        <a:xfrm>
          <a:off x="7235825" y="1166406100"/>
          <a:ext cx="878840" cy="1183640"/>
        </a:xfrm>
        <a:prstGeom prst="rect">
          <a:avLst/>
        </a:prstGeom>
      </xdr:spPr>
    </xdr:pic>
    <xdr:clientData/>
  </xdr:twoCellAnchor>
  <xdr:twoCellAnchor>
    <xdr:from>
      <xdr:col>9</xdr:col>
      <xdr:colOff>6350</xdr:colOff>
      <xdr:row>1219</xdr:row>
      <xdr:rowOff>25400</xdr:rowOff>
    </xdr:from>
    <xdr:to>
      <xdr:col>9</xdr:col>
      <xdr:colOff>885190</xdr:colOff>
      <xdr:row>1219</xdr:row>
      <xdr:rowOff>1209040</xdr:rowOff>
    </xdr:to>
    <xdr:pic>
      <xdr:nvPicPr>
        <xdr:cNvPr id="6125" name="Изображение 6124" descr="resizeПП-00259280"/>
        <xdr:cNvPicPr>
          <a:picLocks noChangeAspect="1"/>
        </xdr:cNvPicPr>
      </xdr:nvPicPr>
      <xdr:blipFill>
        <a:blip xmlns:r="http://schemas.openxmlformats.org/officeDocument/2006/relationships" r:embed="rId892"/>
        <a:stretch>
          <a:fillRect/>
        </a:stretch>
      </xdr:blipFill>
      <xdr:spPr>
        <a:xfrm>
          <a:off x="7235825" y="1168085675"/>
          <a:ext cx="878840" cy="1183640"/>
        </a:xfrm>
        <a:prstGeom prst="rect">
          <a:avLst/>
        </a:prstGeom>
      </xdr:spPr>
    </xdr:pic>
    <xdr:clientData/>
  </xdr:twoCellAnchor>
  <xdr:twoCellAnchor>
    <xdr:from>
      <xdr:col>9</xdr:col>
      <xdr:colOff>6350</xdr:colOff>
      <xdr:row>1220</xdr:row>
      <xdr:rowOff>25400</xdr:rowOff>
    </xdr:from>
    <xdr:to>
      <xdr:col>9</xdr:col>
      <xdr:colOff>885190</xdr:colOff>
      <xdr:row>1220</xdr:row>
      <xdr:rowOff>1209040</xdr:rowOff>
    </xdr:to>
    <xdr:pic>
      <xdr:nvPicPr>
        <xdr:cNvPr id="6126" name="Изображение 6125" descr="resizeПП-00259281"/>
        <xdr:cNvPicPr>
          <a:picLocks noChangeAspect="1"/>
        </xdr:cNvPicPr>
      </xdr:nvPicPr>
      <xdr:blipFill>
        <a:blip xmlns:r="http://schemas.openxmlformats.org/officeDocument/2006/relationships" r:embed="rId893"/>
        <a:stretch>
          <a:fillRect/>
        </a:stretch>
      </xdr:blipFill>
      <xdr:spPr>
        <a:xfrm>
          <a:off x="7235825" y="1169308050"/>
          <a:ext cx="878840" cy="1183640"/>
        </a:xfrm>
        <a:prstGeom prst="rect">
          <a:avLst/>
        </a:prstGeom>
      </xdr:spPr>
    </xdr:pic>
    <xdr:clientData/>
  </xdr:twoCellAnchor>
  <xdr:twoCellAnchor>
    <xdr:from>
      <xdr:col>9</xdr:col>
      <xdr:colOff>6350</xdr:colOff>
      <xdr:row>1222</xdr:row>
      <xdr:rowOff>25400</xdr:rowOff>
    </xdr:from>
    <xdr:to>
      <xdr:col>9</xdr:col>
      <xdr:colOff>885190</xdr:colOff>
      <xdr:row>1222</xdr:row>
      <xdr:rowOff>1209040</xdr:rowOff>
    </xdr:to>
    <xdr:pic>
      <xdr:nvPicPr>
        <xdr:cNvPr id="6127" name="Изображение 6126" descr="resizeПП-00231804"/>
        <xdr:cNvPicPr>
          <a:picLocks noChangeAspect="1"/>
        </xdr:cNvPicPr>
      </xdr:nvPicPr>
      <xdr:blipFill>
        <a:blip xmlns:r="http://schemas.openxmlformats.org/officeDocument/2006/relationships" r:embed="rId894"/>
        <a:stretch>
          <a:fillRect/>
        </a:stretch>
      </xdr:blipFill>
      <xdr:spPr>
        <a:xfrm>
          <a:off x="7235825" y="1170682825"/>
          <a:ext cx="878840" cy="1183640"/>
        </a:xfrm>
        <a:prstGeom prst="rect">
          <a:avLst/>
        </a:prstGeom>
      </xdr:spPr>
    </xdr:pic>
    <xdr:clientData/>
  </xdr:twoCellAnchor>
  <xdr:twoCellAnchor>
    <xdr:from>
      <xdr:col>9</xdr:col>
      <xdr:colOff>6350</xdr:colOff>
      <xdr:row>1223</xdr:row>
      <xdr:rowOff>25400</xdr:rowOff>
    </xdr:from>
    <xdr:to>
      <xdr:col>9</xdr:col>
      <xdr:colOff>885190</xdr:colOff>
      <xdr:row>1223</xdr:row>
      <xdr:rowOff>1209040</xdr:rowOff>
    </xdr:to>
    <xdr:pic>
      <xdr:nvPicPr>
        <xdr:cNvPr id="6128" name="Изображение 6127" descr="resizeПП-00231817"/>
        <xdr:cNvPicPr>
          <a:picLocks noChangeAspect="1"/>
        </xdr:cNvPicPr>
      </xdr:nvPicPr>
      <xdr:blipFill>
        <a:blip xmlns:r="http://schemas.openxmlformats.org/officeDocument/2006/relationships" r:embed="rId895"/>
        <a:stretch>
          <a:fillRect/>
        </a:stretch>
      </xdr:blipFill>
      <xdr:spPr>
        <a:xfrm>
          <a:off x="7235825" y="1171905200"/>
          <a:ext cx="878840" cy="1183640"/>
        </a:xfrm>
        <a:prstGeom prst="rect">
          <a:avLst/>
        </a:prstGeom>
      </xdr:spPr>
    </xdr:pic>
    <xdr:clientData/>
  </xdr:twoCellAnchor>
  <xdr:twoCellAnchor>
    <xdr:from>
      <xdr:col>9</xdr:col>
      <xdr:colOff>6350</xdr:colOff>
      <xdr:row>1224</xdr:row>
      <xdr:rowOff>25400</xdr:rowOff>
    </xdr:from>
    <xdr:to>
      <xdr:col>9</xdr:col>
      <xdr:colOff>885190</xdr:colOff>
      <xdr:row>1224</xdr:row>
      <xdr:rowOff>1209040</xdr:rowOff>
    </xdr:to>
    <xdr:pic>
      <xdr:nvPicPr>
        <xdr:cNvPr id="6129" name="Изображение 6128" descr="resizeПП-00231820"/>
        <xdr:cNvPicPr>
          <a:picLocks noChangeAspect="1"/>
        </xdr:cNvPicPr>
      </xdr:nvPicPr>
      <xdr:blipFill>
        <a:blip xmlns:r="http://schemas.openxmlformats.org/officeDocument/2006/relationships" r:embed="rId896"/>
        <a:stretch>
          <a:fillRect/>
        </a:stretch>
      </xdr:blipFill>
      <xdr:spPr>
        <a:xfrm>
          <a:off x="7235825" y="1173127575"/>
          <a:ext cx="878840" cy="1183640"/>
        </a:xfrm>
        <a:prstGeom prst="rect">
          <a:avLst/>
        </a:prstGeom>
      </xdr:spPr>
    </xdr:pic>
    <xdr:clientData/>
  </xdr:twoCellAnchor>
  <xdr:twoCellAnchor>
    <xdr:from>
      <xdr:col>9</xdr:col>
      <xdr:colOff>6350</xdr:colOff>
      <xdr:row>1225</xdr:row>
      <xdr:rowOff>25400</xdr:rowOff>
    </xdr:from>
    <xdr:to>
      <xdr:col>9</xdr:col>
      <xdr:colOff>885190</xdr:colOff>
      <xdr:row>1225</xdr:row>
      <xdr:rowOff>1209040</xdr:rowOff>
    </xdr:to>
    <xdr:pic>
      <xdr:nvPicPr>
        <xdr:cNvPr id="6130" name="Изображение 6129" descr="resizeПП-00231816"/>
        <xdr:cNvPicPr>
          <a:picLocks noChangeAspect="1"/>
        </xdr:cNvPicPr>
      </xdr:nvPicPr>
      <xdr:blipFill>
        <a:blip xmlns:r="http://schemas.openxmlformats.org/officeDocument/2006/relationships" r:embed="rId897"/>
        <a:stretch>
          <a:fillRect/>
        </a:stretch>
      </xdr:blipFill>
      <xdr:spPr>
        <a:xfrm>
          <a:off x="7235825" y="1174349950"/>
          <a:ext cx="878840" cy="1183640"/>
        </a:xfrm>
        <a:prstGeom prst="rect">
          <a:avLst/>
        </a:prstGeom>
      </xdr:spPr>
    </xdr:pic>
    <xdr:clientData/>
  </xdr:twoCellAnchor>
  <xdr:twoCellAnchor>
    <xdr:from>
      <xdr:col>9</xdr:col>
      <xdr:colOff>6350</xdr:colOff>
      <xdr:row>1226</xdr:row>
      <xdr:rowOff>25400</xdr:rowOff>
    </xdr:from>
    <xdr:to>
      <xdr:col>9</xdr:col>
      <xdr:colOff>885190</xdr:colOff>
      <xdr:row>1226</xdr:row>
      <xdr:rowOff>1209040</xdr:rowOff>
    </xdr:to>
    <xdr:pic>
      <xdr:nvPicPr>
        <xdr:cNvPr id="6131" name="Изображение 6130" descr="resizeПП-00231819"/>
        <xdr:cNvPicPr>
          <a:picLocks noChangeAspect="1"/>
        </xdr:cNvPicPr>
      </xdr:nvPicPr>
      <xdr:blipFill>
        <a:blip xmlns:r="http://schemas.openxmlformats.org/officeDocument/2006/relationships" r:embed="rId898"/>
        <a:stretch>
          <a:fillRect/>
        </a:stretch>
      </xdr:blipFill>
      <xdr:spPr>
        <a:xfrm>
          <a:off x="7235825" y="1175572325"/>
          <a:ext cx="878840" cy="1183640"/>
        </a:xfrm>
        <a:prstGeom prst="rect">
          <a:avLst/>
        </a:prstGeom>
      </xdr:spPr>
    </xdr:pic>
    <xdr:clientData/>
  </xdr:twoCellAnchor>
  <xdr:twoCellAnchor>
    <xdr:from>
      <xdr:col>9</xdr:col>
      <xdr:colOff>6350</xdr:colOff>
      <xdr:row>1229</xdr:row>
      <xdr:rowOff>25400</xdr:rowOff>
    </xdr:from>
    <xdr:to>
      <xdr:col>9</xdr:col>
      <xdr:colOff>885190</xdr:colOff>
      <xdr:row>1229</xdr:row>
      <xdr:rowOff>1209040</xdr:rowOff>
    </xdr:to>
    <xdr:pic>
      <xdr:nvPicPr>
        <xdr:cNvPr id="6132" name="Изображение 6131" descr="resizeПП-00231807"/>
        <xdr:cNvPicPr>
          <a:picLocks noChangeAspect="1"/>
        </xdr:cNvPicPr>
      </xdr:nvPicPr>
      <xdr:blipFill>
        <a:blip xmlns:r="http://schemas.openxmlformats.org/officeDocument/2006/relationships" r:embed="rId899"/>
        <a:stretch>
          <a:fillRect/>
        </a:stretch>
      </xdr:blipFill>
      <xdr:spPr>
        <a:xfrm>
          <a:off x="7235825" y="1177099500"/>
          <a:ext cx="878840" cy="1183640"/>
        </a:xfrm>
        <a:prstGeom prst="rect">
          <a:avLst/>
        </a:prstGeom>
      </xdr:spPr>
    </xdr:pic>
    <xdr:clientData/>
  </xdr:twoCellAnchor>
  <xdr:twoCellAnchor>
    <xdr:from>
      <xdr:col>9</xdr:col>
      <xdr:colOff>6350</xdr:colOff>
      <xdr:row>1230</xdr:row>
      <xdr:rowOff>25400</xdr:rowOff>
    </xdr:from>
    <xdr:to>
      <xdr:col>9</xdr:col>
      <xdr:colOff>885190</xdr:colOff>
      <xdr:row>1230</xdr:row>
      <xdr:rowOff>1209040</xdr:rowOff>
    </xdr:to>
    <xdr:pic>
      <xdr:nvPicPr>
        <xdr:cNvPr id="6133" name="Изображение 6132" descr="resizeПП-00231808"/>
        <xdr:cNvPicPr>
          <a:picLocks noChangeAspect="1"/>
        </xdr:cNvPicPr>
      </xdr:nvPicPr>
      <xdr:blipFill>
        <a:blip xmlns:r="http://schemas.openxmlformats.org/officeDocument/2006/relationships" r:embed="rId900"/>
        <a:stretch>
          <a:fillRect/>
        </a:stretch>
      </xdr:blipFill>
      <xdr:spPr>
        <a:xfrm>
          <a:off x="7235825" y="1178321875"/>
          <a:ext cx="878840" cy="1183640"/>
        </a:xfrm>
        <a:prstGeom prst="rect">
          <a:avLst/>
        </a:prstGeom>
      </xdr:spPr>
    </xdr:pic>
    <xdr:clientData/>
  </xdr:twoCellAnchor>
  <xdr:twoCellAnchor>
    <xdr:from>
      <xdr:col>9</xdr:col>
      <xdr:colOff>6350</xdr:colOff>
      <xdr:row>1231</xdr:row>
      <xdr:rowOff>25400</xdr:rowOff>
    </xdr:from>
    <xdr:to>
      <xdr:col>9</xdr:col>
      <xdr:colOff>885190</xdr:colOff>
      <xdr:row>1231</xdr:row>
      <xdr:rowOff>1209040</xdr:rowOff>
    </xdr:to>
    <xdr:pic>
      <xdr:nvPicPr>
        <xdr:cNvPr id="6134" name="Изображение 6133" descr="resizeПП-00231809"/>
        <xdr:cNvPicPr>
          <a:picLocks noChangeAspect="1"/>
        </xdr:cNvPicPr>
      </xdr:nvPicPr>
      <xdr:blipFill>
        <a:blip xmlns:r="http://schemas.openxmlformats.org/officeDocument/2006/relationships" r:embed="rId901"/>
        <a:stretch>
          <a:fillRect/>
        </a:stretch>
      </xdr:blipFill>
      <xdr:spPr>
        <a:xfrm>
          <a:off x="7235825" y="1179544250"/>
          <a:ext cx="878840" cy="1183640"/>
        </a:xfrm>
        <a:prstGeom prst="rect">
          <a:avLst/>
        </a:prstGeom>
      </xdr:spPr>
    </xdr:pic>
    <xdr:clientData/>
  </xdr:twoCellAnchor>
  <xdr:twoCellAnchor>
    <xdr:from>
      <xdr:col>9</xdr:col>
      <xdr:colOff>6350</xdr:colOff>
      <xdr:row>1232</xdr:row>
      <xdr:rowOff>25400</xdr:rowOff>
    </xdr:from>
    <xdr:to>
      <xdr:col>9</xdr:col>
      <xdr:colOff>885190</xdr:colOff>
      <xdr:row>1232</xdr:row>
      <xdr:rowOff>1209040</xdr:rowOff>
    </xdr:to>
    <xdr:pic>
      <xdr:nvPicPr>
        <xdr:cNvPr id="6135" name="Изображение 6134" descr="resizeПП-00231815"/>
        <xdr:cNvPicPr>
          <a:picLocks noChangeAspect="1"/>
        </xdr:cNvPicPr>
      </xdr:nvPicPr>
      <xdr:blipFill>
        <a:blip xmlns:r="http://schemas.openxmlformats.org/officeDocument/2006/relationships" r:embed="rId902"/>
        <a:stretch>
          <a:fillRect/>
        </a:stretch>
      </xdr:blipFill>
      <xdr:spPr>
        <a:xfrm>
          <a:off x="7235825" y="1180766625"/>
          <a:ext cx="878840" cy="1183640"/>
        </a:xfrm>
        <a:prstGeom prst="rect">
          <a:avLst/>
        </a:prstGeom>
      </xdr:spPr>
    </xdr:pic>
    <xdr:clientData/>
  </xdr:twoCellAnchor>
  <xdr:twoCellAnchor>
    <xdr:from>
      <xdr:col>9</xdr:col>
      <xdr:colOff>6350</xdr:colOff>
      <xdr:row>1234</xdr:row>
      <xdr:rowOff>25400</xdr:rowOff>
    </xdr:from>
    <xdr:to>
      <xdr:col>9</xdr:col>
      <xdr:colOff>885190</xdr:colOff>
      <xdr:row>1234</xdr:row>
      <xdr:rowOff>1209040</xdr:rowOff>
    </xdr:to>
    <xdr:pic>
      <xdr:nvPicPr>
        <xdr:cNvPr id="6136" name="Изображение 6135" descr="resizeПП-00102563"/>
        <xdr:cNvPicPr>
          <a:picLocks noChangeAspect="1"/>
        </xdr:cNvPicPr>
      </xdr:nvPicPr>
      <xdr:blipFill>
        <a:blip xmlns:r="http://schemas.openxmlformats.org/officeDocument/2006/relationships" r:embed="rId903"/>
        <a:stretch>
          <a:fillRect/>
        </a:stretch>
      </xdr:blipFill>
      <xdr:spPr>
        <a:xfrm>
          <a:off x="7235825" y="1182141400"/>
          <a:ext cx="878840" cy="1183640"/>
        </a:xfrm>
        <a:prstGeom prst="rect">
          <a:avLst/>
        </a:prstGeom>
      </xdr:spPr>
    </xdr:pic>
    <xdr:clientData/>
  </xdr:twoCellAnchor>
  <xdr:twoCellAnchor>
    <xdr:from>
      <xdr:col>9</xdr:col>
      <xdr:colOff>6350</xdr:colOff>
      <xdr:row>1235</xdr:row>
      <xdr:rowOff>25400</xdr:rowOff>
    </xdr:from>
    <xdr:to>
      <xdr:col>9</xdr:col>
      <xdr:colOff>885190</xdr:colOff>
      <xdr:row>1235</xdr:row>
      <xdr:rowOff>1209040</xdr:rowOff>
    </xdr:to>
    <xdr:pic>
      <xdr:nvPicPr>
        <xdr:cNvPr id="6137" name="Изображение 6136" descr="resizeПП-00202443"/>
        <xdr:cNvPicPr>
          <a:picLocks noChangeAspect="1"/>
        </xdr:cNvPicPr>
      </xdr:nvPicPr>
      <xdr:blipFill>
        <a:blip xmlns:r="http://schemas.openxmlformats.org/officeDocument/2006/relationships" r:embed="rId904"/>
        <a:stretch>
          <a:fillRect/>
        </a:stretch>
      </xdr:blipFill>
      <xdr:spPr>
        <a:xfrm>
          <a:off x="7235825" y="1183363775"/>
          <a:ext cx="878840" cy="1183640"/>
        </a:xfrm>
        <a:prstGeom prst="rect">
          <a:avLst/>
        </a:prstGeom>
      </xdr:spPr>
    </xdr:pic>
    <xdr:clientData/>
  </xdr:twoCellAnchor>
  <xdr:twoCellAnchor>
    <xdr:from>
      <xdr:col>9</xdr:col>
      <xdr:colOff>6350</xdr:colOff>
      <xdr:row>1236</xdr:row>
      <xdr:rowOff>25400</xdr:rowOff>
    </xdr:from>
    <xdr:to>
      <xdr:col>9</xdr:col>
      <xdr:colOff>885190</xdr:colOff>
      <xdr:row>1236</xdr:row>
      <xdr:rowOff>1209040</xdr:rowOff>
    </xdr:to>
    <xdr:pic>
      <xdr:nvPicPr>
        <xdr:cNvPr id="6138" name="Изображение 6137" descr="resizeПП-00186903"/>
        <xdr:cNvPicPr>
          <a:picLocks noChangeAspect="1"/>
        </xdr:cNvPicPr>
      </xdr:nvPicPr>
      <xdr:blipFill>
        <a:blip xmlns:r="http://schemas.openxmlformats.org/officeDocument/2006/relationships" r:embed="rId905"/>
        <a:stretch>
          <a:fillRect/>
        </a:stretch>
      </xdr:blipFill>
      <xdr:spPr>
        <a:xfrm>
          <a:off x="7235825" y="1184586150"/>
          <a:ext cx="878840" cy="1183640"/>
        </a:xfrm>
        <a:prstGeom prst="rect">
          <a:avLst/>
        </a:prstGeom>
      </xdr:spPr>
    </xdr:pic>
    <xdr:clientData/>
  </xdr:twoCellAnchor>
  <xdr:twoCellAnchor>
    <xdr:from>
      <xdr:col>9</xdr:col>
      <xdr:colOff>6350</xdr:colOff>
      <xdr:row>1237</xdr:row>
      <xdr:rowOff>25400</xdr:rowOff>
    </xdr:from>
    <xdr:to>
      <xdr:col>9</xdr:col>
      <xdr:colOff>885190</xdr:colOff>
      <xdr:row>1237</xdr:row>
      <xdr:rowOff>1209040</xdr:rowOff>
    </xdr:to>
    <xdr:pic>
      <xdr:nvPicPr>
        <xdr:cNvPr id="6139" name="Изображение 6138" descr="resizeПП-00186904"/>
        <xdr:cNvPicPr>
          <a:picLocks noChangeAspect="1"/>
        </xdr:cNvPicPr>
      </xdr:nvPicPr>
      <xdr:blipFill>
        <a:blip xmlns:r="http://schemas.openxmlformats.org/officeDocument/2006/relationships" r:embed="rId906"/>
        <a:stretch>
          <a:fillRect/>
        </a:stretch>
      </xdr:blipFill>
      <xdr:spPr>
        <a:xfrm>
          <a:off x="7235825" y="1185808525"/>
          <a:ext cx="878840" cy="1183640"/>
        </a:xfrm>
        <a:prstGeom prst="rect">
          <a:avLst/>
        </a:prstGeom>
      </xdr:spPr>
    </xdr:pic>
    <xdr:clientData/>
  </xdr:twoCellAnchor>
  <xdr:twoCellAnchor>
    <xdr:from>
      <xdr:col>9</xdr:col>
      <xdr:colOff>6350</xdr:colOff>
      <xdr:row>1238</xdr:row>
      <xdr:rowOff>25400</xdr:rowOff>
    </xdr:from>
    <xdr:to>
      <xdr:col>9</xdr:col>
      <xdr:colOff>885190</xdr:colOff>
      <xdr:row>1238</xdr:row>
      <xdr:rowOff>1209040</xdr:rowOff>
    </xdr:to>
    <xdr:pic>
      <xdr:nvPicPr>
        <xdr:cNvPr id="6140" name="Изображение 6139" descr="resizeПП-00186905"/>
        <xdr:cNvPicPr>
          <a:picLocks noChangeAspect="1"/>
        </xdr:cNvPicPr>
      </xdr:nvPicPr>
      <xdr:blipFill>
        <a:blip xmlns:r="http://schemas.openxmlformats.org/officeDocument/2006/relationships" r:embed="rId907"/>
        <a:stretch>
          <a:fillRect/>
        </a:stretch>
      </xdr:blipFill>
      <xdr:spPr>
        <a:xfrm>
          <a:off x="7235825" y="1187030900"/>
          <a:ext cx="878840" cy="1183640"/>
        </a:xfrm>
        <a:prstGeom prst="rect">
          <a:avLst/>
        </a:prstGeom>
      </xdr:spPr>
    </xdr:pic>
    <xdr:clientData/>
  </xdr:twoCellAnchor>
  <xdr:twoCellAnchor>
    <xdr:from>
      <xdr:col>9</xdr:col>
      <xdr:colOff>6350</xdr:colOff>
      <xdr:row>1239</xdr:row>
      <xdr:rowOff>25400</xdr:rowOff>
    </xdr:from>
    <xdr:to>
      <xdr:col>9</xdr:col>
      <xdr:colOff>885190</xdr:colOff>
      <xdr:row>1239</xdr:row>
      <xdr:rowOff>1209040</xdr:rowOff>
    </xdr:to>
    <xdr:pic>
      <xdr:nvPicPr>
        <xdr:cNvPr id="6141" name="Изображение 6140" descr="resizeПП-00186906"/>
        <xdr:cNvPicPr>
          <a:picLocks noChangeAspect="1"/>
        </xdr:cNvPicPr>
      </xdr:nvPicPr>
      <xdr:blipFill>
        <a:blip xmlns:r="http://schemas.openxmlformats.org/officeDocument/2006/relationships" r:embed="rId908"/>
        <a:stretch>
          <a:fillRect/>
        </a:stretch>
      </xdr:blipFill>
      <xdr:spPr>
        <a:xfrm>
          <a:off x="7235825" y="1188253275"/>
          <a:ext cx="878840" cy="1183640"/>
        </a:xfrm>
        <a:prstGeom prst="rect">
          <a:avLst/>
        </a:prstGeom>
      </xdr:spPr>
    </xdr:pic>
    <xdr:clientData/>
  </xdr:twoCellAnchor>
  <xdr:twoCellAnchor>
    <xdr:from>
      <xdr:col>9</xdr:col>
      <xdr:colOff>6350</xdr:colOff>
      <xdr:row>1240</xdr:row>
      <xdr:rowOff>25400</xdr:rowOff>
    </xdr:from>
    <xdr:to>
      <xdr:col>9</xdr:col>
      <xdr:colOff>885190</xdr:colOff>
      <xdr:row>1240</xdr:row>
      <xdr:rowOff>1209040</xdr:rowOff>
    </xdr:to>
    <xdr:pic>
      <xdr:nvPicPr>
        <xdr:cNvPr id="6142" name="Изображение 6141" descr="resizeПП-00186909"/>
        <xdr:cNvPicPr>
          <a:picLocks noChangeAspect="1"/>
        </xdr:cNvPicPr>
      </xdr:nvPicPr>
      <xdr:blipFill>
        <a:blip xmlns:r="http://schemas.openxmlformats.org/officeDocument/2006/relationships" r:embed="rId909"/>
        <a:stretch>
          <a:fillRect/>
        </a:stretch>
      </xdr:blipFill>
      <xdr:spPr>
        <a:xfrm>
          <a:off x="7235825" y="1189475650"/>
          <a:ext cx="878840" cy="1183640"/>
        </a:xfrm>
        <a:prstGeom prst="rect">
          <a:avLst/>
        </a:prstGeom>
      </xdr:spPr>
    </xdr:pic>
    <xdr:clientData/>
  </xdr:twoCellAnchor>
  <xdr:twoCellAnchor>
    <xdr:from>
      <xdr:col>9</xdr:col>
      <xdr:colOff>6350</xdr:colOff>
      <xdr:row>1241</xdr:row>
      <xdr:rowOff>25400</xdr:rowOff>
    </xdr:from>
    <xdr:to>
      <xdr:col>9</xdr:col>
      <xdr:colOff>885190</xdr:colOff>
      <xdr:row>1241</xdr:row>
      <xdr:rowOff>1209040</xdr:rowOff>
    </xdr:to>
    <xdr:pic>
      <xdr:nvPicPr>
        <xdr:cNvPr id="6143" name="Изображение 6142" descr="resizeПП-00186910"/>
        <xdr:cNvPicPr>
          <a:picLocks noChangeAspect="1"/>
        </xdr:cNvPicPr>
      </xdr:nvPicPr>
      <xdr:blipFill>
        <a:blip xmlns:r="http://schemas.openxmlformats.org/officeDocument/2006/relationships" r:embed="rId910"/>
        <a:stretch>
          <a:fillRect/>
        </a:stretch>
      </xdr:blipFill>
      <xdr:spPr>
        <a:xfrm>
          <a:off x="7235825" y="1190698025"/>
          <a:ext cx="878840" cy="1183640"/>
        </a:xfrm>
        <a:prstGeom prst="rect">
          <a:avLst/>
        </a:prstGeom>
      </xdr:spPr>
    </xdr:pic>
    <xdr:clientData/>
  </xdr:twoCellAnchor>
  <xdr:twoCellAnchor>
    <xdr:from>
      <xdr:col>9</xdr:col>
      <xdr:colOff>6350</xdr:colOff>
      <xdr:row>1242</xdr:row>
      <xdr:rowOff>25400</xdr:rowOff>
    </xdr:from>
    <xdr:to>
      <xdr:col>9</xdr:col>
      <xdr:colOff>885190</xdr:colOff>
      <xdr:row>1242</xdr:row>
      <xdr:rowOff>1209040</xdr:rowOff>
    </xdr:to>
    <xdr:pic>
      <xdr:nvPicPr>
        <xdr:cNvPr id="6144" name="Изображение 6143" descr="resizeПП-00186911"/>
        <xdr:cNvPicPr>
          <a:picLocks noChangeAspect="1"/>
        </xdr:cNvPicPr>
      </xdr:nvPicPr>
      <xdr:blipFill>
        <a:blip xmlns:r="http://schemas.openxmlformats.org/officeDocument/2006/relationships" r:embed="rId911"/>
        <a:stretch>
          <a:fillRect/>
        </a:stretch>
      </xdr:blipFill>
      <xdr:spPr>
        <a:xfrm>
          <a:off x="7235825" y="1191920400"/>
          <a:ext cx="878840" cy="1183640"/>
        </a:xfrm>
        <a:prstGeom prst="rect">
          <a:avLst/>
        </a:prstGeom>
      </xdr:spPr>
    </xdr:pic>
    <xdr:clientData/>
  </xdr:twoCellAnchor>
  <xdr:twoCellAnchor>
    <xdr:from>
      <xdr:col>9</xdr:col>
      <xdr:colOff>6350</xdr:colOff>
      <xdr:row>1243</xdr:row>
      <xdr:rowOff>25400</xdr:rowOff>
    </xdr:from>
    <xdr:to>
      <xdr:col>9</xdr:col>
      <xdr:colOff>885190</xdr:colOff>
      <xdr:row>1243</xdr:row>
      <xdr:rowOff>1209040</xdr:rowOff>
    </xdr:to>
    <xdr:pic>
      <xdr:nvPicPr>
        <xdr:cNvPr id="6145" name="Изображение 6144" descr="resizeПП-00213767"/>
        <xdr:cNvPicPr>
          <a:picLocks noChangeAspect="1"/>
        </xdr:cNvPicPr>
      </xdr:nvPicPr>
      <xdr:blipFill>
        <a:blip xmlns:r="http://schemas.openxmlformats.org/officeDocument/2006/relationships" r:embed="rId912"/>
        <a:stretch>
          <a:fillRect/>
        </a:stretch>
      </xdr:blipFill>
      <xdr:spPr>
        <a:xfrm>
          <a:off x="7235825" y="1193142775"/>
          <a:ext cx="878840" cy="1183640"/>
        </a:xfrm>
        <a:prstGeom prst="rect">
          <a:avLst/>
        </a:prstGeom>
      </xdr:spPr>
    </xdr:pic>
    <xdr:clientData/>
  </xdr:twoCellAnchor>
  <xdr:twoCellAnchor>
    <xdr:from>
      <xdr:col>9</xdr:col>
      <xdr:colOff>6350</xdr:colOff>
      <xdr:row>1245</xdr:row>
      <xdr:rowOff>25400</xdr:rowOff>
    </xdr:from>
    <xdr:to>
      <xdr:col>9</xdr:col>
      <xdr:colOff>885190</xdr:colOff>
      <xdr:row>1245</xdr:row>
      <xdr:rowOff>1209040</xdr:rowOff>
    </xdr:to>
    <xdr:pic>
      <xdr:nvPicPr>
        <xdr:cNvPr id="6146" name="Изображение 6145" descr="resizeПП-00082736"/>
        <xdr:cNvPicPr>
          <a:picLocks noChangeAspect="1"/>
        </xdr:cNvPicPr>
      </xdr:nvPicPr>
      <xdr:blipFill>
        <a:blip xmlns:r="http://schemas.openxmlformats.org/officeDocument/2006/relationships" r:embed="rId913"/>
        <a:stretch>
          <a:fillRect/>
        </a:stretch>
      </xdr:blipFill>
      <xdr:spPr>
        <a:xfrm>
          <a:off x="7235825" y="1194517550"/>
          <a:ext cx="878840" cy="1183640"/>
        </a:xfrm>
        <a:prstGeom prst="rect">
          <a:avLst/>
        </a:prstGeom>
      </xdr:spPr>
    </xdr:pic>
    <xdr:clientData/>
  </xdr:twoCellAnchor>
  <xdr:twoCellAnchor>
    <xdr:from>
      <xdr:col>9</xdr:col>
      <xdr:colOff>6350</xdr:colOff>
      <xdr:row>1247</xdr:row>
      <xdr:rowOff>25400</xdr:rowOff>
    </xdr:from>
    <xdr:to>
      <xdr:col>9</xdr:col>
      <xdr:colOff>885190</xdr:colOff>
      <xdr:row>1247</xdr:row>
      <xdr:rowOff>1209040</xdr:rowOff>
    </xdr:to>
    <xdr:pic>
      <xdr:nvPicPr>
        <xdr:cNvPr id="6147" name="Изображение 6146" descr="resizeПП-00134619"/>
        <xdr:cNvPicPr>
          <a:picLocks noChangeAspect="1"/>
        </xdr:cNvPicPr>
      </xdr:nvPicPr>
      <xdr:blipFill>
        <a:blip xmlns:r="http://schemas.openxmlformats.org/officeDocument/2006/relationships" r:embed="rId914"/>
        <a:stretch>
          <a:fillRect/>
        </a:stretch>
      </xdr:blipFill>
      <xdr:spPr>
        <a:xfrm>
          <a:off x="7235825" y="1195892325"/>
          <a:ext cx="878840" cy="1183640"/>
        </a:xfrm>
        <a:prstGeom prst="rect">
          <a:avLst/>
        </a:prstGeom>
      </xdr:spPr>
    </xdr:pic>
    <xdr:clientData/>
  </xdr:twoCellAnchor>
  <xdr:twoCellAnchor>
    <xdr:from>
      <xdr:col>9</xdr:col>
      <xdr:colOff>6350</xdr:colOff>
      <xdr:row>1248</xdr:row>
      <xdr:rowOff>25400</xdr:rowOff>
    </xdr:from>
    <xdr:to>
      <xdr:col>9</xdr:col>
      <xdr:colOff>885190</xdr:colOff>
      <xdr:row>1248</xdr:row>
      <xdr:rowOff>1209040</xdr:rowOff>
    </xdr:to>
    <xdr:pic>
      <xdr:nvPicPr>
        <xdr:cNvPr id="6148" name="Изображение 6147" descr="resizeПП-00186891"/>
        <xdr:cNvPicPr>
          <a:picLocks noChangeAspect="1"/>
        </xdr:cNvPicPr>
      </xdr:nvPicPr>
      <xdr:blipFill>
        <a:blip xmlns:r="http://schemas.openxmlformats.org/officeDocument/2006/relationships" r:embed="rId915"/>
        <a:stretch>
          <a:fillRect/>
        </a:stretch>
      </xdr:blipFill>
      <xdr:spPr>
        <a:xfrm>
          <a:off x="7235825" y="1197114700"/>
          <a:ext cx="878840" cy="1183640"/>
        </a:xfrm>
        <a:prstGeom prst="rect">
          <a:avLst/>
        </a:prstGeom>
      </xdr:spPr>
    </xdr:pic>
    <xdr:clientData/>
  </xdr:twoCellAnchor>
  <xdr:twoCellAnchor>
    <xdr:from>
      <xdr:col>9</xdr:col>
      <xdr:colOff>6350</xdr:colOff>
      <xdr:row>1249</xdr:row>
      <xdr:rowOff>25400</xdr:rowOff>
    </xdr:from>
    <xdr:to>
      <xdr:col>9</xdr:col>
      <xdr:colOff>885190</xdr:colOff>
      <xdr:row>1249</xdr:row>
      <xdr:rowOff>1209040</xdr:rowOff>
    </xdr:to>
    <xdr:pic>
      <xdr:nvPicPr>
        <xdr:cNvPr id="6149" name="Изображение 6148" descr="resizeПП-00186888"/>
        <xdr:cNvPicPr>
          <a:picLocks noChangeAspect="1"/>
        </xdr:cNvPicPr>
      </xdr:nvPicPr>
      <xdr:blipFill>
        <a:blip xmlns:r="http://schemas.openxmlformats.org/officeDocument/2006/relationships" r:embed="rId916"/>
        <a:stretch>
          <a:fillRect/>
        </a:stretch>
      </xdr:blipFill>
      <xdr:spPr>
        <a:xfrm>
          <a:off x="7235825" y="1198337075"/>
          <a:ext cx="878840" cy="1183640"/>
        </a:xfrm>
        <a:prstGeom prst="rect">
          <a:avLst/>
        </a:prstGeom>
      </xdr:spPr>
    </xdr:pic>
    <xdr:clientData/>
  </xdr:twoCellAnchor>
  <xdr:twoCellAnchor>
    <xdr:from>
      <xdr:col>9</xdr:col>
      <xdr:colOff>6350</xdr:colOff>
      <xdr:row>1250</xdr:row>
      <xdr:rowOff>25400</xdr:rowOff>
    </xdr:from>
    <xdr:to>
      <xdr:col>9</xdr:col>
      <xdr:colOff>885190</xdr:colOff>
      <xdr:row>1250</xdr:row>
      <xdr:rowOff>1209040</xdr:rowOff>
    </xdr:to>
    <xdr:pic>
      <xdr:nvPicPr>
        <xdr:cNvPr id="6150" name="Изображение 6149" descr="resizeПП-00186892"/>
        <xdr:cNvPicPr>
          <a:picLocks noChangeAspect="1"/>
        </xdr:cNvPicPr>
      </xdr:nvPicPr>
      <xdr:blipFill>
        <a:blip xmlns:r="http://schemas.openxmlformats.org/officeDocument/2006/relationships" r:embed="rId917"/>
        <a:stretch>
          <a:fillRect/>
        </a:stretch>
      </xdr:blipFill>
      <xdr:spPr>
        <a:xfrm>
          <a:off x="7235825" y="1199559450"/>
          <a:ext cx="878840" cy="1183640"/>
        </a:xfrm>
        <a:prstGeom prst="rect">
          <a:avLst/>
        </a:prstGeom>
      </xdr:spPr>
    </xdr:pic>
    <xdr:clientData/>
  </xdr:twoCellAnchor>
  <xdr:twoCellAnchor>
    <xdr:from>
      <xdr:col>9</xdr:col>
      <xdr:colOff>6350</xdr:colOff>
      <xdr:row>1251</xdr:row>
      <xdr:rowOff>25400</xdr:rowOff>
    </xdr:from>
    <xdr:to>
      <xdr:col>9</xdr:col>
      <xdr:colOff>885190</xdr:colOff>
      <xdr:row>1251</xdr:row>
      <xdr:rowOff>1209040</xdr:rowOff>
    </xdr:to>
    <xdr:pic>
      <xdr:nvPicPr>
        <xdr:cNvPr id="6151" name="Изображение 6150" descr="resizeПП-00186889"/>
        <xdr:cNvPicPr>
          <a:picLocks noChangeAspect="1"/>
        </xdr:cNvPicPr>
      </xdr:nvPicPr>
      <xdr:blipFill>
        <a:blip xmlns:r="http://schemas.openxmlformats.org/officeDocument/2006/relationships" r:embed="rId918"/>
        <a:stretch>
          <a:fillRect/>
        </a:stretch>
      </xdr:blipFill>
      <xdr:spPr>
        <a:xfrm>
          <a:off x="7235825" y="1200781825"/>
          <a:ext cx="878840" cy="1183640"/>
        </a:xfrm>
        <a:prstGeom prst="rect">
          <a:avLst/>
        </a:prstGeom>
      </xdr:spPr>
    </xdr:pic>
    <xdr:clientData/>
  </xdr:twoCellAnchor>
  <xdr:twoCellAnchor>
    <xdr:from>
      <xdr:col>9</xdr:col>
      <xdr:colOff>6350</xdr:colOff>
      <xdr:row>1252</xdr:row>
      <xdr:rowOff>25400</xdr:rowOff>
    </xdr:from>
    <xdr:to>
      <xdr:col>9</xdr:col>
      <xdr:colOff>885190</xdr:colOff>
      <xdr:row>1252</xdr:row>
      <xdr:rowOff>1209040</xdr:rowOff>
    </xdr:to>
    <xdr:pic>
      <xdr:nvPicPr>
        <xdr:cNvPr id="6152" name="Изображение 6151" descr="resizeПП-00186887"/>
        <xdr:cNvPicPr>
          <a:picLocks noChangeAspect="1"/>
        </xdr:cNvPicPr>
      </xdr:nvPicPr>
      <xdr:blipFill>
        <a:blip xmlns:r="http://schemas.openxmlformats.org/officeDocument/2006/relationships" r:embed="rId919"/>
        <a:stretch>
          <a:fillRect/>
        </a:stretch>
      </xdr:blipFill>
      <xdr:spPr>
        <a:xfrm>
          <a:off x="7235825" y="1202004200"/>
          <a:ext cx="878840" cy="1183640"/>
        </a:xfrm>
        <a:prstGeom prst="rect">
          <a:avLst/>
        </a:prstGeom>
      </xdr:spPr>
    </xdr:pic>
    <xdr:clientData/>
  </xdr:twoCellAnchor>
  <xdr:twoCellAnchor>
    <xdr:from>
      <xdr:col>9</xdr:col>
      <xdr:colOff>6350</xdr:colOff>
      <xdr:row>1254</xdr:row>
      <xdr:rowOff>25400</xdr:rowOff>
    </xdr:from>
    <xdr:to>
      <xdr:col>9</xdr:col>
      <xdr:colOff>885190</xdr:colOff>
      <xdr:row>1254</xdr:row>
      <xdr:rowOff>1209040</xdr:rowOff>
    </xdr:to>
    <xdr:pic>
      <xdr:nvPicPr>
        <xdr:cNvPr id="6153" name="Изображение 6152" descr="resizeПП-00186850"/>
        <xdr:cNvPicPr>
          <a:picLocks noChangeAspect="1"/>
        </xdr:cNvPicPr>
      </xdr:nvPicPr>
      <xdr:blipFill>
        <a:blip xmlns:r="http://schemas.openxmlformats.org/officeDocument/2006/relationships" r:embed="rId920"/>
        <a:stretch>
          <a:fillRect/>
        </a:stretch>
      </xdr:blipFill>
      <xdr:spPr>
        <a:xfrm>
          <a:off x="7235825" y="1203378975"/>
          <a:ext cx="878840" cy="1183640"/>
        </a:xfrm>
        <a:prstGeom prst="rect">
          <a:avLst/>
        </a:prstGeom>
      </xdr:spPr>
    </xdr:pic>
    <xdr:clientData/>
  </xdr:twoCellAnchor>
  <xdr:twoCellAnchor>
    <xdr:from>
      <xdr:col>9</xdr:col>
      <xdr:colOff>6350</xdr:colOff>
      <xdr:row>1255</xdr:row>
      <xdr:rowOff>25400</xdr:rowOff>
    </xdr:from>
    <xdr:to>
      <xdr:col>9</xdr:col>
      <xdr:colOff>885190</xdr:colOff>
      <xdr:row>1255</xdr:row>
      <xdr:rowOff>1209040</xdr:rowOff>
    </xdr:to>
    <xdr:pic>
      <xdr:nvPicPr>
        <xdr:cNvPr id="6154" name="Изображение 6153" descr="resizeПП-00186769"/>
        <xdr:cNvPicPr>
          <a:picLocks noChangeAspect="1"/>
        </xdr:cNvPicPr>
      </xdr:nvPicPr>
      <xdr:blipFill>
        <a:blip xmlns:r="http://schemas.openxmlformats.org/officeDocument/2006/relationships" r:embed="rId921"/>
        <a:stretch>
          <a:fillRect/>
        </a:stretch>
      </xdr:blipFill>
      <xdr:spPr>
        <a:xfrm>
          <a:off x="7235825" y="1204601350"/>
          <a:ext cx="878840" cy="1183640"/>
        </a:xfrm>
        <a:prstGeom prst="rect">
          <a:avLst/>
        </a:prstGeom>
      </xdr:spPr>
    </xdr:pic>
    <xdr:clientData/>
  </xdr:twoCellAnchor>
  <xdr:twoCellAnchor>
    <xdr:from>
      <xdr:col>9</xdr:col>
      <xdr:colOff>6350</xdr:colOff>
      <xdr:row>1256</xdr:row>
      <xdr:rowOff>25400</xdr:rowOff>
    </xdr:from>
    <xdr:to>
      <xdr:col>9</xdr:col>
      <xdr:colOff>885190</xdr:colOff>
      <xdr:row>1256</xdr:row>
      <xdr:rowOff>1209040</xdr:rowOff>
    </xdr:to>
    <xdr:pic>
      <xdr:nvPicPr>
        <xdr:cNvPr id="6155" name="Изображение 6154" descr="resizeПП-00186869"/>
        <xdr:cNvPicPr>
          <a:picLocks noChangeAspect="1"/>
        </xdr:cNvPicPr>
      </xdr:nvPicPr>
      <xdr:blipFill>
        <a:blip xmlns:r="http://schemas.openxmlformats.org/officeDocument/2006/relationships" r:embed="rId922"/>
        <a:stretch>
          <a:fillRect/>
        </a:stretch>
      </xdr:blipFill>
      <xdr:spPr>
        <a:xfrm>
          <a:off x="7235825" y="1205823725"/>
          <a:ext cx="878840" cy="1183640"/>
        </a:xfrm>
        <a:prstGeom prst="rect">
          <a:avLst/>
        </a:prstGeom>
      </xdr:spPr>
    </xdr:pic>
    <xdr:clientData/>
  </xdr:twoCellAnchor>
  <xdr:twoCellAnchor>
    <xdr:from>
      <xdr:col>9</xdr:col>
      <xdr:colOff>6350</xdr:colOff>
      <xdr:row>1257</xdr:row>
      <xdr:rowOff>25400</xdr:rowOff>
    </xdr:from>
    <xdr:to>
      <xdr:col>9</xdr:col>
      <xdr:colOff>885190</xdr:colOff>
      <xdr:row>1257</xdr:row>
      <xdr:rowOff>1209040</xdr:rowOff>
    </xdr:to>
    <xdr:pic>
      <xdr:nvPicPr>
        <xdr:cNvPr id="6156" name="Изображение 6155" descr="resizeПП-00186796"/>
        <xdr:cNvPicPr>
          <a:picLocks noChangeAspect="1"/>
        </xdr:cNvPicPr>
      </xdr:nvPicPr>
      <xdr:blipFill>
        <a:blip xmlns:r="http://schemas.openxmlformats.org/officeDocument/2006/relationships" r:embed="rId923"/>
        <a:stretch>
          <a:fillRect/>
        </a:stretch>
      </xdr:blipFill>
      <xdr:spPr>
        <a:xfrm>
          <a:off x="7235825" y="1207046100"/>
          <a:ext cx="878840" cy="1183640"/>
        </a:xfrm>
        <a:prstGeom prst="rect">
          <a:avLst/>
        </a:prstGeom>
      </xdr:spPr>
    </xdr:pic>
    <xdr:clientData/>
  </xdr:twoCellAnchor>
  <xdr:twoCellAnchor>
    <xdr:from>
      <xdr:col>9</xdr:col>
      <xdr:colOff>6350</xdr:colOff>
      <xdr:row>1258</xdr:row>
      <xdr:rowOff>25400</xdr:rowOff>
    </xdr:from>
    <xdr:to>
      <xdr:col>9</xdr:col>
      <xdr:colOff>885190</xdr:colOff>
      <xdr:row>1258</xdr:row>
      <xdr:rowOff>1209040</xdr:rowOff>
    </xdr:to>
    <xdr:pic>
      <xdr:nvPicPr>
        <xdr:cNvPr id="6157" name="Изображение 6156" descr="resizeПП-00186781"/>
        <xdr:cNvPicPr>
          <a:picLocks noChangeAspect="1"/>
        </xdr:cNvPicPr>
      </xdr:nvPicPr>
      <xdr:blipFill>
        <a:blip xmlns:r="http://schemas.openxmlformats.org/officeDocument/2006/relationships" r:embed="rId924"/>
        <a:stretch>
          <a:fillRect/>
        </a:stretch>
      </xdr:blipFill>
      <xdr:spPr>
        <a:xfrm>
          <a:off x="7235825" y="1208268475"/>
          <a:ext cx="878840" cy="1183640"/>
        </a:xfrm>
        <a:prstGeom prst="rect">
          <a:avLst/>
        </a:prstGeom>
      </xdr:spPr>
    </xdr:pic>
    <xdr:clientData/>
  </xdr:twoCellAnchor>
  <xdr:twoCellAnchor>
    <xdr:from>
      <xdr:col>9</xdr:col>
      <xdr:colOff>6350</xdr:colOff>
      <xdr:row>1259</xdr:row>
      <xdr:rowOff>25400</xdr:rowOff>
    </xdr:from>
    <xdr:to>
      <xdr:col>9</xdr:col>
      <xdr:colOff>885190</xdr:colOff>
      <xdr:row>1259</xdr:row>
      <xdr:rowOff>1209040</xdr:rowOff>
    </xdr:to>
    <xdr:pic>
      <xdr:nvPicPr>
        <xdr:cNvPr id="6158" name="Изображение 6157" descr="resizeПП-00186781"/>
        <xdr:cNvPicPr>
          <a:picLocks noChangeAspect="1"/>
        </xdr:cNvPicPr>
      </xdr:nvPicPr>
      <xdr:blipFill>
        <a:blip xmlns:r="http://schemas.openxmlformats.org/officeDocument/2006/relationships" r:embed="rId924"/>
        <a:stretch>
          <a:fillRect/>
        </a:stretch>
      </xdr:blipFill>
      <xdr:spPr>
        <a:xfrm>
          <a:off x="7235825" y="1209490850"/>
          <a:ext cx="878840" cy="1183640"/>
        </a:xfrm>
        <a:prstGeom prst="rect">
          <a:avLst/>
        </a:prstGeom>
      </xdr:spPr>
    </xdr:pic>
    <xdr:clientData/>
  </xdr:twoCellAnchor>
  <xdr:twoCellAnchor>
    <xdr:from>
      <xdr:col>9</xdr:col>
      <xdr:colOff>6350</xdr:colOff>
      <xdr:row>1260</xdr:row>
      <xdr:rowOff>25400</xdr:rowOff>
    </xdr:from>
    <xdr:to>
      <xdr:col>9</xdr:col>
      <xdr:colOff>885190</xdr:colOff>
      <xdr:row>1260</xdr:row>
      <xdr:rowOff>1209040</xdr:rowOff>
    </xdr:to>
    <xdr:pic>
      <xdr:nvPicPr>
        <xdr:cNvPr id="6159" name="Изображение 6158" descr="resizeПП-00186779"/>
        <xdr:cNvPicPr>
          <a:picLocks noChangeAspect="1"/>
        </xdr:cNvPicPr>
      </xdr:nvPicPr>
      <xdr:blipFill>
        <a:blip xmlns:r="http://schemas.openxmlformats.org/officeDocument/2006/relationships" r:embed="rId924"/>
        <a:stretch>
          <a:fillRect/>
        </a:stretch>
      </xdr:blipFill>
      <xdr:spPr>
        <a:xfrm>
          <a:off x="7235825" y="1210713225"/>
          <a:ext cx="878840" cy="1183640"/>
        </a:xfrm>
        <a:prstGeom prst="rect">
          <a:avLst/>
        </a:prstGeom>
      </xdr:spPr>
    </xdr:pic>
    <xdr:clientData/>
  </xdr:twoCellAnchor>
  <xdr:twoCellAnchor>
    <xdr:from>
      <xdr:col>9</xdr:col>
      <xdr:colOff>6350</xdr:colOff>
      <xdr:row>1261</xdr:row>
      <xdr:rowOff>25400</xdr:rowOff>
    </xdr:from>
    <xdr:to>
      <xdr:col>9</xdr:col>
      <xdr:colOff>885190</xdr:colOff>
      <xdr:row>1261</xdr:row>
      <xdr:rowOff>1209040</xdr:rowOff>
    </xdr:to>
    <xdr:pic>
      <xdr:nvPicPr>
        <xdr:cNvPr id="6160" name="Изображение 6159" descr="resizeПП-00186840"/>
        <xdr:cNvPicPr>
          <a:picLocks noChangeAspect="1"/>
        </xdr:cNvPicPr>
      </xdr:nvPicPr>
      <xdr:blipFill>
        <a:blip xmlns:r="http://schemas.openxmlformats.org/officeDocument/2006/relationships" r:embed="rId925"/>
        <a:stretch>
          <a:fillRect/>
        </a:stretch>
      </xdr:blipFill>
      <xdr:spPr>
        <a:xfrm>
          <a:off x="7235825" y="1211935600"/>
          <a:ext cx="878840" cy="1183640"/>
        </a:xfrm>
        <a:prstGeom prst="rect">
          <a:avLst/>
        </a:prstGeom>
      </xdr:spPr>
    </xdr:pic>
    <xdr:clientData/>
  </xdr:twoCellAnchor>
  <xdr:twoCellAnchor>
    <xdr:from>
      <xdr:col>9</xdr:col>
      <xdr:colOff>6350</xdr:colOff>
      <xdr:row>1262</xdr:row>
      <xdr:rowOff>25400</xdr:rowOff>
    </xdr:from>
    <xdr:to>
      <xdr:col>9</xdr:col>
      <xdr:colOff>885190</xdr:colOff>
      <xdr:row>1262</xdr:row>
      <xdr:rowOff>1209040</xdr:rowOff>
    </xdr:to>
    <xdr:pic>
      <xdr:nvPicPr>
        <xdr:cNvPr id="6161" name="Изображение 6160" descr="resizeПП-00186836"/>
        <xdr:cNvPicPr>
          <a:picLocks noChangeAspect="1"/>
        </xdr:cNvPicPr>
      </xdr:nvPicPr>
      <xdr:blipFill>
        <a:blip xmlns:r="http://schemas.openxmlformats.org/officeDocument/2006/relationships" r:embed="rId926"/>
        <a:stretch>
          <a:fillRect/>
        </a:stretch>
      </xdr:blipFill>
      <xdr:spPr>
        <a:xfrm>
          <a:off x="7235825" y="1213157975"/>
          <a:ext cx="878840" cy="1183640"/>
        </a:xfrm>
        <a:prstGeom prst="rect">
          <a:avLst/>
        </a:prstGeom>
      </xdr:spPr>
    </xdr:pic>
    <xdr:clientData/>
  </xdr:twoCellAnchor>
  <xdr:twoCellAnchor>
    <xdr:from>
      <xdr:col>9</xdr:col>
      <xdr:colOff>6350</xdr:colOff>
      <xdr:row>1263</xdr:row>
      <xdr:rowOff>25400</xdr:rowOff>
    </xdr:from>
    <xdr:to>
      <xdr:col>9</xdr:col>
      <xdr:colOff>885190</xdr:colOff>
      <xdr:row>1263</xdr:row>
      <xdr:rowOff>1209040</xdr:rowOff>
    </xdr:to>
    <xdr:pic>
      <xdr:nvPicPr>
        <xdr:cNvPr id="6162" name="Изображение 6161" descr="resizeПП-00213526"/>
        <xdr:cNvPicPr>
          <a:picLocks noChangeAspect="1"/>
        </xdr:cNvPicPr>
      </xdr:nvPicPr>
      <xdr:blipFill>
        <a:blip xmlns:r="http://schemas.openxmlformats.org/officeDocument/2006/relationships" r:embed="rId927"/>
        <a:stretch>
          <a:fillRect/>
        </a:stretch>
      </xdr:blipFill>
      <xdr:spPr>
        <a:xfrm>
          <a:off x="7235825" y="1214380350"/>
          <a:ext cx="878840" cy="1183640"/>
        </a:xfrm>
        <a:prstGeom prst="rect">
          <a:avLst/>
        </a:prstGeom>
      </xdr:spPr>
    </xdr:pic>
    <xdr:clientData/>
  </xdr:twoCellAnchor>
  <xdr:twoCellAnchor>
    <xdr:from>
      <xdr:col>9</xdr:col>
      <xdr:colOff>6350</xdr:colOff>
      <xdr:row>1264</xdr:row>
      <xdr:rowOff>25400</xdr:rowOff>
    </xdr:from>
    <xdr:to>
      <xdr:col>9</xdr:col>
      <xdr:colOff>885190</xdr:colOff>
      <xdr:row>1264</xdr:row>
      <xdr:rowOff>1209040</xdr:rowOff>
    </xdr:to>
    <xdr:pic>
      <xdr:nvPicPr>
        <xdr:cNvPr id="6163" name="Изображение 6162" descr="resizeПП-00186852"/>
        <xdr:cNvPicPr>
          <a:picLocks noChangeAspect="1"/>
        </xdr:cNvPicPr>
      </xdr:nvPicPr>
      <xdr:blipFill>
        <a:blip xmlns:r="http://schemas.openxmlformats.org/officeDocument/2006/relationships" r:embed="rId928"/>
        <a:stretch>
          <a:fillRect/>
        </a:stretch>
      </xdr:blipFill>
      <xdr:spPr>
        <a:xfrm>
          <a:off x="7235825" y="1215602725"/>
          <a:ext cx="878840" cy="1183640"/>
        </a:xfrm>
        <a:prstGeom prst="rect">
          <a:avLst/>
        </a:prstGeom>
      </xdr:spPr>
    </xdr:pic>
    <xdr:clientData/>
  </xdr:twoCellAnchor>
  <xdr:twoCellAnchor>
    <xdr:from>
      <xdr:col>9</xdr:col>
      <xdr:colOff>6350</xdr:colOff>
      <xdr:row>1265</xdr:row>
      <xdr:rowOff>25400</xdr:rowOff>
    </xdr:from>
    <xdr:to>
      <xdr:col>9</xdr:col>
      <xdr:colOff>885190</xdr:colOff>
      <xdr:row>1265</xdr:row>
      <xdr:rowOff>1209040</xdr:rowOff>
    </xdr:to>
    <xdr:pic>
      <xdr:nvPicPr>
        <xdr:cNvPr id="6164" name="Изображение 6163" descr="resizeПП-00186852"/>
        <xdr:cNvPicPr>
          <a:picLocks noChangeAspect="1"/>
        </xdr:cNvPicPr>
      </xdr:nvPicPr>
      <xdr:blipFill>
        <a:blip xmlns:r="http://schemas.openxmlformats.org/officeDocument/2006/relationships" r:embed="rId928"/>
        <a:stretch>
          <a:fillRect/>
        </a:stretch>
      </xdr:blipFill>
      <xdr:spPr>
        <a:xfrm>
          <a:off x="7235825" y="1216825100"/>
          <a:ext cx="878840" cy="1183640"/>
        </a:xfrm>
        <a:prstGeom prst="rect">
          <a:avLst/>
        </a:prstGeom>
      </xdr:spPr>
    </xdr:pic>
    <xdr:clientData/>
  </xdr:twoCellAnchor>
  <xdr:twoCellAnchor>
    <xdr:from>
      <xdr:col>9</xdr:col>
      <xdr:colOff>6350</xdr:colOff>
      <xdr:row>1266</xdr:row>
      <xdr:rowOff>25400</xdr:rowOff>
    </xdr:from>
    <xdr:to>
      <xdr:col>9</xdr:col>
      <xdr:colOff>885190</xdr:colOff>
      <xdr:row>1266</xdr:row>
      <xdr:rowOff>1209040</xdr:rowOff>
    </xdr:to>
    <xdr:pic>
      <xdr:nvPicPr>
        <xdr:cNvPr id="6165" name="Изображение 6164" descr="resizeПП-00186855"/>
        <xdr:cNvPicPr>
          <a:picLocks noChangeAspect="1"/>
        </xdr:cNvPicPr>
      </xdr:nvPicPr>
      <xdr:blipFill>
        <a:blip xmlns:r="http://schemas.openxmlformats.org/officeDocument/2006/relationships" r:embed="rId929"/>
        <a:stretch>
          <a:fillRect/>
        </a:stretch>
      </xdr:blipFill>
      <xdr:spPr>
        <a:xfrm>
          <a:off x="7235825" y="1218047475"/>
          <a:ext cx="878840" cy="1183640"/>
        </a:xfrm>
        <a:prstGeom prst="rect">
          <a:avLst/>
        </a:prstGeom>
      </xdr:spPr>
    </xdr:pic>
    <xdr:clientData/>
  </xdr:twoCellAnchor>
  <xdr:twoCellAnchor>
    <xdr:from>
      <xdr:col>9</xdr:col>
      <xdr:colOff>6350</xdr:colOff>
      <xdr:row>1267</xdr:row>
      <xdr:rowOff>25400</xdr:rowOff>
    </xdr:from>
    <xdr:to>
      <xdr:col>9</xdr:col>
      <xdr:colOff>885190</xdr:colOff>
      <xdr:row>1267</xdr:row>
      <xdr:rowOff>1209040</xdr:rowOff>
    </xdr:to>
    <xdr:pic>
      <xdr:nvPicPr>
        <xdr:cNvPr id="6166" name="Изображение 6165" descr="resizeПП-00186856"/>
        <xdr:cNvPicPr>
          <a:picLocks noChangeAspect="1"/>
        </xdr:cNvPicPr>
      </xdr:nvPicPr>
      <xdr:blipFill>
        <a:blip xmlns:r="http://schemas.openxmlformats.org/officeDocument/2006/relationships" r:embed="rId930"/>
        <a:stretch>
          <a:fillRect/>
        </a:stretch>
      </xdr:blipFill>
      <xdr:spPr>
        <a:xfrm>
          <a:off x="7235825" y="1219269850"/>
          <a:ext cx="878840" cy="1183640"/>
        </a:xfrm>
        <a:prstGeom prst="rect">
          <a:avLst/>
        </a:prstGeom>
      </xdr:spPr>
    </xdr:pic>
    <xdr:clientData/>
  </xdr:twoCellAnchor>
  <xdr:twoCellAnchor>
    <xdr:from>
      <xdr:col>9</xdr:col>
      <xdr:colOff>6350</xdr:colOff>
      <xdr:row>1268</xdr:row>
      <xdr:rowOff>25400</xdr:rowOff>
    </xdr:from>
    <xdr:to>
      <xdr:col>9</xdr:col>
      <xdr:colOff>885190</xdr:colOff>
      <xdr:row>1268</xdr:row>
      <xdr:rowOff>1209040</xdr:rowOff>
    </xdr:to>
    <xdr:pic>
      <xdr:nvPicPr>
        <xdr:cNvPr id="6167" name="Изображение 6166" descr="resizeПП-00186863"/>
        <xdr:cNvPicPr>
          <a:picLocks noChangeAspect="1"/>
        </xdr:cNvPicPr>
      </xdr:nvPicPr>
      <xdr:blipFill>
        <a:blip xmlns:r="http://schemas.openxmlformats.org/officeDocument/2006/relationships" r:embed="rId931"/>
        <a:stretch>
          <a:fillRect/>
        </a:stretch>
      </xdr:blipFill>
      <xdr:spPr>
        <a:xfrm>
          <a:off x="7235825" y="1220492225"/>
          <a:ext cx="878840" cy="1183640"/>
        </a:xfrm>
        <a:prstGeom prst="rect">
          <a:avLst/>
        </a:prstGeom>
      </xdr:spPr>
    </xdr:pic>
    <xdr:clientData/>
  </xdr:twoCellAnchor>
  <xdr:twoCellAnchor>
    <xdr:from>
      <xdr:col>9</xdr:col>
      <xdr:colOff>6350</xdr:colOff>
      <xdr:row>1269</xdr:row>
      <xdr:rowOff>25400</xdr:rowOff>
    </xdr:from>
    <xdr:to>
      <xdr:col>9</xdr:col>
      <xdr:colOff>885190</xdr:colOff>
      <xdr:row>1269</xdr:row>
      <xdr:rowOff>1209040</xdr:rowOff>
    </xdr:to>
    <xdr:pic>
      <xdr:nvPicPr>
        <xdr:cNvPr id="6168" name="Изображение 6167" descr="resizeПП-00186864"/>
        <xdr:cNvPicPr>
          <a:picLocks noChangeAspect="1"/>
        </xdr:cNvPicPr>
      </xdr:nvPicPr>
      <xdr:blipFill>
        <a:blip xmlns:r="http://schemas.openxmlformats.org/officeDocument/2006/relationships" r:embed="rId932"/>
        <a:stretch>
          <a:fillRect/>
        </a:stretch>
      </xdr:blipFill>
      <xdr:spPr>
        <a:xfrm>
          <a:off x="7235825" y="1221714600"/>
          <a:ext cx="878840" cy="1183640"/>
        </a:xfrm>
        <a:prstGeom prst="rect">
          <a:avLst/>
        </a:prstGeom>
      </xdr:spPr>
    </xdr:pic>
    <xdr:clientData/>
  </xdr:twoCellAnchor>
  <xdr:twoCellAnchor>
    <xdr:from>
      <xdr:col>9</xdr:col>
      <xdr:colOff>6350</xdr:colOff>
      <xdr:row>1272</xdr:row>
      <xdr:rowOff>25400</xdr:rowOff>
    </xdr:from>
    <xdr:to>
      <xdr:col>9</xdr:col>
      <xdr:colOff>885190</xdr:colOff>
      <xdr:row>1272</xdr:row>
      <xdr:rowOff>1209040</xdr:rowOff>
    </xdr:to>
    <xdr:pic>
      <xdr:nvPicPr>
        <xdr:cNvPr id="6169" name="Изображение 6168" descr="resizeПП-00104519"/>
        <xdr:cNvPicPr>
          <a:picLocks noChangeAspect="1"/>
        </xdr:cNvPicPr>
      </xdr:nvPicPr>
      <xdr:blipFill>
        <a:blip xmlns:r="http://schemas.openxmlformats.org/officeDocument/2006/relationships" r:embed="rId933"/>
        <a:stretch>
          <a:fillRect/>
        </a:stretch>
      </xdr:blipFill>
      <xdr:spPr>
        <a:xfrm>
          <a:off x="7235825" y="1223241775"/>
          <a:ext cx="878840" cy="1183640"/>
        </a:xfrm>
        <a:prstGeom prst="rect">
          <a:avLst/>
        </a:prstGeom>
      </xdr:spPr>
    </xdr:pic>
    <xdr:clientData/>
  </xdr:twoCellAnchor>
  <xdr:twoCellAnchor>
    <xdr:from>
      <xdr:col>9</xdr:col>
      <xdr:colOff>6350</xdr:colOff>
      <xdr:row>1273</xdr:row>
      <xdr:rowOff>25400</xdr:rowOff>
    </xdr:from>
    <xdr:to>
      <xdr:col>9</xdr:col>
      <xdr:colOff>885190</xdr:colOff>
      <xdr:row>1273</xdr:row>
      <xdr:rowOff>1209040</xdr:rowOff>
    </xdr:to>
    <xdr:pic>
      <xdr:nvPicPr>
        <xdr:cNvPr id="6170" name="Изображение 6169" descr="resizeПП-00104521"/>
        <xdr:cNvPicPr>
          <a:picLocks noChangeAspect="1"/>
        </xdr:cNvPicPr>
      </xdr:nvPicPr>
      <xdr:blipFill>
        <a:blip xmlns:r="http://schemas.openxmlformats.org/officeDocument/2006/relationships" r:embed="rId934"/>
        <a:stretch>
          <a:fillRect/>
        </a:stretch>
      </xdr:blipFill>
      <xdr:spPr>
        <a:xfrm>
          <a:off x="7235825" y="1224464150"/>
          <a:ext cx="878840" cy="1183640"/>
        </a:xfrm>
        <a:prstGeom prst="rect">
          <a:avLst/>
        </a:prstGeom>
      </xdr:spPr>
    </xdr:pic>
    <xdr:clientData/>
  </xdr:twoCellAnchor>
  <xdr:twoCellAnchor>
    <xdr:from>
      <xdr:col>9</xdr:col>
      <xdr:colOff>6350</xdr:colOff>
      <xdr:row>1274</xdr:row>
      <xdr:rowOff>25400</xdr:rowOff>
    </xdr:from>
    <xdr:to>
      <xdr:col>9</xdr:col>
      <xdr:colOff>885190</xdr:colOff>
      <xdr:row>1274</xdr:row>
      <xdr:rowOff>1209040</xdr:rowOff>
    </xdr:to>
    <xdr:pic>
      <xdr:nvPicPr>
        <xdr:cNvPr id="6171" name="Изображение 6170" descr="resizeПП-00104507"/>
        <xdr:cNvPicPr>
          <a:picLocks noChangeAspect="1"/>
        </xdr:cNvPicPr>
      </xdr:nvPicPr>
      <xdr:blipFill>
        <a:blip xmlns:r="http://schemas.openxmlformats.org/officeDocument/2006/relationships" r:embed="rId935"/>
        <a:stretch>
          <a:fillRect/>
        </a:stretch>
      </xdr:blipFill>
      <xdr:spPr>
        <a:xfrm>
          <a:off x="7235825" y="1225686525"/>
          <a:ext cx="878840" cy="1183640"/>
        </a:xfrm>
        <a:prstGeom prst="rect">
          <a:avLst/>
        </a:prstGeom>
      </xdr:spPr>
    </xdr:pic>
    <xdr:clientData/>
  </xdr:twoCellAnchor>
  <xdr:twoCellAnchor>
    <xdr:from>
      <xdr:col>9</xdr:col>
      <xdr:colOff>6350</xdr:colOff>
      <xdr:row>1275</xdr:row>
      <xdr:rowOff>25400</xdr:rowOff>
    </xdr:from>
    <xdr:to>
      <xdr:col>9</xdr:col>
      <xdr:colOff>885190</xdr:colOff>
      <xdr:row>1275</xdr:row>
      <xdr:rowOff>1209040</xdr:rowOff>
    </xdr:to>
    <xdr:pic>
      <xdr:nvPicPr>
        <xdr:cNvPr id="6172" name="Изображение 6171" descr="resizeПП-00104516"/>
        <xdr:cNvPicPr>
          <a:picLocks noChangeAspect="1"/>
        </xdr:cNvPicPr>
      </xdr:nvPicPr>
      <xdr:blipFill>
        <a:blip xmlns:r="http://schemas.openxmlformats.org/officeDocument/2006/relationships" r:embed="rId936"/>
        <a:stretch>
          <a:fillRect/>
        </a:stretch>
      </xdr:blipFill>
      <xdr:spPr>
        <a:xfrm>
          <a:off x="7235825" y="1226908900"/>
          <a:ext cx="878840" cy="1183640"/>
        </a:xfrm>
        <a:prstGeom prst="rect">
          <a:avLst/>
        </a:prstGeom>
      </xdr:spPr>
    </xdr:pic>
    <xdr:clientData/>
  </xdr:twoCellAnchor>
  <xdr:twoCellAnchor>
    <xdr:from>
      <xdr:col>9</xdr:col>
      <xdr:colOff>6350</xdr:colOff>
      <xdr:row>1276</xdr:row>
      <xdr:rowOff>25400</xdr:rowOff>
    </xdr:from>
    <xdr:to>
      <xdr:col>9</xdr:col>
      <xdr:colOff>885190</xdr:colOff>
      <xdr:row>1276</xdr:row>
      <xdr:rowOff>1209040</xdr:rowOff>
    </xdr:to>
    <xdr:pic>
      <xdr:nvPicPr>
        <xdr:cNvPr id="6173" name="Изображение 6172" descr="resizeПП-00187375"/>
        <xdr:cNvPicPr>
          <a:picLocks noChangeAspect="1"/>
        </xdr:cNvPicPr>
      </xdr:nvPicPr>
      <xdr:blipFill>
        <a:blip xmlns:r="http://schemas.openxmlformats.org/officeDocument/2006/relationships" r:embed="rId937"/>
        <a:stretch>
          <a:fillRect/>
        </a:stretch>
      </xdr:blipFill>
      <xdr:spPr>
        <a:xfrm>
          <a:off x="7235825" y="1228131275"/>
          <a:ext cx="878840" cy="1183640"/>
        </a:xfrm>
        <a:prstGeom prst="rect">
          <a:avLst/>
        </a:prstGeom>
      </xdr:spPr>
    </xdr:pic>
    <xdr:clientData/>
  </xdr:twoCellAnchor>
  <xdr:twoCellAnchor>
    <xdr:from>
      <xdr:col>9</xdr:col>
      <xdr:colOff>6350</xdr:colOff>
      <xdr:row>1277</xdr:row>
      <xdr:rowOff>25400</xdr:rowOff>
    </xdr:from>
    <xdr:to>
      <xdr:col>9</xdr:col>
      <xdr:colOff>885190</xdr:colOff>
      <xdr:row>1277</xdr:row>
      <xdr:rowOff>1209040</xdr:rowOff>
    </xdr:to>
    <xdr:pic>
      <xdr:nvPicPr>
        <xdr:cNvPr id="6174" name="Изображение 6173" descr="resizeПП-00104494"/>
        <xdr:cNvPicPr>
          <a:picLocks noChangeAspect="1"/>
        </xdr:cNvPicPr>
      </xdr:nvPicPr>
      <xdr:blipFill>
        <a:blip xmlns:r="http://schemas.openxmlformats.org/officeDocument/2006/relationships" r:embed="rId938"/>
        <a:stretch>
          <a:fillRect/>
        </a:stretch>
      </xdr:blipFill>
      <xdr:spPr>
        <a:xfrm>
          <a:off x="7235825" y="1229353650"/>
          <a:ext cx="878840" cy="1183640"/>
        </a:xfrm>
        <a:prstGeom prst="rect">
          <a:avLst/>
        </a:prstGeom>
      </xdr:spPr>
    </xdr:pic>
    <xdr:clientData/>
  </xdr:twoCellAnchor>
  <xdr:twoCellAnchor>
    <xdr:from>
      <xdr:col>9</xdr:col>
      <xdr:colOff>6350</xdr:colOff>
      <xdr:row>1278</xdr:row>
      <xdr:rowOff>25400</xdr:rowOff>
    </xdr:from>
    <xdr:to>
      <xdr:col>9</xdr:col>
      <xdr:colOff>885190</xdr:colOff>
      <xdr:row>1278</xdr:row>
      <xdr:rowOff>1209040</xdr:rowOff>
    </xdr:to>
    <xdr:pic>
      <xdr:nvPicPr>
        <xdr:cNvPr id="6175" name="Изображение 6174" descr="resizeПП-00104502"/>
        <xdr:cNvPicPr>
          <a:picLocks noChangeAspect="1"/>
        </xdr:cNvPicPr>
      </xdr:nvPicPr>
      <xdr:blipFill>
        <a:blip xmlns:r="http://schemas.openxmlformats.org/officeDocument/2006/relationships" r:embed="rId939"/>
        <a:stretch>
          <a:fillRect/>
        </a:stretch>
      </xdr:blipFill>
      <xdr:spPr>
        <a:xfrm>
          <a:off x="7235825" y="1230576025"/>
          <a:ext cx="878840" cy="1183640"/>
        </a:xfrm>
        <a:prstGeom prst="rect">
          <a:avLst/>
        </a:prstGeom>
      </xdr:spPr>
    </xdr:pic>
    <xdr:clientData/>
  </xdr:twoCellAnchor>
  <xdr:twoCellAnchor>
    <xdr:from>
      <xdr:col>9</xdr:col>
      <xdr:colOff>6350</xdr:colOff>
      <xdr:row>1279</xdr:row>
      <xdr:rowOff>25400</xdr:rowOff>
    </xdr:from>
    <xdr:to>
      <xdr:col>9</xdr:col>
      <xdr:colOff>885190</xdr:colOff>
      <xdr:row>1279</xdr:row>
      <xdr:rowOff>1209040</xdr:rowOff>
    </xdr:to>
    <xdr:pic>
      <xdr:nvPicPr>
        <xdr:cNvPr id="6176" name="Изображение 6175" descr="resizeПП-00104491"/>
        <xdr:cNvPicPr>
          <a:picLocks noChangeAspect="1"/>
        </xdr:cNvPicPr>
      </xdr:nvPicPr>
      <xdr:blipFill>
        <a:blip xmlns:r="http://schemas.openxmlformats.org/officeDocument/2006/relationships" r:embed="rId940"/>
        <a:stretch>
          <a:fillRect/>
        </a:stretch>
      </xdr:blipFill>
      <xdr:spPr>
        <a:xfrm>
          <a:off x="7235825" y="1231798400"/>
          <a:ext cx="878840" cy="1183640"/>
        </a:xfrm>
        <a:prstGeom prst="rect">
          <a:avLst/>
        </a:prstGeom>
      </xdr:spPr>
    </xdr:pic>
    <xdr:clientData/>
  </xdr:twoCellAnchor>
  <xdr:twoCellAnchor>
    <xdr:from>
      <xdr:col>9</xdr:col>
      <xdr:colOff>6350</xdr:colOff>
      <xdr:row>1280</xdr:row>
      <xdr:rowOff>25400</xdr:rowOff>
    </xdr:from>
    <xdr:to>
      <xdr:col>9</xdr:col>
      <xdr:colOff>885190</xdr:colOff>
      <xdr:row>1280</xdr:row>
      <xdr:rowOff>1209040</xdr:rowOff>
    </xdr:to>
    <xdr:pic>
      <xdr:nvPicPr>
        <xdr:cNvPr id="6177" name="Изображение 6176" descr="resizeПП-00104487"/>
        <xdr:cNvPicPr>
          <a:picLocks noChangeAspect="1"/>
        </xdr:cNvPicPr>
      </xdr:nvPicPr>
      <xdr:blipFill>
        <a:blip xmlns:r="http://schemas.openxmlformats.org/officeDocument/2006/relationships" r:embed="rId941"/>
        <a:stretch>
          <a:fillRect/>
        </a:stretch>
      </xdr:blipFill>
      <xdr:spPr>
        <a:xfrm>
          <a:off x="7235825" y="1233020775"/>
          <a:ext cx="878840" cy="1183640"/>
        </a:xfrm>
        <a:prstGeom prst="rect">
          <a:avLst/>
        </a:prstGeom>
      </xdr:spPr>
    </xdr:pic>
    <xdr:clientData/>
  </xdr:twoCellAnchor>
  <xdr:twoCellAnchor>
    <xdr:from>
      <xdr:col>9</xdr:col>
      <xdr:colOff>6350</xdr:colOff>
      <xdr:row>1281</xdr:row>
      <xdr:rowOff>25400</xdr:rowOff>
    </xdr:from>
    <xdr:to>
      <xdr:col>9</xdr:col>
      <xdr:colOff>885190</xdr:colOff>
      <xdr:row>1281</xdr:row>
      <xdr:rowOff>1209040</xdr:rowOff>
    </xdr:to>
    <xdr:pic>
      <xdr:nvPicPr>
        <xdr:cNvPr id="6178" name="Изображение 6177" descr="resizeПП-00104499"/>
        <xdr:cNvPicPr>
          <a:picLocks noChangeAspect="1"/>
        </xdr:cNvPicPr>
      </xdr:nvPicPr>
      <xdr:blipFill>
        <a:blip xmlns:r="http://schemas.openxmlformats.org/officeDocument/2006/relationships" r:embed="rId942"/>
        <a:stretch>
          <a:fillRect/>
        </a:stretch>
      </xdr:blipFill>
      <xdr:spPr>
        <a:xfrm>
          <a:off x="7235825" y="1234243150"/>
          <a:ext cx="878840" cy="1183640"/>
        </a:xfrm>
        <a:prstGeom prst="rect">
          <a:avLst/>
        </a:prstGeom>
      </xdr:spPr>
    </xdr:pic>
    <xdr:clientData/>
  </xdr:twoCellAnchor>
  <xdr:twoCellAnchor>
    <xdr:from>
      <xdr:col>9</xdr:col>
      <xdr:colOff>6350</xdr:colOff>
      <xdr:row>1282</xdr:row>
      <xdr:rowOff>25400</xdr:rowOff>
    </xdr:from>
    <xdr:to>
      <xdr:col>9</xdr:col>
      <xdr:colOff>885190</xdr:colOff>
      <xdr:row>1282</xdr:row>
      <xdr:rowOff>1209040</xdr:rowOff>
    </xdr:to>
    <xdr:pic>
      <xdr:nvPicPr>
        <xdr:cNvPr id="6179" name="Изображение 6178" descr="resizeПП-00104498"/>
        <xdr:cNvPicPr>
          <a:picLocks noChangeAspect="1"/>
        </xdr:cNvPicPr>
      </xdr:nvPicPr>
      <xdr:blipFill>
        <a:blip xmlns:r="http://schemas.openxmlformats.org/officeDocument/2006/relationships" r:embed="rId943"/>
        <a:stretch>
          <a:fillRect/>
        </a:stretch>
      </xdr:blipFill>
      <xdr:spPr>
        <a:xfrm>
          <a:off x="7235825" y="1235465525"/>
          <a:ext cx="878840" cy="1183640"/>
        </a:xfrm>
        <a:prstGeom prst="rect">
          <a:avLst/>
        </a:prstGeom>
      </xdr:spPr>
    </xdr:pic>
    <xdr:clientData/>
  </xdr:twoCellAnchor>
  <xdr:twoCellAnchor>
    <xdr:from>
      <xdr:col>9</xdr:col>
      <xdr:colOff>6350</xdr:colOff>
      <xdr:row>1283</xdr:row>
      <xdr:rowOff>25400</xdr:rowOff>
    </xdr:from>
    <xdr:to>
      <xdr:col>9</xdr:col>
      <xdr:colOff>885190</xdr:colOff>
      <xdr:row>1283</xdr:row>
      <xdr:rowOff>1209040</xdr:rowOff>
    </xdr:to>
    <xdr:pic>
      <xdr:nvPicPr>
        <xdr:cNvPr id="6180" name="Изображение 6179" descr="resizeПП-00187380"/>
        <xdr:cNvPicPr>
          <a:picLocks noChangeAspect="1"/>
        </xdr:cNvPicPr>
      </xdr:nvPicPr>
      <xdr:blipFill>
        <a:blip xmlns:r="http://schemas.openxmlformats.org/officeDocument/2006/relationships" r:embed="rId944"/>
        <a:stretch>
          <a:fillRect/>
        </a:stretch>
      </xdr:blipFill>
      <xdr:spPr>
        <a:xfrm>
          <a:off x="7235825" y="1236687900"/>
          <a:ext cx="878840" cy="1183640"/>
        </a:xfrm>
        <a:prstGeom prst="rect">
          <a:avLst/>
        </a:prstGeom>
      </xdr:spPr>
    </xdr:pic>
    <xdr:clientData/>
  </xdr:twoCellAnchor>
  <xdr:twoCellAnchor>
    <xdr:from>
      <xdr:col>9</xdr:col>
      <xdr:colOff>6350</xdr:colOff>
      <xdr:row>1284</xdr:row>
      <xdr:rowOff>25400</xdr:rowOff>
    </xdr:from>
    <xdr:to>
      <xdr:col>9</xdr:col>
      <xdr:colOff>885190</xdr:colOff>
      <xdr:row>1284</xdr:row>
      <xdr:rowOff>1209040</xdr:rowOff>
    </xdr:to>
    <xdr:pic>
      <xdr:nvPicPr>
        <xdr:cNvPr id="6181" name="Изображение 6180" descr="resizeПП-00187378"/>
        <xdr:cNvPicPr>
          <a:picLocks noChangeAspect="1"/>
        </xdr:cNvPicPr>
      </xdr:nvPicPr>
      <xdr:blipFill>
        <a:blip xmlns:r="http://schemas.openxmlformats.org/officeDocument/2006/relationships" r:embed="rId945"/>
        <a:stretch>
          <a:fillRect/>
        </a:stretch>
      </xdr:blipFill>
      <xdr:spPr>
        <a:xfrm>
          <a:off x="7235825" y="1237910275"/>
          <a:ext cx="878840" cy="1183640"/>
        </a:xfrm>
        <a:prstGeom prst="rect">
          <a:avLst/>
        </a:prstGeom>
      </xdr:spPr>
    </xdr:pic>
    <xdr:clientData/>
  </xdr:twoCellAnchor>
  <xdr:twoCellAnchor>
    <xdr:from>
      <xdr:col>9</xdr:col>
      <xdr:colOff>6350</xdr:colOff>
      <xdr:row>1285</xdr:row>
      <xdr:rowOff>25400</xdr:rowOff>
    </xdr:from>
    <xdr:to>
      <xdr:col>9</xdr:col>
      <xdr:colOff>885190</xdr:colOff>
      <xdr:row>1285</xdr:row>
      <xdr:rowOff>1209040</xdr:rowOff>
    </xdr:to>
    <xdr:pic>
      <xdr:nvPicPr>
        <xdr:cNvPr id="6182" name="Изображение 6181" descr="resizeПП-00187379"/>
        <xdr:cNvPicPr>
          <a:picLocks noChangeAspect="1"/>
        </xdr:cNvPicPr>
      </xdr:nvPicPr>
      <xdr:blipFill>
        <a:blip xmlns:r="http://schemas.openxmlformats.org/officeDocument/2006/relationships" r:embed="rId946"/>
        <a:stretch>
          <a:fillRect/>
        </a:stretch>
      </xdr:blipFill>
      <xdr:spPr>
        <a:xfrm>
          <a:off x="7235825" y="1239132650"/>
          <a:ext cx="878840" cy="1183640"/>
        </a:xfrm>
        <a:prstGeom prst="rect">
          <a:avLst/>
        </a:prstGeom>
      </xdr:spPr>
    </xdr:pic>
    <xdr:clientData/>
  </xdr:twoCellAnchor>
  <xdr:twoCellAnchor>
    <xdr:from>
      <xdr:col>9</xdr:col>
      <xdr:colOff>6350</xdr:colOff>
      <xdr:row>1286</xdr:row>
      <xdr:rowOff>25400</xdr:rowOff>
    </xdr:from>
    <xdr:to>
      <xdr:col>9</xdr:col>
      <xdr:colOff>885190</xdr:colOff>
      <xdr:row>1286</xdr:row>
      <xdr:rowOff>1209040</xdr:rowOff>
    </xdr:to>
    <xdr:pic>
      <xdr:nvPicPr>
        <xdr:cNvPr id="6183" name="Изображение 6182" descr="resizeПП-00046674"/>
        <xdr:cNvPicPr>
          <a:picLocks noChangeAspect="1"/>
        </xdr:cNvPicPr>
      </xdr:nvPicPr>
      <xdr:blipFill>
        <a:blip xmlns:r="http://schemas.openxmlformats.org/officeDocument/2006/relationships" r:embed="rId947"/>
        <a:stretch>
          <a:fillRect/>
        </a:stretch>
      </xdr:blipFill>
      <xdr:spPr>
        <a:xfrm>
          <a:off x="7235825" y="1240355025"/>
          <a:ext cx="878840" cy="1183640"/>
        </a:xfrm>
        <a:prstGeom prst="rect">
          <a:avLst/>
        </a:prstGeom>
      </xdr:spPr>
    </xdr:pic>
    <xdr:clientData/>
  </xdr:twoCellAnchor>
  <xdr:twoCellAnchor>
    <xdr:from>
      <xdr:col>9</xdr:col>
      <xdr:colOff>6350</xdr:colOff>
      <xdr:row>1287</xdr:row>
      <xdr:rowOff>25400</xdr:rowOff>
    </xdr:from>
    <xdr:to>
      <xdr:col>9</xdr:col>
      <xdr:colOff>885190</xdr:colOff>
      <xdr:row>1287</xdr:row>
      <xdr:rowOff>1209040</xdr:rowOff>
    </xdr:to>
    <xdr:pic>
      <xdr:nvPicPr>
        <xdr:cNvPr id="6184" name="Изображение 6183" descr="resizeПП-00046666"/>
        <xdr:cNvPicPr>
          <a:picLocks noChangeAspect="1"/>
        </xdr:cNvPicPr>
      </xdr:nvPicPr>
      <xdr:blipFill>
        <a:blip xmlns:r="http://schemas.openxmlformats.org/officeDocument/2006/relationships" r:embed="rId948"/>
        <a:stretch>
          <a:fillRect/>
        </a:stretch>
      </xdr:blipFill>
      <xdr:spPr>
        <a:xfrm>
          <a:off x="7235825" y="1241577400"/>
          <a:ext cx="878840" cy="1183640"/>
        </a:xfrm>
        <a:prstGeom prst="rect">
          <a:avLst/>
        </a:prstGeom>
      </xdr:spPr>
    </xdr:pic>
    <xdr:clientData/>
  </xdr:twoCellAnchor>
  <xdr:twoCellAnchor>
    <xdr:from>
      <xdr:col>9</xdr:col>
      <xdr:colOff>6350</xdr:colOff>
      <xdr:row>1288</xdr:row>
      <xdr:rowOff>25400</xdr:rowOff>
    </xdr:from>
    <xdr:to>
      <xdr:col>9</xdr:col>
      <xdr:colOff>885190</xdr:colOff>
      <xdr:row>1288</xdr:row>
      <xdr:rowOff>1209040</xdr:rowOff>
    </xdr:to>
    <xdr:pic>
      <xdr:nvPicPr>
        <xdr:cNvPr id="6185" name="Изображение 6184" descr="resizeПП-00046665"/>
        <xdr:cNvPicPr>
          <a:picLocks noChangeAspect="1"/>
        </xdr:cNvPicPr>
      </xdr:nvPicPr>
      <xdr:blipFill>
        <a:blip xmlns:r="http://schemas.openxmlformats.org/officeDocument/2006/relationships" r:embed="rId949"/>
        <a:stretch>
          <a:fillRect/>
        </a:stretch>
      </xdr:blipFill>
      <xdr:spPr>
        <a:xfrm>
          <a:off x="7235825" y="1242799775"/>
          <a:ext cx="878840" cy="1183640"/>
        </a:xfrm>
        <a:prstGeom prst="rect">
          <a:avLst/>
        </a:prstGeom>
      </xdr:spPr>
    </xdr:pic>
    <xdr:clientData/>
  </xdr:twoCellAnchor>
  <xdr:twoCellAnchor>
    <xdr:from>
      <xdr:col>9</xdr:col>
      <xdr:colOff>6350</xdr:colOff>
      <xdr:row>1289</xdr:row>
      <xdr:rowOff>25400</xdr:rowOff>
    </xdr:from>
    <xdr:to>
      <xdr:col>9</xdr:col>
      <xdr:colOff>885190</xdr:colOff>
      <xdr:row>1289</xdr:row>
      <xdr:rowOff>1209040</xdr:rowOff>
    </xdr:to>
    <xdr:pic>
      <xdr:nvPicPr>
        <xdr:cNvPr id="6186" name="Изображение 6185" descr="resizeПП-00046660"/>
        <xdr:cNvPicPr>
          <a:picLocks noChangeAspect="1"/>
        </xdr:cNvPicPr>
      </xdr:nvPicPr>
      <xdr:blipFill>
        <a:blip xmlns:r="http://schemas.openxmlformats.org/officeDocument/2006/relationships" r:embed="rId950"/>
        <a:stretch>
          <a:fillRect/>
        </a:stretch>
      </xdr:blipFill>
      <xdr:spPr>
        <a:xfrm>
          <a:off x="7235825" y="1244022150"/>
          <a:ext cx="878840" cy="1183640"/>
        </a:xfrm>
        <a:prstGeom prst="rect">
          <a:avLst/>
        </a:prstGeom>
      </xdr:spPr>
    </xdr:pic>
    <xdr:clientData/>
  </xdr:twoCellAnchor>
  <xdr:twoCellAnchor>
    <xdr:from>
      <xdr:col>9</xdr:col>
      <xdr:colOff>6350</xdr:colOff>
      <xdr:row>1290</xdr:row>
      <xdr:rowOff>25400</xdr:rowOff>
    </xdr:from>
    <xdr:to>
      <xdr:col>9</xdr:col>
      <xdr:colOff>885190</xdr:colOff>
      <xdr:row>1290</xdr:row>
      <xdr:rowOff>1209040</xdr:rowOff>
    </xdr:to>
    <xdr:pic>
      <xdr:nvPicPr>
        <xdr:cNvPr id="6187" name="Изображение 6186" descr="resizeПП-00046664"/>
        <xdr:cNvPicPr>
          <a:picLocks noChangeAspect="1"/>
        </xdr:cNvPicPr>
      </xdr:nvPicPr>
      <xdr:blipFill>
        <a:blip xmlns:r="http://schemas.openxmlformats.org/officeDocument/2006/relationships" r:embed="rId951"/>
        <a:stretch>
          <a:fillRect/>
        </a:stretch>
      </xdr:blipFill>
      <xdr:spPr>
        <a:xfrm>
          <a:off x="7235825" y="1245244525"/>
          <a:ext cx="878840" cy="1183640"/>
        </a:xfrm>
        <a:prstGeom prst="rect">
          <a:avLst/>
        </a:prstGeom>
      </xdr:spPr>
    </xdr:pic>
    <xdr:clientData/>
  </xdr:twoCellAnchor>
  <xdr:twoCellAnchor>
    <xdr:from>
      <xdr:col>9</xdr:col>
      <xdr:colOff>6350</xdr:colOff>
      <xdr:row>1291</xdr:row>
      <xdr:rowOff>25400</xdr:rowOff>
    </xdr:from>
    <xdr:to>
      <xdr:col>9</xdr:col>
      <xdr:colOff>1189990</xdr:colOff>
      <xdr:row>1291</xdr:row>
      <xdr:rowOff>904240</xdr:rowOff>
    </xdr:to>
    <xdr:pic>
      <xdr:nvPicPr>
        <xdr:cNvPr id="6188" name="Изображение 6187" descr="resizeПП-00046658"/>
        <xdr:cNvPicPr>
          <a:picLocks noChangeAspect="1"/>
        </xdr:cNvPicPr>
      </xdr:nvPicPr>
      <xdr:blipFill>
        <a:blip xmlns:r="http://schemas.openxmlformats.org/officeDocument/2006/relationships" r:embed="rId952"/>
        <a:stretch>
          <a:fillRect/>
        </a:stretch>
      </xdr:blipFill>
      <xdr:spPr>
        <a:xfrm>
          <a:off x="7235825" y="1246466900"/>
          <a:ext cx="1183640" cy="878840"/>
        </a:xfrm>
        <a:prstGeom prst="rect">
          <a:avLst/>
        </a:prstGeom>
      </xdr:spPr>
    </xdr:pic>
    <xdr:clientData/>
  </xdr:twoCellAnchor>
  <xdr:twoCellAnchor>
    <xdr:from>
      <xdr:col>9</xdr:col>
      <xdr:colOff>6350</xdr:colOff>
      <xdr:row>1292</xdr:row>
      <xdr:rowOff>25400</xdr:rowOff>
    </xdr:from>
    <xdr:to>
      <xdr:col>9</xdr:col>
      <xdr:colOff>885190</xdr:colOff>
      <xdr:row>1292</xdr:row>
      <xdr:rowOff>1209040</xdr:rowOff>
    </xdr:to>
    <xdr:pic>
      <xdr:nvPicPr>
        <xdr:cNvPr id="6189" name="Изображение 6188" descr="resizeПП-00046667"/>
        <xdr:cNvPicPr>
          <a:picLocks noChangeAspect="1"/>
        </xdr:cNvPicPr>
      </xdr:nvPicPr>
      <xdr:blipFill>
        <a:blip xmlns:r="http://schemas.openxmlformats.org/officeDocument/2006/relationships" r:embed="rId953"/>
        <a:stretch>
          <a:fillRect/>
        </a:stretch>
      </xdr:blipFill>
      <xdr:spPr>
        <a:xfrm>
          <a:off x="7235825" y="1247689275"/>
          <a:ext cx="878840" cy="1183640"/>
        </a:xfrm>
        <a:prstGeom prst="rect">
          <a:avLst/>
        </a:prstGeom>
      </xdr:spPr>
    </xdr:pic>
    <xdr:clientData/>
  </xdr:twoCellAnchor>
  <xdr:twoCellAnchor>
    <xdr:from>
      <xdr:col>9</xdr:col>
      <xdr:colOff>6350</xdr:colOff>
      <xdr:row>1293</xdr:row>
      <xdr:rowOff>25400</xdr:rowOff>
    </xdr:from>
    <xdr:to>
      <xdr:col>9</xdr:col>
      <xdr:colOff>885190</xdr:colOff>
      <xdr:row>1293</xdr:row>
      <xdr:rowOff>1209040</xdr:rowOff>
    </xdr:to>
    <xdr:pic>
      <xdr:nvPicPr>
        <xdr:cNvPr id="6190" name="Изображение 6189" descr="resizeПП-00046661"/>
        <xdr:cNvPicPr>
          <a:picLocks noChangeAspect="1"/>
        </xdr:cNvPicPr>
      </xdr:nvPicPr>
      <xdr:blipFill>
        <a:blip xmlns:r="http://schemas.openxmlformats.org/officeDocument/2006/relationships" r:embed="rId954"/>
        <a:stretch>
          <a:fillRect/>
        </a:stretch>
      </xdr:blipFill>
      <xdr:spPr>
        <a:xfrm>
          <a:off x="7235825" y="1248911650"/>
          <a:ext cx="878840" cy="1183640"/>
        </a:xfrm>
        <a:prstGeom prst="rect">
          <a:avLst/>
        </a:prstGeom>
      </xdr:spPr>
    </xdr:pic>
    <xdr:clientData/>
  </xdr:twoCellAnchor>
  <xdr:twoCellAnchor>
    <xdr:from>
      <xdr:col>9</xdr:col>
      <xdr:colOff>6350</xdr:colOff>
      <xdr:row>1294</xdr:row>
      <xdr:rowOff>25400</xdr:rowOff>
    </xdr:from>
    <xdr:to>
      <xdr:col>9</xdr:col>
      <xdr:colOff>1189990</xdr:colOff>
      <xdr:row>1294</xdr:row>
      <xdr:rowOff>904240</xdr:rowOff>
    </xdr:to>
    <xdr:pic>
      <xdr:nvPicPr>
        <xdr:cNvPr id="6191" name="Изображение 6190" descr="resizeПП-00046675"/>
        <xdr:cNvPicPr>
          <a:picLocks noChangeAspect="1"/>
        </xdr:cNvPicPr>
      </xdr:nvPicPr>
      <xdr:blipFill>
        <a:blip xmlns:r="http://schemas.openxmlformats.org/officeDocument/2006/relationships" r:embed="rId955"/>
        <a:stretch>
          <a:fillRect/>
        </a:stretch>
      </xdr:blipFill>
      <xdr:spPr>
        <a:xfrm>
          <a:off x="7235825" y="1250134025"/>
          <a:ext cx="1183640" cy="878840"/>
        </a:xfrm>
        <a:prstGeom prst="rect">
          <a:avLst/>
        </a:prstGeom>
      </xdr:spPr>
    </xdr:pic>
    <xdr:clientData/>
  </xdr:twoCellAnchor>
  <xdr:twoCellAnchor>
    <xdr:from>
      <xdr:col>9</xdr:col>
      <xdr:colOff>6350</xdr:colOff>
      <xdr:row>1295</xdr:row>
      <xdr:rowOff>25400</xdr:rowOff>
    </xdr:from>
    <xdr:to>
      <xdr:col>9</xdr:col>
      <xdr:colOff>885190</xdr:colOff>
      <xdr:row>1295</xdr:row>
      <xdr:rowOff>1209040</xdr:rowOff>
    </xdr:to>
    <xdr:pic>
      <xdr:nvPicPr>
        <xdr:cNvPr id="6192" name="Изображение 6191" descr="resizeПП-00046668"/>
        <xdr:cNvPicPr>
          <a:picLocks noChangeAspect="1"/>
        </xdr:cNvPicPr>
      </xdr:nvPicPr>
      <xdr:blipFill>
        <a:blip xmlns:r="http://schemas.openxmlformats.org/officeDocument/2006/relationships" r:embed="rId956"/>
        <a:stretch>
          <a:fillRect/>
        </a:stretch>
      </xdr:blipFill>
      <xdr:spPr>
        <a:xfrm>
          <a:off x="7235825" y="1251356400"/>
          <a:ext cx="878840" cy="1183640"/>
        </a:xfrm>
        <a:prstGeom prst="rect">
          <a:avLst/>
        </a:prstGeom>
      </xdr:spPr>
    </xdr:pic>
    <xdr:clientData/>
  </xdr:twoCellAnchor>
  <xdr:twoCellAnchor>
    <xdr:from>
      <xdr:col>9</xdr:col>
      <xdr:colOff>6350</xdr:colOff>
      <xdr:row>1297</xdr:row>
      <xdr:rowOff>25400</xdr:rowOff>
    </xdr:from>
    <xdr:to>
      <xdr:col>9</xdr:col>
      <xdr:colOff>885190</xdr:colOff>
      <xdr:row>1297</xdr:row>
      <xdr:rowOff>1209040</xdr:rowOff>
    </xdr:to>
    <xdr:pic>
      <xdr:nvPicPr>
        <xdr:cNvPr id="6193" name="Изображение 6192" descr="resizeПП-00203239"/>
        <xdr:cNvPicPr>
          <a:picLocks noChangeAspect="1"/>
        </xdr:cNvPicPr>
      </xdr:nvPicPr>
      <xdr:blipFill>
        <a:blip xmlns:r="http://schemas.openxmlformats.org/officeDocument/2006/relationships" r:embed="rId957"/>
        <a:stretch>
          <a:fillRect/>
        </a:stretch>
      </xdr:blipFill>
      <xdr:spPr>
        <a:xfrm>
          <a:off x="7235825" y="1252731175"/>
          <a:ext cx="878840" cy="1183640"/>
        </a:xfrm>
        <a:prstGeom prst="rect">
          <a:avLst/>
        </a:prstGeom>
      </xdr:spPr>
    </xdr:pic>
    <xdr:clientData/>
  </xdr:twoCellAnchor>
  <xdr:twoCellAnchor>
    <xdr:from>
      <xdr:col>9</xdr:col>
      <xdr:colOff>6350</xdr:colOff>
      <xdr:row>1298</xdr:row>
      <xdr:rowOff>25400</xdr:rowOff>
    </xdr:from>
    <xdr:to>
      <xdr:col>9</xdr:col>
      <xdr:colOff>885190</xdr:colOff>
      <xdr:row>1298</xdr:row>
      <xdr:rowOff>1209040</xdr:rowOff>
    </xdr:to>
    <xdr:pic>
      <xdr:nvPicPr>
        <xdr:cNvPr id="6194" name="Изображение 6193" descr="resizeПП-00203225"/>
        <xdr:cNvPicPr>
          <a:picLocks noChangeAspect="1"/>
        </xdr:cNvPicPr>
      </xdr:nvPicPr>
      <xdr:blipFill>
        <a:blip xmlns:r="http://schemas.openxmlformats.org/officeDocument/2006/relationships" r:embed="rId958"/>
        <a:stretch>
          <a:fillRect/>
        </a:stretch>
      </xdr:blipFill>
      <xdr:spPr>
        <a:xfrm>
          <a:off x="7235825" y="1253953550"/>
          <a:ext cx="878840" cy="1183640"/>
        </a:xfrm>
        <a:prstGeom prst="rect">
          <a:avLst/>
        </a:prstGeom>
      </xdr:spPr>
    </xdr:pic>
    <xdr:clientData/>
  </xdr:twoCellAnchor>
  <xdr:twoCellAnchor>
    <xdr:from>
      <xdr:col>9</xdr:col>
      <xdr:colOff>6350</xdr:colOff>
      <xdr:row>1299</xdr:row>
      <xdr:rowOff>25400</xdr:rowOff>
    </xdr:from>
    <xdr:to>
      <xdr:col>9</xdr:col>
      <xdr:colOff>885190</xdr:colOff>
      <xdr:row>1299</xdr:row>
      <xdr:rowOff>1209040</xdr:rowOff>
    </xdr:to>
    <xdr:pic>
      <xdr:nvPicPr>
        <xdr:cNvPr id="6195" name="Изображение 6194" descr="resizeПП-00203233"/>
        <xdr:cNvPicPr>
          <a:picLocks noChangeAspect="1"/>
        </xdr:cNvPicPr>
      </xdr:nvPicPr>
      <xdr:blipFill>
        <a:blip xmlns:r="http://schemas.openxmlformats.org/officeDocument/2006/relationships" r:embed="rId959"/>
        <a:stretch>
          <a:fillRect/>
        </a:stretch>
      </xdr:blipFill>
      <xdr:spPr>
        <a:xfrm>
          <a:off x="7235825" y="1255175925"/>
          <a:ext cx="878840" cy="1183640"/>
        </a:xfrm>
        <a:prstGeom prst="rect">
          <a:avLst/>
        </a:prstGeom>
      </xdr:spPr>
    </xdr:pic>
    <xdr:clientData/>
  </xdr:twoCellAnchor>
  <xdr:twoCellAnchor>
    <xdr:from>
      <xdr:col>9</xdr:col>
      <xdr:colOff>6350</xdr:colOff>
      <xdr:row>1300</xdr:row>
      <xdr:rowOff>25400</xdr:rowOff>
    </xdr:from>
    <xdr:to>
      <xdr:col>9</xdr:col>
      <xdr:colOff>885190</xdr:colOff>
      <xdr:row>1300</xdr:row>
      <xdr:rowOff>1209040</xdr:rowOff>
    </xdr:to>
    <xdr:pic>
      <xdr:nvPicPr>
        <xdr:cNvPr id="6196" name="Изображение 6195" descr="resizeПП-00203237"/>
        <xdr:cNvPicPr>
          <a:picLocks noChangeAspect="1"/>
        </xdr:cNvPicPr>
      </xdr:nvPicPr>
      <xdr:blipFill>
        <a:blip xmlns:r="http://schemas.openxmlformats.org/officeDocument/2006/relationships" r:embed="rId960"/>
        <a:stretch>
          <a:fillRect/>
        </a:stretch>
      </xdr:blipFill>
      <xdr:spPr>
        <a:xfrm>
          <a:off x="7235825" y="1256398300"/>
          <a:ext cx="878840" cy="1183640"/>
        </a:xfrm>
        <a:prstGeom prst="rect">
          <a:avLst/>
        </a:prstGeom>
      </xdr:spPr>
    </xdr:pic>
    <xdr:clientData/>
  </xdr:twoCellAnchor>
  <xdr:twoCellAnchor>
    <xdr:from>
      <xdr:col>9</xdr:col>
      <xdr:colOff>6350</xdr:colOff>
      <xdr:row>1301</xdr:row>
      <xdr:rowOff>25400</xdr:rowOff>
    </xdr:from>
    <xdr:to>
      <xdr:col>9</xdr:col>
      <xdr:colOff>885190</xdr:colOff>
      <xdr:row>1301</xdr:row>
      <xdr:rowOff>1209040</xdr:rowOff>
    </xdr:to>
    <xdr:pic>
      <xdr:nvPicPr>
        <xdr:cNvPr id="6197" name="Изображение 6196" descr="resizeПП-00203221"/>
        <xdr:cNvPicPr>
          <a:picLocks noChangeAspect="1"/>
        </xdr:cNvPicPr>
      </xdr:nvPicPr>
      <xdr:blipFill>
        <a:blip xmlns:r="http://schemas.openxmlformats.org/officeDocument/2006/relationships" r:embed="rId961"/>
        <a:stretch>
          <a:fillRect/>
        </a:stretch>
      </xdr:blipFill>
      <xdr:spPr>
        <a:xfrm>
          <a:off x="7235825" y="1257620675"/>
          <a:ext cx="878840" cy="1183640"/>
        </a:xfrm>
        <a:prstGeom prst="rect">
          <a:avLst/>
        </a:prstGeom>
      </xdr:spPr>
    </xdr:pic>
    <xdr:clientData/>
  </xdr:twoCellAnchor>
  <xdr:twoCellAnchor>
    <xdr:from>
      <xdr:col>9</xdr:col>
      <xdr:colOff>6350</xdr:colOff>
      <xdr:row>1302</xdr:row>
      <xdr:rowOff>25400</xdr:rowOff>
    </xdr:from>
    <xdr:to>
      <xdr:col>9</xdr:col>
      <xdr:colOff>885190</xdr:colOff>
      <xdr:row>1302</xdr:row>
      <xdr:rowOff>1209040</xdr:rowOff>
    </xdr:to>
    <xdr:pic>
      <xdr:nvPicPr>
        <xdr:cNvPr id="6198" name="Изображение 6197" descr="resizeПП-00203217"/>
        <xdr:cNvPicPr>
          <a:picLocks noChangeAspect="1"/>
        </xdr:cNvPicPr>
      </xdr:nvPicPr>
      <xdr:blipFill>
        <a:blip xmlns:r="http://schemas.openxmlformats.org/officeDocument/2006/relationships" r:embed="rId962"/>
        <a:stretch>
          <a:fillRect/>
        </a:stretch>
      </xdr:blipFill>
      <xdr:spPr>
        <a:xfrm>
          <a:off x="7235825" y="1258843050"/>
          <a:ext cx="878840" cy="1183640"/>
        </a:xfrm>
        <a:prstGeom prst="rect">
          <a:avLst/>
        </a:prstGeom>
      </xdr:spPr>
    </xdr:pic>
    <xdr:clientData/>
  </xdr:twoCellAnchor>
  <xdr:twoCellAnchor>
    <xdr:from>
      <xdr:col>9</xdr:col>
      <xdr:colOff>6350</xdr:colOff>
      <xdr:row>1303</xdr:row>
      <xdr:rowOff>25400</xdr:rowOff>
    </xdr:from>
    <xdr:to>
      <xdr:col>9</xdr:col>
      <xdr:colOff>885190</xdr:colOff>
      <xdr:row>1303</xdr:row>
      <xdr:rowOff>1209040</xdr:rowOff>
    </xdr:to>
    <xdr:pic>
      <xdr:nvPicPr>
        <xdr:cNvPr id="6199" name="Изображение 6198" descr="resizeПП-00203229"/>
        <xdr:cNvPicPr>
          <a:picLocks noChangeAspect="1"/>
        </xdr:cNvPicPr>
      </xdr:nvPicPr>
      <xdr:blipFill>
        <a:blip xmlns:r="http://schemas.openxmlformats.org/officeDocument/2006/relationships" r:embed="rId963"/>
        <a:stretch>
          <a:fillRect/>
        </a:stretch>
      </xdr:blipFill>
      <xdr:spPr>
        <a:xfrm>
          <a:off x="7235825" y="1260065425"/>
          <a:ext cx="878840" cy="1183640"/>
        </a:xfrm>
        <a:prstGeom prst="rect">
          <a:avLst/>
        </a:prstGeom>
      </xdr:spPr>
    </xdr:pic>
    <xdr:clientData/>
  </xdr:twoCellAnchor>
  <xdr:twoCellAnchor>
    <xdr:from>
      <xdr:col>9</xdr:col>
      <xdr:colOff>6350</xdr:colOff>
      <xdr:row>1304</xdr:row>
      <xdr:rowOff>25400</xdr:rowOff>
    </xdr:from>
    <xdr:to>
      <xdr:col>9</xdr:col>
      <xdr:colOff>885190</xdr:colOff>
      <xdr:row>1304</xdr:row>
      <xdr:rowOff>1209040</xdr:rowOff>
    </xdr:to>
    <xdr:pic>
      <xdr:nvPicPr>
        <xdr:cNvPr id="6200" name="Изображение 6199" descr="resizeПП-00203218"/>
        <xdr:cNvPicPr>
          <a:picLocks noChangeAspect="1"/>
        </xdr:cNvPicPr>
      </xdr:nvPicPr>
      <xdr:blipFill>
        <a:blip xmlns:r="http://schemas.openxmlformats.org/officeDocument/2006/relationships" r:embed="rId964"/>
        <a:stretch>
          <a:fillRect/>
        </a:stretch>
      </xdr:blipFill>
      <xdr:spPr>
        <a:xfrm>
          <a:off x="7235825" y="1261287800"/>
          <a:ext cx="878840" cy="1183640"/>
        </a:xfrm>
        <a:prstGeom prst="rect">
          <a:avLst/>
        </a:prstGeom>
      </xdr:spPr>
    </xdr:pic>
    <xdr:clientData/>
  </xdr:twoCellAnchor>
  <xdr:twoCellAnchor>
    <xdr:from>
      <xdr:col>9</xdr:col>
      <xdr:colOff>6350</xdr:colOff>
      <xdr:row>1305</xdr:row>
      <xdr:rowOff>25400</xdr:rowOff>
    </xdr:from>
    <xdr:to>
      <xdr:col>9</xdr:col>
      <xdr:colOff>885190</xdr:colOff>
      <xdr:row>1305</xdr:row>
      <xdr:rowOff>1209040</xdr:rowOff>
    </xdr:to>
    <xdr:pic>
      <xdr:nvPicPr>
        <xdr:cNvPr id="6201" name="Изображение 6200" descr="resizeПП-00203234"/>
        <xdr:cNvPicPr>
          <a:picLocks noChangeAspect="1"/>
        </xdr:cNvPicPr>
      </xdr:nvPicPr>
      <xdr:blipFill>
        <a:blip xmlns:r="http://schemas.openxmlformats.org/officeDocument/2006/relationships" r:embed="rId965"/>
        <a:stretch>
          <a:fillRect/>
        </a:stretch>
      </xdr:blipFill>
      <xdr:spPr>
        <a:xfrm>
          <a:off x="7235825" y="1262510175"/>
          <a:ext cx="878840" cy="1183640"/>
        </a:xfrm>
        <a:prstGeom prst="rect">
          <a:avLst/>
        </a:prstGeom>
      </xdr:spPr>
    </xdr:pic>
    <xdr:clientData/>
  </xdr:twoCellAnchor>
  <xdr:twoCellAnchor>
    <xdr:from>
      <xdr:col>9</xdr:col>
      <xdr:colOff>6350</xdr:colOff>
      <xdr:row>1306</xdr:row>
      <xdr:rowOff>25400</xdr:rowOff>
    </xdr:from>
    <xdr:to>
      <xdr:col>9</xdr:col>
      <xdr:colOff>885190</xdr:colOff>
      <xdr:row>1306</xdr:row>
      <xdr:rowOff>1209040</xdr:rowOff>
    </xdr:to>
    <xdr:pic>
      <xdr:nvPicPr>
        <xdr:cNvPr id="6202" name="Изображение 6201" descr="resizeПП-00203222"/>
        <xdr:cNvPicPr>
          <a:picLocks noChangeAspect="1"/>
        </xdr:cNvPicPr>
      </xdr:nvPicPr>
      <xdr:blipFill>
        <a:blip xmlns:r="http://schemas.openxmlformats.org/officeDocument/2006/relationships" r:embed="rId966"/>
        <a:stretch>
          <a:fillRect/>
        </a:stretch>
      </xdr:blipFill>
      <xdr:spPr>
        <a:xfrm>
          <a:off x="7235825" y="1263732550"/>
          <a:ext cx="878840" cy="1183640"/>
        </a:xfrm>
        <a:prstGeom prst="rect">
          <a:avLst/>
        </a:prstGeom>
      </xdr:spPr>
    </xdr:pic>
    <xdr:clientData/>
  </xdr:twoCellAnchor>
  <xdr:twoCellAnchor>
    <xdr:from>
      <xdr:col>9</xdr:col>
      <xdr:colOff>6350</xdr:colOff>
      <xdr:row>1307</xdr:row>
      <xdr:rowOff>25400</xdr:rowOff>
    </xdr:from>
    <xdr:to>
      <xdr:col>9</xdr:col>
      <xdr:colOff>885190</xdr:colOff>
      <xdr:row>1307</xdr:row>
      <xdr:rowOff>1209040</xdr:rowOff>
    </xdr:to>
    <xdr:pic>
      <xdr:nvPicPr>
        <xdr:cNvPr id="6203" name="Изображение 6202" descr="resizeПП-00203226"/>
        <xdr:cNvPicPr>
          <a:picLocks noChangeAspect="1"/>
        </xdr:cNvPicPr>
      </xdr:nvPicPr>
      <xdr:blipFill>
        <a:blip xmlns:r="http://schemas.openxmlformats.org/officeDocument/2006/relationships" r:embed="rId967"/>
        <a:stretch>
          <a:fillRect/>
        </a:stretch>
      </xdr:blipFill>
      <xdr:spPr>
        <a:xfrm>
          <a:off x="7235825" y="1264954925"/>
          <a:ext cx="878840" cy="1183640"/>
        </a:xfrm>
        <a:prstGeom prst="rect">
          <a:avLst/>
        </a:prstGeom>
      </xdr:spPr>
    </xdr:pic>
    <xdr:clientData/>
  </xdr:twoCellAnchor>
  <xdr:twoCellAnchor>
    <xdr:from>
      <xdr:col>9</xdr:col>
      <xdr:colOff>6350</xdr:colOff>
      <xdr:row>1308</xdr:row>
      <xdr:rowOff>25400</xdr:rowOff>
    </xdr:from>
    <xdr:to>
      <xdr:col>9</xdr:col>
      <xdr:colOff>885190</xdr:colOff>
      <xdr:row>1308</xdr:row>
      <xdr:rowOff>1209040</xdr:rowOff>
    </xdr:to>
    <xdr:pic>
      <xdr:nvPicPr>
        <xdr:cNvPr id="6204" name="Изображение 6203" descr="resizeПП-00203230"/>
        <xdr:cNvPicPr>
          <a:picLocks noChangeAspect="1"/>
        </xdr:cNvPicPr>
      </xdr:nvPicPr>
      <xdr:blipFill>
        <a:blip xmlns:r="http://schemas.openxmlformats.org/officeDocument/2006/relationships" r:embed="rId968"/>
        <a:stretch>
          <a:fillRect/>
        </a:stretch>
      </xdr:blipFill>
      <xdr:spPr>
        <a:xfrm>
          <a:off x="7235825" y="1266177300"/>
          <a:ext cx="878840" cy="1183640"/>
        </a:xfrm>
        <a:prstGeom prst="rect">
          <a:avLst/>
        </a:prstGeom>
      </xdr:spPr>
    </xdr:pic>
    <xdr:clientData/>
  </xdr:twoCellAnchor>
  <xdr:twoCellAnchor>
    <xdr:from>
      <xdr:col>9</xdr:col>
      <xdr:colOff>6350</xdr:colOff>
      <xdr:row>1309</xdr:row>
      <xdr:rowOff>25400</xdr:rowOff>
    </xdr:from>
    <xdr:to>
      <xdr:col>9</xdr:col>
      <xdr:colOff>885190</xdr:colOff>
      <xdr:row>1309</xdr:row>
      <xdr:rowOff>1209040</xdr:rowOff>
    </xdr:to>
    <xdr:pic>
      <xdr:nvPicPr>
        <xdr:cNvPr id="6205" name="Изображение 6204" descr="resizeПП-00203235"/>
        <xdr:cNvPicPr>
          <a:picLocks noChangeAspect="1"/>
        </xdr:cNvPicPr>
      </xdr:nvPicPr>
      <xdr:blipFill>
        <a:blip xmlns:r="http://schemas.openxmlformats.org/officeDocument/2006/relationships" r:embed="rId969"/>
        <a:stretch>
          <a:fillRect/>
        </a:stretch>
      </xdr:blipFill>
      <xdr:spPr>
        <a:xfrm>
          <a:off x="7235825" y="1267399675"/>
          <a:ext cx="878840" cy="1183640"/>
        </a:xfrm>
        <a:prstGeom prst="rect">
          <a:avLst/>
        </a:prstGeom>
      </xdr:spPr>
    </xdr:pic>
    <xdr:clientData/>
  </xdr:twoCellAnchor>
  <xdr:twoCellAnchor>
    <xdr:from>
      <xdr:col>9</xdr:col>
      <xdr:colOff>6350</xdr:colOff>
      <xdr:row>1310</xdr:row>
      <xdr:rowOff>25400</xdr:rowOff>
    </xdr:from>
    <xdr:to>
      <xdr:col>9</xdr:col>
      <xdr:colOff>885190</xdr:colOff>
      <xdr:row>1310</xdr:row>
      <xdr:rowOff>1209040</xdr:rowOff>
    </xdr:to>
    <xdr:pic>
      <xdr:nvPicPr>
        <xdr:cNvPr id="6206" name="Изображение 6205" descr="resizeПП-00203238"/>
        <xdr:cNvPicPr>
          <a:picLocks noChangeAspect="1"/>
        </xdr:cNvPicPr>
      </xdr:nvPicPr>
      <xdr:blipFill>
        <a:blip xmlns:r="http://schemas.openxmlformats.org/officeDocument/2006/relationships" r:embed="rId970"/>
        <a:stretch>
          <a:fillRect/>
        </a:stretch>
      </xdr:blipFill>
      <xdr:spPr>
        <a:xfrm>
          <a:off x="7235825" y="1268622050"/>
          <a:ext cx="878840" cy="1183640"/>
        </a:xfrm>
        <a:prstGeom prst="rect">
          <a:avLst/>
        </a:prstGeom>
      </xdr:spPr>
    </xdr:pic>
    <xdr:clientData/>
  </xdr:twoCellAnchor>
  <xdr:twoCellAnchor>
    <xdr:from>
      <xdr:col>9</xdr:col>
      <xdr:colOff>6350</xdr:colOff>
      <xdr:row>1311</xdr:row>
      <xdr:rowOff>25400</xdr:rowOff>
    </xdr:from>
    <xdr:to>
      <xdr:col>9</xdr:col>
      <xdr:colOff>885190</xdr:colOff>
      <xdr:row>1311</xdr:row>
      <xdr:rowOff>1209040</xdr:rowOff>
    </xdr:to>
    <xdr:pic>
      <xdr:nvPicPr>
        <xdr:cNvPr id="6207" name="Изображение 6206" descr="resizeПП-00203223"/>
        <xdr:cNvPicPr>
          <a:picLocks noChangeAspect="1"/>
        </xdr:cNvPicPr>
      </xdr:nvPicPr>
      <xdr:blipFill>
        <a:blip xmlns:r="http://schemas.openxmlformats.org/officeDocument/2006/relationships" r:embed="rId971"/>
        <a:stretch>
          <a:fillRect/>
        </a:stretch>
      </xdr:blipFill>
      <xdr:spPr>
        <a:xfrm>
          <a:off x="7235825" y="1269844425"/>
          <a:ext cx="878840" cy="1183640"/>
        </a:xfrm>
        <a:prstGeom prst="rect">
          <a:avLst/>
        </a:prstGeom>
      </xdr:spPr>
    </xdr:pic>
    <xdr:clientData/>
  </xdr:twoCellAnchor>
  <xdr:twoCellAnchor>
    <xdr:from>
      <xdr:col>9</xdr:col>
      <xdr:colOff>6350</xdr:colOff>
      <xdr:row>1312</xdr:row>
      <xdr:rowOff>25400</xdr:rowOff>
    </xdr:from>
    <xdr:to>
      <xdr:col>9</xdr:col>
      <xdr:colOff>885190</xdr:colOff>
      <xdr:row>1312</xdr:row>
      <xdr:rowOff>1209040</xdr:rowOff>
    </xdr:to>
    <xdr:pic>
      <xdr:nvPicPr>
        <xdr:cNvPr id="6208" name="Изображение 6207" descr="resizeПП-00203227"/>
        <xdr:cNvPicPr>
          <a:picLocks noChangeAspect="1"/>
        </xdr:cNvPicPr>
      </xdr:nvPicPr>
      <xdr:blipFill>
        <a:blip xmlns:r="http://schemas.openxmlformats.org/officeDocument/2006/relationships" r:embed="rId972"/>
        <a:stretch>
          <a:fillRect/>
        </a:stretch>
      </xdr:blipFill>
      <xdr:spPr>
        <a:xfrm>
          <a:off x="7235825" y="1271066800"/>
          <a:ext cx="878840" cy="1183640"/>
        </a:xfrm>
        <a:prstGeom prst="rect">
          <a:avLst/>
        </a:prstGeom>
      </xdr:spPr>
    </xdr:pic>
    <xdr:clientData/>
  </xdr:twoCellAnchor>
  <xdr:twoCellAnchor>
    <xdr:from>
      <xdr:col>9</xdr:col>
      <xdr:colOff>6350</xdr:colOff>
      <xdr:row>1313</xdr:row>
      <xdr:rowOff>25400</xdr:rowOff>
    </xdr:from>
    <xdr:to>
      <xdr:col>9</xdr:col>
      <xdr:colOff>885190</xdr:colOff>
      <xdr:row>1313</xdr:row>
      <xdr:rowOff>1209040</xdr:rowOff>
    </xdr:to>
    <xdr:pic>
      <xdr:nvPicPr>
        <xdr:cNvPr id="6209" name="Изображение 6208" descr="resizeПП-00203231"/>
        <xdr:cNvPicPr>
          <a:picLocks noChangeAspect="1"/>
        </xdr:cNvPicPr>
      </xdr:nvPicPr>
      <xdr:blipFill>
        <a:blip xmlns:r="http://schemas.openxmlformats.org/officeDocument/2006/relationships" r:embed="rId973"/>
        <a:stretch>
          <a:fillRect/>
        </a:stretch>
      </xdr:blipFill>
      <xdr:spPr>
        <a:xfrm>
          <a:off x="7235825" y="1272289175"/>
          <a:ext cx="878840" cy="1183640"/>
        </a:xfrm>
        <a:prstGeom prst="rect">
          <a:avLst/>
        </a:prstGeom>
      </xdr:spPr>
    </xdr:pic>
    <xdr:clientData/>
  </xdr:twoCellAnchor>
  <xdr:twoCellAnchor>
    <xdr:from>
      <xdr:col>9</xdr:col>
      <xdr:colOff>6350</xdr:colOff>
      <xdr:row>1314</xdr:row>
      <xdr:rowOff>25400</xdr:rowOff>
    </xdr:from>
    <xdr:to>
      <xdr:col>9</xdr:col>
      <xdr:colOff>885190</xdr:colOff>
      <xdr:row>1314</xdr:row>
      <xdr:rowOff>1209040</xdr:rowOff>
    </xdr:to>
    <xdr:pic>
      <xdr:nvPicPr>
        <xdr:cNvPr id="6210" name="Изображение 6209" descr="resizeПП-00203219"/>
        <xdr:cNvPicPr>
          <a:picLocks noChangeAspect="1"/>
        </xdr:cNvPicPr>
      </xdr:nvPicPr>
      <xdr:blipFill>
        <a:blip xmlns:r="http://schemas.openxmlformats.org/officeDocument/2006/relationships" r:embed="rId974"/>
        <a:stretch>
          <a:fillRect/>
        </a:stretch>
      </xdr:blipFill>
      <xdr:spPr>
        <a:xfrm>
          <a:off x="7235825" y="1273511550"/>
          <a:ext cx="878840" cy="1183640"/>
        </a:xfrm>
        <a:prstGeom prst="rect">
          <a:avLst/>
        </a:prstGeom>
      </xdr:spPr>
    </xdr:pic>
    <xdr:clientData/>
  </xdr:twoCellAnchor>
  <xdr:twoCellAnchor>
    <xdr:from>
      <xdr:col>9</xdr:col>
      <xdr:colOff>6350</xdr:colOff>
      <xdr:row>1315</xdr:row>
      <xdr:rowOff>25400</xdr:rowOff>
    </xdr:from>
    <xdr:to>
      <xdr:col>9</xdr:col>
      <xdr:colOff>885190</xdr:colOff>
      <xdr:row>1315</xdr:row>
      <xdr:rowOff>1209040</xdr:rowOff>
    </xdr:to>
    <xdr:pic>
      <xdr:nvPicPr>
        <xdr:cNvPr id="6211" name="Изображение 6210" descr="resizeПП-00203236"/>
        <xdr:cNvPicPr>
          <a:picLocks noChangeAspect="1"/>
        </xdr:cNvPicPr>
      </xdr:nvPicPr>
      <xdr:blipFill>
        <a:blip xmlns:r="http://schemas.openxmlformats.org/officeDocument/2006/relationships" r:embed="rId975"/>
        <a:stretch>
          <a:fillRect/>
        </a:stretch>
      </xdr:blipFill>
      <xdr:spPr>
        <a:xfrm>
          <a:off x="7235825" y="1274733925"/>
          <a:ext cx="878840" cy="1183640"/>
        </a:xfrm>
        <a:prstGeom prst="rect">
          <a:avLst/>
        </a:prstGeom>
      </xdr:spPr>
    </xdr:pic>
    <xdr:clientData/>
  </xdr:twoCellAnchor>
  <xdr:twoCellAnchor>
    <xdr:from>
      <xdr:col>9</xdr:col>
      <xdr:colOff>6350</xdr:colOff>
      <xdr:row>1316</xdr:row>
      <xdr:rowOff>25400</xdr:rowOff>
    </xdr:from>
    <xdr:to>
      <xdr:col>9</xdr:col>
      <xdr:colOff>885190</xdr:colOff>
      <xdr:row>1316</xdr:row>
      <xdr:rowOff>1209040</xdr:rowOff>
    </xdr:to>
    <xdr:pic>
      <xdr:nvPicPr>
        <xdr:cNvPr id="6212" name="Изображение 6211" descr="resizeПП-00203224"/>
        <xdr:cNvPicPr>
          <a:picLocks noChangeAspect="1"/>
        </xdr:cNvPicPr>
      </xdr:nvPicPr>
      <xdr:blipFill>
        <a:blip xmlns:r="http://schemas.openxmlformats.org/officeDocument/2006/relationships" r:embed="rId976"/>
        <a:stretch>
          <a:fillRect/>
        </a:stretch>
      </xdr:blipFill>
      <xdr:spPr>
        <a:xfrm>
          <a:off x="7235825" y="1275956300"/>
          <a:ext cx="878840" cy="1183640"/>
        </a:xfrm>
        <a:prstGeom prst="rect">
          <a:avLst/>
        </a:prstGeom>
      </xdr:spPr>
    </xdr:pic>
    <xdr:clientData/>
  </xdr:twoCellAnchor>
  <xdr:twoCellAnchor>
    <xdr:from>
      <xdr:col>9</xdr:col>
      <xdr:colOff>6350</xdr:colOff>
      <xdr:row>1317</xdr:row>
      <xdr:rowOff>25400</xdr:rowOff>
    </xdr:from>
    <xdr:to>
      <xdr:col>9</xdr:col>
      <xdr:colOff>885190</xdr:colOff>
      <xdr:row>1317</xdr:row>
      <xdr:rowOff>1209040</xdr:rowOff>
    </xdr:to>
    <xdr:pic>
      <xdr:nvPicPr>
        <xdr:cNvPr id="6213" name="Изображение 6212" descr="resizeПП-00203228"/>
        <xdr:cNvPicPr>
          <a:picLocks noChangeAspect="1"/>
        </xdr:cNvPicPr>
      </xdr:nvPicPr>
      <xdr:blipFill>
        <a:blip xmlns:r="http://schemas.openxmlformats.org/officeDocument/2006/relationships" r:embed="rId977"/>
        <a:stretch>
          <a:fillRect/>
        </a:stretch>
      </xdr:blipFill>
      <xdr:spPr>
        <a:xfrm>
          <a:off x="7235825" y="1277178675"/>
          <a:ext cx="878840" cy="1183640"/>
        </a:xfrm>
        <a:prstGeom prst="rect">
          <a:avLst/>
        </a:prstGeom>
      </xdr:spPr>
    </xdr:pic>
    <xdr:clientData/>
  </xdr:twoCellAnchor>
  <xdr:twoCellAnchor>
    <xdr:from>
      <xdr:col>9</xdr:col>
      <xdr:colOff>6350</xdr:colOff>
      <xdr:row>1318</xdr:row>
      <xdr:rowOff>25400</xdr:rowOff>
    </xdr:from>
    <xdr:to>
      <xdr:col>9</xdr:col>
      <xdr:colOff>885190</xdr:colOff>
      <xdr:row>1318</xdr:row>
      <xdr:rowOff>1209040</xdr:rowOff>
    </xdr:to>
    <xdr:pic>
      <xdr:nvPicPr>
        <xdr:cNvPr id="6214" name="Изображение 6213" descr="resizeПП-00203220"/>
        <xdr:cNvPicPr>
          <a:picLocks noChangeAspect="1"/>
        </xdr:cNvPicPr>
      </xdr:nvPicPr>
      <xdr:blipFill>
        <a:blip xmlns:r="http://schemas.openxmlformats.org/officeDocument/2006/relationships" r:embed="rId978"/>
        <a:stretch>
          <a:fillRect/>
        </a:stretch>
      </xdr:blipFill>
      <xdr:spPr>
        <a:xfrm>
          <a:off x="7235825" y="1278401050"/>
          <a:ext cx="878840" cy="1183640"/>
        </a:xfrm>
        <a:prstGeom prst="rect">
          <a:avLst/>
        </a:prstGeom>
      </xdr:spPr>
    </xdr:pic>
    <xdr:clientData/>
  </xdr:twoCellAnchor>
  <xdr:twoCellAnchor>
    <xdr:from>
      <xdr:col>9</xdr:col>
      <xdr:colOff>6350</xdr:colOff>
      <xdr:row>1319</xdr:row>
      <xdr:rowOff>25400</xdr:rowOff>
    </xdr:from>
    <xdr:to>
      <xdr:col>9</xdr:col>
      <xdr:colOff>885190</xdr:colOff>
      <xdr:row>1319</xdr:row>
      <xdr:rowOff>1209040</xdr:rowOff>
    </xdr:to>
    <xdr:pic>
      <xdr:nvPicPr>
        <xdr:cNvPr id="6215" name="Изображение 6214" descr="resizeПП-00203232"/>
        <xdr:cNvPicPr>
          <a:picLocks noChangeAspect="1"/>
        </xdr:cNvPicPr>
      </xdr:nvPicPr>
      <xdr:blipFill>
        <a:blip xmlns:r="http://schemas.openxmlformats.org/officeDocument/2006/relationships" r:embed="rId979"/>
        <a:stretch>
          <a:fillRect/>
        </a:stretch>
      </xdr:blipFill>
      <xdr:spPr>
        <a:xfrm>
          <a:off x="7235825" y="1279623425"/>
          <a:ext cx="878840" cy="1183640"/>
        </a:xfrm>
        <a:prstGeom prst="rect">
          <a:avLst/>
        </a:prstGeom>
      </xdr:spPr>
    </xdr:pic>
    <xdr:clientData/>
  </xdr:twoCellAnchor>
  <xdr:twoCellAnchor>
    <xdr:from>
      <xdr:col>9</xdr:col>
      <xdr:colOff>6350</xdr:colOff>
      <xdr:row>1321</xdr:row>
      <xdr:rowOff>25400</xdr:rowOff>
    </xdr:from>
    <xdr:to>
      <xdr:col>9</xdr:col>
      <xdr:colOff>885190</xdr:colOff>
      <xdr:row>1321</xdr:row>
      <xdr:rowOff>1209040</xdr:rowOff>
    </xdr:to>
    <xdr:pic>
      <xdr:nvPicPr>
        <xdr:cNvPr id="6216" name="Изображение 6215" descr="resizeПП-00206408"/>
        <xdr:cNvPicPr>
          <a:picLocks noChangeAspect="1"/>
        </xdr:cNvPicPr>
      </xdr:nvPicPr>
      <xdr:blipFill>
        <a:blip xmlns:r="http://schemas.openxmlformats.org/officeDocument/2006/relationships" r:embed="rId980"/>
        <a:stretch>
          <a:fillRect/>
        </a:stretch>
      </xdr:blipFill>
      <xdr:spPr>
        <a:xfrm>
          <a:off x="7235825" y="1280998200"/>
          <a:ext cx="878840" cy="1183640"/>
        </a:xfrm>
        <a:prstGeom prst="rect">
          <a:avLst/>
        </a:prstGeom>
      </xdr:spPr>
    </xdr:pic>
    <xdr:clientData/>
  </xdr:twoCellAnchor>
  <xdr:twoCellAnchor>
    <xdr:from>
      <xdr:col>9</xdr:col>
      <xdr:colOff>6350</xdr:colOff>
      <xdr:row>1324</xdr:row>
      <xdr:rowOff>25400</xdr:rowOff>
    </xdr:from>
    <xdr:to>
      <xdr:col>9</xdr:col>
      <xdr:colOff>885190</xdr:colOff>
      <xdr:row>1324</xdr:row>
      <xdr:rowOff>1209040</xdr:rowOff>
    </xdr:to>
    <xdr:pic>
      <xdr:nvPicPr>
        <xdr:cNvPr id="6217" name="Изображение 6216" descr="resizeПП-00163888"/>
        <xdr:cNvPicPr>
          <a:picLocks noChangeAspect="1"/>
        </xdr:cNvPicPr>
      </xdr:nvPicPr>
      <xdr:blipFill>
        <a:blip xmlns:r="http://schemas.openxmlformats.org/officeDocument/2006/relationships" r:embed="rId981"/>
        <a:stretch>
          <a:fillRect/>
        </a:stretch>
      </xdr:blipFill>
      <xdr:spPr>
        <a:xfrm>
          <a:off x="7235825" y="1282525375"/>
          <a:ext cx="878840" cy="1183640"/>
        </a:xfrm>
        <a:prstGeom prst="rect">
          <a:avLst/>
        </a:prstGeom>
      </xdr:spPr>
    </xdr:pic>
    <xdr:clientData/>
  </xdr:twoCellAnchor>
  <xdr:twoCellAnchor>
    <xdr:from>
      <xdr:col>9</xdr:col>
      <xdr:colOff>6350</xdr:colOff>
      <xdr:row>1325</xdr:row>
      <xdr:rowOff>25400</xdr:rowOff>
    </xdr:from>
    <xdr:to>
      <xdr:col>9</xdr:col>
      <xdr:colOff>885190</xdr:colOff>
      <xdr:row>1325</xdr:row>
      <xdr:rowOff>1209040</xdr:rowOff>
    </xdr:to>
    <xdr:pic>
      <xdr:nvPicPr>
        <xdr:cNvPr id="6218" name="Изображение 6217" descr="resizeПП-00163884"/>
        <xdr:cNvPicPr>
          <a:picLocks noChangeAspect="1"/>
        </xdr:cNvPicPr>
      </xdr:nvPicPr>
      <xdr:blipFill>
        <a:blip xmlns:r="http://schemas.openxmlformats.org/officeDocument/2006/relationships" r:embed="rId982"/>
        <a:stretch>
          <a:fillRect/>
        </a:stretch>
      </xdr:blipFill>
      <xdr:spPr>
        <a:xfrm>
          <a:off x="7235825" y="1283747750"/>
          <a:ext cx="878840" cy="1183640"/>
        </a:xfrm>
        <a:prstGeom prst="rect">
          <a:avLst/>
        </a:prstGeom>
      </xdr:spPr>
    </xdr:pic>
    <xdr:clientData/>
  </xdr:twoCellAnchor>
  <xdr:twoCellAnchor>
    <xdr:from>
      <xdr:col>9</xdr:col>
      <xdr:colOff>6350</xdr:colOff>
      <xdr:row>1326</xdr:row>
      <xdr:rowOff>25400</xdr:rowOff>
    </xdr:from>
    <xdr:to>
      <xdr:col>9</xdr:col>
      <xdr:colOff>885190</xdr:colOff>
      <xdr:row>1326</xdr:row>
      <xdr:rowOff>1209040</xdr:rowOff>
    </xdr:to>
    <xdr:pic>
      <xdr:nvPicPr>
        <xdr:cNvPr id="6219" name="Изображение 6218" descr="resizeПП-00163880"/>
        <xdr:cNvPicPr>
          <a:picLocks noChangeAspect="1"/>
        </xdr:cNvPicPr>
      </xdr:nvPicPr>
      <xdr:blipFill>
        <a:blip xmlns:r="http://schemas.openxmlformats.org/officeDocument/2006/relationships" r:embed="rId983"/>
        <a:stretch>
          <a:fillRect/>
        </a:stretch>
      </xdr:blipFill>
      <xdr:spPr>
        <a:xfrm>
          <a:off x="7235825" y="1284970125"/>
          <a:ext cx="878840" cy="1183640"/>
        </a:xfrm>
        <a:prstGeom prst="rect">
          <a:avLst/>
        </a:prstGeom>
      </xdr:spPr>
    </xdr:pic>
    <xdr:clientData/>
  </xdr:twoCellAnchor>
  <xdr:twoCellAnchor>
    <xdr:from>
      <xdr:col>9</xdr:col>
      <xdr:colOff>6350</xdr:colOff>
      <xdr:row>1327</xdr:row>
      <xdr:rowOff>25400</xdr:rowOff>
    </xdr:from>
    <xdr:to>
      <xdr:col>9</xdr:col>
      <xdr:colOff>885190</xdr:colOff>
      <xdr:row>1327</xdr:row>
      <xdr:rowOff>1209040</xdr:rowOff>
    </xdr:to>
    <xdr:pic>
      <xdr:nvPicPr>
        <xdr:cNvPr id="6220" name="Изображение 6219" descr="resizeПП-00163896"/>
        <xdr:cNvPicPr>
          <a:picLocks noChangeAspect="1"/>
        </xdr:cNvPicPr>
      </xdr:nvPicPr>
      <xdr:blipFill>
        <a:blip xmlns:r="http://schemas.openxmlformats.org/officeDocument/2006/relationships" r:embed="rId984"/>
        <a:stretch>
          <a:fillRect/>
        </a:stretch>
      </xdr:blipFill>
      <xdr:spPr>
        <a:xfrm>
          <a:off x="7235825" y="1286192500"/>
          <a:ext cx="878840" cy="1183640"/>
        </a:xfrm>
        <a:prstGeom prst="rect">
          <a:avLst/>
        </a:prstGeom>
      </xdr:spPr>
    </xdr:pic>
    <xdr:clientData/>
  </xdr:twoCellAnchor>
  <xdr:twoCellAnchor>
    <xdr:from>
      <xdr:col>9</xdr:col>
      <xdr:colOff>6350</xdr:colOff>
      <xdr:row>1328</xdr:row>
      <xdr:rowOff>25400</xdr:rowOff>
    </xdr:from>
    <xdr:to>
      <xdr:col>9</xdr:col>
      <xdr:colOff>885190</xdr:colOff>
      <xdr:row>1328</xdr:row>
      <xdr:rowOff>1209040</xdr:rowOff>
    </xdr:to>
    <xdr:pic>
      <xdr:nvPicPr>
        <xdr:cNvPr id="6221" name="Изображение 6220" descr="resizeПП-00163895"/>
        <xdr:cNvPicPr>
          <a:picLocks noChangeAspect="1"/>
        </xdr:cNvPicPr>
      </xdr:nvPicPr>
      <xdr:blipFill>
        <a:blip xmlns:r="http://schemas.openxmlformats.org/officeDocument/2006/relationships" r:embed="rId985"/>
        <a:stretch>
          <a:fillRect/>
        </a:stretch>
      </xdr:blipFill>
      <xdr:spPr>
        <a:xfrm>
          <a:off x="7235825" y="1287414875"/>
          <a:ext cx="878840" cy="1183640"/>
        </a:xfrm>
        <a:prstGeom prst="rect">
          <a:avLst/>
        </a:prstGeom>
      </xdr:spPr>
    </xdr:pic>
    <xdr:clientData/>
  </xdr:twoCellAnchor>
  <xdr:twoCellAnchor>
    <xdr:from>
      <xdr:col>9</xdr:col>
      <xdr:colOff>6350</xdr:colOff>
      <xdr:row>1330</xdr:row>
      <xdr:rowOff>25400</xdr:rowOff>
    </xdr:from>
    <xdr:to>
      <xdr:col>9</xdr:col>
      <xdr:colOff>885190</xdr:colOff>
      <xdr:row>1330</xdr:row>
      <xdr:rowOff>1209040</xdr:rowOff>
    </xdr:to>
    <xdr:pic>
      <xdr:nvPicPr>
        <xdr:cNvPr id="6222" name="Изображение 6221" descr="resizeПП-00201318"/>
        <xdr:cNvPicPr>
          <a:picLocks noChangeAspect="1"/>
        </xdr:cNvPicPr>
      </xdr:nvPicPr>
      <xdr:blipFill>
        <a:blip xmlns:r="http://schemas.openxmlformats.org/officeDocument/2006/relationships" r:embed="rId986"/>
        <a:stretch>
          <a:fillRect/>
        </a:stretch>
      </xdr:blipFill>
      <xdr:spPr>
        <a:xfrm>
          <a:off x="7235825" y="1288789650"/>
          <a:ext cx="878840" cy="1183640"/>
        </a:xfrm>
        <a:prstGeom prst="rect">
          <a:avLst/>
        </a:prstGeom>
      </xdr:spPr>
    </xdr:pic>
    <xdr:clientData/>
  </xdr:twoCellAnchor>
  <xdr:twoCellAnchor>
    <xdr:from>
      <xdr:col>9</xdr:col>
      <xdr:colOff>6350</xdr:colOff>
      <xdr:row>1331</xdr:row>
      <xdr:rowOff>25400</xdr:rowOff>
    </xdr:from>
    <xdr:to>
      <xdr:col>9</xdr:col>
      <xdr:colOff>885190</xdr:colOff>
      <xdr:row>1331</xdr:row>
      <xdr:rowOff>1209040</xdr:rowOff>
    </xdr:to>
    <xdr:pic>
      <xdr:nvPicPr>
        <xdr:cNvPr id="6223" name="Изображение 6222" descr="resizeПП-00201317"/>
        <xdr:cNvPicPr>
          <a:picLocks noChangeAspect="1"/>
        </xdr:cNvPicPr>
      </xdr:nvPicPr>
      <xdr:blipFill>
        <a:blip xmlns:r="http://schemas.openxmlformats.org/officeDocument/2006/relationships" r:embed="rId987"/>
        <a:stretch>
          <a:fillRect/>
        </a:stretch>
      </xdr:blipFill>
      <xdr:spPr>
        <a:xfrm>
          <a:off x="7235825" y="1290012025"/>
          <a:ext cx="878840" cy="1183640"/>
        </a:xfrm>
        <a:prstGeom prst="rect">
          <a:avLst/>
        </a:prstGeom>
      </xdr:spPr>
    </xdr:pic>
    <xdr:clientData/>
  </xdr:twoCellAnchor>
  <xdr:twoCellAnchor>
    <xdr:from>
      <xdr:col>9</xdr:col>
      <xdr:colOff>6350</xdr:colOff>
      <xdr:row>1332</xdr:row>
      <xdr:rowOff>25400</xdr:rowOff>
    </xdr:from>
    <xdr:to>
      <xdr:col>9</xdr:col>
      <xdr:colOff>885190</xdr:colOff>
      <xdr:row>1332</xdr:row>
      <xdr:rowOff>1209040</xdr:rowOff>
    </xdr:to>
    <xdr:pic>
      <xdr:nvPicPr>
        <xdr:cNvPr id="6224" name="Изображение 6223" descr="resizeПП-00201316"/>
        <xdr:cNvPicPr>
          <a:picLocks noChangeAspect="1"/>
        </xdr:cNvPicPr>
      </xdr:nvPicPr>
      <xdr:blipFill>
        <a:blip xmlns:r="http://schemas.openxmlformats.org/officeDocument/2006/relationships" r:embed="rId988"/>
        <a:stretch>
          <a:fillRect/>
        </a:stretch>
      </xdr:blipFill>
      <xdr:spPr>
        <a:xfrm>
          <a:off x="7235825" y="1291234400"/>
          <a:ext cx="878840" cy="1183640"/>
        </a:xfrm>
        <a:prstGeom prst="rect">
          <a:avLst/>
        </a:prstGeom>
      </xdr:spPr>
    </xdr:pic>
    <xdr:clientData/>
  </xdr:twoCellAnchor>
  <xdr:twoCellAnchor>
    <xdr:from>
      <xdr:col>9</xdr:col>
      <xdr:colOff>6350</xdr:colOff>
      <xdr:row>1333</xdr:row>
      <xdr:rowOff>25400</xdr:rowOff>
    </xdr:from>
    <xdr:to>
      <xdr:col>9</xdr:col>
      <xdr:colOff>885190</xdr:colOff>
      <xdr:row>1333</xdr:row>
      <xdr:rowOff>1209040</xdr:rowOff>
    </xdr:to>
    <xdr:pic>
      <xdr:nvPicPr>
        <xdr:cNvPr id="6225" name="Изображение 6224" descr="resizeПП-00201315"/>
        <xdr:cNvPicPr>
          <a:picLocks noChangeAspect="1"/>
        </xdr:cNvPicPr>
      </xdr:nvPicPr>
      <xdr:blipFill>
        <a:blip xmlns:r="http://schemas.openxmlformats.org/officeDocument/2006/relationships" r:embed="rId989"/>
        <a:stretch>
          <a:fillRect/>
        </a:stretch>
      </xdr:blipFill>
      <xdr:spPr>
        <a:xfrm>
          <a:off x="7235825" y="1292456775"/>
          <a:ext cx="878840" cy="1183640"/>
        </a:xfrm>
        <a:prstGeom prst="rect">
          <a:avLst/>
        </a:prstGeom>
      </xdr:spPr>
    </xdr:pic>
    <xdr:clientData/>
  </xdr:twoCellAnchor>
  <xdr:twoCellAnchor>
    <xdr:from>
      <xdr:col>9</xdr:col>
      <xdr:colOff>6350</xdr:colOff>
      <xdr:row>1334</xdr:row>
      <xdr:rowOff>25400</xdr:rowOff>
    </xdr:from>
    <xdr:to>
      <xdr:col>9</xdr:col>
      <xdr:colOff>885190</xdr:colOff>
      <xdr:row>1334</xdr:row>
      <xdr:rowOff>1209040</xdr:rowOff>
    </xdr:to>
    <xdr:pic>
      <xdr:nvPicPr>
        <xdr:cNvPr id="6226" name="Изображение 6225" descr="resizeПП-00284795"/>
        <xdr:cNvPicPr>
          <a:picLocks noChangeAspect="1"/>
        </xdr:cNvPicPr>
      </xdr:nvPicPr>
      <xdr:blipFill>
        <a:blip xmlns:r="http://schemas.openxmlformats.org/officeDocument/2006/relationships" r:embed="rId990"/>
        <a:stretch>
          <a:fillRect/>
        </a:stretch>
      </xdr:blipFill>
      <xdr:spPr>
        <a:xfrm>
          <a:off x="7235825" y="1293679150"/>
          <a:ext cx="878840" cy="1183640"/>
        </a:xfrm>
        <a:prstGeom prst="rect">
          <a:avLst/>
        </a:prstGeom>
      </xdr:spPr>
    </xdr:pic>
    <xdr:clientData/>
  </xdr:twoCellAnchor>
  <xdr:twoCellAnchor>
    <xdr:from>
      <xdr:col>9</xdr:col>
      <xdr:colOff>6350</xdr:colOff>
      <xdr:row>1335</xdr:row>
      <xdr:rowOff>25400</xdr:rowOff>
    </xdr:from>
    <xdr:to>
      <xdr:col>9</xdr:col>
      <xdr:colOff>885190</xdr:colOff>
      <xdr:row>1335</xdr:row>
      <xdr:rowOff>1209040</xdr:rowOff>
    </xdr:to>
    <xdr:pic>
      <xdr:nvPicPr>
        <xdr:cNvPr id="6227" name="Изображение 6226" descr="resizeПП-00284820"/>
        <xdr:cNvPicPr>
          <a:picLocks noChangeAspect="1"/>
        </xdr:cNvPicPr>
      </xdr:nvPicPr>
      <xdr:blipFill>
        <a:blip xmlns:r="http://schemas.openxmlformats.org/officeDocument/2006/relationships" r:embed="rId991"/>
        <a:stretch>
          <a:fillRect/>
        </a:stretch>
      </xdr:blipFill>
      <xdr:spPr>
        <a:xfrm>
          <a:off x="7235825" y="1294901525"/>
          <a:ext cx="878840" cy="1183640"/>
        </a:xfrm>
        <a:prstGeom prst="rect">
          <a:avLst/>
        </a:prstGeom>
      </xdr:spPr>
    </xdr:pic>
    <xdr:clientData/>
  </xdr:twoCellAnchor>
  <xdr:twoCellAnchor>
    <xdr:from>
      <xdr:col>9</xdr:col>
      <xdr:colOff>6350</xdr:colOff>
      <xdr:row>1336</xdr:row>
      <xdr:rowOff>25400</xdr:rowOff>
    </xdr:from>
    <xdr:to>
      <xdr:col>9</xdr:col>
      <xdr:colOff>885190</xdr:colOff>
      <xdr:row>1336</xdr:row>
      <xdr:rowOff>1209040</xdr:rowOff>
    </xdr:to>
    <xdr:pic>
      <xdr:nvPicPr>
        <xdr:cNvPr id="6228" name="Изображение 6227" descr="resizeПП-00284796"/>
        <xdr:cNvPicPr>
          <a:picLocks noChangeAspect="1"/>
        </xdr:cNvPicPr>
      </xdr:nvPicPr>
      <xdr:blipFill>
        <a:blip xmlns:r="http://schemas.openxmlformats.org/officeDocument/2006/relationships" r:embed="rId992"/>
        <a:stretch>
          <a:fillRect/>
        </a:stretch>
      </xdr:blipFill>
      <xdr:spPr>
        <a:xfrm>
          <a:off x="7235825" y="1296123900"/>
          <a:ext cx="878840" cy="1183640"/>
        </a:xfrm>
        <a:prstGeom prst="rect">
          <a:avLst/>
        </a:prstGeom>
      </xdr:spPr>
    </xdr:pic>
    <xdr:clientData/>
  </xdr:twoCellAnchor>
  <xdr:twoCellAnchor>
    <xdr:from>
      <xdr:col>9</xdr:col>
      <xdr:colOff>6350</xdr:colOff>
      <xdr:row>1337</xdr:row>
      <xdr:rowOff>25400</xdr:rowOff>
    </xdr:from>
    <xdr:to>
      <xdr:col>9</xdr:col>
      <xdr:colOff>885190</xdr:colOff>
      <xdr:row>1337</xdr:row>
      <xdr:rowOff>1209040</xdr:rowOff>
    </xdr:to>
    <xdr:pic>
      <xdr:nvPicPr>
        <xdr:cNvPr id="6229" name="Изображение 6228" descr="resizeПП-00201309"/>
        <xdr:cNvPicPr>
          <a:picLocks noChangeAspect="1"/>
        </xdr:cNvPicPr>
      </xdr:nvPicPr>
      <xdr:blipFill>
        <a:blip xmlns:r="http://schemas.openxmlformats.org/officeDocument/2006/relationships" r:embed="rId993"/>
        <a:stretch>
          <a:fillRect/>
        </a:stretch>
      </xdr:blipFill>
      <xdr:spPr>
        <a:xfrm>
          <a:off x="7235825" y="1297346275"/>
          <a:ext cx="878840" cy="1183640"/>
        </a:xfrm>
        <a:prstGeom prst="rect">
          <a:avLst/>
        </a:prstGeom>
      </xdr:spPr>
    </xdr:pic>
    <xdr:clientData/>
  </xdr:twoCellAnchor>
  <xdr:twoCellAnchor>
    <xdr:from>
      <xdr:col>9</xdr:col>
      <xdr:colOff>6350</xdr:colOff>
      <xdr:row>1338</xdr:row>
      <xdr:rowOff>25400</xdr:rowOff>
    </xdr:from>
    <xdr:to>
      <xdr:col>9</xdr:col>
      <xdr:colOff>885190</xdr:colOff>
      <xdr:row>1338</xdr:row>
      <xdr:rowOff>1209040</xdr:rowOff>
    </xdr:to>
    <xdr:pic>
      <xdr:nvPicPr>
        <xdr:cNvPr id="6230" name="Изображение 6229" descr="resizeПП-00201314"/>
        <xdr:cNvPicPr>
          <a:picLocks noChangeAspect="1"/>
        </xdr:cNvPicPr>
      </xdr:nvPicPr>
      <xdr:blipFill>
        <a:blip xmlns:r="http://schemas.openxmlformats.org/officeDocument/2006/relationships" r:embed="rId994"/>
        <a:stretch>
          <a:fillRect/>
        </a:stretch>
      </xdr:blipFill>
      <xdr:spPr>
        <a:xfrm>
          <a:off x="7235825" y="1298568650"/>
          <a:ext cx="878840" cy="1183640"/>
        </a:xfrm>
        <a:prstGeom prst="rect">
          <a:avLst/>
        </a:prstGeom>
      </xdr:spPr>
    </xdr:pic>
    <xdr:clientData/>
  </xdr:twoCellAnchor>
  <xdr:twoCellAnchor>
    <xdr:from>
      <xdr:col>9</xdr:col>
      <xdr:colOff>6350</xdr:colOff>
      <xdr:row>1339</xdr:row>
      <xdr:rowOff>25400</xdr:rowOff>
    </xdr:from>
    <xdr:to>
      <xdr:col>9</xdr:col>
      <xdr:colOff>885190</xdr:colOff>
      <xdr:row>1339</xdr:row>
      <xdr:rowOff>1209040</xdr:rowOff>
    </xdr:to>
    <xdr:pic>
      <xdr:nvPicPr>
        <xdr:cNvPr id="6231" name="Изображение 6230" descr="resizeПП-00163899"/>
        <xdr:cNvPicPr>
          <a:picLocks noChangeAspect="1"/>
        </xdr:cNvPicPr>
      </xdr:nvPicPr>
      <xdr:blipFill>
        <a:blip xmlns:r="http://schemas.openxmlformats.org/officeDocument/2006/relationships" r:embed="rId995"/>
        <a:stretch>
          <a:fillRect/>
        </a:stretch>
      </xdr:blipFill>
      <xdr:spPr>
        <a:xfrm>
          <a:off x="7235825" y="1299791025"/>
          <a:ext cx="878840" cy="1183640"/>
        </a:xfrm>
        <a:prstGeom prst="rect">
          <a:avLst/>
        </a:prstGeom>
      </xdr:spPr>
    </xdr:pic>
    <xdr:clientData/>
  </xdr:twoCellAnchor>
  <xdr:twoCellAnchor>
    <xdr:from>
      <xdr:col>9</xdr:col>
      <xdr:colOff>6350</xdr:colOff>
      <xdr:row>1341</xdr:row>
      <xdr:rowOff>25400</xdr:rowOff>
    </xdr:from>
    <xdr:to>
      <xdr:col>9</xdr:col>
      <xdr:colOff>885190</xdr:colOff>
      <xdr:row>1341</xdr:row>
      <xdr:rowOff>1209040</xdr:rowOff>
    </xdr:to>
    <xdr:pic>
      <xdr:nvPicPr>
        <xdr:cNvPr id="6232" name="Изображение 6231" descr="resizeПП-00234896"/>
        <xdr:cNvPicPr>
          <a:picLocks noChangeAspect="1"/>
        </xdr:cNvPicPr>
      </xdr:nvPicPr>
      <xdr:blipFill>
        <a:blip xmlns:r="http://schemas.openxmlformats.org/officeDocument/2006/relationships" r:embed="rId996"/>
        <a:stretch>
          <a:fillRect/>
        </a:stretch>
      </xdr:blipFill>
      <xdr:spPr>
        <a:xfrm>
          <a:off x="7235825" y="1301165800"/>
          <a:ext cx="878840" cy="1183640"/>
        </a:xfrm>
        <a:prstGeom prst="rect">
          <a:avLst/>
        </a:prstGeom>
      </xdr:spPr>
    </xdr:pic>
    <xdr:clientData/>
  </xdr:twoCellAnchor>
  <xdr:twoCellAnchor>
    <xdr:from>
      <xdr:col>9</xdr:col>
      <xdr:colOff>6350</xdr:colOff>
      <xdr:row>1342</xdr:row>
      <xdr:rowOff>25400</xdr:rowOff>
    </xdr:from>
    <xdr:to>
      <xdr:col>9</xdr:col>
      <xdr:colOff>885190</xdr:colOff>
      <xdr:row>1342</xdr:row>
      <xdr:rowOff>1209040</xdr:rowOff>
    </xdr:to>
    <xdr:pic>
      <xdr:nvPicPr>
        <xdr:cNvPr id="6233" name="Изображение 6232" descr="resizeПП-00234895"/>
        <xdr:cNvPicPr>
          <a:picLocks noChangeAspect="1"/>
        </xdr:cNvPicPr>
      </xdr:nvPicPr>
      <xdr:blipFill>
        <a:blip xmlns:r="http://schemas.openxmlformats.org/officeDocument/2006/relationships" r:embed="rId997"/>
        <a:stretch>
          <a:fillRect/>
        </a:stretch>
      </xdr:blipFill>
      <xdr:spPr>
        <a:xfrm>
          <a:off x="7235825" y="1302388175"/>
          <a:ext cx="878840" cy="1183640"/>
        </a:xfrm>
        <a:prstGeom prst="rect">
          <a:avLst/>
        </a:prstGeom>
      </xdr:spPr>
    </xdr:pic>
    <xdr:clientData/>
  </xdr:twoCellAnchor>
  <xdr:twoCellAnchor>
    <xdr:from>
      <xdr:col>9</xdr:col>
      <xdr:colOff>6350</xdr:colOff>
      <xdr:row>1343</xdr:row>
      <xdr:rowOff>25400</xdr:rowOff>
    </xdr:from>
    <xdr:to>
      <xdr:col>9</xdr:col>
      <xdr:colOff>885190</xdr:colOff>
      <xdr:row>1343</xdr:row>
      <xdr:rowOff>1209040</xdr:rowOff>
    </xdr:to>
    <xdr:pic>
      <xdr:nvPicPr>
        <xdr:cNvPr id="6234" name="Изображение 6233" descr="resizeПП-00207514"/>
        <xdr:cNvPicPr>
          <a:picLocks noChangeAspect="1"/>
        </xdr:cNvPicPr>
      </xdr:nvPicPr>
      <xdr:blipFill>
        <a:blip xmlns:r="http://schemas.openxmlformats.org/officeDocument/2006/relationships" r:embed="rId998"/>
        <a:stretch>
          <a:fillRect/>
        </a:stretch>
      </xdr:blipFill>
      <xdr:spPr>
        <a:xfrm>
          <a:off x="7235825" y="1303610550"/>
          <a:ext cx="878840" cy="1183640"/>
        </a:xfrm>
        <a:prstGeom prst="rect">
          <a:avLst/>
        </a:prstGeom>
      </xdr:spPr>
    </xdr:pic>
    <xdr:clientData/>
  </xdr:twoCellAnchor>
  <xdr:twoCellAnchor>
    <xdr:from>
      <xdr:col>9</xdr:col>
      <xdr:colOff>6350</xdr:colOff>
      <xdr:row>1344</xdr:row>
      <xdr:rowOff>25400</xdr:rowOff>
    </xdr:from>
    <xdr:to>
      <xdr:col>9</xdr:col>
      <xdr:colOff>885190</xdr:colOff>
      <xdr:row>1344</xdr:row>
      <xdr:rowOff>1209040</xdr:rowOff>
    </xdr:to>
    <xdr:pic>
      <xdr:nvPicPr>
        <xdr:cNvPr id="6235" name="Изображение 6234" descr="resizeПП-00207509"/>
        <xdr:cNvPicPr>
          <a:picLocks noChangeAspect="1"/>
        </xdr:cNvPicPr>
      </xdr:nvPicPr>
      <xdr:blipFill>
        <a:blip xmlns:r="http://schemas.openxmlformats.org/officeDocument/2006/relationships" r:embed="rId999"/>
        <a:stretch>
          <a:fillRect/>
        </a:stretch>
      </xdr:blipFill>
      <xdr:spPr>
        <a:xfrm>
          <a:off x="7235825" y="1304832925"/>
          <a:ext cx="878840" cy="1183640"/>
        </a:xfrm>
        <a:prstGeom prst="rect">
          <a:avLst/>
        </a:prstGeom>
      </xdr:spPr>
    </xdr:pic>
    <xdr:clientData/>
  </xdr:twoCellAnchor>
  <xdr:twoCellAnchor>
    <xdr:from>
      <xdr:col>9</xdr:col>
      <xdr:colOff>6350</xdr:colOff>
      <xdr:row>1345</xdr:row>
      <xdr:rowOff>25400</xdr:rowOff>
    </xdr:from>
    <xdr:to>
      <xdr:col>9</xdr:col>
      <xdr:colOff>885190</xdr:colOff>
      <xdr:row>1345</xdr:row>
      <xdr:rowOff>1209040</xdr:rowOff>
    </xdr:to>
    <xdr:pic>
      <xdr:nvPicPr>
        <xdr:cNvPr id="6236" name="Изображение 6235" descr="resizeПП-00207510"/>
        <xdr:cNvPicPr>
          <a:picLocks noChangeAspect="1"/>
        </xdr:cNvPicPr>
      </xdr:nvPicPr>
      <xdr:blipFill>
        <a:blip xmlns:r="http://schemas.openxmlformats.org/officeDocument/2006/relationships" r:embed="rId1000"/>
        <a:stretch>
          <a:fillRect/>
        </a:stretch>
      </xdr:blipFill>
      <xdr:spPr>
        <a:xfrm>
          <a:off x="7235825" y="1306055300"/>
          <a:ext cx="878840" cy="1183640"/>
        </a:xfrm>
        <a:prstGeom prst="rect">
          <a:avLst/>
        </a:prstGeom>
      </xdr:spPr>
    </xdr:pic>
    <xdr:clientData/>
  </xdr:twoCellAnchor>
  <xdr:twoCellAnchor>
    <xdr:from>
      <xdr:col>9</xdr:col>
      <xdr:colOff>6350</xdr:colOff>
      <xdr:row>1346</xdr:row>
      <xdr:rowOff>25400</xdr:rowOff>
    </xdr:from>
    <xdr:to>
      <xdr:col>9</xdr:col>
      <xdr:colOff>885190</xdr:colOff>
      <xdr:row>1346</xdr:row>
      <xdr:rowOff>1209040</xdr:rowOff>
    </xdr:to>
    <xdr:pic>
      <xdr:nvPicPr>
        <xdr:cNvPr id="6237" name="Изображение 6236" descr="resizeПП-00207508"/>
        <xdr:cNvPicPr>
          <a:picLocks noChangeAspect="1"/>
        </xdr:cNvPicPr>
      </xdr:nvPicPr>
      <xdr:blipFill>
        <a:blip xmlns:r="http://schemas.openxmlformats.org/officeDocument/2006/relationships" r:embed="rId1001"/>
        <a:stretch>
          <a:fillRect/>
        </a:stretch>
      </xdr:blipFill>
      <xdr:spPr>
        <a:xfrm>
          <a:off x="7235825" y="1307277675"/>
          <a:ext cx="878840" cy="1183640"/>
        </a:xfrm>
        <a:prstGeom prst="rect">
          <a:avLst/>
        </a:prstGeom>
      </xdr:spPr>
    </xdr:pic>
    <xdr:clientData/>
  </xdr:twoCellAnchor>
  <xdr:twoCellAnchor>
    <xdr:from>
      <xdr:col>9</xdr:col>
      <xdr:colOff>6350</xdr:colOff>
      <xdr:row>1347</xdr:row>
      <xdr:rowOff>25400</xdr:rowOff>
    </xdr:from>
    <xdr:to>
      <xdr:col>9</xdr:col>
      <xdr:colOff>885190</xdr:colOff>
      <xdr:row>1347</xdr:row>
      <xdr:rowOff>1209040</xdr:rowOff>
    </xdr:to>
    <xdr:pic>
      <xdr:nvPicPr>
        <xdr:cNvPr id="6238" name="Изображение 6237" descr="resizeПП-00207512"/>
        <xdr:cNvPicPr>
          <a:picLocks noChangeAspect="1"/>
        </xdr:cNvPicPr>
      </xdr:nvPicPr>
      <xdr:blipFill>
        <a:blip xmlns:r="http://schemas.openxmlformats.org/officeDocument/2006/relationships" r:embed="rId1002"/>
        <a:stretch>
          <a:fillRect/>
        </a:stretch>
      </xdr:blipFill>
      <xdr:spPr>
        <a:xfrm>
          <a:off x="7235825" y="1308500050"/>
          <a:ext cx="878840" cy="1183640"/>
        </a:xfrm>
        <a:prstGeom prst="rect">
          <a:avLst/>
        </a:prstGeom>
      </xdr:spPr>
    </xdr:pic>
    <xdr:clientData/>
  </xdr:twoCellAnchor>
  <xdr:twoCellAnchor>
    <xdr:from>
      <xdr:col>9</xdr:col>
      <xdr:colOff>6350</xdr:colOff>
      <xdr:row>1348</xdr:row>
      <xdr:rowOff>25400</xdr:rowOff>
    </xdr:from>
    <xdr:to>
      <xdr:col>9</xdr:col>
      <xdr:colOff>885190</xdr:colOff>
      <xdr:row>1348</xdr:row>
      <xdr:rowOff>1209040</xdr:rowOff>
    </xdr:to>
    <xdr:pic>
      <xdr:nvPicPr>
        <xdr:cNvPr id="6239" name="Изображение 6238" descr="resizeПП-00207513"/>
        <xdr:cNvPicPr>
          <a:picLocks noChangeAspect="1"/>
        </xdr:cNvPicPr>
      </xdr:nvPicPr>
      <xdr:blipFill>
        <a:blip xmlns:r="http://schemas.openxmlformats.org/officeDocument/2006/relationships" r:embed="rId1003"/>
        <a:stretch>
          <a:fillRect/>
        </a:stretch>
      </xdr:blipFill>
      <xdr:spPr>
        <a:xfrm>
          <a:off x="7235825" y="1309722425"/>
          <a:ext cx="878840" cy="1183640"/>
        </a:xfrm>
        <a:prstGeom prst="rect">
          <a:avLst/>
        </a:prstGeom>
      </xdr:spPr>
    </xdr:pic>
    <xdr:clientData/>
  </xdr:twoCellAnchor>
  <xdr:twoCellAnchor>
    <xdr:from>
      <xdr:col>9</xdr:col>
      <xdr:colOff>6350</xdr:colOff>
      <xdr:row>1349</xdr:row>
      <xdr:rowOff>25400</xdr:rowOff>
    </xdr:from>
    <xdr:to>
      <xdr:col>9</xdr:col>
      <xdr:colOff>885190</xdr:colOff>
      <xdr:row>1349</xdr:row>
      <xdr:rowOff>1209040</xdr:rowOff>
    </xdr:to>
    <xdr:pic>
      <xdr:nvPicPr>
        <xdr:cNvPr id="6240" name="Изображение 6239" descr="resizeПП-00207511"/>
        <xdr:cNvPicPr>
          <a:picLocks noChangeAspect="1"/>
        </xdr:cNvPicPr>
      </xdr:nvPicPr>
      <xdr:blipFill>
        <a:blip xmlns:r="http://schemas.openxmlformats.org/officeDocument/2006/relationships" r:embed="rId1004"/>
        <a:stretch>
          <a:fillRect/>
        </a:stretch>
      </xdr:blipFill>
      <xdr:spPr>
        <a:xfrm>
          <a:off x="7235825" y="1310944800"/>
          <a:ext cx="878840" cy="1183640"/>
        </a:xfrm>
        <a:prstGeom prst="rect">
          <a:avLst/>
        </a:prstGeom>
      </xdr:spPr>
    </xdr:pic>
    <xdr:clientData/>
  </xdr:twoCellAnchor>
  <xdr:twoCellAnchor>
    <xdr:from>
      <xdr:col>9</xdr:col>
      <xdr:colOff>6350</xdr:colOff>
      <xdr:row>1350</xdr:row>
      <xdr:rowOff>25400</xdr:rowOff>
    </xdr:from>
    <xdr:to>
      <xdr:col>9</xdr:col>
      <xdr:colOff>885190</xdr:colOff>
      <xdr:row>1350</xdr:row>
      <xdr:rowOff>1209040</xdr:rowOff>
    </xdr:to>
    <xdr:pic>
      <xdr:nvPicPr>
        <xdr:cNvPr id="6241" name="Изображение 6240" descr="resizeПП-00234890"/>
        <xdr:cNvPicPr>
          <a:picLocks noChangeAspect="1"/>
        </xdr:cNvPicPr>
      </xdr:nvPicPr>
      <xdr:blipFill>
        <a:blip xmlns:r="http://schemas.openxmlformats.org/officeDocument/2006/relationships" r:embed="rId1005"/>
        <a:stretch>
          <a:fillRect/>
        </a:stretch>
      </xdr:blipFill>
      <xdr:spPr>
        <a:xfrm>
          <a:off x="7235825" y="1312167175"/>
          <a:ext cx="878840" cy="1183640"/>
        </a:xfrm>
        <a:prstGeom prst="rect">
          <a:avLst/>
        </a:prstGeom>
      </xdr:spPr>
    </xdr:pic>
    <xdr:clientData/>
  </xdr:twoCellAnchor>
  <xdr:twoCellAnchor>
    <xdr:from>
      <xdr:col>9</xdr:col>
      <xdr:colOff>6350</xdr:colOff>
      <xdr:row>1351</xdr:row>
      <xdr:rowOff>25400</xdr:rowOff>
    </xdr:from>
    <xdr:to>
      <xdr:col>9</xdr:col>
      <xdr:colOff>885190</xdr:colOff>
      <xdr:row>1351</xdr:row>
      <xdr:rowOff>1209040</xdr:rowOff>
    </xdr:to>
    <xdr:pic>
      <xdr:nvPicPr>
        <xdr:cNvPr id="6242" name="Изображение 6241" descr="resizeПП-00234891"/>
        <xdr:cNvPicPr>
          <a:picLocks noChangeAspect="1"/>
        </xdr:cNvPicPr>
      </xdr:nvPicPr>
      <xdr:blipFill>
        <a:blip xmlns:r="http://schemas.openxmlformats.org/officeDocument/2006/relationships" r:embed="rId1006"/>
        <a:stretch>
          <a:fillRect/>
        </a:stretch>
      </xdr:blipFill>
      <xdr:spPr>
        <a:xfrm>
          <a:off x="7235825" y="1313389550"/>
          <a:ext cx="878840" cy="1183640"/>
        </a:xfrm>
        <a:prstGeom prst="rect">
          <a:avLst/>
        </a:prstGeom>
      </xdr:spPr>
    </xdr:pic>
    <xdr:clientData/>
  </xdr:twoCellAnchor>
  <xdr:twoCellAnchor>
    <xdr:from>
      <xdr:col>9</xdr:col>
      <xdr:colOff>6350</xdr:colOff>
      <xdr:row>1352</xdr:row>
      <xdr:rowOff>25400</xdr:rowOff>
    </xdr:from>
    <xdr:to>
      <xdr:col>9</xdr:col>
      <xdr:colOff>885190</xdr:colOff>
      <xdr:row>1352</xdr:row>
      <xdr:rowOff>1209040</xdr:rowOff>
    </xdr:to>
    <xdr:pic>
      <xdr:nvPicPr>
        <xdr:cNvPr id="6243" name="Изображение 6242" descr="resizeПП-00234889"/>
        <xdr:cNvPicPr>
          <a:picLocks noChangeAspect="1"/>
        </xdr:cNvPicPr>
      </xdr:nvPicPr>
      <xdr:blipFill>
        <a:blip xmlns:r="http://schemas.openxmlformats.org/officeDocument/2006/relationships" r:embed="rId1007"/>
        <a:stretch>
          <a:fillRect/>
        </a:stretch>
      </xdr:blipFill>
      <xdr:spPr>
        <a:xfrm>
          <a:off x="7235825" y="1314611925"/>
          <a:ext cx="878840" cy="1183640"/>
        </a:xfrm>
        <a:prstGeom prst="rect">
          <a:avLst/>
        </a:prstGeom>
      </xdr:spPr>
    </xdr:pic>
    <xdr:clientData/>
  </xdr:twoCellAnchor>
  <xdr:twoCellAnchor>
    <xdr:from>
      <xdr:col>9</xdr:col>
      <xdr:colOff>6350</xdr:colOff>
      <xdr:row>1353</xdr:row>
      <xdr:rowOff>25400</xdr:rowOff>
    </xdr:from>
    <xdr:to>
      <xdr:col>9</xdr:col>
      <xdr:colOff>885190</xdr:colOff>
      <xdr:row>1353</xdr:row>
      <xdr:rowOff>1209040</xdr:rowOff>
    </xdr:to>
    <xdr:pic>
      <xdr:nvPicPr>
        <xdr:cNvPr id="6244" name="Изображение 6243" descr="resizeПП-00234893"/>
        <xdr:cNvPicPr>
          <a:picLocks noChangeAspect="1"/>
        </xdr:cNvPicPr>
      </xdr:nvPicPr>
      <xdr:blipFill>
        <a:blip xmlns:r="http://schemas.openxmlformats.org/officeDocument/2006/relationships" r:embed="rId1008"/>
        <a:stretch>
          <a:fillRect/>
        </a:stretch>
      </xdr:blipFill>
      <xdr:spPr>
        <a:xfrm>
          <a:off x="7235825" y="1315834300"/>
          <a:ext cx="878840" cy="1183640"/>
        </a:xfrm>
        <a:prstGeom prst="rect">
          <a:avLst/>
        </a:prstGeom>
      </xdr:spPr>
    </xdr:pic>
    <xdr:clientData/>
  </xdr:twoCellAnchor>
  <xdr:twoCellAnchor>
    <xdr:from>
      <xdr:col>9</xdr:col>
      <xdr:colOff>6350</xdr:colOff>
      <xdr:row>1354</xdr:row>
      <xdr:rowOff>25400</xdr:rowOff>
    </xdr:from>
    <xdr:to>
      <xdr:col>9</xdr:col>
      <xdr:colOff>885190</xdr:colOff>
      <xdr:row>1354</xdr:row>
      <xdr:rowOff>1209040</xdr:rowOff>
    </xdr:to>
    <xdr:pic>
      <xdr:nvPicPr>
        <xdr:cNvPr id="6245" name="Изображение 6244" descr="resizeПП-00234894"/>
        <xdr:cNvPicPr>
          <a:picLocks noChangeAspect="1"/>
        </xdr:cNvPicPr>
      </xdr:nvPicPr>
      <xdr:blipFill>
        <a:blip xmlns:r="http://schemas.openxmlformats.org/officeDocument/2006/relationships" r:embed="rId1009"/>
        <a:stretch>
          <a:fillRect/>
        </a:stretch>
      </xdr:blipFill>
      <xdr:spPr>
        <a:xfrm>
          <a:off x="7235825" y="1317056675"/>
          <a:ext cx="878840" cy="1183640"/>
        </a:xfrm>
        <a:prstGeom prst="rect">
          <a:avLst/>
        </a:prstGeom>
      </xdr:spPr>
    </xdr:pic>
    <xdr:clientData/>
  </xdr:twoCellAnchor>
  <xdr:twoCellAnchor>
    <xdr:from>
      <xdr:col>9</xdr:col>
      <xdr:colOff>6350</xdr:colOff>
      <xdr:row>1355</xdr:row>
      <xdr:rowOff>25400</xdr:rowOff>
    </xdr:from>
    <xdr:to>
      <xdr:col>9</xdr:col>
      <xdr:colOff>885190</xdr:colOff>
      <xdr:row>1355</xdr:row>
      <xdr:rowOff>1209040</xdr:rowOff>
    </xdr:to>
    <xdr:pic>
      <xdr:nvPicPr>
        <xdr:cNvPr id="6246" name="Изображение 6245" descr="resizeПП-00234892"/>
        <xdr:cNvPicPr>
          <a:picLocks noChangeAspect="1"/>
        </xdr:cNvPicPr>
      </xdr:nvPicPr>
      <xdr:blipFill>
        <a:blip xmlns:r="http://schemas.openxmlformats.org/officeDocument/2006/relationships" r:embed="rId1010"/>
        <a:stretch>
          <a:fillRect/>
        </a:stretch>
      </xdr:blipFill>
      <xdr:spPr>
        <a:xfrm>
          <a:off x="7235825" y="1318279050"/>
          <a:ext cx="878840" cy="1183640"/>
        </a:xfrm>
        <a:prstGeom prst="rect">
          <a:avLst/>
        </a:prstGeom>
      </xdr:spPr>
    </xdr:pic>
    <xdr:clientData/>
  </xdr:twoCellAnchor>
  <xdr:twoCellAnchor>
    <xdr:from>
      <xdr:col>9</xdr:col>
      <xdr:colOff>6350</xdr:colOff>
      <xdr:row>1359</xdr:row>
      <xdr:rowOff>25400</xdr:rowOff>
    </xdr:from>
    <xdr:to>
      <xdr:col>9</xdr:col>
      <xdr:colOff>885190</xdr:colOff>
      <xdr:row>1359</xdr:row>
      <xdr:rowOff>1209040</xdr:rowOff>
    </xdr:to>
    <xdr:pic>
      <xdr:nvPicPr>
        <xdr:cNvPr id="6247" name="Изображение 6246" descr="resizeПП-00227608"/>
        <xdr:cNvPicPr>
          <a:picLocks noChangeAspect="1"/>
        </xdr:cNvPicPr>
      </xdr:nvPicPr>
      <xdr:blipFill>
        <a:blip xmlns:r="http://schemas.openxmlformats.org/officeDocument/2006/relationships" r:embed="rId1011"/>
        <a:stretch>
          <a:fillRect/>
        </a:stretch>
      </xdr:blipFill>
      <xdr:spPr>
        <a:xfrm>
          <a:off x="7235825" y="1319958625"/>
          <a:ext cx="878840" cy="1183640"/>
        </a:xfrm>
        <a:prstGeom prst="rect">
          <a:avLst/>
        </a:prstGeom>
      </xdr:spPr>
    </xdr:pic>
    <xdr:clientData/>
  </xdr:twoCellAnchor>
  <xdr:twoCellAnchor>
    <xdr:from>
      <xdr:col>9</xdr:col>
      <xdr:colOff>6350</xdr:colOff>
      <xdr:row>1360</xdr:row>
      <xdr:rowOff>25400</xdr:rowOff>
    </xdr:from>
    <xdr:to>
      <xdr:col>9</xdr:col>
      <xdr:colOff>885190</xdr:colOff>
      <xdr:row>1360</xdr:row>
      <xdr:rowOff>1209040</xdr:rowOff>
    </xdr:to>
    <xdr:pic>
      <xdr:nvPicPr>
        <xdr:cNvPr id="6248" name="Изображение 6247" descr="resizeПП-00275455"/>
        <xdr:cNvPicPr>
          <a:picLocks noChangeAspect="1"/>
        </xdr:cNvPicPr>
      </xdr:nvPicPr>
      <xdr:blipFill>
        <a:blip xmlns:r="http://schemas.openxmlformats.org/officeDocument/2006/relationships" r:embed="rId1012"/>
        <a:stretch>
          <a:fillRect/>
        </a:stretch>
      </xdr:blipFill>
      <xdr:spPr>
        <a:xfrm>
          <a:off x="7235825" y="1321181000"/>
          <a:ext cx="878840" cy="1183640"/>
        </a:xfrm>
        <a:prstGeom prst="rect">
          <a:avLst/>
        </a:prstGeom>
      </xdr:spPr>
    </xdr:pic>
    <xdr:clientData/>
  </xdr:twoCellAnchor>
  <xdr:twoCellAnchor>
    <xdr:from>
      <xdr:col>9</xdr:col>
      <xdr:colOff>6350</xdr:colOff>
      <xdr:row>1361</xdr:row>
      <xdr:rowOff>25400</xdr:rowOff>
    </xdr:from>
    <xdr:to>
      <xdr:col>9</xdr:col>
      <xdr:colOff>885190</xdr:colOff>
      <xdr:row>1361</xdr:row>
      <xdr:rowOff>1209040</xdr:rowOff>
    </xdr:to>
    <xdr:pic>
      <xdr:nvPicPr>
        <xdr:cNvPr id="6249" name="Изображение 6248" descr="resizeПП-00203364"/>
        <xdr:cNvPicPr>
          <a:picLocks noChangeAspect="1"/>
        </xdr:cNvPicPr>
      </xdr:nvPicPr>
      <xdr:blipFill>
        <a:blip xmlns:r="http://schemas.openxmlformats.org/officeDocument/2006/relationships" r:embed="rId1013"/>
        <a:stretch>
          <a:fillRect/>
        </a:stretch>
      </xdr:blipFill>
      <xdr:spPr>
        <a:xfrm>
          <a:off x="7235825" y="1322403375"/>
          <a:ext cx="878840" cy="1183640"/>
        </a:xfrm>
        <a:prstGeom prst="rect">
          <a:avLst/>
        </a:prstGeom>
      </xdr:spPr>
    </xdr:pic>
    <xdr:clientData/>
  </xdr:twoCellAnchor>
  <xdr:twoCellAnchor>
    <xdr:from>
      <xdr:col>9</xdr:col>
      <xdr:colOff>6350</xdr:colOff>
      <xdr:row>1362</xdr:row>
      <xdr:rowOff>25400</xdr:rowOff>
    </xdr:from>
    <xdr:to>
      <xdr:col>9</xdr:col>
      <xdr:colOff>885190</xdr:colOff>
      <xdr:row>1362</xdr:row>
      <xdr:rowOff>1209040</xdr:rowOff>
    </xdr:to>
    <xdr:pic>
      <xdr:nvPicPr>
        <xdr:cNvPr id="6250" name="Изображение 6249" descr="resizeПП-00203367"/>
        <xdr:cNvPicPr>
          <a:picLocks noChangeAspect="1"/>
        </xdr:cNvPicPr>
      </xdr:nvPicPr>
      <xdr:blipFill>
        <a:blip xmlns:r="http://schemas.openxmlformats.org/officeDocument/2006/relationships" r:embed="rId1014"/>
        <a:stretch>
          <a:fillRect/>
        </a:stretch>
      </xdr:blipFill>
      <xdr:spPr>
        <a:xfrm>
          <a:off x="7235825" y="1323625750"/>
          <a:ext cx="878840" cy="1183640"/>
        </a:xfrm>
        <a:prstGeom prst="rect">
          <a:avLst/>
        </a:prstGeom>
      </xdr:spPr>
    </xdr:pic>
    <xdr:clientData/>
  </xdr:twoCellAnchor>
  <xdr:twoCellAnchor>
    <xdr:from>
      <xdr:col>9</xdr:col>
      <xdr:colOff>6350</xdr:colOff>
      <xdr:row>1363</xdr:row>
      <xdr:rowOff>25400</xdr:rowOff>
    </xdr:from>
    <xdr:to>
      <xdr:col>9</xdr:col>
      <xdr:colOff>885190</xdr:colOff>
      <xdr:row>1363</xdr:row>
      <xdr:rowOff>1209040</xdr:rowOff>
    </xdr:to>
    <xdr:pic>
      <xdr:nvPicPr>
        <xdr:cNvPr id="6251" name="Изображение 6250" descr="resizeПП-00257775"/>
        <xdr:cNvPicPr>
          <a:picLocks noChangeAspect="1"/>
        </xdr:cNvPicPr>
      </xdr:nvPicPr>
      <xdr:blipFill>
        <a:blip xmlns:r="http://schemas.openxmlformats.org/officeDocument/2006/relationships" r:embed="rId1015"/>
        <a:stretch>
          <a:fillRect/>
        </a:stretch>
      </xdr:blipFill>
      <xdr:spPr>
        <a:xfrm>
          <a:off x="7235825" y="1324848125"/>
          <a:ext cx="878840" cy="1183640"/>
        </a:xfrm>
        <a:prstGeom prst="rect">
          <a:avLst/>
        </a:prstGeom>
      </xdr:spPr>
    </xdr:pic>
    <xdr:clientData/>
  </xdr:twoCellAnchor>
  <xdr:twoCellAnchor>
    <xdr:from>
      <xdr:col>9</xdr:col>
      <xdr:colOff>6350</xdr:colOff>
      <xdr:row>1364</xdr:row>
      <xdr:rowOff>25400</xdr:rowOff>
    </xdr:from>
    <xdr:to>
      <xdr:col>9</xdr:col>
      <xdr:colOff>885190</xdr:colOff>
      <xdr:row>1364</xdr:row>
      <xdr:rowOff>1209040</xdr:rowOff>
    </xdr:to>
    <xdr:pic>
      <xdr:nvPicPr>
        <xdr:cNvPr id="6252" name="Изображение 6251" descr="resizeПП-00257767"/>
        <xdr:cNvPicPr>
          <a:picLocks noChangeAspect="1"/>
        </xdr:cNvPicPr>
      </xdr:nvPicPr>
      <xdr:blipFill>
        <a:blip xmlns:r="http://schemas.openxmlformats.org/officeDocument/2006/relationships" r:embed="rId1016"/>
        <a:stretch>
          <a:fillRect/>
        </a:stretch>
      </xdr:blipFill>
      <xdr:spPr>
        <a:xfrm>
          <a:off x="7235825" y="1326070500"/>
          <a:ext cx="878840" cy="1183640"/>
        </a:xfrm>
        <a:prstGeom prst="rect">
          <a:avLst/>
        </a:prstGeom>
      </xdr:spPr>
    </xdr:pic>
    <xdr:clientData/>
  </xdr:twoCellAnchor>
  <xdr:twoCellAnchor>
    <xdr:from>
      <xdr:col>9</xdr:col>
      <xdr:colOff>6350</xdr:colOff>
      <xdr:row>1365</xdr:row>
      <xdr:rowOff>25400</xdr:rowOff>
    </xdr:from>
    <xdr:to>
      <xdr:col>9</xdr:col>
      <xdr:colOff>885190</xdr:colOff>
      <xdr:row>1365</xdr:row>
      <xdr:rowOff>1209040</xdr:rowOff>
    </xdr:to>
    <xdr:pic>
      <xdr:nvPicPr>
        <xdr:cNvPr id="6253" name="Изображение 6252" descr="resizeПП-00257771"/>
        <xdr:cNvPicPr>
          <a:picLocks noChangeAspect="1"/>
        </xdr:cNvPicPr>
      </xdr:nvPicPr>
      <xdr:blipFill>
        <a:blip xmlns:r="http://schemas.openxmlformats.org/officeDocument/2006/relationships" r:embed="rId1017"/>
        <a:stretch>
          <a:fillRect/>
        </a:stretch>
      </xdr:blipFill>
      <xdr:spPr>
        <a:xfrm>
          <a:off x="7235825" y="1327292875"/>
          <a:ext cx="878840" cy="1183640"/>
        </a:xfrm>
        <a:prstGeom prst="rect">
          <a:avLst/>
        </a:prstGeom>
      </xdr:spPr>
    </xdr:pic>
    <xdr:clientData/>
  </xdr:twoCellAnchor>
  <xdr:twoCellAnchor>
    <xdr:from>
      <xdr:col>9</xdr:col>
      <xdr:colOff>6350</xdr:colOff>
      <xdr:row>1366</xdr:row>
      <xdr:rowOff>25400</xdr:rowOff>
    </xdr:from>
    <xdr:to>
      <xdr:col>9</xdr:col>
      <xdr:colOff>885190</xdr:colOff>
      <xdr:row>1366</xdr:row>
      <xdr:rowOff>1209040</xdr:rowOff>
    </xdr:to>
    <xdr:pic>
      <xdr:nvPicPr>
        <xdr:cNvPr id="6254" name="Изображение 6253" descr="resizeПП-00203366"/>
        <xdr:cNvPicPr>
          <a:picLocks noChangeAspect="1"/>
        </xdr:cNvPicPr>
      </xdr:nvPicPr>
      <xdr:blipFill>
        <a:blip xmlns:r="http://schemas.openxmlformats.org/officeDocument/2006/relationships" r:embed="rId1018"/>
        <a:stretch>
          <a:fillRect/>
        </a:stretch>
      </xdr:blipFill>
      <xdr:spPr>
        <a:xfrm>
          <a:off x="7235825" y="1328515250"/>
          <a:ext cx="878840" cy="1183640"/>
        </a:xfrm>
        <a:prstGeom prst="rect">
          <a:avLst/>
        </a:prstGeom>
      </xdr:spPr>
    </xdr:pic>
    <xdr:clientData/>
  </xdr:twoCellAnchor>
  <xdr:twoCellAnchor>
    <xdr:from>
      <xdr:col>9</xdr:col>
      <xdr:colOff>6350</xdr:colOff>
      <xdr:row>1367</xdr:row>
      <xdr:rowOff>25400</xdr:rowOff>
    </xdr:from>
    <xdr:to>
      <xdr:col>9</xdr:col>
      <xdr:colOff>885190</xdr:colOff>
      <xdr:row>1367</xdr:row>
      <xdr:rowOff>1209040</xdr:rowOff>
    </xdr:to>
    <xdr:pic>
      <xdr:nvPicPr>
        <xdr:cNvPr id="6255" name="Изображение 6254" descr="resizeПП-00187208"/>
        <xdr:cNvPicPr>
          <a:picLocks noChangeAspect="1"/>
        </xdr:cNvPicPr>
      </xdr:nvPicPr>
      <xdr:blipFill>
        <a:blip xmlns:r="http://schemas.openxmlformats.org/officeDocument/2006/relationships" r:embed="rId1019"/>
        <a:stretch>
          <a:fillRect/>
        </a:stretch>
      </xdr:blipFill>
      <xdr:spPr>
        <a:xfrm>
          <a:off x="7235825" y="1329737625"/>
          <a:ext cx="878840" cy="1183640"/>
        </a:xfrm>
        <a:prstGeom prst="rect">
          <a:avLst/>
        </a:prstGeom>
      </xdr:spPr>
    </xdr:pic>
    <xdr:clientData/>
  </xdr:twoCellAnchor>
  <xdr:twoCellAnchor>
    <xdr:from>
      <xdr:col>9</xdr:col>
      <xdr:colOff>6350</xdr:colOff>
      <xdr:row>1368</xdr:row>
      <xdr:rowOff>25400</xdr:rowOff>
    </xdr:from>
    <xdr:to>
      <xdr:col>9</xdr:col>
      <xdr:colOff>885190</xdr:colOff>
      <xdr:row>1368</xdr:row>
      <xdr:rowOff>1209040</xdr:rowOff>
    </xdr:to>
    <xdr:pic>
      <xdr:nvPicPr>
        <xdr:cNvPr id="6256" name="Изображение 6255" descr="resizeПП-00187209"/>
        <xdr:cNvPicPr>
          <a:picLocks noChangeAspect="1"/>
        </xdr:cNvPicPr>
      </xdr:nvPicPr>
      <xdr:blipFill>
        <a:blip xmlns:r="http://schemas.openxmlformats.org/officeDocument/2006/relationships" r:embed="rId1020"/>
        <a:stretch>
          <a:fillRect/>
        </a:stretch>
      </xdr:blipFill>
      <xdr:spPr>
        <a:xfrm>
          <a:off x="7235825" y="1330960000"/>
          <a:ext cx="878840" cy="1183640"/>
        </a:xfrm>
        <a:prstGeom prst="rect">
          <a:avLst/>
        </a:prstGeom>
      </xdr:spPr>
    </xdr:pic>
    <xdr:clientData/>
  </xdr:twoCellAnchor>
  <xdr:twoCellAnchor>
    <xdr:from>
      <xdr:col>9</xdr:col>
      <xdr:colOff>6350</xdr:colOff>
      <xdr:row>1369</xdr:row>
      <xdr:rowOff>25400</xdr:rowOff>
    </xdr:from>
    <xdr:to>
      <xdr:col>9</xdr:col>
      <xdr:colOff>885190</xdr:colOff>
      <xdr:row>1369</xdr:row>
      <xdr:rowOff>1209040</xdr:rowOff>
    </xdr:to>
    <xdr:pic>
      <xdr:nvPicPr>
        <xdr:cNvPr id="6257" name="Изображение 6256" descr="resizeПП-00082721"/>
        <xdr:cNvPicPr>
          <a:picLocks noChangeAspect="1"/>
        </xdr:cNvPicPr>
      </xdr:nvPicPr>
      <xdr:blipFill>
        <a:blip xmlns:r="http://schemas.openxmlformats.org/officeDocument/2006/relationships" r:embed="rId1021"/>
        <a:stretch>
          <a:fillRect/>
        </a:stretch>
      </xdr:blipFill>
      <xdr:spPr>
        <a:xfrm>
          <a:off x="7235825" y="1332182375"/>
          <a:ext cx="878840" cy="1183640"/>
        </a:xfrm>
        <a:prstGeom prst="rect">
          <a:avLst/>
        </a:prstGeom>
      </xdr:spPr>
    </xdr:pic>
    <xdr:clientData/>
  </xdr:twoCellAnchor>
  <xdr:twoCellAnchor>
    <xdr:from>
      <xdr:col>9</xdr:col>
      <xdr:colOff>6350</xdr:colOff>
      <xdr:row>1371</xdr:row>
      <xdr:rowOff>25400</xdr:rowOff>
    </xdr:from>
    <xdr:to>
      <xdr:col>9</xdr:col>
      <xdr:colOff>885190</xdr:colOff>
      <xdr:row>1371</xdr:row>
      <xdr:rowOff>1209040</xdr:rowOff>
    </xdr:to>
    <xdr:pic>
      <xdr:nvPicPr>
        <xdr:cNvPr id="6258" name="Изображение 6257" descr="resizeПП-00227143"/>
        <xdr:cNvPicPr>
          <a:picLocks noChangeAspect="1"/>
        </xdr:cNvPicPr>
      </xdr:nvPicPr>
      <xdr:blipFill>
        <a:blip xmlns:r="http://schemas.openxmlformats.org/officeDocument/2006/relationships" r:embed="rId1022"/>
        <a:stretch>
          <a:fillRect/>
        </a:stretch>
      </xdr:blipFill>
      <xdr:spPr>
        <a:xfrm>
          <a:off x="7235825" y="1333557150"/>
          <a:ext cx="878840" cy="1183640"/>
        </a:xfrm>
        <a:prstGeom prst="rect">
          <a:avLst/>
        </a:prstGeom>
      </xdr:spPr>
    </xdr:pic>
    <xdr:clientData/>
  </xdr:twoCellAnchor>
  <xdr:twoCellAnchor>
    <xdr:from>
      <xdr:col>9</xdr:col>
      <xdr:colOff>6350</xdr:colOff>
      <xdr:row>1372</xdr:row>
      <xdr:rowOff>25400</xdr:rowOff>
    </xdr:from>
    <xdr:to>
      <xdr:col>9</xdr:col>
      <xdr:colOff>885190</xdr:colOff>
      <xdr:row>1372</xdr:row>
      <xdr:rowOff>1209040</xdr:rowOff>
    </xdr:to>
    <xdr:pic>
      <xdr:nvPicPr>
        <xdr:cNvPr id="6259" name="Изображение 6258" descr="resizeПП-00203362"/>
        <xdr:cNvPicPr>
          <a:picLocks noChangeAspect="1"/>
        </xdr:cNvPicPr>
      </xdr:nvPicPr>
      <xdr:blipFill>
        <a:blip xmlns:r="http://schemas.openxmlformats.org/officeDocument/2006/relationships" r:embed="rId1023"/>
        <a:stretch>
          <a:fillRect/>
        </a:stretch>
      </xdr:blipFill>
      <xdr:spPr>
        <a:xfrm>
          <a:off x="7235825" y="1334779525"/>
          <a:ext cx="878840" cy="1183640"/>
        </a:xfrm>
        <a:prstGeom prst="rect">
          <a:avLst/>
        </a:prstGeom>
      </xdr:spPr>
    </xdr:pic>
    <xdr:clientData/>
  </xdr:twoCellAnchor>
  <xdr:twoCellAnchor>
    <xdr:from>
      <xdr:col>9</xdr:col>
      <xdr:colOff>6350</xdr:colOff>
      <xdr:row>1373</xdr:row>
      <xdr:rowOff>25400</xdr:rowOff>
    </xdr:from>
    <xdr:to>
      <xdr:col>9</xdr:col>
      <xdr:colOff>885190</xdr:colOff>
      <xdr:row>1373</xdr:row>
      <xdr:rowOff>1209040</xdr:rowOff>
    </xdr:to>
    <xdr:pic>
      <xdr:nvPicPr>
        <xdr:cNvPr id="6260" name="Изображение 6259" descr="resizeПП-00203358"/>
        <xdr:cNvPicPr>
          <a:picLocks noChangeAspect="1"/>
        </xdr:cNvPicPr>
      </xdr:nvPicPr>
      <xdr:blipFill>
        <a:blip xmlns:r="http://schemas.openxmlformats.org/officeDocument/2006/relationships" r:embed="rId1024"/>
        <a:stretch>
          <a:fillRect/>
        </a:stretch>
      </xdr:blipFill>
      <xdr:spPr>
        <a:xfrm>
          <a:off x="7235825" y="1336001900"/>
          <a:ext cx="878840" cy="1183640"/>
        </a:xfrm>
        <a:prstGeom prst="rect">
          <a:avLst/>
        </a:prstGeom>
      </xdr:spPr>
    </xdr:pic>
    <xdr:clientData/>
  </xdr:twoCellAnchor>
  <xdr:twoCellAnchor>
    <xdr:from>
      <xdr:col>9</xdr:col>
      <xdr:colOff>6350</xdr:colOff>
      <xdr:row>1374</xdr:row>
      <xdr:rowOff>25400</xdr:rowOff>
    </xdr:from>
    <xdr:to>
      <xdr:col>9</xdr:col>
      <xdr:colOff>885190</xdr:colOff>
      <xdr:row>1374</xdr:row>
      <xdr:rowOff>1209040</xdr:rowOff>
    </xdr:to>
    <xdr:pic>
      <xdr:nvPicPr>
        <xdr:cNvPr id="6261" name="Изображение 6260" descr="resizeПП-00203360"/>
        <xdr:cNvPicPr>
          <a:picLocks noChangeAspect="1"/>
        </xdr:cNvPicPr>
      </xdr:nvPicPr>
      <xdr:blipFill>
        <a:blip xmlns:r="http://schemas.openxmlformats.org/officeDocument/2006/relationships" r:embed="rId1025"/>
        <a:stretch>
          <a:fillRect/>
        </a:stretch>
      </xdr:blipFill>
      <xdr:spPr>
        <a:xfrm>
          <a:off x="7235825" y="1337224275"/>
          <a:ext cx="878840" cy="1183640"/>
        </a:xfrm>
        <a:prstGeom prst="rect">
          <a:avLst/>
        </a:prstGeom>
      </xdr:spPr>
    </xdr:pic>
    <xdr:clientData/>
  </xdr:twoCellAnchor>
  <xdr:twoCellAnchor>
    <xdr:from>
      <xdr:col>9</xdr:col>
      <xdr:colOff>6350</xdr:colOff>
      <xdr:row>1375</xdr:row>
      <xdr:rowOff>25400</xdr:rowOff>
    </xdr:from>
    <xdr:to>
      <xdr:col>9</xdr:col>
      <xdr:colOff>885190</xdr:colOff>
      <xdr:row>1375</xdr:row>
      <xdr:rowOff>1209040</xdr:rowOff>
    </xdr:to>
    <xdr:pic>
      <xdr:nvPicPr>
        <xdr:cNvPr id="6262" name="Изображение 6261" descr="resizeПП-00257766"/>
        <xdr:cNvPicPr>
          <a:picLocks noChangeAspect="1"/>
        </xdr:cNvPicPr>
      </xdr:nvPicPr>
      <xdr:blipFill>
        <a:blip xmlns:r="http://schemas.openxmlformats.org/officeDocument/2006/relationships" r:embed="rId1026"/>
        <a:stretch>
          <a:fillRect/>
        </a:stretch>
      </xdr:blipFill>
      <xdr:spPr>
        <a:xfrm>
          <a:off x="7235825" y="1338446650"/>
          <a:ext cx="878840" cy="1183640"/>
        </a:xfrm>
        <a:prstGeom prst="rect">
          <a:avLst/>
        </a:prstGeom>
      </xdr:spPr>
    </xdr:pic>
    <xdr:clientData/>
  </xdr:twoCellAnchor>
  <xdr:twoCellAnchor>
    <xdr:from>
      <xdr:col>9</xdr:col>
      <xdr:colOff>6350</xdr:colOff>
      <xdr:row>1377</xdr:row>
      <xdr:rowOff>25400</xdr:rowOff>
    </xdr:from>
    <xdr:to>
      <xdr:col>9</xdr:col>
      <xdr:colOff>885190</xdr:colOff>
      <xdr:row>1377</xdr:row>
      <xdr:rowOff>1209040</xdr:rowOff>
    </xdr:to>
    <xdr:pic>
      <xdr:nvPicPr>
        <xdr:cNvPr id="6263" name="Изображение 6262" descr="resizeПП-00233662"/>
        <xdr:cNvPicPr>
          <a:picLocks noChangeAspect="1"/>
        </xdr:cNvPicPr>
      </xdr:nvPicPr>
      <xdr:blipFill>
        <a:blip xmlns:r="http://schemas.openxmlformats.org/officeDocument/2006/relationships" r:embed="rId1027"/>
        <a:stretch>
          <a:fillRect/>
        </a:stretch>
      </xdr:blipFill>
      <xdr:spPr>
        <a:xfrm>
          <a:off x="7235825" y="1339821425"/>
          <a:ext cx="878840" cy="1183640"/>
        </a:xfrm>
        <a:prstGeom prst="rect">
          <a:avLst/>
        </a:prstGeom>
      </xdr:spPr>
    </xdr:pic>
    <xdr:clientData/>
  </xdr:twoCellAnchor>
  <xdr:twoCellAnchor>
    <xdr:from>
      <xdr:col>9</xdr:col>
      <xdr:colOff>6350</xdr:colOff>
      <xdr:row>1378</xdr:row>
      <xdr:rowOff>25400</xdr:rowOff>
    </xdr:from>
    <xdr:to>
      <xdr:col>9</xdr:col>
      <xdr:colOff>885190</xdr:colOff>
      <xdr:row>1378</xdr:row>
      <xdr:rowOff>1209040</xdr:rowOff>
    </xdr:to>
    <xdr:pic>
      <xdr:nvPicPr>
        <xdr:cNvPr id="6264" name="Изображение 6263" descr="resizeПП-00233654"/>
        <xdr:cNvPicPr>
          <a:picLocks noChangeAspect="1"/>
        </xdr:cNvPicPr>
      </xdr:nvPicPr>
      <xdr:blipFill>
        <a:blip xmlns:r="http://schemas.openxmlformats.org/officeDocument/2006/relationships" r:embed="rId1028"/>
        <a:stretch>
          <a:fillRect/>
        </a:stretch>
      </xdr:blipFill>
      <xdr:spPr>
        <a:xfrm>
          <a:off x="7235825" y="1341043800"/>
          <a:ext cx="878840" cy="1183640"/>
        </a:xfrm>
        <a:prstGeom prst="rect">
          <a:avLst/>
        </a:prstGeom>
      </xdr:spPr>
    </xdr:pic>
    <xdr:clientData/>
  </xdr:twoCellAnchor>
  <xdr:twoCellAnchor>
    <xdr:from>
      <xdr:col>9</xdr:col>
      <xdr:colOff>6350</xdr:colOff>
      <xdr:row>1379</xdr:row>
      <xdr:rowOff>25400</xdr:rowOff>
    </xdr:from>
    <xdr:to>
      <xdr:col>9</xdr:col>
      <xdr:colOff>885190</xdr:colOff>
      <xdr:row>1379</xdr:row>
      <xdr:rowOff>1209040</xdr:rowOff>
    </xdr:to>
    <xdr:pic>
      <xdr:nvPicPr>
        <xdr:cNvPr id="6265" name="Изображение 6264" descr="resizeПП-00233656"/>
        <xdr:cNvPicPr>
          <a:picLocks noChangeAspect="1"/>
        </xdr:cNvPicPr>
      </xdr:nvPicPr>
      <xdr:blipFill>
        <a:blip xmlns:r="http://schemas.openxmlformats.org/officeDocument/2006/relationships" r:embed="rId1029"/>
        <a:stretch>
          <a:fillRect/>
        </a:stretch>
      </xdr:blipFill>
      <xdr:spPr>
        <a:xfrm>
          <a:off x="7235825" y="1342266175"/>
          <a:ext cx="878840" cy="1183640"/>
        </a:xfrm>
        <a:prstGeom prst="rect">
          <a:avLst/>
        </a:prstGeom>
      </xdr:spPr>
    </xdr:pic>
    <xdr:clientData/>
  </xdr:twoCellAnchor>
  <xdr:twoCellAnchor>
    <xdr:from>
      <xdr:col>9</xdr:col>
      <xdr:colOff>6350</xdr:colOff>
      <xdr:row>1381</xdr:row>
      <xdr:rowOff>25400</xdr:rowOff>
    </xdr:from>
    <xdr:to>
      <xdr:col>9</xdr:col>
      <xdr:colOff>885190</xdr:colOff>
      <xdr:row>1381</xdr:row>
      <xdr:rowOff>1209040</xdr:rowOff>
    </xdr:to>
    <xdr:pic>
      <xdr:nvPicPr>
        <xdr:cNvPr id="6266" name="Изображение 6265" descr="resizeПП-00255714"/>
        <xdr:cNvPicPr>
          <a:picLocks noChangeAspect="1"/>
        </xdr:cNvPicPr>
      </xdr:nvPicPr>
      <xdr:blipFill>
        <a:blip xmlns:r="http://schemas.openxmlformats.org/officeDocument/2006/relationships" r:embed="rId1030"/>
        <a:stretch>
          <a:fillRect/>
        </a:stretch>
      </xdr:blipFill>
      <xdr:spPr>
        <a:xfrm>
          <a:off x="7235825" y="1343640950"/>
          <a:ext cx="878840" cy="1183640"/>
        </a:xfrm>
        <a:prstGeom prst="rect">
          <a:avLst/>
        </a:prstGeom>
      </xdr:spPr>
    </xdr:pic>
    <xdr:clientData/>
  </xdr:twoCellAnchor>
  <xdr:twoCellAnchor>
    <xdr:from>
      <xdr:col>9</xdr:col>
      <xdr:colOff>6350</xdr:colOff>
      <xdr:row>1382</xdr:row>
      <xdr:rowOff>25400</xdr:rowOff>
    </xdr:from>
    <xdr:to>
      <xdr:col>9</xdr:col>
      <xdr:colOff>885190</xdr:colOff>
      <xdr:row>1382</xdr:row>
      <xdr:rowOff>1209040</xdr:rowOff>
    </xdr:to>
    <xdr:pic>
      <xdr:nvPicPr>
        <xdr:cNvPr id="6267" name="Изображение 6266" descr="resizeПП-00255715"/>
        <xdr:cNvPicPr>
          <a:picLocks noChangeAspect="1"/>
        </xdr:cNvPicPr>
      </xdr:nvPicPr>
      <xdr:blipFill>
        <a:blip xmlns:r="http://schemas.openxmlformats.org/officeDocument/2006/relationships" r:embed="rId1031"/>
        <a:stretch>
          <a:fillRect/>
        </a:stretch>
      </xdr:blipFill>
      <xdr:spPr>
        <a:xfrm>
          <a:off x="7235825" y="1344863325"/>
          <a:ext cx="878840" cy="1183640"/>
        </a:xfrm>
        <a:prstGeom prst="rect">
          <a:avLst/>
        </a:prstGeom>
      </xdr:spPr>
    </xdr:pic>
    <xdr:clientData/>
  </xdr:twoCellAnchor>
  <xdr:twoCellAnchor>
    <xdr:from>
      <xdr:col>9</xdr:col>
      <xdr:colOff>6350</xdr:colOff>
      <xdr:row>1383</xdr:row>
      <xdr:rowOff>25400</xdr:rowOff>
    </xdr:from>
    <xdr:to>
      <xdr:col>9</xdr:col>
      <xdr:colOff>885190</xdr:colOff>
      <xdr:row>1383</xdr:row>
      <xdr:rowOff>1209040</xdr:rowOff>
    </xdr:to>
    <xdr:pic>
      <xdr:nvPicPr>
        <xdr:cNvPr id="6268" name="Изображение 6267" descr="resizeПП-00255716"/>
        <xdr:cNvPicPr>
          <a:picLocks noChangeAspect="1"/>
        </xdr:cNvPicPr>
      </xdr:nvPicPr>
      <xdr:blipFill>
        <a:blip xmlns:r="http://schemas.openxmlformats.org/officeDocument/2006/relationships" r:embed="rId1032"/>
        <a:stretch>
          <a:fillRect/>
        </a:stretch>
      </xdr:blipFill>
      <xdr:spPr>
        <a:xfrm>
          <a:off x="7235825" y="1346085700"/>
          <a:ext cx="878840" cy="1183640"/>
        </a:xfrm>
        <a:prstGeom prst="rect">
          <a:avLst/>
        </a:prstGeom>
      </xdr:spPr>
    </xdr:pic>
    <xdr:clientData/>
  </xdr:twoCellAnchor>
  <xdr:twoCellAnchor>
    <xdr:from>
      <xdr:col>9</xdr:col>
      <xdr:colOff>6350</xdr:colOff>
      <xdr:row>1385</xdr:row>
      <xdr:rowOff>25400</xdr:rowOff>
    </xdr:from>
    <xdr:to>
      <xdr:col>9</xdr:col>
      <xdr:colOff>885190</xdr:colOff>
      <xdr:row>1385</xdr:row>
      <xdr:rowOff>1209040</xdr:rowOff>
    </xdr:to>
    <xdr:pic>
      <xdr:nvPicPr>
        <xdr:cNvPr id="6269" name="Изображение 6268" descr="resizeПП-00252734"/>
        <xdr:cNvPicPr>
          <a:picLocks noChangeAspect="1"/>
        </xdr:cNvPicPr>
      </xdr:nvPicPr>
      <xdr:blipFill>
        <a:blip xmlns:r="http://schemas.openxmlformats.org/officeDocument/2006/relationships" r:embed="rId1033"/>
        <a:stretch>
          <a:fillRect/>
        </a:stretch>
      </xdr:blipFill>
      <xdr:spPr>
        <a:xfrm>
          <a:off x="7235825" y="1347460475"/>
          <a:ext cx="878840" cy="1183640"/>
        </a:xfrm>
        <a:prstGeom prst="rect">
          <a:avLst/>
        </a:prstGeom>
      </xdr:spPr>
    </xdr:pic>
    <xdr:clientData/>
  </xdr:twoCellAnchor>
  <xdr:twoCellAnchor>
    <xdr:from>
      <xdr:col>9</xdr:col>
      <xdr:colOff>6350</xdr:colOff>
      <xdr:row>1386</xdr:row>
      <xdr:rowOff>25400</xdr:rowOff>
    </xdr:from>
    <xdr:to>
      <xdr:col>9</xdr:col>
      <xdr:colOff>885190</xdr:colOff>
      <xdr:row>1386</xdr:row>
      <xdr:rowOff>1209040</xdr:rowOff>
    </xdr:to>
    <xdr:pic>
      <xdr:nvPicPr>
        <xdr:cNvPr id="6270" name="Изображение 6269" descr="resizeПП-00176425"/>
        <xdr:cNvPicPr>
          <a:picLocks noChangeAspect="1"/>
        </xdr:cNvPicPr>
      </xdr:nvPicPr>
      <xdr:blipFill>
        <a:blip xmlns:r="http://schemas.openxmlformats.org/officeDocument/2006/relationships" r:embed="rId1034"/>
        <a:stretch>
          <a:fillRect/>
        </a:stretch>
      </xdr:blipFill>
      <xdr:spPr>
        <a:xfrm>
          <a:off x="7235825" y="1348682850"/>
          <a:ext cx="878840" cy="1183640"/>
        </a:xfrm>
        <a:prstGeom prst="rect">
          <a:avLst/>
        </a:prstGeom>
      </xdr:spPr>
    </xdr:pic>
    <xdr:clientData/>
  </xdr:twoCellAnchor>
  <xdr:twoCellAnchor>
    <xdr:from>
      <xdr:col>9</xdr:col>
      <xdr:colOff>6350</xdr:colOff>
      <xdr:row>1387</xdr:row>
      <xdr:rowOff>25400</xdr:rowOff>
    </xdr:from>
    <xdr:to>
      <xdr:col>9</xdr:col>
      <xdr:colOff>885190</xdr:colOff>
      <xdr:row>1387</xdr:row>
      <xdr:rowOff>1209040</xdr:rowOff>
    </xdr:to>
    <xdr:pic>
      <xdr:nvPicPr>
        <xdr:cNvPr id="6271" name="Изображение 6270" descr="resizeПП-00187613"/>
        <xdr:cNvPicPr>
          <a:picLocks noChangeAspect="1"/>
        </xdr:cNvPicPr>
      </xdr:nvPicPr>
      <xdr:blipFill>
        <a:blip xmlns:r="http://schemas.openxmlformats.org/officeDocument/2006/relationships" r:embed="rId1035"/>
        <a:stretch>
          <a:fillRect/>
        </a:stretch>
      </xdr:blipFill>
      <xdr:spPr>
        <a:xfrm>
          <a:off x="7235825" y="1349905225"/>
          <a:ext cx="878840" cy="1183640"/>
        </a:xfrm>
        <a:prstGeom prst="rect">
          <a:avLst/>
        </a:prstGeom>
      </xdr:spPr>
    </xdr:pic>
    <xdr:clientData/>
  </xdr:twoCellAnchor>
  <xdr:twoCellAnchor>
    <xdr:from>
      <xdr:col>9</xdr:col>
      <xdr:colOff>6350</xdr:colOff>
      <xdr:row>1388</xdr:row>
      <xdr:rowOff>25400</xdr:rowOff>
    </xdr:from>
    <xdr:to>
      <xdr:col>9</xdr:col>
      <xdr:colOff>885190</xdr:colOff>
      <xdr:row>1388</xdr:row>
      <xdr:rowOff>1209040</xdr:rowOff>
    </xdr:to>
    <xdr:pic>
      <xdr:nvPicPr>
        <xdr:cNvPr id="6272" name="Изображение 6271" descr="resizeПП-00187614"/>
        <xdr:cNvPicPr>
          <a:picLocks noChangeAspect="1"/>
        </xdr:cNvPicPr>
      </xdr:nvPicPr>
      <xdr:blipFill>
        <a:blip xmlns:r="http://schemas.openxmlformats.org/officeDocument/2006/relationships" r:embed="rId1035"/>
        <a:stretch>
          <a:fillRect/>
        </a:stretch>
      </xdr:blipFill>
      <xdr:spPr>
        <a:xfrm>
          <a:off x="7235825" y="1351127600"/>
          <a:ext cx="878840" cy="1183640"/>
        </a:xfrm>
        <a:prstGeom prst="rect">
          <a:avLst/>
        </a:prstGeom>
      </xdr:spPr>
    </xdr:pic>
    <xdr:clientData/>
  </xdr:twoCellAnchor>
  <xdr:twoCellAnchor>
    <xdr:from>
      <xdr:col>9</xdr:col>
      <xdr:colOff>6350</xdr:colOff>
      <xdr:row>1389</xdr:row>
      <xdr:rowOff>25400</xdr:rowOff>
    </xdr:from>
    <xdr:to>
      <xdr:col>9</xdr:col>
      <xdr:colOff>885190</xdr:colOff>
      <xdr:row>1389</xdr:row>
      <xdr:rowOff>1209040</xdr:rowOff>
    </xdr:to>
    <xdr:pic>
      <xdr:nvPicPr>
        <xdr:cNvPr id="6273" name="Изображение 6272" descr="resizeПП-00187551"/>
        <xdr:cNvPicPr>
          <a:picLocks noChangeAspect="1"/>
        </xdr:cNvPicPr>
      </xdr:nvPicPr>
      <xdr:blipFill>
        <a:blip xmlns:r="http://schemas.openxmlformats.org/officeDocument/2006/relationships" r:embed="rId1036"/>
        <a:stretch>
          <a:fillRect/>
        </a:stretch>
      </xdr:blipFill>
      <xdr:spPr>
        <a:xfrm>
          <a:off x="7235825" y="1352349975"/>
          <a:ext cx="878840" cy="1183640"/>
        </a:xfrm>
        <a:prstGeom prst="rect">
          <a:avLst/>
        </a:prstGeom>
      </xdr:spPr>
    </xdr:pic>
    <xdr:clientData/>
  </xdr:twoCellAnchor>
  <xdr:twoCellAnchor>
    <xdr:from>
      <xdr:col>9</xdr:col>
      <xdr:colOff>6350</xdr:colOff>
      <xdr:row>1390</xdr:row>
      <xdr:rowOff>25400</xdr:rowOff>
    </xdr:from>
    <xdr:to>
      <xdr:col>9</xdr:col>
      <xdr:colOff>885190</xdr:colOff>
      <xdr:row>1390</xdr:row>
      <xdr:rowOff>1209040</xdr:rowOff>
    </xdr:to>
    <xdr:pic>
      <xdr:nvPicPr>
        <xdr:cNvPr id="6274" name="Изображение 6273" descr="resizeПП-00187553"/>
        <xdr:cNvPicPr>
          <a:picLocks noChangeAspect="1"/>
        </xdr:cNvPicPr>
      </xdr:nvPicPr>
      <xdr:blipFill>
        <a:blip xmlns:r="http://schemas.openxmlformats.org/officeDocument/2006/relationships" r:embed="rId1036"/>
        <a:stretch>
          <a:fillRect/>
        </a:stretch>
      </xdr:blipFill>
      <xdr:spPr>
        <a:xfrm>
          <a:off x="7235825" y="1353572350"/>
          <a:ext cx="878840" cy="1183640"/>
        </a:xfrm>
        <a:prstGeom prst="rect">
          <a:avLst/>
        </a:prstGeom>
      </xdr:spPr>
    </xdr:pic>
    <xdr:clientData/>
  </xdr:twoCellAnchor>
  <xdr:twoCellAnchor>
    <xdr:from>
      <xdr:col>9</xdr:col>
      <xdr:colOff>6350</xdr:colOff>
      <xdr:row>1391</xdr:row>
      <xdr:rowOff>25400</xdr:rowOff>
    </xdr:from>
    <xdr:to>
      <xdr:col>9</xdr:col>
      <xdr:colOff>885190</xdr:colOff>
      <xdr:row>1391</xdr:row>
      <xdr:rowOff>1209040</xdr:rowOff>
    </xdr:to>
    <xdr:pic>
      <xdr:nvPicPr>
        <xdr:cNvPr id="6275" name="Изображение 6274" descr="resizeПП-00187637"/>
        <xdr:cNvPicPr>
          <a:picLocks noChangeAspect="1"/>
        </xdr:cNvPicPr>
      </xdr:nvPicPr>
      <xdr:blipFill>
        <a:blip xmlns:r="http://schemas.openxmlformats.org/officeDocument/2006/relationships" r:embed="rId1037"/>
        <a:stretch>
          <a:fillRect/>
        </a:stretch>
      </xdr:blipFill>
      <xdr:spPr>
        <a:xfrm>
          <a:off x="7235825" y="1354794725"/>
          <a:ext cx="878840" cy="1183640"/>
        </a:xfrm>
        <a:prstGeom prst="rect">
          <a:avLst/>
        </a:prstGeom>
      </xdr:spPr>
    </xdr:pic>
    <xdr:clientData/>
  </xdr:twoCellAnchor>
  <xdr:twoCellAnchor>
    <xdr:from>
      <xdr:col>9</xdr:col>
      <xdr:colOff>6350</xdr:colOff>
      <xdr:row>1392</xdr:row>
      <xdr:rowOff>25400</xdr:rowOff>
    </xdr:from>
    <xdr:to>
      <xdr:col>9</xdr:col>
      <xdr:colOff>885190</xdr:colOff>
      <xdr:row>1392</xdr:row>
      <xdr:rowOff>1209040</xdr:rowOff>
    </xdr:to>
    <xdr:pic>
      <xdr:nvPicPr>
        <xdr:cNvPr id="6276" name="Изображение 6275" descr="resizeПП-00155288"/>
        <xdr:cNvPicPr>
          <a:picLocks noChangeAspect="1"/>
        </xdr:cNvPicPr>
      </xdr:nvPicPr>
      <xdr:blipFill>
        <a:blip xmlns:r="http://schemas.openxmlformats.org/officeDocument/2006/relationships" r:embed="rId1038"/>
        <a:stretch>
          <a:fillRect/>
        </a:stretch>
      </xdr:blipFill>
      <xdr:spPr>
        <a:xfrm>
          <a:off x="7235825" y="1356017100"/>
          <a:ext cx="878840" cy="1183640"/>
        </a:xfrm>
        <a:prstGeom prst="rect">
          <a:avLst/>
        </a:prstGeom>
      </xdr:spPr>
    </xdr:pic>
    <xdr:clientData/>
  </xdr:twoCellAnchor>
  <xdr:twoCellAnchor>
    <xdr:from>
      <xdr:col>9</xdr:col>
      <xdr:colOff>6350</xdr:colOff>
      <xdr:row>1394</xdr:row>
      <xdr:rowOff>25400</xdr:rowOff>
    </xdr:from>
    <xdr:to>
      <xdr:col>9</xdr:col>
      <xdr:colOff>885190</xdr:colOff>
      <xdr:row>1394</xdr:row>
      <xdr:rowOff>1209040</xdr:rowOff>
    </xdr:to>
    <xdr:pic>
      <xdr:nvPicPr>
        <xdr:cNvPr id="6277" name="Изображение 6276" descr="resizeПП-00227762"/>
        <xdr:cNvPicPr>
          <a:picLocks noChangeAspect="1"/>
        </xdr:cNvPicPr>
      </xdr:nvPicPr>
      <xdr:blipFill>
        <a:blip xmlns:r="http://schemas.openxmlformats.org/officeDocument/2006/relationships" r:embed="rId1039"/>
        <a:stretch>
          <a:fillRect/>
        </a:stretch>
      </xdr:blipFill>
      <xdr:spPr>
        <a:xfrm>
          <a:off x="7235825" y="1357391875"/>
          <a:ext cx="878840" cy="1183640"/>
        </a:xfrm>
        <a:prstGeom prst="rect">
          <a:avLst/>
        </a:prstGeom>
      </xdr:spPr>
    </xdr:pic>
    <xdr:clientData/>
  </xdr:twoCellAnchor>
  <xdr:twoCellAnchor>
    <xdr:from>
      <xdr:col>9</xdr:col>
      <xdr:colOff>6350</xdr:colOff>
      <xdr:row>1395</xdr:row>
      <xdr:rowOff>25400</xdr:rowOff>
    </xdr:from>
    <xdr:to>
      <xdr:col>9</xdr:col>
      <xdr:colOff>885190</xdr:colOff>
      <xdr:row>1395</xdr:row>
      <xdr:rowOff>1209040</xdr:rowOff>
    </xdr:to>
    <xdr:pic>
      <xdr:nvPicPr>
        <xdr:cNvPr id="6278" name="Изображение 6277" descr="resizeПП-00227767"/>
        <xdr:cNvPicPr>
          <a:picLocks noChangeAspect="1"/>
        </xdr:cNvPicPr>
      </xdr:nvPicPr>
      <xdr:blipFill>
        <a:blip xmlns:r="http://schemas.openxmlformats.org/officeDocument/2006/relationships" r:embed="rId1040"/>
        <a:stretch>
          <a:fillRect/>
        </a:stretch>
      </xdr:blipFill>
      <xdr:spPr>
        <a:xfrm>
          <a:off x="7235825" y="1358614250"/>
          <a:ext cx="878840" cy="1183640"/>
        </a:xfrm>
        <a:prstGeom prst="rect">
          <a:avLst/>
        </a:prstGeom>
      </xdr:spPr>
    </xdr:pic>
    <xdr:clientData/>
  </xdr:twoCellAnchor>
  <xdr:twoCellAnchor>
    <xdr:from>
      <xdr:col>9</xdr:col>
      <xdr:colOff>6350</xdr:colOff>
      <xdr:row>1396</xdr:row>
      <xdr:rowOff>25400</xdr:rowOff>
    </xdr:from>
    <xdr:to>
      <xdr:col>9</xdr:col>
      <xdr:colOff>885190</xdr:colOff>
      <xdr:row>1396</xdr:row>
      <xdr:rowOff>1209040</xdr:rowOff>
    </xdr:to>
    <xdr:pic>
      <xdr:nvPicPr>
        <xdr:cNvPr id="6279" name="Изображение 6278" descr="resizeПП-00201228"/>
        <xdr:cNvPicPr>
          <a:picLocks noChangeAspect="1"/>
        </xdr:cNvPicPr>
      </xdr:nvPicPr>
      <xdr:blipFill>
        <a:blip xmlns:r="http://schemas.openxmlformats.org/officeDocument/2006/relationships" r:embed="rId1041"/>
        <a:stretch>
          <a:fillRect/>
        </a:stretch>
      </xdr:blipFill>
      <xdr:spPr>
        <a:xfrm>
          <a:off x="7235825" y="1359836625"/>
          <a:ext cx="878840" cy="1183640"/>
        </a:xfrm>
        <a:prstGeom prst="rect">
          <a:avLst/>
        </a:prstGeom>
      </xdr:spPr>
    </xdr:pic>
    <xdr:clientData/>
  </xdr:twoCellAnchor>
  <xdr:twoCellAnchor>
    <xdr:from>
      <xdr:col>9</xdr:col>
      <xdr:colOff>6350</xdr:colOff>
      <xdr:row>1397</xdr:row>
      <xdr:rowOff>25400</xdr:rowOff>
    </xdr:from>
    <xdr:to>
      <xdr:col>9</xdr:col>
      <xdr:colOff>885190</xdr:colOff>
      <xdr:row>1397</xdr:row>
      <xdr:rowOff>1209040</xdr:rowOff>
    </xdr:to>
    <xdr:pic>
      <xdr:nvPicPr>
        <xdr:cNvPr id="6280" name="Изображение 6279" descr="resizeПП-00279552"/>
        <xdr:cNvPicPr>
          <a:picLocks noChangeAspect="1"/>
        </xdr:cNvPicPr>
      </xdr:nvPicPr>
      <xdr:blipFill>
        <a:blip xmlns:r="http://schemas.openxmlformats.org/officeDocument/2006/relationships" r:embed="rId1042"/>
        <a:stretch>
          <a:fillRect/>
        </a:stretch>
      </xdr:blipFill>
      <xdr:spPr>
        <a:xfrm>
          <a:off x="7235825" y="1361059000"/>
          <a:ext cx="878840" cy="1183640"/>
        </a:xfrm>
        <a:prstGeom prst="rect">
          <a:avLst/>
        </a:prstGeom>
      </xdr:spPr>
    </xdr:pic>
    <xdr:clientData/>
  </xdr:twoCellAnchor>
  <xdr:twoCellAnchor>
    <xdr:from>
      <xdr:col>9</xdr:col>
      <xdr:colOff>6350</xdr:colOff>
      <xdr:row>1398</xdr:row>
      <xdr:rowOff>25400</xdr:rowOff>
    </xdr:from>
    <xdr:to>
      <xdr:col>9</xdr:col>
      <xdr:colOff>885190</xdr:colOff>
      <xdr:row>1398</xdr:row>
      <xdr:rowOff>1209040</xdr:rowOff>
    </xdr:to>
    <xdr:pic>
      <xdr:nvPicPr>
        <xdr:cNvPr id="6281" name="Изображение 6280" descr="resizeПП-00279553"/>
        <xdr:cNvPicPr>
          <a:picLocks noChangeAspect="1"/>
        </xdr:cNvPicPr>
      </xdr:nvPicPr>
      <xdr:blipFill>
        <a:blip xmlns:r="http://schemas.openxmlformats.org/officeDocument/2006/relationships" r:embed="rId1043"/>
        <a:stretch>
          <a:fillRect/>
        </a:stretch>
      </xdr:blipFill>
      <xdr:spPr>
        <a:xfrm>
          <a:off x="7235825" y="1362281375"/>
          <a:ext cx="878840" cy="1183640"/>
        </a:xfrm>
        <a:prstGeom prst="rect">
          <a:avLst/>
        </a:prstGeom>
      </xdr:spPr>
    </xdr:pic>
    <xdr:clientData/>
  </xdr:twoCellAnchor>
  <xdr:twoCellAnchor>
    <xdr:from>
      <xdr:col>9</xdr:col>
      <xdr:colOff>6350</xdr:colOff>
      <xdr:row>1400</xdr:row>
      <xdr:rowOff>25400</xdr:rowOff>
    </xdr:from>
    <xdr:to>
      <xdr:col>9</xdr:col>
      <xdr:colOff>885190</xdr:colOff>
      <xdr:row>1400</xdr:row>
      <xdr:rowOff>1209040</xdr:rowOff>
    </xdr:to>
    <xdr:pic>
      <xdr:nvPicPr>
        <xdr:cNvPr id="6282" name="Изображение 6281" descr="resizeПП-00279554"/>
        <xdr:cNvPicPr>
          <a:picLocks noChangeAspect="1"/>
        </xdr:cNvPicPr>
      </xdr:nvPicPr>
      <xdr:blipFill>
        <a:blip xmlns:r="http://schemas.openxmlformats.org/officeDocument/2006/relationships" r:embed="rId1044"/>
        <a:stretch>
          <a:fillRect/>
        </a:stretch>
      </xdr:blipFill>
      <xdr:spPr>
        <a:xfrm>
          <a:off x="7235825" y="1363656150"/>
          <a:ext cx="878840" cy="1183640"/>
        </a:xfrm>
        <a:prstGeom prst="rect">
          <a:avLst/>
        </a:prstGeom>
      </xdr:spPr>
    </xdr:pic>
    <xdr:clientData/>
  </xdr:twoCellAnchor>
  <xdr:twoCellAnchor>
    <xdr:from>
      <xdr:col>9</xdr:col>
      <xdr:colOff>6350</xdr:colOff>
      <xdr:row>1405</xdr:row>
      <xdr:rowOff>25400</xdr:rowOff>
    </xdr:from>
    <xdr:to>
      <xdr:col>9</xdr:col>
      <xdr:colOff>885190</xdr:colOff>
      <xdr:row>1405</xdr:row>
      <xdr:rowOff>1209040</xdr:rowOff>
    </xdr:to>
    <xdr:pic>
      <xdr:nvPicPr>
        <xdr:cNvPr id="6283" name="Изображение 6282" descr="resizeПП-00228012"/>
        <xdr:cNvPicPr>
          <a:picLocks noChangeAspect="1"/>
        </xdr:cNvPicPr>
      </xdr:nvPicPr>
      <xdr:blipFill>
        <a:blip xmlns:r="http://schemas.openxmlformats.org/officeDocument/2006/relationships" r:embed="rId1045"/>
        <a:stretch>
          <a:fillRect/>
        </a:stretch>
      </xdr:blipFill>
      <xdr:spPr>
        <a:xfrm>
          <a:off x="7235825" y="1365488125"/>
          <a:ext cx="878840" cy="1183640"/>
        </a:xfrm>
        <a:prstGeom prst="rect">
          <a:avLst/>
        </a:prstGeom>
      </xdr:spPr>
    </xdr:pic>
    <xdr:clientData/>
  </xdr:twoCellAnchor>
  <xdr:twoCellAnchor>
    <xdr:from>
      <xdr:col>9</xdr:col>
      <xdr:colOff>6350</xdr:colOff>
      <xdr:row>1406</xdr:row>
      <xdr:rowOff>25400</xdr:rowOff>
    </xdr:from>
    <xdr:to>
      <xdr:col>9</xdr:col>
      <xdr:colOff>885190</xdr:colOff>
      <xdr:row>1406</xdr:row>
      <xdr:rowOff>1209040</xdr:rowOff>
    </xdr:to>
    <xdr:pic>
      <xdr:nvPicPr>
        <xdr:cNvPr id="6284" name="Изображение 6283" descr="resizeПП-00275370"/>
        <xdr:cNvPicPr>
          <a:picLocks noChangeAspect="1"/>
        </xdr:cNvPicPr>
      </xdr:nvPicPr>
      <xdr:blipFill>
        <a:blip xmlns:r="http://schemas.openxmlformats.org/officeDocument/2006/relationships" r:embed="rId1046"/>
        <a:stretch>
          <a:fillRect/>
        </a:stretch>
      </xdr:blipFill>
      <xdr:spPr>
        <a:xfrm>
          <a:off x="7235825" y="1366710500"/>
          <a:ext cx="878840" cy="1183640"/>
        </a:xfrm>
        <a:prstGeom prst="rect">
          <a:avLst/>
        </a:prstGeom>
      </xdr:spPr>
    </xdr:pic>
    <xdr:clientData/>
  </xdr:twoCellAnchor>
  <xdr:twoCellAnchor>
    <xdr:from>
      <xdr:col>9</xdr:col>
      <xdr:colOff>6350</xdr:colOff>
      <xdr:row>1407</xdr:row>
      <xdr:rowOff>25400</xdr:rowOff>
    </xdr:from>
    <xdr:to>
      <xdr:col>9</xdr:col>
      <xdr:colOff>885190</xdr:colOff>
      <xdr:row>1407</xdr:row>
      <xdr:rowOff>1209040</xdr:rowOff>
    </xdr:to>
    <xdr:pic>
      <xdr:nvPicPr>
        <xdr:cNvPr id="6285" name="Изображение 6284" descr="resizeПП-00228015"/>
        <xdr:cNvPicPr>
          <a:picLocks noChangeAspect="1"/>
        </xdr:cNvPicPr>
      </xdr:nvPicPr>
      <xdr:blipFill>
        <a:blip xmlns:r="http://schemas.openxmlformats.org/officeDocument/2006/relationships" r:embed="rId1047"/>
        <a:stretch>
          <a:fillRect/>
        </a:stretch>
      </xdr:blipFill>
      <xdr:spPr>
        <a:xfrm>
          <a:off x="7235825" y="1367932875"/>
          <a:ext cx="878840" cy="1183640"/>
        </a:xfrm>
        <a:prstGeom prst="rect">
          <a:avLst/>
        </a:prstGeom>
      </xdr:spPr>
    </xdr:pic>
    <xdr:clientData/>
  </xdr:twoCellAnchor>
  <xdr:twoCellAnchor>
    <xdr:from>
      <xdr:col>9</xdr:col>
      <xdr:colOff>6350</xdr:colOff>
      <xdr:row>1408</xdr:row>
      <xdr:rowOff>25400</xdr:rowOff>
    </xdr:from>
    <xdr:to>
      <xdr:col>9</xdr:col>
      <xdr:colOff>885190</xdr:colOff>
      <xdr:row>1408</xdr:row>
      <xdr:rowOff>1209040</xdr:rowOff>
    </xdr:to>
    <xdr:pic>
      <xdr:nvPicPr>
        <xdr:cNvPr id="6286" name="Изображение 6285" descr="resizeПП-00187293"/>
        <xdr:cNvPicPr>
          <a:picLocks noChangeAspect="1"/>
        </xdr:cNvPicPr>
      </xdr:nvPicPr>
      <xdr:blipFill>
        <a:blip xmlns:r="http://schemas.openxmlformats.org/officeDocument/2006/relationships" r:embed="rId1048"/>
        <a:stretch>
          <a:fillRect/>
        </a:stretch>
      </xdr:blipFill>
      <xdr:spPr>
        <a:xfrm>
          <a:off x="7235825" y="1369155250"/>
          <a:ext cx="878840" cy="1183640"/>
        </a:xfrm>
        <a:prstGeom prst="rect">
          <a:avLst/>
        </a:prstGeom>
      </xdr:spPr>
    </xdr:pic>
    <xdr:clientData/>
  </xdr:twoCellAnchor>
  <xdr:twoCellAnchor>
    <xdr:from>
      <xdr:col>9</xdr:col>
      <xdr:colOff>6350</xdr:colOff>
      <xdr:row>1409</xdr:row>
      <xdr:rowOff>25400</xdr:rowOff>
    </xdr:from>
    <xdr:to>
      <xdr:col>9</xdr:col>
      <xdr:colOff>885190</xdr:colOff>
      <xdr:row>1409</xdr:row>
      <xdr:rowOff>1209040</xdr:rowOff>
    </xdr:to>
    <xdr:pic>
      <xdr:nvPicPr>
        <xdr:cNvPr id="6287" name="Изображение 6286" descr="resizeПП-00275371"/>
        <xdr:cNvPicPr>
          <a:picLocks noChangeAspect="1"/>
        </xdr:cNvPicPr>
      </xdr:nvPicPr>
      <xdr:blipFill>
        <a:blip xmlns:r="http://schemas.openxmlformats.org/officeDocument/2006/relationships" r:embed="rId1049"/>
        <a:stretch>
          <a:fillRect/>
        </a:stretch>
      </xdr:blipFill>
      <xdr:spPr>
        <a:xfrm>
          <a:off x="7235825" y="1370377625"/>
          <a:ext cx="878840" cy="1183640"/>
        </a:xfrm>
        <a:prstGeom prst="rect">
          <a:avLst/>
        </a:prstGeom>
      </xdr:spPr>
    </xdr:pic>
    <xdr:clientData/>
  </xdr:twoCellAnchor>
  <xdr:twoCellAnchor>
    <xdr:from>
      <xdr:col>9</xdr:col>
      <xdr:colOff>6350</xdr:colOff>
      <xdr:row>1410</xdr:row>
      <xdr:rowOff>25400</xdr:rowOff>
    </xdr:from>
    <xdr:to>
      <xdr:col>9</xdr:col>
      <xdr:colOff>885190</xdr:colOff>
      <xdr:row>1410</xdr:row>
      <xdr:rowOff>1209040</xdr:rowOff>
    </xdr:to>
    <xdr:pic>
      <xdr:nvPicPr>
        <xdr:cNvPr id="6288" name="Изображение 6287" descr="resizeПП-00228009"/>
        <xdr:cNvPicPr>
          <a:picLocks noChangeAspect="1"/>
        </xdr:cNvPicPr>
      </xdr:nvPicPr>
      <xdr:blipFill>
        <a:blip xmlns:r="http://schemas.openxmlformats.org/officeDocument/2006/relationships" r:embed="rId1050"/>
        <a:stretch>
          <a:fillRect/>
        </a:stretch>
      </xdr:blipFill>
      <xdr:spPr>
        <a:xfrm>
          <a:off x="7235825" y="1371600000"/>
          <a:ext cx="878840" cy="1183640"/>
        </a:xfrm>
        <a:prstGeom prst="rect">
          <a:avLst/>
        </a:prstGeom>
      </xdr:spPr>
    </xdr:pic>
    <xdr:clientData/>
  </xdr:twoCellAnchor>
  <xdr:twoCellAnchor>
    <xdr:from>
      <xdr:col>9</xdr:col>
      <xdr:colOff>6350</xdr:colOff>
      <xdr:row>1411</xdr:row>
      <xdr:rowOff>25400</xdr:rowOff>
    </xdr:from>
    <xdr:to>
      <xdr:col>9</xdr:col>
      <xdr:colOff>885190</xdr:colOff>
      <xdr:row>1411</xdr:row>
      <xdr:rowOff>1209040</xdr:rowOff>
    </xdr:to>
    <xdr:pic>
      <xdr:nvPicPr>
        <xdr:cNvPr id="6289" name="Изображение 6288" descr="resizeПП-00187287"/>
        <xdr:cNvPicPr>
          <a:picLocks noChangeAspect="1"/>
        </xdr:cNvPicPr>
      </xdr:nvPicPr>
      <xdr:blipFill>
        <a:blip xmlns:r="http://schemas.openxmlformats.org/officeDocument/2006/relationships" r:embed="rId1051"/>
        <a:stretch>
          <a:fillRect/>
        </a:stretch>
      </xdr:blipFill>
      <xdr:spPr>
        <a:xfrm>
          <a:off x="7235825" y="1372822375"/>
          <a:ext cx="878840" cy="1183640"/>
        </a:xfrm>
        <a:prstGeom prst="rect">
          <a:avLst/>
        </a:prstGeom>
      </xdr:spPr>
    </xdr:pic>
    <xdr:clientData/>
  </xdr:twoCellAnchor>
  <xdr:twoCellAnchor>
    <xdr:from>
      <xdr:col>9</xdr:col>
      <xdr:colOff>6350</xdr:colOff>
      <xdr:row>1412</xdr:row>
      <xdr:rowOff>25400</xdr:rowOff>
    </xdr:from>
    <xdr:to>
      <xdr:col>9</xdr:col>
      <xdr:colOff>885190</xdr:colOff>
      <xdr:row>1412</xdr:row>
      <xdr:rowOff>1209040</xdr:rowOff>
    </xdr:to>
    <xdr:pic>
      <xdr:nvPicPr>
        <xdr:cNvPr id="6290" name="Изображение 6289" descr="resizeПП-00187291"/>
        <xdr:cNvPicPr>
          <a:picLocks noChangeAspect="1"/>
        </xdr:cNvPicPr>
      </xdr:nvPicPr>
      <xdr:blipFill>
        <a:blip xmlns:r="http://schemas.openxmlformats.org/officeDocument/2006/relationships" r:embed="rId1052"/>
        <a:stretch>
          <a:fillRect/>
        </a:stretch>
      </xdr:blipFill>
      <xdr:spPr>
        <a:xfrm>
          <a:off x="7235825" y="1374044750"/>
          <a:ext cx="878840" cy="1183640"/>
        </a:xfrm>
        <a:prstGeom prst="rect">
          <a:avLst/>
        </a:prstGeom>
      </xdr:spPr>
    </xdr:pic>
    <xdr:clientData/>
  </xdr:twoCellAnchor>
  <xdr:twoCellAnchor>
    <xdr:from>
      <xdr:col>9</xdr:col>
      <xdr:colOff>6350</xdr:colOff>
      <xdr:row>1413</xdr:row>
      <xdr:rowOff>25400</xdr:rowOff>
    </xdr:from>
    <xdr:to>
      <xdr:col>9</xdr:col>
      <xdr:colOff>885190</xdr:colOff>
      <xdr:row>1413</xdr:row>
      <xdr:rowOff>1209040</xdr:rowOff>
    </xdr:to>
    <xdr:pic>
      <xdr:nvPicPr>
        <xdr:cNvPr id="6291" name="Изображение 6290" descr="resizeПП-00228005"/>
        <xdr:cNvPicPr>
          <a:picLocks noChangeAspect="1"/>
        </xdr:cNvPicPr>
      </xdr:nvPicPr>
      <xdr:blipFill>
        <a:blip xmlns:r="http://schemas.openxmlformats.org/officeDocument/2006/relationships" r:embed="rId1053"/>
        <a:stretch>
          <a:fillRect/>
        </a:stretch>
      </xdr:blipFill>
      <xdr:spPr>
        <a:xfrm>
          <a:off x="7235825" y="1375267125"/>
          <a:ext cx="878840" cy="1183640"/>
        </a:xfrm>
        <a:prstGeom prst="rect">
          <a:avLst/>
        </a:prstGeom>
      </xdr:spPr>
    </xdr:pic>
    <xdr:clientData/>
  </xdr:twoCellAnchor>
  <xdr:twoCellAnchor>
    <xdr:from>
      <xdr:col>9</xdr:col>
      <xdr:colOff>6350</xdr:colOff>
      <xdr:row>1415</xdr:row>
      <xdr:rowOff>25400</xdr:rowOff>
    </xdr:from>
    <xdr:to>
      <xdr:col>9</xdr:col>
      <xdr:colOff>885190</xdr:colOff>
      <xdr:row>1415</xdr:row>
      <xdr:rowOff>1209040</xdr:rowOff>
    </xdr:to>
    <xdr:pic>
      <xdr:nvPicPr>
        <xdr:cNvPr id="6292" name="Изображение 6291" descr="resizeПП-00228013"/>
        <xdr:cNvPicPr>
          <a:picLocks noChangeAspect="1"/>
        </xdr:cNvPicPr>
      </xdr:nvPicPr>
      <xdr:blipFill>
        <a:blip xmlns:r="http://schemas.openxmlformats.org/officeDocument/2006/relationships" r:embed="rId1054"/>
        <a:stretch>
          <a:fillRect/>
        </a:stretch>
      </xdr:blipFill>
      <xdr:spPr>
        <a:xfrm>
          <a:off x="7235825" y="1376641900"/>
          <a:ext cx="878840" cy="1183640"/>
        </a:xfrm>
        <a:prstGeom prst="rect">
          <a:avLst/>
        </a:prstGeom>
      </xdr:spPr>
    </xdr:pic>
    <xdr:clientData/>
  </xdr:twoCellAnchor>
  <xdr:twoCellAnchor>
    <xdr:from>
      <xdr:col>9</xdr:col>
      <xdr:colOff>6350</xdr:colOff>
      <xdr:row>1416</xdr:row>
      <xdr:rowOff>25400</xdr:rowOff>
    </xdr:from>
    <xdr:to>
      <xdr:col>9</xdr:col>
      <xdr:colOff>885190</xdr:colOff>
      <xdr:row>1416</xdr:row>
      <xdr:rowOff>1209040</xdr:rowOff>
    </xdr:to>
    <xdr:pic>
      <xdr:nvPicPr>
        <xdr:cNvPr id="6293" name="Изображение 6292" descr="resizeПП-00275374"/>
        <xdr:cNvPicPr>
          <a:picLocks noChangeAspect="1"/>
        </xdr:cNvPicPr>
      </xdr:nvPicPr>
      <xdr:blipFill>
        <a:blip xmlns:r="http://schemas.openxmlformats.org/officeDocument/2006/relationships" r:embed="rId1055"/>
        <a:stretch>
          <a:fillRect/>
        </a:stretch>
      </xdr:blipFill>
      <xdr:spPr>
        <a:xfrm>
          <a:off x="7235825" y="1377864275"/>
          <a:ext cx="878840" cy="1183640"/>
        </a:xfrm>
        <a:prstGeom prst="rect">
          <a:avLst/>
        </a:prstGeom>
      </xdr:spPr>
    </xdr:pic>
    <xdr:clientData/>
  </xdr:twoCellAnchor>
  <xdr:twoCellAnchor>
    <xdr:from>
      <xdr:col>9</xdr:col>
      <xdr:colOff>6350</xdr:colOff>
      <xdr:row>1417</xdr:row>
      <xdr:rowOff>25400</xdr:rowOff>
    </xdr:from>
    <xdr:to>
      <xdr:col>9</xdr:col>
      <xdr:colOff>885190</xdr:colOff>
      <xdr:row>1417</xdr:row>
      <xdr:rowOff>1209040</xdr:rowOff>
    </xdr:to>
    <xdr:pic>
      <xdr:nvPicPr>
        <xdr:cNvPr id="6294" name="Изображение 6293" descr="resizeПП-00228017"/>
        <xdr:cNvPicPr>
          <a:picLocks noChangeAspect="1"/>
        </xdr:cNvPicPr>
      </xdr:nvPicPr>
      <xdr:blipFill>
        <a:blip xmlns:r="http://schemas.openxmlformats.org/officeDocument/2006/relationships" r:embed="rId1056"/>
        <a:stretch>
          <a:fillRect/>
        </a:stretch>
      </xdr:blipFill>
      <xdr:spPr>
        <a:xfrm>
          <a:off x="7235825" y="1379086650"/>
          <a:ext cx="878840" cy="1183640"/>
        </a:xfrm>
        <a:prstGeom prst="rect">
          <a:avLst/>
        </a:prstGeom>
      </xdr:spPr>
    </xdr:pic>
    <xdr:clientData/>
  </xdr:twoCellAnchor>
  <xdr:twoCellAnchor>
    <xdr:from>
      <xdr:col>9</xdr:col>
      <xdr:colOff>6350</xdr:colOff>
      <xdr:row>1418</xdr:row>
      <xdr:rowOff>25400</xdr:rowOff>
    </xdr:from>
    <xdr:to>
      <xdr:col>9</xdr:col>
      <xdr:colOff>885190</xdr:colOff>
      <xdr:row>1418</xdr:row>
      <xdr:rowOff>1209040</xdr:rowOff>
    </xdr:to>
    <xdr:pic>
      <xdr:nvPicPr>
        <xdr:cNvPr id="6295" name="Изображение 6294" descr="resizeПП-00187292"/>
        <xdr:cNvPicPr>
          <a:picLocks noChangeAspect="1"/>
        </xdr:cNvPicPr>
      </xdr:nvPicPr>
      <xdr:blipFill>
        <a:blip xmlns:r="http://schemas.openxmlformats.org/officeDocument/2006/relationships" r:embed="rId1057"/>
        <a:stretch>
          <a:fillRect/>
        </a:stretch>
      </xdr:blipFill>
      <xdr:spPr>
        <a:xfrm>
          <a:off x="7235825" y="1380309025"/>
          <a:ext cx="878840" cy="1183640"/>
        </a:xfrm>
        <a:prstGeom prst="rect">
          <a:avLst/>
        </a:prstGeom>
      </xdr:spPr>
    </xdr:pic>
    <xdr:clientData/>
  </xdr:twoCellAnchor>
  <xdr:twoCellAnchor>
    <xdr:from>
      <xdr:col>9</xdr:col>
      <xdr:colOff>6350</xdr:colOff>
      <xdr:row>1419</xdr:row>
      <xdr:rowOff>25400</xdr:rowOff>
    </xdr:from>
    <xdr:to>
      <xdr:col>9</xdr:col>
      <xdr:colOff>885190</xdr:colOff>
      <xdr:row>1419</xdr:row>
      <xdr:rowOff>1209040</xdr:rowOff>
    </xdr:to>
    <xdr:pic>
      <xdr:nvPicPr>
        <xdr:cNvPr id="6296" name="Изображение 6295" descr="resizeПП-00275373"/>
        <xdr:cNvPicPr>
          <a:picLocks noChangeAspect="1"/>
        </xdr:cNvPicPr>
      </xdr:nvPicPr>
      <xdr:blipFill>
        <a:blip xmlns:r="http://schemas.openxmlformats.org/officeDocument/2006/relationships" r:embed="rId1058"/>
        <a:stretch>
          <a:fillRect/>
        </a:stretch>
      </xdr:blipFill>
      <xdr:spPr>
        <a:xfrm>
          <a:off x="7235825" y="1381531400"/>
          <a:ext cx="878840" cy="1183640"/>
        </a:xfrm>
        <a:prstGeom prst="rect">
          <a:avLst/>
        </a:prstGeom>
      </xdr:spPr>
    </xdr:pic>
    <xdr:clientData/>
  </xdr:twoCellAnchor>
  <xdr:twoCellAnchor>
    <xdr:from>
      <xdr:col>9</xdr:col>
      <xdr:colOff>6350</xdr:colOff>
      <xdr:row>1420</xdr:row>
      <xdr:rowOff>25400</xdr:rowOff>
    </xdr:from>
    <xdr:to>
      <xdr:col>9</xdr:col>
      <xdr:colOff>885190</xdr:colOff>
      <xdr:row>1420</xdr:row>
      <xdr:rowOff>1209040</xdr:rowOff>
    </xdr:to>
    <xdr:pic>
      <xdr:nvPicPr>
        <xdr:cNvPr id="6297" name="Изображение 6296" descr="resizeПП-00228010"/>
        <xdr:cNvPicPr>
          <a:picLocks noChangeAspect="1"/>
        </xdr:cNvPicPr>
      </xdr:nvPicPr>
      <xdr:blipFill>
        <a:blip xmlns:r="http://schemas.openxmlformats.org/officeDocument/2006/relationships" r:embed="rId1059"/>
        <a:stretch>
          <a:fillRect/>
        </a:stretch>
      </xdr:blipFill>
      <xdr:spPr>
        <a:xfrm>
          <a:off x="7235825" y="1382753775"/>
          <a:ext cx="878840" cy="1183640"/>
        </a:xfrm>
        <a:prstGeom prst="rect">
          <a:avLst/>
        </a:prstGeom>
      </xdr:spPr>
    </xdr:pic>
    <xdr:clientData/>
  </xdr:twoCellAnchor>
  <xdr:twoCellAnchor>
    <xdr:from>
      <xdr:col>9</xdr:col>
      <xdr:colOff>6350</xdr:colOff>
      <xdr:row>1421</xdr:row>
      <xdr:rowOff>25400</xdr:rowOff>
    </xdr:from>
    <xdr:to>
      <xdr:col>9</xdr:col>
      <xdr:colOff>885190</xdr:colOff>
      <xdr:row>1421</xdr:row>
      <xdr:rowOff>1209040</xdr:rowOff>
    </xdr:to>
    <xdr:pic>
      <xdr:nvPicPr>
        <xdr:cNvPr id="6298" name="Изображение 6297" descr="resizeПП-00154266"/>
        <xdr:cNvPicPr>
          <a:picLocks noChangeAspect="1"/>
        </xdr:cNvPicPr>
      </xdr:nvPicPr>
      <xdr:blipFill>
        <a:blip xmlns:r="http://schemas.openxmlformats.org/officeDocument/2006/relationships" r:embed="rId1060"/>
        <a:stretch>
          <a:fillRect/>
        </a:stretch>
      </xdr:blipFill>
      <xdr:spPr>
        <a:xfrm>
          <a:off x="7235825" y="1383976150"/>
          <a:ext cx="878840" cy="1183640"/>
        </a:xfrm>
        <a:prstGeom prst="rect">
          <a:avLst/>
        </a:prstGeom>
      </xdr:spPr>
    </xdr:pic>
    <xdr:clientData/>
  </xdr:twoCellAnchor>
  <xdr:twoCellAnchor>
    <xdr:from>
      <xdr:col>9</xdr:col>
      <xdr:colOff>6350</xdr:colOff>
      <xdr:row>1422</xdr:row>
      <xdr:rowOff>25400</xdr:rowOff>
    </xdr:from>
    <xdr:to>
      <xdr:col>9</xdr:col>
      <xdr:colOff>885190</xdr:colOff>
      <xdr:row>1422</xdr:row>
      <xdr:rowOff>1209040</xdr:rowOff>
    </xdr:to>
    <xdr:pic>
      <xdr:nvPicPr>
        <xdr:cNvPr id="6299" name="Изображение 6298" descr="resizeПП-00187290"/>
        <xdr:cNvPicPr>
          <a:picLocks noChangeAspect="1"/>
        </xdr:cNvPicPr>
      </xdr:nvPicPr>
      <xdr:blipFill>
        <a:blip xmlns:r="http://schemas.openxmlformats.org/officeDocument/2006/relationships" r:embed="rId1061"/>
        <a:stretch>
          <a:fillRect/>
        </a:stretch>
      </xdr:blipFill>
      <xdr:spPr>
        <a:xfrm>
          <a:off x="7235825" y="1385198525"/>
          <a:ext cx="878840" cy="1183640"/>
        </a:xfrm>
        <a:prstGeom prst="rect">
          <a:avLst/>
        </a:prstGeom>
      </xdr:spPr>
    </xdr:pic>
    <xdr:clientData/>
  </xdr:twoCellAnchor>
  <xdr:twoCellAnchor>
    <xdr:from>
      <xdr:col>9</xdr:col>
      <xdr:colOff>6350</xdr:colOff>
      <xdr:row>1423</xdr:row>
      <xdr:rowOff>25400</xdr:rowOff>
    </xdr:from>
    <xdr:to>
      <xdr:col>9</xdr:col>
      <xdr:colOff>885190</xdr:colOff>
      <xdr:row>1423</xdr:row>
      <xdr:rowOff>1209040</xdr:rowOff>
    </xdr:to>
    <xdr:pic>
      <xdr:nvPicPr>
        <xdr:cNvPr id="6300" name="Изображение 6299" descr="resizeПП-00228007"/>
        <xdr:cNvPicPr>
          <a:picLocks noChangeAspect="1"/>
        </xdr:cNvPicPr>
      </xdr:nvPicPr>
      <xdr:blipFill>
        <a:blip xmlns:r="http://schemas.openxmlformats.org/officeDocument/2006/relationships" r:embed="rId1062"/>
        <a:stretch>
          <a:fillRect/>
        </a:stretch>
      </xdr:blipFill>
      <xdr:spPr>
        <a:xfrm>
          <a:off x="7235825" y="1386420900"/>
          <a:ext cx="878840" cy="1183640"/>
        </a:xfrm>
        <a:prstGeom prst="rect">
          <a:avLst/>
        </a:prstGeom>
      </xdr:spPr>
    </xdr:pic>
    <xdr:clientData/>
  </xdr:twoCellAnchor>
  <xdr:twoCellAnchor>
    <xdr:from>
      <xdr:col>9</xdr:col>
      <xdr:colOff>6350</xdr:colOff>
      <xdr:row>1426</xdr:row>
      <xdr:rowOff>25400</xdr:rowOff>
    </xdr:from>
    <xdr:to>
      <xdr:col>9</xdr:col>
      <xdr:colOff>885190</xdr:colOff>
      <xdr:row>1426</xdr:row>
      <xdr:rowOff>1209040</xdr:rowOff>
    </xdr:to>
    <xdr:pic>
      <xdr:nvPicPr>
        <xdr:cNvPr id="6301" name="Изображение 6300" descr="resizeПП-00275384"/>
        <xdr:cNvPicPr>
          <a:picLocks noChangeAspect="1"/>
        </xdr:cNvPicPr>
      </xdr:nvPicPr>
      <xdr:blipFill>
        <a:blip xmlns:r="http://schemas.openxmlformats.org/officeDocument/2006/relationships" r:embed="rId1063"/>
        <a:stretch>
          <a:fillRect/>
        </a:stretch>
      </xdr:blipFill>
      <xdr:spPr>
        <a:xfrm>
          <a:off x="7235825" y="1387948075"/>
          <a:ext cx="878840" cy="1183640"/>
        </a:xfrm>
        <a:prstGeom prst="rect">
          <a:avLst/>
        </a:prstGeom>
      </xdr:spPr>
    </xdr:pic>
    <xdr:clientData/>
  </xdr:twoCellAnchor>
  <xdr:twoCellAnchor>
    <xdr:from>
      <xdr:col>9</xdr:col>
      <xdr:colOff>6350</xdr:colOff>
      <xdr:row>1427</xdr:row>
      <xdr:rowOff>25400</xdr:rowOff>
    </xdr:from>
    <xdr:to>
      <xdr:col>9</xdr:col>
      <xdr:colOff>885190</xdr:colOff>
      <xdr:row>1427</xdr:row>
      <xdr:rowOff>1209040</xdr:rowOff>
    </xdr:to>
    <xdr:pic>
      <xdr:nvPicPr>
        <xdr:cNvPr id="6302" name="Изображение 6301" descr="resizeПП-00228018"/>
        <xdr:cNvPicPr>
          <a:picLocks noChangeAspect="1"/>
        </xdr:cNvPicPr>
      </xdr:nvPicPr>
      <xdr:blipFill>
        <a:blip xmlns:r="http://schemas.openxmlformats.org/officeDocument/2006/relationships" r:embed="rId1064"/>
        <a:stretch>
          <a:fillRect/>
        </a:stretch>
      </xdr:blipFill>
      <xdr:spPr>
        <a:xfrm>
          <a:off x="7235825" y="1389170450"/>
          <a:ext cx="878840" cy="1183640"/>
        </a:xfrm>
        <a:prstGeom prst="rect">
          <a:avLst/>
        </a:prstGeom>
      </xdr:spPr>
    </xdr:pic>
    <xdr:clientData/>
  </xdr:twoCellAnchor>
  <xdr:twoCellAnchor>
    <xdr:from>
      <xdr:col>9</xdr:col>
      <xdr:colOff>6350</xdr:colOff>
      <xdr:row>1428</xdr:row>
      <xdr:rowOff>25400</xdr:rowOff>
    </xdr:from>
    <xdr:to>
      <xdr:col>9</xdr:col>
      <xdr:colOff>885190</xdr:colOff>
      <xdr:row>1428</xdr:row>
      <xdr:rowOff>1209040</xdr:rowOff>
    </xdr:to>
    <xdr:pic>
      <xdr:nvPicPr>
        <xdr:cNvPr id="6303" name="Изображение 6302" descr="resizeПП-00228021"/>
        <xdr:cNvPicPr>
          <a:picLocks noChangeAspect="1"/>
        </xdr:cNvPicPr>
      </xdr:nvPicPr>
      <xdr:blipFill>
        <a:blip xmlns:r="http://schemas.openxmlformats.org/officeDocument/2006/relationships" r:embed="rId1065"/>
        <a:stretch>
          <a:fillRect/>
        </a:stretch>
      </xdr:blipFill>
      <xdr:spPr>
        <a:xfrm>
          <a:off x="7235825" y="1390392825"/>
          <a:ext cx="878840" cy="1183640"/>
        </a:xfrm>
        <a:prstGeom prst="rect">
          <a:avLst/>
        </a:prstGeom>
      </xdr:spPr>
    </xdr:pic>
    <xdr:clientData/>
  </xdr:twoCellAnchor>
  <xdr:twoCellAnchor>
    <xdr:from>
      <xdr:col>9</xdr:col>
      <xdr:colOff>6350</xdr:colOff>
      <xdr:row>1429</xdr:row>
      <xdr:rowOff>25400</xdr:rowOff>
    </xdr:from>
    <xdr:to>
      <xdr:col>9</xdr:col>
      <xdr:colOff>885190</xdr:colOff>
      <xdr:row>1429</xdr:row>
      <xdr:rowOff>1209040</xdr:rowOff>
    </xdr:to>
    <xdr:pic>
      <xdr:nvPicPr>
        <xdr:cNvPr id="6304" name="Изображение 6303" descr="resizeПП-00187286"/>
        <xdr:cNvPicPr>
          <a:picLocks noChangeAspect="1"/>
        </xdr:cNvPicPr>
      </xdr:nvPicPr>
      <xdr:blipFill>
        <a:blip xmlns:r="http://schemas.openxmlformats.org/officeDocument/2006/relationships" r:embed="rId1066"/>
        <a:stretch>
          <a:fillRect/>
        </a:stretch>
      </xdr:blipFill>
      <xdr:spPr>
        <a:xfrm>
          <a:off x="7235825" y="1391615200"/>
          <a:ext cx="878840" cy="1183640"/>
        </a:xfrm>
        <a:prstGeom prst="rect">
          <a:avLst/>
        </a:prstGeom>
      </xdr:spPr>
    </xdr:pic>
    <xdr:clientData/>
  </xdr:twoCellAnchor>
  <xdr:twoCellAnchor>
    <xdr:from>
      <xdr:col>9</xdr:col>
      <xdr:colOff>6350</xdr:colOff>
      <xdr:row>1430</xdr:row>
      <xdr:rowOff>25400</xdr:rowOff>
    </xdr:from>
    <xdr:to>
      <xdr:col>9</xdr:col>
      <xdr:colOff>885190</xdr:colOff>
      <xdr:row>1430</xdr:row>
      <xdr:rowOff>1209040</xdr:rowOff>
    </xdr:to>
    <xdr:pic>
      <xdr:nvPicPr>
        <xdr:cNvPr id="6305" name="Изображение 6304" descr="resizeПП-00203614"/>
        <xdr:cNvPicPr>
          <a:picLocks noChangeAspect="1"/>
        </xdr:cNvPicPr>
      </xdr:nvPicPr>
      <xdr:blipFill>
        <a:blip xmlns:r="http://schemas.openxmlformats.org/officeDocument/2006/relationships" r:embed="rId1067"/>
        <a:stretch>
          <a:fillRect/>
        </a:stretch>
      </xdr:blipFill>
      <xdr:spPr>
        <a:xfrm>
          <a:off x="7235825" y="1392837575"/>
          <a:ext cx="878840" cy="1183640"/>
        </a:xfrm>
        <a:prstGeom prst="rect">
          <a:avLst/>
        </a:prstGeom>
      </xdr:spPr>
    </xdr:pic>
    <xdr:clientData/>
  </xdr:twoCellAnchor>
  <xdr:twoCellAnchor>
    <xdr:from>
      <xdr:col>9</xdr:col>
      <xdr:colOff>6350</xdr:colOff>
      <xdr:row>1431</xdr:row>
      <xdr:rowOff>25400</xdr:rowOff>
    </xdr:from>
    <xdr:to>
      <xdr:col>9</xdr:col>
      <xdr:colOff>885190</xdr:colOff>
      <xdr:row>1431</xdr:row>
      <xdr:rowOff>1209040</xdr:rowOff>
    </xdr:to>
    <xdr:pic>
      <xdr:nvPicPr>
        <xdr:cNvPr id="6306" name="Изображение 6305" descr="resizeПП-00187289"/>
        <xdr:cNvPicPr>
          <a:picLocks noChangeAspect="1"/>
        </xdr:cNvPicPr>
      </xdr:nvPicPr>
      <xdr:blipFill>
        <a:blip xmlns:r="http://schemas.openxmlformats.org/officeDocument/2006/relationships" r:embed="rId1068"/>
        <a:stretch>
          <a:fillRect/>
        </a:stretch>
      </xdr:blipFill>
      <xdr:spPr>
        <a:xfrm>
          <a:off x="7235825" y="1394059950"/>
          <a:ext cx="878840" cy="1183640"/>
        </a:xfrm>
        <a:prstGeom prst="rect">
          <a:avLst/>
        </a:prstGeom>
      </xdr:spPr>
    </xdr:pic>
    <xdr:clientData/>
  </xdr:twoCellAnchor>
  <xdr:twoCellAnchor>
    <xdr:from>
      <xdr:col>9</xdr:col>
      <xdr:colOff>6350</xdr:colOff>
      <xdr:row>1432</xdr:row>
      <xdr:rowOff>25400</xdr:rowOff>
    </xdr:from>
    <xdr:to>
      <xdr:col>9</xdr:col>
      <xdr:colOff>885190</xdr:colOff>
      <xdr:row>1432</xdr:row>
      <xdr:rowOff>1209040</xdr:rowOff>
    </xdr:to>
    <xdr:pic>
      <xdr:nvPicPr>
        <xdr:cNvPr id="6307" name="Изображение 6306" descr="resizeПП-00187285"/>
        <xdr:cNvPicPr>
          <a:picLocks noChangeAspect="1"/>
        </xdr:cNvPicPr>
      </xdr:nvPicPr>
      <xdr:blipFill>
        <a:blip xmlns:r="http://schemas.openxmlformats.org/officeDocument/2006/relationships" r:embed="rId1069"/>
        <a:stretch>
          <a:fillRect/>
        </a:stretch>
      </xdr:blipFill>
      <xdr:spPr>
        <a:xfrm>
          <a:off x="7235825" y="1395282325"/>
          <a:ext cx="878840" cy="1183640"/>
        </a:xfrm>
        <a:prstGeom prst="rect">
          <a:avLst/>
        </a:prstGeom>
      </xdr:spPr>
    </xdr:pic>
    <xdr:clientData/>
  </xdr:twoCellAnchor>
  <xdr:twoCellAnchor>
    <xdr:from>
      <xdr:col>9</xdr:col>
      <xdr:colOff>6350</xdr:colOff>
      <xdr:row>1433</xdr:row>
      <xdr:rowOff>25400</xdr:rowOff>
    </xdr:from>
    <xdr:to>
      <xdr:col>9</xdr:col>
      <xdr:colOff>885190</xdr:colOff>
      <xdr:row>1433</xdr:row>
      <xdr:rowOff>1209040</xdr:rowOff>
    </xdr:to>
    <xdr:pic>
      <xdr:nvPicPr>
        <xdr:cNvPr id="6308" name="Изображение 6307" descr="resizeПП-00187284"/>
        <xdr:cNvPicPr>
          <a:picLocks noChangeAspect="1"/>
        </xdr:cNvPicPr>
      </xdr:nvPicPr>
      <xdr:blipFill>
        <a:blip xmlns:r="http://schemas.openxmlformats.org/officeDocument/2006/relationships" r:embed="rId1070"/>
        <a:stretch>
          <a:fillRect/>
        </a:stretch>
      </xdr:blipFill>
      <xdr:spPr>
        <a:xfrm>
          <a:off x="7235825" y="1396504700"/>
          <a:ext cx="878840" cy="1183640"/>
        </a:xfrm>
        <a:prstGeom prst="rect">
          <a:avLst/>
        </a:prstGeom>
      </xdr:spPr>
    </xdr:pic>
    <xdr:clientData/>
  </xdr:twoCellAnchor>
  <xdr:twoCellAnchor>
    <xdr:from>
      <xdr:col>9</xdr:col>
      <xdr:colOff>6350</xdr:colOff>
      <xdr:row>1435</xdr:row>
      <xdr:rowOff>25400</xdr:rowOff>
    </xdr:from>
    <xdr:to>
      <xdr:col>9</xdr:col>
      <xdr:colOff>885190</xdr:colOff>
      <xdr:row>1435</xdr:row>
      <xdr:rowOff>1209040</xdr:rowOff>
    </xdr:to>
    <xdr:pic>
      <xdr:nvPicPr>
        <xdr:cNvPr id="6309" name="Изображение 6308" descr="resizeПП-00275386"/>
        <xdr:cNvPicPr>
          <a:picLocks noChangeAspect="1"/>
        </xdr:cNvPicPr>
      </xdr:nvPicPr>
      <xdr:blipFill>
        <a:blip xmlns:r="http://schemas.openxmlformats.org/officeDocument/2006/relationships" r:embed="rId1071"/>
        <a:stretch>
          <a:fillRect/>
        </a:stretch>
      </xdr:blipFill>
      <xdr:spPr>
        <a:xfrm>
          <a:off x="7235825" y="1397879475"/>
          <a:ext cx="878840" cy="1183640"/>
        </a:xfrm>
        <a:prstGeom prst="rect">
          <a:avLst/>
        </a:prstGeom>
      </xdr:spPr>
    </xdr:pic>
    <xdr:clientData/>
  </xdr:twoCellAnchor>
  <xdr:twoCellAnchor>
    <xdr:from>
      <xdr:col>9</xdr:col>
      <xdr:colOff>6350</xdr:colOff>
      <xdr:row>1436</xdr:row>
      <xdr:rowOff>25400</xdr:rowOff>
    </xdr:from>
    <xdr:to>
      <xdr:col>9</xdr:col>
      <xdr:colOff>885190</xdr:colOff>
      <xdr:row>1436</xdr:row>
      <xdr:rowOff>1209040</xdr:rowOff>
    </xdr:to>
    <xdr:pic>
      <xdr:nvPicPr>
        <xdr:cNvPr id="6310" name="Изображение 6309" descr="resizeПП-00275390"/>
        <xdr:cNvPicPr>
          <a:picLocks noChangeAspect="1"/>
        </xdr:cNvPicPr>
      </xdr:nvPicPr>
      <xdr:blipFill>
        <a:blip xmlns:r="http://schemas.openxmlformats.org/officeDocument/2006/relationships" r:embed="rId1072"/>
        <a:stretch>
          <a:fillRect/>
        </a:stretch>
      </xdr:blipFill>
      <xdr:spPr>
        <a:xfrm>
          <a:off x="7235825" y="1399101850"/>
          <a:ext cx="878840" cy="1183640"/>
        </a:xfrm>
        <a:prstGeom prst="rect">
          <a:avLst/>
        </a:prstGeom>
      </xdr:spPr>
    </xdr:pic>
    <xdr:clientData/>
  </xdr:twoCellAnchor>
  <xdr:twoCellAnchor>
    <xdr:from>
      <xdr:col>9</xdr:col>
      <xdr:colOff>6350</xdr:colOff>
      <xdr:row>1437</xdr:row>
      <xdr:rowOff>25400</xdr:rowOff>
    </xdr:from>
    <xdr:to>
      <xdr:col>9</xdr:col>
      <xdr:colOff>885190</xdr:colOff>
      <xdr:row>1437</xdr:row>
      <xdr:rowOff>1209040</xdr:rowOff>
    </xdr:to>
    <xdr:pic>
      <xdr:nvPicPr>
        <xdr:cNvPr id="6311" name="Изображение 6310" descr="resizeПП-00154264"/>
        <xdr:cNvPicPr>
          <a:picLocks noChangeAspect="1"/>
        </xdr:cNvPicPr>
      </xdr:nvPicPr>
      <xdr:blipFill>
        <a:blip xmlns:r="http://schemas.openxmlformats.org/officeDocument/2006/relationships" r:embed="rId1073"/>
        <a:stretch>
          <a:fillRect/>
        </a:stretch>
      </xdr:blipFill>
      <xdr:spPr>
        <a:xfrm>
          <a:off x="7235825" y="1400324225"/>
          <a:ext cx="878840" cy="1183640"/>
        </a:xfrm>
        <a:prstGeom prst="rect">
          <a:avLst/>
        </a:prstGeom>
      </xdr:spPr>
    </xdr:pic>
    <xdr:clientData/>
  </xdr:twoCellAnchor>
  <xdr:twoCellAnchor>
    <xdr:from>
      <xdr:col>9</xdr:col>
      <xdr:colOff>6350</xdr:colOff>
      <xdr:row>1438</xdr:row>
      <xdr:rowOff>25400</xdr:rowOff>
    </xdr:from>
    <xdr:to>
      <xdr:col>9</xdr:col>
      <xdr:colOff>885190</xdr:colOff>
      <xdr:row>1438</xdr:row>
      <xdr:rowOff>1209040</xdr:rowOff>
    </xdr:to>
    <xdr:pic>
      <xdr:nvPicPr>
        <xdr:cNvPr id="6312" name="Изображение 6311" descr="resizeПП-00228019"/>
        <xdr:cNvPicPr>
          <a:picLocks noChangeAspect="1"/>
        </xdr:cNvPicPr>
      </xdr:nvPicPr>
      <xdr:blipFill>
        <a:blip xmlns:r="http://schemas.openxmlformats.org/officeDocument/2006/relationships" r:embed="rId1074"/>
        <a:stretch>
          <a:fillRect/>
        </a:stretch>
      </xdr:blipFill>
      <xdr:spPr>
        <a:xfrm>
          <a:off x="7235825" y="1401546600"/>
          <a:ext cx="878840" cy="1183640"/>
        </a:xfrm>
        <a:prstGeom prst="rect">
          <a:avLst/>
        </a:prstGeom>
      </xdr:spPr>
    </xdr:pic>
    <xdr:clientData/>
  </xdr:twoCellAnchor>
  <xdr:twoCellAnchor>
    <xdr:from>
      <xdr:col>9</xdr:col>
      <xdr:colOff>6350</xdr:colOff>
      <xdr:row>1439</xdr:row>
      <xdr:rowOff>25400</xdr:rowOff>
    </xdr:from>
    <xdr:to>
      <xdr:col>9</xdr:col>
      <xdr:colOff>885190</xdr:colOff>
      <xdr:row>1439</xdr:row>
      <xdr:rowOff>1209040</xdr:rowOff>
    </xdr:to>
    <xdr:pic>
      <xdr:nvPicPr>
        <xdr:cNvPr id="6313" name="Изображение 6312" descr="resizeПП-00228022"/>
        <xdr:cNvPicPr>
          <a:picLocks noChangeAspect="1"/>
        </xdr:cNvPicPr>
      </xdr:nvPicPr>
      <xdr:blipFill>
        <a:blip xmlns:r="http://schemas.openxmlformats.org/officeDocument/2006/relationships" r:embed="rId1075"/>
        <a:stretch>
          <a:fillRect/>
        </a:stretch>
      </xdr:blipFill>
      <xdr:spPr>
        <a:xfrm>
          <a:off x="7235825" y="1402768975"/>
          <a:ext cx="878840" cy="1183640"/>
        </a:xfrm>
        <a:prstGeom prst="rect">
          <a:avLst/>
        </a:prstGeom>
      </xdr:spPr>
    </xdr:pic>
    <xdr:clientData/>
  </xdr:twoCellAnchor>
  <xdr:twoCellAnchor>
    <xdr:from>
      <xdr:col>9</xdr:col>
      <xdr:colOff>6350</xdr:colOff>
      <xdr:row>1440</xdr:row>
      <xdr:rowOff>25400</xdr:rowOff>
    </xdr:from>
    <xdr:to>
      <xdr:col>9</xdr:col>
      <xdr:colOff>885190</xdr:colOff>
      <xdr:row>1440</xdr:row>
      <xdr:rowOff>1209040</xdr:rowOff>
    </xdr:to>
    <xdr:pic>
      <xdr:nvPicPr>
        <xdr:cNvPr id="6314" name="Изображение 6313" descr="resizeПП-00203616"/>
        <xdr:cNvPicPr>
          <a:picLocks noChangeAspect="1"/>
        </xdr:cNvPicPr>
      </xdr:nvPicPr>
      <xdr:blipFill>
        <a:blip xmlns:r="http://schemas.openxmlformats.org/officeDocument/2006/relationships" r:embed="rId1076"/>
        <a:stretch>
          <a:fillRect/>
        </a:stretch>
      </xdr:blipFill>
      <xdr:spPr>
        <a:xfrm>
          <a:off x="7235825" y="1403991350"/>
          <a:ext cx="878840" cy="1183640"/>
        </a:xfrm>
        <a:prstGeom prst="rect">
          <a:avLst/>
        </a:prstGeom>
      </xdr:spPr>
    </xdr:pic>
    <xdr:clientData/>
  </xdr:twoCellAnchor>
  <xdr:twoCellAnchor>
    <xdr:from>
      <xdr:col>9</xdr:col>
      <xdr:colOff>6350</xdr:colOff>
      <xdr:row>1441</xdr:row>
      <xdr:rowOff>25400</xdr:rowOff>
    </xdr:from>
    <xdr:to>
      <xdr:col>9</xdr:col>
      <xdr:colOff>885190</xdr:colOff>
      <xdr:row>1441</xdr:row>
      <xdr:rowOff>1209040</xdr:rowOff>
    </xdr:to>
    <xdr:pic>
      <xdr:nvPicPr>
        <xdr:cNvPr id="6315" name="Изображение 6314" descr="resizeПП-00187288"/>
        <xdr:cNvPicPr>
          <a:picLocks noChangeAspect="1"/>
        </xdr:cNvPicPr>
      </xdr:nvPicPr>
      <xdr:blipFill>
        <a:blip xmlns:r="http://schemas.openxmlformats.org/officeDocument/2006/relationships" r:embed="rId1077"/>
        <a:stretch>
          <a:fillRect/>
        </a:stretch>
      </xdr:blipFill>
      <xdr:spPr>
        <a:xfrm>
          <a:off x="7235825" y="1405213725"/>
          <a:ext cx="878840" cy="1183640"/>
        </a:xfrm>
        <a:prstGeom prst="rect">
          <a:avLst/>
        </a:prstGeom>
      </xdr:spPr>
    </xdr:pic>
    <xdr:clientData/>
  </xdr:twoCellAnchor>
  <xdr:twoCellAnchor>
    <xdr:from>
      <xdr:col>9</xdr:col>
      <xdr:colOff>6350</xdr:colOff>
      <xdr:row>1442</xdr:row>
      <xdr:rowOff>25400</xdr:rowOff>
    </xdr:from>
    <xdr:to>
      <xdr:col>9</xdr:col>
      <xdr:colOff>885190</xdr:colOff>
      <xdr:row>1442</xdr:row>
      <xdr:rowOff>1209040</xdr:rowOff>
    </xdr:to>
    <xdr:pic>
      <xdr:nvPicPr>
        <xdr:cNvPr id="6316" name="Изображение 6315" descr="resizeПП-00154263"/>
        <xdr:cNvPicPr>
          <a:picLocks noChangeAspect="1"/>
        </xdr:cNvPicPr>
      </xdr:nvPicPr>
      <xdr:blipFill>
        <a:blip xmlns:r="http://schemas.openxmlformats.org/officeDocument/2006/relationships" r:embed="rId1069"/>
        <a:stretch>
          <a:fillRect/>
        </a:stretch>
      </xdr:blipFill>
      <xdr:spPr>
        <a:xfrm>
          <a:off x="7235825" y="1406436100"/>
          <a:ext cx="878840" cy="1183640"/>
        </a:xfrm>
        <a:prstGeom prst="rect">
          <a:avLst/>
        </a:prstGeom>
      </xdr:spPr>
    </xdr:pic>
    <xdr:clientData/>
  </xdr:twoCellAnchor>
  <xdr:twoCellAnchor>
    <xdr:from>
      <xdr:col>9</xdr:col>
      <xdr:colOff>6350</xdr:colOff>
      <xdr:row>1443</xdr:row>
      <xdr:rowOff>25400</xdr:rowOff>
    </xdr:from>
    <xdr:to>
      <xdr:col>9</xdr:col>
      <xdr:colOff>885190</xdr:colOff>
      <xdr:row>1443</xdr:row>
      <xdr:rowOff>1209040</xdr:rowOff>
    </xdr:to>
    <xdr:pic>
      <xdr:nvPicPr>
        <xdr:cNvPr id="6317" name="Изображение 6316" descr="resizeПП-00154262"/>
        <xdr:cNvPicPr>
          <a:picLocks noChangeAspect="1"/>
        </xdr:cNvPicPr>
      </xdr:nvPicPr>
      <xdr:blipFill>
        <a:blip xmlns:r="http://schemas.openxmlformats.org/officeDocument/2006/relationships" r:embed="rId1078"/>
        <a:stretch>
          <a:fillRect/>
        </a:stretch>
      </xdr:blipFill>
      <xdr:spPr>
        <a:xfrm>
          <a:off x="7235825" y="1407658475"/>
          <a:ext cx="878840" cy="1183640"/>
        </a:xfrm>
        <a:prstGeom prst="rect">
          <a:avLst/>
        </a:prstGeom>
      </xdr:spPr>
    </xdr:pic>
    <xdr:clientData/>
  </xdr:twoCellAnchor>
  <xdr:twoCellAnchor>
    <xdr:from>
      <xdr:col>9</xdr:col>
      <xdr:colOff>6350</xdr:colOff>
      <xdr:row>1445</xdr:row>
      <xdr:rowOff>25400</xdr:rowOff>
    </xdr:from>
    <xdr:to>
      <xdr:col>9</xdr:col>
      <xdr:colOff>885190</xdr:colOff>
      <xdr:row>1445</xdr:row>
      <xdr:rowOff>1209040</xdr:rowOff>
    </xdr:to>
    <xdr:pic>
      <xdr:nvPicPr>
        <xdr:cNvPr id="6318" name="Изображение 6317" descr="resizeПП-00228027"/>
        <xdr:cNvPicPr>
          <a:picLocks noChangeAspect="1"/>
        </xdr:cNvPicPr>
      </xdr:nvPicPr>
      <xdr:blipFill>
        <a:blip xmlns:r="http://schemas.openxmlformats.org/officeDocument/2006/relationships" r:embed="rId1079"/>
        <a:stretch>
          <a:fillRect/>
        </a:stretch>
      </xdr:blipFill>
      <xdr:spPr>
        <a:xfrm>
          <a:off x="7235825" y="1409033250"/>
          <a:ext cx="878840" cy="1183640"/>
        </a:xfrm>
        <a:prstGeom prst="rect">
          <a:avLst/>
        </a:prstGeom>
      </xdr:spPr>
    </xdr:pic>
    <xdr:clientData/>
  </xdr:twoCellAnchor>
  <xdr:twoCellAnchor>
    <xdr:from>
      <xdr:col>9</xdr:col>
      <xdr:colOff>6350</xdr:colOff>
      <xdr:row>1447</xdr:row>
      <xdr:rowOff>25400</xdr:rowOff>
    </xdr:from>
    <xdr:to>
      <xdr:col>9</xdr:col>
      <xdr:colOff>885190</xdr:colOff>
      <xdr:row>1447</xdr:row>
      <xdr:rowOff>1209040</xdr:rowOff>
    </xdr:to>
    <xdr:pic>
      <xdr:nvPicPr>
        <xdr:cNvPr id="6319" name="Изображение 6318" descr="resizeПП-00275395"/>
        <xdr:cNvPicPr>
          <a:picLocks noChangeAspect="1"/>
        </xdr:cNvPicPr>
      </xdr:nvPicPr>
      <xdr:blipFill>
        <a:blip xmlns:r="http://schemas.openxmlformats.org/officeDocument/2006/relationships" r:embed="rId1080"/>
        <a:stretch>
          <a:fillRect/>
        </a:stretch>
      </xdr:blipFill>
      <xdr:spPr>
        <a:xfrm>
          <a:off x="7235825" y="1410408025"/>
          <a:ext cx="878840" cy="1183640"/>
        </a:xfrm>
        <a:prstGeom prst="rect">
          <a:avLst/>
        </a:prstGeom>
      </xdr:spPr>
    </xdr:pic>
    <xdr:clientData/>
  </xdr:twoCellAnchor>
  <xdr:twoCellAnchor>
    <xdr:from>
      <xdr:col>9</xdr:col>
      <xdr:colOff>6350</xdr:colOff>
      <xdr:row>1449</xdr:row>
      <xdr:rowOff>25400</xdr:rowOff>
    </xdr:from>
    <xdr:to>
      <xdr:col>9</xdr:col>
      <xdr:colOff>885190</xdr:colOff>
      <xdr:row>1449</xdr:row>
      <xdr:rowOff>1209040</xdr:rowOff>
    </xdr:to>
    <xdr:pic>
      <xdr:nvPicPr>
        <xdr:cNvPr id="6320" name="Изображение 6319" descr="resizeПП-00234867"/>
        <xdr:cNvPicPr>
          <a:picLocks noChangeAspect="1"/>
        </xdr:cNvPicPr>
      </xdr:nvPicPr>
      <xdr:blipFill>
        <a:blip xmlns:r="http://schemas.openxmlformats.org/officeDocument/2006/relationships" r:embed="rId1081"/>
        <a:stretch>
          <a:fillRect/>
        </a:stretch>
      </xdr:blipFill>
      <xdr:spPr>
        <a:xfrm>
          <a:off x="7235825" y="1411782800"/>
          <a:ext cx="878840" cy="1183640"/>
        </a:xfrm>
        <a:prstGeom prst="rect">
          <a:avLst/>
        </a:prstGeom>
      </xdr:spPr>
    </xdr:pic>
    <xdr:clientData/>
  </xdr:twoCellAnchor>
  <xdr:twoCellAnchor>
    <xdr:from>
      <xdr:col>9</xdr:col>
      <xdr:colOff>6350</xdr:colOff>
      <xdr:row>1453</xdr:row>
      <xdr:rowOff>25400</xdr:rowOff>
    </xdr:from>
    <xdr:to>
      <xdr:col>9</xdr:col>
      <xdr:colOff>885190</xdr:colOff>
      <xdr:row>1453</xdr:row>
      <xdr:rowOff>1209040</xdr:rowOff>
    </xdr:to>
    <xdr:pic>
      <xdr:nvPicPr>
        <xdr:cNvPr id="6321" name="Изображение 6320" descr="resizeПП-00227222"/>
        <xdr:cNvPicPr>
          <a:picLocks noChangeAspect="1"/>
        </xdr:cNvPicPr>
      </xdr:nvPicPr>
      <xdr:blipFill>
        <a:blip xmlns:r="http://schemas.openxmlformats.org/officeDocument/2006/relationships" r:embed="rId1082"/>
        <a:stretch>
          <a:fillRect/>
        </a:stretch>
      </xdr:blipFill>
      <xdr:spPr>
        <a:xfrm>
          <a:off x="7235825" y="1413462375"/>
          <a:ext cx="878840" cy="1183640"/>
        </a:xfrm>
        <a:prstGeom prst="rect">
          <a:avLst/>
        </a:prstGeom>
      </xdr:spPr>
    </xdr:pic>
    <xdr:clientData/>
  </xdr:twoCellAnchor>
  <xdr:twoCellAnchor>
    <xdr:from>
      <xdr:col>9</xdr:col>
      <xdr:colOff>6350</xdr:colOff>
      <xdr:row>1454</xdr:row>
      <xdr:rowOff>25400</xdr:rowOff>
    </xdr:from>
    <xdr:to>
      <xdr:col>9</xdr:col>
      <xdr:colOff>885190</xdr:colOff>
      <xdr:row>1454</xdr:row>
      <xdr:rowOff>1209040</xdr:rowOff>
    </xdr:to>
    <xdr:pic>
      <xdr:nvPicPr>
        <xdr:cNvPr id="6322" name="Изображение 6321" descr="resizeПП-00227221"/>
        <xdr:cNvPicPr>
          <a:picLocks noChangeAspect="1"/>
        </xdr:cNvPicPr>
      </xdr:nvPicPr>
      <xdr:blipFill>
        <a:blip xmlns:r="http://schemas.openxmlformats.org/officeDocument/2006/relationships" r:embed="rId1083"/>
        <a:stretch>
          <a:fillRect/>
        </a:stretch>
      </xdr:blipFill>
      <xdr:spPr>
        <a:xfrm>
          <a:off x="7235825" y="1414684750"/>
          <a:ext cx="878840" cy="1183640"/>
        </a:xfrm>
        <a:prstGeom prst="rect">
          <a:avLst/>
        </a:prstGeom>
      </xdr:spPr>
    </xdr:pic>
    <xdr:clientData/>
  </xdr:twoCellAnchor>
  <xdr:twoCellAnchor>
    <xdr:from>
      <xdr:col>9</xdr:col>
      <xdr:colOff>6350</xdr:colOff>
      <xdr:row>1455</xdr:row>
      <xdr:rowOff>25400</xdr:rowOff>
    </xdr:from>
    <xdr:to>
      <xdr:col>9</xdr:col>
      <xdr:colOff>885190</xdr:colOff>
      <xdr:row>1455</xdr:row>
      <xdr:rowOff>1209040</xdr:rowOff>
    </xdr:to>
    <xdr:pic>
      <xdr:nvPicPr>
        <xdr:cNvPr id="6323" name="Изображение 6322" descr="resizeПП-00203638"/>
        <xdr:cNvPicPr>
          <a:picLocks noChangeAspect="1"/>
        </xdr:cNvPicPr>
      </xdr:nvPicPr>
      <xdr:blipFill>
        <a:blip xmlns:r="http://schemas.openxmlformats.org/officeDocument/2006/relationships" r:embed="rId1084"/>
        <a:stretch>
          <a:fillRect/>
        </a:stretch>
      </xdr:blipFill>
      <xdr:spPr>
        <a:xfrm>
          <a:off x="7235825" y="1415907125"/>
          <a:ext cx="878840" cy="1183640"/>
        </a:xfrm>
        <a:prstGeom prst="rect">
          <a:avLst/>
        </a:prstGeom>
      </xdr:spPr>
    </xdr:pic>
    <xdr:clientData/>
  </xdr:twoCellAnchor>
  <xdr:twoCellAnchor>
    <xdr:from>
      <xdr:col>9</xdr:col>
      <xdr:colOff>6350</xdr:colOff>
      <xdr:row>1457</xdr:row>
      <xdr:rowOff>25400</xdr:rowOff>
    </xdr:from>
    <xdr:to>
      <xdr:col>9</xdr:col>
      <xdr:colOff>885190</xdr:colOff>
      <xdr:row>1457</xdr:row>
      <xdr:rowOff>1209040</xdr:rowOff>
    </xdr:to>
    <xdr:pic>
      <xdr:nvPicPr>
        <xdr:cNvPr id="6324" name="Изображение 6323" descr="resizeПП-00203635"/>
        <xdr:cNvPicPr>
          <a:picLocks noChangeAspect="1"/>
        </xdr:cNvPicPr>
      </xdr:nvPicPr>
      <xdr:blipFill>
        <a:blip xmlns:r="http://schemas.openxmlformats.org/officeDocument/2006/relationships" r:embed="rId1085"/>
        <a:stretch>
          <a:fillRect/>
        </a:stretch>
      </xdr:blipFill>
      <xdr:spPr>
        <a:xfrm>
          <a:off x="7235825" y="1417281900"/>
          <a:ext cx="878840" cy="1183640"/>
        </a:xfrm>
        <a:prstGeom prst="rect">
          <a:avLst/>
        </a:prstGeom>
      </xdr:spPr>
    </xdr:pic>
    <xdr:clientData/>
  </xdr:twoCellAnchor>
  <xdr:twoCellAnchor>
    <xdr:from>
      <xdr:col>9</xdr:col>
      <xdr:colOff>6350</xdr:colOff>
      <xdr:row>1458</xdr:row>
      <xdr:rowOff>25400</xdr:rowOff>
    </xdr:from>
    <xdr:to>
      <xdr:col>9</xdr:col>
      <xdr:colOff>885190</xdr:colOff>
      <xdr:row>1458</xdr:row>
      <xdr:rowOff>1209040</xdr:rowOff>
    </xdr:to>
    <xdr:pic>
      <xdr:nvPicPr>
        <xdr:cNvPr id="6325" name="Изображение 6324" descr="resizeПП-00227224"/>
        <xdr:cNvPicPr>
          <a:picLocks noChangeAspect="1"/>
        </xdr:cNvPicPr>
      </xdr:nvPicPr>
      <xdr:blipFill>
        <a:blip xmlns:r="http://schemas.openxmlformats.org/officeDocument/2006/relationships" r:embed="rId1086"/>
        <a:stretch>
          <a:fillRect/>
        </a:stretch>
      </xdr:blipFill>
      <xdr:spPr>
        <a:xfrm>
          <a:off x="7235825" y="1418504275"/>
          <a:ext cx="878840" cy="1183640"/>
        </a:xfrm>
        <a:prstGeom prst="rect">
          <a:avLst/>
        </a:prstGeom>
      </xdr:spPr>
    </xdr:pic>
    <xdr:clientData/>
  </xdr:twoCellAnchor>
  <xdr:twoCellAnchor>
    <xdr:from>
      <xdr:col>9</xdr:col>
      <xdr:colOff>6350</xdr:colOff>
      <xdr:row>1459</xdr:row>
      <xdr:rowOff>25400</xdr:rowOff>
    </xdr:from>
    <xdr:to>
      <xdr:col>9</xdr:col>
      <xdr:colOff>605790</xdr:colOff>
      <xdr:row>1459</xdr:row>
      <xdr:rowOff>1209040</xdr:rowOff>
    </xdr:to>
    <xdr:pic>
      <xdr:nvPicPr>
        <xdr:cNvPr id="6326" name="Изображение 6325" descr="resizeПП-00203639"/>
        <xdr:cNvPicPr>
          <a:picLocks noChangeAspect="1"/>
        </xdr:cNvPicPr>
      </xdr:nvPicPr>
      <xdr:blipFill>
        <a:blip xmlns:r="http://schemas.openxmlformats.org/officeDocument/2006/relationships" r:embed="rId1087"/>
        <a:stretch>
          <a:fillRect/>
        </a:stretch>
      </xdr:blipFill>
      <xdr:spPr>
        <a:xfrm>
          <a:off x="7235825" y="1419726650"/>
          <a:ext cx="599440" cy="1183640"/>
        </a:xfrm>
        <a:prstGeom prst="rect">
          <a:avLst/>
        </a:prstGeom>
      </xdr:spPr>
    </xdr:pic>
    <xdr:clientData/>
  </xdr:twoCellAnchor>
  <xdr:twoCellAnchor>
    <xdr:from>
      <xdr:col>9</xdr:col>
      <xdr:colOff>6350</xdr:colOff>
      <xdr:row>1461</xdr:row>
      <xdr:rowOff>25400</xdr:rowOff>
    </xdr:from>
    <xdr:to>
      <xdr:col>9</xdr:col>
      <xdr:colOff>885190</xdr:colOff>
      <xdr:row>1461</xdr:row>
      <xdr:rowOff>1209040</xdr:rowOff>
    </xdr:to>
    <xdr:pic>
      <xdr:nvPicPr>
        <xdr:cNvPr id="6327" name="Изображение 6326" descr="resizeПП-00227227"/>
        <xdr:cNvPicPr>
          <a:picLocks noChangeAspect="1"/>
        </xdr:cNvPicPr>
      </xdr:nvPicPr>
      <xdr:blipFill>
        <a:blip xmlns:r="http://schemas.openxmlformats.org/officeDocument/2006/relationships" r:embed="rId1088"/>
        <a:stretch>
          <a:fillRect/>
        </a:stretch>
      </xdr:blipFill>
      <xdr:spPr>
        <a:xfrm>
          <a:off x="7235825" y="1421101425"/>
          <a:ext cx="878840" cy="1183640"/>
        </a:xfrm>
        <a:prstGeom prst="rect">
          <a:avLst/>
        </a:prstGeom>
      </xdr:spPr>
    </xdr:pic>
    <xdr:clientData/>
  </xdr:twoCellAnchor>
  <xdr:twoCellAnchor>
    <xdr:from>
      <xdr:col>9</xdr:col>
      <xdr:colOff>6350</xdr:colOff>
      <xdr:row>1462</xdr:row>
      <xdr:rowOff>25400</xdr:rowOff>
    </xdr:from>
    <xdr:to>
      <xdr:col>9</xdr:col>
      <xdr:colOff>885190</xdr:colOff>
      <xdr:row>1462</xdr:row>
      <xdr:rowOff>1209040</xdr:rowOff>
    </xdr:to>
    <xdr:pic>
      <xdr:nvPicPr>
        <xdr:cNvPr id="6328" name="Изображение 6327" descr="resizeПП-00203640"/>
        <xdr:cNvPicPr>
          <a:picLocks noChangeAspect="1"/>
        </xdr:cNvPicPr>
      </xdr:nvPicPr>
      <xdr:blipFill>
        <a:blip xmlns:r="http://schemas.openxmlformats.org/officeDocument/2006/relationships" r:embed="rId1089"/>
        <a:stretch>
          <a:fillRect/>
        </a:stretch>
      </xdr:blipFill>
      <xdr:spPr>
        <a:xfrm>
          <a:off x="7235825" y="1422323800"/>
          <a:ext cx="878840" cy="1183640"/>
        </a:xfrm>
        <a:prstGeom prst="rect">
          <a:avLst/>
        </a:prstGeom>
      </xdr:spPr>
    </xdr:pic>
    <xdr:clientData/>
  </xdr:twoCellAnchor>
  <xdr:twoCellAnchor>
    <xdr:from>
      <xdr:col>9</xdr:col>
      <xdr:colOff>6350</xdr:colOff>
      <xdr:row>1464</xdr:row>
      <xdr:rowOff>25400</xdr:rowOff>
    </xdr:from>
    <xdr:to>
      <xdr:col>9</xdr:col>
      <xdr:colOff>885190</xdr:colOff>
      <xdr:row>1464</xdr:row>
      <xdr:rowOff>1209040</xdr:rowOff>
    </xdr:to>
    <xdr:pic>
      <xdr:nvPicPr>
        <xdr:cNvPr id="6329" name="Изображение 6328" descr="resizeПП-00227228"/>
        <xdr:cNvPicPr>
          <a:picLocks noChangeAspect="1"/>
        </xdr:cNvPicPr>
      </xdr:nvPicPr>
      <xdr:blipFill>
        <a:blip xmlns:r="http://schemas.openxmlformats.org/officeDocument/2006/relationships" r:embed="rId1090"/>
        <a:stretch>
          <a:fillRect/>
        </a:stretch>
      </xdr:blipFill>
      <xdr:spPr>
        <a:xfrm>
          <a:off x="7235825" y="1423698575"/>
          <a:ext cx="878840" cy="1183640"/>
        </a:xfrm>
        <a:prstGeom prst="rect">
          <a:avLst/>
        </a:prstGeom>
      </xdr:spPr>
    </xdr:pic>
    <xdr:clientData/>
  </xdr:twoCellAnchor>
  <xdr:twoCellAnchor>
    <xdr:from>
      <xdr:col>9</xdr:col>
      <xdr:colOff>6350</xdr:colOff>
      <xdr:row>1465</xdr:row>
      <xdr:rowOff>25400</xdr:rowOff>
    </xdr:from>
    <xdr:to>
      <xdr:col>9</xdr:col>
      <xdr:colOff>885190</xdr:colOff>
      <xdr:row>1465</xdr:row>
      <xdr:rowOff>1209040</xdr:rowOff>
    </xdr:to>
    <xdr:pic>
      <xdr:nvPicPr>
        <xdr:cNvPr id="6330" name="Изображение 6329" descr="resizeПП-00203641"/>
        <xdr:cNvPicPr>
          <a:picLocks noChangeAspect="1"/>
        </xdr:cNvPicPr>
      </xdr:nvPicPr>
      <xdr:blipFill>
        <a:blip xmlns:r="http://schemas.openxmlformats.org/officeDocument/2006/relationships" r:embed="rId1091"/>
        <a:stretch>
          <a:fillRect/>
        </a:stretch>
      </xdr:blipFill>
      <xdr:spPr>
        <a:xfrm>
          <a:off x="7235825" y="1424920950"/>
          <a:ext cx="878840" cy="1183640"/>
        </a:xfrm>
        <a:prstGeom prst="rect">
          <a:avLst/>
        </a:prstGeom>
      </xdr:spPr>
    </xdr:pic>
    <xdr:clientData/>
  </xdr:twoCellAnchor>
  <xdr:twoCellAnchor>
    <xdr:from>
      <xdr:col>9</xdr:col>
      <xdr:colOff>6350</xdr:colOff>
      <xdr:row>1468</xdr:row>
      <xdr:rowOff>25400</xdr:rowOff>
    </xdr:from>
    <xdr:to>
      <xdr:col>9</xdr:col>
      <xdr:colOff>885190</xdr:colOff>
      <xdr:row>1468</xdr:row>
      <xdr:rowOff>1209040</xdr:rowOff>
    </xdr:to>
    <xdr:pic>
      <xdr:nvPicPr>
        <xdr:cNvPr id="6331" name="Изображение 6330" descr="resizeПП-00227208"/>
        <xdr:cNvPicPr>
          <a:picLocks noChangeAspect="1"/>
        </xdr:cNvPicPr>
      </xdr:nvPicPr>
      <xdr:blipFill>
        <a:blip xmlns:r="http://schemas.openxmlformats.org/officeDocument/2006/relationships" r:embed="rId1092"/>
        <a:stretch>
          <a:fillRect/>
        </a:stretch>
      </xdr:blipFill>
      <xdr:spPr>
        <a:xfrm>
          <a:off x="7235825" y="1426448125"/>
          <a:ext cx="878840" cy="1183640"/>
        </a:xfrm>
        <a:prstGeom prst="rect">
          <a:avLst/>
        </a:prstGeom>
      </xdr:spPr>
    </xdr:pic>
    <xdr:clientData/>
  </xdr:twoCellAnchor>
  <xdr:twoCellAnchor>
    <xdr:from>
      <xdr:col>9</xdr:col>
      <xdr:colOff>6350</xdr:colOff>
      <xdr:row>1469</xdr:row>
      <xdr:rowOff>25400</xdr:rowOff>
    </xdr:from>
    <xdr:to>
      <xdr:col>9</xdr:col>
      <xdr:colOff>885190</xdr:colOff>
      <xdr:row>1469</xdr:row>
      <xdr:rowOff>1209040</xdr:rowOff>
    </xdr:to>
    <xdr:pic>
      <xdr:nvPicPr>
        <xdr:cNvPr id="6332" name="Изображение 6331" descr="resizeПП-00227206"/>
        <xdr:cNvPicPr>
          <a:picLocks noChangeAspect="1"/>
        </xdr:cNvPicPr>
      </xdr:nvPicPr>
      <xdr:blipFill>
        <a:blip xmlns:r="http://schemas.openxmlformats.org/officeDocument/2006/relationships" r:embed="rId1093"/>
        <a:stretch>
          <a:fillRect/>
        </a:stretch>
      </xdr:blipFill>
      <xdr:spPr>
        <a:xfrm>
          <a:off x="7235825" y="1427670500"/>
          <a:ext cx="878840" cy="1183640"/>
        </a:xfrm>
        <a:prstGeom prst="rect">
          <a:avLst/>
        </a:prstGeom>
      </xdr:spPr>
    </xdr:pic>
    <xdr:clientData/>
  </xdr:twoCellAnchor>
  <xdr:twoCellAnchor>
    <xdr:from>
      <xdr:col>9</xdr:col>
      <xdr:colOff>6350</xdr:colOff>
      <xdr:row>1470</xdr:row>
      <xdr:rowOff>25400</xdr:rowOff>
    </xdr:from>
    <xdr:to>
      <xdr:col>9</xdr:col>
      <xdr:colOff>885190</xdr:colOff>
      <xdr:row>1470</xdr:row>
      <xdr:rowOff>1209040</xdr:rowOff>
    </xdr:to>
    <xdr:pic>
      <xdr:nvPicPr>
        <xdr:cNvPr id="6333" name="Изображение 6332" descr="resizeПП-00186916"/>
        <xdr:cNvPicPr>
          <a:picLocks noChangeAspect="1"/>
        </xdr:cNvPicPr>
      </xdr:nvPicPr>
      <xdr:blipFill>
        <a:blip xmlns:r="http://schemas.openxmlformats.org/officeDocument/2006/relationships" r:embed="rId1094"/>
        <a:stretch>
          <a:fillRect/>
        </a:stretch>
      </xdr:blipFill>
      <xdr:spPr>
        <a:xfrm>
          <a:off x="7235825" y="1428892875"/>
          <a:ext cx="878840" cy="1183640"/>
        </a:xfrm>
        <a:prstGeom prst="rect">
          <a:avLst/>
        </a:prstGeom>
      </xdr:spPr>
    </xdr:pic>
    <xdr:clientData/>
  </xdr:twoCellAnchor>
  <xdr:twoCellAnchor>
    <xdr:from>
      <xdr:col>9</xdr:col>
      <xdr:colOff>6350</xdr:colOff>
      <xdr:row>1471</xdr:row>
      <xdr:rowOff>25400</xdr:rowOff>
    </xdr:from>
    <xdr:to>
      <xdr:col>9</xdr:col>
      <xdr:colOff>885190</xdr:colOff>
      <xdr:row>1471</xdr:row>
      <xdr:rowOff>1209040</xdr:rowOff>
    </xdr:to>
    <xdr:pic>
      <xdr:nvPicPr>
        <xdr:cNvPr id="6334" name="Изображение 6333" descr="resizeПП-00228000"/>
        <xdr:cNvPicPr>
          <a:picLocks noChangeAspect="1"/>
        </xdr:cNvPicPr>
      </xdr:nvPicPr>
      <xdr:blipFill>
        <a:blip xmlns:r="http://schemas.openxmlformats.org/officeDocument/2006/relationships" r:embed="rId1095"/>
        <a:stretch>
          <a:fillRect/>
        </a:stretch>
      </xdr:blipFill>
      <xdr:spPr>
        <a:xfrm>
          <a:off x="7235825" y="1430115250"/>
          <a:ext cx="878840" cy="1183640"/>
        </a:xfrm>
        <a:prstGeom prst="rect">
          <a:avLst/>
        </a:prstGeom>
      </xdr:spPr>
    </xdr:pic>
    <xdr:clientData/>
  </xdr:twoCellAnchor>
  <xdr:twoCellAnchor>
    <xdr:from>
      <xdr:col>9</xdr:col>
      <xdr:colOff>6350</xdr:colOff>
      <xdr:row>1472</xdr:row>
      <xdr:rowOff>25400</xdr:rowOff>
    </xdr:from>
    <xdr:to>
      <xdr:col>9</xdr:col>
      <xdr:colOff>885190</xdr:colOff>
      <xdr:row>1472</xdr:row>
      <xdr:rowOff>1209040</xdr:rowOff>
    </xdr:to>
    <xdr:pic>
      <xdr:nvPicPr>
        <xdr:cNvPr id="6335" name="Изображение 6334" descr="resizeПП-00227997"/>
        <xdr:cNvPicPr>
          <a:picLocks noChangeAspect="1"/>
        </xdr:cNvPicPr>
      </xdr:nvPicPr>
      <xdr:blipFill>
        <a:blip xmlns:r="http://schemas.openxmlformats.org/officeDocument/2006/relationships" r:embed="rId1096"/>
        <a:stretch>
          <a:fillRect/>
        </a:stretch>
      </xdr:blipFill>
      <xdr:spPr>
        <a:xfrm>
          <a:off x="7235825" y="1431337625"/>
          <a:ext cx="878840" cy="1183640"/>
        </a:xfrm>
        <a:prstGeom prst="rect">
          <a:avLst/>
        </a:prstGeom>
      </xdr:spPr>
    </xdr:pic>
    <xdr:clientData/>
  </xdr:twoCellAnchor>
  <xdr:twoCellAnchor>
    <xdr:from>
      <xdr:col>9</xdr:col>
      <xdr:colOff>6350</xdr:colOff>
      <xdr:row>1474</xdr:row>
      <xdr:rowOff>25400</xdr:rowOff>
    </xdr:from>
    <xdr:to>
      <xdr:col>9</xdr:col>
      <xdr:colOff>885190</xdr:colOff>
      <xdr:row>1474</xdr:row>
      <xdr:rowOff>1209040</xdr:rowOff>
    </xdr:to>
    <xdr:pic>
      <xdr:nvPicPr>
        <xdr:cNvPr id="6336" name="Изображение 6335" descr="resizeПП-00227211"/>
        <xdr:cNvPicPr>
          <a:picLocks noChangeAspect="1"/>
        </xdr:cNvPicPr>
      </xdr:nvPicPr>
      <xdr:blipFill>
        <a:blip xmlns:r="http://schemas.openxmlformats.org/officeDocument/2006/relationships" r:embed="rId1097"/>
        <a:stretch>
          <a:fillRect/>
        </a:stretch>
      </xdr:blipFill>
      <xdr:spPr>
        <a:xfrm>
          <a:off x="7235825" y="1432712400"/>
          <a:ext cx="878840" cy="1183640"/>
        </a:xfrm>
        <a:prstGeom prst="rect">
          <a:avLst/>
        </a:prstGeom>
      </xdr:spPr>
    </xdr:pic>
    <xdr:clientData/>
  </xdr:twoCellAnchor>
  <xdr:twoCellAnchor>
    <xdr:from>
      <xdr:col>9</xdr:col>
      <xdr:colOff>6350</xdr:colOff>
      <xdr:row>1475</xdr:row>
      <xdr:rowOff>25400</xdr:rowOff>
    </xdr:from>
    <xdr:to>
      <xdr:col>9</xdr:col>
      <xdr:colOff>885190</xdr:colOff>
      <xdr:row>1475</xdr:row>
      <xdr:rowOff>1209040</xdr:rowOff>
    </xdr:to>
    <xdr:pic>
      <xdr:nvPicPr>
        <xdr:cNvPr id="6337" name="Изображение 6336" descr="resizeПП-00227212"/>
        <xdr:cNvPicPr>
          <a:picLocks noChangeAspect="1"/>
        </xdr:cNvPicPr>
      </xdr:nvPicPr>
      <xdr:blipFill>
        <a:blip xmlns:r="http://schemas.openxmlformats.org/officeDocument/2006/relationships" r:embed="rId1098"/>
        <a:stretch>
          <a:fillRect/>
        </a:stretch>
      </xdr:blipFill>
      <xdr:spPr>
        <a:xfrm>
          <a:off x="7235825" y="1433934775"/>
          <a:ext cx="878840" cy="1183640"/>
        </a:xfrm>
        <a:prstGeom prst="rect">
          <a:avLst/>
        </a:prstGeom>
      </xdr:spPr>
    </xdr:pic>
    <xdr:clientData/>
  </xdr:twoCellAnchor>
  <xdr:twoCellAnchor>
    <xdr:from>
      <xdr:col>9</xdr:col>
      <xdr:colOff>6350</xdr:colOff>
      <xdr:row>1476</xdr:row>
      <xdr:rowOff>25400</xdr:rowOff>
    </xdr:from>
    <xdr:to>
      <xdr:col>9</xdr:col>
      <xdr:colOff>885190</xdr:colOff>
      <xdr:row>1476</xdr:row>
      <xdr:rowOff>1209040</xdr:rowOff>
    </xdr:to>
    <xdr:pic>
      <xdr:nvPicPr>
        <xdr:cNvPr id="6338" name="Изображение 6337" descr="resizeПП-00186920"/>
        <xdr:cNvPicPr>
          <a:picLocks noChangeAspect="1"/>
        </xdr:cNvPicPr>
      </xdr:nvPicPr>
      <xdr:blipFill>
        <a:blip xmlns:r="http://schemas.openxmlformats.org/officeDocument/2006/relationships" r:embed="rId1099"/>
        <a:stretch>
          <a:fillRect/>
        </a:stretch>
      </xdr:blipFill>
      <xdr:spPr>
        <a:xfrm>
          <a:off x="7235825" y="1435157150"/>
          <a:ext cx="878840" cy="1183640"/>
        </a:xfrm>
        <a:prstGeom prst="rect">
          <a:avLst/>
        </a:prstGeom>
      </xdr:spPr>
    </xdr:pic>
    <xdr:clientData/>
  </xdr:twoCellAnchor>
  <xdr:twoCellAnchor>
    <xdr:from>
      <xdr:col>9</xdr:col>
      <xdr:colOff>6350</xdr:colOff>
      <xdr:row>1477</xdr:row>
      <xdr:rowOff>25400</xdr:rowOff>
    </xdr:from>
    <xdr:to>
      <xdr:col>9</xdr:col>
      <xdr:colOff>885190</xdr:colOff>
      <xdr:row>1477</xdr:row>
      <xdr:rowOff>1209040</xdr:rowOff>
    </xdr:to>
    <xdr:pic>
      <xdr:nvPicPr>
        <xdr:cNvPr id="6339" name="Изображение 6338" descr="resizeПП-00203642"/>
        <xdr:cNvPicPr>
          <a:picLocks noChangeAspect="1"/>
        </xdr:cNvPicPr>
      </xdr:nvPicPr>
      <xdr:blipFill>
        <a:blip xmlns:r="http://schemas.openxmlformats.org/officeDocument/2006/relationships" r:embed="rId1100"/>
        <a:stretch>
          <a:fillRect/>
        </a:stretch>
      </xdr:blipFill>
      <xdr:spPr>
        <a:xfrm>
          <a:off x="7235825" y="1436379525"/>
          <a:ext cx="878840" cy="1183640"/>
        </a:xfrm>
        <a:prstGeom prst="rect">
          <a:avLst/>
        </a:prstGeom>
      </xdr:spPr>
    </xdr:pic>
    <xdr:clientData/>
  </xdr:twoCellAnchor>
  <xdr:twoCellAnchor>
    <xdr:from>
      <xdr:col>9</xdr:col>
      <xdr:colOff>6350</xdr:colOff>
      <xdr:row>1478</xdr:row>
      <xdr:rowOff>25400</xdr:rowOff>
    </xdr:from>
    <xdr:to>
      <xdr:col>9</xdr:col>
      <xdr:colOff>885190</xdr:colOff>
      <xdr:row>1478</xdr:row>
      <xdr:rowOff>1209040</xdr:rowOff>
    </xdr:to>
    <xdr:pic>
      <xdr:nvPicPr>
        <xdr:cNvPr id="6340" name="Изображение 6339" descr="resizeПП-00227213"/>
        <xdr:cNvPicPr>
          <a:picLocks noChangeAspect="1"/>
        </xdr:cNvPicPr>
      </xdr:nvPicPr>
      <xdr:blipFill>
        <a:blip xmlns:r="http://schemas.openxmlformats.org/officeDocument/2006/relationships" r:embed="rId1101"/>
        <a:stretch>
          <a:fillRect/>
        </a:stretch>
      </xdr:blipFill>
      <xdr:spPr>
        <a:xfrm>
          <a:off x="7235825" y="1437601900"/>
          <a:ext cx="878840" cy="1183640"/>
        </a:xfrm>
        <a:prstGeom prst="rect">
          <a:avLst/>
        </a:prstGeom>
      </xdr:spPr>
    </xdr:pic>
    <xdr:clientData/>
  </xdr:twoCellAnchor>
  <xdr:twoCellAnchor>
    <xdr:from>
      <xdr:col>9</xdr:col>
      <xdr:colOff>6350</xdr:colOff>
      <xdr:row>1480</xdr:row>
      <xdr:rowOff>25400</xdr:rowOff>
    </xdr:from>
    <xdr:to>
      <xdr:col>9</xdr:col>
      <xdr:colOff>885190</xdr:colOff>
      <xdr:row>1480</xdr:row>
      <xdr:rowOff>1209040</xdr:rowOff>
    </xdr:to>
    <xdr:pic>
      <xdr:nvPicPr>
        <xdr:cNvPr id="6341" name="Изображение 6340" descr="resizeПП-00227204"/>
        <xdr:cNvPicPr>
          <a:picLocks noChangeAspect="1"/>
        </xdr:cNvPicPr>
      </xdr:nvPicPr>
      <xdr:blipFill>
        <a:blip xmlns:r="http://schemas.openxmlformats.org/officeDocument/2006/relationships" r:embed="rId1097"/>
        <a:stretch>
          <a:fillRect/>
        </a:stretch>
      </xdr:blipFill>
      <xdr:spPr>
        <a:xfrm>
          <a:off x="7235825" y="1438976675"/>
          <a:ext cx="878840" cy="1183640"/>
        </a:xfrm>
        <a:prstGeom prst="rect">
          <a:avLst/>
        </a:prstGeom>
      </xdr:spPr>
    </xdr:pic>
    <xdr:clientData/>
  </xdr:twoCellAnchor>
  <xdr:twoCellAnchor>
    <xdr:from>
      <xdr:col>9</xdr:col>
      <xdr:colOff>6350</xdr:colOff>
      <xdr:row>1481</xdr:row>
      <xdr:rowOff>25400</xdr:rowOff>
    </xdr:from>
    <xdr:to>
      <xdr:col>9</xdr:col>
      <xdr:colOff>885190</xdr:colOff>
      <xdr:row>1481</xdr:row>
      <xdr:rowOff>1209040</xdr:rowOff>
    </xdr:to>
    <xdr:pic>
      <xdr:nvPicPr>
        <xdr:cNvPr id="6342" name="Изображение 6341" descr="resizeПП-00203643"/>
        <xdr:cNvPicPr>
          <a:picLocks noChangeAspect="1"/>
        </xdr:cNvPicPr>
      </xdr:nvPicPr>
      <xdr:blipFill>
        <a:blip xmlns:r="http://schemas.openxmlformats.org/officeDocument/2006/relationships" r:embed="rId1102"/>
        <a:stretch>
          <a:fillRect/>
        </a:stretch>
      </xdr:blipFill>
      <xdr:spPr>
        <a:xfrm>
          <a:off x="7235825" y="1440199050"/>
          <a:ext cx="878840" cy="1183640"/>
        </a:xfrm>
        <a:prstGeom prst="rect">
          <a:avLst/>
        </a:prstGeom>
      </xdr:spPr>
    </xdr:pic>
    <xdr:clientData/>
  </xdr:twoCellAnchor>
  <xdr:twoCellAnchor>
    <xdr:from>
      <xdr:col>9</xdr:col>
      <xdr:colOff>6350</xdr:colOff>
      <xdr:row>1482</xdr:row>
      <xdr:rowOff>25400</xdr:rowOff>
    </xdr:from>
    <xdr:to>
      <xdr:col>9</xdr:col>
      <xdr:colOff>885190</xdr:colOff>
      <xdr:row>1482</xdr:row>
      <xdr:rowOff>1209040</xdr:rowOff>
    </xdr:to>
    <xdr:pic>
      <xdr:nvPicPr>
        <xdr:cNvPr id="6343" name="Изображение 6342" descr="resizeПП-00186918"/>
        <xdr:cNvPicPr>
          <a:picLocks noChangeAspect="1"/>
        </xdr:cNvPicPr>
      </xdr:nvPicPr>
      <xdr:blipFill>
        <a:blip xmlns:r="http://schemas.openxmlformats.org/officeDocument/2006/relationships" r:embed="rId1103"/>
        <a:stretch>
          <a:fillRect/>
        </a:stretch>
      </xdr:blipFill>
      <xdr:spPr>
        <a:xfrm>
          <a:off x="7235825" y="1441421425"/>
          <a:ext cx="878840" cy="1183640"/>
        </a:xfrm>
        <a:prstGeom prst="rect">
          <a:avLst/>
        </a:prstGeom>
      </xdr:spPr>
    </xdr:pic>
    <xdr:clientData/>
  </xdr:twoCellAnchor>
  <xdr:twoCellAnchor>
    <xdr:from>
      <xdr:col>9</xdr:col>
      <xdr:colOff>6350</xdr:colOff>
      <xdr:row>1483</xdr:row>
      <xdr:rowOff>25400</xdr:rowOff>
    </xdr:from>
    <xdr:to>
      <xdr:col>9</xdr:col>
      <xdr:colOff>885190</xdr:colOff>
      <xdr:row>1483</xdr:row>
      <xdr:rowOff>1209040</xdr:rowOff>
    </xdr:to>
    <xdr:pic>
      <xdr:nvPicPr>
        <xdr:cNvPr id="6344" name="Изображение 6343" descr="resizeПП-00186919"/>
        <xdr:cNvPicPr>
          <a:picLocks noChangeAspect="1"/>
        </xdr:cNvPicPr>
      </xdr:nvPicPr>
      <xdr:blipFill>
        <a:blip xmlns:r="http://schemas.openxmlformats.org/officeDocument/2006/relationships" r:embed="rId1104"/>
        <a:stretch>
          <a:fillRect/>
        </a:stretch>
      </xdr:blipFill>
      <xdr:spPr>
        <a:xfrm>
          <a:off x="7235825" y="1442643800"/>
          <a:ext cx="878840" cy="1183640"/>
        </a:xfrm>
        <a:prstGeom prst="rect">
          <a:avLst/>
        </a:prstGeom>
      </xdr:spPr>
    </xdr:pic>
    <xdr:clientData/>
  </xdr:twoCellAnchor>
  <xdr:twoCellAnchor>
    <xdr:from>
      <xdr:col>9</xdr:col>
      <xdr:colOff>6350</xdr:colOff>
      <xdr:row>1485</xdr:row>
      <xdr:rowOff>25400</xdr:rowOff>
    </xdr:from>
    <xdr:to>
      <xdr:col>9</xdr:col>
      <xdr:colOff>885190</xdr:colOff>
      <xdr:row>1485</xdr:row>
      <xdr:rowOff>1209040</xdr:rowOff>
    </xdr:to>
    <xdr:pic>
      <xdr:nvPicPr>
        <xdr:cNvPr id="6345" name="Изображение 6344" descr="resizeПП-00203644"/>
        <xdr:cNvPicPr>
          <a:picLocks noChangeAspect="1"/>
        </xdr:cNvPicPr>
      </xdr:nvPicPr>
      <xdr:blipFill>
        <a:blip xmlns:r="http://schemas.openxmlformats.org/officeDocument/2006/relationships" r:embed="rId1105"/>
        <a:stretch>
          <a:fillRect/>
        </a:stretch>
      </xdr:blipFill>
      <xdr:spPr>
        <a:xfrm>
          <a:off x="7235825" y="1444018575"/>
          <a:ext cx="878840" cy="1183640"/>
        </a:xfrm>
        <a:prstGeom prst="rect">
          <a:avLst/>
        </a:prstGeom>
      </xdr:spPr>
    </xdr:pic>
    <xdr:clientData/>
  </xdr:twoCellAnchor>
  <xdr:twoCellAnchor>
    <xdr:from>
      <xdr:col>9</xdr:col>
      <xdr:colOff>6350</xdr:colOff>
      <xdr:row>1486</xdr:row>
      <xdr:rowOff>25400</xdr:rowOff>
    </xdr:from>
    <xdr:to>
      <xdr:col>9</xdr:col>
      <xdr:colOff>885190</xdr:colOff>
      <xdr:row>1486</xdr:row>
      <xdr:rowOff>1209040</xdr:rowOff>
    </xdr:to>
    <xdr:pic>
      <xdr:nvPicPr>
        <xdr:cNvPr id="6346" name="Изображение 6345" descr="resizeПП-00186917"/>
        <xdr:cNvPicPr>
          <a:picLocks noChangeAspect="1"/>
        </xdr:cNvPicPr>
      </xdr:nvPicPr>
      <xdr:blipFill>
        <a:blip xmlns:r="http://schemas.openxmlformats.org/officeDocument/2006/relationships" r:embed="rId1106"/>
        <a:stretch>
          <a:fillRect/>
        </a:stretch>
      </xdr:blipFill>
      <xdr:spPr>
        <a:xfrm>
          <a:off x="7235825" y="1445240950"/>
          <a:ext cx="878840" cy="1183640"/>
        </a:xfrm>
        <a:prstGeom prst="rect">
          <a:avLst/>
        </a:prstGeom>
      </xdr:spPr>
    </xdr:pic>
    <xdr:clientData/>
  </xdr:twoCellAnchor>
  <xdr:twoCellAnchor>
    <xdr:from>
      <xdr:col>9</xdr:col>
      <xdr:colOff>6350</xdr:colOff>
      <xdr:row>1487</xdr:row>
      <xdr:rowOff>25400</xdr:rowOff>
    </xdr:from>
    <xdr:to>
      <xdr:col>9</xdr:col>
      <xdr:colOff>885190</xdr:colOff>
      <xdr:row>1487</xdr:row>
      <xdr:rowOff>1209040</xdr:rowOff>
    </xdr:to>
    <xdr:pic>
      <xdr:nvPicPr>
        <xdr:cNvPr id="6347" name="Изображение 6346" descr="resizeПП-00186921"/>
        <xdr:cNvPicPr>
          <a:picLocks noChangeAspect="1"/>
        </xdr:cNvPicPr>
      </xdr:nvPicPr>
      <xdr:blipFill>
        <a:blip xmlns:r="http://schemas.openxmlformats.org/officeDocument/2006/relationships" r:embed="rId1107"/>
        <a:stretch>
          <a:fillRect/>
        </a:stretch>
      </xdr:blipFill>
      <xdr:spPr>
        <a:xfrm>
          <a:off x="7235825" y="1446463325"/>
          <a:ext cx="878840" cy="1183640"/>
        </a:xfrm>
        <a:prstGeom prst="rect">
          <a:avLst/>
        </a:prstGeom>
      </xdr:spPr>
    </xdr:pic>
    <xdr:clientData/>
  </xdr:twoCellAnchor>
  <xdr:twoCellAnchor>
    <xdr:from>
      <xdr:col>9</xdr:col>
      <xdr:colOff>6350</xdr:colOff>
      <xdr:row>1489</xdr:row>
      <xdr:rowOff>25400</xdr:rowOff>
    </xdr:from>
    <xdr:to>
      <xdr:col>9</xdr:col>
      <xdr:colOff>885190</xdr:colOff>
      <xdr:row>1489</xdr:row>
      <xdr:rowOff>1209040</xdr:rowOff>
    </xdr:to>
    <xdr:pic>
      <xdr:nvPicPr>
        <xdr:cNvPr id="6348" name="Изображение 6347" descr="resizeПП-00227216"/>
        <xdr:cNvPicPr>
          <a:picLocks noChangeAspect="1"/>
        </xdr:cNvPicPr>
      </xdr:nvPicPr>
      <xdr:blipFill>
        <a:blip xmlns:r="http://schemas.openxmlformats.org/officeDocument/2006/relationships" r:embed="rId1108"/>
        <a:stretch>
          <a:fillRect/>
        </a:stretch>
      </xdr:blipFill>
      <xdr:spPr>
        <a:xfrm>
          <a:off x="7235825" y="1447838100"/>
          <a:ext cx="878840" cy="1183640"/>
        </a:xfrm>
        <a:prstGeom prst="rect">
          <a:avLst/>
        </a:prstGeom>
      </xdr:spPr>
    </xdr:pic>
    <xdr:clientData/>
  </xdr:twoCellAnchor>
  <xdr:twoCellAnchor>
    <xdr:from>
      <xdr:col>9</xdr:col>
      <xdr:colOff>6350</xdr:colOff>
      <xdr:row>1490</xdr:row>
      <xdr:rowOff>25400</xdr:rowOff>
    </xdr:from>
    <xdr:to>
      <xdr:col>9</xdr:col>
      <xdr:colOff>885190</xdr:colOff>
      <xdr:row>1490</xdr:row>
      <xdr:rowOff>1209040</xdr:rowOff>
    </xdr:to>
    <xdr:pic>
      <xdr:nvPicPr>
        <xdr:cNvPr id="6349" name="Изображение 6348" descr="resizeПП-00227215"/>
        <xdr:cNvPicPr>
          <a:picLocks noChangeAspect="1"/>
        </xdr:cNvPicPr>
      </xdr:nvPicPr>
      <xdr:blipFill>
        <a:blip xmlns:r="http://schemas.openxmlformats.org/officeDocument/2006/relationships" r:embed="rId1109"/>
        <a:stretch>
          <a:fillRect/>
        </a:stretch>
      </xdr:blipFill>
      <xdr:spPr>
        <a:xfrm>
          <a:off x="7235825" y="1449060475"/>
          <a:ext cx="878840" cy="1183640"/>
        </a:xfrm>
        <a:prstGeom prst="rect">
          <a:avLst/>
        </a:prstGeom>
      </xdr:spPr>
    </xdr:pic>
    <xdr:clientData/>
  </xdr:twoCellAnchor>
  <xdr:twoCellAnchor>
    <xdr:from>
      <xdr:col>9</xdr:col>
      <xdr:colOff>6350</xdr:colOff>
      <xdr:row>1492</xdr:row>
      <xdr:rowOff>25400</xdr:rowOff>
    </xdr:from>
    <xdr:to>
      <xdr:col>9</xdr:col>
      <xdr:colOff>885190</xdr:colOff>
      <xdr:row>1492</xdr:row>
      <xdr:rowOff>1209040</xdr:rowOff>
    </xdr:to>
    <xdr:pic>
      <xdr:nvPicPr>
        <xdr:cNvPr id="6350" name="Изображение 6349" descr="resizeПП-00228030"/>
        <xdr:cNvPicPr>
          <a:picLocks noChangeAspect="1"/>
        </xdr:cNvPicPr>
      </xdr:nvPicPr>
      <xdr:blipFill>
        <a:blip xmlns:r="http://schemas.openxmlformats.org/officeDocument/2006/relationships" r:embed="rId1079"/>
        <a:stretch>
          <a:fillRect/>
        </a:stretch>
      </xdr:blipFill>
      <xdr:spPr>
        <a:xfrm>
          <a:off x="7235825" y="1450435250"/>
          <a:ext cx="878840" cy="1183640"/>
        </a:xfrm>
        <a:prstGeom prst="rect">
          <a:avLst/>
        </a:prstGeom>
      </xdr:spPr>
    </xdr:pic>
    <xdr:clientData/>
  </xdr:twoCellAnchor>
  <xdr:twoCellAnchor>
    <xdr:from>
      <xdr:col>9</xdr:col>
      <xdr:colOff>6350</xdr:colOff>
      <xdr:row>1494</xdr:row>
      <xdr:rowOff>25400</xdr:rowOff>
    </xdr:from>
    <xdr:to>
      <xdr:col>9</xdr:col>
      <xdr:colOff>885190</xdr:colOff>
      <xdr:row>1494</xdr:row>
      <xdr:rowOff>1209040</xdr:rowOff>
    </xdr:to>
    <xdr:pic>
      <xdr:nvPicPr>
        <xdr:cNvPr id="6351" name="Изображение 6350" descr="resizeПП-00227219"/>
        <xdr:cNvPicPr>
          <a:picLocks noChangeAspect="1"/>
        </xdr:cNvPicPr>
      </xdr:nvPicPr>
      <xdr:blipFill>
        <a:blip xmlns:r="http://schemas.openxmlformats.org/officeDocument/2006/relationships" r:embed="rId1110"/>
        <a:stretch>
          <a:fillRect/>
        </a:stretch>
      </xdr:blipFill>
      <xdr:spPr>
        <a:xfrm>
          <a:off x="7235825" y="1451810025"/>
          <a:ext cx="878840" cy="1183640"/>
        </a:xfrm>
        <a:prstGeom prst="rect">
          <a:avLst/>
        </a:prstGeom>
      </xdr:spPr>
    </xdr:pic>
    <xdr:clientData/>
  </xdr:twoCellAnchor>
  <xdr:twoCellAnchor>
    <xdr:from>
      <xdr:col>9</xdr:col>
      <xdr:colOff>6350</xdr:colOff>
      <xdr:row>1496</xdr:row>
      <xdr:rowOff>25400</xdr:rowOff>
    </xdr:from>
    <xdr:to>
      <xdr:col>9</xdr:col>
      <xdr:colOff>1189990</xdr:colOff>
      <xdr:row>1496</xdr:row>
      <xdr:rowOff>904240</xdr:rowOff>
    </xdr:to>
    <xdr:pic>
      <xdr:nvPicPr>
        <xdr:cNvPr id="6352" name="Изображение 6351" descr="resizeПП-00271980"/>
        <xdr:cNvPicPr>
          <a:picLocks noChangeAspect="1"/>
        </xdr:cNvPicPr>
      </xdr:nvPicPr>
      <xdr:blipFill>
        <a:blip xmlns:r="http://schemas.openxmlformats.org/officeDocument/2006/relationships" r:embed="rId1111"/>
        <a:stretch>
          <a:fillRect/>
        </a:stretch>
      </xdr:blipFill>
      <xdr:spPr>
        <a:xfrm>
          <a:off x="7235825" y="1453184800"/>
          <a:ext cx="1183640" cy="878840"/>
        </a:xfrm>
        <a:prstGeom prst="rect">
          <a:avLst/>
        </a:prstGeom>
      </xdr:spPr>
    </xdr:pic>
    <xdr:clientData/>
  </xdr:twoCellAnchor>
  <xdr:twoCellAnchor>
    <xdr:from>
      <xdr:col>9</xdr:col>
      <xdr:colOff>6350</xdr:colOff>
      <xdr:row>1499</xdr:row>
      <xdr:rowOff>25400</xdr:rowOff>
    </xdr:from>
    <xdr:to>
      <xdr:col>9</xdr:col>
      <xdr:colOff>885190</xdr:colOff>
      <xdr:row>1499</xdr:row>
      <xdr:rowOff>1209040</xdr:rowOff>
    </xdr:to>
    <xdr:pic>
      <xdr:nvPicPr>
        <xdr:cNvPr id="6353" name="Изображение 6352" descr="resizeПП-00227061"/>
        <xdr:cNvPicPr>
          <a:picLocks noChangeAspect="1"/>
        </xdr:cNvPicPr>
      </xdr:nvPicPr>
      <xdr:blipFill>
        <a:blip xmlns:r="http://schemas.openxmlformats.org/officeDocument/2006/relationships" r:embed="rId1112"/>
        <a:stretch>
          <a:fillRect/>
        </a:stretch>
      </xdr:blipFill>
      <xdr:spPr>
        <a:xfrm>
          <a:off x="7235825" y="1454711975"/>
          <a:ext cx="878840" cy="1183640"/>
        </a:xfrm>
        <a:prstGeom prst="rect">
          <a:avLst/>
        </a:prstGeom>
      </xdr:spPr>
    </xdr:pic>
    <xdr:clientData/>
  </xdr:twoCellAnchor>
  <xdr:twoCellAnchor>
    <xdr:from>
      <xdr:col>9</xdr:col>
      <xdr:colOff>6350</xdr:colOff>
      <xdr:row>1500</xdr:row>
      <xdr:rowOff>25400</xdr:rowOff>
    </xdr:from>
    <xdr:to>
      <xdr:col>9</xdr:col>
      <xdr:colOff>885190</xdr:colOff>
      <xdr:row>1500</xdr:row>
      <xdr:rowOff>1209040</xdr:rowOff>
    </xdr:to>
    <xdr:pic>
      <xdr:nvPicPr>
        <xdr:cNvPr id="6354" name="Изображение 6353" descr="resizeПП-00227062"/>
        <xdr:cNvPicPr>
          <a:picLocks noChangeAspect="1"/>
        </xdr:cNvPicPr>
      </xdr:nvPicPr>
      <xdr:blipFill>
        <a:blip xmlns:r="http://schemas.openxmlformats.org/officeDocument/2006/relationships" r:embed="rId1113"/>
        <a:stretch>
          <a:fillRect/>
        </a:stretch>
      </xdr:blipFill>
      <xdr:spPr>
        <a:xfrm>
          <a:off x="7235825" y="1455934350"/>
          <a:ext cx="878840" cy="1183640"/>
        </a:xfrm>
        <a:prstGeom prst="rect">
          <a:avLst/>
        </a:prstGeom>
      </xdr:spPr>
    </xdr:pic>
    <xdr:clientData/>
  </xdr:twoCellAnchor>
  <xdr:twoCellAnchor>
    <xdr:from>
      <xdr:col>9</xdr:col>
      <xdr:colOff>6350</xdr:colOff>
      <xdr:row>1501</xdr:row>
      <xdr:rowOff>25400</xdr:rowOff>
    </xdr:from>
    <xdr:to>
      <xdr:col>9</xdr:col>
      <xdr:colOff>885190</xdr:colOff>
      <xdr:row>1501</xdr:row>
      <xdr:rowOff>1209040</xdr:rowOff>
    </xdr:to>
    <xdr:pic>
      <xdr:nvPicPr>
        <xdr:cNvPr id="6355" name="Изображение 6354" descr="resizeПП-00227057"/>
        <xdr:cNvPicPr>
          <a:picLocks noChangeAspect="1"/>
        </xdr:cNvPicPr>
      </xdr:nvPicPr>
      <xdr:blipFill>
        <a:blip xmlns:r="http://schemas.openxmlformats.org/officeDocument/2006/relationships" r:embed="rId1114"/>
        <a:stretch>
          <a:fillRect/>
        </a:stretch>
      </xdr:blipFill>
      <xdr:spPr>
        <a:xfrm>
          <a:off x="7235825" y="1457156725"/>
          <a:ext cx="878840" cy="1183640"/>
        </a:xfrm>
        <a:prstGeom prst="rect">
          <a:avLst/>
        </a:prstGeom>
      </xdr:spPr>
    </xdr:pic>
    <xdr:clientData/>
  </xdr:twoCellAnchor>
  <xdr:twoCellAnchor>
    <xdr:from>
      <xdr:col>9</xdr:col>
      <xdr:colOff>6350</xdr:colOff>
      <xdr:row>1502</xdr:row>
      <xdr:rowOff>25400</xdr:rowOff>
    </xdr:from>
    <xdr:to>
      <xdr:col>9</xdr:col>
      <xdr:colOff>885190</xdr:colOff>
      <xdr:row>1502</xdr:row>
      <xdr:rowOff>1209040</xdr:rowOff>
    </xdr:to>
    <xdr:pic>
      <xdr:nvPicPr>
        <xdr:cNvPr id="6356" name="Изображение 6355" descr="resizeПП-00186913"/>
        <xdr:cNvPicPr>
          <a:picLocks noChangeAspect="1"/>
        </xdr:cNvPicPr>
      </xdr:nvPicPr>
      <xdr:blipFill>
        <a:blip xmlns:r="http://schemas.openxmlformats.org/officeDocument/2006/relationships" r:embed="rId1115"/>
        <a:stretch>
          <a:fillRect/>
        </a:stretch>
      </xdr:blipFill>
      <xdr:spPr>
        <a:xfrm>
          <a:off x="7235825" y="1458379100"/>
          <a:ext cx="878840" cy="1183640"/>
        </a:xfrm>
        <a:prstGeom prst="rect">
          <a:avLst/>
        </a:prstGeom>
      </xdr:spPr>
    </xdr:pic>
    <xdr:clientData/>
  </xdr:twoCellAnchor>
  <xdr:twoCellAnchor>
    <xdr:from>
      <xdr:col>9</xdr:col>
      <xdr:colOff>6350</xdr:colOff>
      <xdr:row>1503</xdr:row>
      <xdr:rowOff>25400</xdr:rowOff>
    </xdr:from>
    <xdr:to>
      <xdr:col>9</xdr:col>
      <xdr:colOff>885190</xdr:colOff>
      <xdr:row>1503</xdr:row>
      <xdr:rowOff>1209040</xdr:rowOff>
    </xdr:to>
    <xdr:pic>
      <xdr:nvPicPr>
        <xdr:cNvPr id="6357" name="Изображение 6356" descr="resizeПП-00227058"/>
        <xdr:cNvPicPr>
          <a:picLocks noChangeAspect="1"/>
        </xdr:cNvPicPr>
      </xdr:nvPicPr>
      <xdr:blipFill>
        <a:blip xmlns:r="http://schemas.openxmlformats.org/officeDocument/2006/relationships" r:embed="rId1116"/>
        <a:stretch>
          <a:fillRect/>
        </a:stretch>
      </xdr:blipFill>
      <xdr:spPr>
        <a:xfrm>
          <a:off x="7235825" y="1459601475"/>
          <a:ext cx="878840" cy="1183640"/>
        </a:xfrm>
        <a:prstGeom prst="rect">
          <a:avLst/>
        </a:prstGeom>
      </xdr:spPr>
    </xdr:pic>
    <xdr:clientData/>
  </xdr:twoCellAnchor>
  <xdr:twoCellAnchor>
    <xdr:from>
      <xdr:col>9</xdr:col>
      <xdr:colOff>6350</xdr:colOff>
      <xdr:row>1504</xdr:row>
      <xdr:rowOff>25400</xdr:rowOff>
    </xdr:from>
    <xdr:to>
      <xdr:col>9</xdr:col>
      <xdr:colOff>885190</xdr:colOff>
      <xdr:row>1504</xdr:row>
      <xdr:rowOff>1209040</xdr:rowOff>
    </xdr:to>
    <xdr:pic>
      <xdr:nvPicPr>
        <xdr:cNvPr id="6358" name="Изображение 6357" descr="resizeПП-00227060"/>
        <xdr:cNvPicPr>
          <a:picLocks noChangeAspect="1"/>
        </xdr:cNvPicPr>
      </xdr:nvPicPr>
      <xdr:blipFill>
        <a:blip xmlns:r="http://schemas.openxmlformats.org/officeDocument/2006/relationships" r:embed="rId1117"/>
        <a:stretch>
          <a:fillRect/>
        </a:stretch>
      </xdr:blipFill>
      <xdr:spPr>
        <a:xfrm>
          <a:off x="7235825" y="1460823850"/>
          <a:ext cx="878840" cy="1183640"/>
        </a:xfrm>
        <a:prstGeom prst="rect">
          <a:avLst/>
        </a:prstGeom>
      </xdr:spPr>
    </xdr:pic>
    <xdr:clientData/>
  </xdr:twoCellAnchor>
  <xdr:twoCellAnchor>
    <xdr:from>
      <xdr:col>9</xdr:col>
      <xdr:colOff>6350</xdr:colOff>
      <xdr:row>1506</xdr:row>
      <xdr:rowOff>25400</xdr:rowOff>
    </xdr:from>
    <xdr:to>
      <xdr:col>9</xdr:col>
      <xdr:colOff>885190</xdr:colOff>
      <xdr:row>1506</xdr:row>
      <xdr:rowOff>1209040</xdr:rowOff>
    </xdr:to>
    <xdr:pic>
      <xdr:nvPicPr>
        <xdr:cNvPr id="6359" name="Изображение 6358" descr="resizeПП-00154699"/>
        <xdr:cNvPicPr>
          <a:picLocks noChangeAspect="1"/>
        </xdr:cNvPicPr>
      </xdr:nvPicPr>
      <xdr:blipFill>
        <a:blip xmlns:r="http://schemas.openxmlformats.org/officeDocument/2006/relationships" r:embed="rId1118"/>
        <a:stretch>
          <a:fillRect/>
        </a:stretch>
      </xdr:blipFill>
      <xdr:spPr>
        <a:xfrm>
          <a:off x="7235825" y="1462198625"/>
          <a:ext cx="878840" cy="1183640"/>
        </a:xfrm>
        <a:prstGeom prst="rect">
          <a:avLst/>
        </a:prstGeom>
      </xdr:spPr>
    </xdr:pic>
    <xdr:clientData/>
  </xdr:twoCellAnchor>
  <xdr:twoCellAnchor>
    <xdr:from>
      <xdr:col>9</xdr:col>
      <xdr:colOff>6350</xdr:colOff>
      <xdr:row>1507</xdr:row>
      <xdr:rowOff>25400</xdr:rowOff>
    </xdr:from>
    <xdr:to>
      <xdr:col>9</xdr:col>
      <xdr:colOff>885190</xdr:colOff>
      <xdr:row>1507</xdr:row>
      <xdr:rowOff>1209040</xdr:rowOff>
    </xdr:to>
    <xdr:pic>
      <xdr:nvPicPr>
        <xdr:cNvPr id="6360" name="Изображение 6359" descr="resizeПП-00186914"/>
        <xdr:cNvPicPr>
          <a:picLocks noChangeAspect="1"/>
        </xdr:cNvPicPr>
      </xdr:nvPicPr>
      <xdr:blipFill>
        <a:blip xmlns:r="http://schemas.openxmlformats.org/officeDocument/2006/relationships" r:embed="rId1115"/>
        <a:stretch>
          <a:fillRect/>
        </a:stretch>
      </xdr:blipFill>
      <xdr:spPr>
        <a:xfrm>
          <a:off x="7235825" y="1463421000"/>
          <a:ext cx="878840" cy="1183640"/>
        </a:xfrm>
        <a:prstGeom prst="rect">
          <a:avLst/>
        </a:prstGeom>
      </xdr:spPr>
    </xdr:pic>
    <xdr:clientData/>
  </xdr:twoCellAnchor>
  <xdr:twoCellAnchor>
    <xdr:from>
      <xdr:col>9</xdr:col>
      <xdr:colOff>6350</xdr:colOff>
      <xdr:row>1509</xdr:row>
      <xdr:rowOff>25400</xdr:rowOff>
    </xdr:from>
    <xdr:to>
      <xdr:col>9</xdr:col>
      <xdr:colOff>885190</xdr:colOff>
      <xdr:row>1509</xdr:row>
      <xdr:rowOff>1209040</xdr:rowOff>
    </xdr:to>
    <xdr:pic>
      <xdr:nvPicPr>
        <xdr:cNvPr id="6361" name="Изображение 6360" descr="resizeПП-00186923"/>
        <xdr:cNvPicPr>
          <a:picLocks noChangeAspect="1"/>
        </xdr:cNvPicPr>
      </xdr:nvPicPr>
      <xdr:blipFill>
        <a:blip xmlns:r="http://schemas.openxmlformats.org/officeDocument/2006/relationships" r:embed="rId1119"/>
        <a:stretch>
          <a:fillRect/>
        </a:stretch>
      </xdr:blipFill>
      <xdr:spPr>
        <a:xfrm>
          <a:off x="7235825" y="1464795775"/>
          <a:ext cx="878840" cy="1183640"/>
        </a:xfrm>
        <a:prstGeom prst="rect">
          <a:avLst/>
        </a:prstGeom>
      </xdr:spPr>
    </xdr:pic>
    <xdr:clientData/>
  </xdr:twoCellAnchor>
  <xdr:twoCellAnchor>
    <xdr:from>
      <xdr:col>9</xdr:col>
      <xdr:colOff>6350</xdr:colOff>
      <xdr:row>1510</xdr:row>
      <xdr:rowOff>25400</xdr:rowOff>
    </xdr:from>
    <xdr:to>
      <xdr:col>9</xdr:col>
      <xdr:colOff>885190</xdr:colOff>
      <xdr:row>1510</xdr:row>
      <xdr:rowOff>1209040</xdr:rowOff>
    </xdr:to>
    <xdr:pic>
      <xdr:nvPicPr>
        <xdr:cNvPr id="6362" name="Изображение 6361" descr="resizeПП-00154684"/>
        <xdr:cNvPicPr>
          <a:picLocks noChangeAspect="1"/>
        </xdr:cNvPicPr>
      </xdr:nvPicPr>
      <xdr:blipFill>
        <a:blip xmlns:r="http://schemas.openxmlformats.org/officeDocument/2006/relationships" r:embed="rId1120"/>
        <a:stretch>
          <a:fillRect/>
        </a:stretch>
      </xdr:blipFill>
      <xdr:spPr>
        <a:xfrm>
          <a:off x="7235825" y="1466018150"/>
          <a:ext cx="878840" cy="1183640"/>
        </a:xfrm>
        <a:prstGeom prst="rect">
          <a:avLst/>
        </a:prstGeom>
      </xdr:spPr>
    </xdr:pic>
    <xdr:clientData/>
  </xdr:twoCellAnchor>
  <xdr:twoCellAnchor>
    <xdr:from>
      <xdr:col>9</xdr:col>
      <xdr:colOff>6350</xdr:colOff>
      <xdr:row>1511</xdr:row>
      <xdr:rowOff>25400</xdr:rowOff>
    </xdr:from>
    <xdr:to>
      <xdr:col>9</xdr:col>
      <xdr:colOff>885190</xdr:colOff>
      <xdr:row>1511</xdr:row>
      <xdr:rowOff>1209040</xdr:rowOff>
    </xdr:to>
    <xdr:pic>
      <xdr:nvPicPr>
        <xdr:cNvPr id="6363" name="Изображение 6362" descr="resizeПП-00154697"/>
        <xdr:cNvPicPr>
          <a:picLocks noChangeAspect="1"/>
        </xdr:cNvPicPr>
      </xdr:nvPicPr>
      <xdr:blipFill>
        <a:blip xmlns:r="http://schemas.openxmlformats.org/officeDocument/2006/relationships" r:embed="rId1121"/>
        <a:stretch>
          <a:fillRect/>
        </a:stretch>
      </xdr:blipFill>
      <xdr:spPr>
        <a:xfrm>
          <a:off x="7235825" y="1467240525"/>
          <a:ext cx="878840" cy="1183640"/>
        </a:xfrm>
        <a:prstGeom prst="rect">
          <a:avLst/>
        </a:prstGeom>
      </xdr:spPr>
    </xdr:pic>
    <xdr:clientData/>
  </xdr:twoCellAnchor>
  <xdr:twoCellAnchor>
    <xdr:from>
      <xdr:col>9</xdr:col>
      <xdr:colOff>6350</xdr:colOff>
      <xdr:row>1512</xdr:row>
      <xdr:rowOff>25400</xdr:rowOff>
    </xdr:from>
    <xdr:to>
      <xdr:col>9</xdr:col>
      <xdr:colOff>885190</xdr:colOff>
      <xdr:row>1512</xdr:row>
      <xdr:rowOff>1209040</xdr:rowOff>
    </xdr:to>
    <xdr:pic>
      <xdr:nvPicPr>
        <xdr:cNvPr id="6364" name="Изображение 6363" descr="resizeПП-00154686"/>
        <xdr:cNvPicPr>
          <a:picLocks noChangeAspect="1"/>
        </xdr:cNvPicPr>
      </xdr:nvPicPr>
      <xdr:blipFill>
        <a:blip xmlns:r="http://schemas.openxmlformats.org/officeDocument/2006/relationships" r:embed="rId1122"/>
        <a:stretch>
          <a:fillRect/>
        </a:stretch>
      </xdr:blipFill>
      <xdr:spPr>
        <a:xfrm>
          <a:off x="7235825" y="1468462900"/>
          <a:ext cx="878840" cy="1183640"/>
        </a:xfrm>
        <a:prstGeom prst="rect">
          <a:avLst/>
        </a:prstGeom>
      </xdr:spPr>
    </xdr:pic>
    <xdr:clientData/>
  </xdr:twoCellAnchor>
  <xdr:twoCellAnchor>
    <xdr:from>
      <xdr:col>9</xdr:col>
      <xdr:colOff>6350</xdr:colOff>
      <xdr:row>1514</xdr:row>
      <xdr:rowOff>25400</xdr:rowOff>
    </xdr:from>
    <xdr:to>
      <xdr:col>9</xdr:col>
      <xdr:colOff>885190</xdr:colOff>
      <xdr:row>1514</xdr:row>
      <xdr:rowOff>1209040</xdr:rowOff>
    </xdr:to>
    <xdr:pic>
      <xdr:nvPicPr>
        <xdr:cNvPr id="6365" name="Изображение 6364" descr="resizeПП-00154702"/>
        <xdr:cNvPicPr>
          <a:picLocks noChangeAspect="1"/>
        </xdr:cNvPicPr>
      </xdr:nvPicPr>
      <xdr:blipFill>
        <a:blip xmlns:r="http://schemas.openxmlformats.org/officeDocument/2006/relationships" r:embed="rId1123"/>
        <a:stretch>
          <a:fillRect/>
        </a:stretch>
      </xdr:blipFill>
      <xdr:spPr>
        <a:xfrm>
          <a:off x="7235825" y="1469837675"/>
          <a:ext cx="878840" cy="1183640"/>
        </a:xfrm>
        <a:prstGeom prst="rect">
          <a:avLst/>
        </a:prstGeom>
      </xdr:spPr>
    </xdr:pic>
    <xdr:clientData/>
  </xdr:twoCellAnchor>
  <xdr:twoCellAnchor>
    <xdr:from>
      <xdr:col>9</xdr:col>
      <xdr:colOff>6350</xdr:colOff>
      <xdr:row>1515</xdr:row>
      <xdr:rowOff>25400</xdr:rowOff>
    </xdr:from>
    <xdr:to>
      <xdr:col>9</xdr:col>
      <xdr:colOff>885190</xdr:colOff>
      <xdr:row>1515</xdr:row>
      <xdr:rowOff>1209040</xdr:rowOff>
    </xdr:to>
    <xdr:pic>
      <xdr:nvPicPr>
        <xdr:cNvPr id="6366" name="Изображение 6365" descr="resizeПП-00186924"/>
        <xdr:cNvPicPr>
          <a:picLocks noChangeAspect="1"/>
        </xdr:cNvPicPr>
      </xdr:nvPicPr>
      <xdr:blipFill>
        <a:blip xmlns:r="http://schemas.openxmlformats.org/officeDocument/2006/relationships" r:embed="rId1124"/>
        <a:stretch>
          <a:fillRect/>
        </a:stretch>
      </xdr:blipFill>
      <xdr:spPr>
        <a:xfrm>
          <a:off x="7235825" y="1471060050"/>
          <a:ext cx="878840" cy="1183640"/>
        </a:xfrm>
        <a:prstGeom prst="rect">
          <a:avLst/>
        </a:prstGeom>
      </xdr:spPr>
    </xdr:pic>
    <xdr:clientData/>
  </xdr:twoCellAnchor>
  <xdr:twoCellAnchor>
    <xdr:from>
      <xdr:col>9</xdr:col>
      <xdr:colOff>6350</xdr:colOff>
      <xdr:row>1516</xdr:row>
      <xdr:rowOff>25400</xdr:rowOff>
    </xdr:from>
    <xdr:to>
      <xdr:col>9</xdr:col>
      <xdr:colOff>885190</xdr:colOff>
      <xdr:row>1516</xdr:row>
      <xdr:rowOff>1209040</xdr:rowOff>
    </xdr:to>
    <xdr:pic>
      <xdr:nvPicPr>
        <xdr:cNvPr id="6367" name="Изображение 6366" descr="resizeПП-00186915"/>
        <xdr:cNvPicPr>
          <a:picLocks noChangeAspect="1"/>
        </xdr:cNvPicPr>
      </xdr:nvPicPr>
      <xdr:blipFill>
        <a:blip xmlns:r="http://schemas.openxmlformats.org/officeDocument/2006/relationships" r:embed="rId1125"/>
        <a:stretch>
          <a:fillRect/>
        </a:stretch>
      </xdr:blipFill>
      <xdr:spPr>
        <a:xfrm>
          <a:off x="7235825" y="1472282425"/>
          <a:ext cx="878840" cy="1183640"/>
        </a:xfrm>
        <a:prstGeom prst="rect">
          <a:avLst/>
        </a:prstGeom>
      </xdr:spPr>
    </xdr:pic>
    <xdr:clientData/>
  </xdr:twoCellAnchor>
  <xdr:twoCellAnchor>
    <xdr:from>
      <xdr:col>9</xdr:col>
      <xdr:colOff>6350</xdr:colOff>
      <xdr:row>1519</xdr:row>
      <xdr:rowOff>25400</xdr:rowOff>
    </xdr:from>
    <xdr:to>
      <xdr:col>9</xdr:col>
      <xdr:colOff>885190</xdr:colOff>
      <xdr:row>1519</xdr:row>
      <xdr:rowOff>1209040</xdr:rowOff>
    </xdr:to>
    <xdr:pic>
      <xdr:nvPicPr>
        <xdr:cNvPr id="6368" name="Изображение 6367" descr="resizeПП-00256350"/>
        <xdr:cNvPicPr>
          <a:picLocks noChangeAspect="1"/>
        </xdr:cNvPicPr>
      </xdr:nvPicPr>
      <xdr:blipFill>
        <a:blip xmlns:r="http://schemas.openxmlformats.org/officeDocument/2006/relationships" r:embed="rId1126"/>
        <a:stretch>
          <a:fillRect/>
        </a:stretch>
      </xdr:blipFill>
      <xdr:spPr>
        <a:xfrm>
          <a:off x="7235825" y="1473809600"/>
          <a:ext cx="878840" cy="1183640"/>
        </a:xfrm>
        <a:prstGeom prst="rect">
          <a:avLst/>
        </a:prstGeom>
      </xdr:spPr>
    </xdr:pic>
    <xdr:clientData/>
  </xdr:twoCellAnchor>
  <xdr:twoCellAnchor>
    <xdr:from>
      <xdr:col>9</xdr:col>
      <xdr:colOff>6350</xdr:colOff>
      <xdr:row>1520</xdr:row>
      <xdr:rowOff>25400</xdr:rowOff>
    </xdr:from>
    <xdr:to>
      <xdr:col>9</xdr:col>
      <xdr:colOff>885190</xdr:colOff>
      <xdr:row>1520</xdr:row>
      <xdr:rowOff>1209040</xdr:rowOff>
    </xdr:to>
    <xdr:pic>
      <xdr:nvPicPr>
        <xdr:cNvPr id="6369" name="Изображение 6368" descr="resizeПП-00256353"/>
        <xdr:cNvPicPr>
          <a:picLocks noChangeAspect="1"/>
        </xdr:cNvPicPr>
      </xdr:nvPicPr>
      <xdr:blipFill>
        <a:blip xmlns:r="http://schemas.openxmlformats.org/officeDocument/2006/relationships" r:embed="rId1127"/>
        <a:stretch>
          <a:fillRect/>
        </a:stretch>
      </xdr:blipFill>
      <xdr:spPr>
        <a:xfrm>
          <a:off x="7235825" y="1475031975"/>
          <a:ext cx="878840" cy="1183640"/>
        </a:xfrm>
        <a:prstGeom prst="rect">
          <a:avLst/>
        </a:prstGeom>
      </xdr:spPr>
    </xdr:pic>
    <xdr:clientData/>
  </xdr:twoCellAnchor>
  <xdr:twoCellAnchor>
    <xdr:from>
      <xdr:col>9</xdr:col>
      <xdr:colOff>6350</xdr:colOff>
      <xdr:row>1521</xdr:row>
      <xdr:rowOff>25400</xdr:rowOff>
    </xdr:from>
    <xdr:to>
      <xdr:col>9</xdr:col>
      <xdr:colOff>885190</xdr:colOff>
      <xdr:row>1521</xdr:row>
      <xdr:rowOff>1209040</xdr:rowOff>
    </xdr:to>
    <xdr:pic>
      <xdr:nvPicPr>
        <xdr:cNvPr id="6370" name="Изображение 6369" descr="resizeПП-00256354"/>
        <xdr:cNvPicPr>
          <a:picLocks noChangeAspect="1"/>
        </xdr:cNvPicPr>
      </xdr:nvPicPr>
      <xdr:blipFill>
        <a:blip xmlns:r="http://schemas.openxmlformats.org/officeDocument/2006/relationships" r:embed="rId1128"/>
        <a:stretch>
          <a:fillRect/>
        </a:stretch>
      </xdr:blipFill>
      <xdr:spPr>
        <a:xfrm>
          <a:off x="7235825" y="1476254350"/>
          <a:ext cx="878840" cy="1183640"/>
        </a:xfrm>
        <a:prstGeom prst="rect">
          <a:avLst/>
        </a:prstGeom>
      </xdr:spPr>
    </xdr:pic>
    <xdr:clientData/>
  </xdr:twoCellAnchor>
  <xdr:twoCellAnchor>
    <xdr:from>
      <xdr:col>9</xdr:col>
      <xdr:colOff>6350</xdr:colOff>
      <xdr:row>1522</xdr:row>
      <xdr:rowOff>25400</xdr:rowOff>
    </xdr:from>
    <xdr:to>
      <xdr:col>9</xdr:col>
      <xdr:colOff>885190</xdr:colOff>
      <xdr:row>1522</xdr:row>
      <xdr:rowOff>1209040</xdr:rowOff>
    </xdr:to>
    <xdr:pic>
      <xdr:nvPicPr>
        <xdr:cNvPr id="6371" name="Изображение 6370" descr="resizeПП-00256356"/>
        <xdr:cNvPicPr>
          <a:picLocks noChangeAspect="1"/>
        </xdr:cNvPicPr>
      </xdr:nvPicPr>
      <xdr:blipFill>
        <a:blip xmlns:r="http://schemas.openxmlformats.org/officeDocument/2006/relationships" r:embed="rId1129"/>
        <a:stretch>
          <a:fillRect/>
        </a:stretch>
      </xdr:blipFill>
      <xdr:spPr>
        <a:xfrm>
          <a:off x="7235825" y="1477476725"/>
          <a:ext cx="878840" cy="1183640"/>
        </a:xfrm>
        <a:prstGeom prst="rect">
          <a:avLst/>
        </a:prstGeom>
      </xdr:spPr>
    </xdr:pic>
    <xdr:clientData/>
  </xdr:twoCellAnchor>
  <xdr:twoCellAnchor>
    <xdr:from>
      <xdr:col>9</xdr:col>
      <xdr:colOff>6350</xdr:colOff>
      <xdr:row>1524</xdr:row>
      <xdr:rowOff>25400</xdr:rowOff>
    </xdr:from>
    <xdr:to>
      <xdr:col>9</xdr:col>
      <xdr:colOff>885190</xdr:colOff>
      <xdr:row>1524</xdr:row>
      <xdr:rowOff>1209040</xdr:rowOff>
    </xdr:to>
    <xdr:pic>
      <xdr:nvPicPr>
        <xdr:cNvPr id="6372" name="Изображение 6371" descr="resizeПП-00256361"/>
        <xdr:cNvPicPr>
          <a:picLocks noChangeAspect="1"/>
        </xdr:cNvPicPr>
      </xdr:nvPicPr>
      <xdr:blipFill>
        <a:blip xmlns:r="http://schemas.openxmlformats.org/officeDocument/2006/relationships" r:embed="rId1130"/>
        <a:stretch>
          <a:fillRect/>
        </a:stretch>
      </xdr:blipFill>
      <xdr:spPr>
        <a:xfrm>
          <a:off x="7235825" y="1478851500"/>
          <a:ext cx="878840" cy="1183640"/>
        </a:xfrm>
        <a:prstGeom prst="rect">
          <a:avLst/>
        </a:prstGeom>
      </xdr:spPr>
    </xdr:pic>
    <xdr:clientData/>
  </xdr:twoCellAnchor>
  <xdr:twoCellAnchor>
    <xdr:from>
      <xdr:col>9</xdr:col>
      <xdr:colOff>6350</xdr:colOff>
      <xdr:row>1525</xdr:row>
      <xdr:rowOff>25400</xdr:rowOff>
    </xdr:from>
    <xdr:to>
      <xdr:col>9</xdr:col>
      <xdr:colOff>885190</xdr:colOff>
      <xdr:row>1525</xdr:row>
      <xdr:rowOff>1209040</xdr:rowOff>
    </xdr:to>
    <xdr:pic>
      <xdr:nvPicPr>
        <xdr:cNvPr id="6373" name="Изображение 6372" descr="resizeПП-00256360"/>
        <xdr:cNvPicPr>
          <a:picLocks noChangeAspect="1"/>
        </xdr:cNvPicPr>
      </xdr:nvPicPr>
      <xdr:blipFill>
        <a:blip xmlns:r="http://schemas.openxmlformats.org/officeDocument/2006/relationships" r:embed="rId1084"/>
        <a:stretch>
          <a:fillRect/>
        </a:stretch>
      </xdr:blipFill>
      <xdr:spPr>
        <a:xfrm>
          <a:off x="7235825" y="1480073875"/>
          <a:ext cx="878840" cy="1183640"/>
        </a:xfrm>
        <a:prstGeom prst="rect">
          <a:avLst/>
        </a:prstGeom>
      </xdr:spPr>
    </xdr:pic>
    <xdr:clientData/>
  </xdr:twoCellAnchor>
  <xdr:twoCellAnchor>
    <xdr:from>
      <xdr:col>9</xdr:col>
      <xdr:colOff>6350</xdr:colOff>
      <xdr:row>1526</xdr:row>
      <xdr:rowOff>25400</xdr:rowOff>
    </xdr:from>
    <xdr:to>
      <xdr:col>9</xdr:col>
      <xdr:colOff>885190</xdr:colOff>
      <xdr:row>1526</xdr:row>
      <xdr:rowOff>1209040</xdr:rowOff>
    </xdr:to>
    <xdr:pic>
      <xdr:nvPicPr>
        <xdr:cNvPr id="6374" name="Изображение 6373" descr="resizeПП-00256362"/>
        <xdr:cNvPicPr>
          <a:picLocks noChangeAspect="1"/>
        </xdr:cNvPicPr>
      </xdr:nvPicPr>
      <xdr:blipFill>
        <a:blip xmlns:r="http://schemas.openxmlformats.org/officeDocument/2006/relationships" r:embed="rId1131"/>
        <a:stretch>
          <a:fillRect/>
        </a:stretch>
      </xdr:blipFill>
      <xdr:spPr>
        <a:xfrm>
          <a:off x="7235825" y="1481296250"/>
          <a:ext cx="878840" cy="1183640"/>
        </a:xfrm>
        <a:prstGeom prst="rect">
          <a:avLst/>
        </a:prstGeom>
      </xdr:spPr>
    </xdr:pic>
    <xdr:clientData/>
  </xdr:twoCellAnchor>
  <xdr:twoCellAnchor>
    <xdr:from>
      <xdr:col>9</xdr:col>
      <xdr:colOff>6350</xdr:colOff>
      <xdr:row>1527</xdr:row>
      <xdr:rowOff>25400</xdr:rowOff>
    </xdr:from>
    <xdr:to>
      <xdr:col>9</xdr:col>
      <xdr:colOff>885190</xdr:colOff>
      <xdr:row>1527</xdr:row>
      <xdr:rowOff>1209040</xdr:rowOff>
    </xdr:to>
    <xdr:pic>
      <xdr:nvPicPr>
        <xdr:cNvPr id="6375" name="Изображение 6374" descr="resizeПП-00256363"/>
        <xdr:cNvPicPr>
          <a:picLocks noChangeAspect="1"/>
        </xdr:cNvPicPr>
      </xdr:nvPicPr>
      <xdr:blipFill>
        <a:blip xmlns:r="http://schemas.openxmlformats.org/officeDocument/2006/relationships" r:embed="rId1132"/>
        <a:stretch>
          <a:fillRect/>
        </a:stretch>
      </xdr:blipFill>
      <xdr:spPr>
        <a:xfrm>
          <a:off x="7235825" y="1482518625"/>
          <a:ext cx="878840" cy="1183640"/>
        </a:xfrm>
        <a:prstGeom prst="rect">
          <a:avLst/>
        </a:prstGeom>
      </xdr:spPr>
    </xdr:pic>
    <xdr:clientData/>
  </xdr:twoCellAnchor>
  <xdr:twoCellAnchor>
    <xdr:from>
      <xdr:col>9</xdr:col>
      <xdr:colOff>6350</xdr:colOff>
      <xdr:row>1529</xdr:row>
      <xdr:rowOff>25400</xdr:rowOff>
    </xdr:from>
    <xdr:to>
      <xdr:col>9</xdr:col>
      <xdr:colOff>885190</xdr:colOff>
      <xdr:row>1529</xdr:row>
      <xdr:rowOff>1209040</xdr:rowOff>
    </xdr:to>
    <xdr:pic>
      <xdr:nvPicPr>
        <xdr:cNvPr id="6376" name="Изображение 6375" descr="resizeПП-00256357"/>
        <xdr:cNvPicPr>
          <a:picLocks noChangeAspect="1"/>
        </xdr:cNvPicPr>
      </xdr:nvPicPr>
      <xdr:blipFill>
        <a:blip xmlns:r="http://schemas.openxmlformats.org/officeDocument/2006/relationships" r:embed="rId1133"/>
        <a:stretch>
          <a:fillRect/>
        </a:stretch>
      </xdr:blipFill>
      <xdr:spPr>
        <a:xfrm>
          <a:off x="7235825" y="1483893400"/>
          <a:ext cx="878840" cy="1183640"/>
        </a:xfrm>
        <a:prstGeom prst="rect">
          <a:avLst/>
        </a:prstGeom>
      </xdr:spPr>
    </xdr:pic>
    <xdr:clientData/>
  </xdr:twoCellAnchor>
  <xdr:twoCellAnchor>
    <xdr:from>
      <xdr:col>9</xdr:col>
      <xdr:colOff>6350</xdr:colOff>
      <xdr:row>1530</xdr:row>
      <xdr:rowOff>25400</xdr:rowOff>
    </xdr:from>
    <xdr:to>
      <xdr:col>9</xdr:col>
      <xdr:colOff>885190</xdr:colOff>
      <xdr:row>1530</xdr:row>
      <xdr:rowOff>1209040</xdr:rowOff>
    </xdr:to>
    <xdr:pic>
      <xdr:nvPicPr>
        <xdr:cNvPr id="6377" name="Изображение 6376" descr="resizeПП-00256358"/>
        <xdr:cNvPicPr>
          <a:picLocks noChangeAspect="1"/>
        </xdr:cNvPicPr>
      </xdr:nvPicPr>
      <xdr:blipFill>
        <a:blip xmlns:r="http://schemas.openxmlformats.org/officeDocument/2006/relationships" r:embed="rId1134"/>
        <a:stretch>
          <a:fillRect/>
        </a:stretch>
      </xdr:blipFill>
      <xdr:spPr>
        <a:xfrm>
          <a:off x="7235825" y="1485115775"/>
          <a:ext cx="878840" cy="1183640"/>
        </a:xfrm>
        <a:prstGeom prst="rect">
          <a:avLst/>
        </a:prstGeom>
      </xdr:spPr>
    </xdr:pic>
    <xdr:clientData/>
  </xdr:twoCellAnchor>
  <xdr:twoCellAnchor>
    <xdr:from>
      <xdr:col>9</xdr:col>
      <xdr:colOff>6350</xdr:colOff>
      <xdr:row>1532</xdr:row>
      <xdr:rowOff>25400</xdr:rowOff>
    </xdr:from>
    <xdr:to>
      <xdr:col>9</xdr:col>
      <xdr:colOff>885190</xdr:colOff>
      <xdr:row>1532</xdr:row>
      <xdr:rowOff>1209040</xdr:rowOff>
    </xdr:to>
    <xdr:pic>
      <xdr:nvPicPr>
        <xdr:cNvPr id="6378" name="Изображение 6377" descr="resizeПП-00229517"/>
        <xdr:cNvPicPr>
          <a:picLocks noChangeAspect="1"/>
        </xdr:cNvPicPr>
      </xdr:nvPicPr>
      <xdr:blipFill>
        <a:blip xmlns:r="http://schemas.openxmlformats.org/officeDocument/2006/relationships" r:embed="rId1135"/>
        <a:stretch>
          <a:fillRect/>
        </a:stretch>
      </xdr:blipFill>
      <xdr:spPr>
        <a:xfrm>
          <a:off x="7235825" y="1486490550"/>
          <a:ext cx="878840" cy="1183640"/>
        </a:xfrm>
        <a:prstGeom prst="rect">
          <a:avLst/>
        </a:prstGeom>
      </xdr:spPr>
    </xdr:pic>
    <xdr:clientData/>
  </xdr:twoCellAnchor>
  <xdr:twoCellAnchor>
    <xdr:from>
      <xdr:col>9</xdr:col>
      <xdr:colOff>6350</xdr:colOff>
      <xdr:row>1533</xdr:row>
      <xdr:rowOff>25400</xdr:rowOff>
    </xdr:from>
    <xdr:to>
      <xdr:col>9</xdr:col>
      <xdr:colOff>885190</xdr:colOff>
      <xdr:row>1533</xdr:row>
      <xdr:rowOff>1209040</xdr:rowOff>
    </xdr:to>
    <xdr:pic>
      <xdr:nvPicPr>
        <xdr:cNvPr id="6379" name="Изображение 6378" descr="resizeПП-00229518"/>
        <xdr:cNvPicPr>
          <a:picLocks noChangeAspect="1"/>
        </xdr:cNvPicPr>
      </xdr:nvPicPr>
      <xdr:blipFill>
        <a:blip xmlns:r="http://schemas.openxmlformats.org/officeDocument/2006/relationships" r:embed="rId1136"/>
        <a:stretch>
          <a:fillRect/>
        </a:stretch>
      </xdr:blipFill>
      <xdr:spPr>
        <a:xfrm>
          <a:off x="7235825" y="1487712925"/>
          <a:ext cx="878840" cy="1183640"/>
        </a:xfrm>
        <a:prstGeom prst="rect">
          <a:avLst/>
        </a:prstGeom>
      </xdr:spPr>
    </xdr:pic>
    <xdr:clientData/>
  </xdr:twoCellAnchor>
  <xdr:twoCellAnchor>
    <xdr:from>
      <xdr:col>9</xdr:col>
      <xdr:colOff>6350</xdr:colOff>
      <xdr:row>1536</xdr:row>
      <xdr:rowOff>25400</xdr:rowOff>
    </xdr:from>
    <xdr:to>
      <xdr:col>9</xdr:col>
      <xdr:colOff>885190</xdr:colOff>
      <xdr:row>1536</xdr:row>
      <xdr:rowOff>1209040</xdr:rowOff>
    </xdr:to>
    <xdr:pic>
      <xdr:nvPicPr>
        <xdr:cNvPr id="6380" name="Изображение 6379" descr="resizeПП-00269095"/>
        <xdr:cNvPicPr>
          <a:picLocks noChangeAspect="1"/>
        </xdr:cNvPicPr>
      </xdr:nvPicPr>
      <xdr:blipFill>
        <a:blip xmlns:r="http://schemas.openxmlformats.org/officeDocument/2006/relationships" r:embed="rId1137"/>
        <a:stretch>
          <a:fillRect/>
        </a:stretch>
      </xdr:blipFill>
      <xdr:spPr>
        <a:xfrm>
          <a:off x="7235825" y="1489240100"/>
          <a:ext cx="878840" cy="1183640"/>
        </a:xfrm>
        <a:prstGeom prst="rect">
          <a:avLst/>
        </a:prstGeom>
      </xdr:spPr>
    </xdr:pic>
    <xdr:clientData/>
  </xdr:twoCellAnchor>
  <xdr:twoCellAnchor>
    <xdr:from>
      <xdr:col>9</xdr:col>
      <xdr:colOff>6350</xdr:colOff>
      <xdr:row>1538</xdr:row>
      <xdr:rowOff>25400</xdr:rowOff>
    </xdr:from>
    <xdr:to>
      <xdr:col>9</xdr:col>
      <xdr:colOff>885190</xdr:colOff>
      <xdr:row>1538</xdr:row>
      <xdr:rowOff>1209040</xdr:rowOff>
    </xdr:to>
    <xdr:pic>
      <xdr:nvPicPr>
        <xdr:cNvPr id="6381" name="Изображение 6380" descr="resizeПП-00269115"/>
        <xdr:cNvPicPr>
          <a:picLocks noChangeAspect="1"/>
        </xdr:cNvPicPr>
      </xdr:nvPicPr>
      <xdr:blipFill>
        <a:blip xmlns:r="http://schemas.openxmlformats.org/officeDocument/2006/relationships" r:embed="rId1138"/>
        <a:stretch>
          <a:fillRect/>
        </a:stretch>
      </xdr:blipFill>
      <xdr:spPr>
        <a:xfrm>
          <a:off x="7235825" y="1490614875"/>
          <a:ext cx="878840" cy="1183640"/>
        </a:xfrm>
        <a:prstGeom prst="rect">
          <a:avLst/>
        </a:prstGeom>
      </xdr:spPr>
    </xdr:pic>
    <xdr:clientData/>
  </xdr:twoCellAnchor>
  <xdr:twoCellAnchor>
    <xdr:from>
      <xdr:col>9</xdr:col>
      <xdr:colOff>6350</xdr:colOff>
      <xdr:row>1540</xdr:row>
      <xdr:rowOff>25400</xdr:rowOff>
    </xdr:from>
    <xdr:to>
      <xdr:col>9</xdr:col>
      <xdr:colOff>885190</xdr:colOff>
      <xdr:row>1540</xdr:row>
      <xdr:rowOff>1209040</xdr:rowOff>
    </xdr:to>
    <xdr:pic>
      <xdr:nvPicPr>
        <xdr:cNvPr id="6382" name="Изображение 6381" descr="resizeПП-00269099"/>
        <xdr:cNvPicPr>
          <a:picLocks noChangeAspect="1"/>
        </xdr:cNvPicPr>
      </xdr:nvPicPr>
      <xdr:blipFill>
        <a:blip xmlns:r="http://schemas.openxmlformats.org/officeDocument/2006/relationships" r:embed="rId1139"/>
        <a:stretch>
          <a:fillRect/>
        </a:stretch>
      </xdr:blipFill>
      <xdr:spPr>
        <a:xfrm>
          <a:off x="7235825" y="1491989650"/>
          <a:ext cx="878840" cy="1183640"/>
        </a:xfrm>
        <a:prstGeom prst="rect">
          <a:avLst/>
        </a:prstGeom>
      </xdr:spPr>
    </xdr:pic>
    <xdr:clientData/>
  </xdr:twoCellAnchor>
  <xdr:twoCellAnchor>
    <xdr:from>
      <xdr:col>9</xdr:col>
      <xdr:colOff>6350</xdr:colOff>
      <xdr:row>1541</xdr:row>
      <xdr:rowOff>25400</xdr:rowOff>
    </xdr:from>
    <xdr:to>
      <xdr:col>9</xdr:col>
      <xdr:colOff>885190</xdr:colOff>
      <xdr:row>1541</xdr:row>
      <xdr:rowOff>1209040</xdr:rowOff>
    </xdr:to>
    <xdr:pic>
      <xdr:nvPicPr>
        <xdr:cNvPr id="6383" name="Изображение 6382" descr="resizeПП-00269100"/>
        <xdr:cNvPicPr>
          <a:picLocks noChangeAspect="1"/>
        </xdr:cNvPicPr>
      </xdr:nvPicPr>
      <xdr:blipFill>
        <a:blip xmlns:r="http://schemas.openxmlformats.org/officeDocument/2006/relationships" r:embed="rId1140"/>
        <a:stretch>
          <a:fillRect/>
        </a:stretch>
      </xdr:blipFill>
      <xdr:spPr>
        <a:xfrm>
          <a:off x="7235825" y="1493212025"/>
          <a:ext cx="878840" cy="1183640"/>
        </a:xfrm>
        <a:prstGeom prst="rect">
          <a:avLst/>
        </a:prstGeom>
      </xdr:spPr>
    </xdr:pic>
    <xdr:clientData/>
  </xdr:twoCellAnchor>
  <xdr:twoCellAnchor>
    <xdr:from>
      <xdr:col>9</xdr:col>
      <xdr:colOff>6350</xdr:colOff>
      <xdr:row>1542</xdr:row>
      <xdr:rowOff>25400</xdr:rowOff>
    </xdr:from>
    <xdr:to>
      <xdr:col>9</xdr:col>
      <xdr:colOff>885190</xdr:colOff>
      <xdr:row>1542</xdr:row>
      <xdr:rowOff>1209040</xdr:rowOff>
    </xdr:to>
    <xdr:pic>
      <xdr:nvPicPr>
        <xdr:cNvPr id="6384" name="Изображение 6383" descr="resizeПП-00269098"/>
        <xdr:cNvPicPr>
          <a:picLocks noChangeAspect="1"/>
        </xdr:cNvPicPr>
      </xdr:nvPicPr>
      <xdr:blipFill>
        <a:blip xmlns:r="http://schemas.openxmlformats.org/officeDocument/2006/relationships" r:embed="rId1141"/>
        <a:stretch>
          <a:fillRect/>
        </a:stretch>
      </xdr:blipFill>
      <xdr:spPr>
        <a:xfrm>
          <a:off x="7235825" y="1494434400"/>
          <a:ext cx="878840" cy="1183640"/>
        </a:xfrm>
        <a:prstGeom prst="rect">
          <a:avLst/>
        </a:prstGeom>
      </xdr:spPr>
    </xdr:pic>
    <xdr:clientData/>
  </xdr:twoCellAnchor>
  <xdr:twoCellAnchor>
    <xdr:from>
      <xdr:col>9</xdr:col>
      <xdr:colOff>6350</xdr:colOff>
      <xdr:row>1543</xdr:row>
      <xdr:rowOff>25400</xdr:rowOff>
    </xdr:from>
    <xdr:to>
      <xdr:col>9</xdr:col>
      <xdr:colOff>885190</xdr:colOff>
      <xdr:row>1543</xdr:row>
      <xdr:rowOff>1209040</xdr:rowOff>
    </xdr:to>
    <xdr:pic>
      <xdr:nvPicPr>
        <xdr:cNvPr id="6385" name="Изображение 6384" descr="resizeПП-00269097"/>
        <xdr:cNvPicPr>
          <a:picLocks noChangeAspect="1"/>
        </xdr:cNvPicPr>
      </xdr:nvPicPr>
      <xdr:blipFill>
        <a:blip xmlns:r="http://schemas.openxmlformats.org/officeDocument/2006/relationships" r:embed="rId1142"/>
        <a:stretch>
          <a:fillRect/>
        </a:stretch>
      </xdr:blipFill>
      <xdr:spPr>
        <a:xfrm>
          <a:off x="7235825" y="1495656775"/>
          <a:ext cx="878840" cy="1183640"/>
        </a:xfrm>
        <a:prstGeom prst="rect">
          <a:avLst/>
        </a:prstGeom>
      </xdr:spPr>
    </xdr:pic>
    <xdr:clientData/>
  </xdr:twoCellAnchor>
  <xdr:twoCellAnchor>
    <xdr:from>
      <xdr:col>9</xdr:col>
      <xdr:colOff>6350</xdr:colOff>
      <xdr:row>1545</xdr:row>
      <xdr:rowOff>25400</xdr:rowOff>
    </xdr:from>
    <xdr:to>
      <xdr:col>9</xdr:col>
      <xdr:colOff>885190</xdr:colOff>
      <xdr:row>1545</xdr:row>
      <xdr:rowOff>1209040</xdr:rowOff>
    </xdr:to>
    <xdr:pic>
      <xdr:nvPicPr>
        <xdr:cNvPr id="6386" name="Изображение 6385" descr="resizeПП-00269104"/>
        <xdr:cNvPicPr>
          <a:picLocks noChangeAspect="1"/>
        </xdr:cNvPicPr>
      </xdr:nvPicPr>
      <xdr:blipFill>
        <a:blip xmlns:r="http://schemas.openxmlformats.org/officeDocument/2006/relationships" r:embed="rId1143"/>
        <a:stretch>
          <a:fillRect/>
        </a:stretch>
      </xdr:blipFill>
      <xdr:spPr>
        <a:xfrm>
          <a:off x="7235825" y="1497031550"/>
          <a:ext cx="878840" cy="1183640"/>
        </a:xfrm>
        <a:prstGeom prst="rect">
          <a:avLst/>
        </a:prstGeom>
      </xdr:spPr>
    </xdr:pic>
    <xdr:clientData/>
  </xdr:twoCellAnchor>
  <xdr:twoCellAnchor>
    <xdr:from>
      <xdr:col>9</xdr:col>
      <xdr:colOff>6350</xdr:colOff>
      <xdr:row>1546</xdr:row>
      <xdr:rowOff>25400</xdr:rowOff>
    </xdr:from>
    <xdr:to>
      <xdr:col>9</xdr:col>
      <xdr:colOff>885190</xdr:colOff>
      <xdr:row>1546</xdr:row>
      <xdr:rowOff>1209040</xdr:rowOff>
    </xdr:to>
    <xdr:pic>
      <xdr:nvPicPr>
        <xdr:cNvPr id="6387" name="Изображение 6386" descr="resizeПП-00269106"/>
        <xdr:cNvPicPr>
          <a:picLocks noChangeAspect="1"/>
        </xdr:cNvPicPr>
      </xdr:nvPicPr>
      <xdr:blipFill>
        <a:blip xmlns:r="http://schemas.openxmlformats.org/officeDocument/2006/relationships" r:embed="rId1144"/>
        <a:stretch>
          <a:fillRect/>
        </a:stretch>
      </xdr:blipFill>
      <xdr:spPr>
        <a:xfrm>
          <a:off x="7235825" y="1498253925"/>
          <a:ext cx="878840" cy="1183640"/>
        </a:xfrm>
        <a:prstGeom prst="rect">
          <a:avLst/>
        </a:prstGeom>
      </xdr:spPr>
    </xdr:pic>
    <xdr:clientData/>
  </xdr:twoCellAnchor>
  <xdr:twoCellAnchor>
    <xdr:from>
      <xdr:col>9</xdr:col>
      <xdr:colOff>6350</xdr:colOff>
      <xdr:row>1547</xdr:row>
      <xdr:rowOff>25400</xdr:rowOff>
    </xdr:from>
    <xdr:to>
      <xdr:col>9</xdr:col>
      <xdr:colOff>885190</xdr:colOff>
      <xdr:row>1547</xdr:row>
      <xdr:rowOff>1209040</xdr:rowOff>
    </xdr:to>
    <xdr:pic>
      <xdr:nvPicPr>
        <xdr:cNvPr id="6388" name="Изображение 6387" descr="resizeПП-00269102"/>
        <xdr:cNvPicPr>
          <a:picLocks noChangeAspect="1"/>
        </xdr:cNvPicPr>
      </xdr:nvPicPr>
      <xdr:blipFill>
        <a:blip xmlns:r="http://schemas.openxmlformats.org/officeDocument/2006/relationships" r:embed="rId1145"/>
        <a:stretch>
          <a:fillRect/>
        </a:stretch>
      </xdr:blipFill>
      <xdr:spPr>
        <a:xfrm>
          <a:off x="7235825" y="1499476300"/>
          <a:ext cx="878840" cy="1183640"/>
        </a:xfrm>
        <a:prstGeom prst="rect">
          <a:avLst/>
        </a:prstGeom>
      </xdr:spPr>
    </xdr:pic>
    <xdr:clientData/>
  </xdr:twoCellAnchor>
  <xdr:twoCellAnchor>
    <xdr:from>
      <xdr:col>9</xdr:col>
      <xdr:colOff>6350</xdr:colOff>
      <xdr:row>1548</xdr:row>
      <xdr:rowOff>25400</xdr:rowOff>
    </xdr:from>
    <xdr:to>
      <xdr:col>9</xdr:col>
      <xdr:colOff>885190</xdr:colOff>
      <xdr:row>1548</xdr:row>
      <xdr:rowOff>1209040</xdr:rowOff>
    </xdr:to>
    <xdr:pic>
      <xdr:nvPicPr>
        <xdr:cNvPr id="6389" name="Изображение 6388" descr="resizeПП-00269103"/>
        <xdr:cNvPicPr>
          <a:picLocks noChangeAspect="1"/>
        </xdr:cNvPicPr>
      </xdr:nvPicPr>
      <xdr:blipFill>
        <a:blip xmlns:r="http://schemas.openxmlformats.org/officeDocument/2006/relationships" r:embed="rId1146"/>
        <a:stretch>
          <a:fillRect/>
        </a:stretch>
      </xdr:blipFill>
      <xdr:spPr>
        <a:xfrm>
          <a:off x="7235825" y="1500698675"/>
          <a:ext cx="878840" cy="1183640"/>
        </a:xfrm>
        <a:prstGeom prst="rect">
          <a:avLst/>
        </a:prstGeom>
      </xdr:spPr>
    </xdr:pic>
    <xdr:clientData/>
  </xdr:twoCellAnchor>
  <xdr:twoCellAnchor>
    <xdr:from>
      <xdr:col>9</xdr:col>
      <xdr:colOff>6350</xdr:colOff>
      <xdr:row>1550</xdr:row>
      <xdr:rowOff>25400</xdr:rowOff>
    </xdr:from>
    <xdr:to>
      <xdr:col>9</xdr:col>
      <xdr:colOff>885190</xdr:colOff>
      <xdr:row>1550</xdr:row>
      <xdr:rowOff>1209040</xdr:rowOff>
    </xdr:to>
    <xdr:pic>
      <xdr:nvPicPr>
        <xdr:cNvPr id="6390" name="Изображение 6389" descr="resizeПП-00269112"/>
        <xdr:cNvPicPr>
          <a:picLocks noChangeAspect="1"/>
        </xdr:cNvPicPr>
      </xdr:nvPicPr>
      <xdr:blipFill>
        <a:blip xmlns:r="http://schemas.openxmlformats.org/officeDocument/2006/relationships" r:embed="rId1147"/>
        <a:stretch>
          <a:fillRect/>
        </a:stretch>
      </xdr:blipFill>
      <xdr:spPr>
        <a:xfrm>
          <a:off x="7235825" y="1502073450"/>
          <a:ext cx="878840" cy="1183640"/>
        </a:xfrm>
        <a:prstGeom prst="rect">
          <a:avLst/>
        </a:prstGeom>
      </xdr:spPr>
    </xdr:pic>
    <xdr:clientData/>
  </xdr:twoCellAnchor>
  <xdr:twoCellAnchor>
    <xdr:from>
      <xdr:col>9</xdr:col>
      <xdr:colOff>6350</xdr:colOff>
      <xdr:row>1551</xdr:row>
      <xdr:rowOff>25400</xdr:rowOff>
    </xdr:from>
    <xdr:to>
      <xdr:col>9</xdr:col>
      <xdr:colOff>885190</xdr:colOff>
      <xdr:row>1551</xdr:row>
      <xdr:rowOff>1209040</xdr:rowOff>
    </xdr:to>
    <xdr:pic>
      <xdr:nvPicPr>
        <xdr:cNvPr id="6391" name="Изображение 6390" descr="resizeПП-00228297"/>
        <xdr:cNvPicPr>
          <a:picLocks noChangeAspect="1"/>
        </xdr:cNvPicPr>
      </xdr:nvPicPr>
      <xdr:blipFill>
        <a:blip xmlns:r="http://schemas.openxmlformats.org/officeDocument/2006/relationships" r:embed="rId1148"/>
        <a:stretch>
          <a:fillRect/>
        </a:stretch>
      </xdr:blipFill>
      <xdr:spPr>
        <a:xfrm>
          <a:off x="7235825" y="1503295825"/>
          <a:ext cx="878840" cy="1183640"/>
        </a:xfrm>
        <a:prstGeom prst="rect">
          <a:avLst/>
        </a:prstGeom>
      </xdr:spPr>
    </xdr:pic>
    <xdr:clientData/>
  </xdr:twoCellAnchor>
  <xdr:twoCellAnchor>
    <xdr:from>
      <xdr:col>9</xdr:col>
      <xdr:colOff>6350</xdr:colOff>
      <xdr:row>1552</xdr:row>
      <xdr:rowOff>25400</xdr:rowOff>
    </xdr:from>
    <xdr:to>
      <xdr:col>9</xdr:col>
      <xdr:colOff>885190</xdr:colOff>
      <xdr:row>1552</xdr:row>
      <xdr:rowOff>1209040</xdr:rowOff>
    </xdr:to>
    <xdr:pic>
      <xdr:nvPicPr>
        <xdr:cNvPr id="6392" name="Изображение 6391" descr="resizeПП-00269081"/>
        <xdr:cNvPicPr>
          <a:picLocks noChangeAspect="1"/>
        </xdr:cNvPicPr>
      </xdr:nvPicPr>
      <xdr:blipFill>
        <a:blip xmlns:r="http://schemas.openxmlformats.org/officeDocument/2006/relationships" r:embed="rId1149"/>
        <a:stretch>
          <a:fillRect/>
        </a:stretch>
      </xdr:blipFill>
      <xdr:spPr>
        <a:xfrm>
          <a:off x="7235825" y="1504518200"/>
          <a:ext cx="878840" cy="1183640"/>
        </a:xfrm>
        <a:prstGeom prst="rect">
          <a:avLst/>
        </a:prstGeom>
      </xdr:spPr>
    </xdr:pic>
    <xdr:clientData/>
  </xdr:twoCellAnchor>
  <xdr:twoCellAnchor>
    <xdr:from>
      <xdr:col>9</xdr:col>
      <xdr:colOff>6350</xdr:colOff>
      <xdr:row>1553</xdr:row>
      <xdr:rowOff>25400</xdr:rowOff>
    </xdr:from>
    <xdr:to>
      <xdr:col>9</xdr:col>
      <xdr:colOff>885190</xdr:colOff>
      <xdr:row>1553</xdr:row>
      <xdr:rowOff>1209040</xdr:rowOff>
    </xdr:to>
    <xdr:pic>
      <xdr:nvPicPr>
        <xdr:cNvPr id="6393" name="Изображение 6392" descr="resizeПП-00269122"/>
        <xdr:cNvPicPr>
          <a:picLocks noChangeAspect="1"/>
        </xdr:cNvPicPr>
      </xdr:nvPicPr>
      <xdr:blipFill>
        <a:blip xmlns:r="http://schemas.openxmlformats.org/officeDocument/2006/relationships" r:embed="rId1150"/>
        <a:stretch>
          <a:fillRect/>
        </a:stretch>
      </xdr:blipFill>
      <xdr:spPr>
        <a:xfrm>
          <a:off x="7235825" y="1505740575"/>
          <a:ext cx="878840" cy="1183640"/>
        </a:xfrm>
        <a:prstGeom prst="rect">
          <a:avLst/>
        </a:prstGeom>
      </xdr:spPr>
    </xdr:pic>
    <xdr:clientData/>
  </xdr:twoCellAnchor>
  <xdr:twoCellAnchor>
    <xdr:from>
      <xdr:col>9</xdr:col>
      <xdr:colOff>6350</xdr:colOff>
      <xdr:row>1554</xdr:row>
      <xdr:rowOff>25400</xdr:rowOff>
    </xdr:from>
    <xdr:to>
      <xdr:col>9</xdr:col>
      <xdr:colOff>885190</xdr:colOff>
      <xdr:row>1554</xdr:row>
      <xdr:rowOff>1209040</xdr:rowOff>
    </xdr:to>
    <xdr:pic>
      <xdr:nvPicPr>
        <xdr:cNvPr id="6394" name="Изображение 6393" descr="resizeПП-00269121"/>
        <xdr:cNvPicPr>
          <a:picLocks noChangeAspect="1"/>
        </xdr:cNvPicPr>
      </xdr:nvPicPr>
      <xdr:blipFill>
        <a:blip xmlns:r="http://schemas.openxmlformats.org/officeDocument/2006/relationships" r:embed="rId1151"/>
        <a:stretch>
          <a:fillRect/>
        </a:stretch>
      </xdr:blipFill>
      <xdr:spPr>
        <a:xfrm>
          <a:off x="7235825" y="1506962950"/>
          <a:ext cx="878840" cy="1183640"/>
        </a:xfrm>
        <a:prstGeom prst="rect">
          <a:avLst/>
        </a:prstGeom>
      </xdr:spPr>
    </xdr:pic>
    <xdr:clientData/>
  </xdr:twoCellAnchor>
  <xdr:twoCellAnchor>
    <xdr:from>
      <xdr:col>9</xdr:col>
      <xdr:colOff>6350</xdr:colOff>
      <xdr:row>1555</xdr:row>
      <xdr:rowOff>25400</xdr:rowOff>
    </xdr:from>
    <xdr:to>
      <xdr:col>9</xdr:col>
      <xdr:colOff>885190</xdr:colOff>
      <xdr:row>1555</xdr:row>
      <xdr:rowOff>1209040</xdr:rowOff>
    </xdr:to>
    <xdr:pic>
      <xdr:nvPicPr>
        <xdr:cNvPr id="6395" name="Изображение 6394" descr="resizeПП-00269086"/>
        <xdr:cNvPicPr>
          <a:picLocks noChangeAspect="1"/>
        </xdr:cNvPicPr>
      </xdr:nvPicPr>
      <xdr:blipFill>
        <a:blip xmlns:r="http://schemas.openxmlformats.org/officeDocument/2006/relationships" r:embed="rId1152"/>
        <a:stretch>
          <a:fillRect/>
        </a:stretch>
      </xdr:blipFill>
      <xdr:spPr>
        <a:xfrm>
          <a:off x="7235825" y="1508185325"/>
          <a:ext cx="878840" cy="1183640"/>
        </a:xfrm>
        <a:prstGeom prst="rect">
          <a:avLst/>
        </a:prstGeom>
      </xdr:spPr>
    </xdr:pic>
    <xdr:clientData/>
  </xdr:twoCellAnchor>
  <xdr:twoCellAnchor>
    <xdr:from>
      <xdr:col>9</xdr:col>
      <xdr:colOff>6350</xdr:colOff>
      <xdr:row>1556</xdr:row>
      <xdr:rowOff>25400</xdr:rowOff>
    </xdr:from>
    <xdr:to>
      <xdr:col>9</xdr:col>
      <xdr:colOff>885190</xdr:colOff>
      <xdr:row>1556</xdr:row>
      <xdr:rowOff>1209040</xdr:rowOff>
    </xdr:to>
    <xdr:pic>
      <xdr:nvPicPr>
        <xdr:cNvPr id="6396" name="Изображение 6395" descr="resizeПП-00269084"/>
        <xdr:cNvPicPr>
          <a:picLocks noChangeAspect="1"/>
        </xdr:cNvPicPr>
      </xdr:nvPicPr>
      <xdr:blipFill>
        <a:blip xmlns:r="http://schemas.openxmlformats.org/officeDocument/2006/relationships" r:embed="rId1153"/>
        <a:stretch>
          <a:fillRect/>
        </a:stretch>
      </xdr:blipFill>
      <xdr:spPr>
        <a:xfrm>
          <a:off x="7235825" y="1509407700"/>
          <a:ext cx="878840" cy="1183640"/>
        </a:xfrm>
        <a:prstGeom prst="rect">
          <a:avLst/>
        </a:prstGeom>
      </xdr:spPr>
    </xdr:pic>
    <xdr:clientData/>
  </xdr:twoCellAnchor>
  <xdr:twoCellAnchor>
    <xdr:from>
      <xdr:col>9</xdr:col>
      <xdr:colOff>6350</xdr:colOff>
      <xdr:row>1557</xdr:row>
      <xdr:rowOff>25400</xdr:rowOff>
    </xdr:from>
    <xdr:to>
      <xdr:col>9</xdr:col>
      <xdr:colOff>885190</xdr:colOff>
      <xdr:row>1557</xdr:row>
      <xdr:rowOff>1209040</xdr:rowOff>
    </xdr:to>
    <xdr:pic>
      <xdr:nvPicPr>
        <xdr:cNvPr id="6397" name="Изображение 6396" descr="resizeПП-00269120"/>
        <xdr:cNvPicPr>
          <a:picLocks noChangeAspect="1"/>
        </xdr:cNvPicPr>
      </xdr:nvPicPr>
      <xdr:blipFill>
        <a:blip xmlns:r="http://schemas.openxmlformats.org/officeDocument/2006/relationships" r:embed="rId1154"/>
        <a:stretch>
          <a:fillRect/>
        </a:stretch>
      </xdr:blipFill>
      <xdr:spPr>
        <a:xfrm>
          <a:off x="7235825" y="1510630075"/>
          <a:ext cx="878840" cy="1183640"/>
        </a:xfrm>
        <a:prstGeom prst="rect">
          <a:avLst/>
        </a:prstGeom>
      </xdr:spPr>
    </xdr:pic>
    <xdr:clientData/>
  </xdr:twoCellAnchor>
  <xdr:twoCellAnchor>
    <xdr:from>
      <xdr:col>9</xdr:col>
      <xdr:colOff>6350</xdr:colOff>
      <xdr:row>1558</xdr:row>
      <xdr:rowOff>25400</xdr:rowOff>
    </xdr:from>
    <xdr:to>
      <xdr:col>9</xdr:col>
      <xdr:colOff>885190</xdr:colOff>
      <xdr:row>1558</xdr:row>
      <xdr:rowOff>1209040</xdr:rowOff>
    </xdr:to>
    <xdr:pic>
      <xdr:nvPicPr>
        <xdr:cNvPr id="6398" name="Изображение 6397" descr="resizeПП-00269113"/>
        <xdr:cNvPicPr>
          <a:picLocks noChangeAspect="1"/>
        </xdr:cNvPicPr>
      </xdr:nvPicPr>
      <xdr:blipFill>
        <a:blip xmlns:r="http://schemas.openxmlformats.org/officeDocument/2006/relationships" r:embed="rId1155"/>
        <a:stretch>
          <a:fillRect/>
        </a:stretch>
      </xdr:blipFill>
      <xdr:spPr>
        <a:xfrm>
          <a:off x="7235825" y="1511852450"/>
          <a:ext cx="878840" cy="1183640"/>
        </a:xfrm>
        <a:prstGeom prst="rect">
          <a:avLst/>
        </a:prstGeom>
      </xdr:spPr>
    </xdr:pic>
    <xdr:clientData/>
  </xdr:twoCellAnchor>
  <xdr:twoCellAnchor>
    <xdr:from>
      <xdr:col>9</xdr:col>
      <xdr:colOff>6350</xdr:colOff>
      <xdr:row>1559</xdr:row>
      <xdr:rowOff>25400</xdr:rowOff>
    </xdr:from>
    <xdr:to>
      <xdr:col>9</xdr:col>
      <xdr:colOff>885190</xdr:colOff>
      <xdr:row>1559</xdr:row>
      <xdr:rowOff>1209040</xdr:rowOff>
    </xdr:to>
    <xdr:pic>
      <xdr:nvPicPr>
        <xdr:cNvPr id="6399" name="Изображение 6398" descr="resizeПП-00228295"/>
        <xdr:cNvPicPr>
          <a:picLocks noChangeAspect="1"/>
        </xdr:cNvPicPr>
      </xdr:nvPicPr>
      <xdr:blipFill>
        <a:blip xmlns:r="http://schemas.openxmlformats.org/officeDocument/2006/relationships" r:embed="rId1156"/>
        <a:stretch>
          <a:fillRect/>
        </a:stretch>
      </xdr:blipFill>
      <xdr:spPr>
        <a:xfrm>
          <a:off x="7235825" y="1513074825"/>
          <a:ext cx="878840" cy="1183640"/>
        </a:xfrm>
        <a:prstGeom prst="rect">
          <a:avLst/>
        </a:prstGeom>
      </xdr:spPr>
    </xdr:pic>
    <xdr:clientData/>
  </xdr:twoCellAnchor>
  <xdr:twoCellAnchor>
    <xdr:from>
      <xdr:col>9</xdr:col>
      <xdr:colOff>6350</xdr:colOff>
      <xdr:row>1560</xdr:row>
      <xdr:rowOff>25400</xdr:rowOff>
    </xdr:from>
    <xdr:to>
      <xdr:col>9</xdr:col>
      <xdr:colOff>885190</xdr:colOff>
      <xdr:row>1560</xdr:row>
      <xdr:rowOff>1209040</xdr:rowOff>
    </xdr:to>
    <xdr:pic>
      <xdr:nvPicPr>
        <xdr:cNvPr id="6400" name="Изображение 6399" descr="resizeПП-00269119"/>
        <xdr:cNvPicPr>
          <a:picLocks noChangeAspect="1"/>
        </xdr:cNvPicPr>
      </xdr:nvPicPr>
      <xdr:blipFill>
        <a:blip xmlns:r="http://schemas.openxmlformats.org/officeDocument/2006/relationships" r:embed="rId1157"/>
        <a:stretch>
          <a:fillRect/>
        </a:stretch>
      </xdr:blipFill>
      <xdr:spPr>
        <a:xfrm>
          <a:off x="7235825" y="1514297200"/>
          <a:ext cx="878840" cy="1183640"/>
        </a:xfrm>
        <a:prstGeom prst="rect">
          <a:avLst/>
        </a:prstGeom>
      </xdr:spPr>
    </xdr:pic>
    <xdr:clientData/>
  </xdr:twoCellAnchor>
  <xdr:twoCellAnchor>
    <xdr:from>
      <xdr:col>9</xdr:col>
      <xdr:colOff>6350</xdr:colOff>
      <xdr:row>1561</xdr:row>
      <xdr:rowOff>25400</xdr:rowOff>
    </xdr:from>
    <xdr:to>
      <xdr:col>9</xdr:col>
      <xdr:colOff>885190</xdr:colOff>
      <xdr:row>1561</xdr:row>
      <xdr:rowOff>1209040</xdr:rowOff>
    </xdr:to>
    <xdr:pic>
      <xdr:nvPicPr>
        <xdr:cNvPr id="6401" name="Изображение 6400" descr="resizeПП-00228294"/>
        <xdr:cNvPicPr>
          <a:picLocks noChangeAspect="1"/>
        </xdr:cNvPicPr>
      </xdr:nvPicPr>
      <xdr:blipFill>
        <a:blip xmlns:r="http://schemas.openxmlformats.org/officeDocument/2006/relationships" r:embed="rId1158"/>
        <a:stretch>
          <a:fillRect/>
        </a:stretch>
      </xdr:blipFill>
      <xdr:spPr>
        <a:xfrm>
          <a:off x="7235825" y="1515519575"/>
          <a:ext cx="878840" cy="1183640"/>
        </a:xfrm>
        <a:prstGeom prst="rect">
          <a:avLst/>
        </a:prstGeom>
      </xdr:spPr>
    </xdr:pic>
    <xdr:clientData/>
  </xdr:twoCellAnchor>
  <xdr:twoCellAnchor>
    <xdr:from>
      <xdr:col>9</xdr:col>
      <xdr:colOff>6350</xdr:colOff>
      <xdr:row>1562</xdr:row>
      <xdr:rowOff>25400</xdr:rowOff>
    </xdr:from>
    <xdr:to>
      <xdr:col>9</xdr:col>
      <xdr:colOff>885190</xdr:colOff>
      <xdr:row>1562</xdr:row>
      <xdr:rowOff>1209040</xdr:rowOff>
    </xdr:to>
    <xdr:pic>
      <xdr:nvPicPr>
        <xdr:cNvPr id="6402" name="Изображение 6401" descr="resizeПП-00228293"/>
        <xdr:cNvPicPr>
          <a:picLocks noChangeAspect="1"/>
        </xdr:cNvPicPr>
      </xdr:nvPicPr>
      <xdr:blipFill>
        <a:blip xmlns:r="http://schemas.openxmlformats.org/officeDocument/2006/relationships" r:embed="rId1159"/>
        <a:stretch>
          <a:fillRect/>
        </a:stretch>
      </xdr:blipFill>
      <xdr:spPr>
        <a:xfrm>
          <a:off x="7235825" y="1516741950"/>
          <a:ext cx="878840" cy="1183640"/>
        </a:xfrm>
        <a:prstGeom prst="rect">
          <a:avLst/>
        </a:prstGeom>
      </xdr:spPr>
    </xdr:pic>
    <xdr:clientData/>
  </xdr:twoCellAnchor>
  <xdr:twoCellAnchor>
    <xdr:from>
      <xdr:col>9</xdr:col>
      <xdr:colOff>6350</xdr:colOff>
      <xdr:row>1563</xdr:row>
      <xdr:rowOff>25400</xdr:rowOff>
    </xdr:from>
    <xdr:to>
      <xdr:col>9</xdr:col>
      <xdr:colOff>885190</xdr:colOff>
      <xdr:row>1563</xdr:row>
      <xdr:rowOff>1209040</xdr:rowOff>
    </xdr:to>
    <xdr:pic>
      <xdr:nvPicPr>
        <xdr:cNvPr id="6403" name="Изображение 6402" descr="resizeПП-00269092"/>
        <xdr:cNvPicPr>
          <a:picLocks noChangeAspect="1"/>
        </xdr:cNvPicPr>
      </xdr:nvPicPr>
      <xdr:blipFill>
        <a:blip xmlns:r="http://schemas.openxmlformats.org/officeDocument/2006/relationships" r:embed="rId1160"/>
        <a:stretch>
          <a:fillRect/>
        </a:stretch>
      </xdr:blipFill>
      <xdr:spPr>
        <a:xfrm>
          <a:off x="7235825" y="1517964325"/>
          <a:ext cx="878840" cy="1183640"/>
        </a:xfrm>
        <a:prstGeom prst="rect">
          <a:avLst/>
        </a:prstGeom>
      </xdr:spPr>
    </xdr:pic>
    <xdr:clientData/>
  </xdr:twoCellAnchor>
  <xdr:twoCellAnchor>
    <xdr:from>
      <xdr:col>9</xdr:col>
      <xdr:colOff>6350</xdr:colOff>
      <xdr:row>1564</xdr:row>
      <xdr:rowOff>25400</xdr:rowOff>
    </xdr:from>
    <xdr:to>
      <xdr:col>9</xdr:col>
      <xdr:colOff>885190</xdr:colOff>
      <xdr:row>1564</xdr:row>
      <xdr:rowOff>1209040</xdr:rowOff>
    </xdr:to>
    <xdr:pic>
      <xdr:nvPicPr>
        <xdr:cNvPr id="6404" name="Изображение 6403" descr="resizeПП-00269088"/>
        <xdr:cNvPicPr>
          <a:picLocks noChangeAspect="1"/>
        </xdr:cNvPicPr>
      </xdr:nvPicPr>
      <xdr:blipFill>
        <a:blip xmlns:r="http://schemas.openxmlformats.org/officeDocument/2006/relationships" r:embed="rId1161"/>
        <a:stretch>
          <a:fillRect/>
        </a:stretch>
      </xdr:blipFill>
      <xdr:spPr>
        <a:xfrm>
          <a:off x="7235825" y="1519186700"/>
          <a:ext cx="878840" cy="1183640"/>
        </a:xfrm>
        <a:prstGeom prst="rect">
          <a:avLst/>
        </a:prstGeom>
      </xdr:spPr>
    </xdr:pic>
    <xdr:clientData/>
  </xdr:twoCellAnchor>
  <xdr:twoCellAnchor>
    <xdr:from>
      <xdr:col>9</xdr:col>
      <xdr:colOff>6350</xdr:colOff>
      <xdr:row>1566</xdr:row>
      <xdr:rowOff>25400</xdr:rowOff>
    </xdr:from>
    <xdr:to>
      <xdr:col>9</xdr:col>
      <xdr:colOff>885190</xdr:colOff>
      <xdr:row>1566</xdr:row>
      <xdr:rowOff>1209040</xdr:rowOff>
    </xdr:to>
    <xdr:pic>
      <xdr:nvPicPr>
        <xdr:cNvPr id="6405" name="Изображение 6404" descr="resizeПП-00234878"/>
        <xdr:cNvPicPr>
          <a:picLocks noChangeAspect="1"/>
        </xdr:cNvPicPr>
      </xdr:nvPicPr>
      <xdr:blipFill>
        <a:blip xmlns:r="http://schemas.openxmlformats.org/officeDocument/2006/relationships" r:embed="rId1162"/>
        <a:stretch>
          <a:fillRect/>
        </a:stretch>
      </xdr:blipFill>
      <xdr:spPr>
        <a:xfrm>
          <a:off x="7235825" y="1520561475"/>
          <a:ext cx="878840" cy="1183640"/>
        </a:xfrm>
        <a:prstGeom prst="rect">
          <a:avLst/>
        </a:prstGeom>
      </xdr:spPr>
    </xdr:pic>
    <xdr:clientData/>
  </xdr:twoCellAnchor>
  <xdr:twoCellAnchor>
    <xdr:from>
      <xdr:col>9</xdr:col>
      <xdr:colOff>6350</xdr:colOff>
      <xdr:row>1567</xdr:row>
      <xdr:rowOff>25400</xdr:rowOff>
    </xdr:from>
    <xdr:to>
      <xdr:col>9</xdr:col>
      <xdr:colOff>885190</xdr:colOff>
      <xdr:row>1567</xdr:row>
      <xdr:rowOff>1209040</xdr:rowOff>
    </xdr:to>
    <xdr:pic>
      <xdr:nvPicPr>
        <xdr:cNvPr id="6406" name="Изображение 6405" descr="resizeПП-00234877"/>
        <xdr:cNvPicPr>
          <a:picLocks noChangeAspect="1"/>
        </xdr:cNvPicPr>
      </xdr:nvPicPr>
      <xdr:blipFill>
        <a:blip xmlns:r="http://schemas.openxmlformats.org/officeDocument/2006/relationships" r:embed="rId1163"/>
        <a:stretch>
          <a:fillRect/>
        </a:stretch>
      </xdr:blipFill>
      <xdr:spPr>
        <a:xfrm>
          <a:off x="7235825" y="1521783850"/>
          <a:ext cx="878840" cy="1183640"/>
        </a:xfrm>
        <a:prstGeom prst="rect">
          <a:avLst/>
        </a:prstGeom>
      </xdr:spPr>
    </xdr:pic>
    <xdr:clientData/>
  </xdr:twoCellAnchor>
  <xdr:twoCellAnchor>
    <xdr:from>
      <xdr:col>9</xdr:col>
      <xdr:colOff>6350</xdr:colOff>
      <xdr:row>1568</xdr:row>
      <xdr:rowOff>25400</xdr:rowOff>
    </xdr:from>
    <xdr:to>
      <xdr:col>9</xdr:col>
      <xdr:colOff>885190</xdr:colOff>
      <xdr:row>1568</xdr:row>
      <xdr:rowOff>1209040</xdr:rowOff>
    </xdr:to>
    <xdr:pic>
      <xdr:nvPicPr>
        <xdr:cNvPr id="6407" name="Изображение 6406" descr="resizeПП-00234876"/>
        <xdr:cNvPicPr>
          <a:picLocks noChangeAspect="1"/>
        </xdr:cNvPicPr>
      </xdr:nvPicPr>
      <xdr:blipFill>
        <a:blip xmlns:r="http://schemas.openxmlformats.org/officeDocument/2006/relationships" r:embed="rId1164"/>
        <a:stretch>
          <a:fillRect/>
        </a:stretch>
      </xdr:blipFill>
      <xdr:spPr>
        <a:xfrm>
          <a:off x="7235825" y="1523006225"/>
          <a:ext cx="878840" cy="1183640"/>
        </a:xfrm>
        <a:prstGeom prst="rect">
          <a:avLst/>
        </a:prstGeom>
      </xdr:spPr>
    </xdr:pic>
    <xdr:clientData/>
  </xdr:twoCellAnchor>
  <xdr:twoCellAnchor>
    <xdr:from>
      <xdr:col>9</xdr:col>
      <xdr:colOff>6350</xdr:colOff>
      <xdr:row>1570</xdr:row>
      <xdr:rowOff>25400</xdr:rowOff>
    </xdr:from>
    <xdr:to>
      <xdr:col>9</xdr:col>
      <xdr:colOff>885190</xdr:colOff>
      <xdr:row>1570</xdr:row>
      <xdr:rowOff>1209040</xdr:rowOff>
    </xdr:to>
    <xdr:pic>
      <xdr:nvPicPr>
        <xdr:cNvPr id="6408" name="Изображение 6407" descr="resizeПП-00269117"/>
        <xdr:cNvPicPr>
          <a:picLocks noChangeAspect="1"/>
        </xdr:cNvPicPr>
      </xdr:nvPicPr>
      <xdr:blipFill>
        <a:blip xmlns:r="http://schemas.openxmlformats.org/officeDocument/2006/relationships" r:embed="rId1165"/>
        <a:stretch>
          <a:fillRect/>
        </a:stretch>
      </xdr:blipFill>
      <xdr:spPr>
        <a:xfrm>
          <a:off x="7235825" y="1524381000"/>
          <a:ext cx="878840" cy="1183640"/>
        </a:xfrm>
        <a:prstGeom prst="rect">
          <a:avLst/>
        </a:prstGeom>
      </xdr:spPr>
    </xdr:pic>
    <xdr:clientData/>
  </xdr:twoCellAnchor>
  <xdr:twoCellAnchor>
    <xdr:from>
      <xdr:col>9</xdr:col>
      <xdr:colOff>6350</xdr:colOff>
      <xdr:row>1572</xdr:row>
      <xdr:rowOff>25400</xdr:rowOff>
    </xdr:from>
    <xdr:to>
      <xdr:col>9</xdr:col>
      <xdr:colOff>885190</xdr:colOff>
      <xdr:row>1572</xdr:row>
      <xdr:rowOff>1209040</xdr:rowOff>
    </xdr:to>
    <xdr:pic>
      <xdr:nvPicPr>
        <xdr:cNvPr id="6409" name="Изображение 6408" descr="resizeПП-00234883"/>
        <xdr:cNvPicPr>
          <a:picLocks noChangeAspect="1"/>
        </xdr:cNvPicPr>
      </xdr:nvPicPr>
      <xdr:blipFill>
        <a:blip xmlns:r="http://schemas.openxmlformats.org/officeDocument/2006/relationships" r:embed="rId1166"/>
        <a:stretch>
          <a:fillRect/>
        </a:stretch>
      </xdr:blipFill>
      <xdr:spPr>
        <a:xfrm>
          <a:off x="7235825" y="1525755775"/>
          <a:ext cx="878840" cy="1183640"/>
        </a:xfrm>
        <a:prstGeom prst="rect">
          <a:avLst/>
        </a:prstGeom>
      </xdr:spPr>
    </xdr:pic>
    <xdr:clientData/>
  </xdr:twoCellAnchor>
  <xdr:twoCellAnchor>
    <xdr:from>
      <xdr:col>9</xdr:col>
      <xdr:colOff>6350</xdr:colOff>
      <xdr:row>1573</xdr:row>
      <xdr:rowOff>25400</xdr:rowOff>
    </xdr:from>
    <xdr:to>
      <xdr:col>9</xdr:col>
      <xdr:colOff>885190</xdr:colOff>
      <xdr:row>1573</xdr:row>
      <xdr:rowOff>1209040</xdr:rowOff>
    </xdr:to>
    <xdr:pic>
      <xdr:nvPicPr>
        <xdr:cNvPr id="6410" name="Изображение 6409" descr="resizeПП-00234882"/>
        <xdr:cNvPicPr>
          <a:picLocks noChangeAspect="1"/>
        </xdr:cNvPicPr>
      </xdr:nvPicPr>
      <xdr:blipFill>
        <a:blip xmlns:r="http://schemas.openxmlformats.org/officeDocument/2006/relationships" r:embed="rId1167"/>
        <a:stretch>
          <a:fillRect/>
        </a:stretch>
      </xdr:blipFill>
      <xdr:spPr>
        <a:xfrm>
          <a:off x="7235825" y="1526978150"/>
          <a:ext cx="878840" cy="1183640"/>
        </a:xfrm>
        <a:prstGeom prst="rect">
          <a:avLst/>
        </a:prstGeom>
      </xdr:spPr>
    </xdr:pic>
    <xdr:clientData/>
  </xdr:twoCellAnchor>
  <xdr:twoCellAnchor>
    <xdr:from>
      <xdr:col>9</xdr:col>
      <xdr:colOff>6350</xdr:colOff>
      <xdr:row>1574</xdr:row>
      <xdr:rowOff>25400</xdr:rowOff>
    </xdr:from>
    <xdr:to>
      <xdr:col>9</xdr:col>
      <xdr:colOff>885190</xdr:colOff>
      <xdr:row>1574</xdr:row>
      <xdr:rowOff>1209040</xdr:rowOff>
    </xdr:to>
    <xdr:pic>
      <xdr:nvPicPr>
        <xdr:cNvPr id="6411" name="Изображение 6410" descr="resizeПП-00234887"/>
        <xdr:cNvPicPr>
          <a:picLocks noChangeAspect="1"/>
        </xdr:cNvPicPr>
      </xdr:nvPicPr>
      <xdr:blipFill>
        <a:blip xmlns:r="http://schemas.openxmlformats.org/officeDocument/2006/relationships" r:embed="rId1168"/>
        <a:stretch>
          <a:fillRect/>
        </a:stretch>
      </xdr:blipFill>
      <xdr:spPr>
        <a:xfrm>
          <a:off x="7235825" y="1528200525"/>
          <a:ext cx="878840" cy="1183640"/>
        </a:xfrm>
        <a:prstGeom prst="rect">
          <a:avLst/>
        </a:prstGeom>
      </xdr:spPr>
    </xdr:pic>
    <xdr:clientData/>
  </xdr:twoCellAnchor>
  <xdr:twoCellAnchor>
    <xdr:from>
      <xdr:col>9</xdr:col>
      <xdr:colOff>6350</xdr:colOff>
      <xdr:row>1575</xdr:row>
      <xdr:rowOff>25400</xdr:rowOff>
    </xdr:from>
    <xdr:to>
      <xdr:col>9</xdr:col>
      <xdr:colOff>885190</xdr:colOff>
      <xdr:row>1575</xdr:row>
      <xdr:rowOff>1209040</xdr:rowOff>
    </xdr:to>
    <xdr:pic>
      <xdr:nvPicPr>
        <xdr:cNvPr id="6412" name="Изображение 6411" descr="resizeПП-00234888"/>
        <xdr:cNvPicPr>
          <a:picLocks noChangeAspect="1"/>
        </xdr:cNvPicPr>
      </xdr:nvPicPr>
      <xdr:blipFill>
        <a:blip xmlns:r="http://schemas.openxmlformats.org/officeDocument/2006/relationships" r:embed="rId1169"/>
        <a:stretch>
          <a:fillRect/>
        </a:stretch>
      </xdr:blipFill>
      <xdr:spPr>
        <a:xfrm>
          <a:off x="7235825" y="1529422900"/>
          <a:ext cx="878840" cy="1183640"/>
        </a:xfrm>
        <a:prstGeom prst="rect">
          <a:avLst/>
        </a:prstGeom>
      </xdr:spPr>
    </xdr:pic>
    <xdr:clientData/>
  </xdr:twoCellAnchor>
  <xdr:twoCellAnchor>
    <xdr:from>
      <xdr:col>9</xdr:col>
      <xdr:colOff>6350</xdr:colOff>
      <xdr:row>1577</xdr:row>
      <xdr:rowOff>25400</xdr:rowOff>
    </xdr:from>
    <xdr:to>
      <xdr:col>9</xdr:col>
      <xdr:colOff>885190</xdr:colOff>
      <xdr:row>1577</xdr:row>
      <xdr:rowOff>1209040</xdr:rowOff>
    </xdr:to>
    <xdr:pic>
      <xdr:nvPicPr>
        <xdr:cNvPr id="6413" name="Изображение 6412" descr="resizeПП-00269114"/>
        <xdr:cNvPicPr>
          <a:picLocks noChangeAspect="1"/>
        </xdr:cNvPicPr>
      </xdr:nvPicPr>
      <xdr:blipFill>
        <a:blip xmlns:r="http://schemas.openxmlformats.org/officeDocument/2006/relationships" r:embed="rId1170"/>
        <a:stretch>
          <a:fillRect/>
        </a:stretch>
      </xdr:blipFill>
      <xdr:spPr>
        <a:xfrm>
          <a:off x="7235825" y="1530797675"/>
          <a:ext cx="878840" cy="1183640"/>
        </a:xfrm>
        <a:prstGeom prst="rect">
          <a:avLst/>
        </a:prstGeom>
      </xdr:spPr>
    </xdr:pic>
    <xdr:clientData/>
  </xdr:twoCellAnchor>
  <xdr:twoCellAnchor>
    <xdr:from>
      <xdr:col>9</xdr:col>
      <xdr:colOff>6350</xdr:colOff>
      <xdr:row>1578</xdr:row>
      <xdr:rowOff>25400</xdr:rowOff>
    </xdr:from>
    <xdr:to>
      <xdr:col>9</xdr:col>
      <xdr:colOff>885190</xdr:colOff>
      <xdr:row>1578</xdr:row>
      <xdr:rowOff>1209040</xdr:rowOff>
    </xdr:to>
    <xdr:pic>
      <xdr:nvPicPr>
        <xdr:cNvPr id="6414" name="Изображение 6413" descr="resizeПП-00234861"/>
        <xdr:cNvPicPr>
          <a:picLocks noChangeAspect="1"/>
        </xdr:cNvPicPr>
      </xdr:nvPicPr>
      <xdr:blipFill>
        <a:blip xmlns:r="http://schemas.openxmlformats.org/officeDocument/2006/relationships" r:embed="rId1171"/>
        <a:stretch>
          <a:fillRect/>
        </a:stretch>
      </xdr:blipFill>
      <xdr:spPr>
        <a:xfrm>
          <a:off x="7235825" y="1532020050"/>
          <a:ext cx="878840" cy="1183640"/>
        </a:xfrm>
        <a:prstGeom prst="rect">
          <a:avLst/>
        </a:prstGeom>
      </xdr:spPr>
    </xdr:pic>
    <xdr:clientData/>
  </xdr:twoCellAnchor>
  <xdr:twoCellAnchor>
    <xdr:from>
      <xdr:col>9</xdr:col>
      <xdr:colOff>6350</xdr:colOff>
      <xdr:row>1579</xdr:row>
      <xdr:rowOff>25400</xdr:rowOff>
    </xdr:from>
    <xdr:to>
      <xdr:col>9</xdr:col>
      <xdr:colOff>885190</xdr:colOff>
      <xdr:row>1579</xdr:row>
      <xdr:rowOff>1209040</xdr:rowOff>
    </xdr:to>
    <xdr:pic>
      <xdr:nvPicPr>
        <xdr:cNvPr id="6415" name="Изображение 6414" descr="resizeПП-00234865"/>
        <xdr:cNvPicPr>
          <a:picLocks noChangeAspect="1"/>
        </xdr:cNvPicPr>
      </xdr:nvPicPr>
      <xdr:blipFill>
        <a:blip xmlns:r="http://schemas.openxmlformats.org/officeDocument/2006/relationships" r:embed="rId1172"/>
        <a:stretch>
          <a:fillRect/>
        </a:stretch>
      </xdr:blipFill>
      <xdr:spPr>
        <a:xfrm>
          <a:off x="7235825" y="1533242425"/>
          <a:ext cx="878840" cy="1183640"/>
        </a:xfrm>
        <a:prstGeom prst="rect">
          <a:avLst/>
        </a:prstGeom>
      </xdr:spPr>
    </xdr:pic>
    <xdr:clientData/>
  </xdr:twoCellAnchor>
  <xdr:twoCellAnchor>
    <xdr:from>
      <xdr:col>9</xdr:col>
      <xdr:colOff>6350</xdr:colOff>
      <xdr:row>1580</xdr:row>
      <xdr:rowOff>25400</xdr:rowOff>
    </xdr:from>
    <xdr:to>
      <xdr:col>9</xdr:col>
      <xdr:colOff>885190</xdr:colOff>
      <xdr:row>1580</xdr:row>
      <xdr:rowOff>1209040</xdr:rowOff>
    </xdr:to>
    <xdr:pic>
      <xdr:nvPicPr>
        <xdr:cNvPr id="6416" name="Изображение 6415" descr="resizeПП-00228781"/>
        <xdr:cNvPicPr>
          <a:picLocks noChangeAspect="1"/>
        </xdr:cNvPicPr>
      </xdr:nvPicPr>
      <xdr:blipFill>
        <a:blip xmlns:r="http://schemas.openxmlformats.org/officeDocument/2006/relationships" r:embed="rId1173"/>
        <a:stretch>
          <a:fillRect/>
        </a:stretch>
      </xdr:blipFill>
      <xdr:spPr>
        <a:xfrm>
          <a:off x="7235825" y="1534464800"/>
          <a:ext cx="878840" cy="1183640"/>
        </a:xfrm>
        <a:prstGeom prst="rect">
          <a:avLst/>
        </a:prstGeom>
      </xdr:spPr>
    </xdr:pic>
    <xdr:clientData/>
  </xdr:twoCellAnchor>
  <xdr:twoCellAnchor>
    <xdr:from>
      <xdr:col>9</xdr:col>
      <xdr:colOff>6350</xdr:colOff>
      <xdr:row>1581</xdr:row>
      <xdr:rowOff>25400</xdr:rowOff>
    </xdr:from>
    <xdr:to>
      <xdr:col>9</xdr:col>
      <xdr:colOff>885190</xdr:colOff>
      <xdr:row>1581</xdr:row>
      <xdr:rowOff>1209040</xdr:rowOff>
    </xdr:to>
    <xdr:pic>
      <xdr:nvPicPr>
        <xdr:cNvPr id="6417" name="Изображение 6416" descr="resizeПП-00228780"/>
        <xdr:cNvPicPr>
          <a:picLocks noChangeAspect="1"/>
        </xdr:cNvPicPr>
      </xdr:nvPicPr>
      <xdr:blipFill>
        <a:blip xmlns:r="http://schemas.openxmlformats.org/officeDocument/2006/relationships" r:embed="rId1174"/>
        <a:stretch>
          <a:fillRect/>
        </a:stretch>
      </xdr:blipFill>
      <xdr:spPr>
        <a:xfrm>
          <a:off x="7235825" y="1535687175"/>
          <a:ext cx="878840" cy="1183640"/>
        </a:xfrm>
        <a:prstGeom prst="rect">
          <a:avLst/>
        </a:prstGeom>
      </xdr:spPr>
    </xdr:pic>
    <xdr:clientData/>
  </xdr:twoCellAnchor>
  <xdr:twoCellAnchor>
    <xdr:from>
      <xdr:col>9</xdr:col>
      <xdr:colOff>6350</xdr:colOff>
      <xdr:row>1582</xdr:row>
      <xdr:rowOff>25400</xdr:rowOff>
    </xdr:from>
    <xdr:to>
      <xdr:col>9</xdr:col>
      <xdr:colOff>885190</xdr:colOff>
      <xdr:row>1582</xdr:row>
      <xdr:rowOff>1209040</xdr:rowOff>
    </xdr:to>
    <xdr:pic>
      <xdr:nvPicPr>
        <xdr:cNvPr id="6418" name="Изображение 6417" descr="resizeПП-00269826"/>
        <xdr:cNvPicPr>
          <a:picLocks noChangeAspect="1"/>
        </xdr:cNvPicPr>
      </xdr:nvPicPr>
      <xdr:blipFill>
        <a:blip xmlns:r="http://schemas.openxmlformats.org/officeDocument/2006/relationships" r:embed="rId1175"/>
        <a:stretch>
          <a:fillRect/>
        </a:stretch>
      </xdr:blipFill>
      <xdr:spPr>
        <a:xfrm>
          <a:off x="7235825" y="1536909550"/>
          <a:ext cx="878840" cy="1183640"/>
        </a:xfrm>
        <a:prstGeom prst="rect">
          <a:avLst/>
        </a:prstGeom>
      </xdr:spPr>
    </xdr:pic>
    <xdr:clientData/>
  </xdr:twoCellAnchor>
  <xdr:twoCellAnchor>
    <xdr:from>
      <xdr:col>9</xdr:col>
      <xdr:colOff>6350</xdr:colOff>
      <xdr:row>1583</xdr:row>
      <xdr:rowOff>25400</xdr:rowOff>
    </xdr:from>
    <xdr:to>
      <xdr:col>9</xdr:col>
      <xdr:colOff>885190</xdr:colOff>
      <xdr:row>1583</xdr:row>
      <xdr:rowOff>1209040</xdr:rowOff>
    </xdr:to>
    <xdr:pic>
      <xdr:nvPicPr>
        <xdr:cNvPr id="6419" name="Изображение 6418" descr="resizeПП-00269830"/>
        <xdr:cNvPicPr>
          <a:picLocks noChangeAspect="1"/>
        </xdr:cNvPicPr>
      </xdr:nvPicPr>
      <xdr:blipFill>
        <a:blip xmlns:r="http://schemas.openxmlformats.org/officeDocument/2006/relationships" r:embed="rId1176"/>
        <a:stretch>
          <a:fillRect/>
        </a:stretch>
      </xdr:blipFill>
      <xdr:spPr>
        <a:xfrm>
          <a:off x="7235825" y="1538131925"/>
          <a:ext cx="878840" cy="1183640"/>
        </a:xfrm>
        <a:prstGeom prst="rect">
          <a:avLst/>
        </a:prstGeom>
      </xdr:spPr>
    </xdr:pic>
    <xdr:clientData/>
  </xdr:twoCellAnchor>
  <xdr:twoCellAnchor>
    <xdr:from>
      <xdr:col>9</xdr:col>
      <xdr:colOff>6350</xdr:colOff>
      <xdr:row>1584</xdr:row>
      <xdr:rowOff>25400</xdr:rowOff>
    </xdr:from>
    <xdr:to>
      <xdr:col>9</xdr:col>
      <xdr:colOff>885190</xdr:colOff>
      <xdr:row>1584</xdr:row>
      <xdr:rowOff>1209040</xdr:rowOff>
    </xdr:to>
    <xdr:pic>
      <xdr:nvPicPr>
        <xdr:cNvPr id="6420" name="Изображение 6419" descr="resizeПП-00269819"/>
        <xdr:cNvPicPr>
          <a:picLocks noChangeAspect="1"/>
        </xdr:cNvPicPr>
      </xdr:nvPicPr>
      <xdr:blipFill>
        <a:blip xmlns:r="http://schemas.openxmlformats.org/officeDocument/2006/relationships" r:embed="rId1177"/>
        <a:stretch>
          <a:fillRect/>
        </a:stretch>
      </xdr:blipFill>
      <xdr:spPr>
        <a:xfrm>
          <a:off x="7235825" y="1539354300"/>
          <a:ext cx="878840" cy="1183640"/>
        </a:xfrm>
        <a:prstGeom prst="rect">
          <a:avLst/>
        </a:prstGeom>
      </xdr:spPr>
    </xdr:pic>
    <xdr:clientData/>
  </xdr:twoCellAnchor>
  <xdr:twoCellAnchor>
    <xdr:from>
      <xdr:col>9</xdr:col>
      <xdr:colOff>6350</xdr:colOff>
      <xdr:row>1585</xdr:row>
      <xdr:rowOff>25400</xdr:rowOff>
    </xdr:from>
    <xdr:to>
      <xdr:col>9</xdr:col>
      <xdr:colOff>885190</xdr:colOff>
      <xdr:row>1585</xdr:row>
      <xdr:rowOff>1209040</xdr:rowOff>
    </xdr:to>
    <xdr:pic>
      <xdr:nvPicPr>
        <xdr:cNvPr id="6421" name="Изображение 6420" descr="resizeПП-00269828"/>
        <xdr:cNvPicPr>
          <a:picLocks noChangeAspect="1"/>
        </xdr:cNvPicPr>
      </xdr:nvPicPr>
      <xdr:blipFill>
        <a:blip xmlns:r="http://schemas.openxmlformats.org/officeDocument/2006/relationships" r:embed="rId1178"/>
        <a:stretch>
          <a:fillRect/>
        </a:stretch>
      </xdr:blipFill>
      <xdr:spPr>
        <a:xfrm>
          <a:off x="7235825" y="1540576675"/>
          <a:ext cx="878840" cy="1183640"/>
        </a:xfrm>
        <a:prstGeom prst="rect">
          <a:avLst/>
        </a:prstGeom>
      </xdr:spPr>
    </xdr:pic>
    <xdr:clientData/>
  </xdr:twoCellAnchor>
  <xdr:twoCellAnchor>
    <xdr:from>
      <xdr:col>9</xdr:col>
      <xdr:colOff>6350</xdr:colOff>
      <xdr:row>1586</xdr:row>
      <xdr:rowOff>25400</xdr:rowOff>
    </xdr:from>
    <xdr:to>
      <xdr:col>9</xdr:col>
      <xdr:colOff>885190</xdr:colOff>
      <xdr:row>1586</xdr:row>
      <xdr:rowOff>1209040</xdr:rowOff>
    </xdr:to>
    <xdr:pic>
      <xdr:nvPicPr>
        <xdr:cNvPr id="6422" name="Изображение 6421" descr="resizeПП-00269831"/>
        <xdr:cNvPicPr>
          <a:picLocks noChangeAspect="1"/>
        </xdr:cNvPicPr>
      </xdr:nvPicPr>
      <xdr:blipFill>
        <a:blip xmlns:r="http://schemas.openxmlformats.org/officeDocument/2006/relationships" r:embed="rId1179"/>
        <a:stretch>
          <a:fillRect/>
        </a:stretch>
      </xdr:blipFill>
      <xdr:spPr>
        <a:xfrm>
          <a:off x="7235825" y="1541799050"/>
          <a:ext cx="878840" cy="1183640"/>
        </a:xfrm>
        <a:prstGeom prst="rect">
          <a:avLst/>
        </a:prstGeom>
      </xdr:spPr>
    </xdr:pic>
    <xdr:clientData/>
  </xdr:twoCellAnchor>
  <xdr:twoCellAnchor>
    <xdr:from>
      <xdr:col>9</xdr:col>
      <xdr:colOff>6350</xdr:colOff>
      <xdr:row>1587</xdr:row>
      <xdr:rowOff>25400</xdr:rowOff>
    </xdr:from>
    <xdr:to>
      <xdr:col>9</xdr:col>
      <xdr:colOff>885190</xdr:colOff>
      <xdr:row>1587</xdr:row>
      <xdr:rowOff>1209040</xdr:rowOff>
    </xdr:to>
    <xdr:pic>
      <xdr:nvPicPr>
        <xdr:cNvPr id="6423" name="Изображение 6422" descr="resizeПП-00269821"/>
        <xdr:cNvPicPr>
          <a:picLocks noChangeAspect="1"/>
        </xdr:cNvPicPr>
      </xdr:nvPicPr>
      <xdr:blipFill>
        <a:blip xmlns:r="http://schemas.openxmlformats.org/officeDocument/2006/relationships" r:embed="rId1180"/>
        <a:stretch>
          <a:fillRect/>
        </a:stretch>
      </xdr:blipFill>
      <xdr:spPr>
        <a:xfrm>
          <a:off x="7235825" y="1543021425"/>
          <a:ext cx="878840" cy="1183640"/>
        </a:xfrm>
        <a:prstGeom prst="rect">
          <a:avLst/>
        </a:prstGeom>
      </xdr:spPr>
    </xdr:pic>
    <xdr:clientData/>
  </xdr:twoCellAnchor>
  <xdr:twoCellAnchor>
    <xdr:from>
      <xdr:col>9</xdr:col>
      <xdr:colOff>6350</xdr:colOff>
      <xdr:row>1593</xdr:row>
      <xdr:rowOff>25400</xdr:rowOff>
    </xdr:from>
    <xdr:to>
      <xdr:col>9</xdr:col>
      <xdr:colOff>885190</xdr:colOff>
      <xdr:row>1593</xdr:row>
      <xdr:rowOff>1209040</xdr:rowOff>
    </xdr:to>
    <xdr:pic>
      <xdr:nvPicPr>
        <xdr:cNvPr id="6424" name="Изображение 6423" descr="resizeПП-00255916"/>
        <xdr:cNvPicPr>
          <a:picLocks noChangeAspect="1"/>
        </xdr:cNvPicPr>
      </xdr:nvPicPr>
      <xdr:blipFill>
        <a:blip xmlns:r="http://schemas.openxmlformats.org/officeDocument/2006/relationships" r:embed="rId1181"/>
        <a:stretch>
          <a:fillRect/>
        </a:stretch>
      </xdr:blipFill>
      <xdr:spPr>
        <a:xfrm>
          <a:off x="7235825" y="1545005800"/>
          <a:ext cx="878840" cy="1183640"/>
        </a:xfrm>
        <a:prstGeom prst="rect">
          <a:avLst/>
        </a:prstGeom>
      </xdr:spPr>
    </xdr:pic>
    <xdr:clientData/>
  </xdr:twoCellAnchor>
  <xdr:twoCellAnchor>
    <xdr:from>
      <xdr:col>9</xdr:col>
      <xdr:colOff>6350</xdr:colOff>
      <xdr:row>1595</xdr:row>
      <xdr:rowOff>25400</xdr:rowOff>
    </xdr:from>
    <xdr:to>
      <xdr:col>9</xdr:col>
      <xdr:colOff>885190</xdr:colOff>
      <xdr:row>1595</xdr:row>
      <xdr:rowOff>1209040</xdr:rowOff>
    </xdr:to>
    <xdr:pic>
      <xdr:nvPicPr>
        <xdr:cNvPr id="6425" name="Изображение 6424" descr="resizeПП-00275108"/>
        <xdr:cNvPicPr>
          <a:picLocks noChangeAspect="1"/>
        </xdr:cNvPicPr>
      </xdr:nvPicPr>
      <xdr:blipFill>
        <a:blip xmlns:r="http://schemas.openxmlformats.org/officeDocument/2006/relationships" r:embed="rId1182"/>
        <a:stretch>
          <a:fillRect/>
        </a:stretch>
      </xdr:blipFill>
      <xdr:spPr>
        <a:xfrm>
          <a:off x="7235825" y="1546380575"/>
          <a:ext cx="878840" cy="1183640"/>
        </a:xfrm>
        <a:prstGeom prst="rect">
          <a:avLst/>
        </a:prstGeom>
      </xdr:spPr>
    </xdr:pic>
    <xdr:clientData/>
  </xdr:twoCellAnchor>
  <xdr:twoCellAnchor>
    <xdr:from>
      <xdr:col>9</xdr:col>
      <xdr:colOff>6350</xdr:colOff>
      <xdr:row>1596</xdr:row>
      <xdr:rowOff>25400</xdr:rowOff>
    </xdr:from>
    <xdr:to>
      <xdr:col>9</xdr:col>
      <xdr:colOff>885190</xdr:colOff>
      <xdr:row>1596</xdr:row>
      <xdr:rowOff>1209040</xdr:rowOff>
    </xdr:to>
    <xdr:pic>
      <xdr:nvPicPr>
        <xdr:cNvPr id="6426" name="Изображение 6425" descr="resizeПП-00227869"/>
        <xdr:cNvPicPr>
          <a:picLocks noChangeAspect="1"/>
        </xdr:cNvPicPr>
      </xdr:nvPicPr>
      <xdr:blipFill>
        <a:blip xmlns:r="http://schemas.openxmlformats.org/officeDocument/2006/relationships" r:embed="rId1183"/>
        <a:stretch>
          <a:fillRect/>
        </a:stretch>
      </xdr:blipFill>
      <xdr:spPr>
        <a:xfrm>
          <a:off x="7235825" y="1547602950"/>
          <a:ext cx="878840" cy="1183640"/>
        </a:xfrm>
        <a:prstGeom prst="rect">
          <a:avLst/>
        </a:prstGeom>
      </xdr:spPr>
    </xdr:pic>
    <xdr:clientData/>
  </xdr:twoCellAnchor>
  <xdr:twoCellAnchor>
    <xdr:from>
      <xdr:col>9</xdr:col>
      <xdr:colOff>6350</xdr:colOff>
      <xdr:row>1598</xdr:row>
      <xdr:rowOff>25400</xdr:rowOff>
    </xdr:from>
    <xdr:to>
      <xdr:col>9</xdr:col>
      <xdr:colOff>885190</xdr:colOff>
      <xdr:row>1598</xdr:row>
      <xdr:rowOff>1209040</xdr:rowOff>
    </xdr:to>
    <xdr:pic>
      <xdr:nvPicPr>
        <xdr:cNvPr id="6427" name="Изображение 6426" descr="resizeПП-00233661"/>
        <xdr:cNvPicPr>
          <a:picLocks noChangeAspect="1"/>
        </xdr:cNvPicPr>
      </xdr:nvPicPr>
      <xdr:blipFill>
        <a:blip xmlns:r="http://schemas.openxmlformats.org/officeDocument/2006/relationships" r:embed="rId1184"/>
        <a:stretch>
          <a:fillRect/>
        </a:stretch>
      </xdr:blipFill>
      <xdr:spPr>
        <a:xfrm>
          <a:off x="7235825" y="1548977725"/>
          <a:ext cx="878840" cy="1183640"/>
        </a:xfrm>
        <a:prstGeom prst="rect">
          <a:avLst/>
        </a:prstGeom>
      </xdr:spPr>
    </xdr:pic>
    <xdr:clientData/>
  </xdr:twoCellAnchor>
  <xdr:twoCellAnchor>
    <xdr:from>
      <xdr:col>9</xdr:col>
      <xdr:colOff>6350</xdr:colOff>
      <xdr:row>1600</xdr:row>
      <xdr:rowOff>25400</xdr:rowOff>
    </xdr:from>
    <xdr:to>
      <xdr:col>9</xdr:col>
      <xdr:colOff>885190</xdr:colOff>
      <xdr:row>1600</xdr:row>
      <xdr:rowOff>1209040</xdr:rowOff>
    </xdr:to>
    <xdr:pic>
      <xdr:nvPicPr>
        <xdr:cNvPr id="6428" name="Изображение 6427" descr="resizeПП-00234849"/>
        <xdr:cNvPicPr>
          <a:picLocks noChangeAspect="1"/>
        </xdr:cNvPicPr>
      </xdr:nvPicPr>
      <xdr:blipFill>
        <a:blip xmlns:r="http://schemas.openxmlformats.org/officeDocument/2006/relationships" r:embed="rId1185"/>
        <a:stretch>
          <a:fillRect/>
        </a:stretch>
      </xdr:blipFill>
      <xdr:spPr>
        <a:xfrm>
          <a:off x="7235825" y="1550352500"/>
          <a:ext cx="878840" cy="1183640"/>
        </a:xfrm>
        <a:prstGeom prst="rect">
          <a:avLst/>
        </a:prstGeom>
      </xdr:spPr>
    </xdr:pic>
    <xdr:clientData/>
  </xdr:twoCellAnchor>
  <xdr:twoCellAnchor>
    <xdr:from>
      <xdr:col>9</xdr:col>
      <xdr:colOff>6350</xdr:colOff>
      <xdr:row>1602</xdr:row>
      <xdr:rowOff>25400</xdr:rowOff>
    </xdr:from>
    <xdr:to>
      <xdr:col>9</xdr:col>
      <xdr:colOff>885190</xdr:colOff>
      <xdr:row>1602</xdr:row>
      <xdr:rowOff>1209040</xdr:rowOff>
    </xdr:to>
    <xdr:pic>
      <xdr:nvPicPr>
        <xdr:cNvPr id="6429" name="Изображение 6428" descr="resizeПП-00275152"/>
        <xdr:cNvPicPr>
          <a:picLocks noChangeAspect="1"/>
        </xdr:cNvPicPr>
      </xdr:nvPicPr>
      <xdr:blipFill>
        <a:blip xmlns:r="http://schemas.openxmlformats.org/officeDocument/2006/relationships" r:embed="rId1186"/>
        <a:stretch>
          <a:fillRect/>
        </a:stretch>
      </xdr:blipFill>
      <xdr:spPr>
        <a:xfrm>
          <a:off x="7235825" y="1551727275"/>
          <a:ext cx="878840" cy="1183640"/>
        </a:xfrm>
        <a:prstGeom prst="rect">
          <a:avLst/>
        </a:prstGeom>
      </xdr:spPr>
    </xdr:pic>
    <xdr:clientData/>
  </xdr:twoCellAnchor>
  <xdr:twoCellAnchor>
    <xdr:from>
      <xdr:col>9</xdr:col>
      <xdr:colOff>6350</xdr:colOff>
      <xdr:row>1603</xdr:row>
      <xdr:rowOff>25400</xdr:rowOff>
    </xdr:from>
    <xdr:to>
      <xdr:col>9</xdr:col>
      <xdr:colOff>885190</xdr:colOff>
      <xdr:row>1603</xdr:row>
      <xdr:rowOff>1209040</xdr:rowOff>
    </xdr:to>
    <xdr:pic>
      <xdr:nvPicPr>
        <xdr:cNvPr id="6430" name="Изображение 6429" descr="resizeПП-00257878"/>
        <xdr:cNvPicPr>
          <a:picLocks noChangeAspect="1"/>
        </xdr:cNvPicPr>
      </xdr:nvPicPr>
      <xdr:blipFill>
        <a:blip xmlns:r="http://schemas.openxmlformats.org/officeDocument/2006/relationships" r:embed="rId1187"/>
        <a:stretch>
          <a:fillRect/>
        </a:stretch>
      </xdr:blipFill>
      <xdr:spPr>
        <a:xfrm>
          <a:off x="7235825" y="1552949650"/>
          <a:ext cx="878840" cy="1183640"/>
        </a:xfrm>
        <a:prstGeom prst="rect">
          <a:avLst/>
        </a:prstGeom>
      </xdr:spPr>
    </xdr:pic>
    <xdr:clientData/>
  </xdr:twoCellAnchor>
  <xdr:twoCellAnchor>
    <xdr:from>
      <xdr:col>9</xdr:col>
      <xdr:colOff>6350</xdr:colOff>
      <xdr:row>1604</xdr:row>
      <xdr:rowOff>25400</xdr:rowOff>
    </xdr:from>
    <xdr:to>
      <xdr:col>9</xdr:col>
      <xdr:colOff>885190</xdr:colOff>
      <xdr:row>1604</xdr:row>
      <xdr:rowOff>1209040</xdr:rowOff>
    </xdr:to>
    <xdr:pic>
      <xdr:nvPicPr>
        <xdr:cNvPr id="6431" name="Изображение 6430" descr="resizeПП-00275151"/>
        <xdr:cNvPicPr>
          <a:picLocks noChangeAspect="1"/>
        </xdr:cNvPicPr>
      </xdr:nvPicPr>
      <xdr:blipFill>
        <a:blip xmlns:r="http://schemas.openxmlformats.org/officeDocument/2006/relationships" r:embed="rId1188"/>
        <a:stretch>
          <a:fillRect/>
        </a:stretch>
      </xdr:blipFill>
      <xdr:spPr>
        <a:xfrm>
          <a:off x="7235825" y="1554172025"/>
          <a:ext cx="878840" cy="1183640"/>
        </a:xfrm>
        <a:prstGeom prst="rect">
          <a:avLst/>
        </a:prstGeom>
      </xdr:spPr>
    </xdr:pic>
    <xdr:clientData/>
  </xdr:twoCellAnchor>
  <xdr:twoCellAnchor>
    <xdr:from>
      <xdr:col>9</xdr:col>
      <xdr:colOff>6350</xdr:colOff>
      <xdr:row>1605</xdr:row>
      <xdr:rowOff>25400</xdr:rowOff>
    </xdr:from>
    <xdr:to>
      <xdr:col>9</xdr:col>
      <xdr:colOff>885190</xdr:colOff>
      <xdr:row>1605</xdr:row>
      <xdr:rowOff>1209040</xdr:rowOff>
    </xdr:to>
    <xdr:pic>
      <xdr:nvPicPr>
        <xdr:cNvPr id="6432" name="Изображение 6431" descr="resizeПП-00275153"/>
        <xdr:cNvPicPr>
          <a:picLocks noChangeAspect="1"/>
        </xdr:cNvPicPr>
      </xdr:nvPicPr>
      <xdr:blipFill>
        <a:blip xmlns:r="http://schemas.openxmlformats.org/officeDocument/2006/relationships" r:embed="rId1189"/>
        <a:stretch>
          <a:fillRect/>
        </a:stretch>
      </xdr:blipFill>
      <xdr:spPr>
        <a:xfrm>
          <a:off x="7235825" y="1555394400"/>
          <a:ext cx="878840" cy="1183640"/>
        </a:xfrm>
        <a:prstGeom prst="rect">
          <a:avLst/>
        </a:prstGeom>
      </xdr:spPr>
    </xdr:pic>
    <xdr:clientData/>
  </xdr:twoCellAnchor>
  <xdr:twoCellAnchor>
    <xdr:from>
      <xdr:col>9</xdr:col>
      <xdr:colOff>6350</xdr:colOff>
      <xdr:row>1606</xdr:row>
      <xdr:rowOff>25400</xdr:rowOff>
    </xdr:from>
    <xdr:to>
      <xdr:col>9</xdr:col>
      <xdr:colOff>885190</xdr:colOff>
      <xdr:row>1606</xdr:row>
      <xdr:rowOff>1209040</xdr:rowOff>
    </xdr:to>
    <xdr:pic>
      <xdr:nvPicPr>
        <xdr:cNvPr id="6433" name="Изображение 6432" descr="resizeПП-00275150"/>
        <xdr:cNvPicPr>
          <a:picLocks noChangeAspect="1"/>
        </xdr:cNvPicPr>
      </xdr:nvPicPr>
      <xdr:blipFill>
        <a:blip xmlns:r="http://schemas.openxmlformats.org/officeDocument/2006/relationships" r:embed="rId1190"/>
        <a:stretch>
          <a:fillRect/>
        </a:stretch>
      </xdr:blipFill>
      <xdr:spPr>
        <a:xfrm>
          <a:off x="7235825" y="1556616775"/>
          <a:ext cx="878840" cy="1183640"/>
        </a:xfrm>
        <a:prstGeom prst="rect">
          <a:avLst/>
        </a:prstGeom>
      </xdr:spPr>
    </xdr:pic>
    <xdr:clientData/>
  </xdr:twoCellAnchor>
  <xdr:twoCellAnchor>
    <xdr:from>
      <xdr:col>9</xdr:col>
      <xdr:colOff>6350</xdr:colOff>
      <xdr:row>1607</xdr:row>
      <xdr:rowOff>25400</xdr:rowOff>
    </xdr:from>
    <xdr:to>
      <xdr:col>9</xdr:col>
      <xdr:colOff>885190</xdr:colOff>
      <xdr:row>1607</xdr:row>
      <xdr:rowOff>1209040</xdr:rowOff>
    </xdr:to>
    <xdr:pic>
      <xdr:nvPicPr>
        <xdr:cNvPr id="6434" name="Изображение 6433" descr="resizeПП-00257877"/>
        <xdr:cNvPicPr>
          <a:picLocks noChangeAspect="1"/>
        </xdr:cNvPicPr>
      </xdr:nvPicPr>
      <xdr:blipFill>
        <a:blip xmlns:r="http://schemas.openxmlformats.org/officeDocument/2006/relationships" r:embed="rId1191"/>
        <a:stretch>
          <a:fillRect/>
        </a:stretch>
      </xdr:blipFill>
      <xdr:spPr>
        <a:xfrm>
          <a:off x="7235825" y="1557839150"/>
          <a:ext cx="878840" cy="1183640"/>
        </a:xfrm>
        <a:prstGeom prst="rect">
          <a:avLst/>
        </a:prstGeom>
      </xdr:spPr>
    </xdr:pic>
    <xdr:clientData/>
  </xdr:twoCellAnchor>
  <xdr:twoCellAnchor>
    <xdr:from>
      <xdr:col>9</xdr:col>
      <xdr:colOff>6350</xdr:colOff>
      <xdr:row>1608</xdr:row>
      <xdr:rowOff>25400</xdr:rowOff>
    </xdr:from>
    <xdr:to>
      <xdr:col>9</xdr:col>
      <xdr:colOff>885190</xdr:colOff>
      <xdr:row>1608</xdr:row>
      <xdr:rowOff>1209040</xdr:rowOff>
    </xdr:to>
    <xdr:pic>
      <xdr:nvPicPr>
        <xdr:cNvPr id="6435" name="Изображение 6434" descr="resizeПП-00275148"/>
        <xdr:cNvPicPr>
          <a:picLocks noChangeAspect="1"/>
        </xdr:cNvPicPr>
      </xdr:nvPicPr>
      <xdr:blipFill>
        <a:blip xmlns:r="http://schemas.openxmlformats.org/officeDocument/2006/relationships" r:embed="rId1192"/>
        <a:stretch>
          <a:fillRect/>
        </a:stretch>
      </xdr:blipFill>
      <xdr:spPr>
        <a:xfrm>
          <a:off x="7235825" y="1559061525"/>
          <a:ext cx="878840" cy="1183640"/>
        </a:xfrm>
        <a:prstGeom prst="rect">
          <a:avLst/>
        </a:prstGeom>
      </xdr:spPr>
    </xdr:pic>
    <xdr:clientData/>
  </xdr:twoCellAnchor>
  <xdr:twoCellAnchor>
    <xdr:from>
      <xdr:col>9</xdr:col>
      <xdr:colOff>6350</xdr:colOff>
      <xdr:row>1609</xdr:row>
      <xdr:rowOff>25400</xdr:rowOff>
    </xdr:from>
    <xdr:to>
      <xdr:col>9</xdr:col>
      <xdr:colOff>885190</xdr:colOff>
      <xdr:row>1609</xdr:row>
      <xdr:rowOff>1209040</xdr:rowOff>
    </xdr:to>
    <xdr:pic>
      <xdr:nvPicPr>
        <xdr:cNvPr id="6436" name="Изображение 6435" descr="resizeПП-00275147"/>
        <xdr:cNvPicPr>
          <a:picLocks noChangeAspect="1"/>
        </xdr:cNvPicPr>
      </xdr:nvPicPr>
      <xdr:blipFill>
        <a:blip xmlns:r="http://schemas.openxmlformats.org/officeDocument/2006/relationships" r:embed="rId1193"/>
        <a:stretch>
          <a:fillRect/>
        </a:stretch>
      </xdr:blipFill>
      <xdr:spPr>
        <a:xfrm>
          <a:off x="7235825" y="1560283900"/>
          <a:ext cx="878840" cy="1183640"/>
        </a:xfrm>
        <a:prstGeom prst="rect">
          <a:avLst/>
        </a:prstGeom>
      </xdr:spPr>
    </xdr:pic>
    <xdr:clientData/>
  </xdr:twoCellAnchor>
  <xdr:twoCellAnchor>
    <xdr:from>
      <xdr:col>9</xdr:col>
      <xdr:colOff>6350</xdr:colOff>
      <xdr:row>1613</xdr:row>
      <xdr:rowOff>25400</xdr:rowOff>
    </xdr:from>
    <xdr:to>
      <xdr:col>9</xdr:col>
      <xdr:colOff>885190</xdr:colOff>
      <xdr:row>1613</xdr:row>
      <xdr:rowOff>1209040</xdr:rowOff>
    </xdr:to>
    <xdr:pic>
      <xdr:nvPicPr>
        <xdr:cNvPr id="6437" name="Изображение 6436" descr="resizeПП-00233448"/>
        <xdr:cNvPicPr>
          <a:picLocks noChangeAspect="1"/>
        </xdr:cNvPicPr>
      </xdr:nvPicPr>
      <xdr:blipFill>
        <a:blip xmlns:r="http://schemas.openxmlformats.org/officeDocument/2006/relationships" r:embed="rId1194"/>
        <a:stretch>
          <a:fillRect/>
        </a:stretch>
      </xdr:blipFill>
      <xdr:spPr>
        <a:xfrm>
          <a:off x="7235825" y="1561963475"/>
          <a:ext cx="878840" cy="1183640"/>
        </a:xfrm>
        <a:prstGeom prst="rect">
          <a:avLst/>
        </a:prstGeom>
      </xdr:spPr>
    </xdr:pic>
    <xdr:clientData/>
  </xdr:twoCellAnchor>
  <xdr:twoCellAnchor>
    <xdr:from>
      <xdr:col>9</xdr:col>
      <xdr:colOff>6350</xdr:colOff>
      <xdr:row>1614</xdr:row>
      <xdr:rowOff>25400</xdr:rowOff>
    </xdr:from>
    <xdr:to>
      <xdr:col>9</xdr:col>
      <xdr:colOff>885190</xdr:colOff>
      <xdr:row>1614</xdr:row>
      <xdr:rowOff>1209040</xdr:rowOff>
    </xdr:to>
    <xdr:pic>
      <xdr:nvPicPr>
        <xdr:cNvPr id="6438" name="Изображение 6437" descr="resizeПП-00203318"/>
        <xdr:cNvPicPr>
          <a:picLocks noChangeAspect="1"/>
        </xdr:cNvPicPr>
      </xdr:nvPicPr>
      <xdr:blipFill>
        <a:blip xmlns:r="http://schemas.openxmlformats.org/officeDocument/2006/relationships" r:embed="rId1195"/>
        <a:stretch>
          <a:fillRect/>
        </a:stretch>
      </xdr:blipFill>
      <xdr:spPr>
        <a:xfrm>
          <a:off x="7235825" y="1563185850"/>
          <a:ext cx="878840" cy="1183640"/>
        </a:xfrm>
        <a:prstGeom prst="rect">
          <a:avLst/>
        </a:prstGeom>
      </xdr:spPr>
    </xdr:pic>
    <xdr:clientData/>
  </xdr:twoCellAnchor>
  <xdr:twoCellAnchor>
    <xdr:from>
      <xdr:col>9</xdr:col>
      <xdr:colOff>6350</xdr:colOff>
      <xdr:row>1615</xdr:row>
      <xdr:rowOff>25400</xdr:rowOff>
    </xdr:from>
    <xdr:to>
      <xdr:col>9</xdr:col>
      <xdr:colOff>885190</xdr:colOff>
      <xdr:row>1615</xdr:row>
      <xdr:rowOff>1209040</xdr:rowOff>
    </xdr:to>
    <xdr:pic>
      <xdr:nvPicPr>
        <xdr:cNvPr id="6439" name="Изображение 6438" descr="resizeПП-00233446"/>
        <xdr:cNvPicPr>
          <a:picLocks noChangeAspect="1"/>
        </xdr:cNvPicPr>
      </xdr:nvPicPr>
      <xdr:blipFill>
        <a:blip xmlns:r="http://schemas.openxmlformats.org/officeDocument/2006/relationships" r:embed="rId1196"/>
        <a:stretch>
          <a:fillRect/>
        </a:stretch>
      </xdr:blipFill>
      <xdr:spPr>
        <a:xfrm>
          <a:off x="7235825" y="1564408225"/>
          <a:ext cx="878840" cy="1183640"/>
        </a:xfrm>
        <a:prstGeom prst="rect">
          <a:avLst/>
        </a:prstGeom>
      </xdr:spPr>
    </xdr:pic>
    <xdr:clientData/>
  </xdr:twoCellAnchor>
  <xdr:twoCellAnchor>
    <xdr:from>
      <xdr:col>9</xdr:col>
      <xdr:colOff>6350</xdr:colOff>
      <xdr:row>1616</xdr:row>
      <xdr:rowOff>25400</xdr:rowOff>
    </xdr:from>
    <xdr:to>
      <xdr:col>9</xdr:col>
      <xdr:colOff>885190</xdr:colOff>
      <xdr:row>1616</xdr:row>
      <xdr:rowOff>1209040</xdr:rowOff>
    </xdr:to>
    <xdr:pic>
      <xdr:nvPicPr>
        <xdr:cNvPr id="6440" name="Изображение 6439" descr="resizeПП-00233445"/>
        <xdr:cNvPicPr>
          <a:picLocks noChangeAspect="1"/>
        </xdr:cNvPicPr>
      </xdr:nvPicPr>
      <xdr:blipFill>
        <a:blip xmlns:r="http://schemas.openxmlformats.org/officeDocument/2006/relationships" r:embed="rId1197"/>
        <a:stretch>
          <a:fillRect/>
        </a:stretch>
      </xdr:blipFill>
      <xdr:spPr>
        <a:xfrm>
          <a:off x="7235825" y="1565630600"/>
          <a:ext cx="878840" cy="1183640"/>
        </a:xfrm>
        <a:prstGeom prst="rect">
          <a:avLst/>
        </a:prstGeom>
      </xdr:spPr>
    </xdr:pic>
    <xdr:clientData/>
  </xdr:twoCellAnchor>
  <xdr:twoCellAnchor>
    <xdr:from>
      <xdr:col>9</xdr:col>
      <xdr:colOff>6350</xdr:colOff>
      <xdr:row>1617</xdr:row>
      <xdr:rowOff>25400</xdr:rowOff>
    </xdr:from>
    <xdr:to>
      <xdr:col>9</xdr:col>
      <xdr:colOff>885190</xdr:colOff>
      <xdr:row>1617</xdr:row>
      <xdr:rowOff>1209040</xdr:rowOff>
    </xdr:to>
    <xdr:pic>
      <xdr:nvPicPr>
        <xdr:cNvPr id="6441" name="Изображение 6440" descr="resizeПП-00233451"/>
        <xdr:cNvPicPr>
          <a:picLocks noChangeAspect="1"/>
        </xdr:cNvPicPr>
      </xdr:nvPicPr>
      <xdr:blipFill>
        <a:blip xmlns:r="http://schemas.openxmlformats.org/officeDocument/2006/relationships" r:embed="rId1198"/>
        <a:stretch>
          <a:fillRect/>
        </a:stretch>
      </xdr:blipFill>
      <xdr:spPr>
        <a:xfrm>
          <a:off x="7235825" y="1566852975"/>
          <a:ext cx="878840" cy="1183640"/>
        </a:xfrm>
        <a:prstGeom prst="rect">
          <a:avLst/>
        </a:prstGeom>
      </xdr:spPr>
    </xdr:pic>
    <xdr:clientData/>
  </xdr:twoCellAnchor>
  <xdr:twoCellAnchor>
    <xdr:from>
      <xdr:col>9</xdr:col>
      <xdr:colOff>6350</xdr:colOff>
      <xdr:row>1618</xdr:row>
      <xdr:rowOff>25400</xdr:rowOff>
    </xdr:from>
    <xdr:to>
      <xdr:col>9</xdr:col>
      <xdr:colOff>885190</xdr:colOff>
      <xdr:row>1618</xdr:row>
      <xdr:rowOff>1209040</xdr:rowOff>
    </xdr:to>
    <xdr:pic>
      <xdr:nvPicPr>
        <xdr:cNvPr id="6442" name="Изображение 6441" descr="resizeПП-00233444"/>
        <xdr:cNvPicPr>
          <a:picLocks noChangeAspect="1"/>
        </xdr:cNvPicPr>
      </xdr:nvPicPr>
      <xdr:blipFill>
        <a:blip xmlns:r="http://schemas.openxmlformats.org/officeDocument/2006/relationships" r:embed="rId1199"/>
        <a:stretch>
          <a:fillRect/>
        </a:stretch>
      </xdr:blipFill>
      <xdr:spPr>
        <a:xfrm>
          <a:off x="7235825" y="1568075350"/>
          <a:ext cx="878840" cy="1183640"/>
        </a:xfrm>
        <a:prstGeom prst="rect">
          <a:avLst/>
        </a:prstGeom>
      </xdr:spPr>
    </xdr:pic>
    <xdr:clientData/>
  </xdr:twoCellAnchor>
  <xdr:twoCellAnchor>
    <xdr:from>
      <xdr:col>9</xdr:col>
      <xdr:colOff>6350</xdr:colOff>
      <xdr:row>1619</xdr:row>
      <xdr:rowOff>25400</xdr:rowOff>
    </xdr:from>
    <xdr:to>
      <xdr:col>9</xdr:col>
      <xdr:colOff>885190</xdr:colOff>
      <xdr:row>1619</xdr:row>
      <xdr:rowOff>1209040</xdr:rowOff>
    </xdr:to>
    <xdr:pic>
      <xdr:nvPicPr>
        <xdr:cNvPr id="6443" name="Изображение 6442" descr="resizeПП-00233452"/>
        <xdr:cNvPicPr>
          <a:picLocks noChangeAspect="1"/>
        </xdr:cNvPicPr>
      </xdr:nvPicPr>
      <xdr:blipFill>
        <a:blip xmlns:r="http://schemas.openxmlformats.org/officeDocument/2006/relationships" r:embed="rId1200"/>
        <a:stretch>
          <a:fillRect/>
        </a:stretch>
      </xdr:blipFill>
      <xdr:spPr>
        <a:xfrm>
          <a:off x="7235825" y="1569297725"/>
          <a:ext cx="878840" cy="1183640"/>
        </a:xfrm>
        <a:prstGeom prst="rect">
          <a:avLst/>
        </a:prstGeom>
      </xdr:spPr>
    </xdr:pic>
    <xdr:clientData/>
  </xdr:twoCellAnchor>
  <xdr:twoCellAnchor>
    <xdr:from>
      <xdr:col>9</xdr:col>
      <xdr:colOff>6350</xdr:colOff>
      <xdr:row>1620</xdr:row>
      <xdr:rowOff>25400</xdr:rowOff>
    </xdr:from>
    <xdr:to>
      <xdr:col>9</xdr:col>
      <xdr:colOff>885190</xdr:colOff>
      <xdr:row>1620</xdr:row>
      <xdr:rowOff>1209040</xdr:rowOff>
    </xdr:to>
    <xdr:pic>
      <xdr:nvPicPr>
        <xdr:cNvPr id="6444" name="Изображение 6443" descr="resizeПП-00233447"/>
        <xdr:cNvPicPr>
          <a:picLocks noChangeAspect="1"/>
        </xdr:cNvPicPr>
      </xdr:nvPicPr>
      <xdr:blipFill>
        <a:blip xmlns:r="http://schemas.openxmlformats.org/officeDocument/2006/relationships" r:embed="rId1201"/>
        <a:stretch>
          <a:fillRect/>
        </a:stretch>
      </xdr:blipFill>
      <xdr:spPr>
        <a:xfrm>
          <a:off x="7235825" y="1570520100"/>
          <a:ext cx="878840" cy="1183640"/>
        </a:xfrm>
        <a:prstGeom prst="rect">
          <a:avLst/>
        </a:prstGeom>
      </xdr:spPr>
    </xdr:pic>
    <xdr:clientData/>
  </xdr:twoCellAnchor>
  <xdr:twoCellAnchor>
    <xdr:from>
      <xdr:col>9</xdr:col>
      <xdr:colOff>6350</xdr:colOff>
      <xdr:row>1621</xdr:row>
      <xdr:rowOff>25400</xdr:rowOff>
    </xdr:from>
    <xdr:to>
      <xdr:col>9</xdr:col>
      <xdr:colOff>885190</xdr:colOff>
      <xdr:row>1621</xdr:row>
      <xdr:rowOff>1209040</xdr:rowOff>
    </xdr:to>
    <xdr:pic>
      <xdr:nvPicPr>
        <xdr:cNvPr id="6445" name="Изображение 6444" descr="resizeПП-00203321"/>
        <xdr:cNvPicPr>
          <a:picLocks noChangeAspect="1"/>
        </xdr:cNvPicPr>
      </xdr:nvPicPr>
      <xdr:blipFill>
        <a:blip xmlns:r="http://schemas.openxmlformats.org/officeDocument/2006/relationships" r:embed="rId1202"/>
        <a:stretch>
          <a:fillRect/>
        </a:stretch>
      </xdr:blipFill>
      <xdr:spPr>
        <a:xfrm>
          <a:off x="7235825" y="1571742475"/>
          <a:ext cx="878840" cy="1183640"/>
        </a:xfrm>
        <a:prstGeom prst="rect">
          <a:avLst/>
        </a:prstGeom>
      </xdr:spPr>
    </xdr:pic>
    <xdr:clientData/>
  </xdr:twoCellAnchor>
  <xdr:twoCellAnchor>
    <xdr:from>
      <xdr:col>9</xdr:col>
      <xdr:colOff>6350</xdr:colOff>
      <xdr:row>1622</xdr:row>
      <xdr:rowOff>25400</xdr:rowOff>
    </xdr:from>
    <xdr:to>
      <xdr:col>9</xdr:col>
      <xdr:colOff>885190</xdr:colOff>
      <xdr:row>1622</xdr:row>
      <xdr:rowOff>1209040</xdr:rowOff>
    </xdr:to>
    <xdr:pic>
      <xdr:nvPicPr>
        <xdr:cNvPr id="6446" name="Изображение 6445" descr="resizeПП-00203319"/>
        <xdr:cNvPicPr>
          <a:picLocks noChangeAspect="1"/>
        </xdr:cNvPicPr>
      </xdr:nvPicPr>
      <xdr:blipFill>
        <a:blip xmlns:r="http://schemas.openxmlformats.org/officeDocument/2006/relationships" r:embed="rId1203"/>
        <a:stretch>
          <a:fillRect/>
        </a:stretch>
      </xdr:blipFill>
      <xdr:spPr>
        <a:xfrm>
          <a:off x="7235825" y="1572964850"/>
          <a:ext cx="878840" cy="1183640"/>
        </a:xfrm>
        <a:prstGeom prst="rect">
          <a:avLst/>
        </a:prstGeom>
      </xdr:spPr>
    </xdr:pic>
    <xdr:clientData/>
  </xdr:twoCellAnchor>
  <xdr:twoCellAnchor>
    <xdr:from>
      <xdr:col>9</xdr:col>
      <xdr:colOff>6350</xdr:colOff>
      <xdr:row>1623</xdr:row>
      <xdr:rowOff>25400</xdr:rowOff>
    </xdr:from>
    <xdr:to>
      <xdr:col>9</xdr:col>
      <xdr:colOff>885190</xdr:colOff>
      <xdr:row>1623</xdr:row>
      <xdr:rowOff>1209040</xdr:rowOff>
    </xdr:to>
    <xdr:pic>
      <xdr:nvPicPr>
        <xdr:cNvPr id="6447" name="Изображение 6446" descr="resizeПП-00203322"/>
        <xdr:cNvPicPr>
          <a:picLocks noChangeAspect="1"/>
        </xdr:cNvPicPr>
      </xdr:nvPicPr>
      <xdr:blipFill>
        <a:blip xmlns:r="http://schemas.openxmlformats.org/officeDocument/2006/relationships" r:embed="rId1204"/>
        <a:stretch>
          <a:fillRect/>
        </a:stretch>
      </xdr:blipFill>
      <xdr:spPr>
        <a:xfrm>
          <a:off x="7235825" y="1574187225"/>
          <a:ext cx="878840" cy="1183640"/>
        </a:xfrm>
        <a:prstGeom prst="rect">
          <a:avLst/>
        </a:prstGeom>
      </xdr:spPr>
    </xdr:pic>
    <xdr:clientData/>
  </xdr:twoCellAnchor>
  <xdr:twoCellAnchor>
    <xdr:from>
      <xdr:col>9</xdr:col>
      <xdr:colOff>6350</xdr:colOff>
      <xdr:row>1625</xdr:row>
      <xdr:rowOff>25400</xdr:rowOff>
    </xdr:from>
    <xdr:to>
      <xdr:col>9</xdr:col>
      <xdr:colOff>885190</xdr:colOff>
      <xdr:row>1625</xdr:row>
      <xdr:rowOff>1209040</xdr:rowOff>
    </xdr:to>
    <xdr:pic>
      <xdr:nvPicPr>
        <xdr:cNvPr id="6448" name="Изображение 6447" descr="resizeПП-00226278"/>
        <xdr:cNvPicPr>
          <a:picLocks noChangeAspect="1"/>
        </xdr:cNvPicPr>
      </xdr:nvPicPr>
      <xdr:blipFill>
        <a:blip xmlns:r="http://schemas.openxmlformats.org/officeDocument/2006/relationships" r:embed="rId1205"/>
        <a:stretch>
          <a:fillRect/>
        </a:stretch>
      </xdr:blipFill>
      <xdr:spPr>
        <a:xfrm>
          <a:off x="7235825" y="1575562000"/>
          <a:ext cx="878840" cy="1183640"/>
        </a:xfrm>
        <a:prstGeom prst="rect">
          <a:avLst/>
        </a:prstGeom>
      </xdr:spPr>
    </xdr:pic>
    <xdr:clientData/>
  </xdr:twoCellAnchor>
  <xdr:twoCellAnchor>
    <xdr:from>
      <xdr:col>9</xdr:col>
      <xdr:colOff>6350</xdr:colOff>
      <xdr:row>1626</xdr:row>
      <xdr:rowOff>25400</xdr:rowOff>
    </xdr:from>
    <xdr:to>
      <xdr:col>9</xdr:col>
      <xdr:colOff>885190</xdr:colOff>
      <xdr:row>1626</xdr:row>
      <xdr:rowOff>1209040</xdr:rowOff>
    </xdr:to>
    <xdr:pic>
      <xdr:nvPicPr>
        <xdr:cNvPr id="6449" name="Изображение 6448" descr="resizeПП-00226273"/>
        <xdr:cNvPicPr>
          <a:picLocks noChangeAspect="1"/>
        </xdr:cNvPicPr>
      </xdr:nvPicPr>
      <xdr:blipFill>
        <a:blip xmlns:r="http://schemas.openxmlformats.org/officeDocument/2006/relationships" r:embed="rId1206"/>
        <a:stretch>
          <a:fillRect/>
        </a:stretch>
      </xdr:blipFill>
      <xdr:spPr>
        <a:xfrm>
          <a:off x="7235825" y="1576784375"/>
          <a:ext cx="878840" cy="1183640"/>
        </a:xfrm>
        <a:prstGeom prst="rect">
          <a:avLst/>
        </a:prstGeom>
      </xdr:spPr>
    </xdr:pic>
    <xdr:clientData/>
  </xdr:twoCellAnchor>
  <xdr:twoCellAnchor>
    <xdr:from>
      <xdr:col>9</xdr:col>
      <xdr:colOff>6350</xdr:colOff>
      <xdr:row>1627</xdr:row>
      <xdr:rowOff>25400</xdr:rowOff>
    </xdr:from>
    <xdr:to>
      <xdr:col>9</xdr:col>
      <xdr:colOff>885190</xdr:colOff>
      <xdr:row>1627</xdr:row>
      <xdr:rowOff>1209040</xdr:rowOff>
    </xdr:to>
    <xdr:pic>
      <xdr:nvPicPr>
        <xdr:cNvPr id="6450" name="Изображение 6449" descr="resizeПП-00226274"/>
        <xdr:cNvPicPr>
          <a:picLocks noChangeAspect="1"/>
        </xdr:cNvPicPr>
      </xdr:nvPicPr>
      <xdr:blipFill>
        <a:blip xmlns:r="http://schemas.openxmlformats.org/officeDocument/2006/relationships" r:embed="rId1207"/>
        <a:stretch>
          <a:fillRect/>
        </a:stretch>
      </xdr:blipFill>
      <xdr:spPr>
        <a:xfrm>
          <a:off x="7235825" y="1578006750"/>
          <a:ext cx="878840" cy="1183640"/>
        </a:xfrm>
        <a:prstGeom prst="rect">
          <a:avLst/>
        </a:prstGeom>
      </xdr:spPr>
    </xdr:pic>
    <xdr:clientData/>
  </xdr:twoCellAnchor>
  <xdr:twoCellAnchor>
    <xdr:from>
      <xdr:col>9</xdr:col>
      <xdr:colOff>6350</xdr:colOff>
      <xdr:row>1628</xdr:row>
      <xdr:rowOff>25400</xdr:rowOff>
    </xdr:from>
    <xdr:to>
      <xdr:col>9</xdr:col>
      <xdr:colOff>885190</xdr:colOff>
      <xdr:row>1628</xdr:row>
      <xdr:rowOff>1209040</xdr:rowOff>
    </xdr:to>
    <xdr:pic>
      <xdr:nvPicPr>
        <xdr:cNvPr id="6451" name="Изображение 6450" descr="resizeПП-00257928"/>
        <xdr:cNvPicPr>
          <a:picLocks noChangeAspect="1"/>
        </xdr:cNvPicPr>
      </xdr:nvPicPr>
      <xdr:blipFill>
        <a:blip xmlns:r="http://schemas.openxmlformats.org/officeDocument/2006/relationships" r:embed="rId1208"/>
        <a:stretch>
          <a:fillRect/>
        </a:stretch>
      </xdr:blipFill>
      <xdr:spPr>
        <a:xfrm>
          <a:off x="7235825" y="1579229125"/>
          <a:ext cx="878840" cy="1183640"/>
        </a:xfrm>
        <a:prstGeom prst="rect">
          <a:avLst/>
        </a:prstGeom>
      </xdr:spPr>
    </xdr:pic>
    <xdr:clientData/>
  </xdr:twoCellAnchor>
  <xdr:twoCellAnchor>
    <xdr:from>
      <xdr:col>9</xdr:col>
      <xdr:colOff>6350</xdr:colOff>
      <xdr:row>1629</xdr:row>
      <xdr:rowOff>25400</xdr:rowOff>
    </xdr:from>
    <xdr:to>
      <xdr:col>9</xdr:col>
      <xdr:colOff>885190</xdr:colOff>
      <xdr:row>1629</xdr:row>
      <xdr:rowOff>1209040</xdr:rowOff>
    </xdr:to>
    <xdr:pic>
      <xdr:nvPicPr>
        <xdr:cNvPr id="6452" name="Изображение 6451" descr="resizeПП-00257937"/>
        <xdr:cNvPicPr>
          <a:picLocks noChangeAspect="1"/>
        </xdr:cNvPicPr>
      </xdr:nvPicPr>
      <xdr:blipFill>
        <a:blip xmlns:r="http://schemas.openxmlformats.org/officeDocument/2006/relationships" r:embed="rId1209"/>
        <a:stretch>
          <a:fillRect/>
        </a:stretch>
      </xdr:blipFill>
      <xdr:spPr>
        <a:xfrm>
          <a:off x="7235825" y="1580451500"/>
          <a:ext cx="878840" cy="1183640"/>
        </a:xfrm>
        <a:prstGeom prst="rect">
          <a:avLst/>
        </a:prstGeom>
      </xdr:spPr>
    </xdr:pic>
    <xdr:clientData/>
  </xdr:twoCellAnchor>
  <xdr:twoCellAnchor>
    <xdr:from>
      <xdr:col>9</xdr:col>
      <xdr:colOff>6350</xdr:colOff>
      <xdr:row>1630</xdr:row>
      <xdr:rowOff>25400</xdr:rowOff>
    </xdr:from>
    <xdr:to>
      <xdr:col>9</xdr:col>
      <xdr:colOff>885190</xdr:colOff>
      <xdr:row>1630</xdr:row>
      <xdr:rowOff>1209040</xdr:rowOff>
    </xdr:to>
    <xdr:pic>
      <xdr:nvPicPr>
        <xdr:cNvPr id="6453" name="Изображение 6452" descr="resizeПП-00253016"/>
        <xdr:cNvPicPr>
          <a:picLocks noChangeAspect="1"/>
        </xdr:cNvPicPr>
      </xdr:nvPicPr>
      <xdr:blipFill>
        <a:blip xmlns:r="http://schemas.openxmlformats.org/officeDocument/2006/relationships" r:embed="rId1210"/>
        <a:stretch>
          <a:fillRect/>
        </a:stretch>
      </xdr:blipFill>
      <xdr:spPr>
        <a:xfrm>
          <a:off x="7235825" y="1581673875"/>
          <a:ext cx="878840" cy="1183640"/>
        </a:xfrm>
        <a:prstGeom prst="rect">
          <a:avLst/>
        </a:prstGeom>
      </xdr:spPr>
    </xdr:pic>
    <xdr:clientData/>
  </xdr:twoCellAnchor>
  <xdr:twoCellAnchor>
    <xdr:from>
      <xdr:col>9</xdr:col>
      <xdr:colOff>6350</xdr:colOff>
      <xdr:row>1633</xdr:row>
      <xdr:rowOff>25400</xdr:rowOff>
    </xdr:from>
    <xdr:to>
      <xdr:col>9</xdr:col>
      <xdr:colOff>885190</xdr:colOff>
      <xdr:row>1633</xdr:row>
      <xdr:rowOff>1209040</xdr:rowOff>
    </xdr:to>
    <xdr:pic>
      <xdr:nvPicPr>
        <xdr:cNvPr id="6454" name="Изображение 6453" descr="resizeПП-00257922"/>
        <xdr:cNvPicPr>
          <a:picLocks noChangeAspect="1"/>
        </xdr:cNvPicPr>
      </xdr:nvPicPr>
      <xdr:blipFill>
        <a:blip xmlns:r="http://schemas.openxmlformats.org/officeDocument/2006/relationships" r:embed="rId1211"/>
        <a:stretch>
          <a:fillRect/>
        </a:stretch>
      </xdr:blipFill>
      <xdr:spPr>
        <a:xfrm>
          <a:off x="7235825" y="1583201050"/>
          <a:ext cx="878840" cy="1183640"/>
        </a:xfrm>
        <a:prstGeom prst="rect">
          <a:avLst/>
        </a:prstGeom>
      </xdr:spPr>
    </xdr:pic>
    <xdr:clientData/>
  </xdr:twoCellAnchor>
  <xdr:twoCellAnchor>
    <xdr:from>
      <xdr:col>9</xdr:col>
      <xdr:colOff>6350</xdr:colOff>
      <xdr:row>1634</xdr:row>
      <xdr:rowOff>25400</xdr:rowOff>
    </xdr:from>
    <xdr:to>
      <xdr:col>9</xdr:col>
      <xdr:colOff>885190</xdr:colOff>
      <xdr:row>1634</xdr:row>
      <xdr:rowOff>1209040</xdr:rowOff>
    </xdr:to>
    <xdr:pic>
      <xdr:nvPicPr>
        <xdr:cNvPr id="6455" name="Изображение 6454" descr="resizeПП-00257924"/>
        <xdr:cNvPicPr>
          <a:picLocks noChangeAspect="1"/>
        </xdr:cNvPicPr>
      </xdr:nvPicPr>
      <xdr:blipFill>
        <a:blip xmlns:r="http://schemas.openxmlformats.org/officeDocument/2006/relationships" r:embed="rId1212"/>
        <a:stretch>
          <a:fillRect/>
        </a:stretch>
      </xdr:blipFill>
      <xdr:spPr>
        <a:xfrm>
          <a:off x="7235825" y="1584423425"/>
          <a:ext cx="878840" cy="1183640"/>
        </a:xfrm>
        <a:prstGeom prst="rect">
          <a:avLst/>
        </a:prstGeom>
      </xdr:spPr>
    </xdr:pic>
    <xdr:clientData/>
  </xdr:twoCellAnchor>
  <xdr:twoCellAnchor>
    <xdr:from>
      <xdr:col>9</xdr:col>
      <xdr:colOff>6350</xdr:colOff>
      <xdr:row>1635</xdr:row>
      <xdr:rowOff>25400</xdr:rowOff>
    </xdr:from>
    <xdr:to>
      <xdr:col>9</xdr:col>
      <xdr:colOff>885190</xdr:colOff>
      <xdr:row>1635</xdr:row>
      <xdr:rowOff>1209040</xdr:rowOff>
    </xdr:to>
    <xdr:pic>
      <xdr:nvPicPr>
        <xdr:cNvPr id="6456" name="Изображение 6455" descr="resizeПП-00257925"/>
        <xdr:cNvPicPr>
          <a:picLocks noChangeAspect="1"/>
        </xdr:cNvPicPr>
      </xdr:nvPicPr>
      <xdr:blipFill>
        <a:blip xmlns:r="http://schemas.openxmlformats.org/officeDocument/2006/relationships" r:embed="rId1213"/>
        <a:stretch>
          <a:fillRect/>
        </a:stretch>
      </xdr:blipFill>
      <xdr:spPr>
        <a:xfrm>
          <a:off x="7235825" y="1585645800"/>
          <a:ext cx="878840" cy="1183640"/>
        </a:xfrm>
        <a:prstGeom prst="rect">
          <a:avLst/>
        </a:prstGeom>
      </xdr:spPr>
    </xdr:pic>
    <xdr:clientData/>
  </xdr:twoCellAnchor>
  <xdr:twoCellAnchor>
    <xdr:from>
      <xdr:col>9</xdr:col>
      <xdr:colOff>6350</xdr:colOff>
      <xdr:row>1636</xdr:row>
      <xdr:rowOff>25400</xdr:rowOff>
    </xdr:from>
    <xdr:to>
      <xdr:col>9</xdr:col>
      <xdr:colOff>885190</xdr:colOff>
      <xdr:row>1636</xdr:row>
      <xdr:rowOff>1209040</xdr:rowOff>
    </xdr:to>
    <xdr:pic>
      <xdr:nvPicPr>
        <xdr:cNvPr id="6457" name="Изображение 6456" descr="resizeПП-00249089"/>
        <xdr:cNvPicPr>
          <a:picLocks noChangeAspect="1"/>
        </xdr:cNvPicPr>
      </xdr:nvPicPr>
      <xdr:blipFill>
        <a:blip xmlns:r="http://schemas.openxmlformats.org/officeDocument/2006/relationships" r:embed="rId1214"/>
        <a:stretch>
          <a:fillRect/>
        </a:stretch>
      </xdr:blipFill>
      <xdr:spPr>
        <a:xfrm>
          <a:off x="7235825" y="1586868175"/>
          <a:ext cx="878840" cy="1183640"/>
        </a:xfrm>
        <a:prstGeom prst="rect">
          <a:avLst/>
        </a:prstGeom>
      </xdr:spPr>
    </xdr:pic>
    <xdr:clientData/>
  </xdr:twoCellAnchor>
  <xdr:twoCellAnchor>
    <xdr:from>
      <xdr:col>9</xdr:col>
      <xdr:colOff>6350</xdr:colOff>
      <xdr:row>1638</xdr:row>
      <xdr:rowOff>25400</xdr:rowOff>
    </xdr:from>
    <xdr:to>
      <xdr:col>9</xdr:col>
      <xdr:colOff>885190</xdr:colOff>
      <xdr:row>1638</xdr:row>
      <xdr:rowOff>1209040</xdr:rowOff>
    </xdr:to>
    <xdr:pic>
      <xdr:nvPicPr>
        <xdr:cNvPr id="6458" name="Изображение 6457" descr="resizeПП-00249087"/>
        <xdr:cNvPicPr>
          <a:picLocks noChangeAspect="1"/>
        </xdr:cNvPicPr>
      </xdr:nvPicPr>
      <xdr:blipFill>
        <a:blip xmlns:r="http://schemas.openxmlformats.org/officeDocument/2006/relationships" r:embed="rId1215"/>
        <a:stretch>
          <a:fillRect/>
        </a:stretch>
      </xdr:blipFill>
      <xdr:spPr>
        <a:xfrm>
          <a:off x="7235825" y="1588242950"/>
          <a:ext cx="878840" cy="1183640"/>
        </a:xfrm>
        <a:prstGeom prst="rect">
          <a:avLst/>
        </a:prstGeom>
      </xdr:spPr>
    </xdr:pic>
    <xdr:clientData/>
  </xdr:twoCellAnchor>
  <xdr:twoCellAnchor>
    <xdr:from>
      <xdr:col>9</xdr:col>
      <xdr:colOff>6350</xdr:colOff>
      <xdr:row>1640</xdr:row>
      <xdr:rowOff>25400</xdr:rowOff>
    </xdr:from>
    <xdr:to>
      <xdr:col>9</xdr:col>
      <xdr:colOff>885190</xdr:colOff>
      <xdr:row>1640</xdr:row>
      <xdr:rowOff>1209040</xdr:rowOff>
    </xdr:to>
    <xdr:pic>
      <xdr:nvPicPr>
        <xdr:cNvPr id="6459" name="Изображение 6458" descr="resizeПП-00254069"/>
        <xdr:cNvPicPr>
          <a:picLocks noChangeAspect="1"/>
        </xdr:cNvPicPr>
      </xdr:nvPicPr>
      <xdr:blipFill>
        <a:blip xmlns:r="http://schemas.openxmlformats.org/officeDocument/2006/relationships" r:embed="rId1216"/>
        <a:stretch>
          <a:fillRect/>
        </a:stretch>
      </xdr:blipFill>
      <xdr:spPr>
        <a:xfrm>
          <a:off x="7235825" y="1589617725"/>
          <a:ext cx="878840" cy="1183640"/>
        </a:xfrm>
        <a:prstGeom prst="rect">
          <a:avLst/>
        </a:prstGeom>
      </xdr:spPr>
    </xdr:pic>
    <xdr:clientData/>
  </xdr:twoCellAnchor>
  <xdr:twoCellAnchor>
    <xdr:from>
      <xdr:col>9</xdr:col>
      <xdr:colOff>6350</xdr:colOff>
      <xdr:row>1641</xdr:row>
      <xdr:rowOff>25400</xdr:rowOff>
    </xdr:from>
    <xdr:to>
      <xdr:col>9</xdr:col>
      <xdr:colOff>885190</xdr:colOff>
      <xdr:row>1641</xdr:row>
      <xdr:rowOff>1209040</xdr:rowOff>
    </xdr:to>
    <xdr:pic>
      <xdr:nvPicPr>
        <xdr:cNvPr id="6460" name="Изображение 6459" descr="resizeПП-00254067"/>
        <xdr:cNvPicPr>
          <a:picLocks noChangeAspect="1"/>
        </xdr:cNvPicPr>
      </xdr:nvPicPr>
      <xdr:blipFill>
        <a:blip xmlns:r="http://schemas.openxmlformats.org/officeDocument/2006/relationships" r:embed="rId1217"/>
        <a:stretch>
          <a:fillRect/>
        </a:stretch>
      </xdr:blipFill>
      <xdr:spPr>
        <a:xfrm>
          <a:off x="7235825" y="1590840100"/>
          <a:ext cx="878840" cy="1183640"/>
        </a:xfrm>
        <a:prstGeom prst="rect">
          <a:avLst/>
        </a:prstGeom>
      </xdr:spPr>
    </xdr:pic>
    <xdr:clientData/>
  </xdr:twoCellAnchor>
  <xdr:twoCellAnchor>
    <xdr:from>
      <xdr:col>9</xdr:col>
      <xdr:colOff>6350</xdr:colOff>
      <xdr:row>1642</xdr:row>
      <xdr:rowOff>25400</xdr:rowOff>
    </xdr:from>
    <xdr:to>
      <xdr:col>9</xdr:col>
      <xdr:colOff>885190</xdr:colOff>
      <xdr:row>1642</xdr:row>
      <xdr:rowOff>1209040</xdr:rowOff>
    </xdr:to>
    <xdr:pic>
      <xdr:nvPicPr>
        <xdr:cNvPr id="6461" name="Изображение 6460" descr="resizeПП-00254073"/>
        <xdr:cNvPicPr>
          <a:picLocks noChangeAspect="1"/>
        </xdr:cNvPicPr>
      </xdr:nvPicPr>
      <xdr:blipFill>
        <a:blip xmlns:r="http://schemas.openxmlformats.org/officeDocument/2006/relationships" r:embed="rId1218"/>
        <a:stretch>
          <a:fillRect/>
        </a:stretch>
      </xdr:blipFill>
      <xdr:spPr>
        <a:xfrm>
          <a:off x="7235825" y="1592062475"/>
          <a:ext cx="878840" cy="1183640"/>
        </a:xfrm>
        <a:prstGeom prst="rect">
          <a:avLst/>
        </a:prstGeom>
      </xdr:spPr>
    </xdr:pic>
    <xdr:clientData/>
  </xdr:twoCellAnchor>
  <xdr:twoCellAnchor>
    <xdr:from>
      <xdr:col>9</xdr:col>
      <xdr:colOff>6350</xdr:colOff>
      <xdr:row>1643</xdr:row>
      <xdr:rowOff>25400</xdr:rowOff>
    </xdr:from>
    <xdr:to>
      <xdr:col>9</xdr:col>
      <xdr:colOff>885190</xdr:colOff>
      <xdr:row>1643</xdr:row>
      <xdr:rowOff>1209040</xdr:rowOff>
    </xdr:to>
    <xdr:pic>
      <xdr:nvPicPr>
        <xdr:cNvPr id="6462" name="Изображение 6461" descr="resizeПП-00254072"/>
        <xdr:cNvPicPr>
          <a:picLocks noChangeAspect="1"/>
        </xdr:cNvPicPr>
      </xdr:nvPicPr>
      <xdr:blipFill>
        <a:blip xmlns:r="http://schemas.openxmlformats.org/officeDocument/2006/relationships" r:embed="rId1219"/>
        <a:stretch>
          <a:fillRect/>
        </a:stretch>
      </xdr:blipFill>
      <xdr:spPr>
        <a:xfrm>
          <a:off x="7235825" y="1593284850"/>
          <a:ext cx="878840" cy="1183640"/>
        </a:xfrm>
        <a:prstGeom prst="rect">
          <a:avLst/>
        </a:prstGeom>
      </xdr:spPr>
    </xdr:pic>
    <xdr:clientData/>
  </xdr:twoCellAnchor>
  <xdr:twoCellAnchor>
    <xdr:from>
      <xdr:col>9</xdr:col>
      <xdr:colOff>6350</xdr:colOff>
      <xdr:row>1644</xdr:row>
      <xdr:rowOff>25400</xdr:rowOff>
    </xdr:from>
    <xdr:to>
      <xdr:col>9</xdr:col>
      <xdr:colOff>1189990</xdr:colOff>
      <xdr:row>1644</xdr:row>
      <xdr:rowOff>904240</xdr:rowOff>
    </xdr:to>
    <xdr:pic>
      <xdr:nvPicPr>
        <xdr:cNvPr id="6463" name="Изображение 6462" descr="resizeПП-00225449"/>
        <xdr:cNvPicPr>
          <a:picLocks noChangeAspect="1"/>
        </xdr:cNvPicPr>
      </xdr:nvPicPr>
      <xdr:blipFill>
        <a:blip xmlns:r="http://schemas.openxmlformats.org/officeDocument/2006/relationships" r:embed="rId1220"/>
        <a:stretch>
          <a:fillRect/>
        </a:stretch>
      </xdr:blipFill>
      <xdr:spPr>
        <a:xfrm>
          <a:off x="7235825" y="1594507225"/>
          <a:ext cx="1183640" cy="878840"/>
        </a:xfrm>
        <a:prstGeom prst="rect">
          <a:avLst/>
        </a:prstGeom>
      </xdr:spPr>
    </xdr:pic>
    <xdr:clientData/>
  </xdr:twoCellAnchor>
  <xdr:twoCellAnchor>
    <xdr:from>
      <xdr:col>9</xdr:col>
      <xdr:colOff>6350</xdr:colOff>
      <xdr:row>1646</xdr:row>
      <xdr:rowOff>25400</xdr:rowOff>
    </xdr:from>
    <xdr:to>
      <xdr:col>9</xdr:col>
      <xdr:colOff>885190</xdr:colOff>
      <xdr:row>1646</xdr:row>
      <xdr:rowOff>1209040</xdr:rowOff>
    </xdr:to>
    <xdr:pic>
      <xdr:nvPicPr>
        <xdr:cNvPr id="6464" name="Изображение 6463" descr="resizeПП-00186942"/>
        <xdr:cNvPicPr>
          <a:picLocks noChangeAspect="1"/>
        </xdr:cNvPicPr>
      </xdr:nvPicPr>
      <xdr:blipFill>
        <a:blip xmlns:r="http://schemas.openxmlformats.org/officeDocument/2006/relationships" r:embed="rId1221"/>
        <a:stretch>
          <a:fillRect/>
        </a:stretch>
      </xdr:blipFill>
      <xdr:spPr>
        <a:xfrm>
          <a:off x="7235825" y="1595882000"/>
          <a:ext cx="878840" cy="1183640"/>
        </a:xfrm>
        <a:prstGeom prst="rect">
          <a:avLst/>
        </a:prstGeom>
      </xdr:spPr>
    </xdr:pic>
    <xdr:clientData/>
  </xdr:twoCellAnchor>
  <xdr:twoCellAnchor>
    <xdr:from>
      <xdr:col>9</xdr:col>
      <xdr:colOff>6350</xdr:colOff>
      <xdr:row>1647</xdr:row>
      <xdr:rowOff>25400</xdr:rowOff>
    </xdr:from>
    <xdr:to>
      <xdr:col>9</xdr:col>
      <xdr:colOff>885190</xdr:colOff>
      <xdr:row>1647</xdr:row>
      <xdr:rowOff>1209040</xdr:rowOff>
    </xdr:to>
    <xdr:pic>
      <xdr:nvPicPr>
        <xdr:cNvPr id="6465" name="Изображение 6464" descr="resizeПП-00186943"/>
        <xdr:cNvPicPr>
          <a:picLocks noChangeAspect="1"/>
        </xdr:cNvPicPr>
      </xdr:nvPicPr>
      <xdr:blipFill>
        <a:blip xmlns:r="http://schemas.openxmlformats.org/officeDocument/2006/relationships" r:embed="rId1222"/>
        <a:stretch>
          <a:fillRect/>
        </a:stretch>
      </xdr:blipFill>
      <xdr:spPr>
        <a:xfrm>
          <a:off x="7235825" y="1597104375"/>
          <a:ext cx="878840" cy="1183640"/>
        </a:xfrm>
        <a:prstGeom prst="rect">
          <a:avLst/>
        </a:prstGeom>
      </xdr:spPr>
    </xdr:pic>
    <xdr:clientData/>
  </xdr:twoCellAnchor>
  <xdr:twoCellAnchor>
    <xdr:from>
      <xdr:col>9</xdr:col>
      <xdr:colOff>6350</xdr:colOff>
      <xdr:row>1650</xdr:row>
      <xdr:rowOff>25400</xdr:rowOff>
    </xdr:from>
    <xdr:to>
      <xdr:col>9</xdr:col>
      <xdr:colOff>885190</xdr:colOff>
      <xdr:row>1650</xdr:row>
      <xdr:rowOff>1209040</xdr:rowOff>
    </xdr:to>
    <xdr:pic>
      <xdr:nvPicPr>
        <xdr:cNvPr id="6466" name="Изображение 6465" descr="resizeПП-00275100"/>
        <xdr:cNvPicPr>
          <a:picLocks noChangeAspect="1"/>
        </xdr:cNvPicPr>
      </xdr:nvPicPr>
      <xdr:blipFill>
        <a:blip xmlns:r="http://schemas.openxmlformats.org/officeDocument/2006/relationships" r:embed="rId1223"/>
        <a:stretch>
          <a:fillRect/>
        </a:stretch>
      </xdr:blipFill>
      <xdr:spPr>
        <a:xfrm>
          <a:off x="7235825" y="1598631550"/>
          <a:ext cx="878840" cy="1183640"/>
        </a:xfrm>
        <a:prstGeom prst="rect">
          <a:avLst/>
        </a:prstGeom>
      </xdr:spPr>
    </xdr:pic>
    <xdr:clientData/>
  </xdr:twoCellAnchor>
  <xdr:twoCellAnchor>
    <xdr:from>
      <xdr:col>9</xdr:col>
      <xdr:colOff>6350</xdr:colOff>
      <xdr:row>1651</xdr:row>
      <xdr:rowOff>25400</xdr:rowOff>
    </xdr:from>
    <xdr:to>
      <xdr:col>9</xdr:col>
      <xdr:colOff>885190</xdr:colOff>
      <xdr:row>1651</xdr:row>
      <xdr:rowOff>1209040</xdr:rowOff>
    </xdr:to>
    <xdr:pic>
      <xdr:nvPicPr>
        <xdr:cNvPr id="6467" name="Изображение 6466" descr="resizeПП-00275098"/>
        <xdr:cNvPicPr>
          <a:picLocks noChangeAspect="1"/>
        </xdr:cNvPicPr>
      </xdr:nvPicPr>
      <xdr:blipFill>
        <a:blip xmlns:r="http://schemas.openxmlformats.org/officeDocument/2006/relationships" r:embed="rId1224"/>
        <a:stretch>
          <a:fillRect/>
        </a:stretch>
      </xdr:blipFill>
      <xdr:spPr>
        <a:xfrm>
          <a:off x="7235825" y="1599853925"/>
          <a:ext cx="878840" cy="1183640"/>
        </a:xfrm>
        <a:prstGeom prst="rect">
          <a:avLst/>
        </a:prstGeom>
      </xdr:spPr>
    </xdr:pic>
    <xdr:clientData/>
  </xdr:twoCellAnchor>
  <xdr:twoCellAnchor>
    <xdr:from>
      <xdr:col>9</xdr:col>
      <xdr:colOff>6350</xdr:colOff>
      <xdr:row>1652</xdr:row>
      <xdr:rowOff>25400</xdr:rowOff>
    </xdr:from>
    <xdr:to>
      <xdr:col>9</xdr:col>
      <xdr:colOff>885190</xdr:colOff>
      <xdr:row>1652</xdr:row>
      <xdr:rowOff>1209040</xdr:rowOff>
    </xdr:to>
    <xdr:pic>
      <xdr:nvPicPr>
        <xdr:cNvPr id="6468" name="Изображение 6467" descr="resizeПП-00275101"/>
        <xdr:cNvPicPr>
          <a:picLocks noChangeAspect="1"/>
        </xdr:cNvPicPr>
      </xdr:nvPicPr>
      <xdr:blipFill>
        <a:blip xmlns:r="http://schemas.openxmlformats.org/officeDocument/2006/relationships" r:embed="rId1225"/>
        <a:stretch>
          <a:fillRect/>
        </a:stretch>
      </xdr:blipFill>
      <xdr:spPr>
        <a:xfrm>
          <a:off x="7235825" y="1601076300"/>
          <a:ext cx="878840" cy="1183640"/>
        </a:xfrm>
        <a:prstGeom prst="rect">
          <a:avLst/>
        </a:prstGeom>
      </xdr:spPr>
    </xdr:pic>
    <xdr:clientData/>
  </xdr:twoCellAnchor>
  <xdr:twoCellAnchor>
    <xdr:from>
      <xdr:col>9</xdr:col>
      <xdr:colOff>6350</xdr:colOff>
      <xdr:row>1653</xdr:row>
      <xdr:rowOff>25400</xdr:rowOff>
    </xdr:from>
    <xdr:to>
      <xdr:col>9</xdr:col>
      <xdr:colOff>885190</xdr:colOff>
      <xdr:row>1653</xdr:row>
      <xdr:rowOff>1209040</xdr:rowOff>
    </xdr:to>
    <xdr:pic>
      <xdr:nvPicPr>
        <xdr:cNvPr id="6469" name="Изображение 6468" descr="resizeПП-00275102"/>
        <xdr:cNvPicPr>
          <a:picLocks noChangeAspect="1"/>
        </xdr:cNvPicPr>
      </xdr:nvPicPr>
      <xdr:blipFill>
        <a:blip xmlns:r="http://schemas.openxmlformats.org/officeDocument/2006/relationships" r:embed="rId1226"/>
        <a:stretch>
          <a:fillRect/>
        </a:stretch>
      </xdr:blipFill>
      <xdr:spPr>
        <a:xfrm>
          <a:off x="7235825" y="1602298675"/>
          <a:ext cx="878840" cy="1183640"/>
        </a:xfrm>
        <a:prstGeom prst="rect">
          <a:avLst/>
        </a:prstGeom>
      </xdr:spPr>
    </xdr:pic>
    <xdr:clientData/>
  </xdr:twoCellAnchor>
  <xdr:twoCellAnchor>
    <xdr:from>
      <xdr:col>9</xdr:col>
      <xdr:colOff>6350</xdr:colOff>
      <xdr:row>1654</xdr:row>
      <xdr:rowOff>25400</xdr:rowOff>
    </xdr:from>
    <xdr:to>
      <xdr:col>9</xdr:col>
      <xdr:colOff>885190</xdr:colOff>
      <xdr:row>1654</xdr:row>
      <xdr:rowOff>1209040</xdr:rowOff>
    </xdr:to>
    <xdr:pic>
      <xdr:nvPicPr>
        <xdr:cNvPr id="6470" name="Изображение 6469" descr="resizeПП-00251915"/>
        <xdr:cNvPicPr>
          <a:picLocks noChangeAspect="1"/>
        </xdr:cNvPicPr>
      </xdr:nvPicPr>
      <xdr:blipFill>
        <a:blip xmlns:r="http://schemas.openxmlformats.org/officeDocument/2006/relationships" r:embed="rId1227"/>
        <a:stretch>
          <a:fillRect/>
        </a:stretch>
      </xdr:blipFill>
      <xdr:spPr>
        <a:xfrm>
          <a:off x="7235825" y="1603521050"/>
          <a:ext cx="878840" cy="1183640"/>
        </a:xfrm>
        <a:prstGeom prst="rect">
          <a:avLst/>
        </a:prstGeom>
      </xdr:spPr>
    </xdr:pic>
    <xdr:clientData/>
  </xdr:twoCellAnchor>
  <xdr:twoCellAnchor>
    <xdr:from>
      <xdr:col>9</xdr:col>
      <xdr:colOff>6350</xdr:colOff>
      <xdr:row>1655</xdr:row>
      <xdr:rowOff>25400</xdr:rowOff>
    </xdr:from>
    <xdr:to>
      <xdr:col>9</xdr:col>
      <xdr:colOff>885190</xdr:colOff>
      <xdr:row>1655</xdr:row>
      <xdr:rowOff>1209040</xdr:rowOff>
    </xdr:to>
    <xdr:pic>
      <xdr:nvPicPr>
        <xdr:cNvPr id="6471" name="Изображение 6470" descr="resizeПП-00251916"/>
        <xdr:cNvPicPr>
          <a:picLocks noChangeAspect="1"/>
        </xdr:cNvPicPr>
      </xdr:nvPicPr>
      <xdr:blipFill>
        <a:blip xmlns:r="http://schemas.openxmlformats.org/officeDocument/2006/relationships" r:embed="rId1228"/>
        <a:stretch>
          <a:fillRect/>
        </a:stretch>
      </xdr:blipFill>
      <xdr:spPr>
        <a:xfrm>
          <a:off x="7235825" y="1604743425"/>
          <a:ext cx="878840" cy="1183640"/>
        </a:xfrm>
        <a:prstGeom prst="rect">
          <a:avLst/>
        </a:prstGeom>
      </xdr:spPr>
    </xdr:pic>
    <xdr:clientData/>
  </xdr:twoCellAnchor>
  <xdr:twoCellAnchor>
    <xdr:from>
      <xdr:col>9</xdr:col>
      <xdr:colOff>6350</xdr:colOff>
      <xdr:row>1656</xdr:row>
      <xdr:rowOff>25400</xdr:rowOff>
    </xdr:from>
    <xdr:to>
      <xdr:col>9</xdr:col>
      <xdr:colOff>885190</xdr:colOff>
      <xdr:row>1656</xdr:row>
      <xdr:rowOff>1209040</xdr:rowOff>
    </xdr:to>
    <xdr:pic>
      <xdr:nvPicPr>
        <xdr:cNvPr id="6472" name="Изображение 6471" descr="resizeПП-00272692"/>
        <xdr:cNvPicPr>
          <a:picLocks noChangeAspect="1"/>
        </xdr:cNvPicPr>
      </xdr:nvPicPr>
      <xdr:blipFill>
        <a:blip xmlns:r="http://schemas.openxmlformats.org/officeDocument/2006/relationships" r:embed="rId1229"/>
        <a:stretch>
          <a:fillRect/>
        </a:stretch>
      </xdr:blipFill>
      <xdr:spPr>
        <a:xfrm>
          <a:off x="7235825" y="1605965800"/>
          <a:ext cx="878840" cy="1183640"/>
        </a:xfrm>
        <a:prstGeom prst="rect">
          <a:avLst/>
        </a:prstGeom>
      </xdr:spPr>
    </xdr:pic>
    <xdr:clientData/>
  </xdr:twoCellAnchor>
  <xdr:twoCellAnchor>
    <xdr:from>
      <xdr:col>9</xdr:col>
      <xdr:colOff>6350</xdr:colOff>
      <xdr:row>1657</xdr:row>
      <xdr:rowOff>25400</xdr:rowOff>
    </xdr:from>
    <xdr:to>
      <xdr:col>9</xdr:col>
      <xdr:colOff>885190</xdr:colOff>
      <xdr:row>1657</xdr:row>
      <xdr:rowOff>1209040</xdr:rowOff>
    </xdr:to>
    <xdr:pic>
      <xdr:nvPicPr>
        <xdr:cNvPr id="6473" name="Изображение 6472" descr="resizeПП-00251917"/>
        <xdr:cNvPicPr>
          <a:picLocks noChangeAspect="1"/>
        </xdr:cNvPicPr>
      </xdr:nvPicPr>
      <xdr:blipFill>
        <a:blip xmlns:r="http://schemas.openxmlformats.org/officeDocument/2006/relationships" r:embed="rId1230"/>
        <a:stretch>
          <a:fillRect/>
        </a:stretch>
      </xdr:blipFill>
      <xdr:spPr>
        <a:xfrm>
          <a:off x="7235825" y="1607188175"/>
          <a:ext cx="878840" cy="1183640"/>
        </a:xfrm>
        <a:prstGeom prst="rect">
          <a:avLst/>
        </a:prstGeom>
      </xdr:spPr>
    </xdr:pic>
    <xdr:clientData/>
  </xdr:twoCellAnchor>
  <xdr:twoCellAnchor>
    <xdr:from>
      <xdr:col>9</xdr:col>
      <xdr:colOff>6350</xdr:colOff>
      <xdr:row>1658</xdr:row>
      <xdr:rowOff>25400</xdr:rowOff>
    </xdr:from>
    <xdr:to>
      <xdr:col>9</xdr:col>
      <xdr:colOff>885190</xdr:colOff>
      <xdr:row>1658</xdr:row>
      <xdr:rowOff>1209040</xdr:rowOff>
    </xdr:to>
    <xdr:pic>
      <xdr:nvPicPr>
        <xdr:cNvPr id="6474" name="Изображение 6473" descr="resizeПП-00251918"/>
        <xdr:cNvPicPr>
          <a:picLocks noChangeAspect="1"/>
        </xdr:cNvPicPr>
      </xdr:nvPicPr>
      <xdr:blipFill>
        <a:blip xmlns:r="http://schemas.openxmlformats.org/officeDocument/2006/relationships" r:embed="rId1231"/>
        <a:stretch>
          <a:fillRect/>
        </a:stretch>
      </xdr:blipFill>
      <xdr:spPr>
        <a:xfrm>
          <a:off x="7235825" y="1608410550"/>
          <a:ext cx="878840" cy="1183640"/>
        </a:xfrm>
        <a:prstGeom prst="rect">
          <a:avLst/>
        </a:prstGeom>
      </xdr:spPr>
    </xdr:pic>
    <xdr:clientData/>
  </xdr:twoCellAnchor>
  <xdr:twoCellAnchor>
    <xdr:from>
      <xdr:col>9</xdr:col>
      <xdr:colOff>6350</xdr:colOff>
      <xdr:row>1659</xdr:row>
      <xdr:rowOff>25400</xdr:rowOff>
    </xdr:from>
    <xdr:to>
      <xdr:col>9</xdr:col>
      <xdr:colOff>885190</xdr:colOff>
      <xdr:row>1659</xdr:row>
      <xdr:rowOff>1209040</xdr:rowOff>
    </xdr:to>
    <xdr:pic>
      <xdr:nvPicPr>
        <xdr:cNvPr id="6475" name="Изображение 6474" descr="resizeПП-00272695"/>
        <xdr:cNvPicPr>
          <a:picLocks noChangeAspect="1"/>
        </xdr:cNvPicPr>
      </xdr:nvPicPr>
      <xdr:blipFill>
        <a:blip xmlns:r="http://schemas.openxmlformats.org/officeDocument/2006/relationships" r:embed="rId1232"/>
        <a:stretch>
          <a:fillRect/>
        </a:stretch>
      </xdr:blipFill>
      <xdr:spPr>
        <a:xfrm>
          <a:off x="7235825" y="1609632925"/>
          <a:ext cx="878840" cy="1183640"/>
        </a:xfrm>
        <a:prstGeom prst="rect">
          <a:avLst/>
        </a:prstGeom>
      </xdr:spPr>
    </xdr:pic>
    <xdr:clientData/>
  </xdr:twoCellAnchor>
  <xdr:twoCellAnchor>
    <xdr:from>
      <xdr:col>9</xdr:col>
      <xdr:colOff>6350</xdr:colOff>
      <xdr:row>1660</xdr:row>
      <xdr:rowOff>25400</xdr:rowOff>
    </xdr:from>
    <xdr:to>
      <xdr:col>9</xdr:col>
      <xdr:colOff>885190</xdr:colOff>
      <xdr:row>1660</xdr:row>
      <xdr:rowOff>1209040</xdr:rowOff>
    </xdr:to>
    <xdr:pic>
      <xdr:nvPicPr>
        <xdr:cNvPr id="6476" name="Изображение 6475" descr="resizeПП-00272700"/>
        <xdr:cNvPicPr>
          <a:picLocks noChangeAspect="1"/>
        </xdr:cNvPicPr>
      </xdr:nvPicPr>
      <xdr:blipFill>
        <a:blip xmlns:r="http://schemas.openxmlformats.org/officeDocument/2006/relationships" r:embed="rId1233"/>
        <a:stretch>
          <a:fillRect/>
        </a:stretch>
      </xdr:blipFill>
      <xdr:spPr>
        <a:xfrm>
          <a:off x="7235825" y="1610855300"/>
          <a:ext cx="878840" cy="1183640"/>
        </a:xfrm>
        <a:prstGeom prst="rect">
          <a:avLst/>
        </a:prstGeom>
      </xdr:spPr>
    </xdr:pic>
    <xdr:clientData/>
  </xdr:twoCellAnchor>
  <xdr:twoCellAnchor>
    <xdr:from>
      <xdr:col>9</xdr:col>
      <xdr:colOff>6350</xdr:colOff>
      <xdr:row>1661</xdr:row>
      <xdr:rowOff>25400</xdr:rowOff>
    </xdr:from>
    <xdr:to>
      <xdr:col>9</xdr:col>
      <xdr:colOff>885190</xdr:colOff>
      <xdr:row>1661</xdr:row>
      <xdr:rowOff>1209040</xdr:rowOff>
    </xdr:to>
    <xdr:pic>
      <xdr:nvPicPr>
        <xdr:cNvPr id="6477" name="Изображение 6476" descr="resizeПП-00275107"/>
        <xdr:cNvPicPr>
          <a:picLocks noChangeAspect="1"/>
        </xdr:cNvPicPr>
      </xdr:nvPicPr>
      <xdr:blipFill>
        <a:blip xmlns:r="http://schemas.openxmlformats.org/officeDocument/2006/relationships" r:embed="rId1234"/>
        <a:stretch>
          <a:fillRect/>
        </a:stretch>
      </xdr:blipFill>
      <xdr:spPr>
        <a:xfrm>
          <a:off x="7235825" y="1612077675"/>
          <a:ext cx="878840" cy="1183640"/>
        </a:xfrm>
        <a:prstGeom prst="rect">
          <a:avLst/>
        </a:prstGeom>
      </xdr:spPr>
    </xdr:pic>
    <xdr:clientData/>
  </xdr:twoCellAnchor>
  <xdr:twoCellAnchor>
    <xdr:from>
      <xdr:col>9</xdr:col>
      <xdr:colOff>6350</xdr:colOff>
      <xdr:row>1662</xdr:row>
      <xdr:rowOff>25400</xdr:rowOff>
    </xdr:from>
    <xdr:to>
      <xdr:col>9</xdr:col>
      <xdr:colOff>885190</xdr:colOff>
      <xdr:row>1662</xdr:row>
      <xdr:rowOff>1209040</xdr:rowOff>
    </xdr:to>
    <xdr:pic>
      <xdr:nvPicPr>
        <xdr:cNvPr id="6478" name="Изображение 6477" descr="resizeПП-00275099"/>
        <xdr:cNvPicPr>
          <a:picLocks noChangeAspect="1"/>
        </xdr:cNvPicPr>
      </xdr:nvPicPr>
      <xdr:blipFill>
        <a:blip xmlns:r="http://schemas.openxmlformats.org/officeDocument/2006/relationships" r:embed="rId1235"/>
        <a:stretch>
          <a:fillRect/>
        </a:stretch>
      </xdr:blipFill>
      <xdr:spPr>
        <a:xfrm>
          <a:off x="7235825" y="1613300050"/>
          <a:ext cx="878840" cy="1183640"/>
        </a:xfrm>
        <a:prstGeom prst="rect">
          <a:avLst/>
        </a:prstGeom>
      </xdr:spPr>
    </xdr:pic>
    <xdr:clientData/>
  </xdr:twoCellAnchor>
  <xdr:twoCellAnchor>
    <xdr:from>
      <xdr:col>9</xdr:col>
      <xdr:colOff>6350</xdr:colOff>
      <xdr:row>1664</xdr:row>
      <xdr:rowOff>25400</xdr:rowOff>
    </xdr:from>
    <xdr:to>
      <xdr:col>9</xdr:col>
      <xdr:colOff>885190</xdr:colOff>
      <xdr:row>1664</xdr:row>
      <xdr:rowOff>1209040</xdr:rowOff>
    </xdr:to>
    <xdr:pic>
      <xdr:nvPicPr>
        <xdr:cNvPr id="6479" name="Изображение 6478" descr="resizeПП-00249081"/>
        <xdr:cNvPicPr>
          <a:picLocks noChangeAspect="1"/>
        </xdr:cNvPicPr>
      </xdr:nvPicPr>
      <xdr:blipFill>
        <a:blip xmlns:r="http://schemas.openxmlformats.org/officeDocument/2006/relationships" r:embed="rId1236"/>
        <a:stretch>
          <a:fillRect/>
        </a:stretch>
      </xdr:blipFill>
      <xdr:spPr>
        <a:xfrm>
          <a:off x="7235825" y="1614674825"/>
          <a:ext cx="878840" cy="1183640"/>
        </a:xfrm>
        <a:prstGeom prst="rect">
          <a:avLst/>
        </a:prstGeom>
      </xdr:spPr>
    </xdr:pic>
    <xdr:clientData/>
  </xdr:twoCellAnchor>
  <xdr:twoCellAnchor>
    <xdr:from>
      <xdr:col>9</xdr:col>
      <xdr:colOff>6350</xdr:colOff>
      <xdr:row>1665</xdr:row>
      <xdr:rowOff>25400</xdr:rowOff>
    </xdr:from>
    <xdr:to>
      <xdr:col>9</xdr:col>
      <xdr:colOff>885190</xdr:colOff>
      <xdr:row>1665</xdr:row>
      <xdr:rowOff>1209040</xdr:rowOff>
    </xdr:to>
    <xdr:pic>
      <xdr:nvPicPr>
        <xdr:cNvPr id="6480" name="Изображение 6479" descr="resizeПП-00233809"/>
        <xdr:cNvPicPr>
          <a:picLocks noChangeAspect="1"/>
        </xdr:cNvPicPr>
      </xdr:nvPicPr>
      <xdr:blipFill>
        <a:blip xmlns:r="http://schemas.openxmlformats.org/officeDocument/2006/relationships" r:embed="rId1237"/>
        <a:stretch>
          <a:fillRect/>
        </a:stretch>
      </xdr:blipFill>
      <xdr:spPr>
        <a:xfrm>
          <a:off x="7235825" y="1615897200"/>
          <a:ext cx="878840" cy="1183640"/>
        </a:xfrm>
        <a:prstGeom prst="rect">
          <a:avLst/>
        </a:prstGeom>
      </xdr:spPr>
    </xdr:pic>
    <xdr:clientData/>
  </xdr:twoCellAnchor>
  <xdr:twoCellAnchor>
    <xdr:from>
      <xdr:col>9</xdr:col>
      <xdr:colOff>6350</xdr:colOff>
      <xdr:row>1666</xdr:row>
      <xdr:rowOff>25400</xdr:rowOff>
    </xdr:from>
    <xdr:to>
      <xdr:col>9</xdr:col>
      <xdr:colOff>885190</xdr:colOff>
      <xdr:row>1666</xdr:row>
      <xdr:rowOff>1209040</xdr:rowOff>
    </xdr:to>
    <xdr:pic>
      <xdr:nvPicPr>
        <xdr:cNvPr id="6481" name="Изображение 6480" descr="resizeПП-00233813"/>
        <xdr:cNvPicPr>
          <a:picLocks noChangeAspect="1"/>
        </xdr:cNvPicPr>
      </xdr:nvPicPr>
      <xdr:blipFill>
        <a:blip xmlns:r="http://schemas.openxmlformats.org/officeDocument/2006/relationships" r:embed="rId1238"/>
        <a:stretch>
          <a:fillRect/>
        </a:stretch>
      </xdr:blipFill>
      <xdr:spPr>
        <a:xfrm>
          <a:off x="7235825" y="1617119575"/>
          <a:ext cx="878840" cy="1183640"/>
        </a:xfrm>
        <a:prstGeom prst="rect">
          <a:avLst/>
        </a:prstGeom>
      </xdr:spPr>
    </xdr:pic>
    <xdr:clientData/>
  </xdr:twoCellAnchor>
  <xdr:twoCellAnchor>
    <xdr:from>
      <xdr:col>9</xdr:col>
      <xdr:colOff>6350</xdr:colOff>
      <xdr:row>1667</xdr:row>
      <xdr:rowOff>25400</xdr:rowOff>
    </xdr:from>
    <xdr:to>
      <xdr:col>9</xdr:col>
      <xdr:colOff>885190</xdr:colOff>
      <xdr:row>1667</xdr:row>
      <xdr:rowOff>1209040</xdr:rowOff>
    </xdr:to>
    <xdr:pic>
      <xdr:nvPicPr>
        <xdr:cNvPr id="6482" name="Изображение 6481" descr="resizeПП-00233801"/>
        <xdr:cNvPicPr>
          <a:picLocks noChangeAspect="1"/>
        </xdr:cNvPicPr>
      </xdr:nvPicPr>
      <xdr:blipFill>
        <a:blip xmlns:r="http://schemas.openxmlformats.org/officeDocument/2006/relationships" r:embed="rId1239"/>
        <a:stretch>
          <a:fillRect/>
        </a:stretch>
      </xdr:blipFill>
      <xdr:spPr>
        <a:xfrm>
          <a:off x="7235825" y="1618341950"/>
          <a:ext cx="878840" cy="1183640"/>
        </a:xfrm>
        <a:prstGeom prst="rect">
          <a:avLst/>
        </a:prstGeom>
      </xdr:spPr>
    </xdr:pic>
    <xdr:clientData/>
  </xdr:twoCellAnchor>
  <xdr:twoCellAnchor>
    <xdr:from>
      <xdr:col>9</xdr:col>
      <xdr:colOff>6350</xdr:colOff>
      <xdr:row>1668</xdr:row>
      <xdr:rowOff>25400</xdr:rowOff>
    </xdr:from>
    <xdr:to>
      <xdr:col>9</xdr:col>
      <xdr:colOff>885190</xdr:colOff>
      <xdr:row>1668</xdr:row>
      <xdr:rowOff>1209040</xdr:rowOff>
    </xdr:to>
    <xdr:pic>
      <xdr:nvPicPr>
        <xdr:cNvPr id="6483" name="Изображение 6482" descr="resizeПП-00233795"/>
        <xdr:cNvPicPr>
          <a:picLocks noChangeAspect="1"/>
        </xdr:cNvPicPr>
      </xdr:nvPicPr>
      <xdr:blipFill>
        <a:blip xmlns:r="http://schemas.openxmlformats.org/officeDocument/2006/relationships" r:embed="rId1240"/>
        <a:stretch>
          <a:fillRect/>
        </a:stretch>
      </xdr:blipFill>
      <xdr:spPr>
        <a:xfrm>
          <a:off x="7235825" y="1619564325"/>
          <a:ext cx="878840" cy="1183640"/>
        </a:xfrm>
        <a:prstGeom prst="rect">
          <a:avLst/>
        </a:prstGeom>
      </xdr:spPr>
    </xdr:pic>
    <xdr:clientData/>
  </xdr:twoCellAnchor>
  <xdr:twoCellAnchor>
    <xdr:from>
      <xdr:col>9</xdr:col>
      <xdr:colOff>6350</xdr:colOff>
      <xdr:row>1669</xdr:row>
      <xdr:rowOff>25400</xdr:rowOff>
    </xdr:from>
    <xdr:to>
      <xdr:col>9</xdr:col>
      <xdr:colOff>885190</xdr:colOff>
      <xdr:row>1669</xdr:row>
      <xdr:rowOff>1209040</xdr:rowOff>
    </xdr:to>
    <xdr:pic>
      <xdr:nvPicPr>
        <xdr:cNvPr id="6484" name="Изображение 6483" descr="resizeПП-00233849"/>
        <xdr:cNvPicPr>
          <a:picLocks noChangeAspect="1"/>
        </xdr:cNvPicPr>
      </xdr:nvPicPr>
      <xdr:blipFill>
        <a:blip xmlns:r="http://schemas.openxmlformats.org/officeDocument/2006/relationships" r:embed="rId1241"/>
        <a:stretch>
          <a:fillRect/>
        </a:stretch>
      </xdr:blipFill>
      <xdr:spPr>
        <a:xfrm>
          <a:off x="7235825" y="1620786700"/>
          <a:ext cx="878840" cy="1183640"/>
        </a:xfrm>
        <a:prstGeom prst="rect">
          <a:avLst/>
        </a:prstGeom>
      </xdr:spPr>
    </xdr:pic>
    <xdr:clientData/>
  </xdr:twoCellAnchor>
  <xdr:twoCellAnchor>
    <xdr:from>
      <xdr:col>9</xdr:col>
      <xdr:colOff>6350</xdr:colOff>
      <xdr:row>1670</xdr:row>
      <xdr:rowOff>25400</xdr:rowOff>
    </xdr:from>
    <xdr:to>
      <xdr:col>9</xdr:col>
      <xdr:colOff>885190</xdr:colOff>
      <xdr:row>1670</xdr:row>
      <xdr:rowOff>1209040</xdr:rowOff>
    </xdr:to>
    <xdr:pic>
      <xdr:nvPicPr>
        <xdr:cNvPr id="6485" name="Изображение 6484" descr="resizeПП-00233831"/>
        <xdr:cNvPicPr>
          <a:picLocks noChangeAspect="1"/>
        </xdr:cNvPicPr>
      </xdr:nvPicPr>
      <xdr:blipFill>
        <a:blip xmlns:r="http://schemas.openxmlformats.org/officeDocument/2006/relationships" r:embed="rId1242"/>
        <a:stretch>
          <a:fillRect/>
        </a:stretch>
      </xdr:blipFill>
      <xdr:spPr>
        <a:xfrm>
          <a:off x="7235825" y="1622009075"/>
          <a:ext cx="878840" cy="1183640"/>
        </a:xfrm>
        <a:prstGeom prst="rect">
          <a:avLst/>
        </a:prstGeom>
      </xdr:spPr>
    </xdr:pic>
    <xdr:clientData/>
  </xdr:twoCellAnchor>
  <xdr:twoCellAnchor>
    <xdr:from>
      <xdr:col>9</xdr:col>
      <xdr:colOff>6350</xdr:colOff>
      <xdr:row>1671</xdr:row>
      <xdr:rowOff>25400</xdr:rowOff>
    </xdr:from>
    <xdr:to>
      <xdr:col>9</xdr:col>
      <xdr:colOff>885190</xdr:colOff>
      <xdr:row>1671</xdr:row>
      <xdr:rowOff>1209040</xdr:rowOff>
    </xdr:to>
    <xdr:pic>
      <xdr:nvPicPr>
        <xdr:cNvPr id="6486" name="Изображение 6485" descr="resizeПП-00233830"/>
        <xdr:cNvPicPr>
          <a:picLocks noChangeAspect="1"/>
        </xdr:cNvPicPr>
      </xdr:nvPicPr>
      <xdr:blipFill>
        <a:blip xmlns:r="http://schemas.openxmlformats.org/officeDocument/2006/relationships" r:embed="rId1243"/>
        <a:stretch>
          <a:fillRect/>
        </a:stretch>
      </xdr:blipFill>
      <xdr:spPr>
        <a:xfrm>
          <a:off x="7235825" y="1623231450"/>
          <a:ext cx="878840" cy="1183640"/>
        </a:xfrm>
        <a:prstGeom prst="rect">
          <a:avLst/>
        </a:prstGeom>
      </xdr:spPr>
    </xdr:pic>
    <xdr:clientData/>
  </xdr:twoCellAnchor>
  <xdr:twoCellAnchor>
    <xdr:from>
      <xdr:col>9</xdr:col>
      <xdr:colOff>6350</xdr:colOff>
      <xdr:row>1672</xdr:row>
      <xdr:rowOff>25400</xdr:rowOff>
    </xdr:from>
    <xdr:to>
      <xdr:col>9</xdr:col>
      <xdr:colOff>885190</xdr:colOff>
      <xdr:row>1672</xdr:row>
      <xdr:rowOff>1209040</xdr:rowOff>
    </xdr:to>
    <xdr:pic>
      <xdr:nvPicPr>
        <xdr:cNvPr id="6487" name="Изображение 6486" descr="resizeПП-00233832"/>
        <xdr:cNvPicPr>
          <a:picLocks noChangeAspect="1"/>
        </xdr:cNvPicPr>
      </xdr:nvPicPr>
      <xdr:blipFill>
        <a:blip xmlns:r="http://schemas.openxmlformats.org/officeDocument/2006/relationships" r:embed="rId1244"/>
        <a:stretch>
          <a:fillRect/>
        </a:stretch>
      </xdr:blipFill>
      <xdr:spPr>
        <a:xfrm>
          <a:off x="7235825" y="1624453825"/>
          <a:ext cx="878840" cy="1183640"/>
        </a:xfrm>
        <a:prstGeom prst="rect">
          <a:avLst/>
        </a:prstGeom>
      </xdr:spPr>
    </xdr:pic>
    <xdr:clientData/>
  </xdr:twoCellAnchor>
  <xdr:twoCellAnchor>
    <xdr:from>
      <xdr:col>9</xdr:col>
      <xdr:colOff>6350</xdr:colOff>
      <xdr:row>1673</xdr:row>
      <xdr:rowOff>25400</xdr:rowOff>
    </xdr:from>
    <xdr:to>
      <xdr:col>9</xdr:col>
      <xdr:colOff>885190</xdr:colOff>
      <xdr:row>1673</xdr:row>
      <xdr:rowOff>1209040</xdr:rowOff>
    </xdr:to>
    <xdr:pic>
      <xdr:nvPicPr>
        <xdr:cNvPr id="6488" name="Изображение 6487" descr="resizeПП-00247780"/>
        <xdr:cNvPicPr>
          <a:picLocks noChangeAspect="1"/>
        </xdr:cNvPicPr>
      </xdr:nvPicPr>
      <xdr:blipFill>
        <a:blip xmlns:r="http://schemas.openxmlformats.org/officeDocument/2006/relationships" r:embed="rId1245"/>
        <a:stretch>
          <a:fillRect/>
        </a:stretch>
      </xdr:blipFill>
      <xdr:spPr>
        <a:xfrm>
          <a:off x="7235825" y="1625676200"/>
          <a:ext cx="878840" cy="1183640"/>
        </a:xfrm>
        <a:prstGeom prst="rect">
          <a:avLst/>
        </a:prstGeom>
      </xdr:spPr>
    </xdr:pic>
    <xdr:clientData/>
  </xdr:twoCellAnchor>
  <xdr:twoCellAnchor>
    <xdr:from>
      <xdr:col>9</xdr:col>
      <xdr:colOff>6350</xdr:colOff>
      <xdr:row>1674</xdr:row>
      <xdr:rowOff>25400</xdr:rowOff>
    </xdr:from>
    <xdr:to>
      <xdr:col>9</xdr:col>
      <xdr:colOff>885190</xdr:colOff>
      <xdr:row>1674</xdr:row>
      <xdr:rowOff>1209040</xdr:rowOff>
    </xdr:to>
    <xdr:pic>
      <xdr:nvPicPr>
        <xdr:cNvPr id="6489" name="Изображение 6488" descr="resizeПП-00247769"/>
        <xdr:cNvPicPr>
          <a:picLocks noChangeAspect="1"/>
        </xdr:cNvPicPr>
      </xdr:nvPicPr>
      <xdr:blipFill>
        <a:blip xmlns:r="http://schemas.openxmlformats.org/officeDocument/2006/relationships" r:embed="rId1246"/>
        <a:stretch>
          <a:fillRect/>
        </a:stretch>
      </xdr:blipFill>
      <xdr:spPr>
        <a:xfrm>
          <a:off x="7235825" y="1626898575"/>
          <a:ext cx="878840" cy="1183640"/>
        </a:xfrm>
        <a:prstGeom prst="rect">
          <a:avLst/>
        </a:prstGeom>
      </xdr:spPr>
    </xdr:pic>
    <xdr:clientData/>
  </xdr:twoCellAnchor>
  <xdr:twoCellAnchor>
    <xdr:from>
      <xdr:col>9</xdr:col>
      <xdr:colOff>6350</xdr:colOff>
      <xdr:row>1675</xdr:row>
      <xdr:rowOff>25400</xdr:rowOff>
    </xdr:from>
    <xdr:to>
      <xdr:col>9</xdr:col>
      <xdr:colOff>885190</xdr:colOff>
      <xdr:row>1675</xdr:row>
      <xdr:rowOff>1209040</xdr:rowOff>
    </xdr:to>
    <xdr:pic>
      <xdr:nvPicPr>
        <xdr:cNvPr id="6490" name="Изображение 6489" descr="resizeПП-00247782"/>
        <xdr:cNvPicPr>
          <a:picLocks noChangeAspect="1"/>
        </xdr:cNvPicPr>
      </xdr:nvPicPr>
      <xdr:blipFill>
        <a:blip xmlns:r="http://schemas.openxmlformats.org/officeDocument/2006/relationships" r:embed="rId1247"/>
        <a:stretch>
          <a:fillRect/>
        </a:stretch>
      </xdr:blipFill>
      <xdr:spPr>
        <a:xfrm>
          <a:off x="7235825" y="1628120950"/>
          <a:ext cx="878840" cy="1183640"/>
        </a:xfrm>
        <a:prstGeom prst="rect">
          <a:avLst/>
        </a:prstGeom>
      </xdr:spPr>
    </xdr:pic>
    <xdr:clientData/>
  </xdr:twoCellAnchor>
  <xdr:twoCellAnchor>
    <xdr:from>
      <xdr:col>9</xdr:col>
      <xdr:colOff>6350</xdr:colOff>
      <xdr:row>1676</xdr:row>
      <xdr:rowOff>25400</xdr:rowOff>
    </xdr:from>
    <xdr:to>
      <xdr:col>9</xdr:col>
      <xdr:colOff>885190</xdr:colOff>
      <xdr:row>1676</xdr:row>
      <xdr:rowOff>1209040</xdr:rowOff>
    </xdr:to>
    <xdr:pic>
      <xdr:nvPicPr>
        <xdr:cNvPr id="6491" name="Изображение 6490" descr="resizeПП-00247783"/>
        <xdr:cNvPicPr>
          <a:picLocks noChangeAspect="1"/>
        </xdr:cNvPicPr>
      </xdr:nvPicPr>
      <xdr:blipFill>
        <a:blip xmlns:r="http://schemas.openxmlformats.org/officeDocument/2006/relationships" r:embed="rId1248"/>
        <a:stretch>
          <a:fillRect/>
        </a:stretch>
      </xdr:blipFill>
      <xdr:spPr>
        <a:xfrm>
          <a:off x="7235825" y="1629343325"/>
          <a:ext cx="878840" cy="1183640"/>
        </a:xfrm>
        <a:prstGeom prst="rect">
          <a:avLst/>
        </a:prstGeom>
      </xdr:spPr>
    </xdr:pic>
    <xdr:clientData/>
  </xdr:twoCellAnchor>
  <xdr:twoCellAnchor>
    <xdr:from>
      <xdr:col>9</xdr:col>
      <xdr:colOff>6350</xdr:colOff>
      <xdr:row>1677</xdr:row>
      <xdr:rowOff>25400</xdr:rowOff>
    </xdr:from>
    <xdr:to>
      <xdr:col>9</xdr:col>
      <xdr:colOff>885190</xdr:colOff>
      <xdr:row>1677</xdr:row>
      <xdr:rowOff>1209040</xdr:rowOff>
    </xdr:to>
    <xdr:pic>
      <xdr:nvPicPr>
        <xdr:cNvPr id="6492" name="Изображение 6491" descr="resizeПП-00249084"/>
        <xdr:cNvPicPr>
          <a:picLocks noChangeAspect="1"/>
        </xdr:cNvPicPr>
      </xdr:nvPicPr>
      <xdr:blipFill>
        <a:blip xmlns:r="http://schemas.openxmlformats.org/officeDocument/2006/relationships" r:embed="rId1249"/>
        <a:stretch>
          <a:fillRect/>
        </a:stretch>
      </xdr:blipFill>
      <xdr:spPr>
        <a:xfrm>
          <a:off x="7235825" y="1630565700"/>
          <a:ext cx="878840" cy="1183640"/>
        </a:xfrm>
        <a:prstGeom prst="rect">
          <a:avLst/>
        </a:prstGeom>
      </xdr:spPr>
    </xdr:pic>
    <xdr:clientData/>
  </xdr:twoCellAnchor>
  <xdr:twoCellAnchor>
    <xdr:from>
      <xdr:col>9</xdr:col>
      <xdr:colOff>6350</xdr:colOff>
      <xdr:row>1678</xdr:row>
      <xdr:rowOff>25400</xdr:rowOff>
    </xdr:from>
    <xdr:to>
      <xdr:col>9</xdr:col>
      <xdr:colOff>885190</xdr:colOff>
      <xdr:row>1678</xdr:row>
      <xdr:rowOff>1209040</xdr:rowOff>
    </xdr:to>
    <xdr:pic>
      <xdr:nvPicPr>
        <xdr:cNvPr id="6493" name="Изображение 6492" descr="resizeПП-00247762"/>
        <xdr:cNvPicPr>
          <a:picLocks noChangeAspect="1"/>
        </xdr:cNvPicPr>
      </xdr:nvPicPr>
      <xdr:blipFill>
        <a:blip xmlns:r="http://schemas.openxmlformats.org/officeDocument/2006/relationships" r:embed="rId1250"/>
        <a:stretch>
          <a:fillRect/>
        </a:stretch>
      </xdr:blipFill>
      <xdr:spPr>
        <a:xfrm>
          <a:off x="7235825" y="1631788075"/>
          <a:ext cx="878840" cy="1183640"/>
        </a:xfrm>
        <a:prstGeom prst="rect">
          <a:avLst/>
        </a:prstGeom>
      </xdr:spPr>
    </xdr:pic>
    <xdr:clientData/>
  </xdr:twoCellAnchor>
  <xdr:twoCellAnchor>
    <xdr:from>
      <xdr:col>9</xdr:col>
      <xdr:colOff>6350</xdr:colOff>
      <xdr:row>1679</xdr:row>
      <xdr:rowOff>25400</xdr:rowOff>
    </xdr:from>
    <xdr:to>
      <xdr:col>9</xdr:col>
      <xdr:colOff>885190</xdr:colOff>
      <xdr:row>1679</xdr:row>
      <xdr:rowOff>1209040</xdr:rowOff>
    </xdr:to>
    <xdr:pic>
      <xdr:nvPicPr>
        <xdr:cNvPr id="6494" name="Изображение 6493" descr="resizeПП-00247763"/>
        <xdr:cNvPicPr>
          <a:picLocks noChangeAspect="1"/>
        </xdr:cNvPicPr>
      </xdr:nvPicPr>
      <xdr:blipFill>
        <a:blip xmlns:r="http://schemas.openxmlformats.org/officeDocument/2006/relationships" r:embed="rId1251"/>
        <a:stretch>
          <a:fillRect/>
        </a:stretch>
      </xdr:blipFill>
      <xdr:spPr>
        <a:xfrm>
          <a:off x="7235825" y="1633010450"/>
          <a:ext cx="878840" cy="1183640"/>
        </a:xfrm>
        <a:prstGeom prst="rect">
          <a:avLst/>
        </a:prstGeom>
      </xdr:spPr>
    </xdr:pic>
    <xdr:clientData/>
  </xdr:twoCellAnchor>
  <xdr:twoCellAnchor>
    <xdr:from>
      <xdr:col>9</xdr:col>
      <xdr:colOff>6350</xdr:colOff>
      <xdr:row>1682</xdr:row>
      <xdr:rowOff>25400</xdr:rowOff>
    </xdr:from>
    <xdr:to>
      <xdr:col>9</xdr:col>
      <xdr:colOff>885190</xdr:colOff>
      <xdr:row>1682</xdr:row>
      <xdr:rowOff>1209040</xdr:rowOff>
    </xdr:to>
    <xdr:pic>
      <xdr:nvPicPr>
        <xdr:cNvPr id="6495" name="Изображение 6494" descr="resizeПП-00233480"/>
        <xdr:cNvPicPr>
          <a:picLocks noChangeAspect="1"/>
        </xdr:cNvPicPr>
      </xdr:nvPicPr>
      <xdr:blipFill>
        <a:blip xmlns:r="http://schemas.openxmlformats.org/officeDocument/2006/relationships" r:embed="rId1252"/>
        <a:stretch>
          <a:fillRect/>
        </a:stretch>
      </xdr:blipFill>
      <xdr:spPr>
        <a:xfrm>
          <a:off x="7235825" y="1634537625"/>
          <a:ext cx="878840" cy="1183640"/>
        </a:xfrm>
        <a:prstGeom prst="rect">
          <a:avLst/>
        </a:prstGeom>
      </xdr:spPr>
    </xdr:pic>
    <xdr:clientData/>
  </xdr:twoCellAnchor>
  <xdr:twoCellAnchor>
    <xdr:from>
      <xdr:col>9</xdr:col>
      <xdr:colOff>6350</xdr:colOff>
      <xdr:row>1686</xdr:row>
      <xdr:rowOff>25400</xdr:rowOff>
    </xdr:from>
    <xdr:to>
      <xdr:col>9</xdr:col>
      <xdr:colOff>885190</xdr:colOff>
      <xdr:row>1686</xdr:row>
      <xdr:rowOff>1209040</xdr:rowOff>
    </xdr:to>
    <xdr:pic>
      <xdr:nvPicPr>
        <xdr:cNvPr id="6496" name="Изображение 6495" descr="resizeПП-00271587"/>
        <xdr:cNvPicPr>
          <a:picLocks noChangeAspect="1"/>
        </xdr:cNvPicPr>
      </xdr:nvPicPr>
      <xdr:blipFill>
        <a:blip xmlns:r="http://schemas.openxmlformats.org/officeDocument/2006/relationships" r:embed="rId1253"/>
        <a:stretch>
          <a:fillRect/>
        </a:stretch>
      </xdr:blipFill>
      <xdr:spPr>
        <a:xfrm>
          <a:off x="7235825" y="1636217200"/>
          <a:ext cx="878840" cy="1183640"/>
        </a:xfrm>
        <a:prstGeom prst="rect">
          <a:avLst/>
        </a:prstGeom>
      </xdr:spPr>
    </xdr:pic>
    <xdr:clientData/>
  </xdr:twoCellAnchor>
  <xdr:twoCellAnchor>
    <xdr:from>
      <xdr:col>9</xdr:col>
      <xdr:colOff>6350</xdr:colOff>
      <xdr:row>1687</xdr:row>
      <xdr:rowOff>25400</xdr:rowOff>
    </xdr:from>
    <xdr:to>
      <xdr:col>9</xdr:col>
      <xdr:colOff>885190</xdr:colOff>
      <xdr:row>1687</xdr:row>
      <xdr:rowOff>1209040</xdr:rowOff>
    </xdr:to>
    <xdr:pic>
      <xdr:nvPicPr>
        <xdr:cNvPr id="6497" name="Изображение 6496" descr="resizeПП-00228063"/>
        <xdr:cNvPicPr>
          <a:picLocks noChangeAspect="1"/>
        </xdr:cNvPicPr>
      </xdr:nvPicPr>
      <xdr:blipFill>
        <a:blip xmlns:r="http://schemas.openxmlformats.org/officeDocument/2006/relationships" r:embed="rId1254"/>
        <a:stretch>
          <a:fillRect/>
        </a:stretch>
      </xdr:blipFill>
      <xdr:spPr>
        <a:xfrm>
          <a:off x="7235825" y="1637439575"/>
          <a:ext cx="878840" cy="1183640"/>
        </a:xfrm>
        <a:prstGeom prst="rect">
          <a:avLst/>
        </a:prstGeom>
      </xdr:spPr>
    </xdr:pic>
    <xdr:clientData/>
  </xdr:twoCellAnchor>
  <xdr:twoCellAnchor>
    <xdr:from>
      <xdr:col>9</xdr:col>
      <xdr:colOff>6350</xdr:colOff>
      <xdr:row>1688</xdr:row>
      <xdr:rowOff>25400</xdr:rowOff>
    </xdr:from>
    <xdr:to>
      <xdr:col>9</xdr:col>
      <xdr:colOff>885190</xdr:colOff>
      <xdr:row>1688</xdr:row>
      <xdr:rowOff>1209040</xdr:rowOff>
    </xdr:to>
    <xdr:pic>
      <xdr:nvPicPr>
        <xdr:cNvPr id="6498" name="Изображение 6497" descr="resizeПП-00271590"/>
        <xdr:cNvPicPr>
          <a:picLocks noChangeAspect="1"/>
        </xdr:cNvPicPr>
      </xdr:nvPicPr>
      <xdr:blipFill>
        <a:blip xmlns:r="http://schemas.openxmlformats.org/officeDocument/2006/relationships" r:embed="rId1255"/>
        <a:stretch>
          <a:fillRect/>
        </a:stretch>
      </xdr:blipFill>
      <xdr:spPr>
        <a:xfrm>
          <a:off x="7235825" y="1638661950"/>
          <a:ext cx="878840" cy="1183640"/>
        </a:xfrm>
        <a:prstGeom prst="rect">
          <a:avLst/>
        </a:prstGeom>
      </xdr:spPr>
    </xdr:pic>
    <xdr:clientData/>
  </xdr:twoCellAnchor>
  <xdr:twoCellAnchor>
    <xdr:from>
      <xdr:col>9</xdr:col>
      <xdr:colOff>6350</xdr:colOff>
      <xdr:row>1689</xdr:row>
      <xdr:rowOff>25400</xdr:rowOff>
    </xdr:from>
    <xdr:to>
      <xdr:col>9</xdr:col>
      <xdr:colOff>885190</xdr:colOff>
      <xdr:row>1689</xdr:row>
      <xdr:rowOff>1209040</xdr:rowOff>
    </xdr:to>
    <xdr:pic>
      <xdr:nvPicPr>
        <xdr:cNvPr id="6499" name="Изображение 6498" descr="resizeПП-00228064"/>
        <xdr:cNvPicPr>
          <a:picLocks noChangeAspect="1"/>
        </xdr:cNvPicPr>
      </xdr:nvPicPr>
      <xdr:blipFill>
        <a:blip xmlns:r="http://schemas.openxmlformats.org/officeDocument/2006/relationships" r:embed="rId1256"/>
        <a:stretch>
          <a:fillRect/>
        </a:stretch>
      </xdr:blipFill>
      <xdr:spPr>
        <a:xfrm>
          <a:off x="7235825" y="1639884325"/>
          <a:ext cx="878840" cy="1183640"/>
        </a:xfrm>
        <a:prstGeom prst="rect">
          <a:avLst/>
        </a:prstGeom>
      </xdr:spPr>
    </xdr:pic>
    <xdr:clientData/>
  </xdr:twoCellAnchor>
  <xdr:twoCellAnchor>
    <xdr:from>
      <xdr:col>9</xdr:col>
      <xdr:colOff>6350</xdr:colOff>
      <xdr:row>1690</xdr:row>
      <xdr:rowOff>25400</xdr:rowOff>
    </xdr:from>
    <xdr:to>
      <xdr:col>9</xdr:col>
      <xdr:colOff>885190</xdr:colOff>
      <xdr:row>1690</xdr:row>
      <xdr:rowOff>1209040</xdr:rowOff>
    </xdr:to>
    <xdr:pic>
      <xdr:nvPicPr>
        <xdr:cNvPr id="6500" name="Изображение 6499" descr="resizeПП-00271589"/>
        <xdr:cNvPicPr>
          <a:picLocks noChangeAspect="1"/>
        </xdr:cNvPicPr>
      </xdr:nvPicPr>
      <xdr:blipFill>
        <a:blip xmlns:r="http://schemas.openxmlformats.org/officeDocument/2006/relationships" r:embed="rId1257"/>
        <a:stretch>
          <a:fillRect/>
        </a:stretch>
      </xdr:blipFill>
      <xdr:spPr>
        <a:xfrm>
          <a:off x="7235825" y="1641106700"/>
          <a:ext cx="878840" cy="1183640"/>
        </a:xfrm>
        <a:prstGeom prst="rect">
          <a:avLst/>
        </a:prstGeom>
      </xdr:spPr>
    </xdr:pic>
    <xdr:clientData/>
  </xdr:twoCellAnchor>
  <xdr:twoCellAnchor>
    <xdr:from>
      <xdr:col>9</xdr:col>
      <xdr:colOff>6350</xdr:colOff>
      <xdr:row>1691</xdr:row>
      <xdr:rowOff>25400</xdr:rowOff>
    </xdr:from>
    <xdr:to>
      <xdr:col>9</xdr:col>
      <xdr:colOff>885190</xdr:colOff>
      <xdr:row>1691</xdr:row>
      <xdr:rowOff>1209040</xdr:rowOff>
    </xdr:to>
    <xdr:pic>
      <xdr:nvPicPr>
        <xdr:cNvPr id="6501" name="Изображение 6500" descr="resizeПП-00228062"/>
        <xdr:cNvPicPr>
          <a:picLocks noChangeAspect="1"/>
        </xdr:cNvPicPr>
      </xdr:nvPicPr>
      <xdr:blipFill>
        <a:blip xmlns:r="http://schemas.openxmlformats.org/officeDocument/2006/relationships" r:embed="rId1258"/>
        <a:stretch>
          <a:fillRect/>
        </a:stretch>
      </xdr:blipFill>
      <xdr:spPr>
        <a:xfrm>
          <a:off x="7235825" y="1642329075"/>
          <a:ext cx="878840" cy="1183640"/>
        </a:xfrm>
        <a:prstGeom prst="rect">
          <a:avLst/>
        </a:prstGeom>
      </xdr:spPr>
    </xdr:pic>
    <xdr:clientData/>
  </xdr:twoCellAnchor>
  <xdr:twoCellAnchor>
    <xdr:from>
      <xdr:col>9</xdr:col>
      <xdr:colOff>6350</xdr:colOff>
      <xdr:row>1692</xdr:row>
      <xdr:rowOff>25400</xdr:rowOff>
    </xdr:from>
    <xdr:to>
      <xdr:col>9</xdr:col>
      <xdr:colOff>885190</xdr:colOff>
      <xdr:row>1692</xdr:row>
      <xdr:rowOff>1209040</xdr:rowOff>
    </xdr:to>
    <xdr:pic>
      <xdr:nvPicPr>
        <xdr:cNvPr id="6502" name="Изображение 6501" descr="resizeПП-00228065"/>
        <xdr:cNvPicPr>
          <a:picLocks noChangeAspect="1"/>
        </xdr:cNvPicPr>
      </xdr:nvPicPr>
      <xdr:blipFill>
        <a:blip xmlns:r="http://schemas.openxmlformats.org/officeDocument/2006/relationships" r:embed="rId1259"/>
        <a:stretch>
          <a:fillRect/>
        </a:stretch>
      </xdr:blipFill>
      <xdr:spPr>
        <a:xfrm>
          <a:off x="7235825" y="1643551450"/>
          <a:ext cx="878840" cy="1183640"/>
        </a:xfrm>
        <a:prstGeom prst="rect">
          <a:avLst/>
        </a:prstGeom>
      </xdr:spPr>
    </xdr:pic>
    <xdr:clientData/>
  </xdr:twoCellAnchor>
  <xdr:twoCellAnchor>
    <xdr:from>
      <xdr:col>9</xdr:col>
      <xdr:colOff>6350</xdr:colOff>
      <xdr:row>1693</xdr:row>
      <xdr:rowOff>25400</xdr:rowOff>
    </xdr:from>
    <xdr:to>
      <xdr:col>9</xdr:col>
      <xdr:colOff>885190</xdr:colOff>
      <xdr:row>1693</xdr:row>
      <xdr:rowOff>1209040</xdr:rowOff>
    </xdr:to>
    <xdr:pic>
      <xdr:nvPicPr>
        <xdr:cNvPr id="6503" name="Изображение 6502" descr="resizeПП-00271588"/>
        <xdr:cNvPicPr>
          <a:picLocks noChangeAspect="1"/>
        </xdr:cNvPicPr>
      </xdr:nvPicPr>
      <xdr:blipFill>
        <a:blip xmlns:r="http://schemas.openxmlformats.org/officeDocument/2006/relationships" r:embed="rId1260"/>
        <a:stretch>
          <a:fillRect/>
        </a:stretch>
      </xdr:blipFill>
      <xdr:spPr>
        <a:xfrm>
          <a:off x="7235825" y="1644773825"/>
          <a:ext cx="878840" cy="1183640"/>
        </a:xfrm>
        <a:prstGeom prst="rect">
          <a:avLst/>
        </a:prstGeom>
      </xdr:spPr>
    </xdr:pic>
    <xdr:clientData/>
  </xdr:twoCellAnchor>
  <xdr:twoCellAnchor>
    <xdr:from>
      <xdr:col>9</xdr:col>
      <xdr:colOff>6350</xdr:colOff>
      <xdr:row>1694</xdr:row>
      <xdr:rowOff>25400</xdr:rowOff>
    </xdr:from>
    <xdr:to>
      <xdr:col>9</xdr:col>
      <xdr:colOff>885190</xdr:colOff>
      <xdr:row>1694</xdr:row>
      <xdr:rowOff>1209040</xdr:rowOff>
    </xdr:to>
    <xdr:pic>
      <xdr:nvPicPr>
        <xdr:cNvPr id="6504" name="Изображение 6503" descr="resizeПП-00251257"/>
        <xdr:cNvPicPr>
          <a:picLocks noChangeAspect="1"/>
        </xdr:cNvPicPr>
      </xdr:nvPicPr>
      <xdr:blipFill>
        <a:blip xmlns:r="http://schemas.openxmlformats.org/officeDocument/2006/relationships" r:embed="rId1261"/>
        <a:stretch>
          <a:fillRect/>
        </a:stretch>
      </xdr:blipFill>
      <xdr:spPr>
        <a:xfrm>
          <a:off x="7235825" y="1645996200"/>
          <a:ext cx="878840" cy="1183640"/>
        </a:xfrm>
        <a:prstGeom prst="rect">
          <a:avLst/>
        </a:prstGeom>
      </xdr:spPr>
    </xdr:pic>
    <xdr:clientData/>
  </xdr:twoCellAnchor>
  <xdr:twoCellAnchor>
    <xdr:from>
      <xdr:col>9</xdr:col>
      <xdr:colOff>6350</xdr:colOff>
      <xdr:row>1695</xdr:row>
      <xdr:rowOff>25400</xdr:rowOff>
    </xdr:from>
    <xdr:to>
      <xdr:col>9</xdr:col>
      <xdr:colOff>885190</xdr:colOff>
      <xdr:row>1695</xdr:row>
      <xdr:rowOff>1209040</xdr:rowOff>
    </xdr:to>
    <xdr:pic>
      <xdr:nvPicPr>
        <xdr:cNvPr id="6505" name="Изображение 6504" descr="resizeПП-00251256"/>
        <xdr:cNvPicPr>
          <a:picLocks noChangeAspect="1"/>
        </xdr:cNvPicPr>
      </xdr:nvPicPr>
      <xdr:blipFill>
        <a:blip xmlns:r="http://schemas.openxmlformats.org/officeDocument/2006/relationships" r:embed="rId1262"/>
        <a:stretch>
          <a:fillRect/>
        </a:stretch>
      </xdr:blipFill>
      <xdr:spPr>
        <a:xfrm>
          <a:off x="7235825" y="1647218575"/>
          <a:ext cx="878840" cy="1183640"/>
        </a:xfrm>
        <a:prstGeom prst="rect">
          <a:avLst/>
        </a:prstGeom>
      </xdr:spPr>
    </xdr:pic>
    <xdr:clientData/>
  </xdr:twoCellAnchor>
  <xdr:twoCellAnchor>
    <xdr:from>
      <xdr:col>9</xdr:col>
      <xdr:colOff>6350</xdr:colOff>
      <xdr:row>1696</xdr:row>
      <xdr:rowOff>25400</xdr:rowOff>
    </xdr:from>
    <xdr:to>
      <xdr:col>9</xdr:col>
      <xdr:colOff>885190</xdr:colOff>
      <xdr:row>1696</xdr:row>
      <xdr:rowOff>1209040</xdr:rowOff>
    </xdr:to>
    <xdr:pic>
      <xdr:nvPicPr>
        <xdr:cNvPr id="6506" name="Изображение 6505" descr="resizeПП-00251259"/>
        <xdr:cNvPicPr>
          <a:picLocks noChangeAspect="1"/>
        </xdr:cNvPicPr>
      </xdr:nvPicPr>
      <xdr:blipFill>
        <a:blip xmlns:r="http://schemas.openxmlformats.org/officeDocument/2006/relationships" r:embed="rId1263"/>
        <a:stretch>
          <a:fillRect/>
        </a:stretch>
      </xdr:blipFill>
      <xdr:spPr>
        <a:xfrm>
          <a:off x="7235825" y="1648440950"/>
          <a:ext cx="878840" cy="1183640"/>
        </a:xfrm>
        <a:prstGeom prst="rect">
          <a:avLst/>
        </a:prstGeom>
      </xdr:spPr>
    </xdr:pic>
    <xdr:clientData/>
  </xdr:twoCellAnchor>
  <xdr:twoCellAnchor>
    <xdr:from>
      <xdr:col>9</xdr:col>
      <xdr:colOff>6350</xdr:colOff>
      <xdr:row>1697</xdr:row>
      <xdr:rowOff>25400</xdr:rowOff>
    </xdr:from>
    <xdr:to>
      <xdr:col>9</xdr:col>
      <xdr:colOff>885190</xdr:colOff>
      <xdr:row>1697</xdr:row>
      <xdr:rowOff>1209040</xdr:rowOff>
    </xdr:to>
    <xdr:pic>
      <xdr:nvPicPr>
        <xdr:cNvPr id="6507" name="Изображение 6506" descr="resizeПП-00251260"/>
        <xdr:cNvPicPr>
          <a:picLocks noChangeAspect="1"/>
        </xdr:cNvPicPr>
      </xdr:nvPicPr>
      <xdr:blipFill>
        <a:blip xmlns:r="http://schemas.openxmlformats.org/officeDocument/2006/relationships" r:embed="rId1264"/>
        <a:stretch>
          <a:fillRect/>
        </a:stretch>
      </xdr:blipFill>
      <xdr:spPr>
        <a:xfrm>
          <a:off x="7235825" y="1649663325"/>
          <a:ext cx="878840" cy="1183640"/>
        </a:xfrm>
        <a:prstGeom prst="rect">
          <a:avLst/>
        </a:prstGeom>
      </xdr:spPr>
    </xdr:pic>
    <xdr:clientData/>
  </xdr:twoCellAnchor>
  <xdr:twoCellAnchor>
    <xdr:from>
      <xdr:col>9</xdr:col>
      <xdr:colOff>6350</xdr:colOff>
      <xdr:row>1699</xdr:row>
      <xdr:rowOff>25400</xdr:rowOff>
    </xdr:from>
    <xdr:to>
      <xdr:col>9</xdr:col>
      <xdr:colOff>885190</xdr:colOff>
      <xdr:row>1699</xdr:row>
      <xdr:rowOff>1209040</xdr:rowOff>
    </xdr:to>
    <xdr:pic>
      <xdr:nvPicPr>
        <xdr:cNvPr id="6508" name="Изображение 6507" descr="resizeПП-00271591"/>
        <xdr:cNvPicPr>
          <a:picLocks noChangeAspect="1"/>
        </xdr:cNvPicPr>
      </xdr:nvPicPr>
      <xdr:blipFill>
        <a:blip xmlns:r="http://schemas.openxmlformats.org/officeDocument/2006/relationships" r:embed="rId1265"/>
        <a:stretch>
          <a:fillRect/>
        </a:stretch>
      </xdr:blipFill>
      <xdr:spPr>
        <a:xfrm>
          <a:off x="7235825" y="1651038100"/>
          <a:ext cx="878840" cy="1183640"/>
        </a:xfrm>
        <a:prstGeom prst="rect">
          <a:avLst/>
        </a:prstGeom>
      </xdr:spPr>
    </xdr:pic>
    <xdr:clientData/>
  </xdr:twoCellAnchor>
  <xdr:twoCellAnchor>
    <xdr:from>
      <xdr:col>9</xdr:col>
      <xdr:colOff>6350</xdr:colOff>
      <xdr:row>1700</xdr:row>
      <xdr:rowOff>25400</xdr:rowOff>
    </xdr:from>
    <xdr:to>
      <xdr:col>9</xdr:col>
      <xdr:colOff>885190</xdr:colOff>
      <xdr:row>1700</xdr:row>
      <xdr:rowOff>1209040</xdr:rowOff>
    </xdr:to>
    <xdr:pic>
      <xdr:nvPicPr>
        <xdr:cNvPr id="6509" name="Изображение 6508" descr="resizeПП-00271594"/>
        <xdr:cNvPicPr>
          <a:picLocks noChangeAspect="1"/>
        </xdr:cNvPicPr>
      </xdr:nvPicPr>
      <xdr:blipFill>
        <a:blip xmlns:r="http://schemas.openxmlformats.org/officeDocument/2006/relationships" r:embed="rId1266"/>
        <a:stretch>
          <a:fillRect/>
        </a:stretch>
      </xdr:blipFill>
      <xdr:spPr>
        <a:xfrm>
          <a:off x="7235825" y="1652260475"/>
          <a:ext cx="878840" cy="1183640"/>
        </a:xfrm>
        <a:prstGeom prst="rect">
          <a:avLst/>
        </a:prstGeom>
      </xdr:spPr>
    </xdr:pic>
    <xdr:clientData/>
  </xdr:twoCellAnchor>
  <xdr:twoCellAnchor>
    <xdr:from>
      <xdr:col>9</xdr:col>
      <xdr:colOff>6350</xdr:colOff>
      <xdr:row>1701</xdr:row>
      <xdr:rowOff>25400</xdr:rowOff>
    </xdr:from>
    <xdr:to>
      <xdr:col>9</xdr:col>
      <xdr:colOff>885190</xdr:colOff>
      <xdr:row>1701</xdr:row>
      <xdr:rowOff>1209040</xdr:rowOff>
    </xdr:to>
    <xdr:pic>
      <xdr:nvPicPr>
        <xdr:cNvPr id="6510" name="Изображение 6509" descr="resizeПП-00251254"/>
        <xdr:cNvPicPr>
          <a:picLocks noChangeAspect="1"/>
        </xdr:cNvPicPr>
      </xdr:nvPicPr>
      <xdr:blipFill>
        <a:blip xmlns:r="http://schemas.openxmlformats.org/officeDocument/2006/relationships" r:embed="rId1267"/>
        <a:stretch>
          <a:fillRect/>
        </a:stretch>
      </xdr:blipFill>
      <xdr:spPr>
        <a:xfrm>
          <a:off x="7235825" y="1653482850"/>
          <a:ext cx="878840" cy="1183640"/>
        </a:xfrm>
        <a:prstGeom prst="rect">
          <a:avLst/>
        </a:prstGeom>
      </xdr:spPr>
    </xdr:pic>
    <xdr:clientData/>
  </xdr:twoCellAnchor>
  <xdr:twoCellAnchor>
    <xdr:from>
      <xdr:col>9</xdr:col>
      <xdr:colOff>6350</xdr:colOff>
      <xdr:row>1702</xdr:row>
      <xdr:rowOff>25400</xdr:rowOff>
    </xdr:from>
    <xdr:to>
      <xdr:col>9</xdr:col>
      <xdr:colOff>885190</xdr:colOff>
      <xdr:row>1702</xdr:row>
      <xdr:rowOff>1209040</xdr:rowOff>
    </xdr:to>
    <xdr:pic>
      <xdr:nvPicPr>
        <xdr:cNvPr id="6511" name="Изображение 6510" descr="resizeПП-00228061"/>
        <xdr:cNvPicPr>
          <a:picLocks noChangeAspect="1"/>
        </xdr:cNvPicPr>
      </xdr:nvPicPr>
      <xdr:blipFill>
        <a:blip xmlns:r="http://schemas.openxmlformats.org/officeDocument/2006/relationships" r:embed="rId1268"/>
        <a:stretch>
          <a:fillRect/>
        </a:stretch>
      </xdr:blipFill>
      <xdr:spPr>
        <a:xfrm>
          <a:off x="7235825" y="1654705225"/>
          <a:ext cx="878840" cy="1183640"/>
        </a:xfrm>
        <a:prstGeom prst="rect">
          <a:avLst/>
        </a:prstGeom>
      </xdr:spPr>
    </xdr:pic>
    <xdr:clientData/>
  </xdr:twoCellAnchor>
  <xdr:twoCellAnchor>
    <xdr:from>
      <xdr:col>9</xdr:col>
      <xdr:colOff>6350</xdr:colOff>
      <xdr:row>1703</xdr:row>
      <xdr:rowOff>25400</xdr:rowOff>
    </xdr:from>
    <xdr:to>
      <xdr:col>9</xdr:col>
      <xdr:colOff>885190</xdr:colOff>
      <xdr:row>1703</xdr:row>
      <xdr:rowOff>1209040</xdr:rowOff>
    </xdr:to>
    <xdr:pic>
      <xdr:nvPicPr>
        <xdr:cNvPr id="6512" name="Изображение 6511" descr="resizeПП-00251252"/>
        <xdr:cNvPicPr>
          <a:picLocks noChangeAspect="1"/>
        </xdr:cNvPicPr>
      </xdr:nvPicPr>
      <xdr:blipFill>
        <a:blip xmlns:r="http://schemas.openxmlformats.org/officeDocument/2006/relationships" r:embed="rId1269"/>
        <a:stretch>
          <a:fillRect/>
        </a:stretch>
      </xdr:blipFill>
      <xdr:spPr>
        <a:xfrm>
          <a:off x="7235825" y="1655927600"/>
          <a:ext cx="878840" cy="1183640"/>
        </a:xfrm>
        <a:prstGeom prst="rect">
          <a:avLst/>
        </a:prstGeom>
      </xdr:spPr>
    </xdr:pic>
    <xdr:clientData/>
  </xdr:twoCellAnchor>
  <xdr:twoCellAnchor>
    <xdr:from>
      <xdr:col>9</xdr:col>
      <xdr:colOff>6350</xdr:colOff>
      <xdr:row>1704</xdr:row>
      <xdr:rowOff>25400</xdr:rowOff>
    </xdr:from>
    <xdr:to>
      <xdr:col>9</xdr:col>
      <xdr:colOff>885190</xdr:colOff>
      <xdr:row>1704</xdr:row>
      <xdr:rowOff>1209040</xdr:rowOff>
    </xdr:to>
    <xdr:pic>
      <xdr:nvPicPr>
        <xdr:cNvPr id="6513" name="Изображение 6512" descr="resizeПП-00228059"/>
        <xdr:cNvPicPr>
          <a:picLocks noChangeAspect="1"/>
        </xdr:cNvPicPr>
      </xdr:nvPicPr>
      <xdr:blipFill>
        <a:blip xmlns:r="http://schemas.openxmlformats.org/officeDocument/2006/relationships" r:embed="rId1270"/>
        <a:stretch>
          <a:fillRect/>
        </a:stretch>
      </xdr:blipFill>
      <xdr:spPr>
        <a:xfrm>
          <a:off x="7235825" y="1657149975"/>
          <a:ext cx="878840" cy="1183640"/>
        </a:xfrm>
        <a:prstGeom prst="rect">
          <a:avLst/>
        </a:prstGeom>
      </xdr:spPr>
    </xdr:pic>
    <xdr:clientData/>
  </xdr:twoCellAnchor>
  <xdr:twoCellAnchor>
    <xdr:from>
      <xdr:col>9</xdr:col>
      <xdr:colOff>6350</xdr:colOff>
      <xdr:row>1705</xdr:row>
      <xdr:rowOff>25400</xdr:rowOff>
    </xdr:from>
    <xdr:to>
      <xdr:col>9</xdr:col>
      <xdr:colOff>885190</xdr:colOff>
      <xdr:row>1705</xdr:row>
      <xdr:rowOff>1209040</xdr:rowOff>
    </xdr:to>
    <xdr:pic>
      <xdr:nvPicPr>
        <xdr:cNvPr id="6514" name="Изображение 6513" descr="resizeПП-00271593"/>
        <xdr:cNvPicPr>
          <a:picLocks noChangeAspect="1"/>
        </xdr:cNvPicPr>
      </xdr:nvPicPr>
      <xdr:blipFill>
        <a:blip xmlns:r="http://schemas.openxmlformats.org/officeDocument/2006/relationships" r:embed="rId1271"/>
        <a:stretch>
          <a:fillRect/>
        </a:stretch>
      </xdr:blipFill>
      <xdr:spPr>
        <a:xfrm>
          <a:off x="7235825" y="1658372350"/>
          <a:ext cx="878840" cy="1183640"/>
        </a:xfrm>
        <a:prstGeom prst="rect">
          <a:avLst/>
        </a:prstGeom>
      </xdr:spPr>
    </xdr:pic>
    <xdr:clientData/>
  </xdr:twoCellAnchor>
  <xdr:twoCellAnchor>
    <xdr:from>
      <xdr:col>9</xdr:col>
      <xdr:colOff>6350</xdr:colOff>
      <xdr:row>1706</xdr:row>
      <xdr:rowOff>25400</xdr:rowOff>
    </xdr:from>
    <xdr:to>
      <xdr:col>9</xdr:col>
      <xdr:colOff>885190</xdr:colOff>
      <xdr:row>1706</xdr:row>
      <xdr:rowOff>1209040</xdr:rowOff>
    </xdr:to>
    <xdr:pic>
      <xdr:nvPicPr>
        <xdr:cNvPr id="6515" name="Изображение 6514" descr="resizeПП-00251253"/>
        <xdr:cNvPicPr>
          <a:picLocks noChangeAspect="1"/>
        </xdr:cNvPicPr>
      </xdr:nvPicPr>
      <xdr:blipFill>
        <a:blip xmlns:r="http://schemas.openxmlformats.org/officeDocument/2006/relationships" r:embed="rId1272"/>
        <a:stretch>
          <a:fillRect/>
        </a:stretch>
      </xdr:blipFill>
      <xdr:spPr>
        <a:xfrm>
          <a:off x="7235825" y="1659594725"/>
          <a:ext cx="878840" cy="1183640"/>
        </a:xfrm>
        <a:prstGeom prst="rect">
          <a:avLst/>
        </a:prstGeom>
      </xdr:spPr>
    </xdr:pic>
    <xdr:clientData/>
  </xdr:twoCellAnchor>
  <xdr:twoCellAnchor>
    <xdr:from>
      <xdr:col>9</xdr:col>
      <xdr:colOff>6350</xdr:colOff>
      <xdr:row>1707</xdr:row>
      <xdr:rowOff>25400</xdr:rowOff>
    </xdr:from>
    <xdr:to>
      <xdr:col>9</xdr:col>
      <xdr:colOff>885190</xdr:colOff>
      <xdr:row>1707</xdr:row>
      <xdr:rowOff>1209040</xdr:rowOff>
    </xdr:to>
    <xdr:pic>
      <xdr:nvPicPr>
        <xdr:cNvPr id="6516" name="Изображение 6515" descr="resizeПП-00271592"/>
        <xdr:cNvPicPr>
          <a:picLocks noChangeAspect="1"/>
        </xdr:cNvPicPr>
      </xdr:nvPicPr>
      <xdr:blipFill>
        <a:blip xmlns:r="http://schemas.openxmlformats.org/officeDocument/2006/relationships" r:embed="rId1273"/>
        <a:stretch>
          <a:fillRect/>
        </a:stretch>
      </xdr:blipFill>
      <xdr:spPr>
        <a:xfrm>
          <a:off x="7235825" y="1660817100"/>
          <a:ext cx="878840" cy="1183640"/>
        </a:xfrm>
        <a:prstGeom prst="rect">
          <a:avLst/>
        </a:prstGeom>
      </xdr:spPr>
    </xdr:pic>
    <xdr:clientData/>
  </xdr:twoCellAnchor>
  <xdr:twoCellAnchor>
    <xdr:from>
      <xdr:col>9</xdr:col>
      <xdr:colOff>6350</xdr:colOff>
      <xdr:row>1708</xdr:row>
      <xdr:rowOff>25400</xdr:rowOff>
    </xdr:from>
    <xdr:to>
      <xdr:col>9</xdr:col>
      <xdr:colOff>885190</xdr:colOff>
      <xdr:row>1708</xdr:row>
      <xdr:rowOff>1209040</xdr:rowOff>
    </xdr:to>
    <xdr:pic>
      <xdr:nvPicPr>
        <xdr:cNvPr id="6517" name="Изображение 6516" descr="resizeПП-00228056"/>
        <xdr:cNvPicPr>
          <a:picLocks noChangeAspect="1"/>
        </xdr:cNvPicPr>
      </xdr:nvPicPr>
      <xdr:blipFill>
        <a:blip xmlns:r="http://schemas.openxmlformats.org/officeDocument/2006/relationships" r:embed="rId1274"/>
        <a:stretch>
          <a:fillRect/>
        </a:stretch>
      </xdr:blipFill>
      <xdr:spPr>
        <a:xfrm>
          <a:off x="7235825" y="1662039475"/>
          <a:ext cx="878840" cy="1183640"/>
        </a:xfrm>
        <a:prstGeom prst="rect">
          <a:avLst/>
        </a:prstGeom>
      </xdr:spPr>
    </xdr:pic>
    <xdr:clientData/>
  </xdr:twoCellAnchor>
  <xdr:twoCellAnchor>
    <xdr:from>
      <xdr:col>9</xdr:col>
      <xdr:colOff>6350</xdr:colOff>
      <xdr:row>1709</xdr:row>
      <xdr:rowOff>25400</xdr:rowOff>
    </xdr:from>
    <xdr:to>
      <xdr:col>9</xdr:col>
      <xdr:colOff>885190</xdr:colOff>
      <xdr:row>1709</xdr:row>
      <xdr:rowOff>1209040</xdr:rowOff>
    </xdr:to>
    <xdr:pic>
      <xdr:nvPicPr>
        <xdr:cNvPr id="6518" name="Изображение 6517" descr="resizeПП-00251255"/>
        <xdr:cNvPicPr>
          <a:picLocks noChangeAspect="1"/>
        </xdr:cNvPicPr>
      </xdr:nvPicPr>
      <xdr:blipFill>
        <a:blip xmlns:r="http://schemas.openxmlformats.org/officeDocument/2006/relationships" r:embed="rId1275"/>
        <a:stretch>
          <a:fillRect/>
        </a:stretch>
      </xdr:blipFill>
      <xdr:spPr>
        <a:xfrm>
          <a:off x="7235825" y="1663261850"/>
          <a:ext cx="878840" cy="1183640"/>
        </a:xfrm>
        <a:prstGeom prst="rect">
          <a:avLst/>
        </a:prstGeom>
      </xdr:spPr>
    </xdr:pic>
    <xdr:clientData/>
  </xdr:twoCellAnchor>
  <xdr:twoCellAnchor>
    <xdr:from>
      <xdr:col>9</xdr:col>
      <xdr:colOff>6350</xdr:colOff>
      <xdr:row>1711</xdr:row>
      <xdr:rowOff>25400</xdr:rowOff>
    </xdr:from>
    <xdr:to>
      <xdr:col>9</xdr:col>
      <xdr:colOff>885190</xdr:colOff>
      <xdr:row>1711</xdr:row>
      <xdr:rowOff>1209040</xdr:rowOff>
    </xdr:to>
    <xdr:pic>
      <xdr:nvPicPr>
        <xdr:cNvPr id="6519" name="Изображение 6518" descr="resizeПП-00251264"/>
        <xdr:cNvPicPr>
          <a:picLocks noChangeAspect="1"/>
        </xdr:cNvPicPr>
      </xdr:nvPicPr>
      <xdr:blipFill>
        <a:blip xmlns:r="http://schemas.openxmlformats.org/officeDocument/2006/relationships" r:embed="rId1276"/>
        <a:stretch>
          <a:fillRect/>
        </a:stretch>
      </xdr:blipFill>
      <xdr:spPr>
        <a:xfrm>
          <a:off x="7235825" y="1664636625"/>
          <a:ext cx="878840" cy="1183640"/>
        </a:xfrm>
        <a:prstGeom prst="rect">
          <a:avLst/>
        </a:prstGeom>
      </xdr:spPr>
    </xdr:pic>
    <xdr:clientData/>
  </xdr:twoCellAnchor>
  <xdr:twoCellAnchor>
    <xdr:from>
      <xdr:col>9</xdr:col>
      <xdr:colOff>6350</xdr:colOff>
      <xdr:row>1712</xdr:row>
      <xdr:rowOff>25400</xdr:rowOff>
    </xdr:from>
    <xdr:to>
      <xdr:col>9</xdr:col>
      <xdr:colOff>885190</xdr:colOff>
      <xdr:row>1712</xdr:row>
      <xdr:rowOff>1209040</xdr:rowOff>
    </xdr:to>
    <xdr:pic>
      <xdr:nvPicPr>
        <xdr:cNvPr id="6520" name="Изображение 6519" descr="resizeПП-00228069"/>
        <xdr:cNvPicPr>
          <a:picLocks noChangeAspect="1"/>
        </xdr:cNvPicPr>
      </xdr:nvPicPr>
      <xdr:blipFill>
        <a:blip xmlns:r="http://schemas.openxmlformats.org/officeDocument/2006/relationships" r:embed="rId1277"/>
        <a:stretch>
          <a:fillRect/>
        </a:stretch>
      </xdr:blipFill>
      <xdr:spPr>
        <a:xfrm>
          <a:off x="7235825" y="1665859000"/>
          <a:ext cx="878840" cy="1183640"/>
        </a:xfrm>
        <a:prstGeom prst="rect">
          <a:avLst/>
        </a:prstGeom>
      </xdr:spPr>
    </xdr:pic>
    <xdr:clientData/>
  </xdr:twoCellAnchor>
  <xdr:twoCellAnchor>
    <xdr:from>
      <xdr:col>9</xdr:col>
      <xdr:colOff>6350</xdr:colOff>
      <xdr:row>1713</xdr:row>
      <xdr:rowOff>25400</xdr:rowOff>
    </xdr:from>
    <xdr:to>
      <xdr:col>9</xdr:col>
      <xdr:colOff>885190</xdr:colOff>
      <xdr:row>1713</xdr:row>
      <xdr:rowOff>1209040</xdr:rowOff>
    </xdr:to>
    <xdr:pic>
      <xdr:nvPicPr>
        <xdr:cNvPr id="6521" name="Изображение 6520" descr="resizeПП-00228070"/>
        <xdr:cNvPicPr>
          <a:picLocks noChangeAspect="1"/>
        </xdr:cNvPicPr>
      </xdr:nvPicPr>
      <xdr:blipFill>
        <a:blip xmlns:r="http://schemas.openxmlformats.org/officeDocument/2006/relationships" r:embed="rId1278"/>
        <a:stretch>
          <a:fillRect/>
        </a:stretch>
      </xdr:blipFill>
      <xdr:spPr>
        <a:xfrm>
          <a:off x="7235825" y="1667081375"/>
          <a:ext cx="878840" cy="1183640"/>
        </a:xfrm>
        <a:prstGeom prst="rect">
          <a:avLst/>
        </a:prstGeom>
      </xdr:spPr>
    </xdr:pic>
    <xdr:clientData/>
  </xdr:twoCellAnchor>
  <xdr:twoCellAnchor>
    <xdr:from>
      <xdr:col>9</xdr:col>
      <xdr:colOff>6350</xdr:colOff>
      <xdr:row>1714</xdr:row>
      <xdr:rowOff>25400</xdr:rowOff>
    </xdr:from>
    <xdr:to>
      <xdr:col>9</xdr:col>
      <xdr:colOff>885190</xdr:colOff>
      <xdr:row>1714</xdr:row>
      <xdr:rowOff>1209040</xdr:rowOff>
    </xdr:to>
    <xdr:pic>
      <xdr:nvPicPr>
        <xdr:cNvPr id="6522" name="Изображение 6521" descr="resizeПП-00271598"/>
        <xdr:cNvPicPr>
          <a:picLocks noChangeAspect="1"/>
        </xdr:cNvPicPr>
      </xdr:nvPicPr>
      <xdr:blipFill>
        <a:blip xmlns:r="http://schemas.openxmlformats.org/officeDocument/2006/relationships" r:embed="rId1279"/>
        <a:stretch>
          <a:fillRect/>
        </a:stretch>
      </xdr:blipFill>
      <xdr:spPr>
        <a:xfrm>
          <a:off x="7235825" y="1668303750"/>
          <a:ext cx="878840" cy="1183640"/>
        </a:xfrm>
        <a:prstGeom prst="rect">
          <a:avLst/>
        </a:prstGeom>
      </xdr:spPr>
    </xdr:pic>
    <xdr:clientData/>
  </xdr:twoCellAnchor>
  <xdr:twoCellAnchor>
    <xdr:from>
      <xdr:col>9</xdr:col>
      <xdr:colOff>6350</xdr:colOff>
      <xdr:row>1715</xdr:row>
      <xdr:rowOff>25400</xdr:rowOff>
    </xdr:from>
    <xdr:to>
      <xdr:col>9</xdr:col>
      <xdr:colOff>885190</xdr:colOff>
      <xdr:row>1715</xdr:row>
      <xdr:rowOff>1209040</xdr:rowOff>
    </xdr:to>
    <xdr:pic>
      <xdr:nvPicPr>
        <xdr:cNvPr id="6523" name="Изображение 6522" descr="resizeПП-00228067"/>
        <xdr:cNvPicPr>
          <a:picLocks noChangeAspect="1"/>
        </xdr:cNvPicPr>
      </xdr:nvPicPr>
      <xdr:blipFill>
        <a:blip xmlns:r="http://schemas.openxmlformats.org/officeDocument/2006/relationships" r:embed="rId1280"/>
        <a:stretch>
          <a:fillRect/>
        </a:stretch>
      </xdr:blipFill>
      <xdr:spPr>
        <a:xfrm>
          <a:off x="7235825" y="1669526125"/>
          <a:ext cx="878840" cy="1183640"/>
        </a:xfrm>
        <a:prstGeom prst="rect">
          <a:avLst/>
        </a:prstGeom>
      </xdr:spPr>
    </xdr:pic>
    <xdr:clientData/>
  </xdr:twoCellAnchor>
  <xdr:twoCellAnchor>
    <xdr:from>
      <xdr:col>9</xdr:col>
      <xdr:colOff>6350</xdr:colOff>
      <xdr:row>1716</xdr:row>
      <xdr:rowOff>25400</xdr:rowOff>
    </xdr:from>
    <xdr:to>
      <xdr:col>9</xdr:col>
      <xdr:colOff>885190</xdr:colOff>
      <xdr:row>1716</xdr:row>
      <xdr:rowOff>1209040</xdr:rowOff>
    </xdr:to>
    <xdr:pic>
      <xdr:nvPicPr>
        <xdr:cNvPr id="6524" name="Изображение 6523" descr="resizeПП-00271596"/>
        <xdr:cNvPicPr>
          <a:picLocks noChangeAspect="1"/>
        </xdr:cNvPicPr>
      </xdr:nvPicPr>
      <xdr:blipFill>
        <a:blip xmlns:r="http://schemas.openxmlformats.org/officeDocument/2006/relationships" r:embed="rId1281"/>
        <a:stretch>
          <a:fillRect/>
        </a:stretch>
      </xdr:blipFill>
      <xdr:spPr>
        <a:xfrm>
          <a:off x="7235825" y="1670748500"/>
          <a:ext cx="878840" cy="1183640"/>
        </a:xfrm>
        <a:prstGeom prst="rect">
          <a:avLst/>
        </a:prstGeom>
      </xdr:spPr>
    </xdr:pic>
    <xdr:clientData/>
  </xdr:twoCellAnchor>
  <xdr:twoCellAnchor>
    <xdr:from>
      <xdr:col>9</xdr:col>
      <xdr:colOff>6350</xdr:colOff>
      <xdr:row>1717</xdr:row>
      <xdr:rowOff>25400</xdr:rowOff>
    </xdr:from>
    <xdr:to>
      <xdr:col>9</xdr:col>
      <xdr:colOff>885190</xdr:colOff>
      <xdr:row>1717</xdr:row>
      <xdr:rowOff>1209040</xdr:rowOff>
    </xdr:to>
    <xdr:pic>
      <xdr:nvPicPr>
        <xdr:cNvPr id="6525" name="Изображение 6524" descr="resizeПП-00251261"/>
        <xdr:cNvPicPr>
          <a:picLocks noChangeAspect="1"/>
        </xdr:cNvPicPr>
      </xdr:nvPicPr>
      <xdr:blipFill>
        <a:blip xmlns:r="http://schemas.openxmlformats.org/officeDocument/2006/relationships" r:embed="rId1282"/>
        <a:stretch>
          <a:fillRect/>
        </a:stretch>
      </xdr:blipFill>
      <xdr:spPr>
        <a:xfrm>
          <a:off x="7235825" y="1671970875"/>
          <a:ext cx="878840" cy="1183640"/>
        </a:xfrm>
        <a:prstGeom prst="rect">
          <a:avLst/>
        </a:prstGeom>
      </xdr:spPr>
    </xdr:pic>
    <xdr:clientData/>
  </xdr:twoCellAnchor>
  <xdr:twoCellAnchor>
    <xdr:from>
      <xdr:col>9</xdr:col>
      <xdr:colOff>6350</xdr:colOff>
      <xdr:row>1718</xdr:row>
      <xdr:rowOff>25400</xdr:rowOff>
    </xdr:from>
    <xdr:to>
      <xdr:col>9</xdr:col>
      <xdr:colOff>885190</xdr:colOff>
      <xdr:row>1718</xdr:row>
      <xdr:rowOff>1209040</xdr:rowOff>
    </xdr:to>
    <xdr:pic>
      <xdr:nvPicPr>
        <xdr:cNvPr id="6526" name="Изображение 6525" descr="resizeПП-00228068"/>
        <xdr:cNvPicPr>
          <a:picLocks noChangeAspect="1"/>
        </xdr:cNvPicPr>
      </xdr:nvPicPr>
      <xdr:blipFill>
        <a:blip xmlns:r="http://schemas.openxmlformats.org/officeDocument/2006/relationships" r:embed="rId1283"/>
        <a:stretch>
          <a:fillRect/>
        </a:stretch>
      </xdr:blipFill>
      <xdr:spPr>
        <a:xfrm>
          <a:off x="7235825" y="1673193250"/>
          <a:ext cx="878840" cy="1183640"/>
        </a:xfrm>
        <a:prstGeom prst="rect">
          <a:avLst/>
        </a:prstGeom>
      </xdr:spPr>
    </xdr:pic>
    <xdr:clientData/>
  </xdr:twoCellAnchor>
  <xdr:twoCellAnchor>
    <xdr:from>
      <xdr:col>9</xdr:col>
      <xdr:colOff>6350</xdr:colOff>
      <xdr:row>1719</xdr:row>
      <xdr:rowOff>25400</xdr:rowOff>
    </xdr:from>
    <xdr:to>
      <xdr:col>9</xdr:col>
      <xdr:colOff>885190</xdr:colOff>
      <xdr:row>1719</xdr:row>
      <xdr:rowOff>1209040</xdr:rowOff>
    </xdr:to>
    <xdr:pic>
      <xdr:nvPicPr>
        <xdr:cNvPr id="6527" name="Изображение 6526" descr="resizeПП-00251262"/>
        <xdr:cNvPicPr>
          <a:picLocks noChangeAspect="1"/>
        </xdr:cNvPicPr>
      </xdr:nvPicPr>
      <xdr:blipFill>
        <a:blip xmlns:r="http://schemas.openxmlformats.org/officeDocument/2006/relationships" r:embed="rId1284"/>
        <a:stretch>
          <a:fillRect/>
        </a:stretch>
      </xdr:blipFill>
      <xdr:spPr>
        <a:xfrm>
          <a:off x="7235825" y="1674415625"/>
          <a:ext cx="878840" cy="1183640"/>
        </a:xfrm>
        <a:prstGeom prst="rect">
          <a:avLst/>
        </a:prstGeom>
      </xdr:spPr>
    </xdr:pic>
    <xdr:clientData/>
  </xdr:twoCellAnchor>
  <xdr:twoCellAnchor>
    <xdr:from>
      <xdr:col>9</xdr:col>
      <xdr:colOff>6350</xdr:colOff>
      <xdr:row>1720</xdr:row>
      <xdr:rowOff>25400</xdr:rowOff>
    </xdr:from>
    <xdr:to>
      <xdr:col>9</xdr:col>
      <xdr:colOff>885190</xdr:colOff>
      <xdr:row>1720</xdr:row>
      <xdr:rowOff>1209040</xdr:rowOff>
    </xdr:to>
    <xdr:pic>
      <xdr:nvPicPr>
        <xdr:cNvPr id="6528" name="Изображение 6527" descr="resizeПП-00271595"/>
        <xdr:cNvPicPr>
          <a:picLocks noChangeAspect="1"/>
        </xdr:cNvPicPr>
      </xdr:nvPicPr>
      <xdr:blipFill>
        <a:blip xmlns:r="http://schemas.openxmlformats.org/officeDocument/2006/relationships" r:embed="rId1285"/>
        <a:stretch>
          <a:fillRect/>
        </a:stretch>
      </xdr:blipFill>
      <xdr:spPr>
        <a:xfrm>
          <a:off x="7235825" y="1675638000"/>
          <a:ext cx="878840" cy="1183640"/>
        </a:xfrm>
        <a:prstGeom prst="rect">
          <a:avLst/>
        </a:prstGeom>
      </xdr:spPr>
    </xdr:pic>
    <xdr:clientData/>
  </xdr:twoCellAnchor>
  <xdr:twoCellAnchor>
    <xdr:from>
      <xdr:col>9</xdr:col>
      <xdr:colOff>6350</xdr:colOff>
      <xdr:row>1721</xdr:row>
      <xdr:rowOff>25400</xdr:rowOff>
    </xdr:from>
    <xdr:to>
      <xdr:col>9</xdr:col>
      <xdr:colOff>885190</xdr:colOff>
      <xdr:row>1721</xdr:row>
      <xdr:rowOff>1209040</xdr:rowOff>
    </xdr:to>
    <xdr:pic>
      <xdr:nvPicPr>
        <xdr:cNvPr id="6529" name="Изображение 6528" descr="resizeПП-00271597"/>
        <xdr:cNvPicPr>
          <a:picLocks noChangeAspect="1"/>
        </xdr:cNvPicPr>
      </xdr:nvPicPr>
      <xdr:blipFill>
        <a:blip xmlns:r="http://schemas.openxmlformats.org/officeDocument/2006/relationships" r:embed="rId1286"/>
        <a:stretch>
          <a:fillRect/>
        </a:stretch>
      </xdr:blipFill>
      <xdr:spPr>
        <a:xfrm>
          <a:off x="7235825" y="1676860375"/>
          <a:ext cx="878840" cy="1183640"/>
        </a:xfrm>
        <a:prstGeom prst="rect">
          <a:avLst/>
        </a:prstGeom>
      </xdr:spPr>
    </xdr:pic>
    <xdr:clientData/>
  </xdr:twoCellAnchor>
  <xdr:twoCellAnchor>
    <xdr:from>
      <xdr:col>9</xdr:col>
      <xdr:colOff>6350</xdr:colOff>
      <xdr:row>1723</xdr:row>
      <xdr:rowOff>25400</xdr:rowOff>
    </xdr:from>
    <xdr:to>
      <xdr:col>9</xdr:col>
      <xdr:colOff>885190</xdr:colOff>
      <xdr:row>1723</xdr:row>
      <xdr:rowOff>1209040</xdr:rowOff>
    </xdr:to>
    <xdr:pic>
      <xdr:nvPicPr>
        <xdr:cNvPr id="6530" name="Изображение 6529" descr="resizeПП-00193592"/>
        <xdr:cNvPicPr>
          <a:picLocks noChangeAspect="1"/>
        </xdr:cNvPicPr>
      </xdr:nvPicPr>
      <xdr:blipFill>
        <a:blip xmlns:r="http://schemas.openxmlformats.org/officeDocument/2006/relationships" r:embed="rId1287"/>
        <a:stretch>
          <a:fillRect/>
        </a:stretch>
      </xdr:blipFill>
      <xdr:spPr>
        <a:xfrm>
          <a:off x="7235825" y="1678235150"/>
          <a:ext cx="878840" cy="1183640"/>
        </a:xfrm>
        <a:prstGeom prst="rect">
          <a:avLst/>
        </a:prstGeom>
      </xdr:spPr>
    </xdr:pic>
    <xdr:clientData/>
  </xdr:twoCellAnchor>
  <xdr:twoCellAnchor>
    <xdr:from>
      <xdr:col>9</xdr:col>
      <xdr:colOff>6350</xdr:colOff>
      <xdr:row>1724</xdr:row>
      <xdr:rowOff>25400</xdr:rowOff>
    </xdr:from>
    <xdr:to>
      <xdr:col>9</xdr:col>
      <xdr:colOff>885190</xdr:colOff>
      <xdr:row>1724</xdr:row>
      <xdr:rowOff>1209040</xdr:rowOff>
    </xdr:to>
    <xdr:pic>
      <xdr:nvPicPr>
        <xdr:cNvPr id="6531" name="Изображение 6530" descr="resizeПП-00193595"/>
        <xdr:cNvPicPr>
          <a:picLocks noChangeAspect="1"/>
        </xdr:cNvPicPr>
      </xdr:nvPicPr>
      <xdr:blipFill>
        <a:blip xmlns:r="http://schemas.openxmlformats.org/officeDocument/2006/relationships" r:embed="rId1288"/>
        <a:stretch>
          <a:fillRect/>
        </a:stretch>
      </xdr:blipFill>
      <xdr:spPr>
        <a:xfrm>
          <a:off x="7235825" y="1679457525"/>
          <a:ext cx="878840" cy="1183640"/>
        </a:xfrm>
        <a:prstGeom prst="rect">
          <a:avLst/>
        </a:prstGeom>
      </xdr:spPr>
    </xdr:pic>
    <xdr:clientData/>
  </xdr:twoCellAnchor>
  <xdr:twoCellAnchor>
    <xdr:from>
      <xdr:col>9</xdr:col>
      <xdr:colOff>6350</xdr:colOff>
      <xdr:row>1725</xdr:row>
      <xdr:rowOff>25400</xdr:rowOff>
    </xdr:from>
    <xdr:to>
      <xdr:col>9</xdr:col>
      <xdr:colOff>885190</xdr:colOff>
      <xdr:row>1725</xdr:row>
      <xdr:rowOff>1209040</xdr:rowOff>
    </xdr:to>
    <xdr:pic>
      <xdr:nvPicPr>
        <xdr:cNvPr id="6532" name="Изображение 6531" descr="resizeПП-00254422"/>
        <xdr:cNvPicPr>
          <a:picLocks noChangeAspect="1"/>
        </xdr:cNvPicPr>
      </xdr:nvPicPr>
      <xdr:blipFill>
        <a:blip xmlns:r="http://schemas.openxmlformats.org/officeDocument/2006/relationships" r:embed="rId1289"/>
        <a:stretch>
          <a:fillRect/>
        </a:stretch>
      </xdr:blipFill>
      <xdr:spPr>
        <a:xfrm>
          <a:off x="7235825" y="1680679900"/>
          <a:ext cx="878840" cy="1183640"/>
        </a:xfrm>
        <a:prstGeom prst="rect">
          <a:avLst/>
        </a:prstGeom>
      </xdr:spPr>
    </xdr:pic>
    <xdr:clientData/>
  </xdr:twoCellAnchor>
  <xdr:twoCellAnchor>
    <xdr:from>
      <xdr:col>9</xdr:col>
      <xdr:colOff>6350</xdr:colOff>
      <xdr:row>1726</xdr:row>
      <xdr:rowOff>25400</xdr:rowOff>
    </xdr:from>
    <xdr:to>
      <xdr:col>9</xdr:col>
      <xdr:colOff>885190</xdr:colOff>
      <xdr:row>1726</xdr:row>
      <xdr:rowOff>1209040</xdr:rowOff>
    </xdr:to>
    <xdr:pic>
      <xdr:nvPicPr>
        <xdr:cNvPr id="6533" name="Изображение 6532" descr="resizeПП-00251271"/>
        <xdr:cNvPicPr>
          <a:picLocks noChangeAspect="1"/>
        </xdr:cNvPicPr>
      </xdr:nvPicPr>
      <xdr:blipFill>
        <a:blip xmlns:r="http://schemas.openxmlformats.org/officeDocument/2006/relationships" r:embed="rId1290"/>
        <a:stretch>
          <a:fillRect/>
        </a:stretch>
      </xdr:blipFill>
      <xdr:spPr>
        <a:xfrm>
          <a:off x="7235825" y="1681902275"/>
          <a:ext cx="878840" cy="1183640"/>
        </a:xfrm>
        <a:prstGeom prst="rect">
          <a:avLst/>
        </a:prstGeom>
      </xdr:spPr>
    </xdr:pic>
    <xdr:clientData/>
  </xdr:twoCellAnchor>
  <xdr:twoCellAnchor>
    <xdr:from>
      <xdr:col>9</xdr:col>
      <xdr:colOff>6350</xdr:colOff>
      <xdr:row>1727</xdr:row>
      <xdr:rowOff>25400</xdr:rowOff>
    </xdr:from>
    <xdr:to>
      <xdr:col>9</xdr:col>
      <xdr:colOff>885190</xdr:colOff>
      <xdr:row>1727</xdr:row>
      <xdr:rowOff>1209040</xdr:rowOff>
    </xdr:to>
    <xdr:pic>
      <xdr:nvPicPr>
        <xdr:cNvPr id="6534" name="Изображение 6533" descr="resizeПП-00228079"/>
        <xdr:cNvPicPr>
          <a:picLocks noChangeAspect="1"/>
        </xdr:cNvPicPr>
      </xdr:nvPicPr>
      <xdr:blipFill>
        <a:blip xmlns:r="http://schemas.openxmlformats.org/officeDocument/2006/relationships" r:embed="rId1291"/>
        <a:stretch>
          <a:fillRect/>
        </a:stretch>
      </xdr:blipFill>
      <xdr:spPr>
        <a:xfrm>
          <a:off x="7235825" y="1683124650"/>
          <a:ext cx="878840" cy="1183640"/>
        </a:xfrm>
        <a:prstGeom prst="rect">
          <a:avLst/>
        </a:prstGeom>
      </xdr:spPr>
    </xdr:pic>
    <xdr:clientData/>
  </xdr:twoCellAnchor>
  <xdr:twoCellAnchor>
    <xdr:from>
      <xdr:col>9</xdr:col>
      <xdr:colOff>6350</xdr:colOff>
      <xdr:row>1728</xdr:row>
      <xdr:rowOff>25400</xdr:rowOff>
    </xdr:from>
    <xdr:to>
      <xdr:col>9</xdr:col>
      <xdr:colOff>885190</xdr:colOff>
      <xdr:row>1728</xdr:row>
      <xdr:rowOff>1209040</xdr:rowOff>
    </xdr:to>
    <xdr:pic>
      <xdr:nvPicPr>
        <xdr:cNvPr id="6535" name="Изображение 6534" descr="resizeПП-00271583"/>
        <xdr:cNvPicPr>
          <a:picLocks noChangeAspect="1"/>
        </xdr:cNvPicPr>
      </xdr:nvPicPr>
      <xdr:blipFill>
        <a:blip xmlns:r="http://schemas.openxmlformats.org/officeDocument/2006/relationships" r:embed="rId1292"/>
        <a:stretch>
          <a:fillRect/>
        </a:stretch>
      </xdr:blipFill>
      <xdr:spPr>
        <a:xfrm>
          <a:off x="7235825" y="1684347025"/>
          <a:ext cx="878840" cy="1183640"/>
        </a:xfrm>
        <a:prstGeom prst="rect">
          <a:avLst/>
        </a:prstGeom>
      </xdr:spPr>
    </xdr:pic>
    <xdr:clientData/>
  </xdr:twoCellAnchor>
  <xdr:twoCellAnchor>
    <xdr:from>
      <xdr:col>9</xdr:col>
      <xdr:colOff>6350</xdr:colOff>
      <xdr:row>1729</xdr:row>
      <xdr:rowOff>25400</xdr:rowOff>
    </xdr:from>
    <xdr:to>
      <xdr:col>9</xdr:col>
      <xdr:colOff>885190</xdr:colOff>
      <xdr:row>1729</xdr:row>
      <xdr:rowOff>1209040</xdr:rowOff>
    </xdr:to>
    <xdr:pic>
      <xdr:nvPicPr>
        <xdr:cNvPr id="6536" name="Изображение 6535" descr="resizeПП-00228075"/>
        <xdr:cNvPicPr>
          <a:picLocks noChangeAspect="1"/>
        </xdr:cNvPicPr>
      </xdr:nvPicPr>
      <xdr:blipFill>
        <a:blip xmlns:r="http://schemas.openxmlformats.org/officeDocument/2006/relationships" r:embed="rId1293"/>
        <a:stretch>
          <a:fillRect/>
        </a:stretch>
      </xdr:blipFill>
      <xdr:spPr>
        <a:xfrm>
          <a:off x="7235825" y="1685569400"/>
          <a:ext cx="878840" cy="1183640"/>
        </a:xfrm>
        <a:prstGeom prst="rect">
          <a:avLst/>
        </a:prstGeom>
      </xdr:spPr>
    </xdr:pic>
    <xdr:clientData/>
  </xdr:twoCellAnchor>
  <xdr:twoCellAnchor>
    <xdr:from>
      <xdr:col>9</xdr:col>
      <xdr:colOff>6350</xdr:colOff>
      <xdr:row>1730</xdr:row>
      <xdr:rowOff>25400</xdr:rowOff>
    </xdr:from>
    <xdr:to>
      <xdr:col>9</xdr:col>
      <xdr:colOff>885190</xdr:colOff>
      <xdr:row>1730</xdr:row>
      <xdr:rowOff>1209040</xdr:rowOff>
    </xdr:to>
    <xdr:pic>
      <xdr:nvPicPr>
        <xdr:cNvPr id="6537" name="Изображение 6536" descr="resizeПП-00228077"/>
        <xdr:cNvPicPr>
          <a:picLocks noChangeAspect="1"/>
        </xdr:cNvPicPr>
      </xdr:nvPicPr>
      <xdr:blipFill>
        <a:blip xmlns:r="http://schemas.openxmlformats.org/officeDocument/2006/relationships" r:embed="rId1294"/>
        <a:stretch>
          <a:fillRect/>
        </a:stretch>
      </xdr:blipFill>
      <xdr:spPr>
        <a:xfrm>
          <a:off x="7235825" y="1686791775"/>
          <a:ext cx="878840" cy="1183640"/>
        </a:xfrm>
        <a:prstGeom prst="rect">
          <a:avLst/>
        </a:prstGeom>
      </xdr:spPr>
    </xdr:pic>
    <xdr:clientData/>
  </xdr:twoCellAnchor>
  <xdr:twoCellAnchor>
    <xdr:from>
      <xdr:col>9</xdr:col>
      <xdr:colOff>6350</xdr:colOff>
      <xdr:row>1731</xdr:row>
      <xdr:rowOff>25400</xdr:rowOff>
    </xdr:from>
    <xdr:to>
      <xdr:col>9</xdr:col>
      <xdr:colOff>885190</xdr:colOff>
      <xdr:row>1731</xdr:row>
      <xdr:rowOff>1209040</xdr:rowOff>
    </xdr:to>
    <xdr:pic>
      <xdr:nvPicPr>
        <xdr:cNvPr id="6538" name="Изображение 6537" descr="resizeПП-00228071"/>
        <xdr:cNvPicPr>
          <a:picLocks noChangeAspect="1"/>
        </xdr:cNvPicPr>
      </xdr:nvPicPr>
      <xdr:blipFill>
        <a:blip xmlns:r="http://schemas.openxmlformats.org/officeDocument/2006/relationships" r:embed="rId1295"/>
        <a:stretch>
          <a:fillRect/>
        </a:stretch>
      </xdr:blipFill>
      <xdr:spPr>
        <a:xfrm>
          <a:off x="7235825" y="1688014150"/>
          <a:ext cx="878840" cy="1183640"/>
        </a:xfrm>
        <a:prstGeom prst="rect">
          <a:avLst/>
        </a:prstGeom>
      </xdr:spPr>
    </xdr:pic>
    <xdr:clientData/>
  </xdr:twoCellAnchor>
  <xdr:twoCellAnchor>
    <xdr:from>
      <xdr:col>9</xdr:col>
      <xdr:colOff>6350</xdr:colOff>
      <xdr:row>1732</xdr:row>
      <xdr:rowOff>25400</xdr:rowOff>
    </xdr:from>
    <xdr:to>
      <xdr:col>9</xdr:col>
      <xdr:colOff>885190</xdr:colOff>
      <xdr:row>1732</xdr:row>
      <xdr:rowOff>1209040</xdr:rowOff>
    </xdr:to>
    <xdr:pic>
      <xdr:nvPicPr>
        <xdr:cNvPr id="6539" name="Изображение 6538" descr="resizeПП-00271584"/>
        <xdr:cNvPicPr>
          <a:picLocks noChangeAspect="1"/>
        </xdr:cNvPicPr>
      </xdr:nvPicPr>
      <xdr:blipFill>
        <a:blip xmlns:r="http://schemas.openxmlformats.org/officeDocument/2006/relationships" r:embed="rId1296"/>
        <a:stretch>
          <a:fillRect/>
        </a:stretch>
      </xdr:blipFill>
      <xdr:spPr>
        <a:xfrm>
          <a:off x="7235825" y="1689236525"/>
          <a:ext cx="878840" cy="1183640"/>
        </a:xfrm>
        <a:prstGeom prst="rect">
          <a:avLst/>
        </a:prstGeom>
      </xdr:spPr>
    </xdr:pic>
    <xdr:clientData/>
  </xdr:twoCellAnchor>
  <xdr:twoCellAnchor>
    <xdr:from>
      <xdr:col>9</xdr:col>
      <xdr:colOff>6350</xdr:colOff>
      <xdr:row>1733</xdr:row>
      <xdr:rowOff>25400</xdr:rowOff>
    </xdr:from>
    <xdr:to>
      <xdr:col>9</xdr:col>
      <xdr:colOff>1189990</xdr:colOff>
      <xdr:row>1733</xdr:row>
      <xdr:rowOff>904240</xdr:rowOff>
    </xdr:to>
    <xdr:pic>
      <xdr:nvPicPr>
        <xdr:cNvPr id="6540" name="Изображение 6539" descr="resizeПП-00271581"/>
        <xdr:cNvPicPr>
          <a:picLocks noChangeAspect="1"/>
        </xdr:cNvPicPr>
      </xdr:nvPicPr>
      <xdr:blipFill>
        <a:blip xmlns:r="http://schemas.openxmlformats.org/officeDocument/2006/relationships" r:embed="rId1297"/>
        <a:stretch>
          <a:fillRect/>
        </a:stretch>
      </xdr:blipFill>
      <xdr:spPr>
        <a:xfrm>
          <a:off x="7235825" y="1690458900"/>
          <a:ext cx="1183640" cy="878840"/>
        </a:xfrm>
        <a:prstGeom prst="rect">
          <a:avLst/>
        </a:prstGeom>
      </xdr:spPr>
    </xdr:pic>
    <xdr:clientData/>
  </xdr:twoCellAnchor>
  <xdr:twoCellAnchor>
    <xdr:from>
      <xdr:col>9</xdr:col>
      <xdr:colOff>6350</xdr:colOff>
      <xdr:row>1734</xdr:row>
      <xdr:rowOff>25400</xdr:rowOff>
    </xdr:from>
    <xdr:to>
      <xdr:col>9</xdr:col>
      <xdr:colOff>885190</xdr:colOff>
      <xdr:row>1734</xdr:row>
      <xdr:rowOff>1209040</xdr:rowOff>
    </xdr:to>
    <xdr:pic>
      <xdr:nvPicPr>
        <xdr:cNvPr id="6541" name="Изображение 6540" descr="resizeПП-00271582"/>
        <xdr:cNvPicPr>
          <a:picLocks noChangeAspect="1"/>
        </xdr:cNvPicPr>
      </xdr:nvPicPr>
      <xdr:blipFill>
        <a:blip xmlns:r="http://schemas.openxmlformats.org/officeDocument/2006/relationships" r:embed="rId1298"/>
        <a:stretch>
          <a:fillRect/>
        </a:stretch>
      </xdr:blipFill>
      <xdr:spPr>
        <a:xfrm>
          <a:off x="7235825" y="1691681275"/>
          <a:ext cx="878840" cy="1183640"/>
        </a:xfrm>
        <a:prstGeom prst="rect">
          <a:avLst/>
        </a:prstGeom>
      </xdr:spPr>
    </xdr:pic>
    <xdr:clientData/>
  </xdr:twoCellAnchor>
  <xdr:twoCellAnchor>
    <xdr:from>
      <xdr:col>9</xdr:col>
      <xdr:colOff>6350</xdr:colOff>
      <xdr:row>1735</xdr:row>
      <xdr:rowOff>25400</xdr:rowOff>
    </xdr:from>
    <xdr:to>
      <xdr:col>9</xdr:col>
      <xdr:colOff>885190</xdr:colOff>
      <xdr:row>1735</xdr:row>
      <xdr:rowOff>1209040</xdr:rowOff>
    </xdr:to>
    <xdr:pic>
      <xdr:nvPicPr>
        <xdr:cNvPr id="6542" name="Изображение 6541" descr="resizeПП-00271586"/>
        <xdr:cNvPicPr>
          <a:picLocks noChangeAspect="1"/>
        </xdr:cNvPicPr>
      </xdr:nvPicPr>
      <xdr:blipFill>
        <a:blip xmlns:r="http://schemas.openxmlformats.org/officeDocument/2006/relationships" r:embed="rId1299"/>
        <a:stretch>
          <a:fillRect/>
        </a:stretch>
      </xdr:blipFill>
      <xdr:spPr>
        <a:xfrm>
          <a:off x="7235825" y="1692903650"/>
          <a:ext cx="878840" cy="1183640"/>
        </a:xfrm>
        <a:prstGeom prst="rect">
          <a:avLst/>
        </a:prstGeom>
      </xdr:spPr>
    </xdr:pic>
    <xdr:clientData/>
  </xdr:twoCellAnchor>
  <xdr:twoCellAnchor>
    <xdr:from>
      <xdr:col>9</xdr:col>
      <xdr:colOff>6350</xdr:colOff>
      <xdr:row>1736</xdr:row>
      <xdr:rowOff>25400</xdr:rowOff>
    </xdr:from>
    <xdr:to>
      <xdr:col>9</xdr:col>
      <xdr:colOff>885190</xdr:colOff>
      <xdr:row>1736</xdr:row>
      <xdr:rowOff>1209040</xdr:rowOff>
    </xdr:to>
    <xdr:pic>
      <xdr:nvPicPr>
        <xdr:cNvPr id="6543" name="Изображение 6542" descr="resizeПП-00228073"/>
        <xdr:cNvPicPr>
          <a:picLocks noChangeAspect="1"/>
        </xdr:cNvPicPr>
      </xdr:nvPicPr>
      <xdr:blipFill>
        <a:blip xmlns:r="http://schemas.openxmlformats.org/officeDocument/2006/relationships" r:embed="rId1300"/>
        <a:stretch>
          <a:fillRect/>
        </a:stretch>
      </xdr:blipFill>
      <xdr:spPr>
        <a:xfrm>
          <a:off x="7235825" y="1694126025"/>
          <a:ext cx="878840" cy="1183640"/>
        </a:xfrm>
        <a:prstGeom prst="rect">
          <a:avLst/>
        </a:prstGeom>
      </xdr:spPr>
    </xdr:pic>
    <xdr:clientData/>
  </xdr:twoCellAnchor>
  <xdr:twoCellAnchor>
    <xdr:from>
      <xdr:col>9</xdr:col>
      <xdr:colOff>6350</xdr:colOff>
      <xdr:row>1737</xdr:row>
      <xdr:rowOff>25400</xdr:rowOff>
    </xdr:from>
    <xdr:to>
      <xdr:col>9</xdr:col>
      <xdr:colOff>885190</xdr:colOff>
      <xdr:row>1737</xdr:row>
      <xdr:rowOff>1209040</xdr:rowOff>
    </xdr:to>
    <xdr:pic>
      <xdr:nvPicPr>
        <xdr:cNvPr id="6544" name="Изображение 6543" descr="resizeПП-00271585"/>
        <xdr:cNvPicPr>
          <a:picLocks noChangeAspect="1"/>
        </xdr:cNvPicPr>
      </xdr:nvPicPr>
      <xdr:blipFill>
        <a:blip xmlns:r="http://schemas.openxmlformats.org/officeDocument/2006/relationships" r:embed="rId1301"/>
        <a:stretch>
          <a:fillRect/>
        </a:stretch>
      </xdr:blipFill>
      <xdr:spPr>
        <a:xfrm>
          <a:off x="7235825" y="1695348400"/>
          <a:ext cx="878840" cy="1183640"/>
        </a:xfrm>
        <a:prstGeom prst="rect">
          <a:avLst/>
        </a:prstGeom>
      </xdr:spPr>
    </xdr:pic>
    <xdr:clientData/>
  </xdr:twoCellAnchor>
  <xdr:twoCellAnchor>
    <xdr:from>
      <xdr:col>9</xdr:col>
      <xdr:colOff>6350</xdr:colOff>
      <xdr:row>1738</xdr:row>
      <xdr:rowOff>25400</xdr:rowOff>
    </xdr:from>
    <xdr:to>
      <xdr:col>9</xdr:col>
      <xdr:colOff>885190</xdr:colOff>
      <xdr:row>1738</xdr:row>
      <xdr:rowOff>1209040</xdr:rowOff>
    </xdr:to>
    <xdr:pic>
      <xdr:nvPicPr>
        <xdr:cNvPr id="6545" name="Изображение 6544" descr="resizeПП-00251272"/>
        <xdr:cNvPicPr>
          <a:picLocks noChangeAspect="1"/>
        </xdr:cNvPicPr>
      </xdr:nvPicPr>
      <xdr:blipFill>
        <a:blip xmlns:r="http://schemas.openxmlformats.org/officeDocument/2006/relationships" r:embed="rId1302"/>
        <a:stretch>
          <a:fillRect/>
        </a:stretch>
      </xdr:blipFill>
      <xdr:spPr>
        <a:xfrm>
          <a:off x="7235825" y="1696570775"/>
          <a:ext cx="878840" cy="1183640"/>
        </a:xfrm>
        <a:prstGeom prst="rect">
          <a:avLst/>
        </a:prstGeom>
      </xdr:spPr>
    </xdr:pic>
    <xdr:clientData/>
  </xdr:twoCellAnchor>
  <xdr:twoCellAnchor>
    <xdr:from>
      <xdr:col>9</xdr:col>
      <xdr:colOff>6350</xdr:colOff>
      <xdr:row>1739</xdr:row>
      <xdr:rowOff>25400</xdr:rowOff>
    </xdr:from>
    <xdr:to>
      <xdr:col>9</xdr:col>
      <xdr:colOff>885190</xdr:colOff>
      <xdr:row>1739</xdr:row>
      <xdr:rowOff>1209040</xdr:rowOff>
    </xdr:to>
    <xdr:pic>
      <xdr:nvPicPr>
        <xdr:cNvPr id="6546" name="Изображение 6545" descr="resizeПП-00251268"/>
        <xdr:cNvPicPr>
          <a:picLocks noChangeAspect="1"/>
        </xdr:cNvPicPr>
      </xdr:nvPicPr>
      <xdr:blipFill>
        <a:blip xmlns:r="http://schemas.openxmlformats.org/officeDocument/2006/relationships" r:embed="rId1303"/>
        <a:stretch>
          <a:fillRect/>
        </a:stretch>
      </xdr:blipFill>
      <xdr:spPr>
        <a:xfrm>
          <a:off x="7235825" y="1697793150"/>
          <a:ext cx="878840" cy="1183640"/>
        </a:xfrm>
        <a:prstGeom prst="rect">
          <a:avLst/>
        </a:prstGeom>
      </xdr:spPr>
    </xdr:pic>
    <xdr:clientData/>
  </xdr:twoCellAnchor>
  <xdr:twoCellAnchor>
    <xdr:from>
      <xdr:col>9</xdr:col>
      <xdr:colOff>6350</xdr:colOff>
      <xdr:row>1740</xdr:row>
      <xdr:rowOff>25400</xdr:rowOff>
    </xdr:from>
    <xdr:to>
      <xdr:col>9</xdr:col>
      <xdr:colOff>885190</xdr:colOff>
      <xdr:row>1740</xdr:row>
      <xdr:rowOff>1209040</xdr:rowOff>
    </xdr:to>
    <xdr:pic>
      <xdr:nvPicPr>
        <xdr:cNvPr id="6547" name="Изображение 6546" descr="resizeПП-00251267"/>
        <xdr:cNvPicPr>
          <a:picLocks noChangeAspect="1"/>
        </xdr:cNvPicPr>
      </xdr:nvPicPr>
      <xdr:blipFill>
        <a:blip xmlns:r="http://schemas.openxmlformats.org/officeDocument/2006/relationships" r:embed="rId1304"/>
        <a:stretch>
          <a:fillRect/>
        </a:stretch>
      </xdr:blipFill>
      <xdr:spPr>
        <a:xfrm>
          <a:off x="7235825" y="1699015525"/>
          <a:ext cx="878840" cy="1183640"/>
        </a:xfrm>
        <a:prstGeom prst="rect">
          <a:avLst/>
        </a:prstGeom>
      </xdr:spPr>
    </xdr:pic>
    <xdr:clientData/>
  </xdr:twoCellAnchor>
  <xdr:twoCellAnchor>
    <xdr:from>
      <xdr:col>9</xdr:col>
      <xdr:colOff>6350</xdr:colOff>
      <xdr:row>1743</xdr:row>
      <xdr:rowOff>25400</xdr:rowOff>
    </xdr:from>
    <xdr:to>
      <xdr:col>9</xdr:col>
      <xdr:colOff>885190</xdr:colOff>
      <xdr:row>1743</xdr:row>
      <xdr:rowOff>1209040</xdr:rowOff>
    </xdr:to>
    <xdr:pic>
      <xdr:nvPicPr>
        <xdr:cNvPr id="6548" name="Изображение 6547" descr="resizeПП-00155254"/>
        <xdr:cNvPicPr>
          <a:picLocks noChangeAspect="1"/>
        </xdr:cNvPicPr>
      </xdr:nvPicPr>
      <xdr:blipFill>
        <a:blip xmlns:r="http://schemas.openxmlformats.org/officeDocument/2006/relationships" r:embed="rId1305"/>
        <a:stretch>
          <a:fillRect/>
        </a:stretch>
      </xdr:blipFill>
      <xdr:spPr>
        <a:xfrm>
          <a:off x="7235825" y="1700542700"/>
          <a:ext cx="878840" cy="1183640"/>
        </a:xfrm>
        <a:prstGeom prst="rect">
          <a:avLst/>
        </a:prstGeom>
      </xdr:spPr>
    </xdr:pic>
    <xdr:clientData/>
  </xdr:twoCellAnchor>
  <xdr:twoCellAnchor>
    <xdr:from>
      <xdr:col>9</xdr:col>
      <xdr:colOff>6350</xdr:colOff>
      <xdr:row>1745</xdr:row>
      <xdr:rowOff>25400</xdr:rowOff>
    </xdr:from>
    <xdr:to>
      <xdr:col>9</xdr:col>
      <xdr:colOff>885190</xdr:colOff>
      <xdr:row>1745</xdr:row>
      <xdr:rowOff>1209040</xdr:rowOff>
    </xdr:to>
    <xdr:pic>
      <xdr:nvPicPr>
        <xdr:cNvPr id="6549" name="Изображение 6548" descr="resizeПП-00155173"/>
        <xdr:cNvPicPr>
          <a:picLocks noChangeAspect="1"/>
        </xdr:cNvPicPr>
      </xdr:nvPicPr>
      <xdr:blipFill>
        <a:blip xmlns:r="http://schemas.openxmlformats.org/officeDocument/2006/relationships" r:embed="rId1306"/>
        <a:stretch>
          <a:fillRect/>
        </a:stretch>
      </xdr:blipFill>
      <xdr:spPr>
        <a:xfrm>
          <a:off x="7235825" y="1701917475"/>
          <a:ext cx="878840" cy="1183640"/>
        </a:xfrm>
        <a:prstGeom prst="rect">
          <a:avLst/>
        </a:prstGeom>
      </xdr:spPr>
    </xdr:pic>
    <xdr:clientData/>
  </xdr:twoCellAnchor>
  <xdr:twoCellAnchor>
    <xdr:from>
      <xdr:col>9</xdr:col>
      <xdr:colOff>6350</xdr:colOff>
      <xdr:row>1746</xdr:row>
      <xdr:rowOff>25400</xdr:rowOff>
    </xdr:from>
    <xdr:to>
      <xdr:col>9</xdr:col>
      <xdr:colOff>885190</xdr:colOff>
      <xdr:row>1746</xdr:row>
      <xdr:rowOff>1209040</xdr:rowOff>
    </xdr:to>
    <xdr:pic>
      <xdr:nvPicPr>
        <xdr:cNvPr id="6550" name="Изображение 6549" descr="resizeПП-00155186"/>
        <xdr:cNvPicPr>
          <a:picLocks noChangeAspect="1"/>
        </xdr:cNvPicPr>
      </xdr:nvPicPr>
      <xdr:blipFill>
        <a:blip xmlns:r="http://schemas.openxmlformats.org/officeDocument/2006/relationships" r:embed="rId1307"/>
        <a:stretch>
          <a:fillRect/>
        </a:stretch>
      </xdr:blipFill>
      <xdr:spPr>
        <a:xfrm>
          <a:off x="7235825" y="1703139850"/>
          <a:ext cx="878840" cy="1183640"/>
        </a:xfrm>
        <a:prstGeom prst="rect">
          <a:avLst/>
        </a:prstGeom>
      </xdr:spPr>
    </xdr:pic>
    <xdr:clientData/>
  </xdr:twoCellAnchor>
  <xdr:twoCellAnchor>
    <xdr:from>
      <xdr:col>9</xdr:col>
      <xdr:colOff>6350</xdr:colOff>
      <xdr:row>1749</xdr:row>
      <xdr:rowOff>25400</xdr:rowOff>
    </xdr:from>
    <xdr:to>
      <xdr:col>9</xdr:col>
      <xdr:colOff>885190</xdr:colOff>
      <xdr:row>1749</xdr:row>
      <xdr:rowOff>1209040</xdr:rowOff>
    </xdr:to>
    <xdr:pic>
      <xdr:nvPicPr>
        <xdr:cNvPr id="6551" name="Изображение 6550" descr="resizeПП-00251424"/>
        <xdr:cNvPicPr>
          <a:picLocks noChangeAspect="1"/>
        </xdr:cNvPicPr>
      </xdr:nvPicPr>
      <xdr:blipFill>
        <a:blip xmlns:r="http://schemas.openxmlformats.org/officeDocument/2006/relationships" r:embed="rId1308"/>
        <a:stretch>
          <a:fillRect/>
        </a:stretch>
      </xdr:blipFill>
      <xdr:spPr>
        <a:xfrm>
          <a:off x="7235825" y="1704667025"/>
          <a:ext cx="878840" cy="1183640"/>
        </a:xfrm>
        <a:prstGeom prst="rect">
          <a:avLst/>
        </a:prstGeom>
      </xdr:spPr>
    </xdr:pic>
    <xdr:clientData/>
  </xdr:twoCellAnchor>
  <xdr:twoCellAnchor>
    <xdr:from>
      <xdr:col>9</xdr:col>
      <xdr:colOff>6350</xdr:colOff>
      <xdr:row>1750</xdr:row>
      <xdr:rowOff>25400</xdr:rowOff>
    </xdr:from>
    <xdr:to>
      <xdr:col>9</xdr:col>
      <xdr:colOff>885190</xdr:colOff>
      <xdr:row>1750</xdr:row>
      <xdr:rowOff>1209040</xdr:rowOff>
    </xdr:to>
    <xdr:pic>
      <xdr:nvPicPr>
        <xdr:cNvPr id="6552" name="Изображение 6551" descr="resizeПП-00189860"/>
        <xdr:cNvPicPr>
          <a:picLocks noChangeAspect="1"/>
        </xdr:cNvPicPr>
      </xdr:nvPicPr>
      <xdr:blipFill>
        <a:blip xmlns:r="http://schemas.openxmlformats.org/officeDocument/2006/relationships" r:embed="rId1309"/>
        <a:stretch>
          <a:fillRect/>
        </a:stretch>
      </xdr:blipFill>
      <xdr:spPr>
        <a:xfrm>
          <a:off x="7235825" y="1705889400"/>
          <a:ext cx="878840" cy="1183640"/>
        </a:xfrm>
        <a:prstGeom prst="rect">
          <a:avLst/>
        </a:prstGeom>
      </xdr:spPr>
    </xdr:pic>
    <xdr:clientData/>
  </xdr:twoCellAnchor>
  <xdr:twoCellAnchor>
    <xdr:from>
      <xdr:col>9</xdr:col>
      <xdr:colOff>6350</xdr:colOff>
      <xdr:row>1751</xdr:row>
      <xdr:rowOff>25400</xdr:rowOff>
    </xdr:from>
    <xdr:to>
      <xdr:col>9</xdr:col>
      <xdr:colOff>885190</xdr:colOff>
      <xdr:row>1751</xdr:row>
      <xdr:rowOff>1209040</xdr:rowOff>
    </xdr:to>
    <xdr:pic>
      <xdr:nvPicPr>
        <xdr:cNvPr id="6553" name="Изображение 6552" descr="resizeПП-00189858"/>
        <xdr:cNvPicPr>
          <a:picLocks noChangeAspect="1"/>
        </xdr:cNvPicPr>
      </xdr:nvPicPr>
      <xdr:blipFill>
        <a:blip xmlns:r="http://schemas.openxmlformats.org/officeDocument/2006/relationships" r:embed="rId1310"/>
        <a:stretch>
          <a:fillRect/>
        </a:stretch>
      </xdr:blipFill>
      <xdr:spPr>
        <a:xfrm>
          <a:off x="7235825" y="1707111775"/>
          <a:ext cx="878840" cy="1183640"/>
        </a:xfrm>
        <a:prstGeom prst="rect">
          <a:avLst/>
        </a:prstGeom>
      </xdr:spPr>
    </xdr:pic>
    <xdr:clientData/>
  </xdr:twoCellAnchor>
  <xdr:twoCellAnchor>
    <xdr:from>
      <xdr:col>9</xdr:col>
      <xdr:colOff>6350</xdr:colOff>
      <xdr:row>1752</xdr:row>
      <xdr:rowOff>25400</xdr:rowOff>
    </xdr:from>
    <xdr:to>
      <xdr:col>9</xdr:col>
      <xdr:colOff>885190</xdr:colOff>
      <xdr:row>1752</xdr:row>
      <xdr:rowOff>1209040</xdr:rowOff>
    </xdr:to>
    <xdr:pic>
      <xdr:nvPicPr>
        <xdr:cNvPr id="6554" name="Изображение 6553" descr="resizeПП-00189857"/>
        <xdr:cNvPicPr>
          <a:picLocks noChangeAspect="1"/>
        </xdr:cNvPicPr>
      </xdr:nvPicPr>
      <xdr:blipFill>
        <a:blip xmlns:r="http://schemas.openxmlformats.org/officeDocument/2006/relationships" r:embed="rId1311"/>
        <a:stretch>
          <a:fillRect/>
        </a:stretch>
      </xdr:blipFill>
      <xdr:spPr>
        <a:xfrm>
          <a:off x="7235825" y="1708334150"/>
          <a:ext cx="878840" cy="1183640"/>
        </a:xfrm>
        <a:prstGeom prst="rect">
          <a:avLst/>
        </a:prstGeom>
      </xdr:spPr>
    </xdr:pic>
    <xdr:clientData/>
  </xdr:twoCellAnchor>
  <xdr:twoCellAnchor>
    <xdr:from>
      <xdr:col>9</xdr:col>
      <xdr:colOff>6350</xdr:colOff>
      <xdr:row>1754</xdr:row>
      <xdr:rowOff>25400</xdr:rowOff>
    </xdr:from>
    <xdr:to>
      <xdr:col>9</xdr:col>
      <xdr:colOff>885190</xdr:colOff>
      <xdr:row>1754</xdr:row>
      <xdr:rowOff>1209040</xdr:rowOff>
    </xdr:to>
    <xdr:pic>
      <xdr:nvPicPr>
        <xdr:cNvPr id="6555" name="Изображение 6554" descr="resizeПП-00251428"/>
        <xdr:cNvPicPr>
          <a:picLocks noChangeAspect="1"/>
        </xdr:cNvPicPr>
      </xdr:nvPicPr>
      <xdr:blipFill>
        <a:blip xmlns:r="http://schemas.openxmlformats.org/officeDocument/2006/relationships" r:embed="rId1312"/>
        <a:stretch>
          <a:fillRect/>
        </a:stretch>
      </xdr:blipFill>
      <xdr:spPr>
        <a:xfrm>
          <a:off x="7235825" y="1709708925"/>
          <a:ext cx="878840" cy="1183640"/>
        </a:xfrm>
        <a:prstGeom prst="rect">
          <a:avLst/>
        </a:prstGeom>
      </xdr:spPr>
    </xdr:pic>
    <xdr:clientData/>
  </xdr:twoCellAnchor>
  <xdr:twoCellAnchor>
    <xdr:from>
      <xdr:col>9</xdr:col>
      <xdr:colOff>6350</xdr:colOff>
      <xdr:row>1755</xdr:row>
      <xdr:rowOff>25400</xdr:rowOff>
    </xdr:from>
    <xdr:to>
      <xdr:col>9</xdr:col>
      <xdr:colOff>885190</xdr:colOff>
      <xdr:row>1755</xdr:row>
      <xdr:rowOff>1209040</xdr:rowOff>
    </xdr:to>
    <xdr:pic>
      <xdr:nvPicPr>
        <xdr:cNvPr id="6556" name="Изображение 6555" descr="resizeПП-00227980"/>
        <xdr:cNvPicPr>
          <a:picLocks noChangeAspect="1"/>
        </xdr:cNvPicPr>
      </xdr:nvPicPr>
      <xdr:blipFill>
        <a:blip xmlns:r="http://schemas.openxmlformats.org/officeDocument/2006/relationships" r:embed="rId1313"/>
        <a:stretch>
          <a:fillRect/>
        </a:stretch>
      </xdr:blipFill>
      <xdr:spPr>
        <a:xfrm>
          <a:off x="7235825" y="1710931300"/>
          <a:ext cx="878840" cy="1183640"/>
        </a:xfrm>
        <a:prstGeom prst="rect">
          <a:avLst/>
        </a:prstGeom>
      </xdr:spPr>
    </xdr:pic>
    <xdr:clientData/>
  </xdr:twoCellAnchor>
  <xdr:twoCellAnchor>
    <xdr:from>
      <xdr:col>9</xdr:col>
      <xdr:colOff>6350</xdr:colOff>
      <xdr:row>1756</xdr:row>
      <xdr:rowOff>25400</xdr:rowOff>
    </xdr:from>
    <xdr:to>
      <xdr:col>9</xdr:col>
      <xdr:colOff>885190</xdr:colOff>
      <xdr:row>1756</xdr:row>
      <xdr:rowOff>1209040</xdr:rowOff>
    </xdr:to>
    <xdr:pic>
      <xdr:nvPicPr>
        <xdr:cNvPr id="6557" name="Изображение 6556" descr="resizeПП-00251429"/>
        <xdr:cNvPicPr>
          <a:picLocks noChangeAspect="1"/>
        </xdr:cNvPicPr>
      </xdr:nvPicPr>
      <xdr:blipFill>
        <a:blip xmlns:r="http://schemas.openxmlformats.org/officeDocument/2006/relationships" r:embed="rId1314"/>
        <a:stretch>
          <a:fillRect/>
        </a:stretch>
      </xdr:blipFill>
      <xdr:spPr>
        <a:xfrm>
          <a:off x="7235825" y="1712153675"/>
          <a:ext cx="878840" cy="1183640"/>
        </a:xfrm>
        <a:prstGeom prst="rect">
          <a:avLst/>
        </a:prstGeom>
      </xdr:spPr>
    </xdr:pic>
    <xdr:clientData/>
  </xdr:twoCellAnchor>
  <xdr:twoCellAnchor>
    <xdr:from>
      <xdr:col>9</xdr:col>
      <xdr:colOff>6350</xdr:colOff>
      <xdr:row>1758</xdr:row>
      <xdr:rowOff>25400</xdr:rowOff>
    </xdr:from>
    <xdr:to>
      <xdr:col>9</xdr:col>
      <xdr:colOff>885190</xdr:colOff>
      <xdr:row>1758</xdr:row>
      <xdr:rowOff>1209040</xdr:rowOff>
    </xdr:to>
    <xdr:pic>
      <xdr:nvPicPr>
        <xdr:cNvPr id="6558" name="Изображение 6557" descr="resizeПП-00227982"/>
        <xdr:cNvPicPr>
          <a:picLocks noChangeAspect="1"/>
        </xdr:cNvPicPr>
      </xdr:nvPicPr>
      <xdr:blipFill>
        <a:blip xmlns:r="http://schemas.openxmlformats.org/officeDocument/2006/relationships" r:embed="rId1315"/>
        <a:stretch>
          <a:fillRect/>
        </a:stretch>
      </xdr:blipFill>
      <xdr:spPr>
        <a:xfrm>
          <a:off x="7235825" y="1713528450"/>
          <a:ext cx="878840" cy="1183640"/>
        </a:xfrm>
        <a:prstGeom prst="rect">
          <a:avLst/>
        </a:prstGeom>
      </xdr:spPr>
    </xdr:pic>
    <xdr:clientData/>
  </xdr:twoCellAnchor>
  <xdr:twoCellAnchor>
    <xdr:from>
      <xdr:col>9</xdr:col>
      <xdr:colOff>6350</xdr:colOff>
      <xdr:row>1759</xdr:row>
      <xdr:rowOff>25400</xdr:rowOff>
    </xdr:from>
    <xdr:to>
      <xdr:col>9</xdr:col>
      <xdr:colOff>885190</xdr:colOff>
      <xdr:row>1759</xdr:row>
      <xdr:rowOff>1209040</xdr:rowOff>
    </xdr:to>
    <xdr:pic>
      <xdr:nvPicPr>
        <xdr:cNvPr id="6559" name="Изображение 6558" descr="resizeПП-00251431"/>
        <xdr:cNvPicPr>
          <a:picLocks noChangeAspect="1"/>
        </xdr:cNvPicPr>
      </xdr:nvPicPr>
      <xdr:blipFill>
        <a:blip xmlns:r="http://schemas.openxmlformats.org/officeDocument/2006/relationships" r:embed="rId1316"/>
        <a:stretch>
          <a:fillRect/>
        </a:stretch>
      </xdr:blipFill>
      <xdr:spPr>
        <a:xfrm>
          <a:off x="7235825" y="1714750825"/>
          <a:ext cx="878840" cy="1183640"/>
        </a:xfrm>
        <a:prstGeom prst="rect">
          <a:avLst/>
        </a:prstGeom>
      </xdr:spPr>
    </xdr:pic>
    <xdr:clientData/>
  </xdr:twoCellAnchor>
  <xdr:twoCellAnchor>
    <xdr:from>
      <xdr:col>9</xdr:col>
      <xdr:colOff>6350</xdr:colOff>
      <xdr:row>1760</xdr:row>
      <xdr:rowOff>25400</xdr:rowOff>
    </xdr:from>
    <xdr:to>
      <xdr:col>9</xdr:col>
      <xdr:colOff>885190</xdr:colOff>
      <xdr:row>1760</xdr:row>
      <xdr:rowOff>1209040</xdr:rowOff>
    </xdr:to>
    <xdr:pic>
      <xdr:nvPicPr>
        <xdr:cNvPr id="6560" name="Изображение 6559" descr="resizeПП-00227983"/>
        <xdr:cNvPicPr>
          <a:picLocks noChangeAspect="1"/>
        </xdr:cNvPicPr>
      </xdr:nvPicPr>
      <xdr:blipFill>
        <a:blip xmlns:r="http://schemas.openxmlformats.org/officeDocument/2006/relationships" r:embed="rId1317"/>
        <a:stretch>
          <a:fillRect/>
        </a:stretch>
      </xdr:blipFill>
      <xdr:spPr>
        <a:xfrm>
          <a:off x="7235825" y="1715973200"/>
          <a:ext cx="878840" cy="1183640"/>
        </a:xfrm>
        <a:prstGeom prst="rect">
          <a:avLst/>
        </a:prstGeom>
      </xdr:spPr>
    </xdr:pic>
    <xdr:clientData/>
  </xdr:twoCellAnchor>
  <xdr:twoCellAnchor>
    <xdr:from>
      <xdr:col>9</xdr:col>
      <xdr:colOff>6350</xdr:colOff>
      <xdr:row>1761</xdr:row>
      <xdr:rowOff>25400</xdr:rowOff>
    </xdr:from>
    <xdr:to>
      <xdr:col>9</xdr:col>
      <xdr:colOff>885190</xdr:colOff>
      <xdr:row>1761</xdr:row>
      <xdr:rowOff>1209040</xdr:rowOff>
    </xdr:to>
    <xdr:pic>
      <xdr:nvPicPr>
        <xdr:cNvPr id="6561" name="Изображение 6560" descr="resizeПП-00251433"/>
        <xdr:cNvPicPr>
          <a:picLocks noChangeAspect="1"/>
        </xdr:cNvPicPr>
      </xdr:nvPicPr>
      <xdr:blipFill>
        <a:blip xmlns:r="http://schemas.openxmlformats.org/officeDocument/2006/relationships" r:embed="rId1318"/>
        <a:stretch>
          <a:fillRect/>
        </a:stretch>
      </xdr:blipFill>
      <xdr:spPr>
        <a:xfrm>
          <a:off x="7235825" y="1717195575"/>
          <a:ext cx="878840" cy="1183640"/>
        </a:xfrm>
        <a:prstGeom prst="rect">
          <a:avLst/>
        </a:prstGeom>
      </xdr:spPr>
    </xdr:pic>
    <xdr:clientData/>
  </xdr:twoCellAnchor>
  <xdr:twoCellAnchor>
    <xdr:from>
      <xdr:col>9</xdr:col>
      <xdr:colOff>6350</xdr:colOff>
      <xdr:row>1762</xdr:row>
      <xdr:rowOff>25400</xdr:rowOff>
    </xdr:from>
    <xdr:to>
      <xdr:col>9</xdr:col>
      <xdr:colOff>885190</xdr:colOff>
      <xdr:row>1762</xdr:row>
      <xdr:rowOff>1209040</xdr:rowOff>
    </xdr:to>
    <xdr:pic>
      <xdr:nvPicPr>
        <xdr:cNvPr id="6562" name="Изображение 6561" descr="resizeПП-00251432"/>
        <xdr:cNvPicPr>
          <a:picLocks noChangeAspect="1"/>
        </xdr:cNvPicPr>
      </xdr:nvPicPr>
      <xdr:blipFill>
        <a:blip xmlns:r="http://schemas.openxmlformats.org/officeDocument/2006/relationships" r:embed="rId1319"/>
        <a:stretch>
          <a:fillRect/>
        </a:stretch>
      </xdr:blipFill>
      <xdr:spPr>
        <a:xfrm>
          <a:off x="7235825" y="1718417950"/>
          <a:ext cx="878840" cy="1183640"/>
        </a:xfrm>
        <a:prstGeom prst="rect">
          <a:avLst/>
        </a:prstGeom>
      </xdr:spPr>
    </xdr:pic>
    <xdr:clientData/>
  </xdr:twoCellAnchor>
  <xdr:twoCellAnchor>
    <xdr:from>
      <xdr:col>9</xdr:col>
      <xdr:colOff>6350</xdr:colOff>
      <xdr:row>1763</xdr:row>
      <xdr:rowOff>25400</xdr:rowOff>
    </xdr:from>
    <xdr:to>
      <xdr:col>9</xdr:col>
      <xdr:colOff>885190</xdr:colOff>
      <xdr:row>1763</xdr:row>
      <xdr:rowOff>1209040</xdr:rowOff>
    </xdr:to>
    <xdr:pic>
      <xdr:nvPicPr>
        <xdr:cNvPr id="6563" name="Изображение 6562" descr="resizeПП-00251430"/>
        <xdr:cNvPicPr>
          <a:picLocks noChangeAspect="1"/>
        </xdr:cNvPicPr>
      </xdr:nvPicPr>
      <xdr:blipFill>
        <a:blip xmlns:r="http://schemas.openxmlformats.org/officeDocument/2006/relationships" r:embed="rId1320"/>
        <a:stretch>
          <a:fillRect/>
        </a:stretch>
      </xdr:blipFill>
      <xdr:spPr>
        <a:xfrm>
          <a:off x="7235825" y="1719640325"/>
          <a:ext cx="878840" cy="1183640"/>
        </a:xfrm>
        <a:prstGeom prst="rect">
          <a:avLst/>
        </a:prstGeom>
      </xdr:spPr>
    </xdr:pic>
    <xdr:clientData/>
  </xdr:twoCellAnchor>
  <xdr:twoCellAnchor>
    <xdr:from>
      <xdr:col>9</xdr:col>
      <xdr:colOff>6350</xdr:colOff>
      <xdr:row>1764</xdr:row>
      <xdr:rowOff>25400</xdr:rowOff>
    </xdr:from>
    <xdr:to>
      <xdr:col>9</xdr:col>
      <xdr:colOff>885190</xdr:colOff>
      <xdr:row>1764</xdr:row>
      <xdr:rowOff>1209040</xdr:rowOff>
    </xdr:to>
    <xdr:pic>
      <xdr:nvPicPr>
        <xdr:cNvPr id="6564" name="Изображение 6563" descr="resizeПП-00189865"/>
        <xdr:cNvPicPr>
          <a:picLocks noChangeAspect="1"/>
        </xdr:cNvPicPr>
      </xdr:nvPicPr>
      <xdr:blipFill>
        <a:blip xmlns:r="http://schemas.openxmlformats.org/officeDocument/2006/relationships" r:embed="rId1321"/>
        <a:stretch>
          <a:fillRect/>
        </a:stretch>
      </xdr:blipFill>
      <xdr:spPr>
        <a:xfrm>
          <a:off x="7235825" y="1720862700"/>
          <a:ext cx="878840" cy="1183640"/>
        </a:xfrm>
        <a:prstGeom prst="rect">
          <a:avLst/>
        </a:prstGeom>
      </xdr:spPr>
    </xdr:pic>
    <xdr:clientData/>
  </xdr:twoCellAnchor>
  <xdr:twoCellAnchor>
    <xdr:from>
      <xdr:col>9</xdr:col>
      <xdr:colOff>6350</xdr:colOff>
      <xdr:row>1765</xdr:row>
      <xdr:rowOff>25400</xdr:rowOff>
    </xdr:from>
    <xdr:to>
      <xdr:col>9</xdr:col>
      <xdr:colOff>885190</xdr:colOff>
      <xdr:row>1765</xdr:row>
      <xdr:rowOff>1209040</xdr:rowOff>
    </xdr:to>
    <xdr:pic>
      <xdr:nvPicPr>
        <xdr:cNvPr id="6565" name="Изображение 6564" descr="resizeПП-00189864"/>
        <xdr:cNvPicPr>
          <a:picLocks noChangeAspect="1"/>
        </xdr:cNvPicPr>
      </xdr:nvPicPr>
      <xdr:blipFill>
        <a:blip xmlns:r="http://schemas.openxmlformats.org/officeDocument/2006/relationships" r:embed="rId1322"/>
        <a:stretch>
          <a:fillRect/>
        </a:stretch>
      </xdr:blipFill>
      <xdr:spPr>
        <a:xfrm>
          <a:off x="7235825" y="1722085075"/>
          <a:ext cx="878840" cy="1183640"/>
        </a:xfrm>
        <a:prstGeom prst="rect">
          <a:avLst/>
        </a:prstGeom>
      </xdr:spPr>
    </xdr:pic>
    <xdr:clientData/>
  </xdr:twoCellAnchor>
  <xdr:twoCellAnchor>
    <xdr:from>
      <xdr:col>9</xdr:col>
      <xdr:colOff>6350</xdr:colOff>
      <xdr:row>1767</xdr:row>
      <xdr:rowOff>25400</xdr:rowOff>
    </xdr:from>
    <xdr:to>
      <xdr:col>9</xdr:col>
      <xdr:colOff>885190</xdr:colOff>
      <xdr:row>1767</xdr:row>
      <xdr:rowOff>1209040</xdr:rowOff>
    </xdr:to>
    <xdr:pic>
      <xdr:nvPicPr>
        <xdr:cNvPr id="6566" name="Изображение 6565" descr="resizeПП-00227987"/>
        <xdr:cNvPicPr>
          <a:picLocks noChangeAspect="1"/>
        </xdr:cNvPicPr>
      </xdr:nvPicPr>
      <xdr:blipFill>
        <a:blip xmlns:r="http://schemas.openxmlformats.org/officeDocument/2006/relationships" r:embed="rId1323"/>
        <a:stretch>
          <a:fillRect/>
        </a:stretch>
      </xdr:blipFill>
      <xdr:spPr>
        <a:xfrm>
          <a:off x="7235825" y="1723459850"/>
          <a:ext cx="878840" cy="1183640"/>
        </a:xfrm>
        <a:prstGeom prst="rect">
          <a:avLst/>
        </a:prstGeom>
      </xdr:spPr>
    </xdr:pic>
    <xdr:clientData/>
  </xdr:twoCellAnchor>
  <xdr:twoCellAnchor>
    <xdr:from>
      <xdr:col>9</xdr:col>
      <xdr:colOff>6350</xdr:colOff>
      <xdr:row>1768</xdr:row>
      <xdr:rowOff>25400</xdr:rowOff>
    </xdr:from>
    <xdr:to>
      <xdr:col>9</xdr:col>
      <xdr:colOff>885190</xdr:colOff>
      <xdr:row>1768</xdr:row>
      <xdr:rowOff>1209040</xdr:rowOff>
    </xdr:to>
    <xdr:pic>
      <xdr:nvPicPr>
        <xdr:cNvPr id="6567" name="Изображение 6566" descr="resizeПП-00251434"/>
        <xdr:cNvPicPr>
          <a:picLocks noChangeAspect="1"/>
        </xdr:cNvPicPr>
      </xdr:nvPicPr>
      <xdr:blipFill>
        <a:blip xmlns:r="http://schemas.openxmlformats.org/officeDocument/2006/relationships" r:embed="rId1324"/>
        <a:stretch>
          <a:fillRect/>
        </a:stretch>
      </xdr:blipFill>
      <xdr:spPr>
        <a:xfrm>
          <a:off x="7235825" y="1724682225"/>
          <a:ext cx="878840" cy="1183640"/>
        </a:xfrm>
        <a:prstGeom prst="rect">
          <a:avLst/>
        </a:prstGeom>
      </xdr:spPr>
    </xdr:pic>
    <xdr:clientData/>
  </xdr:twoCellAnchor>
  <xdr:twoCellAnchor>
    <xdr:from>
      <xdr:col>9</xdr:col>
      <xdr:colOff>6350</xdr:colOff>
      <xdr:row>1769</xdr:row>
      <xdr:rowOff>25400</xdr:rowOff>
    </xdr:from>
    <xdr:to>
      <xdr:col>9</xdr:col>
      <xdr:colOff>885190</xdr:colOff>
      <xdr:row>1769</xdr:row>
      <xdr:rowOff>1209040</xdr:rowOff>
    </xdr:to>
    <xdr:pic>
      <xdr:nvPicPr>
        <xdr:cNvPr id="6568" name="Изображение 6567" descr="resizeПП-00228287"/>
        <xdr:cNvPicPr>
          <a:picLocks noChangeAspect="1"/>
        </xdr:cNvPicPr>
      </xdr:nvPicPr>
      <xdr:blipFill>
        <a:blip xmlns:r="http://schemas.openxmlformats.org/officeDocument/2006/relationships" r:embed="rId1325"/>
        <a:stretch>
          <a:fillRect/>
        </a:stretch>
      </xdr:blipFill>
      <xdr:spPr>
        <a:xfrm>
          <a:off x="7235825" y="1725904600"/>
          <a:ext cx="878840" cy="1183640"/>
        </a:xfrm>
        <a:prstGeom prst="rect">
          <a:avLst/>
        </a:prstGeom>
      </xdr:spPr>
    </xdr:pic>
    <xdr:clientData/>
  </xdr:twoCellAnchor>
  <xdr:twoCellAnchor>
    <xdr:from>
      <xdr:col>9</xdr:col>
      <xdr:colOff>6350</xdr:colOff>
      <xdr:row>1770</xdr:row>
      <xdr:rowOff>25400</xdr:rowOff>
    </xdr:from>
    <xdr:to>
      <xdr:col>9</xdr:col>
      <xdr:colOff>885190</xdr:colOff>
      <xdr:row>1770</xdr:row>
      <xdr:rowOff>1209040</xdr:rowOff>
    </xdr:to>
    <xdr:pic>
      <xdr:nvPicPr>
        <xdr:cNvPr id="6569" name="Изображение 6568" descr="resizeПП-00189873"/>
        <xdr:cNvPicPr>
          <a:picLocks noChangeAspect="1"/>
        </xdr:cNvPicPr>
      </xdr:nvPicPr>
      <xdr:blipFill>
        <a:blip xmlns:r="http://schemas.openxmlformats.org/officeDocument/2006/relationships" r:embed="rId1326"/>
        <a:stretch>
          <a:fillRect/>
        </a:stretch>
      </xdr:blipFill>
      <xdr:spPr>
        <a:xfrm>
          <a:off x="7235825" y="1727126975"/>
          <a:ext cx="878840" cy="1183640"/>
        </a:xfrm>
        <a:prstGeom prst="rect">
          <a:avLst/>
        </a:prstGeom>
      </xdr:spPr>
    </xdr:pic>
    <xdr:clientData/>
  </xdr:twoCellAnchor>
  <xdr:twoCellAnchor>
    <xdr:from>
      <xdr:col>9</xdr:col>
      <xdr:colOff>6350</xdr:colOff>
      <xdr:row>1772</xdr:row>
      <xdr:rowOff>25400</xdr:rowOff>
    </xdr:from>
    <xdr:to>
      <xdr:col>9</xdr:col>
      <xdr:colOff>897890</xdr:colOff>
      <xdr:row>1772</xdr:row>
      <xdr:rowOff>1209040</xdr:rowOff>
    </xdr:to>
    <xdr:pic>
      <xdr:nvPicPr>
        <xdr:cNvPr id="6570" name="Изображение 6569" descr="resizeПП-00104267"/>
        <xdr:cNvPicPr>
          <a:picLocks noChangeAspect="1"/>
        </xdr:cNvPicPr>
      </xdr:nvPicPr>
      <xdr:blipFill>
        <a:blip xmlns:r="http://schemas.openxmlformats.org/officeDocument/2006/relationships" r:embed="rId1327"/>
        <a:stretch>
          <a:fillRect/>
        </a:stretch>
      </xdr:blipFill>
      <xdr:spPr>
        <a:xfrm>
          <a:off x="7235825" y="1728501750"/>
          <a:ext cx="891540" cy="1183640"/>
        </a:xfrm>
        <a:prstGeom prst="rect">
          <a:avLst/>
        </a:prstGeom>
      </xdr:spPr>
    </xdr:pic>
    <xdr:clientData/>
  </xdr:twoCellAnchor>
  <xdr:twoCellAnchor>
    <xdr:from>
      <xdr:col>9</xdr:col>
      <xdr:colOff>6350</xdr:colOff>
      <xdr:row>1773</xdr:row>
      <xdr:rowOff>25400</xdr:rowOff>
    </xdr:from>
    <xdr:to>
      <xdr:col>9</xdr:col>
      <xdr:colOff>1189990</xdr:colOff>
      <xdr:row>1773</xdr:row>
      <xdr:rowOff>904240</xdr:rowOff>
    </xdr:to>
    <xdr:pic>
      <xdr:nvPicPr>
        <xdr:cNvPr id="6571" name="Изображение 6570" descr="resizeПП-00064683"/>
        <xdr:cNvPicPr>
          <a:picLocks noChangeAspect="1"/>
        </xdr:cNvPicPr>
      </xdr:nvPicPr>
      <xdr:blipFill>
        <a:blip xmlns:r="http://schemas.openxmlformats.org/officeDocument/2006/relationships" r:embed="rId1328"/>
        <a:stretch>
          <a:fillRect/>
        </a:stretch>
      </xdr:blipFill>
      <xdr:spPr>
        <a:xfrm>
          <a:off x="7235825" y="1729724125"/>
          <a:ext cx="1183640" cy="878840"/>
        </a:xfrm>
        <a:prstGeom prst="rect">
          <a:avLst/>
        </a:prstGeom>
      </xdr:spPr>
    </xdr:pic>
    <xdr:clientData/>
  </xdr:twoCellAnchor>
  <xdr:twoCellAnchor>
    <xdr:from>
      <xdr:col>9</xdr:col>
      <xdr:colOff>6350</xdr:colOff>
      <xdr:row>1776</xdr:row>
      <xdr:rowOff>25400</xdr:rowOff>
    </xdr:from>
    <xdr:to>
      <xdr:col>9</xdr:col>
      <xdr:colOff>885190</xdr:colOff>
      <xdr:row>1776</xdr:row>
      <xdr:rowOff>1209040</xdr:rowOff>
    </xdr:to>
    <xdr:pic>
      <xdr:nvPicPr>
        <xdr:cNvPr id="6572" name="Изображение 6571" descr="resizeПП-00276580"/>
        <xdr:cNvPicPr>
          <a:picLocks noChangeAspect="1"/>
        </xdr:cNvPicPr>
      </xdr:nvPicPr>
      <xdr:blipFill>
        <a:blip xmlns:r="http://schemas.openxmlformats.org/officeDocument/2006/relationships" r:embed="rId1329"/>
        <a:stretch>
          <a:fillRect/>
        </a:stretch>
      </xdr:blipFill>
      <xdr:spPr>
        <a:xfrm>
          <a:off x="7235825" y="1731251300"/>
          <a:ext cx="878840" cy="1183640"/>
        </a:xfrm>
        <a:prstGeom prst="rect">
          <a:avLst/>
        </a:prstGeom>
      </xdr:spPr>
    </xdr:pic>
    <xdr:clientData/>
  </xdr:twoCellAnchor>
  <xdr:twoCellAnchor>
    <xdr:from>
      <xdr:col>9</xdr:col>
      <xdr:colOff>6350</xdr:colOff>
      <xdr:row>1777</xdr:row>
      <xdr:rowOff>25400</xdr:rowOff>
    </xdr:from>
    <xdr:to>
      <xdr:col>9</xdr:col>
      <xdr:colOff>885190</xdr:colOff>
      <xdr:row>1777</xdr:row>
      <xdr:rowOff>1209040</xdr:rowOff>
    </xdr:to>
    <xdr:pic>
      <xdr:nvPicPr>
        <xdr:cNvPr id="6573" name="Изображение 6572" descr="resizeПП-00201752"/>
        <xdr:cNvPicPr>
          <a:picLocks noChangeAspect="1"/>
        </xdr:cNvPicPr>
      </xdr:nvPicPr>
      <xdr:blipFill>
        <a:blip xmlns:r="http://schemas.openxmlformats.org/officeDocument/2006/relationships" r:embed="rId1330"/>
        <a:stretch>
          <a:fillRect/>
        </a:stretch>
      </xdr:blipFill>
      <xdr:spPr>
        <a:xfrm>
          <a:off x="7235825" y="1732473675"/>
          <a:ext cx="878840" cy="1183640"/>
        </a:xfrm>
        <a:prstGeom prst="rect">
          <a:avLst/>
        </a:prstGeom>
      </xdr:spPr>
    </xdr:pic>
    <xdr:clientData/>
  </xdr:twoCellAnchor>
  <xdr:twoCellAnchor>
    <xdr:from>
      <xdr:col>9</xdr:col>
      <xdr:colOff>6350</xdr:colOff>
      <xdr:row>1778</xdr:row>
      <xdr:rowOff>25400</xdr:rowOff>
    </xdr:from>
    <xdr:to>
      <xdr:col>9</xdr:col>
      <xdr:colOff>885190</xdr:colOff>
      <xdr:row>1778</xdr:row>
      <xdr:rowOff>1209040</xdr:rowOff>
    </xdr:to>
    <xdr:pic>
      <xdr:nvPicPr>
        <xdr:cNvPr id="6574" name="Изображение 6573" descr="resizeПП-00203564"/>
        <xdr:cNvPicPr>
          <a:picLocks noChangeAspect="1"/>
        </xdr:cNvPicPr>
      </xdr:nvPicPr>
      <xdr:blipFill>
        <a:blip xmlns:r="http://schemas.openxmlformats.org/officeDocument/2006/relationships" r:embed="rId1331"/>
        <a:stretch>
          <a:fillRect/>
        </a:stretch>
      </xdr:blipFill>
      <xdr:spPr>
        <a:xfrm>
          <a:off x="7235825" y="1733696050"/>
          <a:ext cx="878840" cy="1183640"/>
        </a:xfrm>
        <a:prstGeom prst="rect">
          <a:avLst/>
        </a:prstGeom>
      </xdr:spPr>
    </xdr:pic>
    <xdr:clientData/>
  </xdr:twoCellAnchor>
  <xdr:twoCellAnchor>
    <xdr:from>
      <xdr:col>9</xdr:col>
      <xdr:colOff>6350</xdr:colOff>
      <xdr:row>1780</xdr:row>
      <xdr:rowOff>25400</xdr:rowOff>
    </xdr:from>
    <xdr:to>
      <xdr:col>9</xdr:col>
      <xdr:colOff>885190</xdr:colOff>
      <xdr:row>1780</xdr:row>
      <xdr:rowOff>1209040</xdr:rowOff>
    </xdr:to>
    <xdr:pic>
      <xdr:nvPicPr>
        <xdr:cNvPr id="6575" name="Изображение 6574" descr="resizeПП-00203379"/>
        <xdr:cNvPicPr>
          <a:picLocks noChangeAspect="1"/>
        </xdr:cNvPicPr>
      </xdr:nvPicPr>
      <xdr:blipFill>
        <a:blip xmlns:r="http://schemas.openxmlformats.org/officeDocument/2006/relationships" r:embed="rId1332"/>
        <a:stretch>
          <a:fillRect/>
        </a:stretch>
      </xdr:blipFill>
      <xdr:spPr>
        <a:xfrm>
          <a:off x="7235825" y="1735070825"/>
          <a:ext cx="878840" cy="1183640"/>
        </a:xfrm>
        <a:prstGeom prst="rect">
          <a:avLst/>
        </a:prstGeom>
      </xdr:spPr>
    </xdr:pic>
    <xdr:clientData/>
  </xdr:twoCellAnchor>
  <xdr:twoCellAnchor>
    <xdr:from>
      <xdr:col>9</xdr:col>
      <xdr:colOff>6350</xdr:colOff>
      <xdr:row>1781</xdr:row>
      <xdr:rowOff>25400</xdr:rowOff>
    </xdr:from>
    <xdr:to>
      <xdr:col>9</xdr:col>
      <xdr:colOff>885190</xdr:colOff>
      <xdr:row>1781</xdr:row>
      <xdr:rowOff>1209040</xdr:rowOff>
    </xdr:to>
    <xdr:pic>
      <xdr:nvPicPr>
        <xdr:cNvPr id="6576" name="Изображение 6575" descr="resizeПП-00276584"/>
        <xdr:cNvPicPr>
          <a:picLocks noChangeAspect="1"/>
        </xdr:cNvPicPr>
      </xdr:nvPicPr>
      <xdr:blipFill>
        <a:blip xmlns:r="http://schemas.openxmlformats.org/officeDocument/2006/relationships" r:embed="rId1333"/>
        <a:stretch>
          <a:fillRect/>
        </a:stretch>
      </xdr:blipFill>
      <xdr:spPr>
        <a:xfrm>
          <a:off x="7235825" y="1736293200"/>
          <a:ext cx="878840" cy="1183640"/>
        </a:xfrm>
        <a:prstGeom prst="rect">
          <a:avLst/>
        </a:prstGeom>
      </xdr:spPr>
    </xdr:pic>
    <xdr:clientData/>
  </xdr:twoCellAnchor>
  <xdr:twoCellAnchor>
    <xdr:from>
      <xdr:col>9</xdr:col>
      <xdr:colOff>6350</xdr:colOff>
      <xdr:row>1782</xdr:row>
      <xdr:rowOff>25400</xdr:rowOff>
    </xdr:from>
    <xdr:to>
      <xdr:col>9</xdr:col>
      <xdr:colOff>885190</xdr:colOff>
      <xdr:row>1782</xdr:row>
      <xdr:rowOff>1209040</xdr:rowOff>
    </xdr:to>
    <xdr:pic>
      <xdr:nvPicPr>
        <xdr:cNvPr id="6577" name="Изображение 6576" descr="resizeПП-00276583"/>
        <xdr:cNvPicPr>
          <a:picLocks noChangeAspect="1"/>
        </xdr:cNvPicPr>
      </xdr:nvPicPr>
      <xdr:blipFill>
        <a:blip xmlns:r="http://schemas.openxmlformats.org/officeDocument/2006/relationships" r:embed="rId1334"/>
        <a:stretch>
          <a:fillRect/>
        </a:stretch>
      </xdr:blipFill>
      <xdr:spPr>
        <a:xfrm>
          <a:off x="7235825" y="1737515575"/>
          <a:ext cx="878840" cy="1183640"/>
        </a:xfrm>
        <a:prstGeom prst="rect">
          <a:avLst/>
        </a:prstGeom>
      </xdr:spPr>
    </xdr:pic>
    <xdr:clientData/>
  </xdr:twoCellAnchor>
  <xdr:twoCellAnchor>
    <xdr:from>
      <xdr:col>9</xdr:col>
      <xdr:colOff>6350</xdr:colOff>
      <xdr:row>1783</xdr:row>
      <xdr:rowOff>25400</xdr:rowOff>
    </xdr:from>
    <xdr:to>
      <xdr:col>9</xdr:col>
      <xdr:colOff>885190</xdr:colOff>
      <xdr:row>1783</xdr:row>
      <xdr:rowOff>1209040</xdr:rowOff>
    </xdr:to>
    <xdr:pic>
      <xdr:nvPicPr>
        <xdr:cNvPr id="6578" name="Изображение 6577" descr="resizeПП-00276586"/>
        <xdr:cNvPicPr>
          <a:picLocks noChangeAspect="1"/>
        </xdr:cNvPicPr>
      </xdr:nvPicPr>
      <xdr:blipFill>
        <a:blip xmlns:r="http://schemas.openxmlformats.org/officeDocument/2006/relationships" r:embed="rId1335"/>
        <a:stretch>
          <a:fillRect/>
        </a:stretch>
      </xdr:blipFill>
      <xdr:spPr>
        <a:xfrm>
          <a:off x="7235825" y="1738737950"/>
          <a:ext cx="878840" cy="1183640"/>
        </a:xfrm>
        <a:prstGeom prst="rect">
          <a:avLst/>
        </a:prstGeom>
      </xdr:spPr>
    </xdr:pic>
    <xdr:clientData/>
  </xdr:twoCellAnchor>
  <xdr:twoCellAnchor>
    <xdr:from>
      <xdr:col>9</xdr:col>
      <xdr:colOff>6350</xdr:colOff>
      <xdr:row>1784</xdr:row>
      <xdr:rowOff>25400</xdr:rowOff>
    </xdr:from>
    <xdr:to>
      <xdr:col>9</xdr:col>
      <xdr:colOff>885190</xdr:colOff>
      <xdr:row>1784</xdr:row>
      <xdr:rowOff>1209040</xdr:rowOff>
    </xdr:to>
    <xdr:pic>
      <xdr:nvPicPr>
        <xdr:cNvPr id="6579" name="Изображение 6578" descr="resizeПП-00276582"/>
        <xdr:cNvPicPr>
          <a:picLocks noChangeAspect="1"/>
        </xdr:cNvPicPr>
      </xdr:nvPicPr>
      <xdr:blipFill>
        <a:blip xmlns:r="http://schemas.openxmlformats.org/officeDocument/2006/relationships" r:embed="rId1336"/>
        <a:stretch>
          <a:fillRect/>
        </a:stretch>
      </xdr:blipFill>
      <xdr:spPr>
        <a:xfrm>
          <a:off x="7235825" y="1739960325"/>
          <a:ext cx="878840" cy="1183640"/>
        </a:xfrm>
        <a:prstGeom prst="rect">
          <a:avLst/>
        </a:prstGeom>
      </xdr:spPr>
    </xdr:pic>
    <xdr:clientData/>
  </xdr:twoCellAnchor>
  <xdr:twoCellAnchor>
    <xdr:from>
      <xdr:col>9</xdr:col>
      <xdr:colOff>6350</xdr:colOff>
      <xdr:row>1787</xdr:row>
      <xdr:rowOff>25400</xdr:rowOff>
    </xdr:from>
    <xdr:to>
      <xdr:col>9</xdr:col>
      <xdr:colOff>885190</xdr:colOff>
      <xdr:row>1787</xdr:row>
      <xdr:rowOff>1209040</xdr:rowOff>
    </xdr:to>
    <xdr:pic>
      <xdr:nvPicPr>
        <xdr:cNvPr id="6580" name="Изображение 6579" descr="resizeПП-00097697"/>
        <xdr:cNvPicPr>
          <a:picLocks noChangeAspect="1"/>
        </xdr:cNvPicPr>
      </xdr:nvPicPr>
      <xdr:blipFill>
        <a:blip xmlns:r="http://schemas.openxmlformats.org/officeDocument/2006/relationships" r:embed="rId1337"/>
        <a:stretch>
          <a:fillRect/>
        </a:stretch>
      </xdr:blipFill>
      <xdr:spPr>
        <a:xfrm>
          <a:off x="7235825" y="1741487500"/>
          <a:ext cx="878840" cy="1183640"/>
        </a:xfrm>
        <a:prstGeom prst="rect">
          <a:avLst/>
        </a:prstGeom>
      </xdr:spPr>
    </xdr:pic>
    <xdr:clientData/>
  </xdr:twoCellAnchor>
  <xdr:twoCellAnchor>
    <xdr:from>
      <xdr:col>9</xdr:col>
      <xdr:colOff>6350</xdr:colOff>
      <xdr:row>1788</xdr:row>
      <xdr:rowOff>25400</xdr:rowOff>
    </xdr:from>
    <xdr:to>
      <xdr:col>9</xdr:col>
      <xdr:colOff>885190</xdr:colOff>
      <xdr:row>1788</xdr:row>
      <xdr:rowOff>1209040</xdr:rowOff>
    </xdr:to>
    <xdr:pic>
      <xdr:nvPicPr>
        <xdr:cNvPr id="6581" name="Изображение 6580" descr="resizeПП-00276592"/>
        <xdr:cNvPicPr>
          <a:picLocks noChangeAspect="1"/>
        </xdr:cNvPicPr>
      </xdr:nvPicPr>
      <xdr:blipFill>
        <a:blip xmlns:r="http://schemas.openxmlformats.org/officeDocument/2006/relationships" r:embed="rId1338"/>
        <a:stretch>
          <a:fillRect/>
        </a:stretch>
      </xdr:blipFill>
      <xdr:spPr>
        <a:xfrm>
          <a:off x="7235825" y="1742709875"/>
          <a:ext cx="878840" cy="1183640"/>
        </a:xfrm>
        <a:prstGeom prst="rect">
          <a:avLst/>
        </a:prstGeom>
      </xdr:spPr>
    </xdr:pic>
    <xdr:clientData/>
  </xdr:twoCellAnchor>
  <xdr:twoCellAnchor>
    <xdr:from>
      <xdr:col>9</xdr:col>
      <xdr:colOff>6350</xdr:colOff>
      <xdr:row>1789</xdr:row>
      <xdr:rowOff>25400</xdr:rowOff>
    </xdr:from>
    <xdr:to>
      <xdr:col>9</xdr:col>
      <xdr:colOff>885190</xdr:colOff>
      <xdr:row>1789</xdr:row>
      <xdr:rowOff>1209040</xdr:rowOff>
    </xdr:to>
    <xdr:pic>
      <xdr:nvPicPr>
        <xdr:cNvPr id="6582" name="Изображение 6581" descr="resizeПП-00186894"/>
        <xdr:cNvPicPr>
          <a:picLocks noChangeAspect="1"/>
        </xdr:cNvPicPr>
      </xdr:nvPicPr>
      <xdr:blipFill>
        <a:blip xmlns:r="http://schemas.openxmlformats.org/officeDocument/2006/relationships" r:embed="rId1339"/>
        <a:stretch>
          <a:fillRect/>
        </a:stretch>
      </xdr:blipFill>
      <xdr:spPr>
        <a:xfrm>
          <a:off x="7235825" y="1743932250"/>
          <a:ext cx="878840" cy="1183640"/>
        </a:xfrm>
        <a:prstGeom prst="rect">
          <a:avLst/>
        </a:prstGeom>
      </xdr:spPr>
    </xdr:pic>
    <xdr:clientData/>
  </xdr:twoCellAnchor>
  <xdr:twoCellAnchor>
    <xdr:from>
      <xdr:col>9</xdr:col>
      <xdr:colOff>6350</xdr:colOff>
      <xdr:row>1790</xdr:row>
      <xdr:rowOff>25400</xdr:rowOff>
    </xdr:from>
    <xdr:to>
      <xdr:col>9</xdr:col>
      <xdr:colOff>885190</xdr:colOff>
      <xdr:row>1790</xdr:row>
      <xdr:rowOff>1209040</xdr:rowOff>
    </xdr:to>
    <xdr:pic>
      <xdr:nvPicPr>
        <xdr:cNvPr id="6583" name="Изображение 6582" descr="resizeПП-00186895"/>
        <xdr:cNvPicPr>
          <a:picLocks noChangeAspect="1"/>
        </xdr:cNvPicPr>
      </xdr:nvPicPr>
      <xdr:blipFill>
        <a:blip xmlns:r="http://schemas.openxmlformats.org/officeDocument/2006/relationships" r:embed="rId1340"/>
        <a:stretch>
          <a:fillRect/>
        </a:stretch>
      </xdr:blipFill>
      <xdr:spPr>
        <a:xfrm>
          <a:off x="7235825" y="1745154625"/>
          <a:ext cx="878840" cy="1183640"/>
        </a:xfrm>
        <a:prstGeom prst="rect">
          <a:avLst/>
        </a:prstGeom>
      </xdr:spPr>
    </xdr:pic>
    <xdr:clientData/>
  </xdr:twoCellAnchor>
  <xdr:twoCellAnchor>
    <xdr:from>
      <xdr:col>9</xdr:col>
      <xdr:colOff>6350</xdr:colOff>
      <xdr:row>1791</xdr:row>
      <xdr:rowOff>25400</xdr:rowOff>
    </xdr:from>
    <xdr:to>
      <xdr:col>9</xdr:col>
      <xdr:colOff>885190</xdr:colOff>
      <xdr:row>1791</xdr:row>
      <xdr:rowOff>1209040</xdr:rowOff>
    </xdr:to>
    <xdr:pic>
      <xdr:nvPicPr>
        <xdr:cNvPr id="6584" name="Изображение 6583" descr="resizeПП-00097696"/>
        <xdr:cNvPicPr>
          <a:picLocks noChangeAspect="1"/>
        </xdr:cNvPicPr>
      </xdr:nvPicPr>
      <xdr:blipFill>
        <a:blip xmlns:r="http://schemas.openxmlformats.org/officeDocument/2006/relationships" r:embed="rId1341"/>
        <a:stretch>
          <a:fillRect/>
        </a:stretch>
      </xdr:blipFill>
      <xdr:spPr>
        <a:xfrm>
          <a:off x="7235825" y="1746377000"/>
          <a:ext cx="878840" cy="1183640"/>
        </a:xfrm>
        <a:prstGeom prst="rect">
          <a:avLst/>
        </a:prstGeom>
      </xdr:spPr>
    </xdr:pic>
    <xdr:clientData/>
  </xdr:twoCellAnchor>
  <xdr:twoCellAnchor>
    <xdr:from>
      <xdr:col>9</xdr:col>
      <xdr:colOff>6350</xdr:colOff>
      <xdr:row>1792</xdr:row>
      <xdr:rowOff>25400</xdr:rowOff>
    </xdr:from>
    <xdr:to>
      <xdr:col>9</xdr:col>
      <xdr:colOff>885190</xdr:colOff>
      <xdr:row>1792</xdr:row>
      <xdr:rowOff>1209040</xdr:rowOff>
    </xdr:to>
    <xdr:pic>
      <xdr:nvPicPr>
        <xdr:cNvPr id="6585" name="Изображение 6584" descr="resizeПП-00276587"/>
        <xdr:cNvPicPr>
          <a:picLocks noChangeAspect="1"/>
        </xdr:cNvPicPr>
      </xdr:nvPicPr>
      <xdr:blipFill>
        <a:blip xmlns:r="http://schemas.openxmlformats.org/officeDocument/2006/relationships" r:embed="rId1342"/>
        <a:stretch>
          <a:fillRect/>
        </a:stretch>
      </xdr:blipFill>
      <xdr:spPr>
        <a:xfrm>
          <a:off x="7235825" y="1747599375"/>
          <a:ext cx="878840" cy="1183640"/>
        </a:xfrm>
        <a:prstGeom prst="rect">
          <a:avLst/>
        </a:prstGeom>
      </xdr:spPr>
    </xdr:pic>
    <xdr:clientData/>
  </xdr:twoCellAnchor>
  <xdr:twoCellAnchor>
    <xdr:from>
      <xdr:col>9</xdr:col>
      <xdr:colOff>6350</xdr:colOff>
      <xdr:row>1794</xdr:row>
      <xdr:rowOff>25400</xdr:rowOff>
    </xdr:from>
    <xdr:to>
      <xdr:col>9</xdr:col>
      <xdr:colOff>885190</xdr:colOff>
      <xdr:row>1794</xdr:row>
      <xdr:rowOff>1209040</xdr:rowOff>
    </xdr:to>
    <xdr:pic>
      <xdr:nvPicPr>
        <xdr:cNvPr id="6586" name="Изображение 6585" descr="resizeПП-00276588"/>
        <xdr:cNvPicPr>
          <a:picLocks noChangeAspect="1"/>
        </xdr:cNvPicPr>
      </xdr:nvPicPr>
      <xdr:blipFill>
        <a:blip xmlns:r="http://schemas.openxmlformats.org/officeDocument/2006/relationships" r:embed="rId1343"/>
        <a:stretch>
          <a:fillRect/>
        </a:stretch>
      </xdr:blipFill>
      <xdr:spPr>
        <a:xfrm>
          <a:off x="7235825" y="1748974150"/>
          <a:ext cx="878840" cy="1183640"/>
        </a:xfrm>
        <a:prstGeom prst="rect">
          <a:avLst/>
        </a:prstGeom>
      </xdr:spPr>
    </xdr:pic>
    <xdr:clientData/>
  </xdr:twoCellAnchor>
  <xdr:twoCellAnchor>
    <xdr:from>
      <xdr:col>9</xdr:col>
      <xdr:colOff>6350</xdr:colOff>
      <xdr:row>1797</xdr:row>
      <xdr:rowOff>25400</xdr:rowOff>
    </xdr:from>
    <xdr:to>
      <xdr:col>9</xdr:col>
      <xdr:colOff>885190</xdr:colOff>
      <xdr:row>1797</xdr:row>
      <xdr:rowOff>1209040</xdr:rowOff>
    </xdr:to>
    <xdr:pic>
      <xdr:nvPicPr>
        <xdr:cNvPr id="6587" name="Изображение 6586" descr="resizeПП-00211143"/>
        <xdr:cNvPicPr>
          <a:picLocks noChangeAspect="1"/>
        </xdr:cNvPicPr>
      </xdr:nvPicPr>
      <xdr:blipFill>
        <a:blip xmlns:r="http://schemas.openxmlformats.org/officeDocument/2006/relationships" r:embed="rId1344"/>
        <a:stretch>
          <a:fillRect/>
        </a:stretch>
      </xdr:blipFill>
      <xdr:spPr>
        <a:xfrm>
          <a:off x="7235825" y="1750501325"/>
          <a:ext cx="878840" cy="1183640"/>
        </a:xfrm>
        <a:prstGeom prst="rect">
          <a:avLst/>
        </a:prstGeom>
      </xdr:spPr>
    </xdr:pic>
    <xdr:clientData/>
  </xdr:twoCellAnchor>
  <xdr:twoCellAnchor>
    <xdr:from>
      <xdr:col>9</xdr:col>
      <xdr:colOff>6350</xdr:colOff>
      <xdr:row>1798</xdr:row>
      <xdr:rowOff>25400</xdr:rowOff>
    </xdr:from>
    <xdr:to>
      <xdr:col>9</xdr:col>
      <xdr:colOff>885190</xdr:colOff>
      <xdr:row>1798</xdr:row>
      <xdr:rowOff>1209040</xdr:rowOff>
    </xdr:to>
    <xdr:pic>
      <xdr:nvPicPr>
        <xdr:cNvPr id="6588" name="Изображение 6587" descr="resizeПП-00211144"/>
        <xdr:cNvPicPr>
          <a:picLocks noChangeAspect="1"/>
        </xdr:cNvPicPr>
      </xdr:nvPicPr>
      <xdr:blipFill>
        <a:blip xmlns:r="http://schemas.openxmlformats.org/officeDocument/2006/relationships" r:embed="rId1345"/>
        <a:stretch>
          <a:fillRect/>
        </a:stretch>
      </xdr:blipFill>
      <xdr:spPr>
        <a:xfrm>
          <a:off x="7235825" y="1751723700"/>
          <a:ext cx="878840" cy="1183640"/>
        </a:xfrm>
        <a:prstGeom prst="rect">
          <a:avLst/>
        </a:prstGeom>
      </xdr:spPr>
    </xdr:pic>
    <xdr:clientData/>
  </xdr:twoCellAnchor>
  <xdr:twoCellAnchor>
    <xdr:from>
      <xdr:col>9</xdr:col>
      <xdr:colOff>6350</xdr:colOff>
      <xdr:row>1800</xdr:row>
      <xdr:rowOff>25400</xdr:rowOff>
    </xdr:from>
    <xdr:to>
      <xdr:col>9</xdr:col>
      <xdr:colOff>885190</xdr:colOff>
      <xdr:row>1800</xdr:row>
      <xdr:rowOff>1209040</xdr:rowOff>
    </xdr:to>
    <xdr:pic>
      <xdr:nvPicPr>
        <xdr:cNvPr id="6589" name="Изображение 6588" descr="resizeПП-00211139"/>
        <xdr:cNvPicPr>
          <a:picLocks noChangeAspect="1"/>
        </xdr:cNvPicPr>
      </xdr:nvPicPr>
      <xdr:blipFill>
        <a:blip xmlns:r="http://schemas.openxmlformats.org/officeDocument/2006/relationships" r:embed="rId1346"/>
        <a:stretch>
          <a:fillRect/>
        </a:stretch>
      </xdr:blipFill>
      <xdr:spPr>
        <a:xfrm>
          <a:off x="7235825" y="1753098475"/>
          <a:ext cx="878840" cy="1183640"/>
        </a:xfrm>
        <a:prstGeom prst="rect">
          <a:avLst/>
        </a:prstGeom>
      </xdr:spPr>
    </xdr:pic>
    <xdr:clientData/>
  </xdr:twoCellAnchor>
  <xdr:twoCellAnchor>
    <xdr:from>
      <xdr:col>9</xdr:col>
      <xdr:colOff>6350</xdr:colOff>
      <xdr:row>1801</xdr:row>
      <xdr:rowOff>25400</xdr:rowOff>
    </xdr:from>
    <xdr:to>
      <xdr:col>9</xdr:col>
      <xdr:colOff>885190</xdr:colOff>
      <xdr:row>1801</xdr:row>
      <xdr:rowOff>1209040</xdr:rowOff>
    </xdr:to>
    <xdr:pic>
      <xdr:nvPicPr>
        <xdr:cNvPr id="6590" name="Изображение 6589" descr="resizeПП-00211135"/>
        <xdr:cNvPicPr>
          <a:picLocks noChangeAspect="1"/>
        </xdr:cNvPicPr>
      </xdr:nvPicPr>
      <xdr:blipFill>
        <a:blip xmlns:r="http://schemas.openxmlformats.org/officeDocument/2006/relationships" r:embed="rId1347"/>
        <a:stretch>
          <a:fillRect/>
        </a:stretch>
      </xdr:blipFill>
      <xdr:spPr>
        <a:xfrm>
          <a:off x="7235825" y="1754320850"/>
          <a:ext cx="878840" cy="1183640"/>
        </a:xfrm>
        <a:prstGeom prst="rect">
          <a:avLst/>
        </a:prstGeom>
      </xdr:spPr>
    </xdr:pic>
    <xdr:clientData/>
  </xdr:twoCellAnchor>
  <xdr:twoCellAnchor>
    <xdr:from>
      <xdr:col>9</xdr:col>
      <xdr:colOff>6350</xdr:colOff>
      <xdr:row>1802</xdr:row>
      <xdr:rowOff>25400</xdr:rowOff>
    </xdr:from>
    <xdr:to>
      <xdr:col>9</xdr:col>
      <xdr:colOff>885190</xdr:colOff>
      <xdr:row>1802</xdr:row>
      <xdr:rowOff>1209040</xdr:rowOff>
    </xdr:to>
    <xdr:pic>
      <xdr:nvPicPr>
        <xdr:cNvPr id="6591" name="Изображение 6590" descr="resizeПП-00211134"/>
        <xdr:cNvPicPr>
          <a:picLocks noChangeAspect="1"/>
        </xdr:cNvPicPr>
      </xdr:nvPicPr>
      <xdr:blipFill>
        <a:blip xmlns:r="http://schemas.openxmlformats.org/officeDocument/2006/relationships" r:embed="rId1348"/>
        <a:stretch>
          <a:fillRect/>
        </a:stretch>
      </xdr:blipFill>
      <xdr:spPr>
        <a:xfrm>
          <a:off x="7235825" y="1755543225"/>
          <a:ext cx="878840" cy="1183640"/>
        </a:xfrm>
        <a:prstGeom prst="rect">
          <a:avLst/>
        </a:prstGeom>
      </xdr:spPr>
    </xdr:pic>
    <xdr:clientData/>
  </xdr:twoCellAnchor>
  <xdr:twoCellAnchor>
    <xdr:from>
      <xdr:col>9</xdr:col>
      <xdr:colOff>6350</xdr:colOff>
      <xdr:row>1803</xdr:row>
      <xdr:rowOff>25400</xdr:rowOff>
    </xdr:from>
    <xdr:to>
      <xdr:col>9</xdr:col>
      <xdr:colOff>885190</xdr:colOff>
      <xdr:row>1803</xdr:row>
      <xdr:rowOff>1209040</xdr:rowOff>
    </xdr:to>
    <xdr:pic>
      <xdr:nvPicPr>
        <xdr:cNvPr id="6592" name="Изображение 6591" descr="resizeПП-00211137"/>
        <xdr:cNvPicPr>
          <a:picLocks noChangeAspect="1"/>
        </xdr:cNvPicPr>
      </xdr:nvPicPr>
      <xdr:blipFill>
        <a:blip xmlns:r="http://schemas.openxmlformats.org/officeDocument/2006/relationships" r:embed="rId1349"/>
        <a:stretch>
          <a:fillRect/>
        </a:stretch>
      </xdr:blipFill>
      <xdr:spPr>
        <a:xfrm>
          <a:off x="7235825" y="1756765600"/>
          <a:ext cx="878840" cy="1183640"/>
        </a:xfrm>
        <a:prstGeom prst="rect">
          <a:avLst/>
        </a:prstGeom>
      </xdr:spPr>
    </xdr:pic>
    <xdr:clientData/>
  </xdr:twoCellAnchor>
  <xdr:twoCellAnchor>
    <xdr:from>
      <xdr:col>9</xdr:col>
      <xdr:colOff>6350</xdr:colOff>
      <xdr:row>1805</xdr:row>
      <xdr:rowOff>25400</xdr:rowOff>
    </xdr:from>
    <xdr:to>
      <xdr:col>9</xdr:col>
      <xdr:colOff>885190</xdr:colOff>
      <xdr:row>1805</xdr:row>
      <xdr:rowOff>1209040</xdr:rowOff>
    </xdr:to>
    <xdr:pic>
      <xdr:nvPicPr>
        <xdr:cNvPr id="6593" name="Изображение 6592" descr="resizeПП-00227827"/>
        <xdr:cNvPicPr>
          <a:picLocks noChangeAspect="1"/>
        </xdr:cNvPicPr>
      </xdr:nvPicPr>
      <xdr:blipFill>
        <a:blip xmlns:r="http://schemas.openxmlformats.org/officeDocument/2006/relationships" r:embed="rId1350"/>
        <a:stretch>
          <a:fillRect/>
        </a:stretch>
      </xdr:blipFill>
      <xdr:spPr>
        <a:xfrm>
          <a:off x="7235825" y="1758140375"/>
          <a:ext cx="878840" cy="1183640"/>
        </a:xfrm>
        <a:prstGeom prst="rect">
          <a:avLst/>
        </a:prstGeom>
      </xdr:spPr>
    </xdr:pic>
    <xdr:clientData/>
  </xdr:twoCellAnchor>
  <xdr:twoCellAnchor>
    <xdr:from>
      <xdr:col>9</xdr:col>
      <xdr:colOff>6350</xdr:colOff>
      <xdr:row>1807</xdr:row>
      <xdr:rowOff>25400</xdr:rowOff>
    </xdr:from>
    <xdr:to>
      <xdr:col>9</xdr:col>
      <xdr:colOff>885190</xdr:colOff>
      <xdr:row>1807</xdr:row>
      <xdr:rowOff>1209040</xdr:rowOff>
    </xdr:to>
    <xdr:pic>
      <xdr:nvPicPr>
        <xdr:cNvPr id="6594" name="Изображение 6593" descr="resizeПП-00207714"/>
        <xdr:cNvPicPr>
          <a:picLocks noChangeAspect="1"/>
        </xdr:cNvPicPr>
      </xdr:nvPicPr>
      <xdr:blipFill>
        <a:blip xmlns:r="http://schemas.openxmlformats.org/officeDocument/2006/relationships" r:embed="rId1351"/>
        <a:stretch>
          <a:fillRect/>
        </a:stretch>
      </xdr:blipFill>
      <xdr:spPr>
        <a:xfrm>
          <a:off x="7235825" y="1759515150"/>
          <a:ext cx="878840" cy="1183640"/>
        </a:xfrm>
        <a:prstGeom prst="rect">
          <a:avLst/>
        </a:prstGeom>
      </xdr:spPr>
    </xdr:pic>
    <xdr:clientData/>
  </xdr:twoCellAnchor>
  <xdr:twoCellAnchor>
    <xdr:from>
      <xdr:col>9</xdr:col>
      <xdr:colOff>6350</xdr:colOff>
      <xdr:row>1811</xdr:row>
      <xdr:rowOff>25400</xdr:rowOff>
    </xdr:from>
    <xdr:to>
      <xdr:col>9</xdr:col>
      <xdr:colOff>885190</xdr:colOff>
      <xdr:row>1811</xdr:row>
      <xdr:rowOff>1209040</xdr:rowOff>
    </xdr:to>
    <xdr:pic>
      <xdr:nvPicPr>
        <xdr:cNvPr id="6595" name="Изображение 6594" descr="resizeПП-00203656"/>
        <xdr:cNvPicPr>
          <a:picLocks noChangeAspect="1"/>
        </xdr:cNvPicPr>
      </xdr:nvPicPr>
      <xdr:blipFill>
        <a:blip xmlns:r="http://schemas.openxmlformats.org/officeDocument/2006/relationships" r:embed="rId1352"/>
        <a:stretch>
          <a:fillRect/>
        </a:stretch>
      </xdr:blipFill>
      <xdr:spPr>
        <a:xfrm>
          <a:off x="7235825" y="1761194725"/>
          <a:ext cx="878840" cy="1183640"/>
        </a:xfrm>
        <a:prstGeom prst="rect">
          <a:avLst/>
        </a:prstGeom>
      </xdr:spPr>
    </xdr:pic>
    <xdr:clientData/>
  </xdr:twoCellAnchor>
  <xdr:twoCellAnchor>
    <xdr:from>
      <xdr:col>9</xdr:col>
      <xdr:colOff>6350</xdr:colOff>
      <xdr:row>1812</xdr:row>
      <xdr:rowOff>25400</xdr:rowOff>
    </xdr:from>
    <xdr:to>
      <xdr:col>9</xdr:col>
      <xdr:colOff>885190</xdr:colOff>
      <xdr:row>1812</xdr:row>
      <xdr:rowOff>1209040</xdr:rowOff>
    </xdr:to>
    <xdr:pic>
      <xdr:nvPicPr>
        <xdr:cNvPr id="6596" name="Изображение 6595" descr="resizeПП-00276606"/>
        <xdr:cNvPicPr>
          <a:picLocks noChangeAspect="1"/>
        </xdr:cNvPicPr>
      </xdr:nvPicPr>
      <xdr:blipFill>
        <a:blip xmlns:r="http://schemas.openxmlformats.org/officeDocument/2006/relationships" r:embed="rId1353"/>
        <a:stretch>
          <a:fillRect/>
        </a:stretch>
      </xdr:blipFill>
      <xdr:spPr>
        <a:xfrm>
          <a:off x="7235825" y="1762417100"/>
          <a:ext cx="878840" cy="1183640"/>
        </a:xfrm>
        <a:prstGeom prst="rect">
          <a:avLst/>
        </a:prstGeom>
      </xdr:spPr>
    </xdr:pic>
    <xdr:clientData/>
  </xdr:twoCellAnchor>
  <xdr:twoCellAnchor>
    <xdr:from>
      <xdr:col>9</xdr:col>
      <xdr:colOff>6350</xdr:colOff>
      <xdr:row>1813</xdr:row>
      <xdr:rowOff>25400</xdr:rowOff>
    </xdr:from>
    <xdr:to>
      <xdr:col>9</xdr:col>
      <xdr:colOff>885190</xdr:colOff>
      <xdr:row>1813</xdr:row>
      <xdr:rowOff>1209040</xdr:rowOff>
    </xdr:to>
    <xdr:pic>
      <xdr:nvPicPr>
        <xdr:cNvPr id="6597" name="Изображение 6596" descr="resizeПП-00276603"/>
        <xdr:cNvPicPr>
          <a:picLocks noChangeAspect="1"/>
        </xdr:cNvPicPr>
      </xdr:nvPicPr>
      <xdr:blipFill>
        <a:blip xmlns:r="http://schemas.openxmlformats.org/officeDocument/2006/relationships" r:embed="rId1354"/>
        <a:stretch>
          <a:fillRect/>
        </a:stretch>
      </xdr:blipFill>
      <xdr:spPr>
        <a:xfrm>
          <a:off x="7235825" y="1763639475"/>
          <a:ext cx="878840" cy="1183640"/>
        </a:xfrm>
        <a:prstGeom prst="rect">
          <a:avLst/>
        </a:prstGeom>
      </xdr:spPr>
    </xdr:pic>
    <xdr:clientData/>
  </xdr:twoCellAnchor>
  <xdr:twoCellAnchor>
    <xdr:from>
      <xdr:col>9</xdr:col>
      <xdr:colOff>6350</xdr:colOff>
      <xdr:row>1814</xdr:row>
      <xdr:rowOff>25400</xdr:rowOff>
    </xdr:from>
    <xdr:to>
      <xdr:col>9</xdr:col>
      <xdr:colOff>885190</xdr:colOff>
      <xdr:row>1814</xdr:row>
      <xdr:rowOff>1209040</xdr:rowOff>
    </xdr:to>
    <xdr:pic>
      <xdr:nvPicPr>
        <xdr:cNvPr id="6598" name="Изображение 6597" descr="resizeПП-00203652"/>
        <xdr:cNvPicPr>
          <a:picLocks noChangeAspect="1"/>
        </xdr:cNvPicPr>
      </xdr:nvPicPr>
      <xdr:blipFill>
        <a:blip xmlns:r="http://schemas.openxmlformats.org/officeDocument/2006/relationships" r:embed="rId1355"/>
        <a:stretch>
          <a:fillRect/>
        </a:stretch>
      </xdr:blipFill>
      <xdr:spPr>
        <a:xfrm>
          <a:off x="7235825" y="1764861850"/>
          <a:ext cx="878840" cy="1183640"/>
        </a:xfrm>
        <a:prstGeom prst="rect">
          <a:avLst/>
        </a:prstGeom>
      </xdr:spPr>
    </xdr:pic>
    <xdr:clientData/>
  </xdr:twoCellAnchor>
  <xdr:twoCellAnchor>
    <xdr:from>
      <xdr:col>9</xdr:col>
      <xdr:colOff>6350</xdr:colOff>
      <xdr:row>1815</xdr:row>
      <xdr:rowOff>25400</xdr:rowOff>
    </xdr:from>
    <xdr:to>
      <xdr:col>9</xdr:col>
      <xdr:colOff>885190</xdr:colOff>
      <xdr:row>1815</xdr:row>
      <xdr:rowOff>1209040</xdr:rowOff>
    </xdr:to>
    <xdr:pic>
      <xdr:nvPicPr>
        <xdr:cNvPr id="6599" name="Изображение 6598" descr="resizeПП-00276613"/>
        <xdr:cNvPicPr>
          <a:picLocks noChangeAspect="1"/>
        </xdr:cNvPicPr>
      </xdr:nvPicPr>
      <xdr:blipFill>
        <a:blip xmlns:r="http://schemas.openxmlformats.org/officeDocument/2006/relationships" r:embed="rId1356"/>
        <a:stretch>
          <a:fillRect/>
        </a:stretch>
      </xdr:blipFill>
      <xdr:spPr>
        <a:xfrm>
          <a:off x="7235825" y="1766084225"/>
          <a:ext cx="878840" cy="1183640"/>
        </a:xfrm>
        <a:prstGeom prst="rect">
          <a:avLst/>
        </a:prstGeom>
      </xdr:spPr>
    </xdr:pic>
    <xdr:clientData/>
  </xdr:twoCellAnchor>
  <xdr:twoCellAnchor>
    <xdr:from>
      <xdr:col>9</xdr:col>
      <xdr:colOff>6350</xdr:colOff>
      <xdr:row>1816</xdr:row>
      <xdr:rowOff>25400</xdr:rowOff>
    </xdr:from>
    <xdr:to>
      <xdr:col>9</xdr:col>
      <xdr:colOff>885190</xdr:colOff>
      <xdr:row>1816</xdr:row>
      <xdr:rowOff>1209040</xdr:rowOff>
    </xdr:to>
    <xdr:pic>
      <xdr:nvPicPr>
        <xdr:cNvPr id="6600" name="Изображение 6599" descr="resizeПП-00276598"/>
        <xdr:cNvPicPr>
          <a:picLocks noChangeAspect="1"/>
        </xdr:cNvPicPr>
      </xdr:nvPicPr>
      <xdr:blipFill>
        <a:blip xmlns:r="http://schemas.openxmlformats.org/officeDocument/2006/relationships" r:embed="rId1357"/>
        <a:stretch>
          <a:fillRect/>
        </a:stretch>
      </xdr:blipFill>
      <xdr:spPr>
        <a:xfrm>
          <a:off x="7235825" y="1767306600"/>
          <a:ext cx="878840" cy="1183640"/>
        </a:xfrm>
        <a:prstGeom prst="rect">
          <a:avLst/>
        </a:prstGeom>
      </xdr:spPr>
    </xdr:pic>
    <xdr:clientData/>
  </xdr:twoCellAnchor>
  <xdr:twoCellAnchor>
    <xdr:from>
      <xdr:col>9</xdr:col>
      <xdr:colOff>6350</xdr:colOff>
      <xdr:row>1818</xdr:row>
      <xdr:rowOff>25400</xdr:rowOff>
    </xdr:from>
    <xdr:to>
      <xdr:col>9</xdr:col>
      <xdr:colOff>885190</xdr:colOff>
      <xdr:row>1818</xdr:row>
      <xdr:rowOff>1209040</xdr:rowOff>
    </xdr:to>
    <xdr:pic>
      <xdr:nvPicPr>
        <xdr:cNvPr id="6601" name="Изображение 6600" descr="resizeПП-00162128"/>
        <xdr:cNvPicPr>
          <a:picLocks noChangeAspect="1"/>
        </xdr:cNvPicPr>
      </xdr:nvPicPr>
      <xdr:blipFill>
        <a:blip xmlns:r="http://schemas.openxmlformats.org/officeDocument/2006/relationships" r:embed="rId1358"/>
        <a:stretch>
          <a:fillRect/>
        </a:stretch>
      </xdr:blipFill>
      <xdr:spPr>
        <a:xfrm>
          <a:off x="7235825" y="1768681375"/>
          <a:ext cx="878840" cy="1183640"/>
        </a:xfrm>
        <a:prstGeom prst="rect">
          <a:avLst/>
        </a:prstGeom>
      </xdr:spPr>
    </xdr:pic>
    <xdr:clientData/>
  </xdr:twoCellAnchor>
  <xdr:twoCellAnchor>
    <xdr:from>
      <xdr:col>9</xdr:col>
      <xdr:colOff>6350</xdr:colOff>
      <xdr:row>1819</xdr:row>
      <xdr:rowOff>25400</xdr:rowOff>
    </xdr:from>
    <xdr:to>
      <xdr:col>9</xdr:col>
      <xdr:colOff>885190</xdr:colOff>
      <xdr:row>1819</xdr:row>
      <xdr:rowOff>1209040</xdr:rowOff>
    </xdr:to>
    <xdr:pic>
      <xdr:nvPicPr>
        <xdr:cNvPr id="6602" name="Изображение 6601" descr="resizeПП-00162129"/>
        <xdr:cNvPicPr>
          <a:picLocks noChangeAspect="1"/>
        </xdr:cNvPicPr>
      </xdr:nvPicPr>
      <xdr:blipFill>
        <a:blip xmlns:r="http://schemas.openxmlformats.org/officeDocument/2006/relationships" r:embed="rId1359"/>
        <a:stretch>
          <a:fillRect/>
        </a:stretch>
      </xdr:blipFill>
      <xdr:spPr>
        <a:xfrm>
          <a:off x="7235825" y="1769903750"/>
          <a:ext cx="878840" cy="1183640"/>
        </a:xfrm>
        <a:prstGeom prst="rect">
          <a:avLst/>
        </a:prstGeom>
      </xdr:spPr>
    </xdr:pic>
    <xdr:clientData/>
  </xdr:twoCellAnchor>
  <xdr:twoCellAnchor>
    <xdr:from>
      <xdr:col>9</xdr:col>
      <xdr:colOff>6350</xdr:colOff>
      <xdr:row>1822</xdr:row>
      <xdr:rowOff>25400</xdr:rowOff>
    </xdr:from>
    <xdr:to>
      <xdr:col>9</xdr:col>
      <xdr:colOff>885190</xdr:colOff>
      <xdr:row>1822</xdr:row>
      <xdr:rowOff>1209040</xdr:rowOff>
    </xdr:to>
    <xdr:pic>
      <xdr:nvPicPr>
        <xdr:cNvPr id="6603" name="Изображение 6602" descr="resizeПП-00200628"/>
        <xdr:cNvPicPr>
          <a:picLocks noChangeAspect="1"/>
        </xdr:cNvPicPr>
      </xdr:nvPicPr>
      <xdr:blipFill>
        <a:blip xmlns:r="http://schemas.openxmlformats.org/officeDocument/2006/relationships" r:embed="rId1360"/>
        <a:stretch>
          <a:fillRect/>
        </a:stretch>
      </xdr:blipFill>
      <xdr:spPr>
        <a:xfrm>
          <a:off x="7235825" y="1771430925"/>
          <a:ext cx="878840" cy="1183640"/>
        </a:xfrm>
        <a:prstGeom prst="rect">
          <a:avLst/>
        </a:prstGeom>
      </xdr:spPr>
    </xdr:pic>
    <xdr:clientData/>
  </xdr:twoCellAnchor>
  <xdr:twoCellAnchor>
    <xdr:from>
      <xdr:col>9</xdr:col>
      <xdr:colOff>6350</xdr:colOff>
      <xdr:row>1823</xdr:row>
      <xdr:rowOff>25400</xdr:rowOff>
    </xdr:from>
    <xdr:to>
      <xdr:col>9</xdr:col>
      <xdr:colOff>885190</xdr:colOff>
      <xdr:row>1823</xdr:row>
      <xdr:rowOff>1209040</xdr:rowOff>
    </xdr:to>
    <xdr:pic>
      <xdr:nvPicPr>
        <xdr:cNvPr id="6604" name="Изображение 6603" descr="resizeПП-00200627"/>
        <xdr:cNvPicPr>
          <a:picLocks noChangeAspect="1"/>
        </xdr:cNvPicPr>
      </xdr:nvPicPr>
      <xdr:blipFill>
        <a:blip xmlns:r="http://schemas.openxmlformats.org/officeDocument/2006/relationships" r:embed="rId1361"/>
        <a:stretch>
          <a:fillRect/>
        </a:stretch>
      </xdr:blipFill>
      <xdr:spPr>
        <a:xfrm>
          <a:off x="7235825" y="1772653300"/>
          <a:ext cx="878840" cy="1183640"/>
        </a:xfrm>
        <a:prstGeom prst="rect">
          <a:avLst/>
        </a:prstGeom>
      </xdr:spPr>
    </xdr:pic>
    <xdr:clientData/>
  </xdr:twoCellAnchor>
  <xdr:twoCellAnchor>
    <xdr:from>
      <xdr:col>9</xdr:col>
      <xdr:colOff>6350</xdr:colOff>
      <xdr:row>1824</xdr:row>
      <xdr:rowOff>25400</xdr:rowOff>
    </xdr:from>
    <xdr:to>
      <xdr:col>9</xdr:col>
      <xdr:colOff>885190</xdr:colOff>
      <xdr:row>1824</xdr:row>
      <xdr:rowOff>1209040</xdr:rowOff>
    </xdr:to>
    <xdr:pic>
      <xdr:nvPicPr>
        <xdr:cNvPr id="6605" name="Изображение 6604" descr="resizeПП-00200648"/>
        <xdr:cNvPicPr>
          <a:picLocks noChangeAspect="1"/>
        </xdr:cNvPicPr>
      </xdr:nvPicPr>
      <xdr:blipFill>
        <a:blip xmlns:r="http://schemas.openxmlformats.org/officeDocument/2006/relationships" r:embed="rId1362"/>
        <a:stretch>
          <a:fillRect/>
        </a:stretch>
      </xdr:blipFill>
      <xdr:spPr>
        <a:xfrm>
          <a:off x="7235825" y="1773875675"/>
          <a:ext cx="878840" cy="1183640"/>
        </a:xfrm>
        <a:prstGeom prst="rect">
          <a:avLst/>
        </a:prstGeom>
      </xdr:spPr>
    </xdr:pic>
    <xdr:clientData/>
  </xdr:twoCellAnchor>
  <xdr:twoCellAnchor>
    <xdr:from>
      <xdr:col>9</xdr:col>
      <xdr:colOff>6350</xdr:colOff>
      <xdr:row>1826</xdr:row>
      <xdr:rowOff>25400</xdr:rowOff>
    </xdr:from>
    <xdr:to>
      <xdr:col>9</xdr:col>
      <xdr:colOff>885190</xdr:colOff>
      <xdr:row>1826</xdr:row>
      <xdr:rowOff>1209040</xdr:rowOff>
    </xdr:to>
    <xdr:pic>
      <xdr:nvPicPr>
        <xdr:cNvPr id="6606" name="Изображение 6605" descr="resizeПП-00251335"/>
        <xdr:cNvPicPr>
          <a:picLocks noChangeAspect="1"/>
        </xdr:cNvPicPr>
      </xdr:nvPicPr>
      <xdr:blipFill>
        <a:blip xmlns:r="http://schemas.openxmlformats.org/officeDocument/2006/relationships" r:embed="rId1363"/>
        <a:stretch>
          <a:fillRect/>
        </a:stretch>
      </xdr:blipFill>
      <xdr:spPr>
        <a:xfrm>
          <a:off x="7235825" y="1775250450"/>
          <a:ext cx="878840" cy="1183640"/>
        </a:xfrm>
        <a:prstGeom prst="rect">
          <a:avLst/>
        </a:prstGeom>
      </xdr:spPr>
    </xdr:pic>
    <xdr:clientData/>
  </xdr:twoCellAnchor>
  <xdr:twoCellAnchor>
    <xdr:from>
      <xdr:col>9</xdr:col>
      <xdr:colOff>6350</xdr:colOff>
      <xdr:row>1827</xdr:row>
      <xdr:rowOff>25400</xdr:rowOff>
    </xdr:from>
    <xdr:to>
      <xdr:col>9</xdr:col>
      <xdr:colOff>885190</xdr:colOff>
      <xdr:row>1827</xdr:row>
      <xdr:rowOff>1209040</xdr:rowOff>
    </xdr:to>
    <xdr:pic>
      <xdr:nvPicPr>
        <xdr:cNvPr id="6607" name="Изображение 6606" descr="resizeПП-00200643"/>
        <xdr:cNvPicPr>
          <a:picLocks noChangeAspect="1"/>
        </xdr:cNvPicPr>
      </xdr:nvPicPr>
      <xdr:blipFill>
        <a:blip xmlns:r="http://schemas.openxmlformats.org/officeDocument/2006/relationships" r:embed="rId1364"/>
        <a:stretch>
          <a:fillRect/>
        </a:stretch>
      </xdr:blipFill>
      <xdr:spPr>
        <a:xfrm>
          <a:off x="7235825" y="1776472825"/>
          <a:ext cx="878840" cy="1183640"/>
        </a:xfrm>
        <a:prstGeom prst="rect">
          <a:avLst/>
        </a:prstGeom>
      </xdr:spPr>
    </xdr:pic>
    <xdr:clientData/>
  </xdr:twoCellAnchor>
  <xdr:twoCellAnchor>
    <xdr:from>
      <xdr:col>9</xdr:col>
      <xdr:colOff>6350</xdr:colOff>
      <xdr:row>1829</xdr:row>
      <xdr:rowOff>25400</xdr:rowOff>
    </xdr:from>
    <xdr:to>
      <xdr:col>9</xdr:col>
      <xdr:colOff>885190</xdr:colOff>
      <xdr:row>1829</xdr:row>
      <xdr:rowOff>1209040</xdr:rowOff>
    </xdr:to>
    <xdr:pic>
      <xdr:nvPicPr>
        <xdr:cNvPr id="6608" name="Изображение 6607" descr="resizeПП-00209894"/>
        <xdr:cNvPicPr>
          <a:picLocks noChangeAspect="1"/>
        </xdr:cNvPicPr>
      </xdr:nvPicPr>
      <xdr:blipFill>
        <a:blip xmlns:r="http://schemas.openxmlformats.org/officeDocument/2006/relationships" r:embed="rId1365"/>
        <a:stretch>
          <a:fillRect/>
        </a:stretch>
      </xdr:blipFill>
      <xdr:spPr>
        <a:xfrm>
          <a:off x="7235825" y="1777847600"/>
          <a:ext cx="878840" cy="1183640"/>
        </a:xfrm>
        <a:prstGeom prst="rect">
          <a:avLst/>
        </a:prstGeom>
      </xdr:spPr>
    </xdr:pic>
    <xdr:clientData/>
  </xdr:twoCellAnchor>
  <xdr:twoCellAnchor>
    <xdr:from>
      <xdr:col>9</xdr:col>
      <xdr:colOff>6350</xdr:colOff>
      <xdr:row>1830</xdr:row>
      <xdr:rowOff>25400</xdr:rowOff>
    </xdr:from>
    <xdr:to>
      <xdr:col>9</xdr:col>
      <xdr:colOff>885190</xdr:colOff>
      <xdr:row>1830</xdr:row>
      <xdr:rowOff>1209040</xdr:rowOff>
    </xdr:to>
    <xdr:pic>
      <xdr:nvPicPr>
        <xdr:cNvPr id="6609" name="Изображение 6608" descr="resizeПП-00122396"/>
        <xdr:cNvPicPr>
          <a:picLocks noChangeAspect="1"/>
        </xdr:cNvPicPr>
      </xdr:nvPicPr>
      <xdr:blipFill>
        <a:blip xmlns:r="http://schemas.openxmlformats.org/officeDocument/2006/relationships" r:embed="rId1366"/>
        <a:stretch>
          <a:fillRect/>
        </a:stretch>
      </xdr:blipFill>
      <xdr:spPr>
        <a:xfrm>
          <a:off x="7235825" y="1779069975"/>
          <a:ext cx="878840" cy="1183640"/>
        </a:xfrm>
        <a:prstGeom prst="rect">
          <a:avLst/>
        </a:prstGeom>
      </xdr:spPr>
    </xdr:pic>
    <xdr:clientData/>
  </xdr:twoCellAnchor>
  <xdr:twoCellAnchor>
    <xdr:from>
      <xdr:col>9</xdr:col>
      <xdr:colOff>6350</xdr:colOff>
      <xdr:row>1831</xdr:row>
      <xdr:rowOff>25400</xdr:rowOff>
    </xdr:from>
    <xdr:to>
      <xdr:col>9</xdr:col>
      <xdr:colOff>885190</xdr:colOff>
      <xdr:row>1831</xdr:row>
      <xdr:rowOff>1209040</xdr:rowOff>
    </xdr:to>
    <xdr:pic>
      <xdr:nvPicPr>
        <xdr:cNvPr id="6610" name="Изображение 6609" descr="resizeПП-00163354"/>
        <xdr:cNvPicPr>
          <a:picLocks noChangeAspect="1"/>
        </xdr:cNvPicPr>
      </xdr:nvPicPr>
      <xdr:blipFill>
        <a:blip xmlns:r="http://schemas.openxmlformats.org/officeDocument/2006/relationships" r:embed="rId1367"/>
        <a:stretch>
          <a:fillRect/>
        </a:stretch>
      </xdr:blipFill>
      <xdr:spPr>
        <a:xfrm>
          <a:off x="7235825" y="1780292350"/>
          <a:ext cx="878840" cy="1183640"/>
        </a:xfrm>
        <a:prstGeom prst="rect">
          <a:avLst/>
        </a:prstGeom>
      </xdr:spPr>
    </xdr:pic>
    <xdr:clientData/>
  </xdr:twoCellAnchor>
  <xdr:twoCellAnchor>
    <xdr:from>
      <xdr:col>9</xdr:col>
      <xdr:colOff>6350</xdr:colOff>
      <xdr:row>1832</xdr:row>
      <xdr:rowOff>25400</xdr:rowOff>
    </xdr:from>
    <xdr:to>
      <xdr:col>9</xdr:col>
      <xdr:colOff>885190</xdr:colOff>
      <xdr:row>1832</xdr:row>
      <xdr:rowOff>1209040</xdr:rowOff>
    </xdr:to>
    <xdr:pic>
      <xdr:nvPicPr>
        <xdr:cNvPr id="6611" name="Изображение 6610" descr="resizeПП-00200634"/>
        <xdr:cNvPicPr>
          <a:picLocks noChangeAspect="1"/>
        </xdr:cNvPicPr>
      </xdr:nvPicPr>
      <xdr:blipFill>
        <a:blip xmlns:r="http://schemas.openxmlformats.org/officeDocument/2006/relationships" r:embed="rId1368"/>
        <a:stretch>
          <a:fillRect/>
        </a:stretch>
      </xdr:blipFill>
      <xdr:spPr>
        <a:xfrm>
          <a:off x="7235825" y="1781514725"/>
          <a:ext cx="878840" cy="1183640"/>
        </a:xfrm>
        <a:prstGeom prst="rect">
          <a:avLst/>
        </a:prstGeom>
      </xdr:spPr>
    </xdr:pic>
    <xdr:clientData/>
  </xdr:twoCellAnchor>
  <xdr:twoCellAnchor>
    <xdr:from>
      <xdr:col>9</xdr:col>
      <xdr:colOff>6350</xdr:colOff>
      <xdr:row>1834</xdr:row>
      <xdr:rowOff>25400</xdr:rowOff>
    </xdr:from>
    <xdr:to>
      <xdr:col>9</xdr:col>
      <xdr:colOff>885190</xdr:colOff>
      <xdr:row>1834</xdr:row>
      <xdr:rowOff>1209040</xdr:rowOff>
    </xdr:to>
    <xdr:pic>
      <xdr:nvPicPr>
        <xdr:cNvPr id="6612" name="Изображение 6611" descr="resizeПП-00235109"/>
        <xdr:cNvPicPr>
          <a:picLocks noChangeAspect="1"/>
        </xdr:cNvPicPr>
      </xdr:nvPicPr>
      <xdr:blipFill>
        <a:blip xmlns:r="http://schemas.openxmlformats.org/officeDocument/2006/relationships" r:embed="rId1369"/>
        <a:stretch>
          <a:fillRect/>
        </a:stretch>
      </xdr:blipFill>
      <xdr:spPr>
        <a:xfrm>
          <a:off x="7235825" y="1782889500"/>
          <a:ext cx="878840" cy="1183640"/>
        </a:xfrm>
        <a:prstGeom prst="rect">
          <a:avLst/>
        </a:prstGeom>
      </xdr:spPr>
    </xdr:pic>
    <xdr:clientData/>
  </xdr:twoCellAnchor>
  <xdr:twoCellAnchor>
    <xdr:from>
      <xdr:col>9</xdr:col>
      <xdr:colOff>6350</xdr:colOff>
      <xdr:row>1835</xdr:row>
      <xdr:rowOff>25400</xdr:rowOff>
    </xdr:from>
    <xdr:to>
      <xdr:col>9</xdr:col>
      <xdr:colOff>885190</xdr:colOff>
      <xdr:row>1835</xdr:row>
      <xdr:rowOff>1209040</xdr:rowOff>
    </xdr:to>
    <xdr:pic>
      <xdr:nvPicPr>
        <xdr:cNvPr id="6613" name="Изображение 6612" descr="resizeПП-00200636"/>
        <xdr:cNvPicPr>
          <a:picLocks noChangeAspect="1"/>
        </xdr:cNvPicPr>
      </xdr:nvPicPr>
      <xdr:blipFill>
        <a:blip xmlns:r="http://schemas.openxmlformats.org/officeDocument/2006/relationships" r:embed="rId1370"/>
        <a:stretch>
          <a:fillRect/>
        </a:stretch>
      </xdr:blipFill>
      <xdr:spPr>
        <a:xfrm>
          <a:off x="7235825" y="1784111875"/>
          <a:ext cx="878840" cy="1183640"/>
        </a:xfrm>
        <a:prstGeom prst="rect">
          <a:avLst/>
        </a:prstGeom>
      </xdr:spPr>
    </xdr:pic>
    <xdr:clientData/>
  </xdr:twoCellAnchor>
  <xdr:twoCellAnchor>
    <xdr:from>
      <xdr:col>9</xdr:col>
      <xdr:colOff>6350</xdr:colOff>
      <xdr:row>1836</xdr:row>
      <xdr:rowOff>25400</xdr:rowOff>
    </xdr:from>
    <xdr:to>
      <xdr:col>9</xdr:col>
      <xdr:colOff>885190</xdr:colOff>
      <xdr:row>1836</xdr:row>
      <xdr:rowOff>1209040</xdr:rowOff>
    </xdr:to>
    <xdr:pic>
      <xdr:nvPicPr>
        <xdr:cNvPr id="6614" name="Изображение 6613" descr="resizeПП-00235110"/>
        <xdr:cNvPicPr>
          <a:picLocks noChangeAspect="1"/>
        </xdr:cNvPicPr>
      </xdr:nvPicPr>
      <xdr:blipFill>
        <a:blip xmlns:r="http://schemas.openxmlformats.org/officeDocument/2006/relationships" r:embed="rId1371"/>
        <a:stretch>
          <a:fillRect/>
        </a:stretch>
      </xdr:blipFill>
      <xdr:spPr>
        <a:xfrm>
          <a:off x="7235825" y="1785334250"/>
          <a:ext cx="878840" cy="1183640"/>
        </a:xfrm>
        <a:prstGeom prst="rect">
          <a:avLst/>
        </a:prstGeom>
      </xdr:spPr>
    </xdr:pic>
    <xdr:clientData/>
  </xdr:twoCellAnchor>
  <xdr:twoCellAnchor>
    <xdr:from>
      <xdr:col>9</xdr:col>
      <xdr:colOff>6350</xdr:colOff>
      <xdr:row>1837</xdr:row>
      <xdr:rowOff>25400</xdr:rowOff>
    </xdr:from>
    <xdr:to>
      <xdr:col>9</xdr:col>
      <xdr:colOff>885190</xdr:colOff>
      <xdr:row>1837</xdr:row>
      <xdr:rowOff>1209040</xdr:rowOff>
    </xdr:to>
    <xdr:pic>
      <xdr:nvPicPr>
        <xdr:cNvPr id="6615" name="Изображение 6614" descr="resizeПП-00235111"/>
        <xdr:cNvPicPr>
          <a:picLocks noChangeAspect="1"/>
        </xdr:cNvPicPr>
      </xdr:nvPicPr>
      <xdr:blipFill>
        <a:blip xmlns:r="http://schemas.openxmlformats.org/officeDocument/2006/relationships" r:embed="rId1372"/>
        <a:stretch>
          <a:fillRect/>
        </a:stretch>
      </xdr:blipFill>
      <xdr:spPr>
        <a:xfrm>
          <a:off x="7235825" y="1786556625"/>
          <a:ext cx="878840" cy="1183640"/>
        </a:xfrm>
        <a:prstGeom prst="rect">
          <a:avLst/>
        </a:prstGeom>
      </xdr:spPr>
    </xdr:pic>
    <xdr:clientData/>
  </xdr:twoCellAnchor>
  <xdr:twoCellAnchor>
    <xdr:from>
      <xdr:col>9</xdr:col>
      <xdr:colOff>6350</xdr:colOff>
      <xdr:row>1840</xdr:row>
      <xdr:rowOff>25400</xdr:rowOff>
    </xdr:from>
    <xdr:to>
      <xdr:col>9</xdr:col>
      <xdr:colOff>885190</xdr:colOff>
      <xdr:row>1840</xdr:row>
      <xdr:rowOff>1209040</xdr:rowOff>
    </xdr:to>
    <xdr:pic>
      <xdr:nvPicPr>
        <xdr:cNvPr id="6616" name="Изображение 6615" descr="resizeПП-00253722"/>
        <xdr:cNvPicPr>
          <a:picLocks noChangeAspect="1"/>
        </xdr:cNvPicPr>
      </xdr:nvPicPr>
      <xdr:blipFill>
        <a:blip xmlns:r="http://schemas.openxmlformats.org/officeDocument/2006/relationships" r:embed="rId1373"/>
        <a:stretch>
          <a:fillRect/>
        </a:stretch>
      </xdr:blipFill>
      <xdr:spPr>
        <a:xfrm>
          <a:off x="7235825" y="1788083800"/>
          <a:ext cx="878840" cy="1183640"/>
        </a:xfrm>
        <a:prstGeom prst="rect">
          <a:avLst/>
        </a:prstGeom>
      </xdr:spPr>
    </xdr:pic>
    <xdr:clientData/>
  </xdr:twoCellAnchor>
  <xdr:twoCellAnchor>
    <xdr:from>
      <xdr:col>9</xdr:col>
      <xdr:colOff>6350</xdr:colOff>
      <xdr:row>1842</xdr:row>
      <xdr:rowOff>25400</xdr:rowOff>
    </xdr:from>
    <xdr:to>
      <xdr:col>9</xdr:col>
      <xdr:colOff>885190</xdr:colOff>
      <xdr:row>1842</xdr:row>
      <xdr:rowOff>1209040</xdr:rowOff>
    </xdr:to>
    <xdr:pic>
      <xdr:nvPicPr>
        <xdr:cNvPr id="6617" name="Изображение 6616" descr="resizeПП-00253731"/>
        <xdr:cNvPicPr>
          <a:picLocks noChangeAspect="1"/>
        </xdr:cNvPicPr>
      </xdr:nvPicPr>
      <xdr:blipFill>
        <a:blip xmlns:r="http://schemas.openxmlformats.org/officeDocument/2006/relationships" r:embed="rId1374"/>
        <a:stretch>
          <a:fillRect/>
        </a:stretch>
      </xdr:blipFill>
      <xdr:spPr>
        <a:xfrm>
          <a:off x="7235825" y="1789458575"/>
          <a:ext cx="878840" cy="1183640"/>
        </a:xfrm>
        <a:prstGeom prst="rect">
          <a:avLst/>
        </a:prstGeom>
      </xdr:spPr>
    </xdr:pic>
    <xdr:clientData/>
  </xdr:twoCellAnchor>
  <xdr:twoCellAnchor>
    <xdr:from>
      <xdr:col>9</xdr:col>
      <xdr:colOff>6350</xdr:colOff>
      <xdr:row>1844</xdr:row>
      <xdr:rowOff>25400</xdr:rowOff>
    </xdr:from>
    <xdr:to>
      <xdr:col>9</xdr:col>
      <xdr:colOff>885190</xdr:colOff>
      <xdr:row>1844</xdr:row>
      <xdr:rowOff>1209040</xdr:rowOff>
    </xdr:to>
    <xdr:pic>
      <xdr:nvPicPr>
        <xdr:cNvPr id="6618" name="Изображение 6617" descr="resizeПП-00253734"/>
        <xdr:cNvPicPr>
          <a:picLocks noChangeAspect="1"/>
        </xdr:cNvPicPr>
      </xdr:nvPicPr>
      <xdr:blipFill>
        <a:blip xmlns:r="http://schemas.openxmlformats.org/officeDocument/2006/relationships" r:embed="rId1375"/>
        <a:stretch>
          <a:fillRect/>
        </a:stretch>
      </xdr:blipFill>
      <xdr:spPr>
        <a:xfrm>
          <a:off x="7235825" y="1790833350"/>
          <a:ext cx="878840" cy="1183640"/>
        </a:xfrm>
        <a:prstGeom prst="rect">
          <a:avLst/>
        </a:prstGeom>
      </xdr:spPr>
    </xdr:pic>
    <xdr:clientData/>
  </xdr:twoCellAnchor>
  <xdr:twoCellAnchor>
    <xdr:from>
      <xdr:col>9</xdr:col>
      <xdr:colOff>6350</xdr:colOff>
      <xdr:row>1846</xdr:row>
      <xdr:rowOff>25400</xdr:rowOff>
    </xdr:from>
    <xdr:to>
      <xdr:col>9</xdr:col>
      <xdr:colOff>885190</xdr:colOff>
      <xdr:row>1846</xdr:row>
      <xdr:rowOff>1209040</xdr:rowOff>
    </xdr:to>
    <xdr:pic>
      <xdr:nvPicPr>
        <xdr:cNvPr id="6619" name="Изображение 6618" descr="resizeПП-00162185"/>
        <xdr:cNvPicPr>
          <a:picLocks noChangeAspect="1"/>
        </xdr:cNvPicPr>
      </xdr:nvPicPr>
      <xdr:blipFill>
        <a:blip xmlns:r="http://schemas.openxmlformats.org/officeDocument/2006/relationships" r:embed="rId1376"/>
        <a:stretch>
          <a:fillRect/>
        </a:stretch>
      </xdr:blipFill>
      <xdr:spPr>
        <a:xfrm>
          <a:off x="7235825" y="1792208125"/>
          <a:ext cx="878840" cy="1183640"/>
        </a:xfrm>
        <a:prstGeom prst="rect">
          <a:avLst/>
        </a:prstGeom>
      </xdr:spPr>
    </xdr:pic>
    <xdr:clientData/>
  </xdr:twoCellAnchor>
  <xdr:twoCellAnchor>
    <xdr:from>
      <xdr:col>9</xdr:col>
      <xdr:colOff>6350</xdr:colOff>
      <xdr:row>1847</xdr:row>
      <xdr:rowOff>25400</xdr:rowOff>
    </xdr:from>
    <xdr:to>
      <xdr:col>9</xdr:col>
      <xdr:colOff>885190</xdr:colOff>
      <xdr:row>1847</xdr:row>
      <xdr:rowOff>1209040</xdr:rowOff>
    </xdr:to>
    <xdr:pic>
      <xdr:nvPicPr>
        <xdr:cNvPr id="6620" name="Изображение 6619" descr="resizeПП-00162188"/>
        <xdr:cNvPicPr>
          <a:picLocks noChangeAspect="1"/>
        </xdr:cNvPicPr>
      </xdr:nvPicPr>
      <xdr:blipFill>
        <a:blip xmlns:r="http://schemas.openxmlformats.org/officeDocument/2006/relationships" r:embed="rId1377"/>
        <a:stretch>
          <a:fillRect/>
        </a:stretch>
      </xdr:blipFill>
      <xdr:spPr>
        <a:xfrm>
          <a:off x="7235825" y="1793430500"/>
          <a:ext cx="878840" cy="1183640"/>
        </a:xfrm>
        <a:prstGeom prst="rect">
          <a:avLst/>
        </a:prstGeom>
      </xdr:spPr>
    </xdr:pic>
    <xdr:clientData/>
  </xdr:twoCellAnchor>
  <xdr:twoCellAnchor>
    <xdr:from>
      <xdr:col>9</xdr:col>
      <xdr:colOff>6350</xdr:colOff>
      <xdr:row>1849</xdr:row>
      <xdr:rowOff>25400</xdr:rowOff>
    </xdr:from>
    <xdr:to>
      <xdr:col>9</xdr:col>
      <xdr:colOff>885190</xdr:colOff>
      <xdr:row>1849</xdr:row>
      <xdr:rowOff>1209040</xdr:rowOff>
    </xdr:to>
    <xdr:pic>
      <xdr:nvPicPr>
        <xdr:cNvPr id="6621" name="Изображение 6620" descr="resizeПП-00253743"/>
        <xdr:cNvPicPr>
          <a:picLocks noChangeAspect="1"/>
        </xdr:cNvPicPr>
      </xdr:nvPicPr>
      <xdr:blipFill>
        <a:blip xmlns:r="http://schemas.openxmlformats.org/officeDocument/2006/relationships" r:embed="rId1378"/>
        <a:stretch>
          <a:fillRect/>
        </a:stretch>
      </xdr:blipFill>
      <xdr:spPr>
        <a:xfrm>
          <a:off x="7235825" y="1794805275"/>
          <a:ext cx="878840" cy="1183640"/>
        </a:xfrm>
        <a:prstGeom prst="rect">
          <a:avLst/>
        </a:prstGeom>
      </xdr:spPr>
    </xdr:pic>
    <xdr:clientData/>
  </xdr:twoCellAnchor>
  <xdr:twoCellAnchor>
    <xdr:from>
      <xdr:col>9</xdr:col>
      <xdr:colOff>6350</xdr:colOff>
      <xdr:row>1850</xdr:row>
      <xdr:rowOff>25400</xdr:rowOff>
    </xdr:from>
    <xdr:to>
      <xdr:col>9</xdr:col>
      <xdr:colOff>885190</xdr:colOff>
      <xdr:row>1850</xdr:row>
      <xdr:rowOff>1209040</xdr:rowOff>
    </xdr:to>
    <xdr:pic>
      <xdr:nvPicPr>
        <xdr:cNvPr id="6622" name="Изображение 6621" descr="resizeПП-00253745"/>
        <xdr:cNvPicPr>
          <a:picLocks noChangeAspect="1"/>
        </xdr:cNvPicPr>
      </xdr:nvPicPr>
      <xdr:blipFill>
        <a:blip xmlns:r="http://schemas.openxmlformats.org/officeDocument/2006/relationships" r:embed="rId1379"/>
        <a:stretch>
          <a:fillRect/>
        </a:stretch>
      </xdr:blipFill>
      <xdr:spPr>
        <a:xfrm>
          <a:off x="7235825" y="1796027650"/>
          <a:ext cx="878840" cy="1183640"/>
        </a:xfrm>
        <a:prstGeom prst="rect">
          <a:avLst/>
        </a:prstGeom>
      </xdr:spPr>
    </xdr:pic>
    <xdr:clientData/>
  </xdr:twoCellAnchor>
  <xdr:twoCellAnchor>
    <xdr:from>
      <xdr:col>9</xdr:col>
      <xdr:colOff>6350</xdr:colOff>
      <xdr:row>1851</xdr:row>
      <xdr:rowOff>25400</xdr:rowOff>
    </xdr:from>
    <xdr:to>
      <xdr:col>9</xdr:col>
      <xdr:colOff>885190</xdr:colOff>
      <xdr:row>1851</xdr:row>
      <xdr:rowOff>1209040</xdr:rowOff>
    </xdr:to>
    <xdr:pic>
      <xdr:nvPicPr>
        <xdr:cNvPr id="6623" name="Изображение 6622" descr="resizeПП-00116874"/>
        <xdr:cNvPicPr>
          <a:picLocks noChangeAspect="1"/>
        </xdr:cNvPicPr>
      </xdr:nvPicPr>
      <xdr:blipFill>
        <a:blip xmlns:r="http://schemas.openxmlformats.org/officeDocument/2006/relationships" r:embed="rId1380"/>
        <a:stretch>
          <a:fillRect/>
        </a:stretch>
      </xdr:blipFill>
      <xdr:spPr>
        <a:xfrm>
          <a:off x="7235825" y="1797250025"/>
          <a:ext cx="878840" cy="1183640"/>
        </a:xfrm>
        <a:prstGeom prst="rect">
          <a:avLst/>
        </a:prstGeom>
      </xdr:spPr>
    </xdr:pic>
    <xdr:clientData/>
  </xdr:twoCellAnchor>
  <xdr:twoCellAnchor>
    <xdr:from>
      <xdr:col>9</xdr:col>
      <xdr:colOff>6350</xdr:colOff>
      <xdr:row>1853</xdr:row>
      <xdr:rowOff>25400</xdr:rowOff>
    </xdr:from>
    <xdr:to>
      <xdr:col>9</xdr:col>
      <xdr:colOff>885190</xdr:colOff>
      <xdr:row>1853</xdr:row>
      <xdr:rowOff>1209040</xdr:rowOff>
    </xdr:to>
    <xdr:pic>
      <xdr:nvPicPr>
        <xdr:cNvPr id="6624" name="Изображение 6623" descr="resizeПП-00253749"/>
        <xdr:cNvPicPr>
          <a:picLocks noChangeAspect="1"/>
        </xdr:cNvPicPr>
      </xdr:nvPicPr>
      <xdr:blipFill>
        <a:blip xmlns:r="http://schemas.openxmlformats.org/officeDocument/2006/relationships" r:embed="rId1381"/>
        <a:stretch>
          <a:fillRect/>
        </a:stretch>
      </xdr:blipFill>
      <xdr:spPr>
        <a:xfrm>
          <a:off x="7235825" y="1798624800"/>
          <a:ext cx="878840" cy="1183640"/>
        </a:xfrm>
        <a:prstGeom prst="rect">
          <a:avLst/>
        </a:prstGeom>
      </xdr:spPr>
    </xdr:pic>
    <xdr:clientData/>
  </xdr:twoCellAnchor>
  <xdr:twoCellAnchor>
    <xdr:from>
      <xdr:col>9</xdr:col>
      <xdr:colOff>6350</xdr:colOff>
      <xdr:row>1854</xdr:row>
      <xdr:rowOff>25400</xdr:rowOff>
    </xdr:from>
    <xdr:to>
      <xdr:col>9</xdr:col>
      <xdr:colOff>885190</xdr:colOff>
      <xdr:row>1854</xdr:row>
      <xdr:rowOff>1209040</xdr:rowOff>
    </xdr:to>
    <xdr:pic>
      <xdr:nvPicPr>
        <xdr:cNvPr id="6625" name="Изображение 6624" descr="resizeПП-00253751"/>
        <xdr:cNvPicPr>
          <a:picLocks noChangeAspect="1"/>
        </xdr:cNvPicPr>
      </xdr:nvPicPr>
      <xdr:blipFill>
        <a:blip xmlns:r="http://schemas.openxmlformats.org/officeDocument/2006/relationships" r:embed="rId1382"/>
        <a:stretch>
          <a:fillRect/>
        </a:stretch>
      </xdr:blipFill>
      <xdr:spPr>
        <a:xfrm>
          <a:off x="7235825" y="1799847175"/>
          <a:ext cx="878840" cy="1183640"/>
        </a:xfrm>
        <a:prstGeom prst="rect">
          <a:avLst/>
        </a:prstGeom>
      </xdr:spPr>
    </xdr:pic>
    <xdr:clientData/>
  </xdr:twoCellAnchor>
  <xdr:twoCellAnchor>
    <xdr:from>
      <xdr:col>9</xdr:col>
      <xdr:colOff>6350</xdr:colOff>
      <xdr:row>1855</xdr:row>
      <xdr:rowOff>25400</xdr:rowOff>
    </xdr:from>
    <xdr:to>
      <xdr:col>9</xdr:col>
      <xdr:colOff>885190</xdr:colOff>
      <xdr:row>1855</xdr:row>
      <xdr:rowOff>1209040</xdr:rowOff>
    </xdr:to>
    <xdr:pic>
      <xdr:nvPicPr>
        <xdr:cNvPr id="6626" name="Изображение 6625" descr="resizeПП-00253754"/>
        <xdr:cNvPicPr>
          <a:picLocks noChangeAspect="1"/>
        </xdr:cNvPicPr>
      </xdr:nvPicPr>
      <xdr:blipFill>
        <a:blip xmlns:r="http://schemas.openxmlformats.org/officeDocument/2006/relationships" r:embed="rId1383"/>
        <a:stretch>
          <a:fillRect/>
        </a:stretch>
      </xdr:blipFill>
      <xdr:spPr>
        <a:xfrm>
          <a:off x="7235825" y="1801069550"/>
          <a:ext cx="878840" cy="1183640"/>
        </a:xfrm>
        <a:prstGeom prst="rect">
          <a:avLst/>
        </a:prstGeom>
      </xdr:spPr>
    </xdr:pic>
    <xdr:clientData/>
  </xdr:twoCellAnchor>
  <xdr:twoCellAnchor>
    <xdr:from>
      <xdr:col>9</xdr:col>
      <xdr:colOff>6350</xdr:colOff>
      <xdr:row>1856</xdr:row>
      <xdr:rowOff>25400</xdr:rowOff>
    </xdr:from>
    <xdr:to>
      <xdr:col>9</xdr:col>
      <xdr:colOff>885190</xdr:colOff>
      <xdr:row>1856</xdr:row>
      <xdr:rowOff>1209040</xdr:rowOff>
    </xdr:to>
    <xdr:pic>
      <xdr:nvPicPr>
        <xdr:cNvPr id="6627" name="Изображение 6626" descr="resizeПП-00253757"/>
        <xdr:cNvPicPr>
          <a:picLocks noChangeAspect="1"/>
        </xdr:cNvPicPr>
      </xdr:nvPicPr>
      <xdr:blipFill>
        <a:blip xmlns:r="http://schemas.openxmlformats.org/officeDocument/2006/relationships" r:embed="rId1384"/>
        <a:stretch>
          <a:fillRect/>
        </a:stretch>
      </xdr:blipFill>
      <xdr:spPr>
        <a:xfrm>
          <a:off x="7235825" y="1802291925"/>
          <a:ext cx="878840" cy="1183640"/>
        </a:xfrm>
        <a:prstGeom prst="rect">
          <a:avLst/>
        </a:prstGeom>
      </xdr:spPr>
    </xdr:pic>
    <xdr:clientData/>
  </xdr:twoCellAnchor>
  <xdr:twoCellAnchor>
    <xdr:from>
      <xdr:col>9</xdr:col>
      <xdr:colOff>6350</xdr:colOff>
      <xdr:row>1857</xdr:row>
      <xdr:rowOff>25400</xdr:rowOff>
    </xdr:from>
    <xdr:to>
      <xdr:col>9</xdr:col>
      <xdr:colOff>885190</xdr:colOff>
      <xdr:row>1857</xdr:row>
      <xdr:rowOff>1209040</xdr:rowOff>
    </xdr:to>
    <xdr:pic>
      <xdr:nvPicPr>
        <xdr:cNvPr id="6628" name="Изображение 6627" descr="resizeПП-00253756"/>
        <xdr:cNvPicPr>
          <a:picLocks noChangeAspect="1"/>
        </xdr:cNvPicPr>
      </xdr:nvPicPr>
      <xdr:blipFill>
        <a:blip xmlns:r="http://schemas.openxmlformats.org/officeDocument/2006/relationships" r:embed="rId1385"/>
        <a:stretch>
          <a:fillRect/>
        </a:stretch>
      </xdr:blipFill>
      <xdr:spPr>
        <a:xfrm>
          <a:off x="7235825" y="1803514300"/>
          <a:ext cx="878840" cy="1183640"/>
        </a:xfrm>
        <a:prstGeom prst="rect">
          <a:avLst/>
        </a:prstGeom>
      </xdr:spPr>
    </xdr:pic>
    <xdr:clientData/>
  </xdr:twoCellAnchor>
  <xdr:twoCellAnchor>
    <xdr:from>
      <xdr:col>9</xdr:col>
      <xdr:colOff>6350</xdr:colOff>
      <xdr:row>1858</xdr:row>
      <xdr:rowOff>25400</xdr:rowOff>
    </xdr:from>
    <xdr:to>
      <xdr:col>9</xdr:col>
      <xdr:colOff>1189990</xdr:colOff>
      <xdr:row>1858</xdr:row>
      <xdr:rowOff>1056640</xdr:rowOff>
    </xdr:to>
    <xdr:pic>
      <xdr:nvPicPr>
        <xdr:cNvPr id="6629" name="Изображение 6628" descr="resizeПП-00045590"/>
        <xdr:cNvPicPr>
          <a:picLocks noChangeAspect="1"/>
        </xdr:cNvPicPr>
      </xdr:nvPicPr>
      <xdr:blipFill>
        <a:blip xmlns:r="http://schemas.openxmlformats.org/officeDocument/2006/relationships" r:embed="rId1386"/>
        <a:stretch>
          <a:fillRect/>
        </a:stretch>
      </xdr:blipFill>
      <xdr:spPr>
        <a:xfrm>
          <a:off x="7235825" y="1804736675"/>
          <a:ext cx="1183640" cy="1031240"/>
        </a:xfrm>
        <a:prstGeom prst="rect">
          <a:avLst/>
        </a:prstGeom>
      </xdr:spPr>
    </xdr:pic>
    <xdr:clientData/>
  </xdr:twoCellAnchor>
  <xdr:twoCellAnchor>
    <xdr:from>
      <xdr:col>9</xdr:col>
      <xdr:colOff>6350</xdr:colOff>
      <xdr:row>1860</xdr:row>
      <xdr:rowOff>25400</xdr:rowOff>
    </xdr:from>
    <xdr:to>
      <xdr:col>9</xdr:col>
      <xdr:colOff>885190</xdr:colOff>
      <xdr:row>1860</xdr:row>
      <xdr:rowOff>1209040</xdr:rowOff>
    </xdr:to>
    <xdr:pic>
      <xdr:nvPicPr>
        <xdr:cNvPr id="6630" name="Изображение 6629" descr="resizeПП-00253762"/>
        <xdr:cNvPicPr>
          <a:picLocks noChangeAspect="1"/>
        </xdr:cNvPicPr>
      </xdr:nvPicPr>
      <xdr:blipFill>
        <a:blip xmlns:r="http://schemas.openxmlformats.org/officeDocument/2006/relationships" r:embed="rId1387"/>
        <a:stretch>
          <a:fillRect/>
        </a:stretch>
      </xdr:blipFill>
      <xdr:spPr>
        <a:xfrm>
          <a:off x="7235825" y="1806111450"/>
          <a:ext cx="878840" cy="1183640"/>
        </a:xfrm>
        <a:prstGeom prst="rect">
          <a:avLst/>
        </a:prstGeom>
      </xdr:spPr>
    </xdr:pic>
    <xdr:clientData/>
  </xdr:twoCellAnchor>
  <xdr:twoCellAnchor>
    <xdr:from>
      <xdr:col>9</xdr:col>
      <xdr:colOff>6350</xdr:colOff>
      <xdr:row>1866</xdr:row>
      <xdr:rowOff>25400</xdr:rowOff>
    </xdr:from>
    <xdr:to>
      <xdr:col>9</xdr:col>
      <xdr:colOff>885190</xdr:colOff>
      <xdr:row>1866</xdr:row>
      <xdr:rowOff>1209040</xdr:rowOff>
    </xdr:to>
    <xdr:pic>
      <xdr:nvPicPr>
        <xdr:cNvPr id="6631" name="Изображение 6630" descr="resizeПП-00271132"/>
        <xdr:cNvPicPr>
          <a:picLocks noChangeAspect="1"/>
        </xdr:cNvPicPr>
      </xdr:nvPicPr>
      <xdr:blipFill>
        <a:blip xmlns:r="http://schemas.openxmlformats.org/officeDocument/2006/relationships" r:embed="rId1388"/>
        <a:stretch>
          <a:fillRect/>
        </a:stretch>
      </xdr:blipFill>
      <xdr:spPr>
        <a:xfrm>
          <a:off x="7235825" y="1808095825"/>
          <a:ext cx="878840" cy="1183640"/>
        </a:xfrm>
        <a:prstGeom prst="rect">
          <a:avLst/>
        </a:prstGeom>
      </xdr:spPr>
    </xdr:pic>
    <xdr:clientData/>
  </xdr:twoCellAnchor>
  <xdr:twoCellAnchor>
    <xdr:from>
      <xdr:col>9</xdr:col>
      <xdr:colOff>6350</xdr:colOff>
      <xdr:row>1867</xdr:row>
      <xdr:rowOff>25400</xdr:rowOff>
    </xdr:from>
    <xdr:to>
      <xdr:col>9</xdr:col>
      <xdr:colOff>885190</xdr:colOff>
      <xdr:row>1867</xdr:row>
      <xdr:rowOff>1209040</xdr:rowOff>
    </xdr:to>
    <xdr:pic>
      <xdr:nvPicPr>
        <xdr:cNvPr id="6632" name="Изображение 6631" descr="resizeПП-00271133"/>
        <xdr:cNvPicPr>
          <a:picLocks noChangeAspect="1"/>
        </xdr:cNvPicPr>
      </xdr:nvPicPr>
      <xdr:blipFill>
        <a:blip xmlns:r="http://schemas.openxmlformats.org/officeDocument/2006/relationships" r:embed="rId1389"/>
        <a:stretch>
          <a:fillRect/>
        </a:stretch>
      </xdr:blipFill>
      <xdr:spPr>
        <a:xfrm>
          <a:off x="7235825" y="1809318200"/>
          <a:ext cx="878840" cy="1183640"/>
        </a:xfrm>
        <a:prstGeom prst="rect">
          <a:avLst/>
        </a:prstGeom>
      </xdr:spPr>
    </xdr:pic>
    <xdr:clientData/>
  </xdr:twoCellAnchor>
  <xdr:twoCellAnchor>
    <xdr:from>
      <xdr:col>9</xdr:col>
      <xdr:colOff>6350</xdr:colOff>
      <xdr:row>1868</xdr:row>
      <xdr:rowOff>25400</xdr:rowOff>
    </xdr:from>
    <xdr:to>
      <xdr:col>9</xdr:col>
      <xdr:colOff>885190</xdr:colOff>
      <xdr:row>1868</xdr:row>
      <xdr:rowOff>1209040</xdr:rowOff>
    </xdr:to>
    <xdr:pic>
      <xdr:nvPicPr>
        <xdr:cNvPr id="6633" name="Изображение 6632" descr="resizeПП-00271131"/>
        <xdr:cNvPicPr>
          <a:picLocks noChangeAspect="1"/>
        </xdr:cNvPicPr>
      </xdr:nvPicPr>
      <xdr:blipFill>
        <a:blip xmlns:r="http://schemas.openxmlformats.org/officeDocument/2006/relationships" r:embed="rId1390"/>
        <a:stretch>
          <a:fillRect/>
        </a:stretch>
      </xdr:blipFill>
      <xdr:spPr>
        <a:xfrm>
          <a:off x="7235825" y="1810540575"/>
          <a:ext cx="878840" cy="1183640"/>
        </a:xfrm>
        <a:prstGeom prst="rect">
          <a:avLst/>
        </a:prstGeom>
      </xdr:spPr>
    </xdr:pic>
    <xdr:clientData/>
  </xdr:twoCellAnchor>
  <xdr:twoCellAnchor>
    <xdr:from>
      <xdr:col>9</xdr:col>
      <xdr:colOff>6350</xdr:colOff>
      <xdr:row>1870</xdr:row>
      <xdr:rowOff>25400</xdr:rowOff>
    </xdr:from>
    <xdr:to>
      <xdr:col>9</xdr:col>
      <xdr:colOff>885190</xdr:colOff>
      <xdr:row>1870</xdr:row>
      <xdr:rowOff>1209040</xdr:rowOff>
    </xdr:to>
    <xdr:pic>
      <xdr:nvPicPr>
        <xdr:cNvPr id="6634" name="Изображение 6633" descr="resizeПП-00271126"/>
        <xdr:cNvPicPr>
          <a:picLocks noChangeAspect="1"/>
        </xdr:cNvPicPr>
      </xdr:nvPicPr>
      <xdr:blipFill>
        <a:blip xmlns:r="http://schemas.openxmlformats.org/officeDocument/2006/relationships" r:embed="rId1391"/>
        <a:stretch>
          <a:fillRect/>
        </a:stretch>
      </xdr:blipFill>
      <xdr:spPr>
        <a:xfrm>
          <a:off x="7235825" y="1811915350"/>
          <a:ext cx="878840" cy="1183640"/>
        </a:xfrm>
        <a:prstGeom prst="rect">
          <a:avLst/>
        </a:prstGeom>
      </xdr:spPr>
    </xdr:pic>
    <xdr:clientData/>
  </xdr:twoCellAnchor>
  <xdr:twoCellAnchor>
    <xdr:from>
      <xdr:col>9</xdr:col>
      <xdr:colOff>6350</xdr:colOff>
      <xdr:row>1871</xdr:row>
      <xdr:rowOff>25400</xdr:rowOff>
    </xdr:from>
    <xdr:to>
      <xdr:col>9</xdr:col>
      <xdr:colOff>885190</xdr:colOff>
      <xdr:row>1871</xdr:row>
      <xdr:rowOff>1209040</xdr:rowOff>
    </xdr:to>
    <xdr:pic>
      <xdr:nvPicPr>
        <xdr:cNvPr id="6635" name="Изображение 6634" descr="resizeПП-00271123"/>
        <xdr:cNvPicPr>
          <a:picLocks noChangeAspect="1"/>
        </xdr:cNvPicPr>
      </xdr:nvPicPr>
      <xdr:blipFill>
        <a:blip xmlns:r="http://schemas.openxmlformats.org/officeDocument/2006/relationships" r:embed="rId1392"/>
        <a:stretch>
          <a:fillRect/>
        </a:stretch>
      </xdr:blipFill>
      <xdr:spPr>
        <a:xfrm>
          <a:off x="7235825" y="1813137725"/>
          <a:ext cx="878840" cy="1183640"/>
        </a:xfrm>
        <a:prstGeom prst="rect">
          <a:avLst/>
        </a:prstGeom>
      </xdr:spPr>
    </xdr:pic>
    <xdr:clientData/>
  </xdr:twoCellAnchor>
  <xdr:twoCellAnchor>
    <xdr:from>
      <xdr:col>9</xdr:col>
      <xdr:colOff>6350</xdr:colOff>
      <xdr:row>1872</xdr:row>
      <xdr:rowOff>25400</xdr:rowOff>
    </xdr:from>
    <xdr:to>
      <xdr:col>9</xdr:col>
      <xdr:colOff>885190</xdr:colOff>
      <xdr:row>1872</xdr:row>
      <xdr:rowOff>1209040</xdr:rowOff>
    </xdr:to>
    <xdr:pic>
      <xdr:nvPicPr>
        <xdr:cNvPr id="6636" name="Изображение 6635" descr="resizeПП-00247411"/>
        <xdr:cNvPicPr>
          <a:picLocks noChangeAspect="1"/>
        </xdr:cNvPicPr>
      </xdr:nvPicPr>
      <xdr:blipFill>
        <a:blip xmlns:r="http://schemas.openxmlformats.org/officeDocument/2006/relationships" r:embed="rId1393"/>
        <a:stretch>
          <a:fillRect/>
        </a:stretch>
      </xdr:blipFill>
      <xdr:spPr>
        <a:xfrm>
          <a:off x="7235825" y="1814360100"/>
          <a:ext cx="878840" cy="1183640"/>
        </a:xfrm>
        <a:prstGeom prst="rect">
          <a:avLst/>
        </a:prstGeom>
      </xdr:spPr>
    </xdr:pic>
    <xdr:clientData/>
  </xdr:twoCellAnchor>
  <xdr:twoCellAnchor>
    <xdr:from>
      <xdr:col>9</xdr:col>
      <xdr:colOff>6350</xdr:colOff>
      <xdr:row>1873</xdr:row>
      <xdr:rowOff>25400</xdr:rowOff>
    </xdr:from>
    <xdr:to>
      <xdr:col>9</xdr:col>
      <xdr:colOff>885190</xdr:colOff>
      <xdr:row>1873</xdr:row>
      <xdr:rowOff>1209040</xdr:rowOff>
    </xdr:to>
    <xdr:pic>
      <xdr:nvPicPr>
        <xdr:cNvPr id="6637" name="Изображение 6636" descr="resizeПП-00271127"/>
        <xdr:cNvPicPr>
          <a:picLocks noChangeAspect="1"/>
        </xdr:cNvPicPr>
      </xdr:nvPicPr>
      <xdr:blipFill>
        <a:blip xmlns:r="http://schemas.openxmlformats.org/officeDocument/2006/relationships" r:embed="rId1394"/>
        <a:stretch>
          <a:fillRect/>
        </a:stretch>
      </xdr:blipFill>
      <xdr:spPr>
        <a:xfrm>
          <a:off x="7235825" y="1815582475"/>
          <a:ext cx="878840" cy="1183640"/>
        </a:xfrm>
        <a:prstGeom prst="rect">
          <a:avLst/>
        </a:prstGeom>
      </xdr:spPr>
    </xdr:pic>
    <xdr:clientData/>
  </xdr:twoCellAnchor>
  <xdr:twoCellAnchor>
    <xdr:from>
      <xdr:col>9</xdr:col>
      <xdr:colOff>6350</xdr:colOff>
      <xdr:row>1874</xdr:row>
      <xdr:rowOff>25400</xdr:rowOff>
    </xdr:from>
    <xdr:to>
      <xdr:col>9</xdr:col>
      <xdr:colOff>885190</xdr:colOff>
      <xdr:row>1874</xdr:row>
      <xdr:rowOff>1209040</xdr:rowOff>
    </xdr:to>
    <xdr:pic>
      <xdr:nvPicPr>
        <xdr:cNvPr id="6638" name="Изображение 6637" descr="resizeПП-00271125"/>
        <xdr:cNvPicPr>
          <a:picLocks noChangeAspect="1"/>
        </xdr:cNvPicPr>
      </xdr:nvPicPr>
      <xdr:blipFill>
        <a:blip xmlns:r="http://schemas.openxmlformats.org/officeDocument/2006/relationships" r:embed="rId1395"/>
        <a:stretch>
          <a:fillRect/>
        </a:stretch>
      </xdr:blipFill>
      <xdr:spPr>
        <a:xfrm>
          <a:off x="7235825" y="1816804850"/>
          <a:ext cx="878840" cy="1183640"/>
        </a:xfrm>
        <a:prstGeom prst="rect">
          <a:avLst/>
        </a:prstGeom>
      </xdr:spPr>
    </xdr:pic>
    <xdr:clientData/>
  </xdr:twoCellAnchor>
  <xdr:twoCellAnchor>
    <xdr:from>
      <xdr:col>9</xdr:col>
      <xdr:colOff>6350</xdr:colOff>
      <xdr:row>1875</xdr:row>
      <xdr:rowOff>25400</xdr:rowOff>
    </xdr:from>
    <xdr:to>
      <xdr:col>9</xdr:col>
      <xdr:colOff>885190</xdr:colOff>
      <xdr:row>1875</xdr:row>
      <xdr:rowOff>1209040</xdr:rowOff>
    </xdr:to>
    <xdr:pic>
      <xdr:nvPicPr>
        <xdr:cNvPr id="6639" name="Изображение 6638" descr="resizeПП-00271124"/>
        <xdr:cNvPicPr>
          <a:picLocks noChangeAspect="1"/>
        </xdr:cNvPicPr>
      </xdr:nvPicPr>
      <xdr:blipFill>
        <a:blip xmlns:r="http://schemas.openxmlformats.org/officeDocument/2006/relationships" r:embed="rId1396"/>
        <a:stretch>
          <a:fillRect/>
        </a:stretch>
      </xdr:blipFill>
      <xdr:spPr>
        <a:xfrm>
          <a:off x="7235825" y="1818027225"/>
          <a:ext cx="878840" cy="1183640"/>
        </a:xfrm>
        <a:prstGeom prst="rect">
          <a:avLst/>
        </a:prstGeom>
      </xdr:spPr>
    </xdr:pic>
    <xdr:clientData/>
  </xdr:twoCellAnchor>
  <xdr:twoCellAnchor>
    <xdr:from>
      <xdr:col>9</xdr:col>
      <xdr:colOff>6350</xdr:colOff>
      <xdr:row>1876</xdr:row>
      <xdr:rowOff>25400</xdr:rowOff>
    </xdr:from>
    <xdr:to>
      <xdr:col>9</xdr:col>
      <xdr:colOff>885190</xdr:colOff>
      <xdr:row>1876</xdr:row>
      <xdr:rowOff>1209040</xdr:rowOff>
    </xdr:to>
    <xdr:pic>
      <xdr:nvPicPr>
        <xdr:cNvPr id="6640" name="Изображение 6639" descr="resizeПП-00271122"/>
        <xdr:cNvPicPr>
          <a:picLocks noChangeAspect="1"/>
        </xdr:cNvPicPr>
      </xdr:nvPicPr>
      <xdr:blipFill>
        <a:blip xmlns:r="http://schemas.openxmlformats.org/officeDocument/2006/relationships" r:embed="rId1397"/>
        <a:stretch>
          <a:fillRect/>
        </a:stretch>
      </xdr:blipFill>
      <xdr:spPr>
        <a:xfrm>
          <a:off x="7235825" y="1819249600"/>
          <a:ext cx="878840" cy="1183640"/>
        </a:xfrm>
        <a:prstGeom prst="rect">
          <a:avLst/>
        </a:prstGeom>
      </xdr:spPr>
    </xdr:pic>
    <xdr:clientData/>
  </xdr:twoCellAnchor>
  <xdr:twoCellAnchor>
    <xdr:from>
      <xdr:col>9</xdr:col>
      <xdr:colOff>6350</xdr:colOff>
      <xdr:row>1877</xdr:row>
      <xdr:rowOff>25400</xdr:rowOff>
    </xdr:from>
    <xdr:to>
      <xdr:col>9</xdr:col>
      <xdr:colOff>885190</xdr:colOff>
      <xdr:row>1877</xdr:row>
      <xdr:rowOff>1209040</xdr:rowOff>
    </xdr:to>
    <xdr:pic>
      <xdr:nvPicPr>
        <xdr:cNvPr id="6641" name="Изображение 6640" descr="resizeПП-00247412"/>
        <xdr:cNvPicPr>
          <a:picLocks noChangeAspect="1"/>
        </xdr:cNvPicPr>
      </xdr:nvPicPr>
      <xdr:blipFill>
        <a:blip xmlns:r="http://schemas.openxmlformats.org/officeDocument/2006/relationships" r:embed="rId1398"/>
        <a:stretch>
          <a:fillRect/>
        </a:stretch>
      </xdr:blipFill>
      <xdr:spPr>
        <a:xfrm>
          <a:off x="7235825" y="1820471975"/>
          <a:ext cx="878840" cy="1183640"/>
        </a:xfrm>
        <a:prstGeom prst="rect">
          <a:avLst/>
        </a:prstGeom>
      </xdr:spPr>
    </xdr:pic>
    <xdr:clientData/>
  </xdr:twoCellAnchor>
  <xdr:twoCellAnchor>
    <xdr:from>
      <xdr:col>9</xdr:col>
      <xdr:colOff>6350</xdr:colOff>
      <xdr:row>1878</xdr:row>
      <xdr:rowOff>25400</xdr:rowOff>
    </xdr:from>
    <xdr:to>
      <xdr:col>9</xdr:col>
      <xdr:colOff>885190</xdr:colOff>
      <xdr:row>1878</xdr:row>
      <xdr:rowOff>1209040</xdr:rowOff>
    </xdr:to>
    <xdr:pic>
      <xdr:nvPicPr>
        <xdr:cNvPr id="6642" name="Изображение 6641" descr="resizeПП-00247407"/>
        <xdr:cNvPicPr>
          <a:picLocks noChangeAspect="1"/>
        </xdr:cNvPicPr>
      </xdr:nvPicPr>
      <xdr:blipFill>
        <a:blip xmlns:r="http://schemas.openxmlformats.org/officeDocument/2006/relationships" r:embed="rId1399"/>
        <a:stretch>
          <a:fillRect/>
        </a:stretch>
      </xdr:blipFill>
      <xdr:spPr>
        <a:xfrm>
          <a:off x="7235825" y="1821694350"/>
          <a:ext cx="878840" cy="1183640"/>
        </a:xfrm>
        <a:prstGeom prst="rect">
          <a:avLst/>
        </a:prstGeom>
      </xdr:spPr>
    </xdr:pic>
    <xdr:clientData/>
  </xdr:twoCellAnchor>
  <xdr:twoCellAnchor>
    <xdr:from>
      <xdr:col>9</xdr:col>
      <xdr:colOff>6350</xdr:colOff>
      <xdr:row>1879</xdr:row>
      <xdr:rowOff>25400</xdr:rowOff>
    </xdr:from>
    <xdr:to>
      <xdr:col>9</xdr:col>
      <xdr:colOff>885190</xdr:colOff>
      <xdr:row>1879</xdr:row>
      <xdr:rowOff>1209040</xdr:rowOff>
    </xdr:to>
    <xdr:pic>
      <xdr:nvPicPr>
        <xdr:cNvPr id="6643" name="Изображение 6642" descr="resizeПП-00271129"/>
        <xdr:cNvPicPr>
          <a:picLocks noChangeAspect="1"/>
        </xdr:cNvPicPr>
      </xdr:nvPicPr>
      <xdr:blipFill>
        <a:blip xmlns:r="http://schemas.openxmlformats.org/officeDocument/2006/relationships" r:embed="rId1400"/>
        <a:stretch>
          <a:fillRect/>
        </a:stretch>
      </xdr:blipFill>
      <xdr:spPr>
        <a:xfrm>
          <a:off x="7235825" y="1822916725"/>
          <a:ext cx="878840" cy="1183640"/>
        </a:xfrm>
        <a:prstGeom prst="rect">
          <a:avLst/>
        </a:prstGeom>
      </xdr:spPr>
    </xdr:pic>
    <xdr:clientData/>
  </xdr:twoCellAnchor>
  <xdr:twoCellAnchor>
    <xdr:from>
      <xdr:col>9</xdr:col>
      <xdr:colOff>6350</xdr:colOff>
      <xdr:row>1882</xdr:row>
      <xdr:rowOff>25400</xdr:rowOff>
    </xdr:from>
    <xdr:to>
      <xdr:col>9</xdr:col>
      <xdr:colOff>885190</xdr:colOff>
      <xdr:row>1882</xdr:row>
      <xdr:rowOff>1209040</xdr:rowOff>
    </xdr:to>
    <xdr:pic>
      <xdr:nvPicPr>
        <xdr:cNvPr id="6644" name="Изображение 6643" descr="resizeПП-00271248"/>
        <xdr:cNvPicPr>
          <a:picLocks noChangeAspect="1"/>
        </xdr:cNvPicPr>
      </xdr:nvPicPr>
      <xdr:blipFill>
        <a:blip xmlns:r="http://schemas.openxmlformats.org/officeDocument/2006/relationships" r:embed="rId1401"/>
        <a:stretch>
          <a:fillRect/>
        </a:stretch>
      </xdr:blipFill>
      <xdr:spPr>
        <a:xfrm>
          <a:off x="7235825" y="1824443900"/>
          <a:ext cx="878840" cy="1183640"/>
        </a:xfrm>
        <a:prstGeom prst="rect">
          <a:avLst/>
        </a:prstGeom>
      </xdr:spPr>
    </xdr:pic>
    <xdr:clientData/>
  </xdr:twoCellAnchor>
  <xdr:twoCellAnchor>
    <xdr:from>
      <xdr:col>9</xdr:col>
      <xdr:colOff>6350</xdr:colOff>
      <xdr:row>1883</xdr:row>
      <xdr:rowOff>25400</xdr:rowOff>
    </xdr:from>
    <xdr:to>
      <xdr:col>9</xdr:col>
      <xdr:colOff>885190</xdr:colOff>
      <xdr:row>1883</xdr:row>
      <xdr:rowOff>1209040</xdr:rowOff>
    </xdr:to>
    <xdr:pic>
      <xdr:nvPicPr>
        <xdr:cNvPr id="6645" name="Изображение 6644" descr="resizeПП-00271246"/>
        <xdr:cNvPicPr>
          <a:picLocks noChangeAspect="1"/>
        </xdr:cNvPicPr>
      </xdr:nvPicPr>
      <xdr:blipFill>
        <a:blip xmlns:r="http://schemas.openxmlformats.org/officeDocument/2006/relationships" r:embed="rId1402"/>
        <a:stretch>
          <a:fillRect/>
        </a:stretch>
      </xdr:blipFill>
      <xdr:spPr>
        <a:xfrm>
          <a:off x="7235825" y="1825666275"/>
          <a:ext cx="878840" cy="1183640"/>
        </a:xfrm>
        <a:prstGeom prst="rect">
          <a:avLst/>
        </a:prstGeom>
      </xdr:spPr>
    </xdr:pic>
    <xdr:clientData/>
  </xdr:twoCellAnchor>
  <xdr:twoCellAnchor>
    <xdr:from>
      <xdr:col>9</xdr:col>
      <xdr:colOff>6350</xdr:colOff>
      <xdr:row>1884</xdr:row>
      <xdr:rowOff>25400</xdr:rowOff>
    </xdr:from>
    <xdr:to>
      <xdr:col>9</xdr:col>
      <xdr:colOff>885190</xdr:colOff>
      <xdr:row>1884</xdr:row>
      <xdr:rowOff>1209040</xdr:rowOff>
    </xdr:to>
    <xdr:pic>
      <xdr:nvPicPr>
        <xdr:cNvPr id="6646" name="Изображение 6645" descr="resizeПП-00271247"/>
        <xdr:cNvPicPr>
          <a:picLocks noChangeAspect="1"/>
        </xdr:cNvPicPr>
      </xdr:nvPicPr>
      <xdr:blipFill>
        <a:blip xmlns:r="http://schemas.openxmlformats.org/officeDocument/2006/relationships" r:embed="rId1403"/>
        <a:stretch>
          <a:fillRect/>
        </a:stretch>
      </xdr:blipFill>
      <xdr:spPr>
        <a:xfrm>
          <a:off x="7235825" y="1826888650"/>
          <a:ext cx="878840" cy="1183640"/>
        </a:xfrm>
        <a:prstGeom prst="rect">
          <a:avLst/>
        </a:prstGeom>
      </xdr:spPr>
    </xdr:pic>
    <xdr:clientData/>
  </xdr:twoCellAnchor>
  <xdr:twoCellAnchor>
    <xdr:from>
      <xdr:col>9</xdr:col>
      <xdr:colOff>6350</xdr:colOff>
      <xdr:row>1885</xdr:row>
      <xdr:rowOff>25400</xdr:rowOff>
    </xdr:from>
    <xdr:to>
      <xdr:col>9</xdr:col>
      <xdr:colOff>885190</xdr:colOff>
      <xdr:row>1885</xdr:row>
      <xdr:rowOff>1209040</xdr:rowOff>
    </xdr:to>
    <xdr:pic>
      <xdr:nvPicPr>
        <xdr:cNvPr id="6647" name="Изображение 6646" descr="resizeПП-00271243"/>
        <xdr:cNvPicPr>
          <a:picLocks noChangeAspect="1"/>
        </xdr:cNvPicPr>
      </xdr:nvPicPr>
      <xdr:blipFill>
        <a:blip xmlns:r="http://schemas.openxmlformats.org/officeDocument/2006/relationships" r:embed="rId1404"/>
        <a:stretch>
          <a:fillRect/>
        </a:stretch>
      </xdr:blipFill>
      <xdr:spPr>
        <a:xfrm>
          <a:off x="7235825" y="1828111025"/>
          <a:ext cx="878840" cy="1183640"/>
        </a:xfrm>
        <a:prstGeom prst="rect">
          <a:avLst/>
        </a:prstGeom>
      </xdr:spPr>
    </xdr:pic>
    <xdr:clientData/>
  </xdr:twoCellAnchor>
  <xdr:twoCellAnchor>
    <xdr:from>
      <xdr:col>9</xdr:col>
      <xdr:colOff>6350</xdr:colOff>
      <xdr:row>1886</xdr:row>
      <xdr:rowOff>25400</xdr:rowOff>
    </xdr:from>
    <xdr:to>
      <xdr:col>9</xdr:col>
      <xdr:colOff>885190</xdr:colOff>
      <xdr:row>1886</xdr:row>
      <xdr:rowOff>1209040</xdr:rowOff>
    </xdr:to>
    <xdr:pic>
      <xdr:nvPicPr>
        <xdr:cNvPr id="6648" name="Изображение 6647" descr="resizeПП-00271249"/>
        <xdr:cNvPicPr>
          <a:picLocks noChangeAspect="1"/>
        </xdr:cNvPicPr>
      </xdr:nvPicPr>
      <xdr:blipFill>
        <a:blip xmlns:r="http://schemas.openxmlformats.org/officeDocument/2006/relationships" r:embed="rId1405"/>
        <a:stretch>
          <a:fillRect/>
        </a:stretch>
      </xdr:blipFill>
      <xdr:spPr>
        <a:xfrm>
          <a:off x="7235825" y="1829333400"/>
          <a:ext cx="878840" cy="1183640"/>
        </a:xfrm>
        <a:prstGeom prst="rect">
          <a:avLst/>
        </a:prstGeom>
      </xdr:spPr>
    </xdr:pic>
    <xdr:clientData/>
  </xdr:twoCellAnchor>
  <xdr:twoCellAnchor>
    <xdr:from>
      <xdr:col>9</xdr:col>
      <xdr:colOff>6350</xdr:colOff>
      <xdr:row>1887</xdr:row>
      <xdr:rowOff>25400</xdr:rowOff>
    </xdr:from>
    <xdr:to>
      <xdr:col>9</xdr:col>
      <xdr:colOff>885190</xdr:colOff>
      <xdr:row>1887</xdr:row>
      <xdr:rowOff>1209040</xdr:rowOff>
    </xdr:to>
    <xdr:pic>
      <xdr:nvPicPr>
        <xdr:cNvPr id="6649" name="Изображение 6648" descr="resizeПП-00271244"/>
        <xdr:cNvPicPr>
          <a:picLocks noChangeAspect="1"/>
        </xdr:cNvPicPr>
      </xdr:nvPicPr>
      <xdr:blipFill>
        <a:blip xmlns:r="http://schemas.openxmlformats.org/officeDocument/2006/relationships" r:embed="rId1406"/>
        <a:stretch>
          <a:fillRect/>
        </a:stretch>
      </xdr:blipFill>
      <xdr:spPr>
        <a:xfrm>
          <a:off x="7235825" y="1830555775"/>
          <a:ext cx="878840" cy="1183640"/>
        </a:xfrm>
        <a:prstGeom prst="rect">
          <a:avLst/>
        </a:prstGeom>
      </xdr:spPr>
    </xdr:pic>
    <xdr:clientData/>
  </xdr:twoCellAnchor>
  <xdr:twoCellAnchor>
    <xdr:from>
      <xdr:col>9</xdr:col>
      <xdr:colOff>6350</xdr:colOff>
      <xdr:row>1889</xdr:row>
      <xdr:rowOff>25400</xdr:rowOff>
    </xdr:from>
    <xdr:to>
      <xdr:col>9</xdr:col>
      <xdr:colOff>885190</xdr:colOff>
      <xdr:row>1889</xdr:row>
      <xdr:rowOff>1209040</xdr:rowOff>
    </xdr:to>
    <xdr:pic>
      <xdr:nvPicPr>
        <xdr:cNvPr id="6650" name="Изображение 6649" descr="resizeПП-00261806"/>
        <xdr:cNvPicPr>
          <a:picLocks noChangeAspect="1"/>
        </xdr:cNvPicPr>
      </xdr:nvPicPr>
      <xdr:blipFill>
        <a:blip xmlns:r="http://schemas.openxmlformats.org/officeDocument/2006/relationships" r:embed="rId1407"/>
        <a:stretch>
          <a:fillRect/>
        </a:stretch>
      </xdr:blipFill>
      <xdr:spPr>
        <a:xfrm>
          <a:off x="7235825" y="1831930550"/>
          <a:ext cx="878840" cy="1183640"/>
        </a:xfrm>
        <a:prstGeom prst="rect">
          <a:avLst/>
        </a:prstGeom>
      </xdr:spPr>
    </xdr:pic>
    <xdr:clientData/>
  </xdr:twoCellAnchor>
  <xdr:twoCellAnchor>
    <xdr:from>
      <xdr:col>9</xdr:col>
      <xdr:colOff>6350</xdr:colOff>
      <xdr:row>1890</xdr:row>
      <xdr:rowOff>25400</xdr:rowOff>
    </xdr:from>
    <xdr:to>
      <xdr:col>9</xdr:col>
      <xdr:colOff>885190</xdr:colOff>
      <xdr:row>1890</xdr:row>
      <xdr:rowOff>1209040</xdr:rowOff>
    </xdr:to>
    <xdr:pic>
      <xdr:nvPicPr>
        <xdr:cNvPr id="6651" name="Изображение 6650" descr="resizeПП-00261815"/>
        <xdr:cNvPicPr>
          <a:picLocks noChangeAspect="1"/>
        </xdr:cNvPicPr>
      </xdr:nvPicPr>
      <xdr:blipFill>
        <a:blip xmlns:r="http://schemas.openxmlformats.org/officeDocument/2006/relationships" r:embed="rId1408"/>
        <a:stretch>
          <a:fillRect/>
        </a:stretch>
      </xdr:blipFill>
      <xdr:spPr>
        <a:xfrm>
          <a:off x="7235825" y="1833152925"/>
          <a:ext cx="878840" cy="1183640"/>
        </a:xfrm>
        <a:prstGeom prst="rect">
          <a:avLst/>
        </a:prstGeom>
      </xdr:spPr>
    </xdr:pic>
    <xdr:clientData/>
  </xdr:twoCellAnchor>
  <xdr:twoCellAnchor>
    <xdr:from>
      <xdr:col>9</xdr:col>
      <xdr:colOff>6350</xdr:colOff>
      <xdr:row>1891</xdr:row>
      <xdr:rowOff>25400</xdr:rowOff>
    </xdr:from>
    <xdr:to>
      <xdr:col>9</xdr:col>
      <xdr:colOff>885190</xdr:colOff>
      <xdr:row>1891</xdr:row>
      <xdr:rowOff>1209040</xdr:rowOff>
    </xdr:to>
    <xdr:pic>
      <xdr:nvPicPr>
        <xdr:cNvPr id="6652" name="Изображение 6651" descr="resizeПП-00261816"/>
        <xdr:cNvPicPr>
          <a:picLocks noChangeAspect="1"/>
        </xdr:cNvPicPr>
      </xdr:nvPicPr>
      <xdr:blipFill>
        <a:blip xmlns:r="http://schemas.openxmlformats.org/officeDocument/2006/relationships" r:embed="rId1409"/>
        <a:stretch>
          <a:fillRect/>
        </a:stretch>
      </xdr:blipFill>
      <xdr:spPr>
        <a:xfrm>
          <a:off x="7235825" y="1834375300"/>
          <a:ext cx="878840" cy="1183640"/>
        </a:xfrm>
        <a:prstGeom prst="rect">
          <a:avLst/>
        </a:prstGeom>
      </xdr:spPr>
    </xdr:pic>
    <xdr:clientData/>
  </xdr:twoCellAnchor>
  <xdr:twoCellAnchor>
    <xdr:from>
      <xdr:col>9</xdr:col>
      <xdr:colOff>6350</xdr:colOff>
      <xdr:row>1892</xdr:row>
      <xdr:rowOff>25400</xdr:rowOff>
    </xdr:from>
    <xdr:to>
      <xdr:col>9</xdr:col>
      <xdr:colOff>885190</xdr:colOff>
      <xdr:row>1892</xdr:row>
      <xdr:rowOff>1209040</xdr:rowOff>
    </xdr:to>
    <xdr:pic>
      <xdr:nvPicPr>
        <xdr:cNvPr id="6653" name="Изображение 6652" descr="resizeПП-00258729"/>
        <xdr:cNvPicPr>
          <a:picLocks noChangeAspect="1"/>
        </xdr:cNvPicPr>
      </xdr:nvPicPr>
      <xdr:blipFill>
        <a:blip xmlns:r="http://schemas.openxmlformats.org/officeDocument/2006/relationships" r:embed="rId1410"/>
        <a:stretch>
          <a:fillRect/>
        </a:stretch>
      </xdr:blipFill>
      <xdr:spPr>
        <a:xfrm>
          <a:off x="7235825" y="1835597675"/>
          <a:ext cx="878840" cy="1183640"/>
        </a:xfrm>
        <a:prstGeom prst="rect">
          <a:avLst/>
        </a:prstGeom>
      </xdr:spPr>
    </xdr:pic>
    <xdr:clientData/>
  </xdr:twoCellAnchor>
  <xdr:twoCellAnchor>
    <xdr:from>
      <xdr:col>9</xdr:col>
      <xdr:colOff>6350</xdr:colOff>
      <xdr:row>1893</xdr:row>
      <xdr:rowOff>25400</xdr:rowOff>
    </xdr:from>
    <xdr:to>
      <xdr:col>9</xdr:col>
      <xdr:colOff>885190</xdr:colOff>
      <xdr:row>1893</xdr:row>
      <xdr:rowOff>1209040</xdr:rowOff>
    </xdr:to>
    <xdr:pic>
      <xdr:nvPicPr>
        <xdr:cNvPr id="6654" name="Изображение 6653" descr="resizeПП-00258730"/>
        <xdr:cNvPicPr>
          <a:picLocks noChangeAspect="1"/>
        </xdr:cNvPicPr>
      </xdr:nvPicPr>
      <xdr:blipFill>
        <a:blip xmlns:r="http://schemas.openxmlformats.org/officeDocument/2006/relationships" r:embed="rId1411"/>
        <a:stretch>
          <a:fillRect/>
        </a:stretch>
      </xdr:blipFill>
      <xdr:spPr>
        <a:xfrm>
          <a:off x="7235825" y="1836820050"/>
          <a:ext cx="878840" cy="1183640"/>
        </a:xfrm>
        <a:prstGeom prst="rect">
          <a:avLst/>
        </a:prstGeom>
      </xdr:spPr>
    </xdr:pic>
    <xdr:clientData/>
  </xdr:twoCellAnchor>
  <xdr:twoCellAnchor>
    <xdr:from>
      <xdr:col>9</xdr:col>
      <xdr:colOff>6350</xdr:colOff>
      <xdr:row>1894</xdr:row>
      <xdr:rowOff>25400</xdr:rowOff>
    </xdr:from>
    <xdr:to>
      <xdr:col>9</xdr:col>
      <xdr:colOff>885190</xdr:colOff>
      <xdr:row>1894</xdr:row>
      <xdr:rowOff>1209040</xdr:rowOff>
    </xdr:to>
    <xdr:pic>
      <xdr:nvPicPr>
        <xdr:cNvPr id="6655" name="Изображение 6654" descr="resizeПП-00269439"/>
        <xdr:cNvPicPr>
          <a:picLocks noChangeAspect="1"/>
        </xdr:cNvPicPr>
      </xdr:nvPicPr>
      <xdr:blipFill>
        <a:blip xmlns:r="http://schemas.openxmlformats.org/officeDocument/2006/relationships" r:embed="rId1412"/>
        <a:stretch>
          <a:fillRect/>
        </a:stretch>
      </xdr:blipFill>
      <xdr:spPr>
        <a:xfrm>
          <a:off x="7235825" y="1838042425"/>
          <a:ext cx="878840" cy="1183640"/>
        </a:xfrm>
        <a:prstGeom prst="rect">
          <a:avLst/>
        </a:prstGeom>
      </xdr:spPr>
    </xdr:pic>
    <xdr:clientData/>
  </xdr:twoCellAnchor>
  <xdr:twoCellAnchor>
    <xdr:from>
      <xdr:col>9</xdr:col>
      <xdr:colOff>6350</xdr:colOff>
      <xdr:row>1895</xdr:row>
      <xdr:rowOff>25400</xdr:rowOff>
    </xdr:from>
    <xdr:to>
      <xdr:col>9</xdr:col>
      <xdr:colOff>885190</xdr:colOff>
      <xdr:row>1895</xdr:row>
      <xdr:rowOff>1209040</xdr:rowOff>
    </xdr:to>
    <xdr:pic>
      <xdr:nvPicPr>
        <xdr:cNvPr id="6656" name="Изображение 6655" descr="resizeПП-00269434"/>
        <xdr:cNvPicPr>
          <a:picLocks noChangeAspect="1"/>
        </xdr:cNvPicPr>
      </xdr:nvPicPr>
      <xdr:blipFill>
        <a:blip xmlns:r="http://schemas.openxmlformats.org/officeDocument/2006/relationships" r:embed="rId1413"/>
        <a:stretch>
          <a:fillRect/>
        </a:stretch>
      </xdr:blipFill>
      <xdr:spPr>
        <a:xfrm>
          <a:off x="7235825" y="1839264800"/>
          <a:ext cx="878840" cy="1183640"/>
        </a:xfrm>
        <a:prstGeom prst="rect">
          <a:avLst/>
        </a:prstGeom>
      </xdr:spPr>
    </xdr:pic>
    <xdr:clientData/>
  </xdr:twoCellAnchor>
  <xdr:twoCellAnchor>
    <xdr:from>
      <xdr:col>9</xdr:col>
      <xdr:colOff>6350</xdr:colOff>
      <xdr:row>1896</xdr:row>
      <xdr:rowOff>25400</xdr:rowOff>
    </xdr:from>
    <xdr:to>
      <xdr:col>9</xdr:col>
      <xdr:colOff>885190</xdr:colOff>
      <xdr:row>1896</xdr:row>
      <xdr:rowOff>1209040</xdr:rowOff>
    </xdr:to>
    <xdr:pic>
      <xdr:nvPicPr>
        <xdr:cNvPr id="6657" name="Изображение 6656" descr="resizeПП-00247413"/>
        <xdr:cNvPicPr>
          <a:picLocks noChangeAspect="1"/>
        </xdr:cNvPicPr>
      </xdr:nvPicPr>
      <xdr:blipFill>
        <a:blip xmlns:r="http://schemas.openxmlformats.org/officeDocument/2006/relationships" r:embed="rId1414"/>
        <a:stretch>
          <a:fillRect/>
        </a:stretch>
      </xdr:blipFill>
      <xdr:spPr>
        <a:xfrm>
          <a:off x="7235825" y="1840487175"/>
          <a:ext cx="878840" cy="1183640"/>
        </a:xfrm>
        <a:prstGeom prst="rect">
          <a:avLst/>
        </a:prstGeom>
      </xdr:spPr>
    </xdr:pic>
    <xdr:clientData/>
  </xdr:twoCellAnchor>
  <xdr:twoCellAnchor>
    <xdr:from>
      <xdr:col>9</xdr:col>
      <xdr:colOff>6350</xdr:colOff>
      <xdr:row>1897</xdr:row>
      <xdr:rowOff>25400</xdr:rowOff>
    </xdr:from>
    <xdr:to>
      <xdr:col>9</xdr:col>
      <xdr:colOff>885190</xdr:colOff>
      <xdr:row>1897</xdr:row>
      <xdr:rowOff>1209040</xdr:rowOff>
    </xdr:to>
    <xdr:pic>
      <xdr:nvPicPr>
        <xdr:cNvPr id="6658" name="Изображение 6657" descr="resizeПП-00271239"/>
        <xdr:cNvPicPr>
          <a:picLocks noChangeAspect="1"/>
        </xdr:cNvPicPr>
      </xdr:nvPicPr>
      <xdr:blipFill>
        <a:blip xmlns:r="http://schemas.openxmlformats.org/officeDocument/2006/relationships" r:embed="rId1415"/>
        <a:stretch>
          <a:fillRect/>
        </a:stretch>
      </xdr:blipFill>
      <xdr:spPr>
        <a:xfrm>
          <a:off x="7235825" y="1841709550"/>
          <a:ext cx="878840" cy="1183640"/>
        </a:xfrm>
        <a:prstGeom prst="rect">
          <a:avLst/>
        </a:prstGeom>
      </xdr:spPr>
    </xdr:pic>
    <xdr:clientData/>
  </xdr:twoCellAnchor>
  <xdr:twoCellAnchor>
    <xdr:from>
      <xdr:col>9</xdr:col>
      <xdr:colOff>6350</xdr:colOff>
      <xdr:row>1898</xdr:row>
      <xdr:rowOff>25400</xdr:rowOff>
    </xdr:from>
    <xdr:to>
      <xdr:col>9</xdr:col>
      <xdr:colOff>885190</xdr:colOff>
      <xdr:row>1898</xdr:row>
      <xdr:rowOff>1209040</xdr:rowOff>
    </xdr:to>
    <xdr:pic>
      <xdr:nvPicPr>
        <xdr:cNvPr id="6659" name="Изображение 6658" descr="resizeПП-00271240"/>
        <xdr:cNvPicPr>
          <a:picLocks noChangeAspect="1"/>
        </xdr:cNvPicPr>
      </xdr:nvPicPr>
      <xdr:blipFill>
        <a:blip xmlns:r="http://schemas.openxmlformats.org/officeDocument/2006/relationships" r:embed="rId1416"/>
        <a:stretch>
          <a:fillRect/>
        </a:stretch>
      </xdr:blipFill>
      <xdr:spPr>
        <a:xfrm>
          <a:off x="7235825" y="1842931925"/>
          <a:ext cx="878840" cy="1183640"/>
        </a:xfrm>
        <a:prstGeom prst="rect">
          <a:avLst/>
        </a:prstGeom>
      </xdr:spPr>
    </xdr:pic>
    <xdr:clientData/>
  </xdr:twoCellAnchor>
  <xdr:twoCellAnchor>
    <xdr:from>
      <xdr:col>9</xdr:col>
      <xdr:colOff>6350</xdr:colOff>
      <xdr:row>1899</xdr:row>
      <xdr:rowOff>25400</xdr:rowOff>
    </xdr:from>
    <xdr:to>
      <xdr:col>9</xdr:col>
      <xdr:colOff>885190</xdr:colOff>
      <xdr:row>1899</xdr:row>
      <xdr:rowOff>1209040</xdr:rowOff>
    </xdr:to>
    <xdr:pic>
      <xdr:nvPicPr>
        <xdr:cNvPr id="6660" name="Изображение 6659" descr="resizeПП-00271230"/>
        <xdr:cNvPicPr>
          <a:picLocks noChangeAspect="1"/>
        </xdr:cNvPicPr>
      </xdr:nvPicPr>
      <xdr:blipFill>
        <a:blip xmlns:r="http://schemas.openxmlformats.org/officeDocument/2006/relationships" r:embed="rId1417"/>
        <a:stretch>
          <a:fillRect/>
        </a:stretch>
      </xdr:blipFill>
      <xdr:spPr>
        <a:xfrm>
          <a:off x="7235825" y="1844154300"/>
          <a:ext cx="878840" cy="1183640"/>
        </a:xfrm>
        <a:prstGeom prst="rect">
          <a:avLst/>
        </a:prstGeom>
      </xdr:spPr>
    </xdr:pic>
    <xdr:clientData/>
  </xdr:twoCellAnchor>
  <xdr:twoCellAnchor>
    <xdr:from>
      <xdr:col>9</xdr:col>
      <xdr:colOff>6350</xdr:colOff>
      <xdr:row>1900</xdr:row>
      <xdr:rowOff>25400</xdr:rowOff>
    </xdr:from>
    <xdr:to>
      <xdr:col>9</xdr:col>
      <xdr:colOff>885190</xdr:colOff>
      <xdr:row>1900</xdr:row>
      <xdr:rowOff>1209040</xdr:rowOff>
    </xdr:to>
    <xdr:pic>
      <xdr:nvPicPr>
        <xdr:cNvPr id="6661" name="Изображение 6660" descr="resizeПП-00271241"/>
        <xdr:cNvPicPr>
          <a:picLocks noChangeAspect="1"/>
        </xdr:cNvPicPr>
      </xdr:nvPicPr>
      <xdr:blipFill>
        <a:blip xmlns:r="http://schemas.openxmlformats.org/officeDocument/2006/relationships" r:embed="rId1418"/>
        <a:stretch>
          <a:fillRect/>
        </a:stretch>
      </xdr:blipFill>
      <xdr:spPr>
        <a:xfrm>
          <a:off x="7235825" y="1845376675"/>
          <a:ext cx="878840" cy="1183640"/>
        </a:xfrm>
        <a:prstGeom prst="rect">
          <a:avLst/>
        </a:prstGeom>
      </xdr:spPr>
    </xdr:pic>
    <xdr:clientData/>
  </xdr:twoCellAnchor>
  <xdr:twoCellAnchor>
    <xdr:from>
      <xdr:col>9</xdr:col>
      <xdr:colOff>6350</xdr:colOff>
      <xdr:row>1901</xdr:row>
      <xdr:rowOff>25400</xdr:rowOff>
    </xdr:from>
    <xdr:to>
      <xdr:col>9</xdr:col>
      <xdr:colOff>885190</xdr:colOff>
      <xdr:row>1901</xdr:row>
      <xdr:rowOff>1209040</xdr:rowOff>
    </xdr:to>
    <xdr:pic>
      <xdr:nvPicPr>
        <xdr:cNvPr id="6662" name="Изображение 6661" descr="resizeПП-00258694"/>
        <xdr:cNvPicPr>
          <a:picLocks noChangeAspect="1"/>
        </xdr:cNvPicPr>
      </xdr:nvPicPr>
      <xdr:blipFill>
        <a:blip xmlns:r="http://schemas.openxmlformats.org/officeDocument/2006/relationships" r:embed="rId1419"/>
        <a:stretch>
          <a:fillRect/>
        </a:stretch>
      </xdr:blipFill>
      <xdr:spPr>
        <a:xfrm>
          <a:off x="7235825" y="1846599050"/>
          <a:ext cx="878840" cy="1183640"/>
        </a:xfrm>
        <a:prstGeom prst="rect">
          <a:avLst/>
        </a:prstGeom>
      </xdr:spPr>
    </xdr:pic>
    <xdr:clientData/>
  </xdr:twoCellAnchor>
  <xdr:twoCellAnchor>
    <xdr:from>
      <xdr:col>9</xdr:col>
      <xdr:colOff>6350</xdr:colOff>
      <xdr:row>1902</xdr:row>
      <xdr:rowOff>25400</xdr:rowOff>
    </xdr:from>
    <xdr:to>
      <xdr:col>9</xdr:col>
      <xdr:colOff>885190</xdr:colOff>
      <xdr:row>1902</xdr:row>
      <xdr:rowOff>1209040</xdr:rowOff>
    </xdr:to>
    <xdr:pic>
      <xdr:nvPicPr>
        <xdr:cNvPr id="6663" name="Изображение 6662" descr="resizeПП-00258692"/>
        <xdr:cNvPicPr>
          <a:picLocks noChangeAspect="1"/>
        </xdr:cNvPicPr>
      </xdr:nvPicPr>
      <xdr:blipFill>
        <a:blip xmlns:r="http://schemas.openxmlformats.org/officeDocument/2006/relationships" r:embed="rId1420"/>
        <a:stretch>
          <a:fillRect/>
        </a:stretch>
      </xdr:blipFill>
      <xdr:spPr>
        <a:xfrm>
          <a:off x="7235825" y="1847821425"/>
          <a:ext cx="878840" cy="1183640"/>
        </a:xfrm>
        <a:prstGeom prst="rect">
          <a:avLst/>
        </a:prstGeom>
      </xdr:spPr>
    </xdr:pic>
    <xdr:clientData/>
  </xdr:twoCellAnchor>
  <xdr:twoCellAnchor>
    <xdr:from>
      <xdr:col>9</xdr:col>
      <xdr:colOff>6350</xdr:colOff>
      <xdr:row>1903</xdr:row>
      <xdr:rowOff>25400</xdr:rowOff>
    </xdr:from>
    <xdr:to>
      <xdr:col>9</xdr:col>
      <xdr:colOff>885190</xdr:colOff>
      <xdr:row>1903</xdr:row>
      <xdr:rowOff>1209040</xdr:rowOff>
    </xdr:to>
    <xdr:pic>
      <xdr:nvPicPr>
        <xdr:cNvPr id="6664" name="Изображение 6663" descr="resizeПП-00258686"/>
        <xdr:cNvPicPr>
          <a:picLocks noChangeAspect="1"/>
        </xdr:cNvPicPr>
      </xdr:nvPicPr>
      <xdr:blipFill>
        <a:blip xmlns:r="http://schemas.openxmlformats.org/officeDocument/2006/relationships" r:embed="rId1421"/>
        <a:stretch>
          <a:fillRect/>
        </a:stretch>
      </xdr:blipFill>
      <xdr:spPr>
        <a:xfrm>
          <a:off x="7235825" y="1849043800"/>
          <a:ext cx="878840" cy="1183640"/>
        </a:xfrm>
        <a:prstGeom prst="rect">
          <a:avLst/>
        </a:prstGeom>
      </xdr:spPr>
    </xdr:pic>
    <xdr:clientData/>
  </xdr:twoCellAnchor>
  <xdr:twoCellAnchor>
    <xdr:from>
      <xdr:col>9</xdr:col>
      <xdr:colOff>6350</xdr:colOff>
      <xdr:row>1904</xdr:row>
      <xdr:rowOff>25400</xdr:rowOff>
    </xdr:from>
    <xdr:to>
      <xdr:col>9</xdr:col>
      <xdr:colOff>885190</xdr:colOff>
      <xdr:row>1904</xdr:row>
      <xdr:rowOff>1209040</xdr:rowOff>
    </xdr:to>
    <xdr:pic>
      <xdr:nvPicPr>
        <xdr:cNvPr id="6665" name="Изображение 6664" descr="resizeПП-00258689"/>
        <xdr:cNvPicPr>
          <a:picLocks noChangeAspect="1"/>
        </xdr:cNvPicPr>
      </xdr:nvPicPr>
      <xdr:blipFill>
        <a:blip xmlns:r="http://schemas.openxmlformats.org/officeDocument/2006/relationships" r:embed="rId1422"/>
        <a:stretch>
          <a:fillRect/>
        </a:stretch>
      </xdr:blipFill>
      <xdr:spPr>
        <a:xfrm>
          <a:off x="7235825" y="1850266175"/>
          <a:ext cx="878840" cy="1183640"/>
        </a:xfrm>
        <a:prstGeom prst="rect">
          <a:avLst/>
        </a:prstGeom>
      </xdr:spPr>
    </xdr:pic>
    <xdr:clientData/>
  </xdr:twoCellAnchor>
  <xdr:twoCellAnchor>
    <xdr:from>
      <xdr:col>9</xdr:col>
      <xdr:colOff>6350</xdr:colOff>
      <xdr:row>1905</xdr:row>
      <xdr:rowOff>25400</xdr:rowOff>
    </xdr:from>
    <xdr:to>
      <xdr:col>9</xdr:col>
      <xdr:colOff>885190</xdr:colOff>
      <xdr:row>1905</xdr:row>
      <xdr:rowOff>1209040</xdr:rowOff>
    </xdr:to>
    <xdr:pic>
      <xdr:nvPicPr>
        <xdr:cNvPr id="6666" name="Изображение 6665" descr="resizeПП-00247417"/>
        <xdr:cNvPicPr>
          <a:picLocks noChangeAspect="1"/>
        </xdr:cNvPicPr>
      </xdr:nvPicPr>
      <xdr:blipFill>
        <a:blip xmlns:r="http://schemas.openxmlformats.org/officeDocument/2006/relationships" r:embed="rId1423"/>
        <a:stretch>
          <a:fillRect/>
        </a:stretch>
      </xdr:blipFill>
      <xdr:spPr>
        <a:xfrm>
          <a:off x="7235825" y="1851488550"/>
          <a:ext cx="878840" cy="1183640"/>
        </a:xfrm>
        <a:prstGeom prst="rect">
          <a:avLst/>
        </a:prstGeom>
      </xdr:spPr>
    </xdr:pic>
    <xdr:clientData/>
  </xdr:twoCellAnchor>
  <xdr:twoCellAnchor>
    <xdr:from>
      <xdr:col>9</xdr:col>
      <xdr:colOff>6350</xdr:colOff>
      <xdr:row>1906</xdr:row>
      <xdr:rowOff>25400</xdr:rowOff>
    </xdr:from>
    <xdr:to>
      <xdr:col>9</xdr:col>
      <xdr:colOff>885190</xdr:colOff>
      <xdr:row>1906</xdr:row>
      <xdr:rowOff>1209040</xdr:rowOff>
    </xdr:to>
    <xdr:pic>
      <xdr:nvPicPr>
        <xdr:cNvPr id="6667" name="Изображение 6666" descr="resizeПП-00258708"/>
        <xdr:cNvPicPr>
          <a:picLocks noChangeAspect="1"/>
        </xdr:cNvPicPr>
      </xdr:nvPicPr>
      <xdr:blipFill>
        <a:blip xmlns:r="http://schemas.openxmlformats.org/officeDocument/2006/relationships" r:embed="rId1424"/>
        <a:stretch>
          <a:fillRect/>
        </a:stretch>
      </xdr:blipFill>
      <xdr:spPr>
        <a:xfrm>
          <a:off x="7235825" y="1852710925"/>
          <a:ext cx="878840" cy="1183640"/>
        </a:xfrm>
        <a:prstGeom prst="rect">
          <a:avLst/>
        </a:prstGeom>
      </xdr:spPr>
    </xdr:pic>
    <xdr:clientData/>
  </xdr:twoCellAnchor>
  <xdr:twoCellAnchor>
    <xdr:from>
      <xdr:col>9</xdr:col>
      <xdr:colOff>6350</xdr:colOff>
      <xdr:row>1907</xdr:row>
      <xdr:rowOff>25400</xdr:rowOff>
    </xdr:from>
    <xdr:to>
      <xdr:col>9</xdr:col>
      <xdr:colOff>885190</xdr:colOff>
      <xdr:row>1907</xdr:row>
      <xdr:rowOff>1209040</xdr:rowOff>
    </xdr:to>
    <xdr:pic>
      <xdr:nvPicPr>
        <xdr:cNvPr id="6668" name="Изображение 6667" descr="resizeПП-00258711"/>
        <xdr:cNvPicPr>
          <a:picLocks noChangeAspect="1"/>
        </xdr:cNvPicPr>
      </xdr:nvPicPr>
      <xdr:blipFill>
        <a:blip xmlns:r="http://schemas.openxmlformats.org/officeDocument/2006/relationships" r:embed="rId1425"/>
        <a:stretch>
          <a:fillRect/>
        </a:stretch>
      </xdr:blipFill>
      <xdr:spPr>
        <a:xfrm>
          <a:off x="7235825" y="1853933300"/>
          <a:ext cx="878840" cy="1183640"/>
        </a:xfrm>
        <a:prstGeom prst="rect">
          <a:avLst/>
        </a:prstGeom>
      </xdr:spPr>
    </xdr:pic>
    <xdr:clientData/>
  </xdr:twoCellAnchor>
  <xdr:twoCellAnchor>
    <xdr:from>
      <xdr:col>9</xdr:col>
      <xdr:colOff>6350</xdr:colOff>
      <xdr:row>1908</xdr:row>
      <xdr:rowOff>25400</xdr:rowOff>
    </xdr:from>
    <xdr:to>
      <xdr:col>9</xdr:col>
      <xdr:colOff>885190</xdr:colOff>
      <xdr:row>1908</xdr:row>
      <xdr:rowOff>1209040</xdr:rowOff>
    </xdr:to>
    <xdr:pic>
      <xdr:nvPicPr>
        <xdr:cNvPr id="6669" name="Изображение 6668" descr="resizeПП-00258717"/>
        <xdr:cNvPicPr>
          <a:picLocks noChangeAspect="1"/>
        </xdr:cNvPicPr>
      </xdr:nvPicPr>
      <xdr:blipFill>
        <a:blip xmlns:r="http://schemas.openxmlformats.org/officeDocument/2006/relationships" r:embed="rId1426"/>
        <a:stretch>
          <a:fillRect/>
        </a:stretch>
      </xdr:blipFill>
      <xdr:spPr>
        <a:xfrm>
          <a:off x="7235825" y="1855155675"/>
          <a:ext cx="878840" cy="1183640"/>
        </a:xfrm>
        <a:prstGeom prst="rect">
          <a:avLst/>
        </a:prstGeom>
      </xdr:spPr>
    </xdr:pic>
    <xdr:clientData/>
  </xdr:twoCellAnchor>
  <xdr:twoCellAnchor>
    <xdr:from>
      <xdr:col>9</xdr:col>
      <xdr:colOff>6350</xdr:colOff>
      <xdr:row>1909</xdr:row>
      <xdr:rowOff>25400</xdr:rowOff>
    </xdr:from>
    <xdr:to>
      <xdr:col>9</xdr:col>
      <xdr:colOff>885190</xdr:colOff>
      <xdr:row>1909</xdr:row>
      <xdr:rowOff>1209040</xdr:rowOff>
    </xdr:to>
    <xdr:pic>
      <xdr:nvPicPr>
        <xdr:cNvPr id="6670" name="Изображение 6669" descr="resizeПП-00258717"/>
        <xdr:cNvPicPr>
          <a:picLocks noChangeAspect="1"/>
        </xdr:cNvPicPr>
      </xdr:nvPicPr>
      <xdr:blipFill>
        <a:blip xmlns:r="http://schemas.openxmlformats.org/officeDocument/2006/relationships" r:embed="rId1426"/>
        <a:stretch>
          <a:fillRect/>
        </a:stretch>
      </xdr:blipFill>
      <xdr:spPr>
        <a:xfrm>
          <a:off x="7235825" y="1856378050"/>
          <a:ext cx="878840" cy="1183640"/>
        </a:xfrm>
        <a:prstGeom prst="rect">
          <a:avLst/>
        </a:prstGeom>
      </xdr:spPr>
    </xdr:pic>
    <xdr:clientData/>
  </xdr:twoCellAnchor>
  <xdr:twoCellAnchor>
    <xdr:from>
      <xdr:col>9</xdr:col>
      <xdr:colOff>6350</xdr:colOff>
      <xdr:row>1910</xdr:row>
      <xdr:rowOff>25400</xdr:rowOff>
    </xdr:from>
    <xdr:to>
      <xdr:col>9</xdr:col>
      <xdr:colOff>885190</xdr:colOff>
      <xdr:row>1910</xdr:row>
      <xdr:rowOff>1209040</xdr:rowOff>
    </xdr:to>
    <xdr:pic>
      <xdr:nvPicPr>
        <xdr:cNvPr id="6671" name="Изображение 6670" descr="resizeПП-00258721"/>
        <xdr:cNvPicPr>
          <a:picLocks noChangeAspect="1"/>
        </xdr:cNvPicPr>
      </xdr:nvPicPr>
      <xdr:blipFill>
        <a:blip xmlns:r="http://schemas.openxmlformats.org/officeDocument/2006/relationships" r:embed="rId1427"/>
        <a:stretch>
          <a:fillRect/>
        </a:stretch>
      </xdr:blipFill>
      <xdr:spPr>
        <a:xfrm>
          <a:off x="7235825" y="1857600425"/>
          <a:ext cx="878840" cy="1183640"/>
        </a:xfrm>
        <a:prstGeom prst="rect">
          <a:avLst/>
        </a:prstGeom>
      </xdr:spPr>
    </xdr:pic>
    <xdr:clientData/>
  </xdr:twoCellAnchor>
  <xdr:twoCellAnchor>
    <xdr:from>
      <xdr:col>9</xdr:col>
      <xdr:colOff>6350</xdr:colOff>
      <xdr:row>1911</xdr:row>
      <xdr:rowOff>25400</xdr:rowOff>
    </xdr:from>
    <xdr:to>
      <xdr:col>9</xdr:col>
      <xdr:colOff>885190</xdr:colOff>
      <xdr:row>1911</xdr:row>
      <xdr:rowOff>1209040</xdr:rowOff>
    </xdr:to>
    <xdr:pic>
      <xdr:nvPicPr>
        <xdr:cNvPr id="6672" name="Изображение 6671" descr="resizeПП-00258718"/>
        <xdr:cNvPicPr>
          <a:picLocks noChangeAspect="1"/>
        </xdr:cNvPicPr>
      </xdr:nvPicPr>
      <xdr:blipFill>
        <a:blip xmlns:r="http://schemas.openxmlformats.org/officeDocument/2006/relationships" r:embed="rId1428"/>
        <a:stretch>
          <a:fillRect/>
        </a:stretch>
      </xdr:blipFill>
      <xdr:spPr>
        <a:xfrm>
          <a:off x="7235825" y="1858822800"/>
          <a:ext cx="878840" cy="1183640"/>
        </a:xfrm>
        <a:prstGeom prst="rect">
          <a:avLst/>
        </a:prstGeom>
      </xdr:spPr>
    </xdr:pic>
    <xdr:clientData/>
  </xdr:twoCellAnchor>
  <xdr:twoCellAnchor>
    <xdr:from>
      <xdr:col>9</xdr:col>
      <xdr:colOff>6350</xdr:colOff>
      <xdr:row>1912</xdr:row>
      <xdr:rowOff>25400</xdr:rowOff>
    </xdr:from>
    <xdr:to>
      <xdr:col>9</xdr:col>
      <xdr:colOff>885190</xdr:colOff>
      <xdr:row>1912</xdr:row>
      <xdr:rowOff>1209040</xdr:rowOff>
    </xdr:to>
    <xdr:pic>
      <xdr:nvPicPr>
        <xdr:cNvPr id="6673" name="Изображение 6672" descr="resizeПП-00258720"/>
        <xdr:cNvPicPr>
          <a:picLocks noChangeAspect="1"/>
        </xdr:cNvPicPr>
      </xdr:nvPicPr>
      <xdr:blipFill>
        <a:blip xmlns:r="http://schemas.openxmlformats.org/officeDocument/2006/relationships" r:embed="rId1429"/>
        <a:stretch>
          <a:fillRect/>
        </a:stretch>
      </xdr:blipFill>
      <xdr:spPr>
        <a:xfrm>
          <a:off x="7235825" y="1860045175"/>
          <a:ext cx="878840" cy="1183640"/>
        </a:xfrm>
        <a:prstGeom prst="rect">
          <a:avLst/>
        </a:prstGeom>
      </xdr:spPr>
    </xdr:pic>
    <xdr:clientData/>
  </xdr:twoCellAnchor>
  <xdr:twoCellAnchor>
    <xdr:from>
      <xdr:col>9</xdr:col>
      <xdr:colOff>6350</xdr:colOff>
      <xdr:row>1913</xdr:row>
      <xdr:rowOff>25400</xdr:rowOff>
    </xdr:from>
    <xdr:to>
      <xdr:col>9</xdr:col>
      <xdr:colOff>885190</xdr:colOff>
      <xdr:row>1913</xdr:row>
      <xdr:rowOff>1209040</xdr:rowOff>
    </xdr:to>
    <xdr:pic>
      <xdr:nvPicPr>
        <xdr:cNvPr id="6674" name="Изображение 6673" descr="resizeПП-00258703"/>
        <xdr:cNvPicPr>
          <a:picLocks noChangeAspect="1"/>
        </xdr:cNvPicPr>
      </xdr:nvPicPr>
      <xdr:blipFill>
        <a:blip xmlns:r="http://schemas.openxmlformats.org/officeDocument/2006/relationships" r:embed="rId1430"/>
        <a:stretch>
          <a:fillRect/>
        </a:stretch>
      </xdr:blipFill>
      <xdr:spPr>
        <a:xfrm>
          <a:off x="7235825" y="1861267550"/>
          <a:ext cx="878840" cy="1183640"/>
        </a:xfrm>
        <a:prstGeom prst="rect">
          <a:avLst/>
        </a:prstGeom>
      </xdr:spPr>
    </xdr:pic>
    <xdr:clientData/>
  </xdr:twoCellAnchor>
  <xdr:twoCellAnchor>
    <xdr:from>
      <xdr:col>9</xdr:col>
      <xdr:colOff>6350</xdr:colOff>
      <xdr:row>1914</xdr:row>
      <xdr:rowOff>25400</xdr:rowOff>
    </xdr:from>
    <xdr:to>
      <xdr:col>9</xdr:col>
      <xdr:colOff>885190</xdr:colOff>
      <xdr:row>1914</xdr:row>
      <xdr:rowOff>1209040</xdr:rowOff>
    </xdr:to>
    <xdr:pic>
      <xdr:nvPicPr>
        <xdr:cNvPr id="6675" name="Изображение 6674" descr="resizeПП-00258705"/>
        <xdr:cNvPicPr>
          <a:picLocks noChangeAspect="1"/>
        </xdr:cNvPicPr>
      </xdr:nvPicPr>
      <xdr:blipFill>
        <a:blip xmlns:r="http://schemas.openxmlformats.org/officeDocument/2006/relationships" r:embed="rId1431"/>
        <a:stretch>
          <a:fillRect/>
        </a:stretch>
      </xdr:blipFill>
      <xdr:spPr>
        <a:xfrm>
          <a:off x="7235825" y="1862489925"/>
          <a:ext cx="878840" cy="1183640"/>
        </a:xfrm>
        <a:prstGeom prst="rect">
          <a:avLst/>
        </a:prstGeom>
      </xdr:spPr>
    </xdr:pic>
    <xdr:clientData/>
  </xdr:twoCellAnchor>
  <xdr:twoCellAnchor>
    <xdr:from>
      <xdr:col>9</xdr:col>
      <xdr:colOff>6350</xdr:colOff>
      <xdr:row>1916</xdr:row>
      <xdr:rowOff>25400</xdr:rowOff>
    </xdr:from>
    <xdr:to>
      <xdr:col>9</xdr:col>
      <xdr:colOff>885190</xdr:colOff>
      <xdr:row>1916</xdr:row>
      <xdr:rowOff>1209040</xdr:rowOff>
    </xdr:to>
    <xdr:pic>
      <xdr:nvPicPr>
        <xdr:cNvPr id="6676" name="Изображение 6675" descr="resizeПП-00231951"/>
        <xdr:cNvPicPr>
          <a:picLocks noChangeAspect="1"/>
        </xdr:cNvPicPr>
      </xdr:nvPicPr>
      <xdr:blipFill>
        <a:blip xmlns:r="http://schemas.openxmlformats.org/officeDocument/2006/relationships" r:embed="rId1432"/>
        <a:stretch>
          <a:fillRect/>
        </a:stretch>
      </xdr:blipFill>
      <xdr:spPr>
        <a:xfrm>
          <a:off x="7235825" y="1863864700"/>
          <a:ext cx="878840" cy="1183640"/>
        </a:xfrm>
        <a:prstGeom prst="rect">
          <a:avLst/>
        </a:prstGeom>
      </xdr:spPr>
    </xdr:pic>
    <xdr:clientData/>
  </xdr:twoCellAnchor>
  <xdr:twoCellAnchor>
    <xdr:from>
      <xdr:col>9</xdr:col>
      <xdr:colOff>6350</xdr:colOff>
      <xdr:row>1919</xdr:row>
      <xdr:rowOff>25400</xdr:rowOff>
    </xdr:from>
    <xdr:to>
      <xdr:col>9</xdr:col>
      <xdr:colOff>885190</xdr:colOff>
      <xdr:row>1919</xdr:row>
      <xdr:rowOff>1209040</xdr:rowOff>
    </xdr:to>
    <xdr:pic>
      <xdr:nvPicPr>
        <xdr:cNvPr id="6677" name="Изображение 6676" descr="resizeПП-00236218"/>
        <xdr:cNvPicPr>
          <a:picLocks noChangeAspect="1"/>
        </xdr:cNvPicPr>
      </xdr:nvPicPr>
      <xdr:blipFill>
        <a:blip xmlns:r="http://schemas.openxmlformats.org/officeDocument/2006/relationships" r:embed="rId1433"/>
        <a:stretch>
          <a:fillRect/>
        </a:stretch>
      </xdr:blipFill>
      <xdr:spPr>
        <a:xfrm>
          <a:off x="7235825" y="1865391875"/>
          <a:ext cx="878840" cy="1183640"/>
        </a:xfrm>
        <a:prstGeom prst="rect">
          <a:avLst/>
        </a:prstGeom>
      </xdr:spPr>
    </xdr:pic>
    <xdr:clientData/>
  </xdr:twoCellAnchor>
  <xdr:twoCellAnchor>
    <xdr:from>
      <xdr:col>9</xdr:col>
      <xdr:colOff>6350</xdr:colOff>
      <xdr:row>1920</xdr:row>
      <xdr:rowOff>25400</xdr:rowOff>
    </xdr:from>
    <xdr:to>
      <xdr:col>9</xdr:col>
      <xdr:colOff>885190</xdr:colOff>
      <xdr:row>1920</xdr:row>
      <xdr:rowOff>1209040</xdr:rowOff>
    </xdr:to>
    <xdr:pic>
      <xdr:nvPicPr>
        <xdr:cNvPr id="6678" name="Изображение 6677" descr="resizeПП-00236219"/>
        <xdr:cNvPicPr>
          <a:picLocks noChangeAspect="1"/>
        </xdr:cNvPicPr>
      </xdr:nvPicPr>
      <xdr:blipFill>
        <a:blip xmlns:r="http://schemas.openxmlformats.org/officeDocument/2006/relationships" r:embed="rId1434"/>
        <a:stretch>
          <a:fillRect/>
        </a:stretch>
      </xdr:blipFill>
      <xdr:spPr>
        <a:xfrm>
          <a:off x="7235825" y="1866614250"/>
          <a:ext cx="878840" cy="1183640"/>
        </a:xfrm>
        <a:prstGeom prst="rect">
          <a:avLst/>
        </a:prstGeom>
      </xdr:spPr>
    </xdr:pic>
    <xdr:clientData/>
  </xdr:twoCellAnchor>
  <xdr:twoCellAnchor>
    <xdr:from>
      <xdr:col>9</xdr:col>
      <xdr:colOff>6350</xdr:colOff>
      <xdr:row>1921</xdr:row>
      <xdr:rowOff>25400</xdr:rowOff>
    </xdr:from>
    <xdr:to>
      <xdr:col>9</xdr:col>
      <xdr:colOff>885190</xdr:colOff>
      <xdr:row>1921</xdr:row>
      <xdr:rowOff>1209040</xdr:rowOff>
    </xdr:to>
    <xdr:pic>
      <xdr:nvPicPr>
        <xdr:cNvPr id="6679" name="Изображение 6678" descr="resizeПП-00236217"/>
        <xdr:cNvPicPr>
          <a:picLocks noChangeAspect="1"/>
        </xdr:cNvPicPr>
      </xdr:nvPicPr>
      <xdr:blipFill>
        <a:blip xmlns:r="http://schemas.openxmlformats.org/officeDocument/2006/relationships" r:embed="rId1435"/>
        <a:stretch>
          <a:fillRect/>
        </a:stretch>
      </xdr:blipFill>
      <xdr:spPr>
        <a:xfrm>
          <a:off x="7235825" y="1867836625"/>
          <a:ext cx="878840" cy="1183640"/>
        </a:xfrm>
        <a:prstGeom prst="rect">
          <a:avLst/>
        </a:prstGeom>
      </xdr:spPr>
    </xdr:pic>
    <xdr:clientData/>
  </xdr:twoCellAnchor>
  <xdr:twoCellAnchor>
    <xdr:from>
      <xdr:col>9</xdr:col>
      <xdr:colOff>6350</xdr:colOff>
      <xdr:row>1924</xdr:row>
      <xdr:rowOff>25400</xdr:rowOff>
    </xdr:from>
    <xdr:to>
      <xdr:col>9</xdr:col>
      <xdr:colOff>885190</xdr:colOff>
      <xdr:row>1924</xdr:row>
      <xdr:rowOff>1209040</xdr:rowOff>
    </xdr:to>
    <xdr:pic>
      <xdr:nvPicPr>
        <xdr:cNvPr id="6680" name="Изображение 6679" descr="resizeПП-00271261"/>
        <xdr:cNvPicPr>
          <a:picLocks noChangeAspect="1"/>
        </xdr:cNvPicPr>
      </xdr:nvPicPr>
      <xdr:blipFill>
        <a:blip xmlns:r="http://schemas.openxmlformats.org/officeDocument/2006/relationships" r:embed="rId1436"/>
        <a:stretch>
          <a:fillRect/>
        </a:stretch>
      </xdr:blipFill>
      <xdr:spPr>
        <a:xfrm>
          <a:off x="7235825" y="1869363800"/>
          <a:ext cx="878840" cy="1183640"/>
        </a:xfrm>
        <a:prstGeom prst="rect">
          <a:avLst/>
        </a:prstGeom>
      </xdr:spPr>
    </xdr:pic>
    <xdr:clientData/>
  </xdr:twoCellAnchor>
  <xdr:twoCellAnchor>
    <xdr:from>
      <xdr:col>9</xdr:col>
      <xdr:colOff>6350</xdr:colOff>
      <xdr:row>1925</xdr:row>
      <xdr:rowOff>25400</xdr:rowOff>
    </xdr:from>
    <xdr:to>
      <xdr:col>9</xdr:col>
      <xdr:colOff>885190</xdr:colOff>
      <xdr:row>1925</xdr:row>
      <xdr:rowOff>1209040</xdr:rowOff>
    </xdr:to>
    <xdr:pic>
      <xdr:nvPicPr>
        <xdr:cNvPr id="6681" name="Изображение 6680" descr="resizeПП-00271258"/>
        <xdr:cNvPicPr>
          <a:picLocks noChangeAspect="1"/>
        </xdr:cNvPicPr>
      </xdr:nvPicPr>
      <xdr:blipFill>
        <a:blip xmlns:r="http://schemas.openxmlformats.org/officeDocument/2006/relationships" r:embed="rId1437"/>
        <a:stretch>
          <a:fillRect/>
        </a:stretch>
      </xdr:blipFill>
      <xdr:spPr>
        <a:xfrm>
          <a:off x="7235825" y="1870586175"/>
          <a:ext cx="878840" cy="1183640"/>
        </a:xfrm>
        <a:prstGeom prst="rect">
          <a:avLst/>
        </a:prstGeom>
      </xdr:spPr>
    </xdr:pic>
    <xdr:clientData/>
  </xdr:twoCellAnchor>
  <xdr:twoCellAnchor>
    <xdr:from>
      <xdr:col>9</xdr:col>
      <xdr:colOff>6350</xdr:colOff>
      <xdr:row>1926</xdr:row>
      <xdr:rowOff>25400</xdr:rowOff>
    </xdr:from>
    <xdr:to>
      <xdr:col>9</xdr:col>
      <xdr:colOff>885190</xdr:colOff>
      <xdr:row>1926</xdr:row>
      <xdr:rowOff>1209040</xdr:rowOff>
    </xdr:to>
    <xdr:pic>
      <xdr:nvPicPr>
        <xdr:cNvPr id="6682" name="Изображение 6681" descr="resizeПП-00271262"/>
        <xdr:cNvPicPr>
          <a:picLocks noChangeAspect="1"/>
        </xdr:cNvPicPr>
      </xdr:nvPicPr>
      <xdr:blipFill>
        <a:blip xmlns:r="http://schemas.openxmlformats.org/officeDocument/2006/relationships" r:embed="rId1438"/>
        <a:stretch>
          <a:fillRect/>
        </a:stretch>
      </xdr:blipFill>
      <xdr:spPr>
        <a:xfrm>
          <a:off x="7235825" y="1871808550"/>
          <a:ext cx="878840" cy="1183640"/>
        </a:xfrm>
        <a:prstGeom prst="rect">
          <a:avLst/>
        </a:prstGeom>
      </xdr:spPr>
    </xdr:pic>
    <xdr:clientData/>
  </xdr:twoCellAnchor>
  <xdr:twoCellAnchor>
    <xdr:from>
      <xdr:col>9</xdr:col>
      <xdr:colOff>6350</xdr:colOff>
      <xdr:row>1927</xdr:row>
      <xdr:rowOff>25400</xdr:rowOff>
    </xdr:from>
    <xdr:to>
      <xdr:col>9</xdr:col>
      <xdr:colOff>885190</xdr:colOff>
      <xdr:row>1927</xdr:row>
      <xdr:rowOff>1209040</xdr:rowOff>
    </xdr:to>
    <xdr:pic>
      <xdr:nvPicPr>
        <xdr:cNvPr id="6683" name="Изображение 6682" descr="resizeПП-00247438"/>
        <xdr:cNvPicPr>
          <a:picLocks noChangeAspect="1"/>
        </xdr:cNvPicPr>
      </xdr:nvPicPr>
      <xdr:blipFill>
        <a:blip xmlns:r="http://schemas.openxmlformats.org/officeDocument/2006/relationships" r:embed="rId1439"/>
        <a:stretch>
          <a:fillRect/>
        </a:stretch>
      </xdr:blipFill>
      <xdr:spPr>
        <a:xfrm>
          <a:off x="7235825" y="1873030925"/>
          <a:ext cx="878840" cy="1183640"/>
        </a:xfrm>
        <a:prstGeom prst="rect">
          <a:avLst/>
        </a:prstGeom>
      </xdr:spPr>
    </xdr:pic>
    <xdr:clientData/>
  </xdr:twoCellAnchor>
  <xdr:twoCellAnchor>
    <xdr:from>
      <xdr:col>9</xdr:col>
      <xdr:colOff>6350</xdr:colOff>
      <xdr:row>1928</xdr:row>
      <xdr:rowOff>25400</xdr:rowOff>
    </xdr:from>
    <xdr:to>
      <xdr:col>9</xdr:col>
      <xdr:colOff>885190</xdr:colOff>
      <xdr:row>1928</xdr:row>
      <xdr:rowOff>1209040</xdr:rowOff>
    </xdr:to>
    <xdr:pic>
      <xdr:nvPicPr>
        <xdr:cNvPr id="6684" name="Изображение 6683" descr="resizeПП-00271260"/>
        <xdr:cNvPicPr>
          <a:picLocks noChangeAspect="1"/>
        </xdr:cNvPicPr>
      </xdr:nvPicPr>
      <xdr:blipFill>
        <a:blip xmlns:r="http://schemas.openxmlformats.org/officeDocument/2006/relationships" r:embed="rId1440"/>
        <a:stretch>
          <a:fillRect/>
        </a:stretch>
      </xdr:blipFill>
      <xdr:spPr>
        <a:xfrm>
          <a:off x="7235825" y="1874253300"/>
          <a:ext cx="878840" cy="1183640"/>
        </a:xfrm>
        <a:prstGeom prst="rect">
          <a:avLst/>
        </a:prstGeom>
      </xdr:spPr>
    </xdr:pic>
    <xdr:clientData/>
  </xdr:twoCellAnchor>
  <xdr:twoCellAnchor>
    <xdr:from>
      <xdr:col>9</xdr:col>
      <xdr:colOff>6350</xdr:colOff>
      <xdr:row>1929</xdr:row>
      <xdr:rowOff>25400</xdr:rowOff>
    </xdr:from>
    <xdr:to>
      <xdr:col>9</xdr:col>
      <xdr:colOff>885190</xdr:colOff>
      <xdr:row>1929</xdr:row>
      <xdr:rowOff>1209040</xdr:rowOff>
    </xdr:to>
    <xdr:pic>
      <xdr:nvPicPr>
        <xdr:cNvPr id="6685" name="Изображение 6684" descr="resizeПП-00271259"/>
        <xdr:cNvPicPr>
          <a:picLocks noChangeAspect="1"/>
        </xdr:cNvPicPr>
      </xdr:nvPicPr>
      <xdr:blipFill>
        <a:blip xmlns:r="http://schemas.openxmlformats.org/officeDocument/2006/relationships" r:embed="rId1441"/>
        <a:stretch>
          <a:fillRect/>
        </a:stretch>
      </xdr:blipFill>
      <xdr:spPr>
        <a:xfrm>
          <a:off x="7235825" y="1875475675"/>
          <a:ext cx="878840" cy="1183640"/>
        </a:xfrm>
        <a:prstGeom prst="rect">
          <a:avLst/>
        </a:prstGeom>
      </xdr:spPr>
    </xdr:pic>
    <xdr:clientData/>
  </xdr:twoCellAnchor>
  <xdr:twoCellAnchor>
    <xdr:from>
      <xdr:col>9</xdr:col>
      <xdr:colOff>6350</xdr:colOff>
      <xdr:row>1930</xdr:row>
      <xdr:rowOff>25400</xdr:rowOff>
    </xdr:from>
    <xdr:to>
      <xdr:col>9</xdr:col>
      <xdr:colOff>885190</xdr:colOff>
      <xdr:row>1930</xdr:row>
      <xdr:rowOff>1209040</xdr:rowOff>
    </xdr:to>
    <xdr:pic>
      <xdr:nvPicPr>
        <xdr:cNvPr id="6686" name="Изображение 6685" descr="resizeПП-00271257"/>
        <xdr:cNvPicPr>
          <a:picLocks noChangeAspect="1"/>
        </xdr:cNvPicPr>
      </xdr:nvPicPr>
      <xdr:blipFill>
        <a:blip xmlns:r="http://schemas.openxmlformats.org/officeDocument/2006/relationships" r:embed="rId1442"/>
        <a:stretch>
          <a:fillRect/>
        </a:stretch>
      </xdr:blipFill>
      <xdr:spPr>
        <a:xfrm>
          <a:off x="7235825" y="1876698050"/>
          <a:ext cx="878840" cy="1183640"/>
        </a:xfrm>
        <a:prstGeom prst="rect">
          <a:avLst/>
        </a:prstGeom>
      </xdr:spPr>
    </xdr:pic>
    <xdr:clientData/>
  </xdr:twoCellAnchor>
  <xdr:twoCellAnchor>
    <xdr:from>
      <xdr:col>9</xdr:col>
      <xdr:colOff>6350</xdr:colOff>
      <xdr:row>1933</xdr:row>
      <xdr:rowOff>25400</xdr:rowOff>
    </xdr:from>
    <xdr:to>
      <xdr:col>9</xdr:col>
      <xdr:colOff>885190</xdr:colOff>
      <xdr:row>1933</xdr:row>
      <xdr:rowOff>1209040</xdr:rowOff>
    </xdr:to>
    <xdr:pic>
      <xdr:nvPicPr>
        <xdr:cNvPr id="6687" name="Изображение 6686" descr="resizeПП-00271298"/>
        <xdr:cNvPicPr>
          <a:picLocks noChangeAspect="1"/>
        </xdr:cNvPicPr>
      </xdr:nvPicPr>
      <xdr:blipFill>
        <a:blip xmlns:r="http://schemas.openxmlformats.org/officeDocument/2006/relationships" r:embed="rId1443"/>
        <a:stretch>
          <a:fillRect/>
        </a:stretch>
      </xdr:blipFill>
      <xdr:spPr>
        <a:xfrm>
          <a:off x="7235825" y="1878225225"/>
          <a:ext cx="878840" cy="1183640"/>
        </a:xfrm>
        <a:prstGeom prst="rect">
          <a:avLst/>
        </a:prstGeom>
      </xdr:spPr>
    </xdr:pic>
    <xdr:clientData/>
  </xdr:twoCellAnchor>
  <xdr:twoCellAnchor>
    <xdr:from>
      <xdr:col>9</xdr:col>
      <xdr:colOff>6350</xdr:colOff>
      <xdr:row>1934</xdr:row>
      <xdr:rowOff>25400</xdr:rowOff>
    </xdr:from>
    <xdr:to>
      <xdr:col>9</xdr:col>
      <xdr:colOff>885190</xdr:colOff>
      <xdr:row>1934</xdr:row>
      <xdr:rowOff>1209040</xdr:rowOff>
    </xdr:to>
    <xdr:pic>
      <xdr:nvPicPr>
        <xdr:cNvPr id="6688" name="Изображение 6687" descr="resizeПП-00271300"/>
        <xdr:cNvPicPr>
          <a:picLocks noChangeAspect="1"/>
        </xdr:cNvPicPr>
      </xdr:nvPicPr>
      <xdr:blipFill>
        <a:blip xmlns:r="http://schemas.openxmlformats.org/officeDocument/2006/relationships" r:embed="rId1444"/>
        <a:stretch>
          <a:fillRect/>
        </a:stretch>
      </xdr:blipFill>
      <xdr:spPr>
        <a:xfrm>
          <a:off x="7235825" y="1879447600"/>
          <a:ext cx="878840" cy="1183640"/>
        </a:xfrm>
        <a:prstGeom prst="rect">
          <a:avLst/>
        </a:prstGeom>
      </xdr:spPr>
    </xdr:pic>
    <xdr:clientData/>
  </xdr:twoCellAnchor>
  <xdr:twoCellAnchor>
    <xdr:from>
      <xdr:col>9</xdr:col>
      <xdr:colOff>6350</xdr:colOff>
      <xdr:row>1935</xdr:row>
      <xdr:rowOff>25400</xdr:rowOff>
    </xdr:from>
    <xdr:to>
      <xdr:col>9</xdr:col>
      <xdr:colOff>885190</xdr:colOff>
      <xdr:row>1935</xdr:row>
      <xdr:rowOff>1209040</xdr:rowOff>
    </xdr:to>
    <xdr:pic>
      <xdr:nvPicPr>
        <xdr:cNvPr id="6689" name="Изображение 6688" descr="resizeПП-00271299"/>
        <xdr:cNvPicPr>
          <a:picLocks noChangeAspect="1"/>
        </xdr:cNvPicPr>
      </xdr:nvPicPr>
      <xdr:blipFill>
        <a:blip xmlns:r="http://schemas.openxmlformats.org/officeDocument/2006/relationships" r:embed="rId1445"/>
        <a:stretch>
          <a:fillRect/>
        </a:stretch>
      </xdr:blipFill>
      <xdr:spPr>
        <a:xfrm>
          <a:off x="7235825" y="1880669975"/>
          <a:ext cx="878840" cy="1183640"/>
        </a:xfrm>
        <a:prstGeom prst="rect">
          <a:avLst/>
        </a:prstGeom>
      </xdr:spPr>
    </xdr:pic>
    <xdr:clientData/>
  </xdr:twoCellAnchor>
  <xdr:twoCellAnchor>
    <xdr:from>
      <xdr:col>9</xdr:col>
      <xdr:colOff>6350</xdr:colOff>
      <xdr:row>1936</xdr:row>
      <xdr:rowOff>25400</xdr:rowOff>
    </xdr:from>
    <xdr:to>
      <xdr:col>9</xdr:col>
      <xdr:colOff>885190</xdr:colOff>
      <xdr:row>1936</xdr:row>
      <xdr:rowOff>1209040</xdr:rowOff>
    </xdr:to>
    <xdr:pic>
      <xdr:nvPicPr>
        <xdr:cNvPr id="6690" name="Изображение 6689" descr="resizeПП-00271297"/>
        <xdr:cNvPicPr>
          <a:picLocks noChangeAspect="1"/>
        </xdr:cNvPicPr>
      </xdr:nvPicPr>
      <xdr:blipFill>
        <a:blip xmlns:r="http://schemas.openxmlformats.org/officeDocument/2006/relationships" r:embed="rId1446"/>
        <a:stretch>
          <a:fillRect/>
        </a:stretch>
      </xdr:blipFill>
      <xdr:spPr>
        <a:xfrm>
          <a:off x="7235825" y="1881892350"/>
          <a:ext cx="878840" cy="1183640"/>
        </a:xfrm>
        <a:prstGeom prst="rect">
          <a:avLst/>
        </a:prstGeom>
      </xdr:spPr>
    </xdr:pic>
    <xdr:clientData/>
  </xdr:twoCellAnchor>
  <xdr:twoCellAnchor>
    <xdr:from>
      <xdr:col>9</xdr:col>
      <xdr:colOff>6350</xdr:colOff>
      <xdr:row>1937</xdr:row>
      <xdr:rowOff>25400</xdr:rowOff>
    </xdr:from>
    <xdr:to>
      <xdr:col>9</xdr:col>
      <xdr:colOff>885190</xdr:colOff>
      <xdr:row>1937</xdr:row>
      <xdr:rowOff>1209040</xdr:rowOff>
    </xdr:to>
    <xdr:pic>
      <xdr:nvPicPr>
        <xdr:cNvPr id="6691" name="Изображение 6690" descr="resizeПП-00271301"/>
        <xdr:cNvPicPr>
          <a:picLocks noChangeAspect="1"/>
        </xdr:cNvPicPr>
      </xdr:nvPicPr>
      <xdr:blipFill>
        <a:blip xmlns:r="http://schemas.openxmlformats.org/officeDocument/2006/relationships" r:embed="rId1447"/>
        <a:stretch>
          <a:fillRect/>
        </a:stretch>
      </xdr:blipFill>
      <xdr:spPr>
        <a:xfrm>
          <a:off x="7235825" y="1883114725"/>
          <a:ext cx="878840" cy="1183640"/>
        </a:xfrm>
        <a:prstGeom prst="rect">
          <a:avLst/>
        </a:prstGeom>
      </xdr:spPr>
    </xdr:pic>
    <xdr:clientData/>
  </xdr:twoCellAnchor>
  <xdr:twoCellAnchor>
    <xdr:from>
      <xdr:col>9</xdr:col>
      <xdr:colOff>6350</xdr:colOff>
      <xdr:row>1939</xdr:row>
      <xdr:rowOff>25400</xdr:rowOff>
    </xdr:from>
    <xdr:to>
      <xdr:col>9</xdr:col>
      <xdr:colOff>885190</xdr:colOff>
      <xdr:row>1939</xdr:row>
      <xdr:rowOff>1209040</xdr:rowOff>
    </xdr:to>
    <xdr:pic>
      <xdr:nvPicPr>
        <xdr:cNvPr id="6692" name="Изображение 6691" descr="resizeПП-00231927"/>
        <xdr:cNvPicPr>
          <a:picLocks noChangeAspect="1"/>
        </xdr:cNvPicPr>
      </xdr:nvPicPr>
      <xdr:blipFill>
        <a:blip xmlns:r="http://schemas.openxmlformats.org/officeDocument/2006/relationships" r:embed="rId1448"/>
        <a:stretch>
          <a:fillRect/>
        </a:stretch>
      </xdr:blipFill>
      <xdr:spPr>
        <a:xfrm>
          <a:off x="7235825" y="1884489500"/>
          <a:ext cx="878840" cy="1183640"/>
        </a:xfrm>
        <a:prstGeom prst="rect">
          <a:avLst/>
        </a:prstGeom>
      </xdr:spPr>
    </xdr:pic>
    <xdr:clientData/>
  </xdr:twoCellAnchor>
  <xdr:twoCellAnchor>
    <xdr:from>
      <xdr:col>9</xdr:col>
      <xdr:colOff>6350</xdr:colOff>
      <xdr:row>1941</xdr:row>
      <xdr:rowOff>25400</xdr:rowOff>
    </xdr:from>
    <xdr:to>
      <xdr:col>9</xdr:col>
      <xdr:colOff>885190</xdr:colOff>
      <xdr:row>1941</xdr:row>
      <xdr:rowOff>1209040</xdr:rowOff>
    </xdr:to>
    <xdr:pic>
      <xdr:nvPicPr>
        <xdr:cNvPr id="6693" name="Изображение 6692" descr="resizeПП-00271302"/>
        <xdr:cNvPicPr>
          <a:picLocks noChangeAspect="1"/>
        </xdr:cNvPicPr>
      </xdr:nvPicPr>
      <xdr:blipFill>
        <a:blip xmlns:r="http://schemas.openxmlformats.org/officeDocument/2006/relationships" r:embed="rId1449"/>
        <a:stretch>
          <a:fillRect/>
        </a:stretch>
      </xdr:blipFill>
      <xdr:spPr>
        <a:xfrm>
          <a:off x="7235825" y="1885864275"/>
          <a:ext cx="878840" cy="1183640"/>
        </a:xfrm>
        <a:prstGeom prst="rect">
          <a:avLst/>
        </a:prstGeom>
      </xdr:spPr>
    </xdr:pic>
    <xdr:clientData/>
  </xdr:twoCellAnchor>
  <xdr:twoCellAnchor>
    <xdr:from>
      <xdr:col>9</xdr:col>
      <xdr:colOff>6350</xdr:colOff>
      <xdr:row>1942</xdr:row>
      <xdr:rowOff>25400</xdr:rowOff>
    </xdr:from>
    <xdr:to>
      <xdr:col>9</xdr:col>
      <xdr:colOff>885190</xdr:colOff>
      <xdr:row>1942</xdr:row>
      <xdr:rowOff>1209040</xdr:rowOff>
    </xdr:to>
    <xdr:pic>
      <xdr:nvPicPr>
        <xdr:cNvPr id="6694" name="Изображение 6693" descr="resizeПП-00271307"/>
        <xdr:cNvPicPr>
          <a:picLocks noChangeAspect="1"/>
        </xdr:cNvPicPr>
      </xdr:nvPicPr>
      <xdr:blipFill>
        <a:blip xmlns:r="http://schemas.openxmlformats.org/officeDocument/2006/relationships" r:embed="rId1450"/>
        <a:stretch>
          <a:fillRect/>
        </a:stretch>
      </xdr:blipFill>
      <xdr:spPr>
        <a:xfrm>
          <a:off x="7235825" y="1887086650"/>
          <a:ext cx="878840" cy="1183640"/>
        </a:xfrm>
        <a:prstGeom prst="rect">
          <a:avLst/>
        </a:prstGeom>
      </xdr:spPr>
    </xdr:pic>
    <xdr:clientData/>
  </xdr:twoCellAnchor>
  <xdr:twoCellAnchor>
    <xdr:from>
      <xdr:col>9</xdr:col>
      <xdr:colOff>6350</xdr:colOff>
      <xdr:row>1943</xdr:row>
      <xdr:rowOff>25400</xdr:rowOff>
    </xdr:from>
    <xdr:to>
      <xdr:col>9</xdr:col>
      <xdr:colOff>974090</xdr:colOff>
      <xdr:row>1943</xdr:row>
      <xdr:rowOff>1209040</xdr:rowOff>
    </xdr:to>
    <xdr:pic>
      <xdr:nvPicPr>
        <xdr:cNvPr id="6695" name="Изображение 6694" descr="resizeПП-00271303"/>
        <xdr:cNvPicPr>
          <a:picLocks noChangeAspect="1"/>
        </xdr:cNvPicPr>
      </xdr:nvPicPr>
      <xdr:blipFill>
        <a:blip xmlns:r="http://schemas.openxmlformats.org/officeDocument/2006/relationships" r:embed="rId1451"/>
        <a:stretch>
          <a:fillRect/>
        </a:stretch>
      </xdr:blipFill>
      <xdr:spPr>
        <a:xfrm>
          <a:off x="7235825" y="1888309025"/>
          <a:ext cx="967740" cy="1183640"/>
        </a:xfrm>
        <a:prstGeom prst="rect">
          <a:avLst/>
        </a:prstGeom>
      </xdr:spPr>
    </xdr:pic>
    <xdr:clientData/>
  </xdr:twoCellAnchor>
  <xdr:twoCellAnchor>
    <xdr:from>
      <xdr:col>9</xdr:col>
      <xdr:colOff>6350</xdr:colOff>
      <xdr:row>1944</xdr:row>
      <xdr:rowOff>25400</xdr:rowOff>
    </xdr:from>
    <xdr:to>
      <xdr:col>9</xdr:col>
      <xdr:colOff>885190</xdr:colOff>
      <xdr:row>1944</xdr:row>
      <xdr:rowOff>1209040</xdr:rowOff>
    </xdr:to>
    <xdr:pic>
      <xdr:nvPicPr>
        <xdr:cNvPr id="6696" name="Изображение 6695" descr="resizeПП-00271306"/>
        <xdr:cNvPicPr>
          <a:picLocks noChangeAspect="1"/>
        </xdr:cNvPicPr>
      </xdr:nvPicPr>
      <xdr:blipFill>
        <a:blip xmlns:r="http://schemas.openxmlformats.org/officeDocument/2006/relationships" r:embed="rId1452"/>
        <a:stretch>
          <a:fillRect/>
        </a:stretch>
      </xdr:blipFill>
      <xdr:spPr>
        <a:xfrm>
          <a:off x="7235825" y="1889531400"/>
          <a:ext cx="878840" cy="1183640"/>
        </a:xfrm>
        <a:prstGeom prst="rect">
          <a:avLst/>
        </a:prstGeom>
      </xdr:spPr>
    </xdr:pic>
    <xdr:clientData/>
  </xdr:twoCellAnchor>
  <xdr:twoCellAnchor>
    <xdr:from>
      <xdr:col>9</xdr:col>
      <xdr:colOff>6350</xdr:colOff>
      <xdr:row>1945</xdr:row>
      <xdr:rowOff>25400</xdr:rowOff>
    </xdr:from>
    <xdr:to>
      <xdr:col>9</xdr:col>
      <xdr:colOff>885190</xdr:colOff>
      <xdr:row>1945</xdr:row>
      <xdr:rowOff>1209040</xdr:rowOff>
    </xdr:to>
    <xdr:pic>
      <xdr:nvPicPr>
        <xdr:cNvPr id="6697" name="Изображение 6696" descr="resizeПП-00271308"/>
        <xdr:cNvPicPr>
          <a:picLocks noChangeAspect="1"/>
        </xdr:cNvPicPr>
      </xdr:nvPicPr>
      <xdr:blipFill>
        <a:blip xmlns:r="http://schemas.openxmlformats.org/officeDocument/2006/relationships" r:embed="rId1453"/>
        <a:stretch>
          <a:fillRect/>
        </a:stretch>
      </xdr:blipFill>
      <xdr:spPr>
        <a:xfrm>
          <a:off x="7235825" y="1890753775"/>
          <a:ext cx="878840" cy="1183640"/>
        </a:xfrm>
        <a:prstGeom prst="rect">
          <a:avLst/>
        </a:prstGeom>
      </xdr:spPr>
    </xdr:pic>
    <xdr:clientData/>
  </xdr:twoCellAnchor>
  <xdr:twoCellAnchor>
    <xdr:from>
      <xdr:col>9</xdr:col>
      <xdr:colOff>6350</xdr:colOff>
      <xdr:row>1949</xdr:row>
      <xdr:rowOff>25400</xdr:rowOff>
    </xdr:from>
    <xdr:to>
      <xdr:col>9</xdr:col>
      <xdr:colOff>885190</xdr:colOff>
      <xdr:row>1949</xdr:row>
      <xdr:rowOff>1209040</xdr:rowOff>
    </xdr:to>
    <xdr:pic>
      <xdr:nvPicPr>
        <xdr:cNvPr id="6698" name="Изображение 6697" descr="resizeПП-00271329"/>
        <xdr:cNvPicPr>
          <a:picLocks noChangeAspect="1"/>
        </xdr:cNvPicPr>
      </xdr:nvPicPr>
      <xdr:blipFill>
        <a:blip xmlns:r="http://schemas.openxmlformats.org/officeDocument/2006/relationships" r:embed="rId1454"/>
        <a:stretch>
          <a:fillRect/>
        </a:stretch>
      </xdr:blipFill>
      <xdr:spPr>
        <a:xfrm>
          <a:off x="7235825" y="1892433350"/>
          <a:ext cx="878840" cy="1183640"/>
        </a:xfrm>
        <a:prstGeom prst="rect">
          <a:avLst/>
        </a:prstGeom>
      </xdr:spPr>
    </xdr:pic>
    <xdr:clientData/>
  </xdr:twoCellAnchor>
  <xdr:twoCellAnchor>
    <xdr:from>
      <xdr:col>9</xdr:col>
      <xdr:colOff>6350</xdr:colOff>
      <xdr:row>1950</xdr:row>
      <xdr:rowOff>25400</xdr:rowOff>
    </xdr:from>
    <xdr:to>
      <xdr:col>9</xdr:col>
      <xdr:colOff>885190</xdr:colOff>
      <xdr:row>1950</xdr:row>
      <xdr:rowOff>1209040</xdr:rowOff>
    </xdr:to>
    <xdr:pic>
      <xdr:nvPicPr>
        <xdr:cNvPr id="6699" name="Изображение 6698" descr="resizeПП-00271331"/>
        <xdr:cNvPicPr>
          <a:picLocks noChangeAspect="1"/>
        </xdr:cNvPicPr>
      </xdr:nvPicPr>
      <xdr:blipFill>
        <a:blip xmlns:r="http://schemas.openxmlformats.org/officeDocument/2006/relationships" r:embed="rId1455"/>
        <a:stretch>
          <a:fillRect/>
        </a:stretch>
      </xdr:blipFill>
      <xdr:spPr>
        <a:xfrm>
          <a:off x="7235825" y="1893655725"/>
          <a:ext cx="878840" cy="1183640"/>
        </a:xfrm>
        <a:prstGeom prst="rect">
          <a:avLst/>
        </a:prstGeom>
      </xdr:spPr>
    </xdr:pic>
    <xdr:clientData/>
  </xdr:twoCellAnchor>
  <xdr:twoCellAnchor>
    <xdr:from>
      <xdr:col>9</xdr:col>
      <xdr:colOff>6350</xdr:colOff>
      <xdr:row>1951</xdr:row>
      <xdr:rowOff>25400</xdr:rowOff>
    </xdr:from>
    <xdr:to>
      <xdr:col>9</xdr:col>
      <xdr:colOff>885190</xdr:colOff>
      <xdr:row>1951</xdr:row>
      <xdr:rowOff>1209040</xdr:rowOff>
    </xdr:to>
    <xdr:pic>
      <xdr:nvPicPr>
        <xdr:cNvPr id="6700" name="Изображение 6699" descr="resizeПП-00271333"/>
        <xdr:cNvPicPr>
          <a:picLocks noChangeAspect="1"/>
        </xdr:cNvPicPr>
      </xdr:nvPicPr>
      <xdr:blipFill>
        <a:blip xmlns:r="http://schemas.openxmlformats.org/officeDocument/2006/relationships" r:embed="rId1456"/>
        <a:stretch>
          <a:fillRect/>
        </a:stretch>
      </xdr:blipFill>
      <xdr:spPr>
        <a:xfrm>
          <a:off x="7235825" y="1894878100"/>
          <a:ext cx="878840" cy="1183640"/>
        </a:xfrm>
        <a:prstGeom prst="rect">
          <a:avLst/>
        </a:prstGeom>
      </xdr:spPr>
    </xdr:pic>
    <xdr:clientData/>
  </xdr:twoCellAnchor>
  <xdr:twoCellAnchor>
    <xdr:from>
      <xdr:col>9</xdr:col>
      <xdr:colOff>6350</xdr:colOff>
      <xdr:row>1952</xdr:row>
      <xdr:rowOff>25400</xdr:rowOff>
    </xdr:from>
    <xdr:to>
      <xdr:col>9</xdr:col>
      <xdr:colOff>885190</xdr:colOff>
      <xdr:row>1952</xdr:row>
      <xdr:rowOff>1209040</xdr:rowOff>
    </xdr:to>
    <xdr:pic>
      <xdr:nvPicPr>
        <xdr:cNvPr id="6701" name="Изображение 6700" descr="resizeПП-00271332"/>
        <xdr:cNvPicPr>
          <a:picLocks noChangeAspect="1"/>
        </xdr:cNvPicPr>
      </xdr:nvPicPr>
      <xdr:blipFill>
        <a:blip xmlns:r="http://schemas.openxmlformats.org/officeDocument/2006/relationships" r:embed="rId1457"/>
        <a:stretch>
          <a:fillRect/>
        </a:stretch>
      </xdr:blipFill>
      <xdr:spPr>
        <a:xfrm>
          <a:off x="7235825" y="1896100475"/>
          <a:ext cx="878840" cy="1183640"/>
        </a:xfrm>
        <a:prstGeom prst="rect">
          <a:avLst/>
        </a:prstGeom>
      </xdr:spPr>
    </xdr:pic>
    <xdr:clientData/>
  </xdr:twoCellAnchor>
  <xdr:twoCellAnchor>
    <xdr:from>
      <xdr:col>9</xdr:col>
      <xdr:colOff>6350</xdr:colOff>
      <xdr:row>1954</xdr:row>
      <xdr:rowOff>25400</xdr:rowOff>
    </xdr:from>
    <xdr:to>
      <xdr:col>9</xdr:col>
      <xdr:colOff>885190</xdr:colOff>
      <xdr:row>1954</xdr:row>
      <xdr:rowOff>1209040</xdr:rowOff>
    </xdr:to>
    <xdr:pic>
      <xdr:nvPicPr>
        <xdr:cNvPr id="6702" name="Изображение 6701" descr="resizeПП-00271317"/>
        <xdr:cNvPicPr>
          <a:picLocks noChangeAspect="1"/>
        </xdr:cNvPicPr>
      </xdr:nvPicPr>
      <xdr:blipFill>
        <a:blip xmlns:r="http://schemas.openxmlformats.org/officeDocument/2006/relationships" r:embed="rId1458"/>
        <a:stretch>
          <a:fillRect/>
        </a:stretch>
      </xdr:blipFill>
      <xdr:spPr>
        <a:xfrm>
          <a:off x="7235825" y="1897475250"/>
          <a:ext cx="878840" cy="1183640"/>
        </a:xfrm>
        <a:prstGeom prst="rect">
          <a:avLst/>
        </a:prstGeom>
      </xdr:spPr>
    </xdr:pic>
    <xdr:clientData/>
  </xdr:twoCellAnchor>
  <xdr:twoCellAnchor>
    <xdr:from>
      <xdr:col>9</xdr:col>
      <xdr:colOff>6350</xdr:colOff>
      <xdr:row>1955</xdr:row>
      <xdr:rowOff>25400</xdr:rowOff>
    </xdr:from>
    <xdr:to>
      <xdr:col>9</xdr:col>
      <xdr:colOff>885190</xdr:colOff>
      <xdr:row>1955</xdr:row>
      <xdr:rowOff>1209040</xdr:rowOff>
    </xdr:to>
    <xdr:pic>
      <xdr:nvPicPr>
        <xdr:cNvPr id="6703" name="Изображение 6702" descr="resizeПП-00271313"/>
        <xdr:cNvPicPr>
          <a:picLocks noChangeAspect="1"/>
        </xdr:cNvPicPr>
      </xdr:nvPicPr>
      <xdr:blipFill>
        <a:blip xmlns:r="http://schemas.openxmlformats.org/officeDocument/2006/relationships" r:embed="rId1459"/>
        <a:stretch>
          <a:fillRect/>
        </a:stretch>
      </xdr:blipFill>
      <xdr:spPr>
        <a:xfrm>
          <a:off x="7235825" y="1898697625"/>
          <a:ext cx="878840" cy="1183640"/>
        </a:xfrm>
        <a:prstGeom prst="rect">
          <a:avLst/>
        </a:prstGeom>
      </xdr:spPr>
    </xdr:pic>
    <xdr:clientData/>
  </xdr:twoCellAnchor>
  <xdr:twoCellAnchor>
    <xdr:from>
      <xdr:col>9</xdr:col>
      <xdr:colOff>6350</xdr:colOff>
      <xdr:row>1956</xdr:row>
      <xdr:rowOff>25400</xdr:rowOff>
    </xdr:from>
    <xdr:to>
      <xdr:col>9</xdr:col>
      <xdr:colOff>885190</xdr:colOff>
      <xdr:row>1956</xdr:row>
      <xdr:rowOff>1209040</xdr:rowOff>
    </xdr:to>
    <xdr:pic>
      <xdr:nvPicPr>
        <xdr:cNvPr id="6704" name="Изображение 6703" descr="resizeПП-00271311"/>
        <xdr:cNvPicPr>
          <a:picLocks noChangeAspect="1"/>
        </xdr:cNvPicPr>
      </xdr:nvPicPr>
      <xdr:blipFill>
        <a:blip xmlns:r="http://schemas.openxmlformats.org/officeDocument/2006/relationships" r:embed="rId1460"/>
        <a:stretch>
          <a:fillRect/>
        </a:stretch>
      </xdr:blipFill>
      <xdr:spPr>
        <a:xfrm>
          <a:off x="7235825" y="1899920000"/>
          <a:ext cx="878840" cy="1183640"/>
        </a:xfrm>
        <a:prstGeom prst="rect">
          <a:avLst/>
        </a:prstGeom>
      </xdr:spPr>
    </xdr:pic>
    <xdr:clientData/>
  </xdr:twoCellAnchor>
  <xdr:twoCellAnchor>
    <xdr:from>
      <xdr:col>9</xdr:col>
      <xdr:colOff>6350</xdr:colOff>
      <xdr:row>1957</xdr:row>
      <xdr:rowOff>25400</xdr:rowOff>
    </xdr:from>
    <xdr:to>
      <xdr:col>9</xdr:col>
      <xdr:colOff>885190</xdr:colOff>
      <xdr:row>1957</xdr:row>
      <xdr:rowOff>1209040</xdr:rowOff>
    </xdr:to>
    <xdr:pic>
      <xdr:nvPicPr>
        <xdr:cNvPr id="6705" name="Изображение 6704" descr="resizeПП-00271312"/>
        <xdr:cNvPicPr>
          <a:picLocks noChangeAspect="1"/>
        </xdr:cNvPicPr>
      </xdr:nvPicPr>
      <xdr:blipFill>
        <a:blip xmlns:r="http://schemas.openxmlformats.org/officeDocument/2006/relationships" r:embed="rId1461"/>
        <a:stretch>
          <a:fillRect/>
        </a:stretch>
      </xdr:blipFill>
      <xdr:spPr>
        <a:xfrm>
          <a:off x="7235825" y="1901142375"/>
          <a:ext cx="878840" cy="1183640"/>
        </a:xfrm>
        <a:prstGeom prst="rect">
          <a:avLst/>
        </a:prstGeom>
      </xdr:spPr>
    </xdr:pic>
    <xdr:clientData/>
  </xdr:twoCellAnchor>
  <xdr:twoCellAnchor>
    <xdr:from>
      <xdr:col>9</xdr:col>
      <xdr:colOff>6350</xdr:colOff>
      <xdr:row>1958</xdr:row>
      <xdr:rowOff>25400</xdr:rowOff>
    </xdr:from>
    <xdr:to>
      <xdr:col>9</xdr:col>
      <xdr:colOff>885190</xdr:colOff>
      <xdr:row>1958</xdr:row>
      <xdr:rowOff>1209040</xdr:rowOff>
    </xdr:to>
    <xdr:pic>
      <xdr:nvPicPr>
        <xdr:cNvPr id="6706" name="Изображение 6705" descr="resizeПП-00247450"/>
        <xdr:cNvPicPr>
          <a:picLocks noChangeAspect="1"/>
        </xdr:cNvPicPr>
      </xdr:nvPicPr>
      <xdr:blipFill>
        <a:blip xmlns:r="http://schemas.openxmlformats.org/officeDocument/2006/relationships" r:embed="rId1462"/>
        <a:stretch>
          <a:fillRect/>
        </a:stretch>
      </xdr:blipFill>
      <xdr:spPr>
        <a:xfrm>
          <a:off x="7235825" y="1902364750"/>
          <a:ext cx="878840" cy="1183640"/>
        </a:xfrm>
        <a:prstGeom prst="rect">
          <a:avLst/>
        </a:prstGeom>
      </xdr:spPr>
    </xdr:pic>
    <xdr:clientData/>
  </xdr:twoCellAnchor>
  <xdr:twoCellAnchor>
    <xdr:from>
      <xdr:col>9</xdr:col>
      <xdr:colOff>6350</xdr:colOff>
      <xdr:row>1959</xdr:row>
      <xdr:rowOff>25400</xdr:rowOff>
    </xdr:from>
    <xdr:to>
      <xdr:col>9</xdr:col>
      <xdr:colOff>885190</xdr:colOff>
      <xdr:row>1959</xdr:row>
      <xdr:rowOff>1209040</xdr:rowOff>
    </xdr:to>
    <xdr:pic>
      <xdr:nvPicPr>
        <xdr:cNvPr id="6707" name="Изображение 6706" descr="resizeПП-00271321"/>
        <xdr:cNvPicPr>
          <a:picLocks noChangeAspect="1"/>
        </xdr:cNvPicPr>
      </xdr:nvPicPr>
      <xdr:blipFill>
        <a:blip xmlns:r="http://schemas.openxmlformats.org/officeDocument/2006/relationships" r:embed="rId1463"/>
        <a:stretch>
          <a:fillRect/>
        </a:stretch>
      </xdr:blipFill>
      <xdr:spPr>
        <a:xfrm>
          <a:off x="7235825" y="1903587125"/>
          <a:ext cx="878840" cy="1183640"/>
        </a:xfrm>
        <a:prstGeom prst="rect">
          <a:avLst/>
        </a:prstGeom>
      </xdr:spPr>
    </xdr:pic>
    <xdr:clientData/>
  </xdr:twoCellAnchor>
  <xdr:twoCellAnchor>
    <xdr:from>
      <xdr:col>9</xdr:col>
      <xdr:colOff>6350</xdr:colOff>
      <xdr:row>1960</xdr:row>
      <xdr:rowOff>25400</xdr:rowOff>
    </xdr:from>
    <xdr:to>
      <xdr:col>9</xdr:col>
      <xdr:colOff>885190</xdr:colOff>
      <xdr:row>1960</xdr:row>
      <xdr:rowOff>1209040</xdr:rowOff>
    </xdr:to>
    <xdr:pic>
      <xdr:nvPicPr>
        <xdr:cNvPr id="6708" name="Изображение 6707" descr="resizeПП-00247449"/>
        <xdr:cNvPicPr>
          <a:picLocks noChangeAspect="1"/>
        </xdr:cNvPicPr>
      </xdr:nvPicPr>
      <xdr:blipFill>
        <a:blip xmlns:r="http://schemas.openxmlformats.org/officeDocument/2006/relationships" r:embed="rId1464"/>
        <a:stretch>
          <a:fillRect/>
        </a:stretch>
      </xdr:blipFill>
      <xdr:spPr>
        <a:xfrm>
          <a:off x="7235825" y="1904809500"/>
          <a:ext cx="878840" cy="1183640"/>
        </a:xfrm>
        <a:prstGeom prst="rect">
          <a:avLst/>
        </a:prstGeom>
      </xdr:spPr>
    </xdr:pic>
    <xdr:clientData/>
  </xdr:twoCellAnchor>
  <xdr:twoCellAnchor>
    <xdr:from>
      <xdr:col>9</xdr:col>
      <xdr:colOff>6350</xdr:colOff>
      <xdr:row>1961</xdr:row>
      <xdr:rowOff>25400</xdr:rowOff>
    </xdr:from>
    <xdr:to>
      <xdr:col>9</xdr:col>
      <xdr:colOff>885190</xdr:colOff>
      <xdr:row>1961</xdr:row>
      <xdr:rowOff>1209040</xdr:rowOff>
    </xdr:to>
    <xdr:pic>
      <xdr:nvPicPr>
        <xdr:cNvPr id="6709" name="Изображение 6708" descr="resizeПП-00271316"/>
        <xdr:cNvPicPr>
          <a:picLocks noChangeAspect="1"/>
        </xdr:cNvPicPr>
      </xdr:nvPicPr>
      <xdr:blipFill>
        <a:blip xmlns:r="http://schemas.openxmlformats.org/officeDocument/2006/relationships" r:embed="rId1465"/>
        <a:stretch>
          <a:fillRect/>
        </a:stretch>
      </xdr:blipFill>
      <xdr:spPr>
        <a:xfrm>
          <a:off x="7235825" y="1906031875"/>
          <a:ext cx="878840" cy="1183640"/>
        </a:xfrm>
        <a:prstGeom prst="rect">
          <a:avLst/>
        </a:prstGeom>
      </xdr:spPr>
    </xdr:pic>
    <xdr:clientData/>
  </xdr:twoCellAnchor>
  <xdr:twoCellAnchor>
    <xdr:from>
      <xdr:col>9</xdr:col>
      <xdr:colOff>6350</xdr:colOff>
      <xdr:row>1962</xdr:row>
      <xdr:rowOff>25400</xdr:rowOff>
    </xdr:from>
    <xdr:to>
      <xdr:col>9</xdr:col>
      <xdr:colOff>885190</xdr:colOff>
      <xdr:row>1962</xdr:row>
      <xdr:rowOff>1209040</xdr:rowOff>
    </xdr:to>
    <xdr:pic>
      <xdr:nvPicPr>
        <xdr:cNvPr id="6710" name="Изображение 6709" descr="resizeПП-00271314"/>
        <xdr:cNvPicPr>
          <a:picLocks noChangeAspect="1"/>
        </xdr:cNvPicPr>
      </xdr:nvPicPr>
      <xdr:blipFill>
        <a:blip xmlns:r="http://schemas.openxmlformats.org/officeDocument/2006/relationships" r:embed="rId1466"/>
        <a:stretch>
          <a:fillRect/>
        </a:stretch>
      </xdr:blipFill>
      <xdr:spPr>
        <a:xfrm>
          <a:off x="7235825" y="1907254250"/>
          <a:ext cx="878840" cy="1183640"/>
        </a:xfrm>
        <a:prstGeom prst="rect">
          <a:avLst/>
        </a:prstGeom>
      </xdr:spPr>
    </xdr:pic>
    <xdr:clientData/>
  </xdr:twoCellAnchor>
  <xdr:twoCellAnchor>
    <xdr:from>
      <xdr:col>9</xdr:col>
      <xdr:colOff>6350</xdr:colOff>
      <xdr:row>1963</xdr:row>
      <xdr:rowOff>25400</xdr:rowOff>
    </xdr:from>
    <xdr:to>
      <xdr:col>9</xdr:col>
      <xdr:colOff>885190</xdr:colOff>
      <xdr:row>1963</xdr:row>
      <xdr:rowOff>1209040</xdr:rowOff>
    </xdr:to>
    <xdr:pic>
      <xdr:nvPicPr>
        <xdr:cNvPr id="6711" name="Изображение 6710" descr="resizeПП-00271315"/>
        <xdr:cNvPicPr>
          <a:picLocks noChangeAspect="1"/>
        </xdr:cNvPicPr>
      </xdr:nvPicPr>
      <xdr:blipFill>
        <a:blip xmlns:r="http://schemas.openxmlformats.org/officeDocument/2006/relationships" r:embed="rId1467"/>
        <a:stretch>
          <a:fillRect/>
        </a:stretch>
      </xdr:blipFill>
      <xdr:spPr>
        <a:xfrm>
          <a:off x="7235825" y="1908476625"/>
          <a:ext cx="878840" cy="1183640"/>
        </a:xfrm>
        <a:prstGeom prst="rect">
          <a:avLst/>
        </a:prstGeom>
      </xdr:spPr>
    </xdr:pic>
    <xdr:clientData/>
  </xdr:twoCellAnchor>
  <xdr:twoCellAnchor>
    <xdr:from>
      <xdr:col>9</xdr:col>
      <xdr:colOff>6350</xdr:colOff>
      <xdr:row>1964</xdr:row>
      <xdr:rowOff>25400</xdr:rowOff>
    </xdr:from>
    <xdr:to>
      <xdr:col>9</xdr:col>
      <xdr:colOff>885190</xdr:colOff>
      <xdr:row>1964</xdr:row>
      <xdr:rowOff>1209040</xdr:rowOff>
    </xdr:to>
    <xdr:pic>
      <xdr:nvPicPr>
        <xdr:cNvPr id="6712" name="Изображение 6711" descr="resizeПП-00247460"/>
        <xdr:cNvPicPr>
          <a:picLocks noChangeAspect="1"/>
        </xdr:cNvPicPr>
      </xdr:nvPicPr>
      <xdr:blipFill>
        <a:blip xmlns:r="http://schemas.openxmlformats.org/officeDocument/2006/relationships" r:embed="rId1468"/>
        <a:stretch>
          <a:fillRect/>
        </a:stretch>
      </xdr:blipFill>
      <xdr:spPr>
        <a:xfrm>
          <a:off x="7235825" y="1909699000"/>
          <a:ext cx="878840" cy="1183640"/>
        </a:xfrm>
        <a:prstGeom prst="rect">
          <a:avLst/>
        </a:prstGeom>
      </xdr:spPr>
    </xdr:pic>
    <xdr:clientData/>
  </xdr:twoCellAnchor>
  <xdr:twoCellAnchor>
    <xdr:from>
      <xdr:col>9</xdr:col>
      <xdr:colOff>6350</xdr:colOff>
      <xdr:row>1965</xdr:row>
      <xdr:rowOff>25400</xdr:rowOff>
    </xdr:from>
    <xdr:to>
      <xdr:col>9</xdr:col>
      <xdr:colOff>885190</xdr:colOff>
      <xdr:row>1965</xdr:row>
      <xdr:rowOff>1209040</xdr:rowOff>
    </xdr:to>
    <xdr:pic>
      <xdr:nvPicPr>
        <xdr:cNvPr id="6713" name="Изображение 6712" descr="resizeПП-00247458"/>
        <xdr:cNvPicPr>
          <a:picLocks noChangeAspect="1"/>
        </xdr:cNvPicPr>
      </xdr:nvPicPr>
      <xdr:blipFill>
        <a:blip xmlns:r="http://schemas.openxmlformats.org/officeDocument/2006/relationships" r:embed="rId1469"/>
        <a:stretch>
          <a:fillRect/>
        </a:stretch>
      </xdr:blipFill>
      <xdr:spPr>
        <a:xfrm>
          <a:off x="7235825" y="1910921375"/>
          <a:ext cx="878840" cy="1183640"/>
        </a:xfrm>
        <a:prstGeom prst="rect">
          <a:avLst/>
        </a:prstGeom>
      </xdr:spPr>
    </xdr:pic>
    <xdr:clientData/>
  </xdr:twoCellAnchor>
  <xdr:twoCellAnchor>
    <xdr:from>
      <xdr:col>9</xdr:col>
      <xdr:colOff>6350</xdr:colOff>
      <xdr:row>1966</xdr:row>
      <xdr:rowOff>25400</xdr:rowOff>
    </xdr:from>
    <xdr:to>
      <xdr:col>9</xdr:col>
      <xdr:colOff>885190</xdr:colOff>
      <xdr:row>1966</xdr:row>
      <xdr:rowOff>1209040</xdr:rowOff>
    </xdr:to>
    <xdr:pic>
      <xdr:nvPicPr>
        <xdr:cNvPr id="6714" name="Изображение 6713" descr="resizeПП-00247453"/>
        <xdr:cNvPicPr>
          <a:picLocks noChangeAspect="1"/>
        </xdr:cNvPicPr>
      </xdr:nvPicPr>
      <xdr:blipFill>
        <a:blip xmlns:r="http://schemas.openxmlformats.org/officeDocument/2006/relationships" r:embed="rId1470"/>
        <a:stretch>
          <a:fillRect/>
        </a:stretch>
      </xdr:blipFill>
      <xdr:spPr>
        <a:xfrm>
          <a:off x="7235825" y="1912143750"/>
          <a:ext cx="878840" cy="1183640"/>
        </a:xfrm>
        <a:prstGeom prst="rect">
          <a:avLst/>
        </a:prstGeom>
      </xdr:spPr>
    </xdr:pic>
    <xdr:clientData/>
  </xdr:twoCellAnchor>
  <xdr:twoCellAnchor>
    <xdr:from>
      <xdr:col>9</xdr:col>
      <xdr:colOff>6350</xdr:colOff>
      <xdr:row>1967</xdr:row>
      <xdr:rowOff>25400</xdr:rowOff>
    </xdr:from>
    <xdr:to>
      <xdr:col>9</xdr:col>
      <xdr:colOff>885190</xdr:colOff>
      <xdr:row>1967</xdr:row>
      <xdr:rowOff>1209040</xdr:rowOff>
    </xdr:to>
    <xdr:pic>
      <xdr:nvPicPr>
        <xdr:cNvPr id="6715" name="Изображение 6714" descr="resizeПП-00247452"/>
        <xdr:cNvPicPr>
          <a:picLocks noChangeAspect="1"/>
        </xdr:cNvPicPr>
      </xdr:nvPicPr>
      <xdr:blipFill>
        <a:blip xmlns:r="http://schemas.openxmlformats.org/officeDocument/2006/relationships" r:embed="rId1471"/>
        <a:stretch>
          <a:fillRect/>
        </a:stretch>
      </xdr:blipFill>
      <xdr:spPr>
        <a:xfrm>
          <a:off x="7235825" y="1913366125"/>
          <a:ext cx="878840" cy="1183640"/>
        </a:xfrm>
        <a:prstGeom prst="rect">
          <a:avLst/>
        </a:prstGeom>
      </xdr:spPr>
    </xdr:pic>
    <xdr:clientData/>
  </xdr:twoCellAnchor>
  <xdr:twoCellAnchor>
    <xdr:from>
      <xdr:col>9</xdr:col>
      <xdr:colOff>6350</xdr:colOff>
      <xdr:row>1968</xdr:row>
      <xdr:rowOff>25400</xdr:rowOff>
    </xdr:from>
    <xdr:to>
      <xdr:col>9</xdr:col>
      <xdr:colOff>885190</xdr:colOff>
      <xdr:row>1968</xdr:row>
      <xdr:rowOff>1209040</xdr:rowOff>
    </xdr:to>
    <xdr:pic>
      <xdr:nvPicPr>
        <xdr:cNvPr id="6716" name="Изображение 6715" descr="resizeПП-00247456"/>
        <xdr:cNvPicPr>
          <a:picLocks noChangeAspect="1"/>
        </xdr:cNvPicPr>
      </xdr:nvPicPr>
      <xdr:blipFill>
        <a:blip xmlns:r="http://schemas.openxmlformats.org/officeDocument/2006/relationships" r:embed="rId1472"/>
        <a:stretch>
          <a:fillRect/>
        </a:stretch>
      </xdr:blipFill>
      <xdr:spPr>
        <a:xfrm>
          <a:off x="7235825" y="1914588500"/>
          <a:ext cx="878840" cy="1183640"/>
        </a:xfrm>
        <a:prstGeom prst="rect">
          <a:avLst/>
        </a:prstGeom>
      </xdr:spPr>
    </xdr:pic>
    <xdr:clientData/>
  </xdr:twoCellAnchor>
  <xdr:twoCellAnchor>
    <xdr:from>
      <xdr:col>9</xdr:col>
      <xdr:colOff>6350</xdr:colOff>
      <xdr:row>1969</xdr:row>
      <xdr:rowOff>25400</xdr:rowOff>
    </xdr:from>
    <xdr:to>
      <xdr:col>9</xdr:col>
      <xdr:colOff>885190</xdr:colOff>
      <xdr:row>1969</xdr:row>
      <xdr:rowOff>1209040</xdr:rowOff>
    </xdr:to>
    <xdr:pic>
      <xdr:nvPicPr>
        <xdr:cNvPr id="6717" name="Изображение 6716" descr="resizeПП-00247457"/>
        <xdr:cNvPicPr>
          <a:picLocks noChangeAspect="1"/>
        </xdr:cNvPicPr>
      </xdr:nvPicPr>
      <xdr:blipFill>
        <a:blip xmlns:r="http://schemas.openxmlformats.org/officeDocument/2006/relationships" r:embed="rId1473"/>
        <a:stretch>
          <a:fillRect/>
        </a:stretch>
      </xdr:blipFill>
      <xdr:spPr>
        <a:xfrm>
          <a:off x="7235825" y="1915810875"/>
          <a:ext cx="878840" cy="1183640"/>
        </a:xfrm>
        <a:prstGeom prst="rect">
          <a:avLst/>
        </a:prstGeom>
      </xdr:spPr>
    </xdr:pic>
    <xdr:clientData/>
  </xdr:twoCellAnchor>
  <xdr:twoCellAnchor>
    <xdr:from>
      <xdr:col>9</xdr:col>
      <xdr:colOff>6350</xdr:colOff>
      <xdr:row>1970</xdr:row>
      <xdr:rowOff>25400</xdr:rowOff>
    </xdr:from>
    <xdr:to>
      <xdr:col>9</xdr:col>
      <xdr:colOff>885190</xdr:colOff>
      <xdr:row>1970</xdr:row>
      <xdr:rowOff>1209040</xdr:rowOff>
    </xdr:to>
    <xdr:pic>
      <xdr:nvPicPr>
        <xdr:cNvPr id="6718" name="Изображение 6717" descr="resizeПП-00247454"/>
        <xdr:cNvPicPr>
          <a:picLocks noChangeAspect="1"/>
        </xdr:cNvPicPr>
      </xdr:nvPicPr>
      <xdr:blipFill>
        <a:blip xmlns:r="http://schemas.openxmlformats.org/officeDocument/2006/relationships" r:embed="rId1474"/>
        <a:stretch>
          <a:fillRect/>
        </a:stretch>
      </xdr:blipFill>
      <xdr:spPr>
        <a:xfrm>
          <a:off x="7235825" y="1917033250"/>
          <a:ext cx="878840" cy="1183640"/>
        </a:xfrm>
        <a:prstGeom prst="rect">
          <a:avLst/>
        </a:prstGeom>
      </xdr:spPr>
    </xdr:pic>
    <xdr:clientData/>
  </xdr:twoCellAnchor>
  <xdr:twoCellAnchor>
    <xdr:from>
      <xdr:col>9</xdr:col>
      <xdr:colOff>6350</xdr:colOff>
      <xdr:row>1971</xdr:row>
      <xdr:rowOff>25400</xdr:rowOff>
    </xdr:from>
    <xdr:to>
      <xdr:col>9</xdr:col>
      <xdr:colOff>885190</xdr:colOff>
      <xdr:row>1971</xdr:row>
      <xdr:rowOff>1209040</xdr:rowOff>
    </xdr:to>
    <xdr:pic>
      <xdr:nvPicPr>
        <xdr:cNvPr id="6719" name="Изображение 6718" descr="resizeПП-00247455"/>
        <xdr:cNvPicPr>
          <a:picLocks noChangeAspect="1"/>
        </xdr:cNvPicPr>
      </xdr:nvPicPr>
      <xdr:blipFill>
        <a:blip xmlns:r="http://schemas.openxmlformats.org/officeDocument/2006/relationships" r:embed="rId1475"/>
        <a:stretch>
          <a:fillRect/>
        </a:stretch>
      </xdr:blipFill>
      <xdr:spPr>
        <a:xfrm>
          <a:off x="7235825" y="1918255625"/>
          <a:ext cx="878840" cy="1183640"/>
        </a:xfrm>
        <a:prstGeom prst="rect">
          <a:avLst/>
        </a:prstGeom>
      </xdr:spPr>
    </xdr:pic>
    <xdr:clientData/>
  </xdr:twoCellAnchor>
  <xdr:twoCellAnchor>
    <xdr:from>
      <xdr:col>9</xdr:col>
      <xdr:colOff>6350</xdr:colOff>
      <xdr:row>1972</xdr:row>
      <xdr:rowOff>25400</xdr:rowOff>
    </xdr:from>
    <xdr:to>
      <xdr:col>9</xdr:col>
      <xdr:colOff>885190</xdr:colOff>
      <xdr:row>1972</xdr:row>
      <xdr:rowOff>1209040</xdr:rowOff>
    </xdr:to>
    <xdr:pic>
      <xdr:nvPicPr>
        <xdr:cNvPr id="6720" name="Изображение 6719" descr="resizeПП-00271319"/>
        <xdr:cNvPicPr>
          <a:picLocks noChangeAspect="1"/>
        </xdr:cNvPicPr>
      </xdr:nvPicPr>
      <xdr:blipFill>
        <a:blip xmlns:r="http://schemas.openxmlformats.org/officeDocument/2006/relationships" r:embed="rId1476"/>
        <a:stretch>
          <a:fillRect/>
        </a:stretch>
      </xdr:blipFill>
      <xdr:spPr>
        <a:xfrm>
          <a:off x="7235825" y="1919478000"/>
          <a:ext cx="878840" cy="1183640"/>
        </a:xfrm>
        <a:prstGeom prst="rect">
          <a:avLst/>
        </a:prstGeom>
      </xdr:spPr>
    </xdr:pic>
    <xdr:clientData/>
  </xdr:twoCellAnchor>
  <xdr:twoCellAnchor>
    <xdr:from>
      <xdr:col>9</xdr:col>
      <xdr:colOff>6350</xdr:colOff>
      <xdr:row>1973</xdr:row>
      <xdr:rowOff>25400</xdr:rowOff>
    </xdr:from>
    <xdr:to>
      <xdr:col>9</xdr:col>
      <xdr:colOff>885190</xdr:colOff>
      <xdr:row>1973</xdr:row>
      <xdr:rowOff>1209040</xdr:rowOff>
    </xdr:to>
    <xdr:pic>
      <xdr:nvPicPr>
        <xdr:cNvPr id="6721" name="Изображение 6720" descr="resizeПП-00271318"/>
        <xdr:cNvPicPr>
          <a:picLocks noChangeAspect="1"/>
        </xdr:cNvPicPr>
      </xdr:nvPicPr>
      <xdr:blipFill>
        <a:blip xmlns:r="http://schemas.openxmlformats.org/officeDocument/2006/relationships" r:embed="rId1477"/>
        <a:stretch>
          <a:fillRect/>
        </a:stretch>
      </xdr:blipFill>
      <xdr:spPr>
        <a:xfrm>
          <a:off x="7235825" y="1920700375"/>
          <a:ext cx="878840" cy="1183640"/>
        </a:xfrm>
        <a:prstGeom prst="rect">
          <a:avLst/>
        </a:prstGeom>
      </xdr:spPr>
    </xdr:pic>
    <xdr:clientData/>
  </xdr:twoCellAnchor>
  <xdr:twoCellAnchor>
    <xdr:from>
      <xdr:col>9</xdr:col>
      <xdr:colOff>6350</xdr:colOff>
      <xdr:row>1975</xdr:row>
      <xdr:rowOff>25400</xdr:rowOff>
    </xdr:from>
    <xdr:to>
      <xdr:col>9</xdr:col>
      <xdr:colOff>885190</xdr:colOff>
      <xdr:row>1975</xdr:row>
      <xdr:rowOff>1209040</xdr:rowOff>
    </xdr:to>
    <xdr:pic>
      <xdr:nvPicPr>
        <xdr:cNvPr id="6722" name="Изображение 6721" descr="resizeПП-00271323"/>
        <xdr:cNvPicPr>
          <a:picLocks noChangeAspect="1"/>
        </xdr:cNvPicPr>
      </xdr:nvPicPr>
      <xdr:blipFill>
        <a:blip xmlns:r="http://schemas.openxmlformats.org/officeDocument/2006/relationships" r:embed="rId1478"/>
        <a:stretch>
          <a:fillRect/>
        </a:stretch>
      </xdr:blipFill>
      <xdr:spPr>
        <a:xfrm>
          <a:off x="7235825" y="1922075150"/>
          <a:ext cx="878840" cy="1183640"/>
        </a:xfrm>
        <a:prstGeom prst="rect">
          <a:avLst/>
        </a:prstGeom>
      </xdr:spPr>
    </xdr:pic>
    <xdr:clientData/>
  </xdr:twoCellAnchor>
  <xdr:twoCellAnchor>
    <xdr:from>
      <xdr:col>9</xdr:col>
      <xdr:colOff>6350</xdr:colOff>
      <xdr:row>1976</xdr:row>
      <xdr:rowOff>25400</xdr:rowOff>
    </xdr:from>
    <xdr:to>
      <xdr:col>9</xdr:col>
      <xdr:colOff>885190</xdr:colOff>
      <xdr:row>1976</xdr:row>
      <xdr:rowOff>1209040</xdr:rowOff>
    </xdr:to>
    <xdr:pic>
      <xdr:nvPicPr>
        <xdr:cNvPr id="6723" name="Изображение 6722" descr="resizeПП-00271324"/>
        <xdr:cNvPicPr>
          <a:picLocks noChangeAspect="1"/>
        </xdr:cNvPicPr>
      </xdr:nvPicPr>
      <xdr:blipFill>
        <a:blip xmlns:r="http://schemas.openxmlformats.org/officeDocument/2006/relationships" r:embed="rId1479"/>
        <a:stretch>
          <a:fillRect/>
        </a:stretch>
      </xdr:blipFill>
      <xdr:spPr>
        <a:xfrm>
          <a:off x="7235825" y="1923297525"/>
          <a:ext cx="878840" cy="1183640"/>
        </a:xfrm>
        <a:prstGeom prst="rect">
          <a:avLst/>
        </a:prstGeom>
      </xdr:spPr>
    </xdr:pic>
    <xdr:clientData/>
  </xdr:twoCellAnchor>
  <xdr:twoCellAnchor>
    <xdr:from>
      <xdr:col>9</xdr:col>
      <xdr:colOff>6350</xdr:colOff>
      <xdr:row>1977</xdr:row>
      <xdr:rowOff>25400</xdr:rowOff>
    </xdr:from>
    <xdr:to>
      <xdr:col>9</xdr:col>
      <xdr:colOff>885190</xdr:colOff>
      <xdr:row>1977</xdr:row>
      <xdr:rowOff>1209040</xdr:rowOff>
    </xdr:to>
    <xdr:pic>
      <xdr:nvPicPr>
        <xdr:cNvPr id="6724" name="Изображение 6723" descr="resizeПП-00248696"/>
        <xdr:cNvPicPr>
          <a:picLocks noChangeAspect="1"/>
        </xdr:cNvPicPr>
      </xdr:nvPicPr>
      <xdr:blipFill>
        <a:blip xmlns:r="http://schemas.openxmlformats.org/officeDocument/2006/relationships" r:embed="rId1480"/>
        <a:stretch>
          <a:fillRect/>
        </a:stretch>
      </xdr:blipFill>
      <xdr:spPr>
        <a:xfrm>
          <a:off x="7235825" y="1924519900"/>
          <a:ext cx="878840" cy="1183640"/>
        </a:xfrm>
        <a:prstGeom prst="rect">
          <a:avLst/>
        </a:prstGeom>
      </xdr:spPr>
    </xdr:pic>
    <xdr:clientData/>
  </xdr:twoCellAnchor>
  <xdr:twoCellAnchor>
    <xdr:from>
      <xdr:col>9</xdr:col>
      <xdr:colOff>6350</xdr:colOff>
      <xdr:row>1978</xdr:row>
      <xdr:rowOff>25400</xdr:rowOff>
    </xdr:from>
    <xdr:to>
      <xdr:col>9</xdr:col>
      <xdr:colOff>885190</xdr:colOff>
      <xdr:row>1978</xdr:row>
      <xdr:rowOff>1209040</xdr:rowOff>
    </xdr:to>
    <xdr:pic>
      <xdr:nvPicPr>
        <xdr:cNvPr id="6725" name="Изображение 6724" descr="resizeПП-00271325"/>
        <xdr:cNvPicPr>
          <a:picLocks noChangeAspect="1"/>
        </xdr:cNvPicPr>
      </xdr:nvPicPr>
      <xdr:blipFill>
        <a:blip xmlns:r="http://schemas.openxmlformats.org/officeDocument/2006/relationships" r:embed="rId1481"/>
        <a:stretch>
          <a:fillRect/>
        </a:stretch>
      </xdr:blipFill>
      <xdr:spPr>
        <a:xfrm>
          <a:off x="7235825" y="1925742275"/>
          <a:ext cx="878840" cy="1183640"/>
        </a:xfrm>
        <a:prstGeom prst="rect">
          <a:avLst/>
        </a:prstGeom>
      </xdr:spPr>
    </xdr:pic>
    <xdr:clientData/>
  </xdr:twoCellAnchor>
  <xdr:twoCellAnchor>
    <xdr:from>
      <xdr:col>9</xdr:col>
      <xdr:colOff>6350</xdr:colOff>
      <xdr:row>1979</xdr:row>
      <xdr:rowOff>25400</xdr:rowOff>
    </xdr:from>
    <xdr:to>
      <xdr:col>9</xdr:col>
      <xdr:colOff>885190</xdr:colOff>
      <xdr:row>1979</xdr:row>
      <xdr:rowOff>1209040</xdr:rowOff>
    </xdr:to>
    <xdr:pic>
      <xdr:nvPicPr>
        <xdr:cNvPr id="6726" name="Изображение 6725" descr="resizeПП-00271326"/>
        <xdr:cNvPicPr>
          <a:picLocks noChangeAspect="1"/>
        </xdr:cNvPicPr>
      </xdr:nvPicPr>
      <xdr:blipFill>
        <a:blip xmlns:r="http://schemas.openxmlformats.org/officeDocument/2006/relationships" r:embed="rId1482"/>
        <a:stretch>
          <a:fillRect/>
        </a:stretch>
      </xdr:blipFill>
      <xdr:spPr>
        <a:xfrm>
          <a:off x="7235825" y="1926964650"/>
          <a:ext cx="878840" cy="1183640"/>
        </a:xfrm>
        <a:prstGeom prst="rect">
          <a:avLst/>
        </a:prstGeom>
      </xdr:spPr>
    </xdr:pic>
    <xdr:clientData/>
  </xdr:twoCellAnchor>
  <xdr:twoCellAnchor>
    <xdr:from>
      <xdr:col>9</xdr:col>
      <xdr:colOff>6350</xdr:colOff>
      <xdr:row>1980</xdr:row>
      <xdr:rowOff>25400</xdr:rowOff>
    </xdr:from>
    <xdr:to>
      <xdr:col>9</xdr:col>
      <xdr:colOff>885190</xdr:colOff>
      <xdr:row>1980</xdr:row>
      <xdr:rowOff>1209040</xdr:rowOff>
    </xdr:to>
    <xdr:pic>
      <xdr:nvPicPr>
        <xdr:cNvPr id="6727" name="Изображение 6726" descr="resizeПП-00248695"/>
        <xdr:cNvPicPr>
          <a:picLocks noChangeAspect="1"/>
        </xdr:cNvPicPr>
      </xdr:nvPicPr>
      <xdr:blipFill>
        <a:blip xmlns:r="http://schemas.openxmlformats.org/officeDocument/2006/relationships" r:embed="rId1483"/>
        <a:stretch>
          <a:fillRect/>
        </a:stretch>
      </xdr:blipFill>
      <xdr:spPr>
        <a:xfrm>
          <a:off x="7235825" y="1928187025"/>
          <a:ext cx="878840" cy="1183640"/>
        </a:xfrm>
        <a:prstGeom prst="rect">
          <a:avLst/>
        </a:prstGeom>
      </xdr:spPr>
    </xdr:pic>
    <xdr:clientData/>
  </xdr:twoCellAnchor>
  <xdr:twoCellAnchor>
    <xdr:from>
      <xdr:col>9</xdr:col>
      <xdr:colOff>6350</xdr:colOff>
      <xdr:row>1981</xdr:row>
      <xdr:rowOff>25400</xdr:rowOff>
    </xdr:from>
    <xdr:to>
      <xdr:col>9</xdr:col>
      <xdr:colOff>885190</xdr:colOff>
      <xdr:row>1981</xdr:row>
      <xdr:rowOff>1209040</xdr:rowOff>
    </xdr:to>
    <xdr:pic>
      <xdr:nvPicPr>
        <xdr:cNvPr id="6728" name="Изображение 6727" descr="resizeПП-00247472"/>
        <xdr:cNvPicPr>
          <a:picLocks noChangeAspect="1"/>
        </xdr:cNvPicPr>
      </xdr:nvPicPr>
      <xdr:blipFill>
        <a:blip xmlns:r="http://schemas.openxmlformats.org/officeDocument/2006/relationships" r:embed="rId1484"/>
        <a:stretch>
          <a:fillRect/>
        </a:stretch>
      </xdr:blipFill>
      <xdr:spPr>
        <a:xfrm>
          <a:off x="7235825" y="1929409400"/>
          <a:ext cx="878840" cy="1183640"/>
        </a:xfrm>
        <a:prstGeom prst="rect">
          <a:avLst/>
        </a:prstGeom>
      </xdr:spPr>
    </xdr:pic>
    <xdr:clientData/>
  </xdr:twoCellAnchor>
  <xdr:twoCellAnchor>
    <xdr:from>
      <xdr:col>9</xdr:col>
      <xdr:colOff>6350</xdr:colOff>
      <xdr:row>1982</xdr:row>
      <xdr:rowOff>25400</xdr:rowOff>
    </xdr:from>
    <xdr:to>
      <xdr:col>9</xdr:col>
      <xdr:colOff>885190</xdr:colOff>
      <xdr:row>1982</xdr:row>
      <xdr:rowOff>1209040</xdr:rowOff>
    </xdr:to>
    <xdr:pic>
      <xdr:nvPicPr>
        <xdr:cNvPr id="6729" name="Изображение 6728" descr="resizeПП-00248697"/>
        <xdr:cNvPicPr>
          <a:picLocks noChangeAspect="1"/>
        </xdr:cNvPicPr>
      </xdr:nvPicPr>
      <xdr:blipFill>
        <a:blip xmlns:r="http://schemas.openxmlformats.org/officeDocument/2006/relationships" r:embed="rId1485"/>
        <a:stretch>
          <a:fillRect/>
        </a:stretch>
      </xdr:blipFill>
      <xdr:spPr>
        <a:xfrm>
          <a:off x="7235825" y="1930631775"/>
          <a:ext cx="878840" cy="1183640"/>
        </a:xfrm>
        <a:prstGeom prst="rect">
          <a:avLst/>
        </a:prstGeom>
      </xdr:spPr>
    </xdr:pic>
    <xdr:clientData/>
  </xdr:twoCellAnchor>
  <xdr:twoCellAnchor>
    <xdr:from>
      <xdr:col>9</xdr:col>
      <xdr:colOff>6350</xdr:colOff>
      <xdr:row>1983</xdr:row>
      <xdr:rowOff>25400</xdr:rowOff>
    </xdr:from>
    <xdr:to>
      <xdr:col>9</xdr:col>
      <xdr:colOff>885190</xdr:colOff>
      <xdr:row>1983</xdr:row>
      <xdr:rowOff>1209040</xdr:rowOff>
    </xdr:to>
    <xdr:pic>
      <xdr:nvPicPr>
        <xdr:cNvPr id="6730" name="Изображение 6729" descr="resizeПП-00247468"/>
        <xdr:cNvPicPr>
          <a:picLocks noChangeAspect="1"/>
        </xdr:cNvPicPr>
      </xdr:nvPicPr>
      <xdr:blipFill>
        <a:blip xmlns:r="http://schemas.openxmlformats.org/officeDocument/2006/relationships" r:embed="rId1486"/>
        <a:stretch>
          <a:fillRect/>
        </a:stretch>
      </xdr:blipFill>
      <xdr:spPr>
        <a:xfrm>
          <a:off x="7235825" y="1931854150"/>
          <a:ext cx="878840" cy="1183640"/>
        </a:xfrm>
        <a:prstGeom prst="rect">
          <a:avLst/>
        </a:prstGeom>
      </xdr:spPr>
    </xdr:pic>
    <xdr:clientData/>
  </xdr:twoCellAnchor>
  <xdr:twoCellAnchor>
    <xdr:from>
      <xdr:col>9</xdr:col>
      <xdr:colOff>6350</xdr:colOff>
      <xdr:row>1984</xdr:row>
      <xdr:rowOff>25400</xdr:rowOff>
    </xdr:from>
    <xdr:to>
      <xdr:col>9</xdr:col>
      <xdr:colOff>885190</xdr:colOff>
      <xdr:row>1984</xdr:row>
      <xdr:rowOff>1209040</xdr:rowOff>
    </xdr:to>
    <xdr:pic>
      <xdr:nvPicPr>
        <xdr:cNvPr id="6731" name="Изображение 6730" descr="resizeПП-00247471"/>
        <xdr:cNvPicPr>
          <a:picLocks noChangeAspect="1"/>
        </xdr:cNvPicPr>
      </xdr:nvPicPr>
      <xdr:blipFill>
        <a:blip xmlns:r="http://schemas.openxmlformats.org/officeDocument/2006/relationships" r:embed="rId1487"/>
        <a:stretch>
          <a:fillRect/>
        </a:stretch>
      </xdr:blipFill>
      <xdr:spPr>
        <a:xfrm>
          <a:off x="7235825" y="1933076525"/>
          <a:ext cx="878840" cy="1183640"/>
        </a:xfrm>
        <a:prstGeom prst="rect">
          <a:avLst/>
        </a:prstGeom>
      </xdr:spPr>
    </xdr:pic>
    <xdr:clientData/>
  </xdr:twoCellAnchor>
  <xdr:twoCellAnchor>
    <xdr:from>
      <xdr:col>9</xdr:col>
      <xdr:colOff>6350</xdr:colOff>
      <xdr:row>1985</xdr:row>
      <xdr:rowOff>25400</xdr:rowOff>
    </xdr:from>
    <xdr:to>
      <xdr:col>9</xdr:col>
      <xdr:colOff>885190</xdr:colOff>
      <xdr:row>1985</xdr:row>
      <xdr:rowOff>1209040</xdr:rowOff>
    </xdr:to>
    <xdr:pic>
      <xdr:nvPicPr>
        <xdr:cNvPr id="6732" name="Изображение 6731" descr="resizeПП-00247466"/>
        <xdr:cNvPicPr>
          <a:picLocks noChangeAspect="1"/>
        </xdr:cNvPicPr>
      </xdr:nvPicPr>
      <xdr:blipFill>
        <a:blip xmlns:r="http://schemas.openxmlformats.org/officeDocument/2006/relationships" r:embed="rId1488"/>
        <a:stretch>
          <a:fillRect/>
        </a:stretch>
      </xdr:blipFill>
      <xdr:spPr>
        <a:xfrm>
          <a:off x="7235825" y="1934298900"/>
          <a:ext cx="878840" cy="1183640"/>
        </a:xfrm>
        <a:prstGeom prst="rect">
          <a:avLst/>
        </a:prstGeom>
      </xdr:spPr>
    </xdr:pic>
    <xdr:clientData/>
  </xdr:twoCellAnchor>
  <xdr:twoCellAnchor>
    <xdr:from>
      <xdr:col>9</xdr:col>
      <xdr:colOff>6350</xdr:colOff>
      <xdr:row>1986</xdr:row>
      <xdr:rowOff>25400</xdr:rowOff>
    </xdr:from>
    <xdr:to>
      <xdr:col>9</xdr:col>
      <xdr:colOff>885190</xdr:colOff>
      <xdr:row>1986</xdr:row>
      <xdr:rowOff>1209040</xdr:rowOff>
    </xdr:to>
    <xdr:pic>
      <xdr:nvPicPr>
        <xdr:cNvPr id="6733" name="Изображение 6732" descr="resizeПП-00247465"/>
        <xdr:cNvPicPr>
          <a:picLocks noChangeAspect="1"/>
        </xdr:cNvPicPr>
      </xdr:nvPicPr>
      <xdr:blipFill>
        <a:blip xmlns:r="http://schemas.openxmlformats.org/officeDocument/2006/relationships" r:embed="rId1489"/>
        <a:stretch>
          <a:fillRect/>
        </a:stretch>
      </xdr:blipFill>
      <xdr:spPr>
        <a:xfrm>
          <a:off x="7235825" y="1935521275"/>
          <a:ext cx="878840" cy="1183640"/>
        </a:xfrm>
        <a:prstGeom prst="rect">
          <a:avLst/>
        </a:prstGeom>
      </xdr:spPr>
    </xdr:pic>
    <xdr:clientData/>
  </xdr:twoCellAnchor>
  <xdr:twoCellAnchor>
    <xdr:from>
      <xdr:col>9</xdr:col>
      <xdr:colOff>6350</xdr:colOff>
      <xdr:row>1987</xdr:row>
      <xdr:rowOff>25400</xdr:rowOff>
    </xdr:from>
    <xdr:to>
      <xdr:col>9</xdr:col>
      <xdr:colOff>885190</xdr:colOff>
      <xdr:row>1987</xdr:row>
      <xdr:rowOff>1209040</xdr:rowOff>
    </xdr:to>
    <xdr:pic>
      <xdr:nvPicPr>
        <xdr:cNvPr id="6734" name="Изображение 6733" descr="resizeПП-00247473"/>
        <xdr:cNvPicPr>
          <a:picLocks noChangeAspect="1"/>
        </xdr:cNvPicPr>
      </xdr:nvPicPr>
      <xdr:blipFill>
        <a:blip xmlns:r="http://schemas.openxmlformats.org/officeDocument/2006/relationships" r:embed="rId1490"/>
        <a:stretch>
          <a:fillRect/>
        </a:stretch>
      </xdr:blipFill>
      <xdr:spPr>
        <a:xfrm>
          <a:off x="7235825" y="1936743650"/>
          <a:ext cx="878840" cy="1183640"/>
        </a:xfrm>
        <a:prstGeom prst="rect">
          <a:avLst/>
        </a:prstGeom>
      </xdr:spPr>
    </xdr:pic>
    <xdr:clientData/>
  </xdr:twoCellAnchor>
  <xdr:twoCellAnchor>
    <xdr:from>
      <xdr:col>9</xdr:col>
      <xdr:colOff>6350</xdr:colOff>
      <xdr:row>1988</xdr:row>
      <xdr:rowOff>25400</xdr:rowOff>
    </xdr:from>
    <xdr:to>
      <xdr:col>9</xdr:col>
      <xdr:colOff>885190</xdr:colOff>
      <xdr:row>1988</xdr:row>
      <xdr:rowOff>1209040</xdr:rowOff>
    </xdr:to>
    <xdr:pic>
      <xdr:nvPicPr>
        <xdr:cNvPr id="6735" name="Изображение 6734" descr="resizeПП-00247469"/>
        <xdr:cNvPicPr>
          <a:picLocks noChangeAspect="1"/>
        </xdr:cNvPicPr>
      </xdr:nvPicPr>
      <xdr:blipFill>
        <a:blip xmlns:r="http://schemas.openxmlformats.org/officeDocument/2006/relationships" r:embed="rId1491"/>
        <a:stretch>
          <a:fillRect/>
        </a:stretch>
      </xdr:blipFill>
      <xdr:spPr>
        <a:xfrm>
          <a:off x="7235825" y="1937966025"/>
          <a:ext cx="878840" cy="1183640"/>
        </a:xfrm>
        <a:prstGeom prst="rect">
          <a:avLst/>
        </a:prstGeom>
      </xdr:spPr>
    </xdr:pic>
    <xdr:clientData/>
  </xdr:twoCellAnchor>
  <xdr:twoCellAnchor>
    <xdr:from>
      <xdr:col>9</xdr:col>
      <xdr:colOff>6350</xdr:colOff>
      <xdr:row>1989</xdr:row>
      <xdr:rowOff>25400</xdr:rowOff>
    </xdr:from>
    <xdr:to>
      <xdr:col>9</xdr:col>
      <xdr:colOff>885190</xdr:colOff>
      <xdr:row>1989</xdr:row>
      <xdr:rowOff>1209040</xdr:rowOff>
    </xdr:to>
    <xdr:pic>
      <xdr:nvPicPr>
        <xdr:cNvPr id="6736" name="Изображение 6735" descr="resizeПП-00247470"/>
        <xdr:cNvPicPr>
          <a:picLocks noChangeAspect="1"/>
        </xdr:cNvPicPr>
      </xdr:nvPicPr>
      <xdr:blipFill>
        <a:blip xmlns:r="http://schemas.openxmlformats.org/officeDocument/2006/relationships" r:embed="rId1492"/>
        <a:stretch>
          <a:fillRect/>
        </a:stretch>
      </xdr:blipFill>
      <xdr:spPr>
        <a:xfrm>
          <a:off x="7235825" y="1939188400"/>
          <a:ext cx="878840" cy="1183640"/>
        </a:xfrm>
        <a:prstGeom prst="rect">
          <a:avLst/>
        </a:prstGeom>
      </xdr:spPr>
    </xdr:pic>
    <xdr:clientData/>
  </xdr:twoCellAnchor>
  <xdr:twoCellAnchor>
    <xdr:from>
      <xdr:col>9</xdr:col>
      <xdr:colOff>6350</xdr:colOff>
      <xdr:row>1990</xdr:row>
      <xdr:rowOff>25400</xdr:rowOff>
    </xdr:from>
    <xdr:to>
      <xdr:col>9</xdr:col>
      <xdr:colOff>885190</xdr:colOff>
      <xdr:row>1990</xdr:row>
      <xdr:rowOff>1209040</xdr:rowOff>
    </xdr:to>
    <xdr:pic>
      <xdr:nvPicPr>
        <xdr:cNvPr id="6737" name="Изображение 6736" descr="resizeПП-00271327"/>
        <xdr:cNvPicPr>
          <a:picLocks noChangeAspect="1"/>
        </xdr:cNvPicPr>
      </xdr:nvPicPr>
      <xdr:blipFill>
        <a:blip xmlns:r="http://schemas.openxmlformats.org/officeDocument/2006/relationships" r:embed="rId1493"/>
        <a:stretch>
          <a:fillRect/>
        </a:stretch>
      </xdr:blipFill>
      <xdr:spPr>
        <a:xfrm>
          <a:off x="7235825" y="1940410775"/>
          <a:ext cx="878840" cy="1183640"/>
        </a:xfrm>
        <a:prstGeom prst="rect">
          <a:avLst/>
        </a:prstGeom>
      </xdr:spPr>
    </xdr:pic>
    <xdr:clientData/>
  </xdr:twoCellAnchor>
  <xdr:twoCellAnchor>
    <xdr:from>
      <xdr:col>9</xdr:col>
      <xdr:colOff>6350</xdr:colOff>
      <xdr:row>1991</xdr:row>
      <xdr:rowOff>25400</xdr:rowOff>
    </xdr:from>
    <xdr:to>
      <xdr:col>9</xdr:col>
      <xdr:colOff>885190</xdr:colOff>
      <xdr:row>1991</xdr:row>
      <xdr:rowOff>1209040</xdr:rowOff>
    </xdr:to>
    <xdr:pic>
      <xdr:nvPicPr>
        <xdr:cNvPr id="6738" name="Изображение 6737" descr="resizeПП-00271322"/>
        <xdr:cNvPicPr>
          <a:picLocks noChangeAspect="1"/>
        </xdr:cNvPicPr>
      </xdr:nvPicPr>
      <xdr:blipFill>
        <a:blip xmlns:r="http://schemas.openxmlformats.org/officeDocument/2006/relationships" r:embed="rId1494"/>
        <a:stretch>
          <a:fillRect/>
        </a:stretch>
      </xdr:blipFill>
      <xdr:spPr>
        <a:xfrm>
          <a:off x="7235825" y="1941633150"/>
          <a:ext cx="878840" cy="1183640"/>
        </a:xfrm>
        <a:prstGeom prst="rect">
          <a:avLst/>
        </a:prstGeom>
      </xdr:spPr>
    </xdr:pic>
    <xdr:clientData/>
  </xdr:twoCellAnchor>
  <xdr:twoCellAnchor>
    <xdr:from>
      <xdr:col>9</xdr:col>
      <xdr:colOff>6350</xdr:colOff>
      <xdr:row>1993</xdr:row>
      <xdr:rowOff>25400</xdr:rowOff>
    </xdr:from>
    <xdr:to>
      <xdr:col>9</xdr:col>
      <xdr:colOff>885190</xdr:colOff>
      <xdr:row>1993</xdr:row>
      <xdr:rowOff>1209040</xdr:rowOff>
    </xdr:to>
    <xdr:pic>
      <xdr:nvPicPr>
        <xdr:cNvPr id="6739" name="Изображение 6738" descr="resizeПП-00269330"/>
        <xdr:cNvPicPr>
          <a:picLocks noChangeAspect="1"/>
        </xdr:cNvPicPr>
      </xdr:nvPicPr>
      <xdr:blipFill>
        <a:blip xmlns:r="http://schemas.openxmlformats.org/officeDocument/2006/relationships" r:embed="rId1495"/>
        <a:stretch>
          <a:fillRect/>
        </a:stretch>
      </xdr:blipFill>
      <xdr:spPr>
        <a:xfrm>
          <a:off x="7235825" y="1943007925"/>
          <a:ext cx="878840" cy="1183640"/>
        </a:xfrm>
        <a:prstGeom prst="rect">
          <a:avLst/>
        </a:prstGeom>
      </xdr:spPr>
    </xdr:pic>
    <xdr:clientData/>
  </xdr:twoCellAnchor>
  <xdr:twoCellAnchor>
    <xdr:from>
      <xdr:col>9</xdr:col>
      <xdr:colOff>6350</xdr:colOff>
      <xdr:row>1994</xdr:row>
      <xdr:rowOff>25400</xdr:rowOff>
    </xdr:from>
    <xdr:to>
      <xdr:col>9</xdr:col>
      <xdr:colOff>885190</xdr:colOff>
      <xdr:row>1994</xdr:row>
      <xdr:rowOff>1209040</xdr:rowOff>
    </xdr:to>
    <xdr:pic>
      <xdr:nvPicPr>
        <xdr:cNvPr id="6740" name="Изображение 6739" descr="resizeПП-00269292"/>
        <xdr:cNvPicPr>
          <a:picLocks noChangeAspect="1"/>
        </xdr:cNvPicPr>
      </xdr:nvPicPr>
      <xdr:blipFill>
        <a:blip xmlns:r="http://schemas.openxmlformats.org/officeDocument/2006/relationships" r:embed="rId1496"/>
        <a:stretch>
          <a:fillRect/>
        </a:stretch>
      </xdr:blipFill>
      <xdr:spPr>
        <a:xfrm>
          <a:off x="7235825" y="1944230300"/>
          <a:ext cx="878840" cy="1183640"/>
        </a:xfrm>
        <a:prstGeom prst="rect">
          <a:avLst/>
        </a:prstGeom>
      </xdr:spPr>
    </xdr:pic>
    <xdr:clientData/>
  </xdr:twoCellAnchor>
  <xdr:twoCellAnchor>
    <xdr:from>
      <xdr:col>9</xdr:col>
      <xdr:colOff>6350</xdr:colOff>
      <xdr:row>1995</xdr:row>
      <xdr:rowOff>25400</xdr:rowOff>
    </xdr:from>
    <xdr:to>
      <xdr:col>9</xdr:col>
      <xdr:colOff>885190</xdr:colOff>
      <xdr:row>1995</xdr:row>
      <xdr:rowOff>1209040</xdr:rowOff>
    </xdr:to>
    <xdr:pic>
      <xdr:nvPicPr>
        <xdr:cNvPr id="6741" name="Изображение 6740" descr="resizeПП-00258757"/>
        <xdr:cNvPicPr>
          <a:picLocks noChangeAspect="1"/>
        </xdr:cNvPicPr>
      </xdr:nvPicPr>
      <xdr:blipFill>
        <a:blip xmlns:r="http://schemas.openxmlformats.org/officeDocument/2006/relationships" r:embed="rId1497"/>
        <a:stretch>
          <a:fillRect/>
        </a:stretch>
      </xdr:blipFill>
      <xdr:spPr>
        <a:xfrm>
          <a:off x="7235825" y="1945452675"/>
          <a:ext cx="878840" cy="1183640"/>
        </a:xfrm>
        <a:prstGeom prst="rect">
          <a:avLst/>
        </a:prstGeom>
      </xdr:spPr>
    </xdr:pic>
    <xdr:clientData/>
  </xdr:twoCellAnchor>
  <xdr:twoCellAnchor>
    <xdr:from>
      <xdr:col>9</xdr:col>
      <xdr:colOff>6350</xdr:colOff>
      <xdr:row>1996</xdr:row>
      <xdr:rowOff>25400</xdr:rowOff>
    </xdr:from>
    <xdr:to>
      <xdr:col>9</xdr:col>
      <xdr:colOff>885190</xdr:colOff>
      <xdr:row>1996</xdr:row>
      <xdr:rowOff>1209040</xdr:rowOff>
    </xdr:to>
    <xdr:pic>
      <xdr:nvPicPr>
        <xdr:cNvPr id="6742" name="Изображение 6741" descr="resizeПП-00258760"/>
        <xdr:cNvPicPr>
          <a:picLocks noChangeAspect="1"/>
        </xdr:cNvPicPr>
      </xdr:nvPicPr>
      <xdr:blipFill>
        <a:blip xmlns:r="http://schemas.openxmlformats.org/officeDocument/2006/relationships" r:embed="rId1498"/>
        <a:stretch>
          <a:fillRect/>
        </a:stretch>
      </xdr:blipFill>
      <xdr:spPr>
        <a:xfrm>
          <a:off x="7235825" y="1946675050"/>
          <a:ext cx="878840" cy="1183640"/>
        </a:xfrm>
        <a:prstGeom prst="rect">
          <a:avLst/>
        </a:prstGeom>
      </xdr:spPr>
    </xdr:pic>
    <xdr:clientData/>
  </xdr:twoCellAnchor>
  <xdr:twoCellAnchor>
    <xdr:from>
      <xdr:col>9</xdr:col>
      <xdr:colOff>6350</xdr:colOff>
      <xdr:row>1997</xdr:row>
      <xdr:rowOff>25400</xdr:rowOff>
    </xdr:from>
    <xdr:to>
      <xdr:col>9</xdr:col>
      <xdr:colOff>885190</xdr:colOff>
      <xdr:row>1997</xdr:row>
      <xdr:rowOff>1209040</xdr:rowOff>
    </xdr:to>
    <xdr:pic>
      <xdr:nvPicPr>
        <xdr:cNvPr id="6743" name="Изображение 6742" descr="resizeПП-00258759"/>
        <xdr:cNvPicPr>
          <a:picLocks noChangeAspect="1"/>
        </xdr:cNvPicPr>
      </xdr:nvPicPr>
      <xdr:blipFill>
        <a:blip xmlns:r="http://schemas.openxmlformats.org/officeDocument/2006/relationships" r:embed="rId1499"/>
        <a:stretch>
          <a:fillRect/>
        </a:stretch>
      </xdr:blipFill>
      <xdr:spPr>
        <a:xfrm>
          <a:off x="7235825" y="1947897425"/>
          <a:ext cx="878840" cy="1183640"/>
        </a:xfrm>
        <a:prstGeom prst="rect">
          <a:avLst/>
        </a:prstGeom>
      </xdr:spPr>
    </xdr:pic>
    <xdr:clientData/>
  </xdr:twoCellAnchor>
  <xdr:twoCellAnchor>
    <xdr:from>
      <xdr:col>9</xdr:col>
      <xdr:colOff>6350</xdr:colOff>
      <xdr:row>1998</xdr:row>
      <xdr:rowOff>25400</xdr:rowOff>
    </xdr:from>
    <xdr:to>
      <xdr:col>9</xdr:col>
      <xdr:colOff>885190</xdr:colOff>
      <xdr:row>1998</xdr:row>
      <xdr:rowOff>1209040</xdr:rowOff>
    </xdr:to>
    <xdr:pic>
      <xdr:nvPicPr>
        <xdr:cNvPr id="6744" name="Изображение 6743" descr="resizeПП-00258750"/>
        <xdr:cNvPicPr>
          <a:picLocks noChangeAspect="1"/>
        </xdr:cNvPicPr>
      </xdr:nvPicPr>
      <xdr:blipFill>
        <a:blip xmlns:r="http://schemas.openxmlformats.org/officeDocument/2006/relationships" r:embed="rId1500"/>
        <a:stretch>
          <a:fillRect/>
        </a:stretch>
      </xdr:blipFill>
      <xdr:spPr>
        <a:xfrm>
          <a:off x="7235825" y="1949119800"/>
          <a:ext cx="878840" cy="1183640"/>
        </a:xfrm>
        <a:prstGeom prst="rect">
          <a:avLst/>
        </a:prstGeom>
      </xdr:spPr>
    </xdr:pic>
    <xdr:clientData/>
  </xdr:twoCellAnchor>
  <xdr:twoCellAnchor>
    <xdr:from>
      <xdr:col>9</xdr:col>
      <xdr:colOff>6350</xdr:colOff>
      <xdr:row>1999</xdr:row>
      <xdr:rowOff>25400</xdr:rowOff>
    </xdr:from>
    <xdr:to>
      <xdr:col>9</xdr:col>
      <xdr:colOff>885190</xdr:colOff>
      <xdr:row>1999</xdr:row>
      <xdr:rowOff>1209040</xdr:rowOff>
    </xdr:to>
    <xdr:pic>
      <xdr:nvPicPr>
        <xdr:cNvPr id="6745" name="Изображение 6744" descr="resizeПП-00258758"/>
        <xdr:cNvPicPr>
          <a:picLocks noChangeAspect="1"/>
        </xdr:cNvPicPr>
      </xdr:nvPicPr>
      <xdr:blipFill>
        <a:blip xmlns:r="http://schemas.openxmlformats.org/officeDocument/2006/relationships" r:embed="rId1501"/>
        <a:stretch>
          <a:fillRect/>
        </a:stretch>
      </xdr:blipFill>
      <xdr:spPr>
        <a:xfrm>
          <a:off x="7235825" y="1950342175"/>
          <a:ext cx="878840" cy="1183640"/>
        </a:xfrm>
        <a:prstGeom prst="rect">
          <a:avLst/>
        </a:prstGeom>
      </xdr:spPr>
    </xdr:pic>
    <xdr:clientData/>
  </xdr:twoCellAnchor>
  <xdr:twoCellAnchor>
    <xdr:from>
      <xdr:col>9</xdr:col>
      <xdr:colOff>6350</xdr:colOff>
      <xdr:row>2000</xdr:row>
      <xdr:rowOff>25400</xdr:rowOff>
    </xdr:from>
    <xdr:to>
      <xdr:col>9</xdr:col>
      <xdr:colOff>885190</xdr:colOff>
      <xdr:row>2000</xdr:row>
      <xdr:rowOff>1209040</xdr:rowOff>
    </xdr:to>
    <xdr:pic>
      <xdr:nvPicPr>
        <xdr:cNvPr id="6746" name="Изображение 6745" descr="resizeПП-00269341"/>
        <xdr:cNvPicPr>
          <a:picLocks noChangeAspect="1"/>
        </xdr:cNvPicPr>
      </xdr:nvPicPr>
      <xdr:blipFill>
        <a:blip xmlns:r="http://schemas.openxmlformats.org/officeDocument/2006/relationships" r:embed="rId1502"/>
        <a:stretch>
          <a:fillRect/>
        </a:stretch>
      </xdr:blipFill>
      <xdr:spPr>
        <a:xfrm>
          <a:off x="7235825" y="1951564550"/>
          <a:ext cx="878840" cy="1183640"/>
        </a:xfrm>
        <a:prstGeom prst="rect">
          <a:avLst/>
        </a:prstGeom>
      </xdr:spPr>
    </xdr:pic>
    <xdr:clientData/>
  </xdr:twoCellAnchor>
  <xdr:twoCellAnchor>
    <xdr:from>
      <xdr:col>9</xdr:col>
      <xdr:colOff>6350</xdr:colOff>
      <xdr:row>2001</xdr:row>
      <xdr:rowOff>25400</xdr:rowOff>
    </xdr:from>
    <xdr:to>
      <xdr:col>9</xdr:col>
      <xdr:colOff>885190</xdr:colOff>
      <xdr:row>2001</xdr:row>
      <xdr:rowOff>1209040</xdr:rowOff>
    </xdr:to>
    <xdr:pic>
      <xdr:nvPicPr>
        <xdr:cNvPr id="6747" name="Изображение 6746" descr="resizeПП-00247476"/>
        <xdr:cNvPicPr>
          <a:picLocks noChangeAspect="1"/>
        </xdr:cNvPicPr>
      </xdr:nvPicPr>
      <xdr:blipFill>
        <a:blip xmlns:r="http://schemas.openxmlformats.org/officeDocument/2006/relationships" r:embed="rId1503"/>
        <a:stretch>
          <a:fillRect/>
        </a:stretch>
      </xdr:blipFill>
      <xdr:spPr>
        <a:xfrm>
          <a:off x="7235825" y="1952786925"/>
          <a:ext cx="878840" cy="1183640"/>
        </a:xfrm>
        <a:prstGeom prst="rect">
          <a:avLst/>
        </a:prstGeom>
      </xdr:spPr>
    </xdr:pic>
    <xdr:clientData/>
  </xdr:twoCellAnchor>
  <xdr:twoCellAnchor>
    <xdr:from>
      <xdr:col>9</xdr:col>
      <xdr:colOff>6350</xdr:colOff>
      <xdr:row>2002</xdr:row>
      <xdr:rowOff>25400</xdr:rowOff>
    </xdr:from>
    <xdr:to>
      <xdr:col>9</xdr:col>
      <xdr:colOff>885190</xdr:colOff>
      <xdr:row>2002</xdr:row>
      <xdr:rowOff>1209040</xdr:rowOff>
    </xdr:to>
    <xdr:pic>
      <xdr:nvPicPr>
        <xdr:cNvPr id="6748" name="Изображение 6747" descr="resizeПП-00247474"/>
        <xdr:cNvPicPr>
          <a:picLocks noChangeAspect="1"/>
        </xdr:cNvPicPr>
      </xdr:nvPicPr>
      <xdr:blipFill>
        <a:blip xmlns:r="http://schemas.openxmlformats.org/officeDocument/2006/relationships" r:embed="rId1504"/>
        <a:stretch>
          <a:fillRect/>
        </a:stretch>
      </xdr:blipFill>
      <xdr:spPr>
        <a:xfrm>
          <a:off x="7235825" y="1954009300"/>
          <a:ext cx="878840" cy="1183640"/>
        </a:xfrm>
        <a:prstGeom prst="rect">
          <a:avLst/>
        </a:prstGeom>
      </xdr:spPr>
    </xdr:pic>
    <xdr:clientData/>
  </xdr:twoCellAnchor>
  <xdr:twoCellAnchor>
    <xdr:from>
      <xdr:col>9</xdr:col>
      <xdr:colOff>6350</xdr:colOff>
      <xdr:row>2003</xdr:row>
      <xdr:rowOff>25400</xdr:rowOff>
    </xdr:from>
    <xdr:to>
      <xdr:col>9</xdr:col>
      <xdr:colOff>885190</xdr:colOff>
      <xdr:row>2003</xdr:row>
      <xdr:rowOff>1209040</xdr:rowOff>
    </xdr:to>
    <xdr:pic>
      <xdr:nvPicPr>
        <xdr:cNvPr id="6749" name="Изображение 6748" descr="resizeПП-00269339"/>
        <xdr:cNvPicPr>
          <a:picLocks noChangeAspect="1"/>
        </xdr:cNvPicPr>
      </xdr:nvPicPr>
      <xdr:blipFill>
        <a:blip xmlns:r="http://schemas.openxmlformats.org/officeDocument/2006/relationships" r:embed="rId1505"/>
        <a:stretch>
          <a:fillRect/>
        </a:stretch>
      </xdr:blipFill>
      <xdr:spPr>
        <a:xfrm>
          <a:off x="7235825" y="1955231675"/>
          <a:ext cx="878840" cy="1183640"/>
        </a:xfrm>
        <a:prstGeom prst="rect">
          <a:avLst/>
        </a:prstGeom>
      </xdr:spPr>
    </xdr:pic>
    <xdr:clientData/>
  </xdr:twoCellAnchor>
  <xdr:twoCellAnchor>
    <xdr:from>
      <xdr:col>9</xdr:col>
      <xdr:colOff>6350</xdr:colOff>
      <xdr:row>2004</xdr:row>
      <xdr:rowOff>25400</xdr:rowOff>
    </xdr:from>
    <xdr:to>
      <xdr:col>9</xdr:col>
      <xdr:colOff>885190</xdr:colOff>
      <xdr:row>2004</xdr:row>
      <xdr:rowOff>1209040</xdr:rowOff>
    </xdr:to>
    <xdr:pic>
      <xdr:nvPicPr>
        <xdr:cNvPr id="6750" name="Изображение 6749" descr="resizeПП-00271340"/>
        <xdr:cNvPicPr>
          <a:picLocks noChangeAspect="1"/>
        </xdr:cNvPicPr>
      </xdr:nvPicPr>
      <xdr:blipFill>
        <a:blip xmlns:r="http://schemas.openxmlformats.org/officeDocument/2006/relationships" r:embed="rId1506"/>
        <a:stretch>
          <a:fillRect/>
        </a:stretch>
      </xdr:blipFill>
      <xdr:spPr>
        <a:xfrm>
          <a:off x="7235825" y="1956454050"/>
          <a:ext cx="878840" cy="1183640"/>
        </a:xfrm>
        <a:prstGeom prst="rect">
          <a:avLst/>
        </a:prstGeom>
      </xdr:spPr>
    </xdr:pic>
    <xdr:clientData/>
  </xdr:twoCellAnchor>
  <xdr:twoCellAnchor>
    <xdr:from>
      <xdr:col>9</xdr:col>
      <xdr:colOff>6350</xdr:colOff>
      <xdr:row>2005</xdr:row>
      <xdr:rowOff>25400</xdr:rowOff>
    </xdr:from>
    <xdr:to>
      <xdr:col>9</xdr:col>
      <xdr:colOff>885190</xdr:colOff>
      <xdr:row>2005</xdr:row>
      <xdr:rowOff>1209040</xdr:rowOff>
    </xdr:to>
    <xdr:pic>
      <xdr:nvPicPr>
        <xdr:cNvPr id="6751" name="Изображение 6750" descr="resizeПП-00247477"/>
        <xdr:cNvPicPr>
          <a:picLocks noChangeAspect="1"/>
        </xdr:cNvPicPr>
      </xdr:nvPicPr>
      <xdr:blipFill>
        <a:blip xmlns:r="http://schemas.openxmlformats.org/officeDocument/2006/relationships" r:embed="rId1507"/>
        <a:stretch>
          <a:fillRect/>
        </a:stretch>
      </xdr:blipFill>
      <xdr:spPr>
        <a:xfrm>
          <a:off x="7235825" y="1957676425"/>
          <a:ext cx="878840" cy="1183640"/>
        </a:xfrm>
        <a:prstGeom prst="rect">
          <a:avLst/>
        </a:prstGeom>
      </xdr:spPr>
    </xdr:pic>
    <xdr:clientData/>
  </xdr:twoCellAnchor>
  <xdr:twoCellAnchor>
    <xdr:from>
      <xdr:col>9</xdr:col>
      <xdr:colOff>6350</xdr:colOff>
      <xdr:row>2006</xdr:row>
      <xdr:rowOff>25400</xdr:rowOff>
    </xdr:from>
    <xdr:to>
      <xdr:col>9</xdr:col>
      <xdr:colOff>885190</xdr:colOff>
      <xdr:row>2006</xdr:row>
      <xdr:rowOff>1209040</xdr:rowOff>
    </xdr:to>
    <xdr:pic>
      <xdr:nvPicPr>
        <xdr:cNvPr id="6752" name="Изображение 6751" descr="resizeПП-00271336"/>
        <xdr:cNvPicPr>
          <a:picLocks noChangeAspect="1"/>
        </xdr:cNvPicPr>
      </xdr:nvPicPr>
      <xdr:blipFill>
        <a:blip xmlns:r="http://schemas.openxmlformats.org/officeDocument/2006/relationships" r:embed="rId1508"/>
        <a:stretch>
          <a:fillRect/>
        </a:stretch>
      </xdr:blipFill>
      <xdr:spPr>
        <a:xfrm>
          <a:off x="7235825" y="1958898800"/>
          <a:ext cx="878840" cy="1183640"/>
        </a:xfrm>
        <a:prstGeom prst="rect">
          <a:avLst/>
        </a:prstGeom>
      </xdr:spPr>
    </xdr:pic>
    <xdr:clientData/>
  </xdr:twoCellAnchor>
  <xdr:twoCellAnchor>
    <xdr:from>
      <xdr:col>9</xdr:col>
      <xdr:colOff>6350</xdr:colOff>
      <xdr:row>2007</xdr:row>
      <xdr:rowOff>25400</xdr:rowOff>
    </xdr:from>
    <xdr:to>
      <xdr:col>9</xdr:col>
      <xdr:colOff>885190</xdr:colOff>
      <xdr:row>2007</xdr:row>
      <xdr:rowOff>1209040</xdr:rowOff>
    </xdr:to>
    <xdr:pic>
      <xdr:nvPicPr>
        <xdr:cNvPr id="6753" name="Изображение 6752" descr="resizeПП-00271339"/>
        <xdr:cNvPicPr>
          <a:picLocks noChangeAspect="1"/>
        </xdr:cNvPicPr>
      </xdr:nvPicPr>
      <xdr:blipFill>
        <a:blip xmlns:r="http://schemas.openxmlformats.org/officeDocument/2006/relationships" r:embed="rId1509"/>
        <a:stretch>
          <a:fillRect/>
        </a:stretch>
      </xdr:blipFill>
      <xdr:spPr>
        <a:xfrm>
          <a:off x="7235825" y="1960121175"/>
          <a:ext cx="878840" cy="1183640"/>
        </a:xfrm>
        <a:prstGeom prst="rect">
          <a:avLst/>
        </a:prstGeom>
      </xdr:spPr>
    </xdr:pic>
    <xdr:clientData/>
  </xdr:twoCellAnchor>
  <xdr:twoCellAnchor>
    <xdr:from>
      <xdr:col>9</xdr:col>
      <xdr:colOff>6350</xdr:colOff>
      <xdr:row>2008</xdr:row>
      <xdr:rowOff>25400</xdr:rowOff>
    </xdr:from>
    <xdr:to>
      <xdr:col>9</xdr:col>
      <xdr:colOff>885190</xdr:colOff>
      <xdr:row>2008</xdr:row>
      <xdr:rowOff>1209040</xdr:rowOff>
    </xdr:to>
    <xdr:pic>
      <xdr:nvPicPr>
        <xdr:cNvPr id="6754" name="Изображение 6753" descr="resizeПП-00271337"/>
        <xdr:cNvPicPr>
          <a:picLocks noChangeAspect="1"/>
        </xdr:cNvPicPr>
      </xdr:nvPicPr>
      <xdr:blipFill>
        <a:blip xmlns:r="http://schemas.openxmlformats.org/officeDocument/2006/relationships" r:embed="rId1510"/>
        <a:stretch>
          <a:fillRect/>
        </a:stretch>
      </xdr:blipFill>
      <xdr:spPr>
        <a:xfrm>
          <a:off x="7235825" y="1961343550"/>
          <a:ext cx="878840" cy="1183640"/>
        </a:xfrm>
        <a:prstGeom prst="rect">
          <a:avLst/>
        </a:prstGeom>
      </xdr:spPr>
    </xdr:pic>
    <xdr:clientData/>
  </xdr:twoCellAnchor>
  <xdr:twoCellAnchor>
    <xdr:from>
      <xdr:col>9</xdr:col>
      <xdr:colOff>6350</xdr:colOff>
      <xdr:row>2009</xdr:row>
      <xdr:rowOff>25400</xdr:rowOff>
    </xdr:from>
    <xdr:to>
      <xdr:col>9</xdr:col>
      <xdr:colOff>885190</xdr:colOff>
      <xdr:row>2009</xdr:row>
      <xdr:rowOff>1209040</xdr:rowOff>
    </xdr:to>
    <xdr:pic>
      <xdr:nvPicPr>
        <xdr:cNvPr id="6755" name="Изображение 6754" descr="resizeПП-00271335"/>
        <xdr:cNvPicPr>
          <a:picLocks noChangeAspect="1"/>
        </xdr:cNvPicPr>
      </xdr:nvPicPr>
      <xdr:blipFill>
        <a:blip xmlns:r="http://schemas.openxmlformats.org/officeDocument/2006/relationships" r:embed="rId1511"/>
        <a:stretch>
          <a:fillRect/>
        </a:stretch>
      </xdr:blipFill>
      <xdr:spPr>
        <a:xfrm>
          <a:off x="7235825" y="1962565925"/>
          <a:ext cx="878840" cy="1183640"/>
        </a:xfrm>
        <a:prstGeom prst="rect">
          <a:avLst/>
        </a:prstGeom>
      </xdr:spPr>
    </xdr:pic>
    <xdr:clientData/>
  </xdr:twoCellAnchor>
  <xdr:twoCellAnchor>
    <xdr:from>
      <xdr:col>9</xdr:col>
      <xdr:colOff>6350</xdr:colOff>
      <xdr:row>2010</xdr:row>
      <xdr:rowOff>25400</xdr:rowOff>
    </xdr:from>
    <xdr:to>
      <xdr:col>9</xdr:col>
      <xdr:colOff>885190</xdr:colOff>
      <xdr:row>2010</xdr:row>
      <xdr:rowOff>1209040</xdr:rowOff>
    </xdr:to>
    <xdr:pic>
      <xdr:nvPicPr>
        <xdr:cNvPr id="6756" name="Изображение 6755" descr="resizeПП-00271338"/>
        <xdr:cNvPicPr>
          <a:picLocks noChangeAspect="1"/>
        </xdr:cNvPicPr>
      </xdr:nvPicPr>
      <xdr:blipFill>
        <a:blip xmlns:r="http://schemas.openxmlformats.org/officeDocument/2006/relationships" r:embed="rId1512"/>
        <a:stretch>
          <a:fillRect/>
        </a:stretch>
      </xdr:blipFill>
      <xdr:spPr>
        <a:xfrm>
          <a:off x="7235825" y="1963788300"/>
          <a:ext cx="878840" cy="1183640"/>
        </a:xfrm>
        <a:prstGeom prst="rect">
          <a:avLst/>
        </a:prstGeom>
      </xdr:spPr>
    </xdr:pic>
    <xdr:clientData/>
  </xdr:twoCellAnchor>
  <xdr:twoCellAnchor>
    <xdr:from>
      <xdr:col>9</xdr:col>
      <xdr:colOff>6350</xdr:colOff>
      <xdr:row>2011</xdr:row>
      <xdr:rowOff>25400</xdr:rowOff>
    </xdr:from>
    <xdr:to>
      <xdr:col>9</xdr:col>
      <xdr:colOff>885190</xdr:colOff>
      <xdr:row>2011</xdr:row>
      <xdr:rowOff>1209040</xdr:rowOff>
    </xdr:to>
    <xdr:pic>
      <xdr:nvPicPr>
        <xdr:cNvPr id="6757" name="Изображение 6756" descr="resizeПП-00271334"/>
        <xdr:cNvPicPr>
          <a:picLocks noChangeAspect="1"/>
        </xdr:cNvPicPr>
      </xdr:nvPicPr>
      <xdr:blipFill>
        <a:blip xmlns:r="http://schemas.openxmlformats.org/officeDocument/2006/relationships" r:embed="rId1513"/>
        <a:stretch>
          <a:fillRect/>
        </a:stretch>
      </xdr:blipFill>
      <xdr:spPr>
        <a:xfrm>
          <a:off x="7235825" y="1965010675"/>
          <a:ext cx="878840" cy="1183640"/>
        </a:xfrm>
        <a:prstGeom prst="rect">
          <a:avLst/>
        </a:prstGeom>
      </xdr:spPr>
    </xdr:pic>
    <xdr:clientData/>
  </xdr:twoCellAnchor>
  <xdr:twoCellAnchor>
    <xdr:from>
      <xdr:col>9</xdr:col>
      <xdr:colOff>6350</xdr:colOff>
      <xdr:row>2012</xdr:row>
      <xdr:rowOff>25400</xdr:rowOff>
    </xdr:from>
    <xdr:to>
      <xdr:col>9</xdr:col>
      <xdr:colOff>885190</xdr:colOff>
      <xdr:row>2012</xdr:row>
      <xdr:rowOff>1209040</xdr:rowOff>
    </xdr:to>
    <xdr:pic>
      <xdr:nvPicPr>
        <xdr:cNvPr id="6758" name="Изображение 6757" descr="resizeПП-00271341"/>
        <xdr:cNvPicPr>
          <a:picLocks noChangeAspect="1"/>
        </xdr:cNvPicPr>
      </xdr:nvPicPr>
      <xdr:blipFill>
        <a:blip xmlns:r="http://schemas.openxmlformats.org/officeDocument/2006/relationships" r:embed="rId1514"/>
        <a:stretch>
          <a:fillRect/>
        </a:stretch>
      </xdr:blipFill>
      <xdr:spPr>
        <a:xfrm>
          <a:off x="7235825" y="1966233050"/>
          <a:ext cx="878840" cy="1183640"/>
        </a:xfrm>
        <a:prstGeom prst="rect">
          <a:avLst/>
        </a:prstGeom>
      </xdr:spPr>
    </xdr:pic>
    <xdr:clientData/>
  </xdr:twoCellAnchor>
  <xdr:twoCellAnchor>
    <xdr:from>
      <xdr:col>9</xdr:col>
      <xdr:colOff>6350</xdr:colOff>
      <xdr:row>2013</xdr:row>
      <xdr:rowOff>25400</xdr:rowOff>
    </xdr:from>
    <xdr:to>
      <xdr:col>9</xdr:col>
      <xdr:colOff>885190</xdr:colOff>
      <xdr:row>2013</xdr:row>
      <xdr:rowOff>1209040</xdr:rowOff>
    </xdr:to>
    <xdr:pic>
      <xdr:nvPicPr>
        <xdr:cNvPr id="6759" name="Изображение 6758" descr="resizeПП-00269334"/>
        <xdr:cNvPicPr>
          <a:picLocks noChangeAspect="1"/>
        </xdr:cNvPicPr>
      </xdr:nvPicPr>
      <xdr:blipFill>
        <a:blip xmlns:r="http://schemas.openxmlformats.org/officeDocument/2006/relationships" r:embed="rId1499"/>
        <a:stretch>
          <a:fillRect/>
        </a:stretch>
      </xdr:blipFill>
      <xdr:spPr>
        <a:xfrm>
          <a:off x="7235825" y="1967455425"/>
          <a:ext cx="878840" cy="1183640"/>
        </a:xfrm>
        <a:prstGeom prst="rect">
          <a:avLst/>
        </a:prstGeom>
      </xdr:spPr>
    </xdr:pic>
    <xdr:clientData/>
  </xdr:twoCellAnchor>
  <xdr:twoCellAnchor>
    <xdr:from>
      <xdr:col>9</xdr:col>
      <xdr:colOff>6350</xdr:colOff>
      <xdr:row>2014</xdr:row>
      <xdr:rowOff>25400</xdr:rowOff>
    </xdr:from>
    <xdr:to>
      <xdr:col>9</xdr:col>
      <xdr:colOff>885190</xdr:colOff>
      <xdr:row>2014</xdr:row>
      <xdr:rowOff>1209040</xdr:rowOff>
    </xdr:to>
    <xdr:pic>
      <xdr:nvPicPr>
        <xdr:cNvPr id="6760" name="Изображение 6759" descr="resizeПП-00269335"/>
        <xdr:cNvPicPr>
          <a:picLocks noChangeAspect="1"/>
        </xdr:cNvPicPr>
      </xdr:nvPicPr>
      <xdr:blipFill>
        <a:blip xmlns:r="http://schemas.openxmlformats.org/officeDocument/2006/relationships" r:embed="rId1498"/>
        <a:stretch>
          <a:fillRect/>
        </a:stretch>
      </xdr:blipFill>
      <xdr:spPr>
        <a:xfrm>
          <a:off x="7235825" y="1968677800"/>
          <a:ext cx="878840" cy="1183640"/>
        </a:xfrm>
        <a:prstGeom prst="rect">
          <a:avLst/>
        </a:prstGeom>
      </xdr:spPr>
    </xdr:pic>
    <xdr:clientData/>
  </xdr:twoCellAnchor>
  <xdr:twoCellAnchor>
    <xdr:from>
      <xdr:col>9</xdr:col>
      <xdr:colOff>6350</xdr:colOff>
      <xdr:row>2015</xdr:row>
      <xdr:rowOff>25400</xdr:rowOff>
    </xdr:from>
    <xdr:to>
      <xdr:col>9</xdr:col>
      <xdr:colOff>885190</xdr:colOff>
      <xdr:row>2015</xdr:row>
      <xdr:rowOff>1209040</xdr:rowOff>
    </xdr:to>
    <xdr:pic>
      <xdr:nvPicPr>
        <xdr:cNvPr id="6761" name="Изображение 6760" descr="resizeПП-00269295"/>
        <xdr:cNvPicPr>
          <a:picLocks noChangeAspect="1"/>
        </xdr:cNvPicPr>
      </xdr:nvPicPr>
      <xdr:blipFill>
        <a:blip xmlns:r="http://schemas.openxmlformats.org/officeDocument/2006/relationships" r:embed="rId1515"/>
        <a:stretch>
          <a:fillRect/>
        </a:stretch>
      </xdr:blipFill>
      <xdr:spPr>
        <a:xfrm>
          <a:off x="7235825" y="1969900175"/>
          <a:ext cx="878840" cy="1183640"/>
        </a:xfrm>
        <a:prstGeom prst="rect">
          <a:avLst/>
        </a:prstGeom>
      </xdr:spPr>
    </xdr:pic>
    <xdr:clientData/>
  </xdr:twoCellAnchor>
  <xdr:twoCellAnchor>
    <xdr:from>
      <xdr:col>9</xdr:col>
      <xdr:colOff>6350</xdr:colOff>
      <xdr:row>2016</xdr:row>
      <xdr:rowOff>25400</xdr:rowOff>
    </xdr:from>
    <xdr:to>
      <xdr:col>9</xdr:col>
      <xdr:colOff>885190</xdr:colOff>
      <xdr:row>2016</xdr:row>
      <xdr:rowOff>1209040</xdr:rowOff>
    </xdr:to>
    <xdr:pic>
      <xdr:nvPicPr>
        <xdr:cNvPr id="6762" name="Изображение 6761" descr="resizeПП-00269331"/>
        <xdr:cNvPicPr>
          <a:picLocks noChangeAspect="1"/>
        </xdr:cNvPicPr>
      </xdr:nvPicPr>
      <xdr:blipFill>
        <a:blip xmlns:r="http://schemas.openxmlformats.org/officeDocument/2006/relationships" r:embed="rId1516"/>
        <a:stretch>
          <a:fillRect/>
        </a:stretch>
      </xdr:blipFill>
      <xdr:spPr>
        <a:xfrm>
          <a:off x="7235825" y="1971122550"/>
          <a:ext cx="878840" cy="1183640"/>
        </a:xfrm>
        <a:prstGeom prst="rect">
          <a:avLst/>
        </a:prstGeom>
      </xdr:spPr>
    </xdr:pic>
    <xdr:clientData/>
  </xdr:twoCellAnchor>
  <xdr:twoCellAnchor>
    <xdr:from>
      <xdr:col>9</xdr:col>
      <xdr:colOff>6350</xdr:colOff>
      <xdr:row>2017</xdr:row>
      <xdr:rowOff>25400</xdr:rowOff>
    </xdr:from>
    <xdr:to>
      <xdr:col>9</xdr:col>
      <xdr:colOff>885190</xdr:colOff>
      <xdr:row>2017</xdr:row>
      <xdr:rowOff>1209040</xdr:rowOff>
    </xdr:to>
    <xdr:pic>
      <xdr:nvPicPr>
        <xdr:cNvPr id="6763" name="Изображение 6762" descr="resizeПП-00258745"/>
        <xdr:cNvPicPr>
          <a:picLocks noChangeAspect="1"/>
        </xdr:cNvPicPr>
      </xdr:nvPicPr>
      <xdr:blipFill>
        <a:blip xmlns:r="http://schemas.openxmlformats.org/officeDocument/2006/relationships" r:embed="rId1517"/>
        <a:stretch>
          <a:fillRect/>
        </a:stretch>
      </xdr:blipFill>
      <xdr:spPr>
        <a:xfrm>
          <a:off x="7235825" y="1972344925"/>
          <a:ext cx="878840" cy="1183640"/>
        </a:xfrm>
        <a:prstGeom prst="rect">
          <a:avLst/>
        </a:prstGeom>
      </xdr:spPr>
    </xdr:pic>
    <xdr:clientData/>
  </xdr:twoCellAnchor>
  <xdr:twoCellAnchor>
    <xdr:from>
      <xdr:col>9</xdr:col>
      <xdr:colOff>6350</xdr:colOff>
      <xdr:row>2018</xdr:row>
      <xdr:rowOff>25400</xdr:rowOff>
    </xdr:from>
    <xdr:to>
      <xdr:col>9</xdr:col>
      <xdr:colOff>885190</xdr:colOff>
      <xdr:row>2018</xdr:row>
      <xdr:rowOff>1209040</xdr:rowOff>
    </xdr:to>
    <xdr:pic>
      <xdr:nvPicPr>
        <xdr:cNvPr id="6764" name="Изображение 6763" descr="resizeПП-00269222"/>
        <xdr:cNvPicPr>
          <a:picLocks noChangeAspect="1"/>
        </xdr:cNvPicPr>
      </xdr:nvPicPr>
      <xdr:blipFill>
        <a:blip xmlns:r="http://schemas.openxmlformats.org/officeDocument/2006/relationships" r:embed="rId1517"/>
        <a:stretch>
          <a:fillRect/>
        </a:stretch>
      </xdr:blipFill>
      <xdr:spPr>
        <a:xfrm>
          <a:off x="7235825" y="1973567300"/>
          <a:ext cx="878840" cy="1183640"/>
        </a:xfrm>
        <a:prstGeom prst="rect">
          <a:avLst/>
        </a:prstGeom>
      </xdr:spPr>
    </xdr:pic>
    <xdr:clientData/>
  </xdr:twoCellAnchor>
  <xdr:twoCellAnchor>
    <xdr:from>
      <xdr:col>9</xdr:col>
      <xdr:colOff>6350</xdr:colOff>
      <xdr:row>2019</xdr:row>
      <xdr:rowOff>25400</xdr:rowOff>
    </xdr:from>
    <xdr:to>
      <xdr:col>9</xdr:col>
      <xdr:colOff>885190</xdr:colOff>
      <xdr:row>2019</xdr:row>
      <xdr:rowOff>1209040</xdr:rowOff>
    </xdr:to>
    <xdr:pic>
      <xdr:nvPicPr>
        <xdr:cNvPr id="6765" name="Изображение 6764" descr="resizeПП-00269338"/>
        <xdr:cNvPicPr>
          <a:picLocks noChangeAspect="1"/>
        </xdr:cNvPicPr>
      </xdr:nvPicPr>
      <xdr:blipFill>
        <a:blip xmlns:r="http://schemas.openxmlformats.org/officeDocument/2006/relationships" r:embed="rId1518"/>
        <a:stretch>
          <a:fillRect/>
        </a:stretch>
      </xdr:blipFill>
      <xdr:spPr>
        <a:xfrm>
          <a:off x="7235825" y="1974789675"/>
          <a:ext cx="878840" cy="1183640"/>
        </a:xfrm>
        <a:prstGeom prst="rect">
          <a:avLst/>
        </a:prstGeom>
      </xdr:spPr>
    </xdr:pic>
    <xdr:clientData/>
  </xdr:twoCellAnchor>
  <xdr:twoCellAnchor>
    <xdr:from>
      <xdr:col>9</xdr:col>
      <xdr:colOff>6350</xdr:colOff>
      <xdr:row>2020</xdr:row>
      <xdr:rowOff>25400</xdr:rowOff>
    </xdr:from>
    <xdr:to>
      <xdr:col>9</xdr:col>
      <xdr:colOff>885190</xdr:colOff>
      <xdr:row>2020</xdr:row>
      <xdr:rowOff>1209040</xdr:rowOff>
    </xdr:to>
    <xdr:pic>
      <xdr:nvPicPr>
        <xdr:cNvPr id="6766" name="Изображение 6765" descr="resizeПП-00269336"/>
        <xdr:cNvPicPr>
          <a:picLocks noChangeAspect="1"/>
        </xdr:cNvPicPr>
      </xdr:nvPicPr>
      <xdr:blipFill>
        <a:blip xmlns:r="http://schemas.openxmlformats.org/officeDocument/2006/relationships" r:embed="rId1519"/>
        <a:stretch>
          <a:fillRect/>
        </a:stretch>
      </xdr:blipFill>
      <xdr:spPr>
        <a:xfrm>
          <a:off x="7235825" y="1976012050"/>
          <a:ext cx="878840" cy="1183640"/>
        </a:xfrm>
        <a:prstGeom prst="rect">
          <a:avLst/>
        </a:prstGeom>
      </xdr:spPr>
    </xdr:pic>
    <xdr:clientData/>
  </xdr:twoCellAnchor>
  <xdr:twoCellAnchor>
    <xdr:from>
      <xdr:col>9</xdr:col>
      <xdr:colOff>6350</xdr:colOff>
      <xdr:row>2021</xdr:row>
      <xdr:rowOff>25400</xdr:rowOff>
    </xdr:from>
    <xdr:to>
      <xdr:col>9</xdr:col>
      <xdr:colOff>885190</xdr:colOff>
      <xdr:row>2021</xdr:row>
      <xdr:rowOff>1209040</xdr:rowOff>
    </xdr:to>
    <xdr:pic>
      <xdr:nvPicPr>
        <xdr:cNvPr id="6767" name="Изображение 6766" descr="resizeПП-00269337"/>
        <xdr:cNvPicPr>
          <a:picLocks noChangeAspect="1"/>
        </xdr:cNvPicPr>
      </xdr:nvPicPr>
      <xdr:blipFill>
        <a:blip xmlns:r="http://schemas.openxmlformats.org/officeDocument/2006/relationships" r:embed="rId1520"/>
        <a:stretch>
          <a:fillRect/>
        </a:stretch>
      </xdr:blipFill>
      <xdr:spPr>
        <a:xfrm>
          <a:off x="7235825" y="1977234425"/>
          <a:ext cx="878840" cy="1183640"/>
        </a:xfrm>
        <a:prstGeom prst="rect">
          <a:avLst/>
        </a:prstGeom>
      </xdr:spPr>
    </xdr:pic>
    <xdr:clientData/>
  </xdr:twoCellAnchor>
  <xdr:twoCellAnchor>
    <xdr:from>
      <xdr:col>9</xdr:col>
      <xdr:colOff>6350</xdr:colOff>
      <xdr:row>2023</xdr:row>
      <xdr:rowOff>25400</xdr:rowOff>
    </xdr:from>
    <xdr:to>
      <xdr:col>9</xdr:col>
      <xdr:colOff>885190</xdr:colOff>
      <xdr:row>2023</xdr:row>
      <xdr:rowOff>1209040</xdr:rowOff>
    </xdr:to>
    <xdr:pic>
      <xdr:nvPicPr>
        <xdr:cNvPr id="6768" name="Изображение 6767" descr="resizeПП-00258733"/>
        <xdr:cNvPicPr>
          <a:picLocks noChangeAspect="1"/>
        </xdr:cNvPicPr>
      </xdr:nvPicPr>
      <xdr:blipFill>
        <a:blip xmlns:r="http://schemas.openxmlformats.org/officeDocument/2006/relationships" r:embed="rId1422"/>
        <a:stretch>
          <a:fillRect/>
        </a:stretch>
      </xdr:blipFill>
      <xdr:spPr>
        <a:xfrm>
          <a:off x="7235825" y="1978609200"/>
          <a:ext cx="878840" cy="1183640"/>
        </a:xfrm>
        <a:prstGeom prst="rect">
          <a:avLst/>
        </a:prstGeom>
      </xdr:spPr>
    </xdr:pic>
    <xdr:clientData/>
  </xdr:twoCellAnchor>
  <xdr:twoCellAnchor>
    <xdr:from>
      <xdr:col>9</xdr:col>
      <xdr:colOff>6350</xdr:colOff>
      <xdr:row>2024</xdr:row>
      <xdr:rowOff>25400</xdr:rowOff>
    </xdr:from>
    <xdr:to>
      <xdr:col>9</xdr:col>
      <xdr:colOff>885190</xdr:colOff>
      <xdr:row>2024</xdr:row>
      <xdr:rowOff>1209040</xdr:rowOff>
    </xdr:to>
    <xdr:pic>
      <xdr:nvPicPr>
        <xdr:cNvPr id="6769" name="Изображение 6768" descr="resizeПП-00258737"/>
        <xdr:cNvPicPr>
          <a:picLocks noChangeAspect="1"/>
        </xdr:cNvPicPr>
      </xdr:nvPicPr>
      <xdr:blipFill>
        <a:blip xmlns:r="http://schemas.openxmlformats.org/officeDocument/2006/relationships" r:embed="rId1419"/>
        <a:stretch>
          <a:fillRect/>
        </a:stretch>
      </xdr:blipFill>
      <xdr:spPr>
        <a:xfrm>
          <a:off x="7235825" y="1979831575"/>
          <a:ext cx="878840" cy="1183640"/>
        </a:xfrm>
        <a:prstGeom prst="rect">
          <a:avLst/>
        </a:prstGeom>
      </xdr:spPr>
    </xdr:pic>
    <xdr:clientData/>
  </xdr:twoCellAnchor>
  <xdr:twoCellAnchor>
    <xdr:from>
      <xdr:col>9</xdr:col>
      <xdr:colOff>6350</xdr:colOff>
      <xdr:row>2025</xdr:row>
      <xdr:rowOff>25400</xdr:rowOff>
    </xdr:from>
    <xdr:to>
      <xdr:col>9</xdr:col>
      <xdr:colOff>885190</xdr:colOff>
      <xdr:row>2025</xdr:row>
      <xdr:rowOff>1209040</xdr:rowOff>
    </xdr:to>
    <xdr:pic>
      <xdr:nvPicPr>
        <xdr:cNvPr id="6770" name="Изображение 6769" descr="resizeПП-00258743"/>
        <xdr:cNvPicPr>
          <a:picLocks noChangeAspect="1"/>
        </xdr:cNvPicPr>
      </xdr:nvPicPr>
      <xdr:blipFill>
        <a:blip xmlns:r="http://schemas.openxmlformats.org/officeDocument/2006/relationships" r:embed="rId1521"/>
        <a:stretch>
          <a:fillRect/>
        </a:stretch>
      </xdr:blipFill>
      <xdr:spPr>
        <a:xfrm>
          <a:off x="7235825" y="1981053950"/>
          <a:ext cx="878840" cy="1183640"/>
        </a:xfrm>
        <a:prstGeom prst="rect">
          <a:avLst/>
        </a:prstGeom>
      </xdr:spPr>
    </xdr:pic>
    <xdr:clientData/>
  </xdr:twoCellAnchor>
  <xdr:twoCellAnchor>
    <xdr:from>
      <xdr:col>9</xdr:col>
      <xdr:colOff>6350</xdr:colOff>
      <xdr:row>2026</xdr:row>
      <xdr:rowOff>25400</xdr:rowOff>
    </xdr:from>
    <xdr:to>
      <xdr:col>9</xdr:col>
      <xdr:colOff>885190</xdr:colOff>
      <xdr:row>2026</xdr:row>
      <xdr:rowOff>1209040</xdr:rowOff>
    </xdr:to>
    <xdr:pic>
      <xdr:nvPicPr>
        <xdr:cNvPr id="6771" name="Изображение 6770" descr="resizeПП-00258741"/>
        <xdr:cNvPicPr>
          <a:picLocks noChangeAspect="1"/>
        </xdr:cNvPicPr>
      </xdr:nvPicPr>
      <xdr:blipFill>
        <a:blip xmlns:r="http://schemas.openxmlformats.org/officeDocument/2006/relationships" r:embed="rId1430"/>
        <a:stretch>
          <a:fillRect/>
        </a:stretch>
      </xdr:blipFill>
      <xdr:spPr>
        <a:xfrm>
          <a:off x="7235825" y="1982276325"/>
          <a:ext cx="878840" cy="1183640"/>
        </a:xfrm>
        <a:prstGeom prst="rect">
          <a:avLst/>
        </a:prstGeom>
      </xdr:spPr>
    </xdr:pic>
    <xdr:clientData/>
  </xdr:twoCellAnchor>
  <xdr:twoCellAnchor>
    <xdr:from>
      <xdr:col>9</xdr:col>
      <xdr:colOff>6350</xdr:colOff>
      <xdr:row>2027</xdr:row>
      <xdr:rowOff>25400</xdr:rowOff>
    </xdr:from>
    <xdr:to>
      <xdr:col>9</xdr:col>
      <xdr:colOff>885190</xdr:colOff>
      <xdr:row>2027</xdr:row>
      <xdr:rowOff>1209040</xdr:rowOff>
    </xdr:to>
    <xdr:pic>
      <xdr:nvPicPr>
        <xdr:cNvPr id="6772" name="Изображение 6771" descr="resizeПП-00247483"/>
        <xdr:cNvPicPr>
          <a:picLocks noChangeAspect="1"/>
        </xdr:cNvPicPr>
      </xdr:nvPicPr>
      <xdr:blipFill>
        <a:blip xmlns:r="http://schemas.openxmlformats.org/officeDocument/2006/relationships" r:embed="rId1522"/>
        <a:stretch>
          <a:fillRect/>
        </a:stretch>
      </xdr:blipFill>
      <xdr:spPr>
        <a:xfrm>
          <a:off x="7235825" y="1983498700"/>
          <a:ext cx="878840" cy="1183640"/>
        </a:xfrm>
        <a:prstGeom prst="rect">
          <a:avLst/>
        </a:prstGeom>
      </xdr:spPr>
    </xdr:pic>
    <xdr:clientData/>
  </xdr:twoCellAnchor>
  <xdr:twoCellAnchor>
    <xdr:from>
      <xdr:col>9</xdr:col>
      <xdr:colOff>6350</xdr:colOff>
      <xdr:row>2028</xdr:row>
      <xdr:rowOff>25400</xdr:rowOff>
    </xdr:from>
    <xdr:to>
      <xdr:col>9</xdr:col>
      <xdr:colOff>885190</xdr:colOff>
      <xdr:row>2028</xdr:row>
      <xdr:rowOff>1209040</xdr:rowOff>
    </xdr:to>
    <xdr:pic>
      <xdr:nvPicPr>
        <xdr:cNvPr id="6773" name="Изображение 6772" descr="resizeПП-00258740"/>
        <xdr:cNvPicPr>
          <a:picLocks noChangeAspect="1"/>
        </xdr:cNvPicPr>
      </xdr:nvPicPr>
      <xdr:blipFill>
        <a:blip xmlns:r="http://schemas.openxmlformats.org/officeDocument/2006/relationships" r:embed="rId1523"/>
        <a:stretch>
          <a:fillRect/>
        </a:stretch>
      </xdr:blipFill>
      <xdr:spPr>
        <a:xfrm>
          <a:off x="7235825" y="1984721075"/>
          <a:ext cx="878840" cy="1183640"/>
        </a:xfrm>
        <a:prstGeom prst="rect">
          <a:avLst/>
        </a:prstGeom>
      </xdr:spPr>
    </xdr:pic>
    <xdr:clientData/>
  </xdr:twoCellAnchor>
  <xdr:twoCellAnchor>
    <xdr:from>
      <xdr:col>9</xdr:col>
      <xdr:colOff>6350</xdr:colOff>
      <xdr:row>2029</xdr:row>
      <xdr:rowOff>25400</xdr:rowOff>
    </xdr:from>
    <xdr:to>
      <xdr:col>9</xdr:col>
      <xdr:colOff>885190</xdr:colOff>
      <xdr:row>2029</xdr:row>
      <xdr:rowOff>1209040</xdr:rowOff>
    </xdr:to>
    <xdr:pic>
      <xdr:nvPicPr>
        <xdr:cNvPr id="6774" name="Изображение 6773" descr="resizeПП-00271349"/>
        <xdr:cNvPicPr>
          <a:picLocks noChangeAspect="1"/>
        </xdr:cNvPicPr>
      </xdr:nvPicPr>
      <xdr:blipFill>
        <a:blip xmlns:r="http://schemas.openxmlformats.org/officeDocument/2006/relationships" r:embed="rId1524"/>
        <a:stretch>
          <a:fillRect/>
        </a:stretch>
      </xdr:blipFill>
      <xdr:spPr>
        <a:xfrm>
          <a:off x="7235825" y="1985943450"/>
          <a:ext cx="878840" cy="1183640"/>
        </a:xfrm>
        <a:prstGeom prst="rect">
          <a:avLst/>
        </a:prstGeom>
      </xdr:spPr>
    </xdr:pic>
    <xdr:clientData/>
  </xdr:twoCellAnchor>
  <xdr:twoCellAnchor>
    <xdr:from>
      <xdr:col>9</xdr:col>
      <xdr:colOff>6350</xdr:colOff>
      <xdr:row>2030</xdr:row>
      <xdr:rowOff>25400</xdr:rowOff>
    </xdr:from>
    <xdr:to>
      <xdr:col>9</xdr:col>
      <xdr:colOff>885190</xdr:colOff>
      <xdr:row>2030</xdr:row>
      <xdr:rowOff>1209040</xdr:rowOff>
    </xdr:to>
    <xdr:pic>
      <xdr:nvPicPr>
        <xdr:cNvPr id="6775" name="Изображение 6774" descr="resizeПП-00271345"/>
        <xdr:cNvPicPr>
          <a:picLocks noChangeAspect="1"/>
        </xdr:cNvPicPr>
      </xdr:nvPicPr>
      <xdr:blipFill>
        <a:blip xmlns:r="http://schemas.openxmlformats.org/officeDocument/2006/relationships" r:embed="rId1525"/>
        <a:stretch>
          <a:fillRect/>
        </a:stretch>
      </xdr:blipFill>
      <xdr:spPr>
        <a:xfrm>
          <a:off x="7235825" y="1987165825"/>
          <a:ext cx="878840" cy="1183640"/>
        </a:xfrm>
        <a:prstGeom prst="rect">
          <a:avLst/>
        </a:prstGeom>
      </xdr:spPr>
    </xdr:pic>
    <xdr:clientData/>
  </xdr:twoCellAnchor>
  <xdr:twoCellAnchor>
    <xdr:from>
      <xdr:col>9</xdr:col>
      <xdr:colOff>6350</xdr:colOff>
      <xdr:row>2031</xdr:row>
      <xdr:rowOff>25400</xdr:rowOff>
    </xdr:from>
    <xdr:to>
      <xdr:col>9</xdr:col>
      <xdr:colOff>885190</xdr:colOff>
      <xdr:row>2031</xdr:row>
      <xdr:rowOff>1209040</xdr:rowOff>
    </xdr:to>
    <xdr:pic>
      <xdr:nvPicPr>
        <xdr:cNvPr id="6776" name="Изображение 6775" descr="resizeПП-00271342"/>
        <xdr:cNvPicPr>
          <a:picLocks noChangeAspect="1"/>
        </xdr:cNvPicPr>
      </xdr:nvPicPr>
      <xdr:blipFill>
        <a:blip xmlns:r="http://schemas.openxmlformats.org/officeDocument/2006/relationships" r:embed="rId1526"/>
        <a:stretch>
          <a:fillRect/>
        </a:stretch>
      </xdr:blipFill>
      <xdr:spPr>
        <a:xfrm>
          <a:off x="7235825" y="1988388200"/>
          <a:ext cx="878840" cy="1183640"/>
        </a:xfrm>
        <a:prstGeom prst="rect">
          <a:avLst/>
        </a:prstGeom>
      </xdr:spPr>
    </xdr:pic>
    <xdr:clientData/>
  </xdr:twoCellAnchor>
  <xdr:twoCellAnchor>
    <xdr:from>
      <xdr:col>9</xdr:col>
      <xdr:colOff>6350</xdr:colOff>
      <xdr:row>2032</xdr:row>
      <xdr:rowOff>25400</xdr:rowOff>
    </xdr:from>
    <xdr:to>
      <xdr:col>9</xdr:col>
      <xdr:colOff>885190</xdr:colOff>
      <xdr:row>2032</xdr:row>
      <xdr:rowOff>1209040</xdr:rowOff>
    </xdr:to>
    <xdr:pic>
      <xdr:nvPicPr>
        <xdr:cNvPr id="6777" name="Изображение 6776" descr="resizeПП-00271350"/>
        <xdr:cNvPicPr>
          <a:picLocks noChangeAspect="1"/>
        </xdr:cNvPicPr>
      </xdr:nvPicPr>
      <xdr:blipFill>
        <a:blip xmlns:r="http://schemas.openxmlformats.org/officeDocument/2006/relationships" r:embed="rId1527"/>
        <a:stretch>
          <a:fillRect/>
        </a:stretch>
      </xdr:blipFill>
      <xdr:spPr>
        <a:xfrm>
          <a:off x="7235825" y="1989610575"/>
          <a:ext cx="878840" cy="1183640"/>
        </a:xfrm>
        <a:prstGeom prst="rect">
          <a:avLst/>
        </a:prstGeom>
      </xdr:spPr>
    </xdr:pic>
    <xdr:clientData/>
  </xdr:twoCellAnchor>
  <xdr:twoCellAnchor>
    <xdr:from>
      <xdr:col>9</xdr:col>
      <xdr:colOff>6350</xdr:colOff>
      <xdr:row>2033</xdr:row>
      <xdr:rowOff>25400</xdr:rowOff>
    </xdr:from>
    <xdr:to>
      <xdr:col>9</xdr:col>
      <xdr:colOff>885190</xdr:colOff>
      <xdr:row>2033</xdr:row>
      <xdr:rowOff>1209040</xdr:rowOff>
    </xdr:to>
    <xdr:pic>
      <xdr:nvPicPr>
        <xdr:cNvPr id="6778" name="Изображение 6777" descr="resizeПП-00271343"/>
        <xdr:cNvPicPr>
          <a:picLocks noChangeAspect="1"/>
        </xdr:cNvPicPr>
      </xdr:nvPicPr>
      <xdr:blipFill>
        <a:blip xmlns:r="http://schemas.openxmlformats.org/officeDocument/2006/relationships" r:embed="rId1528"/>
        <a:stretch>
          <a:fillRect/>
        </a:stretch>
      </xdr:blipFill>
      <xdr:spPr>
        <a:xfrm>
          <a:off x="7235825" y="1990832950"/>
          <a:ext cx="878840" cy="1183640"/>
        </a:xfrm>
        <a:prstGeom prst="rect">
          <a:avLst/>
        </a:prstGeom>
      </xdr:spPr>
    </xdr:pic>
    <xdr:clientData/>
  </xdr:twoCellAnchor>
  <xdr:twoCellAnchor>
    <xdr:from>
      <xdr:col>9</xdr:col>
      <xdr:colOff>6350</xdr:colOff>
      <xdr:row>2034</xdr:row>
      <xdr:rowOff>25400</xdr:rowOff>
    </xdr:from>
    <xdr:to>
      <xdr:col>9</xdr:col>
      <xdr:colOff>885190</xdr:colOff>
      <xdr:row>2034</xdr:row>
      <xdr:rowOff>1209040</xdr:rowOff>
    </xdr:to>
    <xdr:pic>
      <xdr:nvPicPr>
        <xdr:cNvPr id="6779" name="Изображение 6778" descr="resizeПП-00258736"/>
        <xdr:cNvPicPr>
          <a:picLocks noChangeAspect="1"/>
        </xdr:cNvPicPr>
      </xdr:nvPicPr>
      <xdr:blipFill>
        <a:blip xmlns:r="http://schemas.openxmlformats.org/officeDocument/2006/relationships" r:embed="rId1420"/>
        <a:stretch>
          <a:fillRect/>
        </a:stretch>
      </xdr:blipFill>
      <xdr:spPr>
        <a:xfrm>
          <a:off x="7235825" y="1992055325"/>
          <a:ext cx="878840" cy="1183640"/>
        </a:xfrm>
        <a:prstGeom prst="rect">
          <a:avLst/>
        </a:prstGeom>
      </xdr:spPr>
    </xdr:pic>
    <xdr:clientData/>
  </xdr:twoCellAnchor>
  <xdr:twoCellAnchor>
    <xdr:from>
      <xdr:col>9</xdr:col>
      <xdr:colOff>6350</xdr:colOff>
      <xdr:row>2035</xdr:row>
      <xdr:rowOff>25400</xdr:rowOff>
    </xdr:from>
    <xdr:to>
      <xdr:col>9</xdr:col>
      <xdr:colOff>885190</xdr:colOff>
      <xdr:row>2035</xdr:row>
      <xdr:rowOff>1209040</xdr:rowOff>
    </xdr:to>
    <xdr:pic>
      <xdr:nvPicPr>
        <xdr:cNvPr id="6780" name="Изображение 6779" descr="resizeПП-00258744"/>
        <xdr:cNvPicPr>
          <a:picLocks noChangeAspect="1"/>
        </xdr:cNvPicPr>
      </xdr:nvPicPr>
      <xdr:blipFill>
        <a:blip xmlns:r="http://schemas.openxmlformats.org/officeDocument/2006/relationships" r:embed="rId1529"/>
        <a:stretch>
          <a:fillRect/>
        </a:stretch>
      </xdr:blipFill>
      <xdr:spPr>
        <a:xfrm>
          <a:off x="7235825" y="1993277700"/>
          <a:ext cx="878840" cy="1183640"/>
        </a:xfrm>
        <a:prstGeom prst="rect">
          <a:avLst/>
        </a:prstGeom>
      </xdr:spPr>
    </xdr:pic>
    <xdr:clientData/>
  </xdr:twoCellAnchor>
  <xdr:twoCellAnchor>
    <xdr:from>
      <xdr:col>9</xdr:col>
      <xdr:colOff>6350</xdr:colOff>
      <xdr:row>2036</xdr:row>
      <xdr:rowOff>25400</xdr:rowOff>
    </xdr:from>
    <xdr:to>
      <xdr:col>9</xdr:col>
      <xdr:colOff>885190</xdr:colOff>
      <xdr:row>2036</xdr:row>
      <xdr:rowOff>1209040</xdr:rowOff>
    </xdr:to>
    <xdr:pic>
      <xdr:nvPicPr>
        <xdr:cNvPr id="6781" name="Изображение 6780" descr="resizeПП-00258732"/>
        <xdr:cNvPicPr>
          <a:picLocks noChangeAspect="1"/>
        </xdr:cNvPicPr>
      </xdr:nvPicPr>
      <xdr:blipFill>
        <a:blip xmlns:r="http://schemas.openxmlformats.org/officeDocument/2006/relationships" r:embed="rId1530"/>
        <a:stretch>
          <a:fillRect/>
        </a:stretch>
      </xdr:blipFill>
      <xdr:spPr>
        <a:xfrm>
          <a:off x="7235825" y="1994500075"/>
          <a:ext cx="878840" cy="1183640"/>
        </a:xfrm>
        <a:prstGeom prst="rect">
          <a:avLst/>
        </a:prstGeom>
      </xdr:spPr>
    </xdr:pic>
    <xdr:clientData/>
  </xdr:twoCellAnchor>
  <xdr:twoCellAnchor>
    <xdr:from>
      <xdr:col>9</xdr:col>
      <xdr:colOff>6350</xdr:colOff>
      <xdr:row>2037</xdr:row>
      <xdr:rowOff>25400</xdr:rowOff>
    </xdr:from>
    <xdr:to>
      <xdr:col>9</xdr:col>
      <xdr:colOff>885190</xdr:colOff>
      <xdr:row>2037</xdr:row>
      <xdr:rowOff>1209040</xdr:rowOff>
    </xdr:to>
    <xdr:pic>
      <xdr:nvPicPr>
        <xdr:cNvPr id="6782" name="Изображение 6781" descr="resizeПП-00258732"/>
        <xdr:cNvPicPr>
          <a:picLocks noChangeAspect="1"/>
        </xdr:cNvPicPr>
      </xdr:nvPicPr>
      <xdr:blipFill>
        <a:blip xmlns:r="http://schemas.openxmlformats.org/officeDocument/2006/relationships" r:embed="rId1530"/>
        <a:stretch>
          <a:fillRect/>
        </a:stretch>
      </xdr:blipFill>
      <xdr:spPr>
        <a:xfrm>
          <a:off x="7235825" y="1995722450"/>
          <a:ext cx="878840" cy="1183640"/>
        </a:xfrm>
        <a:prstGeom prst="rect">
          <a:avLst/>
        </a:prstGeom>
      </xdr:spPr>
    </xdr:pic>
    <xdr:clientData/>
  </xdr:twoCellAnchor>
  <xdr:twoCellAnchor>
    <xdr:from>
      <xdr:col>9</xdr:col>
      <xdr:colOff>6350</xdr:colOff>
      <xdr:row>2038</xdr:row>
      <xdr:rowOff>25400</xdr:rowOff>
    </xdr:from>
    <xdr:to>
      <xdr:col>9</xdr:col>
      <xdr:colOff>885190</xdr:colOff>
      <xdr:row>2038</xdr:row>
      <xdr:rowOff>1209040</xdr:rowOff>
    </xdr:to>
    <xdr:pic>
      <xdr:nvPicPr>
        <xdr:cNvPr id="6783" name="Изображение 6782" descr="resizeПП-00258742"/>
        <xdr:cNvPicPr>
          <a:picLocks noChangeAspect="1"/>
        </xdr:cNvPicPr>
      </xdr:nvPicPr>
      <xdr:blipFill>
        <a:blip xmlns:r="http://schemas.openxmlformats.org/officeDocument/2006/relationships" r:embed="rId1431"/>
        <a:stretch>
          <a:fillRect/>
        </a:stretch>
      </xdr:blipFill>
      <xdr:spPr>
        <a:xfrm>
          <a:off x="7235825" y="1996944825"/>
          <a:ext cx="878840" cy="1183640"/>
        </a:xfrm>
        <a:prstGeom prst="rect">
          <a:avLst/>
        </a:prstGeom>
      </xdr:spPr>
    </xdr:pic>
    <xdr:clientData/>
  </xdr:twoCellAnchor>
  <xdr:twoCellAnchor>
    <xdr:from>
      <xdr:col>9</xdr:col>
      <xdr:colOff>6350</xdr:colOff>
      <xdr:row>2039</xdr:row>
      <xdr:rowOff>25400</xdr:rowOff>
    </xdr:from>
    <xdr:to>
      <xdr:col>9</xdr:col>
      <xdr:colOff>885190</xdr:colOff>
      <xdr:row>2039</xdr:row>
      <xdr:rowOff>1209040</xdr:rowOff>
    </xdr:to>
    <xdr:pic>
      <xdr:nvPicPr>
        <xdr:cNvPr id="6784" name="Изображение 6783" descr="resizeПП-00258738"/>
        <xdr:cNvPicPr>
          <a:picLocks noChangeAspect="1"/>
        </xdr:cNvPicPr>
      </xdr:nvPicPr>
      <xdr:blipFill>
        <a:blip xmlns:r="http://schemas.openxmlformats.org/officeDocument/2006/relationships" r:embed="rId1531"/>
        <a:stretch>
          <a:fillRect/>
        </a:stretch>
      </xdr:blipFill>
      <xdr:spPr>
        <a:xfrm>
          <a:off x="7235825" y="1998167200"/>
          <a:ext cx="878840" cy="1183640"/>
        </a:xfrm>
        <a:prstGeom prst="rect">
          <a:avLst/>
        </a:prstGeom>
      </xdr:spPr>
    </xdr:pic>
    <xdr:clientData/>
  </xdr:twoCellAnchor>
  <xdr:twoCellAnchor>
    <xdr:from>
      <xdr:col>9</xdr:col>
      <xdr:colOff>6350</xdr:colOff>
      <xdr:row>2041</xdr:row>
      <xdr:rowOff>25400</xdr:rowOff>
    </xdr:from>
    <xdr:to>
      <xdr:col>9</xdr:col>
      <xdr:colOff>885190</xdr:colOff>
      <xdr:row>2041</xdr:row>
      <xdr:rowOff>1209040</xdr:rowOff>
    </xdr:to>
    <xdr:pic>
      <xdr:nvPicPr>
        <xdr:cNvPr id="6785" name="Изображение 6784" descr="resizeПП-00228201"/>
        <xdr:cNvPicPr>
          <a:picLocks noChangeAspect="1"/>
        </xdr:cNvPicPr>
      </xdr:nvPicPr>
      <xdr:blipFill>
        <a:blip xmlns:r="http://schemas.openxmlformats.org/officeDocument/2006/relationships" r:embed="rId1532"/>
        <a:stretch>
          <a:fillRect/>
        </a:stretch>
      </xdr:blipFill>
      <xdr:spPr>
        <a:xfrm>
          <a:off x="7235825" y="1999541975"/>
          <a:ext cx="878840" cy="1183640"/>
        </a:xfrm>
        <a:prstGeom prst="rect">
          <a:avLst/>
        </a:prstGeom>
      </xdr:spPr>
    </xdr:pic>
    <xdr:clientData/>
  </xdr:twoCellAnchor>
  <xdr:twoCellAnchor>
    <xdr:from>
      <xdr:col>9</xdr:col>
      <xdr:colOff>6350</xdr:colOff>
      <xdr:row>2042</xdr:row>
      <xdr:rowOff>25400</xdr:rowOff>
    </xdr:from>
    <xdr:to>
      <xdr:col>9</xdr:col>
      <xdr:colOff>885190</xdr:colOff>
      <xdr:row>2042</xdr:row>
      <xdr:rowOff>1209040</xdr:rowOff>
    </xdr:to>
    <xdr:pic>
      <xdr:nvPicPr>
        <xdr:cNvPr id="6786" name="Изображение 6785" descr="resizeПП-00247490"/>
        <xdr:cNvPicPr>
          <a:picLocks noChangeAspect="1"/>
        </xdr:cNvPicPr>
      </xdr:nvPicPr>
      <xdr:blipFill>
        <a:blip xmlns:r="http://schemas.openxmlformats.org/officeDocument/2006/relationships" r:embed="rId1533"/>
        <a:stretch>
          <a:fillRect/>
        </a:stretch>
      </xdr:blipFill>
      <xdr:spPr>
        <a:xfrm>
          <a:off x="7235825" y="2000764350"/>
          <a:ext cx="878840" cy="1183640"/>
        </a:xfrm>
        <a:prstGeom prst="rect">
          <a:avLst/>
        </a:prstGeom>
      </xdr:spPr>
    </xdr:pic>
    <xdr:clientData/>
  </xdr:twoCellAnchor>
  <xdr:twoCellAnchor>
    <xdr:from>
      <xdr:col>9</xdr:col>
      <xdr:colOff>6350</xdr:colOff>
      <xdr:row>2043</xdr:row>
      <xdr:rowOff>25400</xdr:rowOff>
    </xdr:from>
    <xdr:to>
      <xdr:col>9</xdr:col>
      <xdr:colOff>885190</xdr:colOff>
      <xdr:row>2043</xdr:row>
      <xdr:rowOff>1209040</xdr:rowOff>
    </xdr:to>
    <xdr:pic>
      <xdr:nvPicPr>
        <xdr:cNvPr id="6787" name="Изображение 6786" descr="resizeПП-00247488"/>
        <xdr:cNvPicPr>
          <a:picLocks noChangeAspect="1"/>
        </xdr:cNvPicPr>
      </xdr:nvPicPr>
      <xdr:blipFill>
        <a:blip xmlns:r="http://schemas.openxmlformats.org/officeDocument/2006/relationships" r:embed="rId1534"/>
        <a:stretch>
          <a:fillRect/>
        </a:stretch>
      </xdr:blipFill>
      <xdr:spPr>
        <a:xfrm>
          <a:off x="7235825" y="2001986725"/>
          <a:ext cx="878840" cy="1183640"/>
        </a:xfrm>
        <a:prstGeom prst="rect">
          <a:avLst/>
        </a:prstGeom>
      </xdr:spPr>
    </xdr:pic>
    <xdr:clientData/>
  </xdr:twoCellAnchor>
  <xdr:twoCellAnchor>
    <xdr:from>
      <xdr:col>9</xdr:col>
      <xdr:colOff>6350</xdr:colOff>
      <xdr:row>2044</xdr:row>
      <xdr:rowOff>25400</xdr:rowOff>
    </xdr:from>
    <xdr:to>
      <xdr:col>9</xdr:col>
      <xdr:colOff>885190</xdr:colOff>
      <xdr:row>2044</xdr:row>
      <xdr:rowOff>1209040</xdr:rowOff>
    </xdr:to>
    <xdr:pic>
      <xdr:nvPicPr>
        <xdr:cNvPr id="6788" name="Изображение 6787" descr="resizeПП-00271352"/>
        <xdr:cNvPicPr>
          <a:picLocks noChangeAspect="1"/>
        </xdr:cNvPicPr>
      </xdr:nvPicPr>
      <xdr:blipFill>
        <a:blip xmlns:r="http://schemas.openxmlformats.org/officeDocument/2006/relationships" r:embed="rId1535"/>
        <a:stretch>
          <a:fillRect/>
        </a:stretch>
      </xdr:blipFill>
      <xdr:spPr>
        <a:xfrm>
          <a:off x="7235825" y="2003209100"/>
          <a:ext cx="878840" cy="1183640"/>
        </a:xfrm>
        <a:prstGeom prst="rect">
          <a:avLst/>
        </a:prstGeom>
      </xdr:spPr>
    </xdr:pic>
    <xdr:clientData/>
  </xdr:twoCellAnchor>
  <xdr:twoCellAnchor>
    <xdr:from>
      <xdr:col>9</xdr:col>
      <xdr:colOff>6350</xdr:colOff>
      <xdr:row>2045</xdr:row>
      <xdr:rowOff>25400</xdr:rowOff>
    </xdr:from>
    <xdr:to>
      <xdr:col>9</xdr:col>
      <xdr:colOff>885190</xdr:colOff>
      <xdr:row>2045</xdr:row>
      <xdr:rowOff>1209040</xdr:rowOff>
    </xdr:to>
    <xdr:pic>
      <xdr:nvPicPr>
        <xdr:cNvPr id="6789" name="Изображение 6788" descr="resizeПП-00271353"/>
        <xdr:cNvPicPr>
          <a:picLocks noChangeAspect="1"/>
        </xdr:cNvPicPr>
      </xdr:nvPicPr>
      <xdr:blipFill>
        <a:blip xmlns:r="http://schemas.openxmlformats.org/officeDocument/2006/relationships" r:embed="rId1536"/>
        <a:stretch>
          <a:fillRect/>
        </a:stretch>
      </xdr:blipFill>
      <xdr:spPr>
        <a:xfrm>
          <a:off x="7235825" y="2004431475"/>
          <a:ext cx="878840" cy="1183640"/>
        </a:xfrm>
        <a:prstGeom prst="rect">
          <a:avLst/>
        </a:prstGeom>
      </xdr:spPr>
    </xdr:pic>
    <xdr:clientData/>
  </xdr:twoCellAnchor>
  <xdr:twoCellAnchor>
    <xdr:from>
      <xdr:col>9</xdr:col>
      <xdr:colOff>6350</xdr:colOff>
      <xdr:row>2046</xdr:row>
      <xdr:rowOff>25400</xdr:rowOff>
    </xdr:from>
    <xdr:to>
      <xdr:col>9</xdr:col>
      <xdr:colOff>885190</xdr:colOff>
      <xdr:row>2046</xdr:row>
      <xdr:rowOff>1209040</xdr:rowOff>
    </xdr:to>
    <xdr:pic>
      <xdr:nvPicPr>
        <xdr:cNvPr id="6790" name="Изображение 6789" descr="resizeПП-00271351"/>
        <xdr:cNvPicPr>
          <a:picLocks noChangeAspect="1"/>
        </xdr:cNvPicPr>
      </xdr:nvPicPr>
      <xdr:blipFill>
        <a:blip xmlns:r="http://schemas.openxmlformats.org/officeDocument/2006/relationships" r:embed="rId1537"/>
        <a:stretch>
          <a:fillRect/>
        </a:stretch>
      </xdr:blipFill>
      <xdr:spPr>
        <a:xfrm>
          <a:off x="7235825" y="2005653850"/>
          <a:ext cx="878840" cy="1183640"/>
        </a:xfrm>
        <a:prstGeom prst="rect">
          <a:avLst/>
        </a:prstGeom>
      </xdr:spPr>
    </xdr:pic>
    <xdr:clientData/>
  </xdr:twoCellAnchor>
  <xdr:twoCellAnchor>
    <xdr:from>
      <xdr:col>9</xdr:col>
      <xdr:colOff>6350</xdr:colOff>
      <xdr:row>2049</xdr:row>
      <xdr:rowOff>25400</xdr:rowOff>
    </xdr:from>
    <xdr:to>
      <xdr:col>9</xdr:col>
      <xdr:colOff>885190</xdr:colOff>
      <xdr:row>2049</xdr:row>
      <xdr:rowOff>1209040</xdr:rowOff>
    </xdr:to>
    <xdr:pic>
      <xdr:nvPicPr>
        <xdr:cNvPr id="6791" name="Изображение 6790" descr="resizeПП-00254229"/>
        <xdr:cNvPicPr>
          <a:picLocks noChangeAspect="1"/>
        </xdr:cNvPicPr>
      </xdr:nvPicPr>
      <xdr:blipFill>
        <a:blip xmlns:r="http://schemas.openxmlformats.org/officeDocument/2006/relationships" r:embed="rId1538"/>
        <a:stretch>
          <a:fillRect/>
        </a:stretch>
      </xdr:blipFill>
      <xdr:spPr>
        <a:xfrm>
          <a:off x="7235825" y="2007181025"/>
          <a:ext cx="878840" cy="1183640"/>
        </a:xfrm>
        <a:prstGeom prst="rect">
          <a:avLst/>
        </a:prstGeom>
      </xdr:spPr>
    </xdr:pic>
    <xdr:clientData/>
  </xdr:twoCellAnchor>
  <xdr:twoCellAnchor>
    <xdr:from>
      <xdr:col>9</xdr:col>
      <xdr:colOff>6350</xdr:colOff>
      <xdr:row>2050</xdr:row>
      <xdr:rowOff>25400</xdr:rowOff>
    </xdr:from>
    <xdr:to>
      <xdr:col>9</xdr:col>
      <xdr:colOff>885190</xdr:colOff>
      <xdr:row>2050</xdr:row>
      <xdr:rowOff>1209040</xdr:rowOff>
    </xdr:to>
    <xdr:pic>
      <xdr:nvPicPr>
        <xdr:cNvPr id="6792" name="Изображение 6791" descr="resizeПП-00254224"/>
        <xdr:cNvPicPr>
          <a:picLocks noChangeAspect="1"/>
        </xdr:cNvPicPr>
      </xdr:nvPicPr>
      <xdr:blipFill>
        <a:blip xmlns:r="http://schemas.openxmlformats.org/officeDocument/2006/relationships" r:embed="rId1539"/>
        <a:stretch>
          <a:fillRect/>
        </a:stretch>
      </xdr:blipFill>
      <xdr:spPr>
        <a:xfrm>
          <a:off x="7235825" y="2008403400"/>
          <a:ext cx="878840" cy="1183640"/>
        </a:xfrm>
        <a:prstGeom prst="rect">
          <a:avLst/>
        </a:prstGeom>
      </xdr:spPr>
    </xdr:pic>
    <xdr:clientData/>
  </xdr:twoCellAnchor>
  <xdr:twoCellAnchor>
    <xdr:from>
      <xdr:col>9</xdr:col>
      <xdr:colOff>6350</xdr:colOff>
      <xdr:row>2052</xdr:row>
      <xdr:rowOff>25400</xdr:rowOff>
    </xdr:from>
    <xdr:to>
      <xdr:col>9</xdr:col>
      <xdr:colOff>885190</xdr:colOff>
      <xdr:row>2052</xdr:row>
      <xdr:rowOff>1209040</xdr:rowOff>
    </xdr:to>
    <xdr:pic>
      <xdr:nvPicPr>
        <xdr:cNvPr id="6793" name="Изображение 6792" descr="resizeПП-00254222"/>
        <xdr:cNvPicPr>
          <a:picLocks noChangeAspect="1"/>
        </xdr:cNvPicPr>
      </xdr:nvPicPr>
      <xdr:blipFill>
        <a:blip xmlns:r="http://schemas.openxmlformats.org/officeDocument/2006/relationships" r:embed="rId1540"/>
        <a:stretch>
          <a:fillRect/>
        </a:stretch>
      </xdr:blipFill>
      <xdr:spPr>
        <a:xfrm>
          <a:off x="7235825" y="2009778175"/>
          <a:ext cx="878840" cy="1183640"/>
        </a:xfrm>
        <a:prstGeom prst="rect">
          <a:avLst/>
        </a:prstGeom>
      </xdr:spPr>
    </xdr:pic>
    <xdr:clientData/>
  </xdr:twoCellAnchor>
  <xdr:twoCellAnchor>
    <xdr:from>
      <xdr:col>9</xdr:col>
      <xdr:colOff>6350</xdr:colOff>
      <xdr:row>2053</xdr:row>
      <xdr:rowOff>25400</xdr:rowOff>
    </xdr:from>
    <xdr:to>
      <xdr:col>9</xdr:col>
      <xdr:colOff>885190</xdr:colOff>
      <xdr:row>2053</xdr:row>
      <xdr:rowOff>1209040</xdr:rowOff>
    </xdr:to>
    <xdr:pic>
      <xdr:nvPicPr>
        <xdr:cNvPr id="6794" name="Изображение 6793" descr="resizeПП-00254217"/>
        <xdr:cNvPicPr>
          <a:picLocks noChangeAspect="1"/>
        </xdr:cNvPicPr>
      </xdr:nvPicPr>
      <xdr:blipFill>
        <a:blip xmlns:r="http://schemas.openxmlformats.org/officeDocument/2006/relationships" r:embed="rId1541"/>
        <a:stretch>
          <a:fillRect/>
        </a:stretch>
      </xdr:blipFill>
      <xdr:spPr>
        <a:xfrm>
          <a:off x="7235825" y="2011000550"/>
          <a:ext cx="878840" cy="1183640"/>
        </a:xfrm>
        <a:prstGeom prst="rect">
          <a:avLst/>
        </a:prstGeom>
      </xdr:spPr>
    </xdr:pic>
    <xdr:clientData/>
  </xdr:twoCellAnchor>
  <xdr:twoCellAnchor>
    <xdr:from>
      <xdr:col>9</xdr:col>
      <xdr:colOff>6350</xdr:colOff>
      <xdr:row>2055</xdr:row>
      <xdr:rowOff>25400</xdr:rowOff>
    </xdr:from>
    <xdr:to>
      <xdr:col>9</xdr:col>
      <xdr:colOff>885190</xdr:colOff>
      <xdr:row>2055</xdr:row>
      <xdr:rowOff>1209040</xdr:rowOff>
    </xdr:to>
    <xdr:pic>
      <xdr:nvPicPr>
        <xdr:cNvPr id="6795" name="Изображение 6794" descr="resizeПП-00236224"/>
        <xdr:cNvPicPr>
          <a:picLocks noChangeAspect="1"/>
        </xdr:cNvPicPr>
      </xdr:nvPicPr>
      <xdr:blipFill>
        <a:blip xmlns:r="http://schemas.openxmlformats.org/officeDocument/2006/relationships" r:embed="rId1433"/>
        <a:stretch>
          <a:fillRect/>
        </a:stretch>
      </xdr:blipFill>
      <xdr:spPr>
        <a:xfrm>
          <a:off x="7235825" y="2012375325"/>
          <a:ext cx="878840" cy="1183640"/>
        </a:xfrm>
        <a:prstGeom prst="rect">
          <a:avLst/>
        </a:prstGeom>
      </xdr:spPr>
    </xdr:pic>
    <xdr:clientData/>
  </xdr:twoCellAnchor>
  <xdr:twoCellAnchor>
    <xdr:from>
      <xdr:col>9</xdr:col>
      <xdr:colOff>6350</xdr:colOff>
      <xdr:row>2056</xdr:row>
      <xdr:rowOff>25400</xdr:rowOff>
    </xdr:from>
    <xdr:to>
      <xdr:col>9</xdr:col>
      <xdr:colOff>885190</xdr:colOff>
      <xdr:row>2056</xdr:row>
      <xdr:rowOff>1209040</xdr:rowOff>
    </xdr:to>
    <xdr:pic>
      <xdr:nvPicPr>
        <xdr:cNvPr id="6796" name="Изображение 6795" descr="resizeПП-00236226"/>
        <xdr:cNvPicPr>
          <a:picLocks noChangeAspect="1"/>
        </xdr:cNvPicPr>
      </xdr:nvPicPr>
      <xdr:blipFill>
        <a:blip xmlns:r="http://schemas.openxmlformats.org/officeDocument/2006/relationships" r:embed="rId1435"/>
        <a:stretch>
          <a:fillRect/>
        </a:stretch>
      </xdr:blipFill>
      <xdr:spPr>
        <a:xfrm>
          <a:off x="7235825" y="2013597700"/>
          <a:ext cx="878840" cy="1183640"/>
        </a:xfrm>
        <a:prstGeom prst="rect">
          <a:avLst/>
        </a:prstGeom>
      </xdr:spPr>
    </xdr:pic>
    <xdr:clientData/>
  </xdr:twoCellAnchor>
  <xdr:twoCellAnchor>
    <xdr:from>
      <xdr:col>9</xdr:col>
      <xdr:colOff>6350</xdr:colOff>
      <xdr:row>2059</xdr:row>
      <xdr:rowOff>25400</xdr:rowOff>
    </xdr:from>
    <xdr:to>
      <xdr:col>9</xdr:col>
      <xdr:colOff>885190</xdr:colOff>
      <xdr:row>2059</xdr:row>
      <xdr:rowOff>1209040</xdr:rowOff>
    </xdr:to>
    <xdr:pic>
      <xdr:nvPicPr>
        <xdr:cNvPr id="6797" name="Изображение 6796" descr="resizeПП-00271355"/>
        <xdr:cNvPicPr>
          <a:picLocks noChangeAspect="1"/>
        </xdr:cNvPicPr>
      </xdr:nvPicPr>
      <xdr:blipFill>
        <a:blip xmlns:r="http://schemas.openxmlformats.org/officeDocument/2006/relationships" r:embed="rId1542"/>
        <a:stretch>
          <a:fillRect/>
        </a:stretch>
      </xdr:blipFill>
      <xdr:spPr>
        <a:xfrm>
          <a:off x="7235825" y="2015124875"/>
          <a:ext cx="878840" cy="1183640"/>
        </a:xfrm>
        <a:prstGeom prst="rect">
          <a:avLst/>
        </a:prstGeom>
      </xdr:spPr>
    </xdr:pic>
    <xdr:clientData/>
  </xdr:twoCellAnchor>
  <xdr:twoCellAnchor>
    <xdr:from>
      <xdr:col>9</xdr:col>
      <xdr:colOff>6350</xdr:colOff>
      <xdr:row>2060</xdr:row>
      <xdr:rowOff>25400</xdr:rowOff>
    </xdr:from>
    <xdr:to>
      <xdr:col>9</xdr:col>
      <xdr:colOff>885190</xdr:colOff>
      <xdr:row>2060</xdr:row>
      <xdr:rowOff>1209040</xdr:rowOff>
    </xdr:to>
    <xdr:pic>
      <xdr:nvPicPr>
        <xdr:cNvPr id="6798" name="Изображение 6797" descr="resizeПП-00271358"/>
        <xdr:cNvPicPr>
          <a:picLocks noChangeAspect="1"/>
        </xdr:cNvPicPr>
      </xdr:nvPicPr>
      <xdr:blipFill>
        <a:blip xmlns:r="http://schemas.openxmlformats.org/officeDocument/2006/relationships" r:embed="rId1543"/>
        <a:stretch>
          <a:fillRect/>
        </a:stretch>
      </xdr:blipFill>
      <xdr:spPr>
        <a:xfrm>
          <a:off x="7235825" y="2016347250"/>
          <a:ext cx="878840" cy="1183640"/>
        </a:xfrm>
        <a:prstGeom prst="rect">
          <a:avLst/>
        </a:prstGeom>
      </xdr:spPr>
    </xdr:pic>
    <xdr:clientData/>
  </xdr:twoCellAnchor>
  <xdr:twoCellAnchor>
    <xdr:from>
      <xdr:col>9</xdr:col>
      <xdr:colOff>6350</xdr:colOff>
      <xdr:row>2061</xdr:row>
      <xdr:rowOff>25400</xdr:rowOff>
    </xdr:from>
    <xdr:to>
      <xdr:col>9</xdr:col>
      <xdr:colOff>885190</xdr:colOff>
      <xdr:row>2061</xdr:row>
      <xdr:rowOff>1209040</xdr:rowOff>
    </xdr:to>
    <xdr:pic>
      <xdr:nvPicPr>
        <xdr:cNvPr id="6799" name="Изображение 6798" descr="resizeПП-00271357"/>
        <xdr:cNvPicPr>
          <a:picLocks noChangeAspect="1"/>
        </xdr:cNvPicPr>
      </xdr:nvPicPr>
      <xdr:blipFill>
        <a:blip xmlns:r="http://schemas.openxmlformats.org/officeDocument/2006/relationships" r:embed="rId1544"/>
        <a:stretch>
          <a:fillRect/>
        </a:stretch>
      </xdr:blipFill>
      <xdr:spPr>
        <a:xfrm>
          <a:off x="7235825" y="2017569625"/>
          <a:ext cx="878840" cy="1183640"/>
        </a:xfrm>
        <a:prstGeom prst="rect">
          <a:avLst/>
        </a:prstGeom>
      </xdr:spPr>
    </xdr:pic>
    <xdr:clientData/>
  </xdr:twoCellAnchor>
  <xdr:twoCellAnchor>
    <xdr:from>
      <xdr:col>9</xdr:col>
      <xdr:colOff>6350</xdr:colOff>
      <xdr:row>2062</xdr:row>
      <xdr:rowOff>25400</xdr:rowOff>
    </xdr:from>
    <xdr:to>
      <xdr:col>9</xdr:col>
      <xdr:colOff>885190</xdr:colOff>
      <xdr:row>2062</xdr:row>
      <xdr:rowOff>1209040</xdr:rowOff>
    </xdr:to>
    <xdr:pic>
      <xdr:nvPicPr>
        <xdr:cNvPr id="6800" name="Изображение 6799" descr="resizeПП-00271356"/>
        <xdr:cNvPicPr>
          <a:picLocks noChangeAspect="1"/>
        </xdr:cNvPicPr>
      </xdr:nvPicPr>
      <xdr:blipFill>
        <a:blip xmlns:r="http://schemas.openxmlformats.org/officeDocument/2006/relationships" r:embed="rId1545"/>
        <a:stretch>
          <a:fillRect/>
        </a:stretch>
      </xdr:blipFill>
      <xdr:spPr>
        <a:xfrm>
          <a:off x="7235825" y="2018792000"/>
          <a:ext cx="878840" cy="1183640"/>
        </a:xfrm>
        <a:prstGeom prst="rect">
          <a:avLst/>
        </a:prstGeom>
      </xdr:spPr>
    </xdr:pic>
    <xdr:clientData/>
  </xdr:twoCellAnchor>
  <xdr:twoCellAnchor>
    <xdr:from>
      <xdr:col>9</xdr:col>
      <xdr:colOff>6350</xdr:colOff>
      <xdr:row>2064</xdr:row>
      <xdr:rowOff>25400</xdr:rowOff>
    </xdr:from>
    <xdr:to>
      <xdr:col>9</xdr:col>
      <xdr:colOff>885190</xdr:colOff>
      <xdr:row>2064</xdr:row>
      <xdr:rowOff>1209040</xdr:rowOff>
    </xdr:to>
    <xdr:pic>
      <xdr:nvPicPr>
        <xdr:cNvPr id="6801" name="Изображение 6800" descr="resizeПП-00271361"/>
        <xdr:cNvPicPr>
          <a:picLocks noChangeAspect="1"/>
        </xdr:cNvPicPr>
      </xdr:nvPicPr>
      <xdr:blipFill>
        <a:blip xmlns:r="http://schemas.openxmlformats.org/officeDocument/2006/relationships" r:embed="rId1546"/>
        <a:stretch>
          <a:fillRect/>
        </a:stretch>
      </xdr:blipFill>
      <xdr:spPr>
        <a:xfrm>
          <a:off x="7235825" y="2020166775"/>
          <a:ext cx="878840" cy="1183640"/>
        </a:xfrm>
        <a:prstGeom prst="rect">
          <a:avLst/>
        </a:prstGeom>
      </xdr:spPr>
    </xdr:pic>
    <xdr:clientData/>
  </xdr:twoCellAnchor>
  <xdr:twoCellAnchor>
    <xdr:from>
      <xdr:col>9</xdr:col>
      <xdr:colOff>6350</xdr:colOff>
      <xdr:row>2065</xdr:row>
      <xdr:rowOff>25400</xdr:rowOff>
    </xdr:from>
    <xdr:to>
      <xdr:col>9</xdr:col>
      <xdr:colOff>885190</xdr:colOff>
      <xdr:row>2065</xdr:row>
      <xdr:rowOff>1209040</xdr:rowOff>
    </xdr:to>
    <xdr:pic>
      <xdr:nvPicPr>
        <xdr:cNvPr id="6802" name="Изображение 6801" descr="resizeПП-00271362"/>
        <xdr:cNvPicPr>
          <a:picLocks noChangeAspect="1"/>
        </xdr:cNvPicPr>
      </xdr:nvPicPr>
      <xdr:blipFill>
        <a:blip xmlns:r="http://schemas.openxmlformats.org/officeDocument/2006/relationships" r:embed="rId1547"/>
        <a:stretch>
          <a:fillRect/>
        </a:stretch>
      </xdr:blipFill>
      <xdr:spPr>
        <a:xfrm>
          <a:off x="7235825" y="2021389150"/>
          <a:ext cx="878840" cy="1183640"/>
        </a:xfrm>
        <a:prstGeom prst="rect">
          <a:avLst/>
        </a:prstGeom>
      </xdr:spPr>
    </xdr:pic>
    <xdr:clientData/>
  </xdr:twoCellAnchor>
  <xdr:twoCellAnchor>
    <xdr:from>
      <xdr:col>9</xdr:col>
      <xdr:colOff>6350</xdr:colOff>
      <xdr:row>2066</xdr:row>
      <xdr:rowOff>25400</xdr:rowOff>
    </xdr:from>
    <xdr:to>
      <xdr:col>9</xdr:col>
      <xdr:colOff>885190</xdr:colOff>
      <xdr:row>2066</xdr:row>
      <xdr:rowOff>1209040</xdr:rowOff>
    </xdr:to>
    <xdr:pic>
      <xdr:nvPicPr>
        <xdr:cNvPr id="6803" name="Изображение 6802" descr="resizeПП-00271360"/>
        <xdr:cNvPicPr>
          <a:picLocks noChangeAspect="1"/>
        </xdr:cNvPicPr>
      </xdr:nvPicPr>
      <xdr:blipFill>
        <a:blip xmlns:r="http://schemas.openxmlformats.org/officeDocument/2006/relationships" r:embed="rId1548"/>
        <a:stretch>
          <a:fillRect/>
        </a:stretch>
      </xdr:blipFill>
      <xdr:spPr>
        <a:xfrm>
          <a:off x="7235825" y="2022611525"/>
          <a:ext cx="878840" cy="1183640"/>
        </a:xfrm>
        <a:prstGeom prst="rect">
          <a:avLst/>
        </a:prstGeom>
      </xdr:spPr>
    </xdr:pic>
    <xdr:clientData/>
  </xdr:twoCellAnchor>
  <xdr:twoCellAnchor>
    <xdr:from>
      <xdr:col>9</xdr:col>
      <xdr:colOff>6350</xdr:colOff>
      <xdr:row>2067</xdr:row>
      <xdr:rowOff>25400</xdr:rowOff>
    </xdr:from>
    <xdr:to>
      <xdr:col>9</xdr:col>
      <xdr:colOff>885190</xdr:colOff>
      <xdr:row>2067</xdr:row>
      <xdr:rowOff>1209040</xdr:rowOff>
    </xdr:to>
    <xdr:pic>
      <xdr:nvPicPr>
        <xdr:cNvPr id="6804" name="Изображение 6803" descr="resizeПП-00271363"/>
        <xdr:cNvPicPr>
          <a:picLocks noChangeAspect="1"/>
        </xdr:cNvPicPr>
      </xdr:nvPicPr>
      <xdr:blipFill>
        <a:blip xmlns:r="http://schemas.openxmlformats.org/officeDocument/2006/relationships" r:embed="rId1549"/>
        <a:stretch>
          <a:fillRect/>
        </a:stretch>
      </xdr:blipFill>
      <xdr:spPr>
        <a:xfrm>
          <a:off x="7235825" y="2023833900"/>
          <a:ext cx="878840" cy="1183640"/>
        </a:xfrm>
        <a:prstGeom prst="rect">
          <a:avLst/>
        </a:prstGeom>
      </xdr:spPr>
    </xdr:pic>
    <xdr:clientData/>
  </xdr:twoCellAnchor>
  <xdr:twoCellAnchor>
    <xdr:from>
      <xdr:col>9</xdr:col>
      <xdr:colOff>6350</xdr:colOff>
      <xdr:row>2069</xdr:row>
      <xdr:rowOff>25400</xdr:rowOff>
    </xdr:from>
    <xdr:to>
      <xdr:col>9</xdr:col>
      <xdr:colOff>885190</xdr:colOff>
      <xdr:row>2069</xdr:row>
      <xdr:rowOff>1209040</xdr:rowOff>
    </xdr:to>
    <xdr:pic>
      <xdr:nvPicPr>
        <xdr:cNvPr id="6805" name="Изображение 6804" descr="resizeПП-00271367"/>
        <xdr:cNvPicPr>
          <a:picLocks noChangeAspect="1"/>
        </xdr:cNvPicPr>
      </xdr:nvPicPr>
      <xdr:blipFill>
        <a:blip xmlns:r="http://schemas.openxmlformats.org/officeDocument/2006/relationships" r:embed="rId1550"/>
        <a:stretch>
          <a:fillRect/>
        </a:stretch>
      </xdr:blipFill>
      <xdr:spPr>
        <a:xfrm>
          <a:off x="7235825" y="2025208675"/>
          <a:ext cx="878840" cy="1183640"/>
        </a:xfrm>
        <a:prstGeom prst="rect">
          <a:avLst/>
        </a:prstGeom>
      </xdr:spPr>
    </xdr:pic>
    <xdr:clientData/>
  </xdr:twoCellAnchor>
  <xdr:twoCellAnchor>
    <xdr:from>
      <xdr:col>9</xdr:col>
      <xdr:colOff>6350</xdr:colOff>
      <xdr:row>2070</xdr:row>
      <xdr:rowOff>25400</xdr:rowOff>
    </xdr:from>
    <xdr:to>
      <xdr:col>9</xdr:col>
      <xdr:colOff>885190</xdr:colOff>
      <xdr:row>2070</xdr:row>
      <xdr:rowOff>1209040</xdr:rowOff>
    </xdr:to>
    <xdr:pic>
      <xdr:nvPicPr>
        <xdr:cNvPr id="6806" name="Изображение 6805" descr="resizeПП-00271366"/>
        <xdr:cNvPicPr>
          <a:picLocks noChangeAspect="1"/>
        </xdr:cNvPicPr>
      </xdr:nvPicPr>
      <xdr:blipFill>
        <a:blip xmlns:r="http://schemas.openxmlformats.org/officeDocument/2006/relationships" r:embed="rId1551"/>
        <a:stretch>
          <a:fillRect/>
        </a:stretch>
      </xdr:blipFill>
      <xdr:spPr>
        <a:xfrm>
          <a:off x="7235825" y="2026431050"/>
          <a:ext cx="878840" cy="1183640"/>
        </a:xfrm>
        <a:prstGeom prst="rect">
          <a:avLst/>
        </a:prstGeom>
      </xdr:spPr>
    </xdr:pic>
    <xdr:clientData/>
  </xdr:twoCellAnchor>
  <xdr:twoCellAnchor>
    <xdr:from>
      <xdr:col>9</xdr:col>
      <xdr:colOff>6350</xdr:colOff>
      <xdr:row>2071</xdr:row>
      <xdr:rowOff>25400</xdr:rowOff>
    </xdr:from>
    <xdr:to>
      <xdr:col>9</xdr:col>
      <xdr:colOff>885190</xdr:colOff>
      <xdr:row>2071</xdr:row>
      <xdr:rowOff>1209040</xdr:rowOff>
    </xdr:to>
    <xdr:pic>
      <xdr:nvPicPr>
        <xdr:cNvPr id="6807" name="Изображение 6806" descr="resizeПП-00271365"/>
        <xdr:cNvPicPr>
          <a:picLocks noChangeAspect="1"/>
        </xdr:cNvPicPr>
      </xdr:nvPicPr>
      <xdr:blipFill>
        <a:blip xmlns:r="http://schemas.openxmlformats.org/officeDocument/2006/relationships" r:embed="rId1552"/>
        <a:stretch>
          <a:fillRect/>
        </a:stretch>
      </xdr:blipFill>
      <xdr:spPr>
        <a:xfrm>
          <a:off x="7235825" y="2027653425"/>
          <a:ext cx="878840" cy="1183640"/>
        </a:xfrm>
        <a:prstGeom prst="rect">
          <a:avLst/>
        </a:prstGeom>
      </xdr:spPr>
    </xdr:pic>
    <xdr:clientData/>
  </xdr:twoCellAnchor>
  <xdr:twoCellAnchor>
    <xdr:from>
      <xdr:col>9</xdr:col>
      <xdr:colOff>6350</xdr:colOff>
      <xdr:row>2075</xdr:row>
      <xdr:rowOff>25400</xdr:rowOff>
    </xdr:from>
    <xdr:to>
      <xdr:col>9</xdr:col>
      <xdr:colOff>885190</xdr:colOff>
      <xdr:row>2075</xdr:row>
      <xdr:rowOff>1209040</xdr:rowOff>
    </xdr:to>
    <xdr:pic>
      <xdr:nvPicPr>
        <xdr:cNvPr id="6808" name="Изображение 6807" descr="resizeПП-00234203"/>
        <xdr:cNvPicPr>
          <a:picLocks noChangeAspect="1"/>
        </xdr:cNvPicPr>
      </xdr:nvPicPr>
      <xdr:blipFill>
        <a:blip xmlns:r="http://schemas.openxmlformats.org/officeDocument/2006/relationships" r:embed="rId1553"/>
        <a:stretch>
          <a:fillRect/>
        </a:stretch>
      </xdr:blipFill>
      <xdr:spPr>
        <a:xfrm>
          <a:off x="7235825" y="2029333000"/>
          <a:ext cx="878840" cy="1183640"/>
        </a:xfrm>
        <a:prstGeom prst="rect">
          <a:avLst/>
        </a:prstGeom>
      </xdr:spPr>
    </xdr:pic>
    <xdr:clientData/>
  </xdr:twoCellAnchor>
  <xdr:twoCellAnchor>
    <xdr:from>
      <xdr:col>9</xdr:col>
      <xdr:colOff>6350</xdr:colOff>
      <xdr:row>2076</xdr:row>
      <xdr:rowOff>25400</xdr:rowOff>
    </xdr:from>
    <xdr:to>
      <xdr:col>9</xdr:col>
      <xdr:colOff>885190</xdr:colOff>
      <xdr:row>2076</xdr:row>
      <xdr:rowOff>1209040</xdr:rowOff>
    </xdr:to>
    <xdr:pic>
      <xdr:nvPicPr>
        <xdr:cNvPr id="6809" name="Изображение 6808" descr="resizeПП-00234202"/>
        <xdr:cNvPicPr>
          <a:picLocks noChangeAspect="1"/>
        </xdr:cNvPicPr>
      </xdr:nvPicPr>
      <xdr:blipFill>
        <a:blip xmlns:r="http://schemas.openxmlformats.org/officeDocument/2006/relationships" r:embed="rId1554"/>
        <a:stretch>
          <a:fillRect/>
        </a:stretch>
      </xdr:blipFill>
      <xdr:spPr>
        <a:xfrm>
          <a:off x="7235825" y="2030555375"/>
          <a:ext cx="878840" cy="1183640"/>
        </a:xfrm>
        <a:prstGeom prst="rect">
          <a:avLst/>
        </a:prstGeom>
      </xdr:spPr>
    </xdr:pic>
    <xdr:clientData/>
  </xdr:twoCellAnchor>
  <xdr:twoCellAnchor>
    <xdr:from>
      <xdr:col>9</xdr:col>
      <xdr:colOff>6350</xdr:colOff>
      <xdr:row>2077</xdr:row>
      <xdr:rowOff>25400</xdr:rowOff>
    </xdr:from>
    <xdr:to>
      <xdr:col>9</xdr:col>
      <xdr:colOff>885190</xdr:colOff>
      <xdr:row>2077</xdr:row>
      <xdr:rowOff>1209040</xdr:rowOff>
    </xdr:to>
    <xdr:pic>
      <xdr:nvPicPr>
        <xdr:cNvPr id="6810" name="Изображение 6809" descr="resizeПП-00234201"/>
        <xdr:cNvPicPr>
          <a:picLocks noChangeAspect="1"/>
        </xdr:cNvPicPr>
      </xdr:nvPicPr>
      <xdr:blipFill>
        <a:blip xmlns:r="http://schemas.openxmlformats.org/officeDocument/2006/relationships" r:embed="rId1555"/>
        <a:stretch>
          <a:fillRect/>
        </a:stretch>
      </xdr:blipFill>
      <xdr:spPr>
        <a:xfrm>
          <a:off x="7235825" y="2031777750"/>
          <a:ext cx="878840" cy="1183640"/>
        </a:xfrm>
        <a:prstGeom prst="rect">
          <a:avLst/>
        </a:prstGeom>
      </xdr:spPr>
    </xdr:pic>
    <xdr:clientData/>
  </xdr:twoCellAnchor>
  <xdr:twoCellAnchor>
    <xdr:from>
      <xdr:col>9</xdr:col>
      <xdr:colOff>6350</xdr:colOff>
      <xdr:row>2078</xdr:row>
      <xdr:rowOff>25400</xdr:rowOff>
    </xdr:from>
    <xdr:to>
      <xdr:col>9</xdr:col>
      <xdr:colOff>885190</xdr:colOff>
      <xdr:row>2078</xdr:row>
      <xdr:rowOff>1209040</xdr:rowOff>
    </xdr:to>
    <xdr:pic>
      <xdr:nvPicPr>
        <xdr:cNvPr id="6811" name="Изображение 6810" descr="resizeПП-00234199"/>
        <xdr:cNvPicPr>
          <a:picLocks noChangeAspect="1"/>
        </xdr:cNvPicPr>
      </xdr:nvPicPr>
      <xdr:blipFill>
        <a:blip xmlns:r="http://schemas.openxmlformats.org/officeDocument/2006/relationships" r:embed="rId1556"/>
        <a:stretch>
          <a:fillRect/>
        </a:stretch>
      </xdr:blipFill>
      <xdr:spPr>
        <a:xfrm>
          <a:off x="7235825" y="2033000125"/>
          <a:ext cx="878840" cy="1183640"/>
        </a:xfrm>
        <a:prstGeom prst="rect">
          <a:avLst/>
        </a:prstGeom>
      </xdr:spPr>
    </xdr:pic>
    <xdr:clientData/>
  </xdr:twoCellAnchor>
  <xdr:twoCellAnchor>
    <xdr:from>
      <xdr:col>9</xdr:col>
      <xdr:colOff>6350</xdr:colOff>
      <xdr:row>2080</xdr:row>
      <xdr:rowOff>25400</xdr:rowOff>
    </xdr:from>
    <xdr:to>
      <xdr:col>9</xdr:col>
      <xdr:colOff>885190</xdr:colOff>
      <xdr:row>2080</xdr:row>
      <xdr:rowOff>1209040</xdr:rowOff>
    </xdr:to>
    <xdr:pic>
      <xdr:nvPicPr>
        <xdr:cNvPr id="6812" name="Изображение 6811" descr="resizeПП-00249548"/>
        <xdr:cNvPicPr>
          <a:picLocks noChangeAspect="1"/>
        </xdr:cNvPicPr>
      </xdr:nvPicPr>
      <xdr:blipFill>
        <a:blip xmlns:r="http://schemas.openxmlformats.org/officeDocument/2006/relationships" r:embed="rId1557"/>
        <a:stretch>
          <a:fillRect/>
        </a:stretch>
      </xdr:blipFill>
      <xdr:spPr>
        <a:xfrm>
          <a:off x="7235825" y="2034374900"/>
          <a:ext cx="878840" cy="1183640"/>
        </a:xfrm>
        <a:prstGeom prst="rect">
          <a:avLst/>
        </a:prstGeom>
      </xdr:spPr>
    </xdr:pic>
    <xdr:clientData/>
  </xdr:twoCellAnchor>
  <xdr:twoCellAnchor>
    <xdr:from>
      <xdr:col>9</xdr:col>
      <xdr:colOff>6350</xdr:colOff>
      <xdr:row>2081</xdr:row>
      <xdr:rowOff>25400</xdr:rowOff>
    </xdr:from>
    <xdr:to>
      <xdr:col>9</xdr:col>
      <xdr:colOff>885190</xdr:colOff>
      <xdr:row>2081</xdr:row>
      <xdr:rowOff>1209040</xdr:rowOff>
    </xdr:to>
    <xdr:pic>
      <xdr:nvPicPr>
        <xdr:cNvPr id="6813" name="Изображение 6812" descr="resizeПП-00249549"/>
        <xdr:cNvPicPr>
          <a:picLocks noChangeAspect="1"/>
        </xdr:cNvPicPr>
      </xdr:nvPicPr>
      <xdr:blipFill>
        <a:blip xmlns:r="http://schemas.openxmlformats.org/officeDocument/2006/relationships" r:embed="rId1558"/>
        <a:stretch>
          <a:fillRect/>
        </a:stretch>
      </xdr:blipFill>
      <xdr:spPr>
        <a:xfrm>
          <a:off x="7235825" y="2035597275"/>
          <a:ext cx="878840" cy="1183640"/>
        </a:xfrm>
        <a:prstGeom prst="rect">
          <a:avLst/>
        </a:prstGeom>
      </xdr:spPr>
    </xdr:pic>
    <xdr:clientData/>
  </xdr:twoCellAnchor>
  <xdr:twoCellAnchor>
    <xdr:from>
      <xdr:col>9</xdr:col>
      <xdr:colOff>6350</xdr:colOff>
      <xdr:row>2082</xdr:row>
      <xdr:rowOff>25400</xdr:rowOff>
    </xdr:from>
    <xdr:to>
      <xdr:col>9</xdr:col>
      <xdr:colOff>885190</xdr:colOff>
      <xdr:row>2082</xdr:row>
      <xdr:rowOff>1209040</xdr:rowOff>
    </xdr:to>
    <xdr:pic>
      <xdr:nvPicPr>
        <xdr:cNvPr id="6814" name="Изображение 6813" descr="resizeПП-00249550"/>
        <xdr:cNvPicPr>
          <a:picLocks noChangeAspect="1"/>
        </xdr:cNvPicPr>
      </xdr:nvPicPr>
      <xdr:blipFill>
        <a:blip xmlns:r="http://schemas.openxmlformats.org/officeDocument/2006/relationships" r:embed="rId1559"/>
        <a:stretch>
          <a:fillRect/>
        </a:stretch>
      </xdr:blipFill>
      <xdr:spPr>
        <a:xfrm>
          <a:off x="7235825" y="2036819650"/>
          <a:ext cx="878840" cy="1183640"/>
        </a:xfrm>
        <a:prstGeom prst="rect">
          <a:avLst/>
        </a:prstGeom>
      </xdr:spPr>
    </xdr:pic>
    <xdr:clientData/>
  </xdr:twoCellAnchor>
  <xdr:twoCellAnchor>
    <xdr:from>
      <xdr:col>9</xdr:col>
      <xdr:colOff>6350</xdr:colOff>
      <xdr:row>2083</xdr:row>
      <xdr:rowOff>25400</xdr:rowOff>
    </xdr:from>
    <xdr:to>
      <xdr:col>9</xdr:col>
      <xdr:colOff>885190</xdr:colOff>
      <xdr:row>2083</xdr:row>
      <xdr:rowOff>1209040</xdr:rowOff>
    </xdr:to>
    <xdr:pic>
      <xdr:nvPicPr>
        <xdr:cNvPr id="6815" name="Изображение 6814" descr="resizeПП-00249547"/>
        <xdr:cNvPicPr>
          <a:picLocks noChangeAspect="1"/>
        </xdr:cNvPicPr>
      </xdr:nvPicPr>
      <xdr:blipFill>
        <a:blip xmlns:r="http://schemas.openxmlformats.org/officeDocument/2006/relationships" r:embed="rId1560"/>
        <a:stretch>
          <a:fillRect/>
        </a:stretch>
      </xdr:blipFill>
      <xdr:spPr>
        <a:xfrm>
          <a:off x="7235825" y="2038042025"/>
          <a:ext cx="878840" cy="1183640"/>
        </a:xfrm>
        <a:prstGeom prst="rect">
          <a:avLst/>
        </a:prstGeom>
      </xdr:spPr>
    </xdr:pic>
    <xdr:clientData/>
  </xdr:twoCellAnchor>
  <xdr:twoCellAnchor>
    <xdr:from>
      <xdr:col>9</xdr:col>
      <xdr:colOff>6350</xdr:colOff>
      <xdr:row>2085</xdr:row>
      <xdr:rowOff>25400</xdr:rowOff>
    </xdr:from>
    <xdr:to>
      <xdr:col>9</xdr:col>
      <xdr:colOff>885190</xdr:colOff>
      <xdr:row>2085</xdr:row>
      <xdr:rowOff>1209040</xdr:rowOff>
    </xdr:to>
    <xdr:pic>
      <xdr:nvPicPr>
        <xdr:cNvPr id="6816" name="Изображение 6815" descr="resizeПП-00271377"/>
        <xdr:cNvPicPr>
          <a:picLocks noChangeAspect="1"/>
        </xdr:cNvPicPr>
      </xdr:nvPicPr>
      <xdr:blipFill>
        <a:blip xmlns:r="http://schemas.openxmlformats.org/officeDocument/2006/relationships" r:embed="rId1561"/>
        <a:stretch>
          <a:fillRect/>
        </a:stretch>
      </xdr:blipFill>
      <xdr:spPr>
        <a:xfrm>
          <a:off x="7235825" y="2039416800"/>
          <a:ext cx="878840" cy="1183640"/>
        </a:xfrm>
        <a:prstGeom prst="rect">
          <a:avLst/>
        </a:prstGeom>
      </xdr:spPr>
    </xdr:pic>
    <xdr:clientData/>
  </xdr:twoCellAnchor>
  <xdr:twoCellAnchor>
    <xdr:from>
      <xdr:col>9</xdr:col>
      <xdr:colOff>6350</xdr:colOff>
      <xdr:row>2086</xdr:row>
      <xdr:rowOff>25400</xdr:rowOff>
    </xdr:from>
    <xdr:to>
      <xdr:col>9</xdr:col>
      <xdr:colOff>885190</xdr:colOff>
      <xdr:row>2086</xdr:row>
      <xdr:rowOff>1209040</xdr:rowOff>
    </xdr:to>
    <xdr:pic>
      <xdr:nvPicPr>
        <xdr:cNvPr id="6817" name="Изображение 6816" descr="resizeПП-00271375"/>
        <xdr:cNvPicPr>
          <a:picLocks noChangeAspect="1"/>
        </xdr:cNvPicPr>
      </xdr:nvPicPr>
      <xdr:blipFill>
        <a:blip xmlns:r="http://schemas.openxmlformats.org/officeDocument/2006/relationships" r:embed="rId1562"/>
        <a:stretch>
          <a:fillRect/>
        </a:stretch>
      </xdr:blipFill>
      <xdr:spPr>
        <a:xfrm>
          <a:off x="7235825" y="2040639175"/>
          <a:ext cx="878840" cy="1183640"/>
        </a:xfrm>
        <a:prstGeom prst="rect">
          <a:avLst/>
        </a:prstGeom>
      </xdr:spPr>
    </xdr:pic>
    <xdr:clientData/>
  </xdr:twoCellAnchor>
  <xdr:twoCellAnchor>
    <xdr:from>
      <xdr:col>9</xdr:col>
      <xdr:colOff>6350</xdr:colOff>
      <xdr:row>2087</xdr:row>
      <xdr:rowOff>25400</xdr:rowOff>
    </xdr:from>
    <xdr:to>
      <xdr:col>9</xdr:col>
      <xdr:colOff>885190</xdr:colOff>
      <xdr:row>2087</xdr:row>
      <xdr:rowOff>1209040</xdr:rowOff>
    </xdr:to>
    <xdr:pic>
      <xdr:nvPicPr>
        <xdr:cNvPr id="6818" name="Изображение 6817" descr="resizeПП-00271376"/>
        <xdr:cNvPicPr>
          <a:picLocks noChangeAspect="1"/>
        </xdr:cNvPicPr>
      </xdr:nvPicPr>
      <xdr:blipFill>
        <a:blip xmlns:r="http://schemas.openxmlformats.org/officeDocument/2006/relationships" r:embed="rId1563"/>
        <a:stretch>
          <a:fillRect/>
        </a:stretch>
      </xdr:blipFill>
      <xdr:spPr>
        <a:xfrm>
          <a:off x="7235825" y="2041861550"/>
          <a:ext cx="878840" cy="1183640"/>
        </a:xfrm>
        <a:prstGeom prst="rect">
          <a:avLst/>
        </a:prstGeom>
      </xdr:spPr>
    </xdr:pic>
    <xdr:clientData/>
  </xdr:twoCellAnchor>
  <xdr:twoCellAnchor>
    <xdr:from>
      <xdr:col>9</xdr:col>
      <xdr:colOff>6350</xdr:colOff>
      <xdr:row>2088</xdr:row>
      <xdr:rowOff>25400</xdr:rowOff>
    </xdr:from>
    <xdr:to>
      <xdr:col>9</xdr:col>
      <xdr:colOff>885190</xdr:colOff>
      <xdr:row>2088</xdr:row>
      <xdr:rowOff>1209040</xdr:rowOff>
    </xdr:to>
    <xdr:pic>
      <xdr:nvPicPr>
        <xdr:cNvPr id="6819" name="Изображение 6818" descr="resizeПП-00271378"/>
        <xdr:cNvPicPr>
          <a:picLocks noChangeAspect="1"/>
        </xdr:cNvPicPr>
      </xdr:nvPicPr>
      <xdr:blipFill>
        <a:blip xmlns:r="http://schemas.openxmlformats.org/officeDocument/2006/relationships" r:embed="rId1564"/>
        <a:stretch>
          <a:fillRect/>
        </a:stretch>
      </xdr:blipFill>
      <xdr:spPr>
        <a:xfrm>
          <a:off x="7235825" y="2043083925"/>
          <a:ext cx="878840" cy="1183640"/>
        </a:xfrm>
        <a:prstGeom prst="rect">
          <a:avLst/>
        </a:prstGeom>
      </xdr:spPr>
    </xdr:pic>
    <xdr:clientData/>
  </xdr:twoCellAnchor>
  <xdr:twoCellAnchor>
    <xdr:from>
      <xdr:col>9</xdr:col>
      <xdr:colOff>6350</xdr:colOff>
      <xdr:row>2089</xdr:row>
      <xdr:rowOff>25400</xdr:rowOff>
    </xdr:from>
    <xdr:to>
      <xdr:col>9</xdr:col>
      <xdr:colOff>885190</xdr:colOff>
      <xdr:row>2089</xdr:row>
      <xdr:rowOff>1209040</xdr:rowOff>
    </xdr:to>
    <xdr:pic>
      <xdr:nvPicPr>
        <xdr:cNvPr id="6820" name="Изображение 6819" descr="resizeПП-00247514"/>
        <xdr:cNvPicPr>
          <a:picLocks noChangeAspect="1"/>
        </xdr:cNvPicPr>
      </xdr:nvPicPr>
      <xdr:blipFill>
        <a:blip xmlns:r="http://schemas.openxmlformats.org/officeDocument/2006/relationships" r:embed="rId1565"/>
        <a:stretch>
          <a:fillRect/>
        </a:stretch>
      </xdr:blipFill>
      <xdr:spPr>
        <a:xfrm>
          <a:off x="7235825" y="2044306300"/>
          <a:ext cx="878840" cy="1183640"/>
        </a:xfrm>
        <a:prstGeom prst="rect">
          <a:avLst/>
        </a:prstGeom>
      </xdr:spPr>
    </xdr:pic>
    <xdr:clientData/>
  </xdr:twoCellAnchor>
  <xdr:twoCellAnchor>
    <xdr:from>
      <xdr:col>9</xdr:col>
      <xdr:colOff>6350</xdr:colOff>
      <xdr:row>2090</xdr:row>
      <xdr:rowOff>25400</xdr:rowOff>
    </xdr:from>
    <xdr:to>
      <xdr:col>9</xdr:col>
      <xdr:colOff>885190</xdr:colOff>
      <xdr:row>2090</xdr:row>
      <xdr:rowOff>1209040</xdr:rowOff>
    </xdr:to>
    <xdr:pic>
      <xdr:nvPicPr>
        <xdr:cNvPr id="6821" name="Изображение 6820" descr="resizeПП-00247513"/>
        <xdr:cNvPicPr>
          <a:picLocks noChangeAspect="1"/>
        </xdr:cNvPicPr>
      </xdr:nvPicPr>
      <xdr:blipFill>
        <a:blip xmlns:r="http://schemas.openxmlformats.org/officeDocument/2006/relationships" r:embed="rId1566"/>
        <a:stretch>
          <a:fillRect/>
        </a:stretch>
      </xdr:blipFill>
      <xdr:spPr>
        <a:xfrm>
          <a:off x="7235825" y="2045528675"/>
          <a:ext cx="878840" cy="1183640"/>
        </a:xfrm>
        <a:prstGeom prst="rect">
          <a:avLst/>
        </a:prstGeom>
      </xdr:spPr>
    </xdr:pic>
    <xdr:clientData/>
  </xdr:twoCellAnchor>
  <xdr:twoCellAnchor>
    <xdr:from>
      <xdr:col>9</xdr:col>
      <xdr:colOff>6350</xdr:colOff>
      <xdr:row>2091</xdr:row>
      <xdr:rowOff>25400</xdr:rowOff>
    </xdr:from>
    <xdr:to>
      <xdr:col>9</xdr:col>
      <xdr:colOff>885190</xdr:colOff>
      <xdr:row>2091</xdr:row>
      <xdr:rowOff>1209040</xdr:rowOff>
    </xdr:to>
    <xdr:pic>
      <xdr:nvPicPr>
        <xdr:cNvPr id="6822" name="Изображение 6821" descr="resizeПП-00247512"/>
        <xdr:cNvPicPr>
          <a:picLocks noChangeAspect="1"/>
        </xdr:cNvPicPr>
      </xdr:nvPicPr>
      <xdr:blipFill>
        <a:blip xmlns:r="http://schemas.openxmlformats.org/officeDocument/2006/relationships" r:embed="rId1567"/>
        <a:stretch>
          <a:fillRect/>
        </a:stretch>
      </xdr:blipFill>
      <xdr:spPr>
        <a:xfrm>
          <a:off x="7235825" y="2046751050"/>
          <a:ext cx="878840" cy="1183640"/>
        </a:xfrm>
        <a:prstGeom prst="rect">
          <a:avLst/>
        </a:prstGeom>
      </xdr:spPr>
    </xdr:pic>
    <xdr:clientData/>
  </xdr:twoCellAnchor>
  <xdr:twoCellAnchor>
    <xdr:from>
      <xdr:col>9</xdr:col>
      <xdr:colOff>6350</xdr:colOff>
      <xdr:row>2093</xdr:row>
      <xdr:rowOff>25400</xdr:rowOff>
    </xdr:from>
    <xdr:to>
      <xdr:col>9</xdr:col>
      <xdr:colOff>885190</xdr:colOff>
      <xdr:row>2093</xdr:row>
      <xdr:rowOff>1209040</xdr:rowOff>
    </xdr:to>
    <xdr:pic>
      <xdr:nvPicPr>
        <xdr:cNvPr id="6823" name="Изображение 6822" descr="resizeПП-00164971"/>
        <xdr:cNvPicPr>
          <a:picLocks noChangeAspect="1"/>
        </xdr:cNvPicPr>
      </xdr:nvPicPr>
      <xdr:blipFill>
        <a:blip xmlns:r="http://schemas.openxmlformats.org/officeDocument/2006/relationships" r:embed="rId1568"/>
        <a:stretch>
          <a:fillRect/>
        </a:stretch>
      </xdr:blipFill>
      <xdr:spPr>
        <a:xfrm>
          <a:off x="7235825" y="2048125825"/>
          <a:ext cx="878840" cy="1183640"/>
        </a:xfrm>
        <a:prstGeom prst="rect">
          <a:avLst/>
        </a:prstGeom>
      </xdr:spPr>
    </xdr:pic>
    <xdr:clientData/>
  </xdr:twoCellAnchor>
  <xdr:twoCellAnchor>
    <xdr:from>
      <xdr:col>9</xdr:col>
      <xdr:colOff>6350</xdr:colOff>
      <xdr:row>2095</xdr:row>
      <xdr:rowOff>25400</xdr:rowOff>
    </xdr:from>
    <xdr:to>
      <xdr:col>9</xdr:col>
      <xdr:colOff>885190</xdr:colOff>
      <xdr:row>2095</xdr:row>
      <xdr:rowOff>1209040</xdr:rowOff>
    </xdr:to>
    <xdr:pic>
      <xdr:nvPicPr>
        <xdr:cNvPr id="6824" name="Изображение 6823" descr="resizeПП-00271372"/>
        <xdr:cNvPicPr>
          <a:picLocks noChangeAspect="1"/>
        </xdr:cNvPicPr>
      </xdr:nvPicPr>
      <xdr:blipFill>
        <a:blip xmlns:r="http://schemas.openxmlformats.org/officeDocument/2006/relationships" r:embed="rId1569"/>
        <a:stretch>
          <a:fillRect/>
        </a:stretch>
      </xdr:blipFill>
      <xdr:spPr>
        <a:xfrm>
          <a:off x="7235825" y="2049500600"/>
          <a:ext cx="878840" cy="1183640"/>
        </a:xfrm>
        <a:prstGeom prst="rect">
          <a:avLst/>
        </a:prstGeom>
      </xdr:spPr>
    </xdr:pic>
    <xdr:clientData/>
  </xdr:twoCellAnchor>
  <xdr:twoCellAnchor>
    <xdr:from>
      <xdr:col>9</xdr:col>
      <xdr:colOff>6350</xdr:colOff>
      <xdr:row>2096</xdr:row>
      <xdr:rowOff>25400</xdr:rowOff>
    </xdr:from>
    <xdr:to>
      <xdr:col>9</xdr:col>
      <xdr:colOff>885190</xdr:colOff>
      <xdr:row>2096</xdr:row>
      <xdr:rowOff>1209040</xdr:rowOff>
    </xdr:to>
    <xdr:pic>
      <xdr:nvPicPr>
        <xdr:cNvPr id="6825" name="Изображение 6824" descr="resizeПП-00271373"/>
        <xdr:cNvPicPr>
          <a:picLocks noChangeAspect="1"/>
        </xdr:cNvPicPr>
      </xdr:nvPicPr>
      <xdr:blipFill>
        <a:blip xmlns:r="http://schemas.openxmlformats.org/officeDocument/2006/relationships" r:embed="rId1570"/>
        <a:stretch>
          <a:fillRect/>
        </a:stretch>
      </xdr:blipFill>
      <xdr:spPr>
        <a:xfrm>
          <a:off x="7235825" y="2050722975"/>
          <a:ext cx="878840" cy="1183640"/>
        </a:xfrm>
        <a:prstGeom prst="rect">
          <a:avLst/>
        </a:prstGeom>
      </xdr:spPr>
    </xdr:pic>
    <xdr:clientData/>
  </xdr:twoCellAnchor>
  <xdr:twoCellAnchor>
    <xdr:from>
      <xdr:col>9</xdr:col>
      <xdr:colOff>6350</xdr:colOff>
      <xdr:row>2098</xdr:row>
      <xdr:rowOff>25400</xdr:rowOff>
    </xdr:from>
    <xdr:to>
      <xdr:col>9</xdr:col>
      <xdr:colOff>885190</xdr:colOff>
      <xdr:row>2098</xdr:row>
      <xdr:rowOff>1209040</xdr:rowOff>
    </xdr:to>
    <xdr:pic>
      <xdr:nvPicPr>
        <xdr:cNvPr id="6826" name="Изображение 6825" descr="resizeПП-00271385"/>
        <xdr:cNvPicPr>
          <a:picLocks noChangeAspect="1"/>
        </xdr:cNvPicPr>
      </xdr:nvPicPr>
      <xdr:blipFill>
        <a:blip xmlns:r="http://schemas.openxmlformats.org/officeDocument/2006/relationships" r:embed="rId1571"/>
        <a:stretch>
          <a:fillRect/>
        </a:stretch>
      </xdr:blipFill>
      <xdr:spPr>
        <a:xfrm>
          <a:off x="7235825" y="2052097750"/>
          <a:ext cx="878840" cy="1183640"/>
        </a:xfrm>
        <a:prstGeom prst="rect">
          <a:avLst/>
        </a:prstGeom>
      </xdr:spPr>
    </xdr:pic>
    <xdr:clientData/>
  </xdr:twoCellAnchor>
  <xdr:twoCellAnchor>
    <xdr:from>
      <xdr:col>9</xdr:col>
      <xdr:colOff>6350</xdr:colOff>
      <xdr:row>2099</xdr:row>
      <xdr:rowOff>25400</xdr:rowOff>
    </xdr:from>
    <xdr:to>
      <xdr:col>9</xdr:col>
      <xdr:colOff>885190</xdr:colOff>
      <xdr:row>2099</xdr:row>
      <xdr:rowOff>1209040</xdr:rowOff>
    </xdr:to>
    <xdr:pic>
      <xdr:nvPicPr>
        <xdr:cNvPr id="6827" name="Изображение 6826" descr="resizeПП-00271383"/>
        <xdr:cNvPicPr>
          <a:picLocks noChangeAspect="1"/>
        </xdr:cNvPicPr>
      </xdr:nvPicPr>
      <xdr:blipFill>
        <a:blip xmlns:r="http://schemas.openxmlformats.org/officeDocument/2006/relationships" r:embed="rId1572"/>
        <a:stretch>
          <a:fillRect/>
        </a:stretch>
      </xdr:blipFill>
      <xdr:spPr>
        <a:xfrm>
          <a:off x="7235825" y="2053320125"/>
          <a:ext cx="878840" cy="1183640"/>
        </a:xfrm>
        <a:prstGeom prst="rect">
          <a:avLst/>
        </a:prstGeom>
      </xdr:spPr>
    </xdr:pic>
    <xdr:clientData/>
  </xdr:twoCellAnchor>
  <xdr:twoCellAnchor>
    <xdr:from>
      <xdr:col>9</xdr:col>
      <xdr:colOff>6350</xdr:colOff>
      <xdr:row>2100</xdr:row>
      <xdr:rowOff>25400</xdr:rowOff>
    </xdr:from>
    <xdr:to>
      <xdr:col>9</xdr:col>
      <xdr:colOff>885190</xdr:colOff>
      <xdr:row>2100</xdr:row>
      <xdr:rowOff>1209040</xdr:rowOff>
    </xdr:to>
    <xdr:pic>
      <xdr:nvPicPr>
        <xdr:cNvPr id="6828" name="Изображение 6827" descr="resizeПП-00269371"/>
        <xdr:cNvPicPr>
          <a:picLocks noChangeAspect="1"/>
        </xdr:cNvPicPr>
      </xdr:nvPicPr>
      <xdr:blipFill>
        <a:blip xmlns:r="http://schemas.openxmlformats.org/officeDocument/2006/relationships" r:embed="rId1573"/>
        <a:stretch>
          <a:fillRect/>
        </a:stretch>
      </xdr:blipFill>
      <xdr:spPr>
        <a:xfrm>
          <a:off x="7235825" y="2054542500"/>
          <a:ext cx="878840" cy="1183640"/>
        </a:xfrm>
        <a:prstGeom prst="rect">
          <a:avLst/>
        </a:prstGeom>
      </xdr:spPr>
    </xdr:pic>
    <xdr:clientData/>
  </xdr:twoCellAnchor>
  <xdr:twoCellAnchor>
    <xdr:from>
      <xdr:col>9</xdr:col>
      <xdr:colOff>6350</xdr:colOff>
      <xdr:row>2101</xdr:row>
      <xdr:rowOff>25400</xdr:rowOff>
    </xdr:from>
    <xdr:to>
      <xdr:col>9</xdr:col>
      <xdr:colOff>885190</xdr:colOff>
      <xdr:row>2101</xdr:row>
      <xdr:rowOff>1209040</xdr:rowOff>
    </xdr:to>
    <xdr:pic>
      <xdr:nvPicPr>
        <xdr:cNvPr id="6829" name="Изображение 6828" descr="resizeПП-00269375"/>
        <xdr:cNvPicPr>
          <a:picLocks noChangeAspect="1"/>
        </xdr:cNvPicPr>
      </xdr:nvPicPr>
      <xdr:blipFill>
        <a:blip xmlns:r="http://schemas.openxmlformats.org/officeDocument/2006/relationships" r:embed="rId1574"/>
        <a:stretch>
          <a:fillRect/>
        </a:stretch>
      </xdr:blipFill>
      <xdr:spPr>
        <a:xfrm>
          <a:off x="7235825" y="2055764875"/>
          <a:ext cx="878840" cy="1183640"/>
        </a:xfrm>
        <a:prstGeom prst="rect">
          <a:avLst/>
        </a:prstGeom>
      </xdr:spPr>
    </xdr:pic>
    <xdr:clientData/>
  </xdr:twoCellAnchor>
  <xdr:twoCellAnchor>
    <xdr:from>
      <xdr:col>9</xdr:col>
      <xdr:colOff>6350</xdr:colOff>
      <xdr:row>2102</xdr:row>
      <xdr:rowOff>25400</xdr:rowOff>
    </xdr:from>
    <xdr:to>
      <xdr:col>9</xdr:col>
      <xdr:colOff>885190</xdr:colOff>
      <xdr:row>2102</xdr:row>
      <xdr:rowOff>1209040</xdr:rowOff>
    </xdr:to>
    <xdr:pic>
      <xdr:nvPicPr>
        <xdr:cNvPr id="6830" name="Изображение 6829" descr="resizeПП-00231928"/>
        <xdr:cNvPicPr>
          <a:picLocks noChangeAspect="1"/>
        </xdr:cNvPicPr>
      </xdr:nvPicPr>
      <xdr:blipFill>
        <a:blip xmlns:r="http://schemas.openxmlformats.org/officeDocument/2006/relationships" r:embed="rId1448"/>
        <a:stretch>
          <a:fillRect/>
        </a:stretch>
      </xdr:blipFill>
      <xdr:spPr>
        <a:xfrm>
          <a:off x="7235825" y="2056987250"/>
          <a:ext cx="878840" cy="1183640"/>
        </a:xfrm>
        <a:prstGeom prst="rect">
          <a:avLst/>
        </a:prstGeom>
      </xdr:spPr>
    </xdr:pic>
    <xdr:clientData/>
  </xdr:twoCellAnchor>
  <xdr:twoCellAnchor>
    <xdr:from>
      <xdr:col>9</xdr:col>
      <xdr:colOff>6350</xdr:colOff>
      <xdr:row>2103</xdr:row>
      <xdr:rowOff>25400</xdr:rowOff>
    </xdr:from>
    <xdr:to>
      <xdr:col>9</xdr:col>
      <xdr:colOff>885190</xdr:colOff>
      <xdr:row>2103</xdr:row>
      <xdr:rowOff>1209040</xdr:rowOff>
    </xdr:to>
    <xdr:pic>
      <xdr:nvPicPr>
        <xdr:cNvPr id="6831" name="Изображение 6830" descr="resizeПП-00234229"/>
        <xdr:cNvPicPr>
          <a:picLocks noChangeAspect="1"/>
        </xdr:cNvPicPr>
      </xdr:nvPicPr>
      <xdr:blipFill>
        <a:blip xmlns:r="http://schemas.openxmlformats.org/officeDocument/2006/relationships" r:embed="rId1575"/>
        <a:stretch>
          <a:fillRect/>
        </a:stretch>
      </xdr:blipFill>
      <xdr:spPr>
        <a:xfrm>
          <a:off x="7235825" y="2058209625"/>
          <a:ext cx="878840" cy="1183640"/>
        </a:xfrm>
        <a:prstGeom prst="rect">
          <a:avLst/>
        </a:prstGeom>
      </xdr:spPr>
    </xdr:pic>
    <xdr:clientData/>
  </xdr:twoCellAnchor>
  <xdr:twoCellAnchor>
    <xdr:from>
      <xdr:col>9</xdr:col>
      <xdr:colOff>6350</xdr:colOff>
      <xdr:row>2104</xdr:row>
      <xdr:rowOff>25400</xdr:rowOff>
    </xdr:from>
    <xdr:to>
      <xdr:col>9</xdr:col>
      <xdr:colOff>885190</xdr:colOff>
      <xdr:row>2104</xdr:row>
      <xdr:rowOff>1209040</xdr:rowOff>
    </xdr:to>
    <xdr:pic>
      <xdr:nvPicPr>
        <xdr:cNvPr id="6832" name="Изображение 6831" descr="resizeПП-00247516"/>
        <xdr:cNvPicPr>
          <a:picLocks noChangeAspect="1"/>
        </xdr:cNvPicPr>
      </xdr:nvPicPr>
      <xdr:blipFill>
        <a:blip xmlns:r="http://schemas.openxmlformats.org/officeDocument/2006/relationships" r:embed="rId1576"/>
        <a:stretch>
          <a:fillRect/>
        </a:stretch>
      </xdr:blipFill>
      <xdr:spPr>
        <a:xfrm>
          <a:off x="7235825" y="2059432000"/>
          <a:ext cx="878840" cy="1183640"/>
        </a:xfrm>
        <a:prstGeom prst="rect">
          <a:avLst/>
        </a:prstGeom>
      </xdr:spPr>
    </xdr:pic>
    <xdr:clientData/>
  </xdr:twoCellAnchor>
  <xdr:twoCellAnchor>
    <xdr:from>
      <xdr:col>9</xdr:col>
      <xdr:colOff>6350</xdr:colOff>
      <xdr:row>2105</xdr:row>
      <xdr:rowOff>25400</xdr:rowOff>
    </xdr:from>
    <xdr:to>
      <xdr:col>9</xdr:col>
      <xdr:colOff>885190</xdr:colOff>
      <xdr:row>2105</xdr:row>
      <xdr:rowOff>1209040</xdr:rowOff>
    </xdr:to>
    <xdr:pic>
      <xdr:nvPicPr>
        <xdr:cNvPr id="6833" name="Изображение 6832" descr="resizeПП-00247515"/>
        <xdr:cNvPicPr>
          <a:picLocks noChangeAspect="1"/>
        </xdr:cNvPicPr>
      </xdr:nvPicPr>
      <xdr:blipFill>
        <a:blip xmlns:r="http://schemas.openxmlformats.org/officeDocument/2006/relationships" r:embed="rId1577"/>
        <a:stretch>
          <a:fillRect/>
        </a:stretch>
      </xdr:blipFill>
      <xdr:spPr>
        <a:xfrm>
          <a:off x="7235825" y="2060654375"/>
          <a:ext cx="878840" cy="1183640"/>
        </a:xfrm>
        <a:prstGeom prst="rect">
          <a:avLst/>
        </a:prstGeom>
      </xdr:spPr>
    </xdr:pic>
    <xdr:clientData/>
  </xdr:twoCellAnchor>
  <xdr:twoCellAnchor>
    <xdr:from>
      <xdr:col>9</xdr:col>
      <xdr:colOff>6350</xdr:colOff>
      <xdr:row>2106</xdr:row>
      <xdr:rowOff>25400</xdr:rowOff>
    </xdr:from>
    <xdr:to>
      <xdr:col>9</xdr:col>
      <xdr:colOff>885190</xdr:colOff>
      <xdr:row>2106</xdr:row>
      <xdr:rowOff>1209040</xdr:rowOff>
    </xdr:to>
    <xdr:pic>
      <xdr:nvPicPr>
        <xdr:cNvPr id="6834" name="Изображение 6833" descr="resizeПП-00247518"/>
        <xdr:cNvPicPr>
          <a:picLocks noChangeAspect="1"/>
        </xdr:cNvPicPr>
      </xdr:nvPicPr>
      <xdr:blipFill>
        <a:blip xmlns:r="http://schemas.openxmlformats.org/officeDocument/2006/relationships" r:embed="rId1578"/>
        <a:stretch>
          <a:fillRect/>
        </a:stretch>
      </xdr:blipFill>
      <xdr:spPr>
        <a:xfrm>
          <a:off x="7235825" y="2061876750"/>
          <a:ext cx="878840" cy="1183640"/>
        </a:xfrm>
        <a:prstGeom prst="rect">
          <a:avLst/>
        </a:prstGeom>
      </xdr:spPr>
    </xdr:pic>
    <xdr:clientData/>
  </xdr:twoCellAnchor>
  <xdr:twoCellAnchor>
    <xdr:from>
      <xdr:col>9</xdr:col>
      <xdr:colOff>6350</xdr:colOff>
      <xdr:row>2107</xdr:row>
      <xdr:rowOff>25400</xdr:rowOff>
    </xdr:from>
    <xdr:to>
      <xdr:col>9</xdr:col>
      <xdr:colOff>885190</xdr:colOff>
      <xdr:row>2107</xdr:row>
      <xdr:rowOff>1209040</xdr:rowOff>
    </xdr:to>
    <xdr:pic>
      <xdr:nvPicPr>
        <xdr:cNvPr id="6835" name="Изображение 6834" descr="resizeПП-00247521"/>
        <xdr:cNvPicPr>
          <a:picLocks noChangeAspect="1"/>
        </xdr:cNvPicPr>
      </xdr:nvPicPr>
      <xdr:blipFill>
        <a:blip xmlns:r="http://schemas.openxmlformats.org/officeDocument/2006/relationships" r:embed="rId1579"/>
        <a:stretch>
          <a:fillRect/>
        </a:stretch>
      </xdr:blipFill>
      <xdr:spPr>
        <a:xfrm>
          <a:off x="7235825" y="2063099125"/>
          <a:ext cx="878840" cy="1183640"/>
        </a:xfrm>
        <a:prstGeom prst="rect">
          <a:avLst/>
        </a:prstGeom>
      </xdr:spPr>
    </xdr:pic>
    <xdr:clientData/>
  </xdr:twoCellAnchor>
  <xdr:twoCellAnchor>
    <xdr:from>
      <xdr:col>9</xdr:col>
      <xdr:colOff>6350</xdr:colOff>
      <xdr:row>2108</xdr:row>
      <xdr:rowOff>25400</xdr:rowOff>
    </xdr:from>
    <xdr:to>
      <xdr:col>9</xdr:col>
      <xdr:colOff>885190</xdr:colOff>
      <xdr:row>2108</xdr:row>
      <xdr:rowOff>1209040</xdr:rowOff>
    </xdr:to>
    <xdr:pic>
      <xdr:nvPicPr>
        <xdr:cNvPr id="6836" name="Изображение 6835" descr="resizeПП-00247517"/>
        <xdr:cNvPicPr>
          <a:picLocks noChangeAspect="1"/>
        </xdr:cNvPicPr>
      </xdr:nvPicPr>
      <xdr:blipFill>
        <a:blip xmlns:r="http://schemas.openxmlformats.org/officeDocument/2006/relationships" r:embed="rId1574"/>
        <a:stretch>
          <a:fillRect/>
        </a:stretch>
      </xdr:blipFill>
      <xdr:spPr>
        <a:xfrm>
          <a:off x="7235825" y="2064321500"/>
          <a:ext cx="878840" cy="1183640"/>
        </a:xfrm>
        <a:prstGeom prst="rect">
          <a:avLst/>
        </a:prstGeom>
      </xdr:spPr>
    </xdr:pic>
    <xdr:clientData/>
  </xdr:twoCellAnchor>
  <xdr:twoCellAnchor>
    <xdr:from>
      <xdr:col>9</xdr:col>
      <xdr:colOff>6350</xdr:colOff>
      <xdr:row>2109</xdr:row>
      <xdr:rowOff>25400</xdr:rowOff>
    </xdr:from>
    <xdr:to>
      <xdr:col>9</xdr:col>
      <xdr:colOff>885190</xdr:colOff>
      <xdr:row>2109</xdr:row>
      <xdr:rowOff>1209040</xdr:rowOff>
    </xdr:to>
    <xdr:pic>
      <xdr:nvPicPr>
        <xdr:cNvPr id="6837" name="Изображение 6836" descr="resizeПП-00258818"/>
        <xdr:cNvPicPr>
          <a:picLocks noChangeAspect="1"/>
        </xdr:cNvPicPr>
      </xdr:nvPicPr>
      <xdr:blipFill>
        <a:blip xmlns:r="http://schemas.openxmlformats.org/officeDocument/2006/relationships" r:embed="rId1580"/>
        <a:stretch>
          <a:fillRect/>
        </a:stretch>
      </xdr:blipFill>
      <xdr:spPr>
        <a:xfrm>
          <a:off x="7235825" y="2065543875"/>
          <a:ext cx="878840" cy="1183640"/>
        </a:xfrm>
        <a:prstGeom prst="rect">
          <a:avLst/>
        </a:prstGeom>
      </xdr:spPr>
    </xdr:pic>
    <xdr:clientData/>
  </xdr:twoCellAnchor>
  <xdr:twoCellAnchor>
    <xdr:from>
      <xdr:col>9</xdr:col>
      <xdr:colOff>6350</xdr:colOff>
      <xdr:row>2110</xdr:row>
      <xdr:rowOff>25400</xdr:rowOff>
    </xdr:from>
    <xdr:to>
      <xdr:col>9</xdr:col>
      <xdr:colOff>885190</xdr:colOff>
      <xdr:row>2110</xdr:row>
      <xdr:rowOff>1209040</xdr:rowOff>
    </xdr:to>
    <xdr:pic>
      <xdr:nvPicPr>
        <xdr:cNvPr id="6838" name="Изображение 6837" descr="resizeПП-00258820"/>
        <xdr:cNvPicPr>
          <a:picLocks noChangeAspect="1"/>
        </xdr:cNvPicPr>
      </xdr:nvPicPr>
      <xdr:blipFill>
        <a:blip xmlns:r="http://schemas.openxmlformats.org/officeDocument/2006/relationships" r:embed="rId1581"/>
        <a:stretch>
          <a:fillRect/>
        </a:stretch>
      </xdr:blipFill>
      <xdr:spPr>
        <a:xfrm>
          <a:off x="7235825" y="2066766250"/>
          <a:ext cx="878840" cy="1183640"/>
        </a:xfrm>
        <a:prstGeom prst="rect">
          <a:avLst/>
        </a:prstGeom>
      </xdr:spPr>
    </xdr:pic>
    <xdr:clientData/>
  </xdr:twoCellAnchor>
  <xdr:twoCellAnchor>
    <xdr:from>
      <xdr:col>9</xdr:col>
      <xdr:colOff>6350</xdr:colOff>
      <xdr:row>2111</xdr:row>
      <xdr:rowOff>25400</xdr:rowOff>
    </xdr:from>
    <xdr:to>
      <xdr:col>9</xdr:col>
      <xdr:colOff>885190</xdr:colOff>
      <xdr:row>2111</xdr:row>
      <xdr:rowOff>1209040</xdr:rowOff>
    </xdr:to>
    <xdr:pic>
      <xdr:nvPicPr>
        <xdr:cNvPr id="6839" name="Изображение 6838" descr="resizeПП-00247519"/>
        <xdr:cNvPicPr>
          <a:picLocks noChangeAspect="1"/>
        </xdr:cNvPicPr>
      </xdr:nvPicPr>
      <xdr:blipFill>
        <a:blip xmlns:r="http://schemas.openxmlformats.org/officeDocument/2006/relationships" r:embed="rId1582"/>
        <a:stretch>
          <a:fillRect/>
        </a:stretch>
      </xdr:blipFill>
      <xdr:spPr>
        <a:xfrm>
          <a:off x="7235825" y="2067988625"/>
          <a:ext cx="878840" cy="1183640"/>
        </a:xfrm>
        <a:prstGeom prst="rect">
          <a:avLst/>
        </a:prstGeom>
      </xdr:spPr>
    </xdr:pic>
    <xdr:clientData/>
  </xdr:twoCellAnchor>
  <xdr:twoCellAnchor>
    <xdr:from>
      <xdr:col>9</xdr:col>
      <xdr:colOff>6350</xdr:colOff>
      <xdr:row>2112</xdr:row>
      <xdr:rowOff>25400</xdr:rowOff>
    </xdr:from>
    <xdr:to>
      <xdr:col>9</xdr:col>
      <xdr:colOff>885190</xdr:colOff>
      <xdr:row>2112</xdr:row>
      <xdr:rowOff>1209040</xdr:rowOff>
    </xdr:to>
    <xdr:pic>
      <xdr:nvPicPr>
        <xdr:cNvPr id="6840" name="Изображение 6839" descr="resizeПП-00258817"/>
        <xdr:cNvPicPr>
          <a:picLocks noChangeAspect="1"/>
        </xdr:cNvPicPr>
      </xdr:nvPicPr>
      <xdr:blipFill>
        <a:blip xmlns:r="http://schemas.openxmlformats.org/officeDocument/2006/relationships" r:embed="rId1573"/>
        <a:stretch>
          <a:fillRect/>
        </a:stretch>
      </xdr:blipFill>
      <xdr:spPr>
        <a:xfrm>
          <a:off x="7235825" y="2069211000"/>
          <a:ext cx="878840" cy="1183640"/>
        </a:xfrm>
        <a:prstGeom prst="rect">
          <a:avLst/>
        </a:prstGeom>
      </xdr:spPr>
    </xdr:pic>
    <xdr:clientData/>
  </xdr:twoCellAnchor>
  <xdr:twoCellAnchor>
    <xdr:from>
      <xdr:col>9</xdr:col>
      <xdr:colOff>6350</xdr:colOff>
      <xdr:row>2113</xdr:row>
      <xdr:rowOff>25400</xdr:rowOff>
    </xdr:from>
    <xdr:to>
      <xdr:col>9</xdr:col>
      <xdr:colOff>885190</xdr:colOff>
      <xdr:row>2113</xdr:row>
      <xdr:rowOff>1209040</xdr:rowOff>
    </xdr:to>
    <xdr:pic>
      <xdr:nvPicPr>
        <xdr:cNvPr id="6841" name="Изображение 6840" descr="resizeПП-00271382"/>
        <xdr:cNvPicPr>
          <a:picLocks noChangeAspect="1"/>
        </xdr:cNvPicPr>
      </xdr:nvPicPr>
      <xdr:blipFill>
        <a:blip xmlns:r="http://schemas.openxmlformats.org/officeDocument/2006/relationships" r:embed="rId1583"/>
        <a:stretch>
          <a:fillRect/>
        </a:stretch>
      </xdr:blipFill>
      <xdr:spPr>
        <a:xfrm>
          <a:off x="7235825" y="2070433375"/>
          <a:ext cx="878840" cy="1183640"/>
        </a:xfrm>
        <a:prstGeom prst="rect">
          <a:avLst/>
        </a:prstGeom>
      </xdr:spPr>
    </xdr:pic>
    <xdr:clientData/>
  </xdr:twoCellAnchor>
  <xdr:twoCellAnchor>
    <xdr:from>
      <xdr:col>9</xdr:col>
      <xdr:colOff>6350</xdr:colOff>
      <xdr:row>2114</xdr:row>
      <xdr:rowOff>25400</xdr:rowOff>
    </xdr:from>
    <xdr:to>
      <xdr:col>9</xdr:col>
      <xdr:colOff>885190</xdr:colOff>
      <xdr:row>2114</xdr:row>
      <xdr:rowOff>1209040</xdr:rowOff>
    </xdr:to>
    <xdr:pic>
      <xdr:nvPicPr>
        <xdr:cNvPr id="6842" name="Изображение 6841" descr="resizeПП-00271384"/>
        <xdr:cNvPicPr>
          <a:picLocks noChangeAspect="1"/>
        </xdr:cNvPicPr>
      </xdr:nvPicPr>
      <xdr:blipFill>
        <a:blip xmlns:r="http://schemas.openxmlformats.org/officeDocument/2006/relationships" r:embed="rId1584"/>
        <a:stretch>
          <a:fillRect/>
        </a:stretch>
      </xdr:blipFill>
      <xdr:spPr>
        <a:xfrm>
          <a:off x="7235825" y="2071655750"/>
          <a:ext cx="878840" cy="1183640"/>
        </a:xfrm>
        <a:prstGeom prst="rect">
          <a:avLst/>
        </a:prstGeom>
      </xdr:spPr>
    </xdr:pic>
    <xdr:clientData/>
  </xdr:twoCellAnchor>
  <xdr:twoCellAnchor>
    <xdr:from>
      <xdr:col>9</xdr:col>
      <xdr:colOff>6350</xdr:colOff>
      <xdr:row>2116</xdr:row>
      <xdr:rowOff>25400</xdr:rowOff>
    </xdr:from>
    <xdr:to>
      <xdr:col>9</xdr:col>
      <xdr:colOff>885190</xdr:colOff>
      <xdr:row>2116</xdr:row>
      <xdr:rowOff>1209040</xdr:rowOff>
    </xdr:to>
    <xdr:pic>
      <xdr:nvPicPr>
        <xdr:cNvPr id="6843" name="Изображение 6842" descr="resizeПП-00271381"/>
        <xdr:cNvPicPr>
          <a:picLocks noChangeAspect="1"/>
        </xdr:cNvPicPr>
      </xdr:nvPicPr>
      <xdr:blipFill>
        <a:blip xmlns:r="http://schemas.openxmlformats.org/officeDocument/2006/relationships" r:embed="rId1585"/>
        <a:stretch>
          <a:fillRect/>
        </a:stretch>
      </xdr:blipFill>
      <xdr:spPr>
        <a:xfrm>
          <a:off x="7235825" y="2073030525"/>
          <a:ext cx="878840" cy="1183640"/>
        </a:xfrm>
        <a:prstGeom prst="rect">
          <a:avLst/>
        </a:prstGeom>
      </xdr:spPr>
    </xdr:pic>
    <xdr:clientData/>
  </xdr:twoCellAnchor>
  <xdr:twoCellAnchor>
    <xdr:from>
      <xdr:col>9</xdr:col>
      <xdr:colOff>6350</xdr:colOff>
      <xdr:row>2117</xdr:row>
      <xdr:rowOff>25400</xdr:rowOff>
    </xdr:from>
    <xdr:to>
      <xdr:col>9</xdr:col>
      <xdr:colOff>885190</xdr:colOff>
      <xdr:row>2117</xdr:row>
      <xdr:rowOff>1209040</xdr:rowOff>
    </xdr:to>
    <xdr:pic>
      <xdr:nvPicPr>
        <xdr:cNvPr id="6844" name="Изображение 6843" descr="resizeПП-00271379"/>
        <xdr:cNvPicPr>
          <a:picLocks noChangeAspect="1"/>
        </xdr:cNvPicPr>
      </xdr:nvPicPr>
      <xdr:blipFill>
        <a:blip xmlns:r="http://schemas.openxmlformats.org/officeDocument/2006/relationships" r:embed="rId1586"/>
        <a:stretch>
          <a:fillRect/>
        </a:stretch>
      </xdr:blipFill>
      <xdr:spPr>
        <a:xfrm>
          <a:off x="7235825" y="2074252900"/>
          <a:ext cx="878840" cy="1183640"/>
        </a:xfrm>
        <a:prstGeom prst="rect">
          <a:avLst/>
        </a:prstGeom>
      </xdr:spPr>
    </xdr:pic>
    <xdr:clientData/>
  </xdr:twoCellAnchor>
  <xdr:twoCellAnchor>
    <xdr:from>
      <xdr:col>9</xdr:col>
      <xdr:colOff>6350</xdr:colOff>
      <xdr:row>2118</xdr:row>
      <xdr:rowOff>25400</xdr:rowOff>
    </xdr:from>
    <xdr:to>
      <xdr:col>9</xdr:col>
      <xdr:colOff>885190</xdr:colOff>
      <xdr:row>2118</xdr:row>
      <xdr:rowOff>1209040</xdr:rowOff>
    </xdr:to>
    <xdr:pic>
      <xdr:nvPicPr>
        <xdr:cNvPr id="6845" name="Изображение 6844" descr="resizeПП-00248699"/>
        <xdr:cNvPicPr>
          <a:picLocks noChangeAspect="1"/>
        </xdr:cNvPicPr>
      </xdr:nvPicPr>
      <xdr:blipFill>
        <a:blip xmlns:r="http://schemas.openxmlformats.org/officeDocument/2006/relationships" r:embed="rId1587"/>
        <a:stretch>
          <a:fillRect/>
        </a:stretch>
      </xdr:blipFill>
      <xdr:spPr>
        <a:xfrm>
          <a:off x="7235825" y="2075475275"/>
          <a:ext cx="878840" cy="1183640"/>
        </a:xfrm>
        <a:prstGeom prst="rect">
          <a:avLst/>
        </a:prstGeom>
      </xdr:spPr>
    </xdr:pic>
    <xdr:clientData/>
  </xdr:twoCellAnchor>
  <xdr:twoCellAnchor>
    <xdr:from>
      <xdr:col>9</xdr:col>
      <xdr:colOff>6350</xdr:colOff>
      <xdr:row>2119</xdr:row>
      <xdr:rowOff>25400</xdr:rowOff>
    </xdr:from>
    <xdr:to>
      <xdr:col>9</xdr:col>
      <xdr:colOff>885190</xdr:colOff>
      <xdr:row>2119</xdr:row>
      <xdr:rowOff>1209040</xdr:rowOff>
    </xdr:to>
    <xdr:pic>
      <xdr:nvPicPr>
        <xdr:cNvPr id="6846" name="Изображение 6845" descr="resizeПП-00248701"/>
        <xdr:cNvPicPr>
          <a:picLocks noChangeAspect="1"/>
        </xdr:cNvPicPr>
      </xdr:nvPicPr>
      <xdr:blipFill>
        <a:blip xmlns:r="http://schemas.openxmlformats.org/officeDocument/2006/relationships" r:embed="rId1588"/>
        <a:stretch>
          <a:fillRect/>
        </a:stretch>
      </xdr:blipFill>
      <xdr:spPr>
        <a:xfrm>
          <a:off x="7235825" y="2076697650"/>
          <a:ext cx="878840" cy="1183640"/>
        </a:xfrm>
        <a:prstGeom prst="rect">
          <a:avLst/>
        </a:prstGeom>
      </xdr:spPr>
    </xdr:pic>
    <xdr:clientData/>
  </xdr:twoCellAnchor>
  <xdr:twoCellAnchor>
    <xdr:from>
      <xdr:col>9</xdr:col>
      <xdr:colOff>6350</xdr:colOff>
      <xdr:row>2120</xdr:row>
      <xdr:rowOff>25400</xdr:rowOff>
    </xdr:from>
    <xdr:to>
      <xdr:col>9</xdr:col>
      <xdr:colOff>885190</xdr:colOff>
      <xdr:row>2120</xdr:row>
      <xdr:rowOff>1209040</xdr:rowOff>
    </xdr:to>
    <xdr:pic>
      <xdr:nvPicPr>
        <xdr:cNvPr id="6847" name="Изображение 6846" descr="resizeПП-00248700"/>
        <xdr:cNvPicPr>
          <a:picLocks noChangeAspect="1"/>
        </xdr:cNvPicPr>
      </xdr:nvPicPr>
      <xdr:blipFill>
        <a:blip xmlns:r="http://schemas.openxmlformats.org/officeDocument/2006/relationships" r:embed="rId1589"/>
        <a:stretch>
          <a:fillRect/>
        </a:stretch>
      </xdr:blipFill>
      <xdr:spPr>
        <a:xfrm>
          <a:off x="7235825" y="2077920025"/>
          <a:ext cx="878840" cy="1183640"/>
        </a:xfrm>
        <a:prstGeom prst="rect">
          <a:avLst/>
        </a:prstGeom>
      </xdr:spPr>
    </xdr:pic>
    <xdr:clientData/>
  </xdr:twoCellAnchor>
  <xdr:twoCellAnchor>
    <xdr:from>
      <xdr:col>9</xdr:col>
      <xdr:colOff>6350</xdr:colOff>
      <xdr:row>2121</xdr:row>
      <xdr:rowOff>25400</xdr:rowOff>
    </xdr:from>
    <xdr:to>
      <xdr:col>9</xdr:col>
      <xdr:colOff>885190</xdr:colOff>
      <xdr:row>2121</xdr:row>
      <xdr:rowOff>1209040</xdr:rowOff>
    </xdr:to>
    <xdr:pic>
      <xdr:nvPicPr>
        <xdr:cNvPr id="6848" name="Изображение 6847" descr="resizeПП-00247509"/>
        <xdr:cNvPicPr>
          <a:picLocks noChangeAspect="1"/>
        </xdr:cNvPicPr>
      </xdr:nvPicPr>
      <xdr:blipFill>
        <a:blip xmlns:r="http://schemas.openxmlformats.org/officeDocument/2006/relationships" r:embed="rId1590"/>
        <a:stretch>
          <a:fillRect/>
        </a:stretch>
      </xdr:blipFill>
      <xdr:spPr>
        <a:xfrm>
          <a:off x="7235825" y="2079142400"/>
          <a:ext cx="878840" cy="1183640"/>
        </a:xfrm>
        <a:prstGeom prst="rect">
          <a:avLst/>
        </a:prstGeom>
      </xdr:spPr>
    </xdr:pic>
    <xdr:clientData/>
  </xdr:twoCellAnchor>
  <xdr:twoCellAnchor>
    <xdr:from>
      <xdr:col>9</xdr:col>
      <xdr:colOff>6350</xdr:colOff>
      <xdr:row>2122</xdr:row>
      <xdr:rowOff>25400</xdr:rowOff>
    </xdr:from>
    <xdr:to>
      <xdr:col>9</xdr:col>
      <xdr:colOff>885190</xdr:colOff>
      <xdr:row>2122</xdr:row>
      <xdr:rowOff>1209040</xdr:rowOff>
    </xdr:to>
    <xdr:pic>
      <xdr:nvPicPr>
        <xdr:cNvPr id="6849" name="Изображение 6848" descr="resizeПП-00247507"/>
        <xdr:cNvPicPr>
          <a:picLocks noChangeAspect="1"/>
        </xdr:cNvPicPr>
      </xdr:nvPicPr>
      <xdr:blipFill>
        <a:blip xmlns:r="http://schemas.openxmlformats.org/officeDocument/2006/relationships" r:embed="rId1591"/>
        <a:stretch>
          <a:fillRect/>
        </a:stretch>
      </xdr:blipFill>
      <xdr:spPr>
        <a:xfrm>
          <a:off x="7235825" y="2080364775"/>
          <a:ext cx="878840" cy="1183640"/>
        </a:xfrm>
        <a:prstGeom prst="rect">
          <a:avLst/>
        </a:prstGeom>
      </xdr:spPr>
    </xdr:pic>
    <xdr:clientData/>
  </xdr:twoCellAnchor>
  <xdr:twoCellAnchor>
    <xdr:from>
      <xdr:col>9</xdr:col>
      <xdr:colOff>6350</xdr:colOff>
      <xdr:row>2123</xdr:row>
      <xdr:rowOff>25400</xdr:rowOff>
    </xdr:from>
    <xdr:to>
      <xdr:col>9</xdr:col>
      <xdr:colOff>885190</xdr:colOff>
      <xdr:row>2123</xdr:row>
      <xdr:rowOff>1209040</xdr:rowOff>
    </xdr:to>
    <xdr:pic>
      <xdr:nvPicPr>
        <xdr:cNvPr id="6850" name="Изображение 6849" descr="resizeПП-00247510"/>
        <xdr:cNvPicPr>
          <a:picLocks noChangeAspect="1"/>
        </xdr:cNvPicPr>
      </xdr:nvPicPr>
      <xdr:blipFill>
        <a:blip xmlns:r="http://schemas.openxmlformats.org/officeDocument/2006/relationships" r:embed="rId1592"/>
        <a:stretch>
          <a:fillRect/>
        </a:stretch>
      </xdr:blipFill>
      <xdr:spPr>
        <a:xfrm>
          <a:off x="7235825" y="2081587150"/>
          <a:ext cx="878840" cy="1183640"/>
        </a:xfrm>
        <a:prstGeom prst="rect">
          <a:avLst/>
        </a:prstGeom>
      </xdr:spPr>
    </xdr:pic>
    <xdr:clientData/>
  </xdr:twoCellAnchor>
  <xdr:twoCellAnchor>
    <xdr:from>
      <xdr:col>9</xdr:col>
      <xdr:colOff>6350</xdr:colOff>
      <xdr:row>2124</xdr:row>
      <xdr:rowOff>25400</xdr:rowOff>
    </xdr:from>
    <xdr:to>
      <xdr:col>9</xdr:col>
      <xdr:colOff>885190</xdr:colOff>
      <xdr:row>2124</xdr:row>
      <xdr:rowOff>1209040</xdr:rowOff>
    </xdr:to>
    <xdr:pic>
      <xdr:nvPicPr>
        <xdr:cNvPr id="6851" name="Изображение 6850" descr="resizeПП-00247506"/>
        <xdr:cNvPicPr>
          <a:picLocks noChangeAspect="1"/>
        </xdr:cNvPicPr>
      </xdr:nvPicPr>
      <xdr:blipFill>
        <a:blip xmlns:r="http://schemas.openxmlformats.org/officeDocument/2006/relationships" r:embed="rId1593"/>
        <a:stretch>
          <a:fillRect/>
        </a:stretch>
      </xdr:blipFill>
      <xdr:spPr>
        <a:xfrm>
          <a:off x="7235825" y="2082809525"/>
          <a:ext cx="878840" cy="1183640"/>
        </a:xfrm>
        <a:prstGeom prst="rect">
          <a:avLst/>
        </a:prstGeom>
      </xdr:spPr>
    </xdr:pic>
    <xdr:clientData/>
  </xdr:twoCellAnchor>
  <xdr:twoCellAnchor>
    <xdr:from>
      <xdr:col>9</xdr:col>
      <xdr:colOff>6350</xdr:colOff>
      <xdr:row>2138</xdr:row>
      <xdr:rowOff>25400</xdr:rowOff>
    </xdr:from>
    <xdr:to>
      <xdr:col>9</xdr:col>
      <xdr:colOff>885190</xdr:colOff>
      <xdr:row>2138</xdr:row>
      <xdr:rowOff>1209040</xdr:rowOff>
    </xdr:to>
    <xdr:pic>
      <xdr:nvPicPr>
        <xdr:cNvPr id="6852" name="Изображение 6851" descr="resizeПП-00247508"/>
        <xdr:cNvPicPr>
          <a:picLocks noChangeAspect="1"/>
        </xdr:cNvPicPr>
      </xdr:nvPicPr>
      <xdr:blipFill>
        <a:blip xmlns:r="http://schemas.openxmlformats.org/officeDocument/2006/relationships" r:embed="rId1594"/>
        <a:stretch>
          <a:fillRect/>
        </a:stretch>
      </xdr:blipFill>
      <xdr:spPr>
        <a:xfrm>
          <a:off x="7235825" y="2087664100"/>
          <a:ext cx="878840" cy="1183640"/>
        </a:xfrm>
        <a:prstGeom prst="rect">
          <a:avLst/>
        </a:prstGeom>
      </xdr:spPr>
    </xdr:pic>
    <xdr:clientData/>
  </xdr:twoCellAnchor>
  <xdr:twoCellAnchor>
    <xdr:from>
      <xdr:col>9</xdr:col>
      <xdr:colOff>6350</xdr:colOff>
      <xdr:row>2140</xdr:row>
      <xdr:rowOff>25400</xdr:rowOff>
    </xdr:from>
    <xdr:to>
      <xdr:col>9</xdr:col>
      <xdr:colOff>885190</xdr:colOff>
      <xdr:row>2140</xdr:row>
      <xdr:rowOff>1209040</xdr:rowOff>
    </xdr:to>
    <xdr:pic>
      <xdr:nvPicPr>
        <xdr:cNvPr id="6853" name="Изображение 6852" descr="resizeПП-00271391"/>
        <xdr:cNvPicPr>
          <a:picLocks noChangeAspect="1"/>
        </xdr:cNvPicPr>
      </xdr:nvPicPr>
      <xdr:blipFill>
        <a:blip xmlns:r="http://schemas.openxmlformats.org/officeDocument/2006/relationships" r:embed="rId1595"/>
        <a:stretch>
          <a:fillRect/>
        </a:stretch>
      </xdr:blipFill>
      <xdr:spPr>
        <a:xfrm>
          <a:off x="7235825" y="2089038875"/>
          <a:ext cx="878840" cy="1183640"/>
        </a:xfrm>
        <a:prstGeom prst="rect">
          <a:avLst/>
        </a:prstGeom>
      </xdr:spPr>
    </xdr:pic>
    <xdr:clientData/>
  </xdr:twoCellAnchor>
  <xdr:twoCellAnchor>
    <xdr:from>
      <xdr:col>9</xdr:col>
      <xdr:colOff>6350</xdr:colOff>
      <xdr:row>2144</xdr:row>
      <xdr:rowOff>25400</xdr:rowOff>
    </xdr:from>
    <xdr:to>
      <xdr:col>9</xdr:col>
      <xdr:colOff>885190</xdr:colOff>
      <xdr:row>2144</xdr:row>
      <xdr:rowOff>1209040</xdr:rowOff>
    </xdr:to>
    <xdr:pic>
      <xdr:nvPicPr>
        <xdr:cNvPr id="6854" name="Изображение 6853" descr="resizeПП-00258765"/>
        <xdr:cNvPicPr>
          <a:picLocks noChangeAspect="1"/>
        </xdr:cNvPicPr>
      </xdr:nvPicPr>
      <xdr:blipFill>
        <a:blip xmlns:r="http://schemas.openxmlformats.org/officeDocument/2006/relationships" r:embed="rId1596"/>
        <a:stretch>
          <a:fillRect/>
        </a:stretch>
      </xdr:blipFill>
      <xdr:spPr>
        <a:xfrm>
          <a:off x="7235825" y="2091099450"/>
          <a:ext cx="878840" cy="1183640"/>
        </a:xfrm>
        <a:prstGeom prst="rect">
          <a:avLst/>
        </a:prstGeom>
      </xdr:spPr>
    </xdr:pic>
    <xdr:clientData/>
  </xdr:twoCellAnchor>
  <xdr:twoCellAnchor>
    <xdr:from>
      <xdr:col>9</xdr:col>
      <xdr:colOff>6350</xdr:colOff>
      <xdr:row>2145</xdr:row>
      <xdr:rowOff>25400</xdr:rowOff>
    </xdr:from>
    <xdr:to>
      <xdr:col>9</xdr:col>
      <xdr:colOff>885190</xdr:colOff>
      <xdr:row>2145</xdr:row>
      <xdr:rowOff>1209040</xdr:rowOff>
    </xdr:to>
    <xdr:pic>
      <xdr:nvPicPr>
        <xdr:cNvPr id="6855" name="Изображение 6854" descr="resizeПП-00258766"/>
        <xdr:cNvPicPr>
          <a:picLocks noChangeAspect="1"/>
        </xdr:cNvPicPr>
      </xdr:nvPicPr>
      <xdr:blipFill>
        <a:blip xmlns:r="http://schemas.openxmlformats.org/officeDocument/2006/relationships" r:embed="rId1597"/>
        <a:stretch>
          <a:fillRect/>
        </a:stretch>
      </xdr:blipFill>
      <xdr:spPr>
        <a:xfrm>
          <a:off x="7235825" y="2092321825"/>
          <a:ext cx="878840" cy="1183640"/>
        </a:xfrm>
        <a:prstGeom prst="rect">
          <a:avLst/>
        </a:prstGeom>
      </xdr:spPr>
    </xdr:pic>
    <xdr:clientData/>
  </xdr:twoCellAnchor>
  <xdr:twoCellAnchor>
    <xdr:from>
      <xdr:col>9</xdr:col>
      <xdr:colOff>6350</xdr:colOff>
      <xdr:row>2147</xdr:row>
      <xdr:rowOff>25400</xdr:rowOff>
    </xdr:from>
    <xdr:to>
      <xdr:col>9</xdr:col>
      <xdr:colOff>885190</xdr:colOff>
      <xdr:row>2147</xdr:row>
      <xdr:rowOff>1209040</xdr:rowOff>
    </xdr:to>
    <xdr:pic>
      <xdr:nvPicPr>
        <xdr:cNvPr id="6856" name="Изображение 6855" descr="resizeПП-00269467"/>
        <xdr:cNvPicPr>
          <a:picLocks noChangeAspect="1"/>
        </xdr:cNvPicPr>
      </xdr:nvPicPr>
      <xdr:blipFill>
        <a:blip xmlns:r="http://schemas.openxmlformats.org/officeDocument/2006/relationships" r:embed="rId1596"/>
        <a:stretch>
          <a:fillRect/>
        </a:stretch>
      </xdr:blipFill>
      <xdr:spPr>
        <a:xfrm>
          <a:off x="7235825" y="2093823600"/>
          <a:ext cx="878840" cy="1183640"/>
        </a:xfrm>
        <a:prstGeom prst="rect">
          <a:avLst/>
        </a:prstGeom>
      </xdr:spPr>
    </xdr:pic>
    <xdr:clientData/>
  </xdr:twoCellAnchor>
  <xdr:twoCellAnchor>
    <xdr:from>
      <xdr:col>9</xdr:col>
      <xdr:colOff>6350</xdr:colOff>
      <xdr:row>2148</xdr:row>
      <xdr:rowOff>25400</xdr:rowOff>
    </xdr:from>
    <xdr:to>
      <xdr:col>9</xdr:col>
      <xdr:colOff>885190</xdr:colOff>
      <xdr:row>2148</xdr:row>
      <xdr:rowOff>1209040</xdr:rowOff>
    </xdr:to>
    <xdr:pic>
      <xdr:nvPicPr>
        <xdr:cNvPr id="6857" name="Изображение 6856" descr="resizeПП-00258761"/>
        <xdr:cNvPicPr>
          <a:picLocks noChangeAspect="1"/>
        </xdr:cNvPicPr>
      </xdr:nvPicPr>
      <xdr:blipFill>
        <a:blip xmlns:r="http://schemas.openxmlformats.org/officeDocument/2006/relationships" r:embed="rId1598"/>
        <a:stretch>
          <a:fillRect/>
        </a:stretch>
      </xdr:blipFill>
      <xdr:spPr>
        <a:xfrm>
          <a:off x="7235825" y="2095045975"/>
          <a:ext cx="878840" cy="1183640"/>
        </a:xfrm>
        <a:prstGeom prst="rect">
          <a:avLst/>
        </a:prstGeom>
      </xdr:spPr>
    </xdr:pic>
    <xdr:clientData/>
  </xdr:twoCellAnchor>
  <xdr:twoCellAnchor>
    <xdr:from>
      <xdr:col>9</xdr:col>
      <xdr:colOff>6350</xdr:colOff>
      <xdr:row>2150</xdr:row>
      <xdr:rowOff>25400</xdr:rowOff>
    </xdr:from>
    <xdr:to>
      <xdr:col>9</xdr:col>
      <xdr:colOff>885190</xdr:colOff>
      <xdr:row>2150</xdr:row>
      <xdr:rowOff>1209040</xdr:rowOff>
    </xdr:to>
    <xdr:pic>
      <xdr:nvPicPr>
        <xdr:cNvPr id="6858" name="Изображение 6857" descr="resizeПП-00258763"/>
        <xdr:cNvPicPr>
          <a:picLocks noChangeAspect="1"/>
        </xdr:cNvPicPr>
      </xdr:nvPicPr>
      <xdr:blipFill>
        <a:blip xmlns:r="http://schemas.openxmlformats.org/officeDocument/2006/relationships" r:embed="rId1599"/>
        <a:stretch>
          <a:fillRect/>
        </a:stretch>
      </xdr:blipFill>
      <xdr:spPr>
        <a:xfrm>
          <a:off x="7235825" y="2096547750"/>
          <a:ext cx="878840" cy="1183640"/>
        </a:xfrm>
        <a:prstGeom prst="rect">
          <a:avLst/>
        </a:prstGeom>
      </xdr:spPr>
    </xdr:pic>
    <xdr:clientData/>
  </xdr:twoCellAnchor>
  <xdr:twoCellAnchor>
    <xdr:from>
      <xdr:col>9</xdr:col>
      <xdr:colOff>6350</xdr:colOff>
      <xdr:row>2151</xdr:row>
      <xdr:rowOff>25400</xdr:rowOff>
    </xdr:from>
    <xdr:to>
      <xdr:col>9</xdr:col>
      <xdr:colOff>885190</xdr:colOff>
      <xdr:row>2151</xdr:row>
      <xdr:rowOff>1209040</xdr:rowOff>
    </xdr:to>
    <xdr:pic>
      <xdr:nvPicPr>
        <xdr:cNvPr id="6859" name="Изображение 6858" descr="resizeПП-00271394"/>
        <xdr:cNvPicPr>
          <a:picLocks noChangeAspect="1"/>
        </xdr:cNvPicPr>
      </xdr:nvPicPr>
      <xdr:blipFill>
        <a:blip xmlns:r="http://schemas.openxmlformats.org/officeDocument/2006/relationships" r:embed="rId1600"/>
        <a:stretch>
          <a:fillRect/>
        </a:stretch>
      </xdr:blipFill>
      <xdr:spPr>
        <a:xfrm>
          <a:off x="7235825" y="2097770125"/>
          <a:ext cx="878840" cy="1183640"/>
        </a:xfrm>
        <a:prstGeom prst="rect">
          <a:avLst/>
        </a:prstGeom>
      </xdr:spPr>
    </xdr:pic>
    <xdr:clientData/>
  </xdr:twoCellAnchor>
  <xdr:twoCellAnchor>
    <xdr:from>
      <xdr:col>9</xdr:col>
      <xdr:colOff>6350</xdr:colOff>
      <xdr:row>2152</xdr:row>
      <xdr:rowOff>25400</xdr:rowOff>
    </xdr:from>
    <xdr:to>
      <xdr:col>9</xdr:col>
      <xdr:colOff>885190</xdr:colOff>
      <xdr:row>2152</xdr:row>
      <xdr:rowOff>1209040</xdr:rowOff>
    </xdr:to>
    <xdr:pic>
      <xdr:nvPicPr>
        <xdr:cNvPr id="6860" name="Изображение 6859" descr="resizeПП-00271393"/>
        <xdr:cNvPicPr>
          <a:picLocks noChangeAspect="1"/>
        </xdr:cNvPicPr>
      </xdr:nvPicPr>
      <xdr:blipFill>
        <a:blip xmlns:r="http://schemas.openxmlformats.org/officeDocument/2006/relationships" r:embed="rId1601"/>
        <a:stretch>
          <a:fillRect/>
        </a:stretch>
      </xdr:blipFill>
      <xdr:spPr>
        <a:xfrm>
          <a:off x="7235825" y="2098992500"/>
          <a:ext cx="878840" cy="1183640"/>
        </a:xfrm>
        <a:prstGeom prst="rect">
          <a:avLst/>
        </a:prstGeom>
      </xdr:spPr>
    </xdr:pic>
    <xdr:clientData/>
  </xdr:twoCellAnchor>
  <xdr:twoCellAnchor>
    <xdr:from>
      <xdr:col>9</xdr:col>
      <xdr:colOff>6350</xdr:colOff>
      <xdr:row>2153</xdr:row>
      <xdr:rowOff>25400</xdr:rowOff>
    </xdr:from>
    <xdr:to>
      <xdr:col>9</xdr:col>
      <xdr:colOff>885190</xdr:colOff>
      <xdr:row>2153</xdr:row>
      <xdr:rowOff>1209040</xdr:rowOff>
    </xdr:to>
    <xdr:pic>
      <xdr:nvPicPr>
        <xdr:cNvPr id="6861" name="Изображение 6860" descr="resizeПП-00271389"/>
        <xdr:cNvPicPr>
          <a:picLocks noChangeAspect="1"/>
        </xdr:cNvPicPr>
      </xdr:nvPicPr>
      <xdr:blipFill>
        <a:blip xmlns:r="http://schemas.openxmlformats.org/officeDocument/2006/relationships" r:embed="rId1602"/>
        <a:stretch>
          <a:fillRect/>
        </a:stretch>
      </xdr:blipFill>
      <xdr:spPr>
        <a:xfrm>
          <a:off x="7235825" y="2100214875"/>
          <a:ext cx="878840" cy="1183640"/>
        </a:xfrm>
        <a:prstGeom prst="rect">
          <a:avLst/>
        </a:prstGeom>
      </xdr:spPr>
    </xdr:pic>
    <xdr:clientData/>
  </xdr:twoCellAnchor>
  <xdr:twoCellAnchor>
    <xdr:from>
      <xdr:col>9</xdr:col>
      <xdr:colOff>6350</xdr:colOff>
      <xdr:row>2155</xdr:row>
      <xdr:rowOff>25400</xdr:rowOff>
    </xdr:from>
    <xdr:to>
      <xdr:col>9</xdr:col>
      <xdr:colOff>885190</xdr:colOff>
      <xdr:row>2155</xdr:row>
      <xdr:rowOff>1209040</xdr:rowOff>
    </xdr:to>
    <xdr:pic>
      <xdr:nvPicPr>
        <xdr:cNvPr id="6862" name="Изображение 6861" descr="resizeПП-00269468"/>
        <xdr:cNvPicPr>
          <a:picLocks noChangeAspect="1"/>
        </xdr:cNvPicPr>
      </xdr:nvPicPr>
      <xdr:blipFill>
        <a:blip xmlns:r="http://schemas.openxmlformats.org/officeDocument/2006/relationships" r:embed="rId1597"/>
        <a:stretch>
          <a:fillRect/>
        </a:stretch>
      </xdr:blipFill>
      <xdr:spPr>
        <a:xfrm>
          <a:off x="7235825" y="2101716650"/>
          <a:ext cx="878840" cy="1183640"/>
        </a:xfrm>
        <a:prstGeom prst="rect">
          <a:avLst/>
        </a:prstGeom>
      </xdr:spPr>
    </xdr:pic>
    <xdr:clientData/>
  </xdr:twoCellAnchor>
  <xdr:twoCellAnchor>
    <xdr:from>
      <xdr:col>9</xdr:col>
      <xdr:colOff>6350</xdr:colOff>
      <xdr:row>2156</xdr:row>
      <xdr:rowOff>25400</xdr:rowOff>
    </xdr:from>
    <xdr:to>
      <xdr:col>9</xdr:col>
      <xdr:colOff>885190</xdr:colOff>
      <xdr:row>2156</xdr:row>
      <xdr:rowOff>1209040</xdr:rowOff>
    </xdr:to>
    <xdr:pic>
      <xdr:nvPicPr>
        <xdr:cNvPr id="6863" name="Изображение 6862" descr="resizeПП-00269468"/>
        <xdr:cNvPicPr>
          <a:picLocks noChangeAspect="1"/>
        </xdr:cNvPicPr>
      </xdr:nvPicPr>
      <xdr:blipFill>
        <a:blip xmlns:r="http://schemas.openxmlformats.org/officeDocument/2006/relationships" r:embed="rId1597"/>
        <a:stretch>
          <a:fillRect/>
        </a:stretch>
      </xdr:blipFill>
      <xdr:spPr>
        <a:xfrm>
          <a:off x="7235825" y="2102939025"/>
          <a:ext cx="878840" cy="1183640"/>
        </a:xfrm>
        <a:prstGeom prst="rect">
          <a:avLst/>
        </a:prstGeom>
      </xdr:spPr>
    </xdr:pic>
    <xdr:clientData/>
  </xdr:twoCellAnchor>
  <xdr:twoCellAnchor>
    <xdr:from>
      <xdr:col>9</xdr:col>
      <xdr:colOff>6350</xdr:colOff>
      <xdr:row>2157</xdr:row>
      <xdr:rowOff>25400</xdr:rowOff>
    </xdr:from>
    <xdr:to>
      <xdr:col>9</xdr:col>
      <xdr:colOff>885190</xdr:colOff>
      <xdr:row>2157</xdr:row>
      <xdr:rowOff>1209040</xdr:rowOff>
    </xdr:to>
    <xdr:pic>
      <xdr:nvPicPr>
        <xdr:cNvPr id="6864" name="Изображение 6863" descr="resizeПП-00269462"/>
        <xdr:cNvPicPr>
          <a:picLocks noChangeAspect="1"/>
        </xdr:cNvPicPr>
      </xdr:nvPicPr>
      <xdr:blipFill>
        <a:blip xmlns:r="http://schemas.openxmlformats.org/officeDocument/2006/relationships" r:embed="rId1603"/>
        <a:stretch>
          <a:fillRect/>
        </a:stretch>
      </xdr:blipFill>
      <xdr:spPr>
        <a:xfrm>
          <a:off x="7235825" y="2104161400"/>
          <a:ext cx="878840" cy="1183640"/>
        </a:xfrm>
        <a:prstGeom prst="rect">
          <a:avLst/>
        </a:prstGeom>
      </xdr:spPr>
    </xdr:pic>
    <xdr:clientData/>
  </xdr:twoCellAnchor>
  <xdr:twoCellAnchor>
    <xdr:from>
      <xdr:col>9</xdr:col>
      <xdr:colOff>6350</xdr:colOff>
      <xdr:row>2158</xdr:row>
      <xdr:rowOff>25400</xdr:rowOff>
    </xdr:from>
    <xdr:to>
      <xdr:col>9</xdr:col>
      <xdr:colOff>885190</xdr:colOff>
      <xdr:row>2158</xdr:row>
      <xdr:rowOff>1209040</xdr:rowOff>
    </xdr:to>
    <xdr:pic>
      <xdr:nvPicPr>
        <xdr:cNvPr id="6865" name="Изображение 6864" descr="resizeПП-00247524"/>
        <xdr:cNvPicPr>
          <a:picLocks noChangeAspect="1"/>
        </xdr:cNvPicPr>
      </xdr:nvPicPr>
      <xdr:blipFill>
        <a:blip xmlns:r="http://schemas.openxmlformats.org/officeDocument/2006/relationships" r:embed="rId1604"/>
        <a:stretch>
          <a:fillRect/>
        </a:stretch>
      </xdr:blipFill>
      <xdr:spPr>
        <a:xfrm>
          <a:off x="7235825" y="2105383775"/>
          <a:ext cx="878840" cy="1183640"/>
        </a:xfrm>
        <a:prstGeom prst="rect">
          <a:avLst/>
        </a:prstGeom>
      </xdr:spPr>
    </xdr:pic>
    <xdr:clientData/>
  </xdr:twoCellAnchor>
  <xdr:twoCellAnchor>
    <xdr:from>
      <xdr:col>9</xdr:col>
      <xdr:colOff>6350</xdr:colOff>
      <xdr:row>2159</xdr:row>
      <xdr:rowOff>25400</xdr:rowOff>
    </xdr:from>
    <xdr:to>
      <xdr:col>9</xdr:col>
      <xdr:colOff>885190</xdr:colOff>
      <xdr:row>2159</xdr:row>
      <xdr:rowOff>1209040</xdr:rowOff>
    </xdr:to>
    <xdr:pic>
      <xdr:nvPicPr>
        <xdr:cNvPr id="6866" name="Изображение 6865" descr="resizeПП-00247526"/>
        <xdr:cNvPicPr>
          <a:picLocks noChangeAspect="1"/>
        </xdr:cNvPicPr>
      </xdr:nvPicPr>
      <xdr:blipFill>
        <a:blip xmlns:r="http://schemas.openxmlformats.org/officeDocument/2006/relationships" r:embed="rId1605"/>
        <a:stretch>
          <a:fillRect/>
        </a:stretch>
      </xdr:blipFill>
      <xdr:spPr>
        <a:xfrm>
          <a:off x="7235825" y="2106606150"/>
          <a:ext cx="878840" cy="1183640"/>
        </a:xfrm>
        <a:prstGeom prst="rect">
          <a:avLst/>
        </a:prstGeom>
      </xdr:spPr>
    </xdr:pic>
    <xdr:clientData/>
  </xdr:twoCellAnchor>
  <xdr:twoCellAnchor>
    <xdr:from>
      <xdr:col>9</xdr:col>
      <xdr:colOff>6350</xdr:colOff>
      <xdr:row>2160</xdr:row>
      <xdr:rowOff>25400</xdr:rowOff>
    </xdr:from>
    <xdr:to>
      <xdr:col>9</xdr:col>
      <xdr:colOff>885190</xdr:colOff>
      <xdr:row>2160</xdr:row>
      <xdr:rowOff>1209040</xdr:rowOff>
    </xdr:to>
    <xdr:pic>
      <xdr:nvPicPr>
        <xdr:cNvPr id="6867" name="Изображение 6866" descr="resizeПП-00247523"/>
        <xdr:cNvPicPr>
          <a:picLocks noChangeAspect="1"/>
        </xdr:cNvPicPr>
      </xdr:nvPicPr>
      <xdr:blipFill>
        <a:blip xmlns:r="http://schemas.openxmlformats.org/officeDocument/2006/relationships" r:embed="rId1606"/>
        <a:stretch>
          <a:fillRect/>
        </a:stretch>
      </xdr:blipFill>
      <xdr:spPr>
        <a:xfrm>
          <a:off x="7235825" y="2107828525"/>
          <a:ext cx="878840" cy="1183640"/>
        </a:xfrm>
        <a:prstGeom prst="rect">
          <a:avLst/>
        </a:prstGeom>
      </xdr:spPr>
    </xdr:pic>
    <xdr:clientData/>
  </xdr:twoCellAnchor>
  <xdr:twoCellAnchor>
    <xdr:from>
      <xdr:col>9</xdr:col>
      <xdr:colOff>6350</xdr:colOff>
      <xdr:row>2161</xdr:row>
      <xdr:rowOff>25400</xdr:rowOff>
    </xdr:from>
    <xdr:to>
      <xdr:col>9</xdr:col>
      <xdr:colOff>885190</xdr:colOff>
      <xdr:row>2161</xdr:row>
      <xdr:rowOff>1209040</xdr:rowOff>
    </xdr:to>
    <xdr:pic>
      <xdr:nvPicPr>
        <xdr:cNvPr id="6868" name="Изображение 6867" descr="resizeПП-00271392"/>
        <xdr:cNvPicPr>
          <a:picLocks noChangeAspect="1"/>
        </xdr:cNvPicPr>
      </xdr:nvPicPr>
      <xdr:blipFill>
        <a:blip xmlns:r="http://schemas.openxmlformats.org/officeDocument/2006/relationships" r:embed="rId1607"/>
        <a:stretch>
          <a:fillRect/>
        </a:stretch>
      </xdr:blipFill>
      <xdr:spPr>
        <a:xfrm>
          <a:off x="7235825" y="2109050900"/>
          <a:ext cx="878840" cy="1183640"/>
        </a:xfrm>
        <a:prstGeom prst="rect">
          <a:avLst/>
        </a:prstGeom>
      </xdr:spPr>
    </xdr:pic>
    <xdr:clientData/>
  </xdr:twoCellAnchor>
  <xdr:twoCellAnchor>
    <xdr:from>
      <xdr:col>9</xdr:col>
      <xdr:colOff>6350</xdr:colOff>
      <xdr:row>2162</xdr:row>
      <xdr:rowOff>25400</xdr:rowOff>
    </xdr:from>
    <xdr:to>
      <xdr:col>9</xdr:col>
      <xdr:colOff>885190</xdr:colOff>
      <xdr:row>2162</xdr:row>
      <xdr:rowOff>1209040</xdr:rowOff>
    </xdr:to>
    <xdr:pic>
      <xdr:nvPicPr>
        <xdr:cNvPr id="6869" name="Изображение 6868" descr="resizeПП-00271390"/>
        <xdr:cNvPicPr>
          <a:picLocks noChangeAspect="1"/>
        </xdr:cNvPicPr>
      </xdr:nvPicPr>
      <xdr:blipFill>
        <a:blip xmlns:r="http://schemas.openxmlformats.org/officeDocument/2006/relationships" r:embed="rId1608"/>
        <a:stretch>
          <a:fillRect/>
        </a:stretch>
      </xdr:blipFill>
      <xdr:spPr>
        <a:xfrm>
          <a:off x="7235825" y="2110273275"/>
          <a:ext cx="878840" cy="1183640"/>
        </a:xfrm>
        <a:prstGeom prst="rect">
          <a:avLst/>
        </a:prstGeom>
      </xdr:spPr>
    </xdr:pic>
    <xdr:clientData/>
  </xdr:twoCellAnchor>
  <xdr:twoCellAnchor>
    <xdr:from>
      <xdr:col>9</xdr:col>
      <xdr:colOff>6350</xdr:colOff>
      <xdr:row>2164</xdr:row>
      <xdr:rowOff>25400</xdr:rowOff>
    </xdr:from>
    <xdr:to>
      <xdr:col>9</xdr:col>
      <xdr:colOff>885190</xdr:colOff>
      <xdr:row>2164</xdr:row>
      <xdr:rowOff>1209040</xdr:rowOff>
    </xdr:to>
    <xdr:pic>
      <xdr:nvPicPr>
        <xdr:cNvPr id="6870" name="Изображение 6869" descr="resizeПП-00258769"/>
        <xdr:cNvPicPr>
          <a:picLocks noChangeAspect="1"/>
        </xdr:cNvPicPr>
      </xdr:nvPicPr>
      <xdr:blipFill>
        <a:blip xmlns:r="http://schemas.openxmlformats.org/officeDocument/2006/relationships" r:embed="rId1609"/>
        <a:stretch>
          <a:fillRect/>
        </a:stretch>
      </xdr:blipFill>
      <xdr:spPr>
        <a:xfrm>
          <a:off x="7235825" y="2111648050"/>
          <a:ext cx="878840" cy="1183640"/>
        </a:xfrm>
        <a:prstGeom prst="rect">
          <a:avLst/>
        </a:prstGeom>
      </xdr:spPr>
    </xdr:pic>
    <xdr:clientData/>
  </xdr:twoCellAnchor>
  <xdr:twoCellAnchor>
    <xdr:from>
      <xdr:col>9</xdr:col>
      <xdr:colOff>6350</xdr:colOff>
      <xdr:row>2165</xdr:row>
      <xdr:rowOff>25400</xdr:rowOff>
    </xdr:from>
    <xdr:to>
      <xdr:col>9</xdr:col>
      <xdr:colOff>885190</xdr:colOff>
      <xdr:row>2165</xdr:row>
      <xdr:rowOff>1209040</xdr:rowOff>
    </xdr:to>
    <xdr:pic>
      <xdr:nvPicPr>
        <xdr:cNvPr id="6871" name="Изображение 6870" descr="resizeПП-00258768"/>
        <xdr:cNvPicPr>
          <a:picLocks noChangeAspect="1"/>
        </xdr:cNvPicPr>
      </xdr:nvPicPr>
      <xdr:blipFill>
        <a:blip xmlns:r="http://schemas.openxmlformats.org/officeDocument/2006/relationships" r:embed="rId1610"/>
        <a:stretch>
          <a:fillRect/>
        </a:stretch>
      </xdr:blipFill>
      <xdr:spPr>
        <a:xfrm>
          <a:off x="7235825" y="2112870425"/>
          <a:ext cx="878840" cy="1183640"/>
        </a:xfrm>
        <a:prstGeom prst="rect">
          <a:avLst/>
        </a:prstGeom>
      </xdr:spPr>
    </xdr:pic>
    <xdr:clientData/>
  </xdr:twoCellAnchor>
  <xdr:twoCellAnchor>
    <xdr:from>
      <xdr:col>9</xdr:col>
      <xdr:colOff>6350</xdr:colOff>
      <xdr:row>2166</xdr:row>
      <xdr:rowOff>25400</xdr:rowOff>
    </xdr:from>
    <xdr:to>
      <xdr:col>9</xdr:col>
      <xdr:colOff>885190</xdr:colOff>
      <xdr:row>2166</xdr:row>
      <xdr:rowOff>1209040</xdr:rowOff>
    </xdr:to>
    <xdr:pic>
      <xdr:nvPicPr>
        <xdr:cNvPr id="6872" name="Изображение 6871" descr="resizeПП-00258767"/>
        <xdr:cNvPicPr>
          <a:picLocks noChangeAspect="1"/>
        </xdr:cNvPicPr>
      </xdr:nvPicPr>
      <xdr:blipFill>
        <a:blip xmlns:r="http://schemas.openxmlformats.org/officeDocument/2006/relationships" r:embed="rId1611"/>
        <a:stretch>
          <a:fillRect/>
        </a:stretch>
      </xdr:blipFill>
      <xdr:spPr>
        <a:xfrm>
          <a:off x="7235825" y="2114092800"/>
          <a:ext cx="878840" cy="1183640"/>
        </a:xfrm>
        <a:prstGeom prst="rect">
          <a:avLst/>
        </a:prstGeom>
      </xdr:spPr>
    </xdr:pic>
    <xdr:clientData/>
  </xdr:twoCellAnchor>
  <xdr:twoCellAnchor>
    <xdr:from>
      <xdr:col>9</xdr:col>
      <xdr:colOff>6350</xdr:colOff>
      <xdr:row>2167</xdr:row>
      <xdr:rowOff>25400</xdr:rowOff>
    </xdr:from>
    <xdr:to>
      <xdr:col>9</xdr:col>
      <xdr:colOff>885190</xdr:colOff>
      <xdr:row>2167</xdr:row>
      <xdr:rowOff>1209040</xdr:rowOff>
    </xdr:to>
    <xdr:pic>
      <xdr:nvPicPr>
        <xdr:cNvPr id="6873" name="Изображение 6872" descr="resizeПП-00258772"/>
        <xdr:cNvPicPr>
          <a:picLocks noChangeAspect="1"/>
        </xdr:cNvPicPr>
      </xdr:nvPicPr>
      <xdr:blipFill>
        <a:blip xmlns:r="http://schemas.openxmlformats.org/officeDocument/2006/relationships" r:embed="rId1612"/>
        <a:stretch>
          <a:fillRect/>
        </a:stretch>
      </xdr:blipFill>
      <xdr:spPr>
        <a:xfrm>
          <a:off x="7235825" y="2115315175"/>
          <a:ext cx="878840" cy="1183640"/>
        </a:xfrm>
        <a:prstGeom prst="rect">
          <a:avLst/>
        </a:prstGeom>
      </xdr:spPr>
    </xdr:pic>
    <xdr:clientData/>
  </xdr:twoCellAnchor>
  <xdr:twoCellAnchor>
    <xdr:from>
      <xdr:col>9</xdr:col>
      <xdr:colOff>6350</xdr:colOff>
      <xdr:row>2168</xdr:row>
      <xdr:rowOff>25400</xdr:rowOff>
    </xdr:from>
    <xdr:to>
      <xdr:col>9</xdr:col>
      <xdr:colOff>885190</xdr:colOff>
      <xdr:row>2168</xdr:row>
      <xdr:rowOff>1209040</xdr:rowOff>
    </xdr:to>
    <xdr:pic>
      <xdr:nvPicPr>
        <xdr:cNvPr id="6874" name="Изображение 6873" descr="resizeПП-00247530"/>
        <xdr:cNvPicPr>
          <a:picLocks noChangeAspect="1"/>
        </xdr:cNvPicPr>
      </xdr:nvPicPr>
      <xdr:blipFill>
        <a:blip xmlns:r="http://schemas.openxmlformats.org/officeDocument/2006/relationships" r:embed="rId1613"/>
        <a:stretch>
          <a:fillRect/>
        </a:stretch>
      </xdr:blipFill>
      <xdr:spPr>
        <a:xfrm>
          <a:off x="7235825" y="2116537550"/>
          <a:ext cx="878840" cy="1183640"/>
        </a:xfrm>
        <a:prstGeom prst="rect">
          <a:avLst/>
        </a:prstGeom>
      </xdr:spPr>
    </xdr:pic>
    <xdr:clientData/>
  </xdr:twoCellAnchor>
  <xdr:twoCellAnchor>
    <xdr:from>
      <xdr:col>9</xdr:col>
      <xdr:colOff>6350</xdr:colOff>
      <xdr:row>2169</xdr:row>
      <xdr:rowOff>25400</xdr:rowOff>
    </xdr:from>
    <xdr:to>
      <xdr:col>9</xdr:col>
      <xdr:colOff>885190</xdr:colOff>
      <xdr:row>2169</xdr:row>
      <xdr:rowOff>1209040</xdr:rowOff>
    </xdr:to>
    <xdr:pic>
      <xdr:nvPicPr>
        <xdr:cNvPr id="6875" name="Изображение 6874" descr="resizeПП-00247529"/>
        <xdr:cNvPicPr>
          <a:picLocks noChangeAspect="1"/>
        </xdr:cNvPicPr>
      </xdr:nvPicPr>
      <xdr:blipFill>
        <a:blip xmlns:r="http://schemas.openxmlformats.org/officeDocument/2006/relationships" r:embed="rId1614"/>
        <a:stretch>
          <a:fillRect/>
        </a:stretch>
      </xdr:blipFill>
      <xdr:spPr>
        <a:xfrm>
          <a:off x="7235825" y="2117759925"/>
          <a:ext cx="878840" cy="1183640"/>
        </a:xfrm>
        <a:prstGeom prst="rect">
          <a:avLst/>
        </a:prstGeom>
      </xdr:spPr>
    </xdr:pic>
    <xdr:clientData/>
  </xdr:twoCellAnchor>
  <xdr:twoCellAnchor>
    <xdr:from>
      <xdr:col>9</xdr:col>
      <xdr:colOff>6350</xdr:colOff>
      <xdr:row>2170</xdr:row>
      <xdr:rowOff>25400</xdr:rowOff>
    </xdr:from>
    <xdr:to>
      <xdr:col>9</xdr:col>
      <xdr:colOff>885190</xdr:colOff>
      <xdr:row>2170</xdr:row>
      <xdr:rowOff>1209040</xdr:rowOff>
    </xdr:to>
    <xdr:pic>
      <xdr:nvPicPr>
        <xdr:cNvPr id="6876" name="Изображение 6875" descr="resizeПП-00258770"/>
        <xdr:cNvPicPr>
          <a:picLocks noChangeAspect="1"/>
        </xdr:cNvPicPr>
      </xdr:nvPicPr>
      <xdr:blipFill>
        <a:blip xmlns:r="http://schemas.openxmlformats.org/officeDocument/2006/relationships" r:embed="rId1615"/>
        <a:stretch>
          <a:fillRect/>
        </a:stretch>
      </xdr:blipFill>
      <xdr:spPr>
        <a:xfrm>
          <a:off x="7235825" y="2118982300"/>
          <a:ext cx="878840" cy="1183640"/>
        </a:xfrm>
        <a:prstGeom prst="rect">
          <a:avLst/>
        </a:prstGeom>
      </xdr:spPr>
    </xdr:pic>
    <xdr:clientData/>
  </xdr:twoCellAnchor>
  <xdr:twoCellAnchor>
    <xdr:from>
      <xdr:col>9</xdr:col>
      <xdr:colOff>6350</xdr:colOff>
      <xdr:row>2171</xdr:row>
      <xdr:rowOff>25400</xdr:rowOff>
    </xdr:from>
    <xdr:to>
      <xdr:col>9</xdr:col>
      <xdr:colOff>885190</xdr:colOff>
      <xdr:row>2171</xdr:row>
      <xdr:rowOff>1209040</xdr:rowOff>
    </xdr:to>
    <xdr:pic>
      <xdr:nvPicPr>
        <xdr:cNvPr id="6877" name="Изображение 6876" descr="resizeПП-00269410"/>
        <xdr:cNvPicPr>
          <a:picLocks noChangeAspect="1"/>
        </xdr:cNvPicPr>
      </xdr:nvPicPr>
      <xdr:blipFill>
        <a:blip xmlns:r="http://schemas.openxmlformats.org/officeDocument/2006/relationships" r:embed="rId1616"/>
        <a:stretch>
          <a:fillRect/>
        </a:stretch>
      </xdr:blipFill>
      <xdr:spPr>
        <a:xfrm>
          <a:off x="7235825" y="2120204675"/>
          <a:ext cx="878840" cy="1183640"/>
        </a:xfrm>
        <a:prstGeom prst="rect">
          <a:avLst/>
        </a:prstGeom>
      </xdr:spPr>
    </xdr:pic>
    <xdr:clientData/>
  </xdr:twoCellAnchor>
  <xdr:twoCellAnchor>
    <xdr:from>
      <xdr:col>9</xdr:col>
      <xdr:colOff>6350</xdr:colOff>
      <xdr:row>2172</xdr:row>
      <xdr:rowOff>25400</xdr:rowOff>
    </xdr:from>
    <xdr:to>
      <xdr:col>9</xdr:col>
      <xdr:colOff>885190</xdr:colOff>
      <xdr:row>2172</xdr:row>
      <xdr:rowOff>1209040</xdr:rowOff>
    </xdr:to>
    <xdr:pic>
      <xdr:nvPicPr>
        <xdr:cNvPr id="6878" name="Изображение 6877" descr="resizeПП-00271400"/>
        <xdr:cNvPicPr>
          <a:picLocks noChangeAspect="1"/>
        </xdr:cNvPicPr>
      </xdr:nvPicPr>
      <xdr:blipFill>
        <a:blip xmlns:r="http://schemas.openxmlformats.org/officeDocument/2006/relationships" r:embed="rId1617"/>
        <a:stretch>
          <a:fillRect/>
        </a:stretch>
      </xdr:blipFill>
      <xdr:spPr>
        <a:xfrm>
          <a:off x="7235825" y="2121427050"/>
          <a:ext cx="878840" cy="1183640"/>
        </a:xfrm>
        <a:prstGeom prst="rect">
          <a:avLst/>
        </a:prstGeom>
      </xdr:spPr>
    </xdr:pic>
    <xdr:clientData/>
  </xdr:twoCellAnchor>
  <xdr:twoCellAnchor>
    <xdr:from>
      <xdr:col>9</xdr:col>
      <xdr:colOff>6350</xdr:colOff>
      <xdr:row>2173</xdr:row>
      <xdr:rowOff>25400</xdr:rowOff>
    </xdr:from>
    <xdr:to>
      <xdr:col>9</xdr:col>
      <xdr:colOff>885190</xdr:colOff>
      <xdr:row>2173</xdr:row>
      <xdr:rowOff>1209040</xdr:rowOff>
    </xdr:to>
    <xdr:pic>
      <xdr:nvPicPr>
        <xdr:cNvPr id="6879" name="Изображение 6878" descr="resizeПП-00271397"/>
        <xdr:cNvPicPr>
          <a:picLocks noChangeAspect="1"/>
        </xdr:cNvPicPr>
      </xdr:nvPicPr>
      <xdr:blipFill>
        <a:blip xmlns:r="http://schemas.openxmlformats.org/officeDocument/2006/relationships" r:embed="rId1618"/>
        <a:stretch>
          <a:fillRect/>
        </a:stretch>
      </xdr:blipFill>
      <xdr:spPr>
        <a:xfrm>
          <a:off x="7235825" y="2122649425"/>
          <a:ext cx="878840" cy="1183640"/>
        </a:xfrm>
        <a:prstGeom prst="rect">
          <a:avLst/>
        </a:prstGeom>
      </xdr:spPr>
    </xdr:pic>
    <xdr:clientData/>
  </xdr:twoCellAnchor>
  <xdr:twoCellAnchor>
    <xdr:from>
      <xdr:col>9</xdr:col>
      <xdr:colOff>6350</xdr:colOff>
      <xdr:row>2174</xdr:row>
      <xdr:rowOff>25400</xdr:rowOff>
    </xdr:from>
    <xdr:to>
      <xdr:col>9</xdr:col>
      <xdr:colOff>885190</xdr:colOff>
      <xdr:row>2174</xdr:row>
      <xdr:rowOff>1209040</xdr:rowOff>
    </xdr:to>
    <xdr:pic>
      <xdr:nvPicPr>
        <xdr:cNvPr id="6880" name="Изображение 6879" descr="resizeПП-00271396"/>
        <xdr:cNvPicPr>
          <a:picLocks noChangeAspect="1"/>
        </xdr:cNvPicPr>
      </xdr:nvPicPr>
      <xdr:blipFill>
        <a:blip xmlns:r="http://schemas.openxmlformats.org/officeDocument/2006/relationships" r:embed="rId1619"/>
        <a:stretch>
          <a:fillRect/>
        </a:stretch>
      </xdr:blipFill>
      <xdr:spPr>
        <a:xfrm>
          <a:off x="7235825" y="2123871800"/>
          <a:ext cx="878840" cy="1183640"/>
        </a:xfrm>
        <a:prstGeom prst="rect">
          <a:avLst/>
        </a:prstGeom>
      </xdr:spPr>
    </xdr:pic>
    <xdr:clientData/>
  </xdr:twoCellAnchor>
  <xdr:twoCellAnchor>
    <xdr:from>
      <xdr:col>9</xdr:col>
      <xdr:colOff>6350</xdr:colOff>
      <xdr:row>2175</xdr:row>
      <xdr:rowOff>25400</xdr:rowOff>
    </xdr:from>
    <xdr:to>
      <xdr:col>9</xdr:col>
      <xdr:colOff>885190</xdr:colOff>
      <xdr:row>2175</xdr:row>
      <xdr:rowOff>1209040</xdr:rowOff>
    </xdr:to>
    <xdr:pic>
      <xdr:nvPicPr>
        <xdr:cNvPr id="6881" name="Изображение 6880" descr="resizeПП-00271398"/>
        <xdr:cNvPicPr>
          <a:picLocks noChangeAspect="1"/>
        </xdr:cNvPicPr>
      </xdr:nvPicPr>
      <xdr:blipFill>
        <a:blip xmlns:r="http://schemas.openxmlformats.org/officeDocument/2006/relationships" r:embed="rId1620"/>
        <a:stretch>
          <a:fillRect/>
        </a:stretch>
      </xdr:blipFill>
      <xdr:spPr>
        <a:xfrm>
          <a:off x="7235825" y="2125094175"/>
          <a:ext cx="878840" cy="1183640"/>
        </a:xfrm>
        <a:prstGeom prst="rect">
          <a:avLst/>
        </a:prstGeom>
      </xdr:spPr>
    </xdr:pic>
    <xdr:clientData/>
  </xdr:twoCellAnchor>
  <xdr:twoCellAnchor>
    <xdr:from>
      <xdr:col>9</xdr:col>
      <xdr:colOff>6350</xdr:colOff>
      <xdr:row>2176</xdr:row>
      <xdr:rowOff>25400</xdr:rowOff>
    </xdr:from>
    <xdr:to>
      <xdr:col>9</xdr:col>
      <xdr:colOff>885190</xdr:colOff>
      <xdr:row>2176</xdr:row>
      <xdr:rowOff>1209040</xdr:rowOff>
    </xdr:to>
    <xdr:pic>
      <xdr:nvPicPr>
        <xdr:cNvPr id="6882" name="Изображение 6881" descr="resizeПП-00271404"/>
        <xdr:cNvPicPr>
          <a:picLocks noChangeAspect="1"/>
        </xdr:cNvPicPr>
      </xdr:nvPicPr>
      <xdr:blipFill>
        <a:blip xmlns:r="http://schemas.openxmlformats.org/officeDocument/2006/relationships" r:embed="rId1621"/>
        <a:stretch>
          <a:fillRect/>
        </a:stretch>
      </xdr:blipFill>
      <xdr:spPr>
        <a:xfrm>
          <a:off x="7235825" y="2126316550"/>
          <a:ext cx="878840" cy="1183640"/>
        </a:xfrm>
        <a:prstGeom prst="rect">
          <a:avLst/>
        </a:prstGeom>
      </xdr:spPr>
    </xdr:pic>
    <xdr:clientData/>
  </xdr:twoCellAnchor>
  <xdr:twoCellAnchor>
    <xdr:from>
      <xdr:col>9</xdr:col>
      <xdr:colOff>6350</xdr:colOff>
      <xdr:row>2177</xdr:row>
      <xdr:rowOff>25400</xdr:rowOff>
    </xdr:from>
    <xdr:to>
      <xdr:col>9</xdr:col>
      <xdr:colOff>885190</xdr:colOff>
      <xdr:row>2177</xdr:row>
      <xdr:rowOff>1209040</xdr:rowOff>
    </xdr:to>
    <xdr:pic>
      <xdr:nvPicPr>
        <xdr:cNvPr id="6883" name="Изображение 6882" descr="resizeПП-00271399"/>
        <xdr:cNvPicPr>
          <a:picLocks noChangeAspect="1"/>
        </xdr:cNvPicPr>
      </xdr:nvPicPr>
      <xdr:blipFill>
        <a:blip xmlns:r="http://schemas.openxmlformats.org/officeDocument/2006/relationships" r:embed="rId1622"/>
        <a:stretch>
          <a:fillRect/>
        </a:stretch>
      </xdr:blipFill>
      <xdr:spPr>
        <a:xfrm>
          <a:off x="7235825" y="2127538925"/>
          <a:ext cx="878840" cy="1183640"/>
        </a:xfrm>
        <a:prstGeom prst="rect">
          <a:avLst/>
        </a:prstGeom>
      </xdr:spPr>
    </xdr:pic>
    <xdr:clientData/>
  </xdr:twoCellAnchor>
  <xdr:twoCellAnchor>
    <xdr:from>
      <xdr:col>9</xdr:col>
      <xdr:colOff>6350</xdr:colOff>
      <xdr:row>2178</xdr:row>
      <xdr:rowOff>25400</xdr:rowOff>
    </xdr:from>
    <xdr:to>
      <xdr:col>9</xdr:col>
      <xdr:colOff>885190</xdr:colOff>
      <xdr:row>2178</xdr:row>
      <xdr:rowOff>1209040</xdr:rowOff>
    </xdr:to>
    <xdr:pic>
      <xdr:nvPicPr>
        <xdr:cNvPr id="6884" name="Изображение 6883" descr="resizeПП-00247531"/>
        <xdr:cNvPicPr>
          <a:picLocks noChangeAspect="1"/>
        </xdr:cNvPicPr>
      </xdr:nvPicPr>
      <xdr:blipFill>
        <a:blip xmlns:r="http://schemas.openxmlformats.org/officeDocument/2006/relationships" r:embed="rId1623"/>
        <a:stretch>
          <a:fillRect/>
        </a:stretch>
      </xdr:blipFill>
      <xdr:spPr>
        <a:xfrm>
          <a:off x="7235825" y="2128761300"/>
          <a:ext cx="878840" cy="1183640"/>
        </a:xfrm>
        <a:prstGeom prst="rect">
          <a:avLst/>
        </a:prstGeom>
      </xdr:spPr>
    </xdr:pic>
    <xdr:clientData/>
  </xdr:twoCellAnchor>
  <xdr:twoCellAnchor>
    <xdr:from>
      <xdr:col>9</xdr:col>
      <xdr:colOff>6350</xdr:colOff>
      <xdr:row>2179</xdr:row>
      <xdr:rowOff>25400</xdr:rowOff>
    </xdr:from>
    <xdr:to>
      <xdr:col>9</xdr:col>
      <xdr:colOff>885190</xdr:colOff>
      <xdr:row>2179</xdr:row>
      <xdr:rowOff>1209040</xdr:rowOff>
    </xdr:to>
    <xdr:pic>
      <xdr:nvPicPr>
        <xdr:cNvPr id="6885" name="Изображение 6884" descr="resizeПП-00271403"/>
        <xdr:cNvPicPr>
          <a:picLocks noChangeAspect="1"/>
        </xdr:cNvPicPr>
      </xdr:nvPicPr>
      <xdr:blipFill>
        <a:blip xmlns:r="http://schemas.openxmlformats.org/officeDocument/2006/relationships" r:embed="rId1624"/>
        <a:stretch>
          <a:fillRect/>
        </a:stretch>
      </xdr:blipFill>
      <xdr:spPr>
        <a:xfrm>
          <a:off x="7235825" y="2129983675"/>
          <a:ext cx="878840" cy="1183640"/>
        </a:xfrm>
        <a:prstGeom prst="rect">
          <a:avLst/>
        </a:prstGeom>
      </xdr:spPr>
    </xdr:pic>
    <xdr:clientData/>
  </xdr:twoCellAnchor>
  <xdr:twoCellAnchor>
    <xdr:from>
      <xdr:col>9</xdr:col>
      <xdr:colOff>6350</xdr:colOff>
      <xdr:row>2180</xdr:row>
      <xdr:rowOff>25400</xdr:rowOff>
    </xdr:from>
    <xdr:to>
      <xdr:col>9</xdr:col>
      <xdr:colOff>885190</xdr:colOff>
      <xdr:row>2180</xdr:row>
      <xdr:rowOff>1209040</xdr:rowOff>
    </xdr:to>
    <xdr:pic>
      <xdr:nvPicPr>
        <xdr:cNvPr id="6886" name="Изображение 6885" descr="resizeПП-00269402"/>
        <xdr:cNvPicPr>
          <a:picLocks noChangeAspect="1"/>
        </xdr:cNvPicPr>
      </xdr:nvPicPr>
      <xdr:blipFill>
        <a:blip xmlns:r="http://schemas.openxmlformats.org/officeDocument/2006/relationships" r:embed="rId1625"/>
        <a:stretch>
          <a:fillRect/>
        </a:stretch>
      </xdr:blipFill>
      <xdr:spPr>
        <a:xfrm>
          <a:off x="7235825" y="2131206050"/>
          <a:ext cx="878840" cy="1183640"/>
        </a:xfrm>
        <a:prstGeom prst="rect">
          <a:avLst/>
        </a:prstGeom>
      </xdr:spPr>
    </xdr:pic>
    <xdr:clientData/>
  </xdr:twoCellAnchor>
  <xdr:twoCellAnchor>
    <xdr:from>
      <xdr:col>9</xdr:col>
      <xdr:colOff>6350</xdr:colOff>
      <xdr:row>2181</xdr:row>
      <xdr:rowOff>25400</xdr:rowOff>
    </xdr:from>
    <xdr:to>
      <xdr:col>9</xdr:col>
      <xdr:colOff>885190</xdr:colOff>
      <xdr:row>2181</xdr:row>
      <xdr:rowOff>1209040</xdr:rowOff>
    </xdr:to>
    <xdr:pic>
      <xdr:nvPicPr>
        <xdr:cNvPr id="6887" name="Изображение 6886" descr="resizeПП-00269402"/>
        <xdr:cNvPicPr>
          <a:picLocks noChangeAspect="1"/>
        </xdr:cNvPicPr>
      </xdr:nvPicPr>
      <xdr:blipFill>
        <a:blip xmlns:r="http://schemas.openxmlformats.org/officeDocument/2006/relationships" r:embed="rId1625"/>
        <a:stretch>
          <a:fillRect/>
        </a:stretch>
      </xdr:blipFill>
      <xdr:spPr>
        <a:xfrm>
          <a:off x="7235825" y="2132428425"/>
          <a:ext cx="878840" cy="1183640"/>
        </a:xfrm>
        <a:prstGeom prst="rect">
          <a:avLst/>
        </a:prstGeom>
      </xdr:spPr>
    </xdr:pic>
    <xdr:clientData/>
  </xdr:twoCellAnchor>
  <xdr:twoCellAnchor>
    <xdr:from>
      <xdr:col>9</xdr:col>
      <xdr:colOff>6350</xdr:colOff>
      <xdr:row>2182</xdr:row>
      <xdr:rowOff>25400</xdr:rowOff>
    </xdr:from>
    <xdr:to>
      <xdr:col>9</xdr:col>
      <xdr:colOff>885190</xdr:colOff>
      <xdr:row>2182</xdr:row>
      <xdr:rowOff>1209040</xdr:rowOff>
    </xdr:to>
    <xdr:pic>
      <xdr:nvPicPr>
        <xdr:cNvPr id="6888" name="Изображение 6887" descr="resizeПП-00258771"/>
        <xdr:cNvPicPr>
          <a:picLocks noChangeAspect="1"/>
        </xdr:cNvPicPr>
      </xdr:nvPicPr>
      <xdr:blipFill>
        <a:blip xmlns:r="http://schemas.openxmlformats.org/officeDocument/2006/relationships" r:embed="rId1626"/>
        <a:stretch>
          <a:fillRect/>
        </a:stretch>
      </xdr:blipFill>
      <xdr:spPr>
        <a:xfrm>
          <a:off x="7235825" y="2133650800"/>
          <a:ext cx="878840" cy="1183640"/>
        </a:xfrm>
        <a:prstGeom prst="rect">
          <a:avLst/>
        </a:prstGeom>
      </xdr:spPr>
    </xdr:pic>
    <xdr:clientData/>
  </xdr:twoCellAnchor>
  <xdr:twoCellAnchor>
    <xdr:from>
      <xdr:col>9</xdr:col>
      <xdr:colOff>6350</xdr:colOff>
      <xdr:row>2183</xdr:row>
      <xdr:rowOff>25400</xdr:rowOff>
    </xdr:from>
    <xdr:to>
      <xdr:col>9</xdr:col>
      <xdr:colOff>885190</xdr:colOff>
      <xdr:row>2183</xdr:row>
      <xdr:rowOff>1209040</xdr:rowOff>
    </xdr:to>
    <xdr:pic>
      <xdr:nvPicPr>
        <xdr:cNvPr id="6889" name="Изображение 6888" descr="resizeПП-00269406"/>
        <xdr:cNvPicPr>
          <a:picLocks noChangeAspect="1"/>
        </xdr:cNvPicPr>
      </xdr:nvPicPr>
      <xdr:blipFill>
        <a:blip xmlns:r="http://schemas.openxmlformats.org/officeDocument/2006/relationships" r:embed="rId1627"/>
        <a:stretch>
          <a:fillRect/>
        </a:stretch>
      </xdr:blipFill>
      <xdr:spPr>
        <a:xfrm>
          <a:off x="7235825" y="2134873175"/>
          <a:ext cx="878840" cy="1183640"/>
        </a:xfrm>
        <a:prstGeom prst="rect">
          <a:avLst/>
        </a:prstGeom>
      </xdr:spPr>
    </xdr:pic>
    <xdr:clientData/>
  </xdr:twoCellAnchor>
  <xdr:twoCellAnchor>
    <xdr:from>
      <xdr:col>9</xdr:col>
      <xdr:colOff>6350</xdr:colOff>
      <xdr:row>2185</xdr:row>
      <xdr:rowOff>25400</xdr:rowOff>
    </xdr:from>
    <xdr:to>
      <xdr:col>9</xdr:col>
      <xdr:colOff>885190</xdr:colOff>
      <xdr:row>2185</xdr:row>
      <xdr:rowOff>1209040</xdr:rowOff>
    </xdr:to>
    <xdr:pic>
      <xdr:nvPicPr>
        <xdr:cNvPr id="6890" name="Изображение 6889" descr="resizeПП-00231952"/>
        <xdr:cNvPicPr>
          <a:picLocks noChangeAspect="1"/>
        </xdr:cNvPicPr>
      </xdr:nvPicPr>
      <xdr:blipFill>
        <a:blip xmlns:r="http://schemas.openxmlformats.org/officeDocument/2006/relationships" r:embed="rId1628"/>
        <a:stretch>
          <a:fillRect/>
        </a:stretch>
      </xdr:blipFill>
      <xdr:spPr>
        <a:xfrm>
          <a:off x="7235825" y="2136247950"/>
          <a:ext cx="878840" cy="1183640"/>
        </a:xfrm>
        <a:prstGeom prst="rect">
          <a:avLst/>
        </a:prstGeom>
      </xdr:spPr>
    </xdr:pic>
    <xdr:clientData/>
  </xdr:twoCellAnchor>
  <xdr:twoCellAnchor>
    <xdr:from>
      <xdr:col>9</xdr:col>
      <xdr:colOff>6350</xdr:colOff>
      <xdr:row>2186</xdr:row>
      <xdr:rowOff>25400</xdr:rowOff>
    </xdr:from>
    <xdr:to>
      <xdr:col>9</xdr:col>
      <xdr:colOff>885190</xdr:colOff>
      <xdr:row>2186</xdr:row>
      <xdr:rowOff>1209040</xdr:rowOff>
    </xdr:to>
    <xdr:pic>
      <xdr:nvPicPr>
        <xdr:cNvPr id="6891" name="Изображение 6890" descr="resizeПП-00231950"/>
        <xdr:cNvPicPr>
          <a:picLocks noChangeAspect="1"/>
        </xdr:cNvPicPr>
      </xdr:nvPicPr>
      <xdr:blipFill>
        <a:blip xmlns:r="http://schemas.openxmlformats.org/officeDocument/2006/relationships" r:embed="rId1629"/>
        <a:stretch>
          <a:fillRect/>
        </a:stretch>
      </xdr:blipFill>
      <xdr:spPr>
        <a:xfrm>
          <a:off x="7235825" y="2137470325"/>
          <a:ext cx="878840" cy="1183640"/>
        </a:xfrm>
        <a:prstGeom prst="rect">
          <a:avLst/>
        </a:prstGeom>
      </xdr:spPr>
    </xdr:pic>
    <xdr:clientData/>
  </xdr:twoCellAnchor>
  <xdr:twoCellAnchor>
    <xdr:from>
      <xdr:col>9</xdr:col>
      <xdr:colOff>6350</xdr:colOff>
      <xdr:row>2189</xdr:row>
      <xdr:rowOff>25400</xdr:rowOff>
    </xdr:from>
    <xdr:to>
      <xdr:col>9</xdr:col>
      <xdr:colOff>885190</xdr:colOff>
      <xdr:row>2189</xdr:row>
      <xdr:rowOff>1209040</xdr:rowOff>
    </xdr:to>
    <xdr:pic>
      <xdr:nvPicPr>
        <xdr:cNvPr id="6892" name="Изображение 6891" descr="resizeПП-00254238"/>
        <xdr:cNvPicPr>
          <a:picLocks noChangeAspect="1"/>
        </xdr:cNvPicPr>
      </xdr:nvPicPr>
      <xdr:blipFill>
        <a:blip xmlns:r="http://schemas.openxmlformats.org/officeDocument/2006/relationships" r:embed="rId1630"/>
        <a:stretch>
          <a:fillRect/>
        </a:stretch>
      </xdr:blipFill>
      <xdr:spPr>
        <a:xfrm>
          <a:off x="7235825" y="2138997500"/>
          <a:ext cx="878840" cy="1183640"/>
        </a:xfrm>
        <a:prstGeom prst="rect">
          <a:avLst/>
        </a:prstGeom>
      </xdr:spPr>
    </xdr:pic>
    <xdr:clientData/>
  </xdr:twoCellAnchor>
  <xdr:twoCellAnchor>
    <xdr:from>
      <xdr:col>9</xdr:col>
      <xdr:colOff>6350</xdr:colOff>
      <xdr:row>2190</xdr:row>
      <xdr:rowOff>25400</xdr:rowOff>
    </xdr:from>
    <xdr:to>
      <xdr:col>9</xdr:col>
      <xdr:colOff>885190</xdr:colOff>
      <xdr:row>2190</xdr:row>
      <xdr:rowOff>1209040</xdr:rowOff>
    </xdr:to>
    <xdr:pic>
      <xdr:nvPicPr>
        <xdr:cNvPr id="6893" name="Изображение 6892" descr="resizeПП-00254239"/>
        <xdr:cNvPicPr>
          <a:picLocks noChangeAspect="1"/>
        </xdr:cNvPicPr>
      </xdr:nvPicPr>
      <xdr:blipFill>
        <a:blip xmlns:r="http://schemas.openxmlformats.org/officeDocument/2006/relationships" r:embed="rId1631"/>
        <a:stretch>
          <a:fillRect/>
        </a:stretch>
      </xdr:blipFill>
      <xdr:spPr>
        <a:xfrm>
          <a:off x="7235825" y="2140219875"/>
          <a:ext cx="878840" cy="1183640"/>
        </a:xfrm>
        <a:prstGeom prst="rect">
          <a:avLst/>
        </a:prstGeom>
      </xdr:spPr>
    </xdr:pic>
    <xdr:clientData/>
  </xdr:twoCellAnchor>
  <xdr:twoCellAnchor>
    <xdr:from>
      <xdr:col>9</xdr:col>
      <xdr:colOff>6350</xdr:colOff>
      <xdr:row>2192</xdr:row>
      <xdr:rowOff>25400</xdr:rowOff>
    </xdr:from>
    <xdr:to>
      <xdr:col>9</xdr:col>
      <xdr:colOff>885190</xdr:colOff>
      <xdr:row>2192</xdr:row>
      <xdr:rowOff>1209040</xdr:rowOff>
    </xdr:to>
    <xdr:pic>
      <xdr:nvPicPr>
        <xdr:cNvPr id="6894" name="Изображение 6893" descr="resizeПП-00254232"/>
        <xdr:cNvPicPr>
          <a:picLocks noChangeAspect="1"/>
        </xdr:cNvPicPr>
      </xdr:nvPicPr>
      <xdr:blipFill>
        <a:blip xmlns:r="http://schemas.openxmlformats.org/officeDocument/2006/relationships" r:embed="rId1632"/>
        <a:stretch>
          <a:fillRect/>
        </a:stretch>
      </xdr:blipFill>
      <xdr:spPr>
        <a:xfrm>
          <a:off x="7235825" y="2141594650"/>
          <a:ext cx="878840" cy="1183640"/>
        </a:xfrm>
        <a:prstGeom prst="rect">
          <a:avLst/>
        </a:prstGeom>
      </xdr:spPr>
    </xdr:pic>
    <xdr:clientData/>
  </xdr:twoCellAnchor>
  <xdr:twoCellAnchor>
    <xdr:from>
      <xdr:col>9</xdr:col>
      <xdr:colOff>6350</xdr:colOff>
      <xdr:row>2193</xdr:row>
      <xdr:rowOff>25400</xdr:rowOff>
    </xdr:from>
    <xdr:to>
      <xdr:col>9</xdr:col>
      <xdr:colOff>885190</xdr:colOff>
      <xdr:row>2193</xdr:row>
      <xdr:rowOff>1209040</xdr:rowOff>
    </xdr:to>
    <xdr:pic>
      <xdr:nvPicPr>
        <xdr:cNvPr id="6895" name="Изображение 6894" descr="resizeПП-00254231"/>
        <xdr:cNvPicPr>
          <a:picLocks noChangeAspect="1"/>
        </xdr:cNvPicPr>
      </xdr:nvPicPr>
      <xdr:blipFill>
        <a:blip xmlns:r="http://schemas.openxmlformats.org/officeDocument/2006/relationships" r:embed="rId1633"/>
        <a:stretch>
          <a:fillRect/>
        </a:stretch>
      </xdr:blipFill>
      <xdr:spPr>
        <a:xfrm>
          <a:off x="7235825" y="2142817025"/>
          <a:ext cx="878840" cy="1183640"/>
        </a:xfrm>
        <a:prstGeom prst="rect">
          <a:avLst/>
        </a:prstGeom>
      </xdr:spPr>
    </xdr:pic>
    <xdr:clientData/>
  </xdr:twoCellAnchor>
  <xdr:twoCellAnchor>
    <xdr:from>
      <xdr:col>9</xdr:col>
      <xdr:colOff>6350</xdr:colOff>
      <xdr:row>2195</xdr:row>
      <xdr:rowOff>25400</xdr:rowOff>
    </xdr:from>
    <xdr:to>
      <xdr:col>9</xdr:col>
      <xdr:colOff>885190</xdr:colOff>
      <xdr:row>2195</xdr:row>
      <xdr:rowOff>1209040</xdr:rowOff>
    </xdr:to>
    <xdr:pic>
      <xdr:nvPicPr>
        <xdr:cNvPr id="6896" name="Изображение 6895" descr="resizeПП-00236232"/>
        <xdr:cNvPicPr>
          <a:picLocks noChangeAspect="1"/>
        </xdr:cNvPicPr>
      </xdr:nvPicPr>
      <xdr:blipFill>
        <a:blip xmlns:r="http://schemas.openxmlformats.org/officeDocument/2006/relationships" r:embed="rId1434"/>
        <a:stretch>
          <a:fillRect/>
        </a:stretch>
      </xdr:blipFill>
      <xdr:spPr>
        <a:xfrm>
          <a:off x="7235825" y="2144191800"/>
          <a:ext cx="878840" cy="1183640"/>
        </a:xfrm>
        <a:prstGeom prst="rect">
          <a:avLst/>
        </a:prstGeom>
      </xdr:spPr>
    </xdr:pic>
    <xdr:clientData/>
  </xdr:twoCellAnchor>
  <xdr:twoCellAnchor>
    <xdr:from>
      <xdr:col>9</xdr:col>
      <xdr:colOff>6350</xdr:colOff>
      <xdr:row>2196</xdr:row>
      <xdr:rowOff>25400</xdr:rowOff>
    </xdr:from>
    <xdr:to>
      <xdr:col>9</xdr:col>
      <xdr:colOff>885190</xdr:colOff>
      <xdr:row>2196</xdr:row>
      <xdr:rowOff>1209040</xdr:rowOff>
    </xdr:to>
    <xdr:pic>
      <xdr:nvPicPr>
        <xdr:cNvPr id="6897" name="Изображение 6896" descr="resizeПП-00236231"/>
        <xdr:cNvPicPr>
          <a:picLocks noChangeAspect="1"/>
        </xdr:cNvPicPr>
      </xdr:nvPicPr>
      <xdr:blipFill>
        <a:blip xmlns:r="http://schemas.openxmlformats.org/officeDocument/2006/relationships" r:embed="rId1433"/>
        <a:stretch>
          <a:fillRect/>
        </a:stretch>
      </xdr:blipFill>
      <xdr:spPr>
        <a:xfrm>
          <a:off x="7235825" y="2145414175"/>
          <a:ext cx="878840" cy="1183640"/>
        </a:xfrm>
        <a:prstGeom prst="rect">
          <a:avLst/>
        </a:prstGeom>
      </xdr:spPr>
    </xdr:pic>
    <xdr:clientData/>
  </xdr:twoCellAnchor>
  <xdr:twoCellAnchor>
    <xdr:from>
      <xdr:col>9</xdr:col>
      <xdr:colOff>6350</xdr:colOff>
      <xdr:row>2198</xdr:row>
      <xdr:rowOff>25400</xdr:rowOff>
    </xdr:from>
    <xdr:to>
      <xdr:col>9</xdr:col>
      <xdr:colOff>885190</xdr:colOff>
      <xdr:row>2198</xdr:row>
      <xdr:rowOff>1209040</xdr:rowOff>
    </xdr:to>
    <xdr:pic>
      <xdr:nvPicPr>
        <xdr:cNvPr id="6898" name="Изображение 6897" descr="resizeПП-00247532"/>
        <xdr:cNvPicPr>
          <a:picLocks noChangeAspect="1"/>
        </xdr:cNvPicPr>
      </xdr:nvPicPr>
      <xdr:blipFill>
        <a:blip xmlns:r="http://schemas.openxmlformats.org/officeDocument/2006/relationships" r:embed="rId1634"/>
        <a:stretch>
          <a:fillRect/>
        </a:stretch>
      </xdr:blipFill>
      <xdr:spPr>
        <a:xfrm>
          <a:off x="7235825" y="2146788950"/>
          <a:ext cx="878840" cy="1183640"/>
        </a:xfrm>
        <a:prstGeom prst="rect">
          <a:avLst/>
        </a:prstGeom>
      </xdr:spPr>
    </xdr:pic>
    <xdr:clientData/>
  </xdr:twoCellAnchor>
  <xdr:twoCellAnchor>
    <xdr:from>
      <xdr:col>9</xdr:col>
      <xdr:colOff>6350</xdr:colOff>
      <xdr:row>2202</xdr:row>
      <xdr:rowOff>25400</xdr:rowOff>
    </xdr:from>
    <xdr:to>
      <xdr:col>9</xdr:col>
      <xdr:colOff>885190</xdr:colOff>
      <xdr:row>2202</xdr:row>
      <xdr:rowOff>1209040</xdr:rowOff>
    </xdr:to>
    <xdr:pic>
      <xdr:nvPicPr>
        <xdr:cNvPr id="6899" name="Изображение 6898" descr="resizeПП-00248702"/>
        <xdr:cNvPicPr>
          <a:picLocks noChangeAspect="1"/>
        </xdr:cNvPicPr>
      </xdr:nvPicPr>
      <xdr:blipFill>
        <a:blip xmlns:r="http://schemas.openxmlformats.org/officeDocument/2006/relationships" r:embed="rId1635"/>
        <a:stretch>
          <a:fillRect/>
        </a:stretch>
      </xdr:blipFill>
      <xdr:spPr>
        <a:xfrm>
          <a:off x="7235825" y="2148468525"/>
          <a:ext cx="878840" cy="1183640"/>
        </a:xfrm>
        <a:prstGeom prst="rect">
          <a:avLst/>
        </a:prstGeom>
      </xdr:spPr>
    </xdr:pic>
    <xdr:clientData/>
  </xdr:twoCellAnchor>
  <xdr:twoCellAnchor>
    <xdr:from>
      <xdr:col>9</xdr:col>
      <xdr:colOff>6350</xdr:colOff>
      <xdr:row>2203</xdr:row>
      <xdr:rowOff>25400</xdr:rowOff>
    </xdr:from>
    <xdr:to>
      <xdr:col>9</xdr:col>
      <xdr:colOff>885190</xdr:colOff>
      <xdr:row>2203</xdr:row>
      <xdr:rowOff>1209040</xdr:rowOff>
    </xdr:to>
    <xdr:pic>
      <xdr:nvPicPr>
        <xdr:cNvPr id="6900" name="Изображение 6899" descr="resizeПП-00271409"/>
        <xdr:cNvPicPr>
          <a:picLocks noChangeAspect="1"/>
        </xdr:cNvPicPr>
      </xdr:nvPicPr>
      <xdr:blipFill>
        <a:blip xmlns:r="http://schemas.openxmlformats.org/officeDocument/2006/relationships" r:embed="rId1636"/>
        <a:stretch>
          <a:fillRect/>
        </a:stretch>
      </xdr:blipFill>
      <xdr:spPr>
        <a:xfrm>
          <a:off x="7235825" y="2149690900"/>
          <a:ext cx="878840" cy="1183640"/>
        </a:xfrm>
        <a:prstGeom prst="rect">
          <a:avLst/>
        </a:prstGeom>
      </xdr:spPr>
    </xdr:pic>
    <xdr:clientData/>
  </xdr:twoCellAnchor>
  <xdr:twoCellAnchor>
    <xdr:from>
      <xdr:col>9</xdr:col>
      <xdr:colOff>6350</xdr:colOff>
      <xdr:row>2204</xdr:row>
      <xdr:rowOff>25400</xdr:rowOff>
    </xdr:from>
    <xdr:to>
      <xdr:col>9</xdr:col>
      <xdr:colOff>885190</xdr:colOff>
      <xdr:row>2204</xdr:row>
      <xdr:rowOff>1209040</xdr:rowOff>
    </xdr:to>
    <xdr:pic>
      <xdr:nvPicPr>
        <xdr:cNvPr id="6901" name="Изображение 6900" descr="resizeПП-00258801"/>
        <xdr:cNvPicPr>
          <a:picLocks noChangeAspect="1"/>
        </xdr:cNvPicPr>
      </xdr:nvPicPr>
      <xdr:blipFill>
        <a:blip xmlns:r="http://schemas.openxmlformats.org/officeDocument/2006/relationships" r:embed="rId1637"/>
        <a:stretch>
          <a:fillRect/>
        </a:stretch>
      </xdr:blipFill>
      <xdr:spPr>
        <a:xfrm>
          <a:off x="7235825" y="2150913275"/>
          <a:ext cx="878840" cy="1183640"/>
        </a:xfrm>
        <a:prstGeom prst="rect">
          <a:avLst/>
        </a:prstGeom>
      </xdr:spPr>
    </xdr:pic>
    <xdr:clientData/>
  </xdr:twoCellAnchor>
  <xdr:twoCellAnchor>
    <xdr:from>
      <xdr:col>9</xdr:col>
      <xdr:colOff>6350</xdr:colOff>
      <xdr:row>2205</xdr:row>
      <xdr:rowOff>25400</xdr:rowOff>
    </xdr:from>
    <xdr:to>
      <xdr:col>9</xdr:col>
      <xdr:colOff>885190</xdr:colOff>
      <xdr:row>2205</xdr:row>
      <xdr:rowOff>1209040</xdr:rowOff>
    </xdr:to>
    <xdr:pic>
      <xdr:nvPicPr>
        <xdr:cNvPr id="6902" name="Изображение 6901" descr="resizeПП-00247537"/>
        <xdr:cNvPicPr>
          <a:picLocks noChangeAspect="1"/>
        </xdr:cNvPicPr>
      </xdr:nvPicPr>
      <xdr:blipFill>
        <a:blip xmlns:r="http://schemas.openxmlformats.org/officeDocument/2006/relationships" r:embed="rId1638"/>
        <a:stretch>
          <a:fillRect/>
        </a:stretch>
      </xdr:blipFill>
      <xdr:spPr>
        <a:xfrm>
          <a:off x="7235825" y="2152135650"/>
          <a:ext cx="878840" cy="1183640"/>
        </a:xfrm>
        <a:prstGeom prst="rect">
          <a:avLst/>
        </a:prstGeom>
      </xdr:spPr>
    </xdr:pic>
    <xdr:clientData/>
  </xdr:twoCellAnchor>
  <xdr:twoCellAnchor>
    <xdr:from>
      <xdr:col>9</xdr:col>
      <xdr:colOff>6350</xdr:colOff>
      <xdr:row>2206</xdr:row>
      <xdr:rowOff>25400</xdr:rowOff>
    </xdr:from>
    <xdr:to>
      <xdr:col>9</xdr:col>
      <xdr:colOff>885190</xdr:colOff>
      <xdr:row>2206</xdr:row>
      <xdr:rowOff>1209040</xdr:rowOff>
    </xdr:to>
    <xdr:pic>
      <xdr:nvPicPr>
        <xdr:cNvPr id="6903" name="Изображение 6902" descr="resizeПП-00258799"/>
        <xdr:cNvPicPr>
          <a:picLocks noChangeAspect="1"/>
        </xdr:cNvPicPr>
      </xdr:nvPicPr>
      <xdr:blipFill>
        <a:blip xmlns:r="http://schemas.openxmlformats.org/officeDocument/2006/relationships" r:embed="rId1639"/>
        <a:stretch>
          <a:fillRect/>
        </a:stretch>
      </xdr:blipFill>
      <xdr:spPr>
        <a:xfrm>
          <a:off x="7235825" y="2153358025"/>
          <a:ext cx="878840" cy="1183640"/>
        </a:xfrm>
        <a:prstGeom prst="rect">
          <a:avLst/>
        </a:prstGeom>
      </xdr:spPr>
    </xdr:pic>
    <xdr:clientData/>
  </xdr:twoCellAnchor>
  <xdr:twoCellAnchor>
    <xdr:from>
      <xdr:col>9</xdr:col>
      <xdr:colOff>6350</xdr:colOff>
      <xdr:row>2207</xdr:row>
      <xdr:rowOff>25400</xdr:rowOff>
    </xdr:from>
    <xdr:to>
      <xdr:col>9</xdr:col>
      <xdr:colOff>885190</xdr:colOff>
      <xdr:row>2207</xdr:row>
      <xdr:rowOff>1209040</xdr:rowOff>
    </xdr:to>
    <xdr:pic>
      <xdr:nvPicPr>
        <xdr:cNvPr id="6904" name="Изображение 6903" descr="resizeПП-00258802"/>
        <xdr:cNvPicPr>
          <a:picLocks noChangeAspect="1"/>
        </xdr:cNvPicPr>
      </xdr:nvPicPr>
      <xdr:blipFill>
        <a:blip xmlns:r="http://schemas.openxmlformats.org/officeDocument/2006/relationships" r:embed="rId1640"/>
        <a:stretch>
          <a:fillRect/>
        </a:stretch>
      </xdr:blipFill>
      <xdr:spPr>
        <a:xfrm>
          <a:off x="7235825" y="2154580400"/>
          <a:ext cx="878840" cy="1183640"/>
        </a:xfrm>
        <a:prstGeom prst="rect">
          <a:avLst/>
        </a:prstGeom>
      </xdr:spPr>
    </xdr:pic>
    <xdr:clientData/>
  </xdr:twoCellAnchor>
  <xdr:twoCellAnchor>
    <xdr:from>
      <xdr:col>9</xdr:col>
      <xdr:colOff>6350</xdr:colOff>
      <xdr:row>2208</xdr:row>
      <xdr:rowOff>25400</xdr:rowOff>
    </xdr:from>
    <xdr:to>
      <xdr:col>9</xdr:col>
      <xdr:colOff>885190</xdr:colOff>
      <xdr:row>2208</xdr:row>
      <xdr:rowOff>1209040</xdr:rowOff>
    </xdr:to>
    <xdr:pic>
      <xdr:nvPicPr>
        <xdr:cNvPr id="6905" name="Изображение 6904" descr="resizeПП-00258803"/>
        <xdr:cNvPicPr>
          <a:picLocks noChangeAspect="1"/>
        </xdr:cNvPicPr>
      </xdr:nvPicPr>
      <xdr:blipFill>
        <a:blip xmlns:r="http://schemas.openxmlformats.org/officeDocument/2006/relationships" r:embed="rId1641"/>
        <a:stretch>
          <a:fillRect/>
        </a:stretch>
      </xdr:blipFill>
      <xdr:spPr>
        <a:xfrm>
          <a:off x="7235825" y="2155802775"/>
          <a:ext cx="878840" cy="1183640"/>
        </a:xfrm>
        <a:prstGeom prst="rect">
          <a:avLst/>
        </a:prstGeom>
      </xdr:spPr>
    </xdr:pic>
    <xdr:clientData/>
  </xdr:twoCellAnchor>
  <xdr:twoCellAnchor>
    <xdr:from>
      <xdr:col>9</xdr:col>
      <xdr:colOff>6350</xdr:colOff>
      <xdr:row>2210</xdr:row>
      <xdr:rowOff>25400</xdr:rowOff>
    </xdr:from>
    <xdr:to>
      <xdr:col>9</xdr:col>
      <xdr:colOff>885190</xdr:colOff>
      <xdr:row>2210</xdr:row>
      <xdr:rowOff>1209040</xdr:rowOff>
    </xdr:to>
    <xdr:pic>
      <xdr:nvPicPr>
        <xdr:cNvPr id="6906" name="Изображение 6905" descr="resizeПП-00258800"/>
        <xdr:cNvPicPr>
          <a:picLocks noChangeAspect="1"/>
        </xdr:cNvPicPr>
      </xdr:nvPicPr>
      <xdr:blipFill>
        <a:blip xmlns:r="http://schemas.openxmlformats.org/officeDocument/2006/relationships" r:embed="rId1642"/>
        <a:stretch>
          <a:fillRect/>
        </a:stretch>
      </xdr:blipFill>
      <xdr:spPr>
        <a:xfrm>
          <a:off x="7235825" y="2157304550"/>
          <a:ext cx="878840" cy="1183640"/>
        </a:xfrm>
        <a:prstGeom prst="rect">
          <a:avLst/>
        </a:prstGeom>
      </xdr:spPr>
    </xdr:pic>
    <xdr:clientData/>
  </xdr:twoCellAnchor>
  <xdr:twoCellAnchor>
    <xdr:from>
      <xdr:col>9</xdr:col>
      <xdr:colOff>6350</xdr:colOff>
      <xdr:row>2212</xdr:row>
      <xdr:rowOff>25400</xdr:rowOff>
    </xdr:from>
    <xdr:to>
      <xdr:col>9</xdr:col>
      <xdr:colOff>885190</xdr:colOff>
      <xdr:row>2212</xdr:row>
      <xdr:rowOff>1209040</xdr:rowOff>
    </xdr:to>
    <xdr:pic>
      <xdr:nvPicPr>
        <xdr:cNvPr id="6907" name="Изображение 6906" descr="resizeПП-00258804"/>
        <xdr:cNvPicPr>
          <a:picLocks noChangeAspect="1"/>
        </xdr:cNvPicPr>
      </xdr:nvPicPr>
      <xdr:blipFill>
        <a:blip xmlns:r="http://schemas.openxmlformats.org/officeDocument/2006/relationships" r:embed="rId1643"/>
        <a:stretch>
          <a:fillRect/>
        </a:stretch>
      </xdr:blipFill>
      <xdr:spPr>
        <a:xfrm>
          <a:off x="7235825" y="2158806325"/>
          <a:ext cx="878840" cy="1183640"/>
        </a:xfrm>
        <a:prstGeom prst="rect">
          <a:avLst/>
        </a:prstGeom>
      </xdr:spPr>
    </xdr:pic>
    <xdr:clientData/>
  </xdr:twoCellAnchor>
  <xdr:twoCellAnchor>
    <xdr:from>
      <xdr:col>9</xdr:col>
      <xdr:colOff>6350</xdr:colOff>
      <xdr:row>2213</xdr:row>
      <xdr:rowOff>25400</xdr:rowOff>
    </xdr:from>
    <xdr:to>
      <xdr:col>9</xdr:col>
      <xdr:colOff>885190</xdr:colOff>
      <xdr:row>2213</xdr:row>
      <xdr:rowOff>1209040</xdr:rowOff>
    </xdr:to>
    <xdr:pic>
      <xdr:nvPicPr>
        <xdr:cNvPr id="6908" name="Изображение 6907" descr="resizeПП-00247536"/>
        <xdr:cNvPicPr>
          <a:picLocks noChangeAspect="1"/>
        </xdr:cNvPicPr>
      </xdr:nvPicPr>
      <xdr:blipFill>
        <a:blip xmlns:r="http://schemas.openxmlformats.org/officeDocument/2006/relationships" r:embed="rId1644"/>
        <a:stretch>
          <a:fillRect/>
        </a:stretch>
      </xdr:blipFill>
      <xdr:spPr>
        <a:xfrm>
          <a:off x="7235825" y="2160028700"/>
          <a:ext cx="878840" cy="1183640"/>
        </a:xfrm>
        <a:prstGeom prst="rect">
          <a:avLst/>
        </a:prstGeom>
      </xdr:spPr>
    </xdr:pic>
    <xdr:clientData/>
  </xdr:twoCellAnchor>
  <xdr:twoCellAnchor>
    <xdr:from>
      <xdr:col>9</xdr:col>
      <xdr:colOff>6350</xdr:colOff>
      <xdr:row>2215</xdr:row>
      <xdr:rowOff>25400</xdr:rowOff>
    </xdr:from>
    <xdr:to>
      <xdr:col>9</xdr:col>
      <xdr:colOff>885190</xdr:colOff>
      <xdr:row>2215</xdr:row>
      <xdr:rowOff>1209040</xdr:rowOff>
    </xdr:to>
    <xdr:pic>
      <xdr:nvPicPr>
        <xdr:cNvPr id="6909" name="Изображение 6908" descr="resizeПП-00271407"/>
        <xdr:cNvPicPr>
          <a:picLocks noChangeAspect="1"/>
        </xdr:cNvPicPr>
      </xdr:nvPicPr>
      <xdr:blipFill>
        <a:blip xmlns:r="http://schemas.openxmlformats.org/officeDocument/2006/relationships" r:embed="rId1645"/>
        <a:stretch>
          <a:fillRect/>
        </a:stretch>
      </xdr:blipFill>
      <xdr:spPr>
        <a:xfrm>
          <a:off x="7235825" y="2161530475"/>
          <a:ext cx="878840" cy="1183640"/>
        </a:xfrm>
        <a:prstGeom prst="rect">
          <a:avLst/>
        </a:prstGeom>
      </xdr:spPr>
    </xdr:pic>
    <xdr:clientData/>
  </xdr:twoCellAnchor>
  <xdr:twoCellAnchor>
    <xdr:from>
      <xdr:col>9</xdr:col>
      <xdr:colOff>6350</xdr:colOff>
      <xdr:row>2216</xdr:row>
      <xdr:rowOff>25400</xdr:rowOff>
    </xdr:from>
    <xdr:to>
      <xdr:col>9</xdr:col>
      <xdr:colOff>885190</xdr:colOff>
      <xdr:row>2216</xdr:row>
      <xdr:rowOff>1209040</xdr:rowOff>
    </xdr:to>
    <xdr:pic>
      <xdr:nvPicPr>
        <xdr:cNvPr id="6910" name="Изображение 6909" descr="resizeПП-00271405"/>
        <xdr:cNvPicPr>
          <a:picLocks noChangeAspect="1"/>
        </xdr:cNvPicPr>
      </xdr:nvPicPr>
      <xdr:blipFill>
        <a:blip xmlns:r="http://schemas.openxmlformats.org/officeDocument/2006/relationships" r:embed="rId1646"/>
        <a:stretch>
          <a:fillRect/>
        </a:stretch>
      </xdr:blipFill>
      <xdr:spPr>
        <a:xfrm>
          <a:off x="7235825" y="2162752850"/>
          <a:ext cx="878840" cy="1183640"/>
        </a:xfrm>
        <a:prstGeom prst="rect">
          <a:avLst/>
        </a:prstGeom>
      </xdr:spPr>
    </xdr:pic>
    <xdr:clientData/>
  </xdr:twoCellAnchor>
  <xdr:twoCellAnchor>
    <xdr:from>
      <xdr:col>9</xdr:col>
      <xdr:colOff>6350</xdr:colOff>
      <xdr:row>2217</xdr:row>
      <xdr:rowOff>25400</xdr:rowOff>
    </xdr:from>
    <xdr:to>
      <xdr:col>9</xdr:col>
      <xdr:colOff>885190</xdr:colOff>
      <xdr:row>2217</xdr:row>
      <xdr:rowOff>1209040</xdr:rowOff>
    </xdr:to>
    <xdr:pic>
      <xdr:nvPicPr>
        <xdr:cNvPr id="6911" name="Изображение 6910" descr="resizeПП-00271411"/>
        <xdr:cNvPicPr>
          <a:picLocks noChangeAspect="1"/>
        </xdr:cNvPicPr>
      </xdr:nvPicPr>
      <xdr:blipFill>
        <a:blip xmlns:r="http://schemas.openxmlformats.org/officeDocument/2006/relationships" r:embed="rId1647"/>
        <a:stretch>
          <a:fillRect/>
        </a:stretch>
      </xdr:blipFill>
      <xdr:spPr>
        <a:xfrm>
          <a:off x="7235825" y="2163975225"/>
          <a:ext cx="878840" cy="1183640"/>
        </a:xfrm>
        <a:prstGeom prst="rect">
          <a:avLst/>
        </a:prstGeom>
      </xdr:spPr>
    </xdr:pic>
    <xdr:clientData/>
  </xdr:twoCellAnchor>
  <xdr:twoCellAnchor>
    <xdr:from>
      <xdr:col>9</xdr:col>
      <xdr:colOff>6350</xdr:colOff>
      <xdr:row>2218</xdr:row>
      <xdr:rowOff>25400</xdr:rowOff>
    </xdr:from>
    <xdr:to>
      <xdr:col>9</xdr:col>
      <xdr:colOff>885190</xdr:colOff>
      <xdr:row>2218</xdr:row>
      <xdr:rowOff>1209040</xdr:rowOff>
    </xdr:to>
    <xdr:pic>
      <xdr:nvPicPr>
        <xdr:cNvPr id="6912" name="Изображение 6911" descr="resizeПП-00247539"/>
        <xdr:cNvPicPr>
          <a:picLocks noChangeAspect="1"/>
        </xdr:cNvPicPr>
      </xdr:nvPicPr>
      <xdr:blipFill>
        <a:blip xmlns:r="http://schemas.openxmlformats.org/officeDocument/2006/relationships" r:embed="rId1648"/>
        <a:stretch>
          <a:fillRect/>
        </a:stretch>
      </xdr:blipFill>
      <xdr:spPr>
        <a:xfrm>
          <a:off x="7235825" y="2165197600"/>
          <a:ext cx="878840" cy="1183640"/>
        </a:xfrm>
        <a:prstGeom prst="rect">
          <a:avLst/>
        </a:prstGeom>
      </xdr:spPr>
    </xdr:pic>
    <xdr:clientData/>
  </xdr:twoCellAnchor>
  <xdr:twoCellAnchor>
    <xdr:from>
      <xdr:col>9</xdr:col>
      <xdr:colOff>6350</xdr:colOff>
      <xdr:row>2220</xdr:row>
      <xdr:rowOff>25400</xdr:rowOff>
    </xdr:from>
    <xdr:to>
      <xdr:col>9</xdr:col>
      <xdr:colOff>885190</xdr:colOff>
      <xdr:row>2220</xdr:row>
      <xdr:rowOff>1209040</xdr:rowOff>
    </xdr:to>
    <xdr:pic>
      <xdr:nvPicPr>
        <xdr:cNvPr id="6913" name="Изображение 6912" descr="resizeПП-00248703"/>
        <xdr:cNvPicPr>
          <a:picLocks noChangeAspect="1"/>
        </xdr:cNvPicPr>
      </xdr:nvPicPr>
      <xdr:blipFill>
        <a:blip xmlns:r="http://schemas.openxmlformats.org/officeDocument/2006/relationships" r:embed="rId1649"/>
        <a:stretch>
          <a:fillRect/>
        </a:stretch>
      </xdr:blipFill>
      <xdr:spPr>
        <a:xfrm>
          <a:off x="7235825" y="2166572375"/>
          <a:ext cx="878840" cy="1183640"/>
        </a:xfrm>
        <a:prstGeom prst="rect">
          <a:avLst/>
        </a:prstGeom>
      </xdr:spPr>
    </xdr:pic>
    <xdr:clientData/>
  </xdr:twoCellAnchor>
  <xdr:twoCellAnchor>
    <xdr:from>
      <xdr:col>9</xdr:col>
      <xdr:colOff>6350</xdr:colOff>
      <xdr:row>2221</xdr:row>
      <xdr:rowOff>25400</xdr:rowOff>
    </xdr:from>
    <xdr:to>
      <xdr:col>9</xdr:col>
      <xdr:colOff>885190</xdr:colOff>
      <xdr:row>2221</xdr:row>
      <xdr:rowOff>1209040</xdr:rowOff>
    </xdr:to>
    <xdr:pic>
      <xdr:nvPicPr>
        <xdr:cNvPr id="6914" name="Изображение 6913" descr="resizeПП-00269379"/>
        <xdr:cNvPicPr>
          <a:picLocks noChangeAspect="1"/>
        </xdr:cNvPicPr>
      </xdr:nvPicPr>
      <xdr:blipFill>
        <a:blip xmlns:r="http://schemas.openxmlformats.org/officeDocument/2006/relationships" r:embed="rId1573"/>
        <a:stretch>
          <a:fillRect/>
        </a:stretch>
      </xdr:blipFill>
      <xdr:spPr>
        <a:xfrm>
          <a:off x="7235825" y="2167794750"/>
          <a:ext cx="878840" cy="1183640"/>
        </a:xfrm>
        <a:prstGeom prst="rect">
          <a:avLst/>
        </a:prstGeom>
      </xdr:spPr>
    </xdr:pic>
    <xdr:clientData/>
  </xdr:twoCellAnchor>
  <xdr:twoCellAnchor>
    <xdr:from>
      <xdr:col>9</xdr:col>
      <xdr:colOff>6350</xdr:colOff>
      <xdr:row>2222</xdr:row>
      <xdr:rowOff>25400</xdr:rowOff>
    </xdr:from>
    <xdr:to>
      <xdr:col>9</xdr:col>
      <xdr:colOff>885190</xdr:colOff>
      <xdr:row>2222</xdr:row>
      <xdr:rowOff>1209040</xdr:rowOff>
    </xdr:to>
    <xdr:pic>
      <xdr:nvPicPr>
        <xdr:cNvPr id="6915" name="Изображение 6914" descr="resizeПП-00231929"/>
        <xdr:cNvPicPr>
          <a:picLocks noChangeAspect="1"/>
        </xdr:cNvPicPr>
      </xdr:nvPicPr>
      <xdr:blipFill>
        <a:blip xmlns:r="http://schemas.openxmlformats.org/officeDocument/2006/relationships" r:embed="rId1448"/>
        <a:stretch>
          <a:fillRect/>
        </a:stretch>
      </xdr:blipFill>
      <xdr:spPr>
        <a:xfrm>
          <a:off x="7235825" y="2169017125"/>
          <a:ext cx="878840" cy="1183640"/>
        </a:xfrm>
        <a:prstGeom prst="rect">
          <a:avLst/>
        </a:prstGeom>
      </xdr:spPr>
    </xdr:pic>
    <xdr:clientData/>
  </xdr:twoCellAnchor>
  <xdr:twoCellAnchor>
    <xdr:from>
      <xdr:col>9</xdr:col>
      <xdr:colOff>6350</xdr:colOff>
      <xdr:row>2223</xdr:row>
      <xdr:rowOff>25400</xdr:rowOff>
    </xdr:from>
    <xdr:to>
      <xdr:col>9</xdr:col>
      <xdr:colOff>885190</xdr:colOff>
      <xdr:row>2223</xdr:row>
      <xdr:rowOff>1209040</xdr:rowOff>
    </xdr:to>
    <xdr:pic>
      <xdr:nvPicPr>
        <xdr:cNvPr id="6916" name="Изображение 6915" descr="resizeПП-00258809"/>
        <xdr:cNvPicPr>
          <a:picLocks noChangeAspect="1"/>
        </xdr:cNvPicPr>
      </xdr:nvPicPr>
      <xdr:blipFill>
        <a:blip xmlns:r="http://schemas.openxmlformats.org/officeDocument/2006/relationships" r:embed="rId1650"/>
        <a:stretch>
          <a:fillRect/>
        </a:stretch>
      </xdr:blipFill>
      <xdr:spPr>
        <a:xfrm>
          <a:off x="7235825" y="2170239500"/>
          <a:ext cx="878840" cy="1183640"/>
        </a:xfrm>
        <a:prstGeom prst="rect">
          <a:avLst/>
        </a:prstGeom>
      </xdr:spPr>
    </xdr:pic>
    <xdr:clientData/>
  </xdr:twoCellAnchor>
  <xdr:twoCellAnchor>
    <xdr:from>
      <xdr:col>9</xdr:col>
      <xdr:colOff>6350</xdr:colOff>
      <xdr:row>2224</xdr:row>
      <xdr:rowOff>25400</xdr:rowOff>
    </xdr:from>
    <xdr:to>
      <xdr:col>9</xdr:col>
      <xdr:colOff>885190</xdr:colOff>
      <xdr:row>2224</xdr:row>
      <xdr:rowOff>1209040</xdr:rowOff>
    </xdr:to>
    <xdr:pic>
      <xdr:nvPicPr>
        <xdr:cNvPr id="6917" name="Изображение 6916" descr="resizeПП-00258810"/>
        <xdr:cNvPicPr>
          <a:picLocks noChangeAspect="1"/>
        </xdr:cNvPicPr>
      </xdr:nvPicPr>
      <xdr:blipFill>
        <a:blip xmlns:r="http://schemas.openxmlformats.org/officeDocument/2006/relationships" r:embed="rId1580"/>
        <a:stretch>
          <a:fillRect/>
        </a:stretch>
      </xdr:blipFill>
      <xdr:spPr>
        <a:xfrm>
          <a:off x="7235825" y="2171461875"/>
          <a:ext cx="878840" cy="1183640"/>
        </a:xfrm>
        <a:prstGeom prst="rect">
          <a:avLst/>
        </a:prstGeom>
      </xdr:spPr>
    </xdr:pic>
    <xdr:clientData/>
  </xdr:twoCellAnchor>
  <xdr:twoCellAnchor>
    <xdr:from>
      <xdr:col>9</xdr:col>
      <xdr:colOff>6350</xdr:colOff>
      <xdr:row>2225</xdr:row>
      <xdr:rowOff>25400</xdr:rowOff>
    </xdr:from>
    <xdr:to>
      <xdr:col>9</xdr:col>
      <xdr:colOff>885190</xdr:colOff>
      <xdr:row>2225</xdr:row>
      <xdr:rowOff>1209040</xdr:rowOff>
    </xdr:to>
    <xdr:pic>
      <xdr:nvPicPr>
        <xdr:cNvPr id="6918" name="Изображение 6917" descr="resizeПП-00258808"/>
        <xdr:cNvPicPr>
          <a:picLocks noChangeAspect="1"/>
        </xdr:cNvPicPr>
      </xdr:nvPicPr>
      <xdr:blipFill>
        <a:blip xmlns:r="http://schemas.openxmlformats.org/officeDocument/2006/relationships" r:embed="rId1651"/>
        <a:stretch>
          <a:fillRect/>
        </a:stretch>
      </xdr:blipFill>
      <xdr:spPr>
        <a:xfrm>
          <a:off x="7235825" y="2172684250"/>
          <a:ext cx="878840" cy="1183640"/>
        </a:xfrm>
        <a:prstGeom prst="rect">
          <a:avLst/>
        </a:prstGeom>
      </xdr:spPr>
    </xdr:pic>
    <xdr:clientData/>
  </xdr:twoCellAnchor>
  <xdr:twoCellAnchor>
    <xdr:from>
      <xdr:col>9</xdr:col>
      <xdr:colOff>6350</xdr:colOff>
      <xdr:row>2227</xdr:row>
      <xdr:rowOff>25400</xdr:rowOff>
    </xdr:from>
    <xdr:to>
      <xdr:col>9</xdr:col>
      <xdr:colOff>885190</xdr:colOff>
      <xdr:row>2227</xdr:row>
      <xdr:rowOff>1209040</xdr:rowOff>
    </xdr:to>
    <xdr:pic>
      <xdr:nvPicPr>
        <xdr:cNvPr id="6919" name="Изображение 6918" descr="resizeПП-00247535"/>
        <xdr:cNvPicPr>
          <a:picLocks noChangeAspect="1"/>
        </xdr:cNvPicPr>
      </xdr:nvPicPr>
      <xdr:blipFill>
        <a:blip xmlns:r="http://schemas.openxmlformats.org/officeDocument/2006/relationships" r:embed="rId1652"/>
        <a:stretch>
          <a:fillRect/>
        </a:stretch>
      </xdr:blipFill>
      <xdr:spPr>
        <a:xfrm>
          <a:off x="7235825" y="2174059025"/>
          <a:ext cx="878840" cy="1183640"/>
        </a:xfrm>
        <a:prstGeom prst="rect">
          <a:avLst/>
        </a:prstGeom>
      </xdr:spPr>
    </xdr:pic>
    <xdr:clientData/>
  </xdr:twoCellAnchor>
  <xdr:twoCellAnchor>
    <xdr:from>
      <xdr:col>9</xdr:col>
      <xdr:colOff>6350</xdr:colOff>
      <xdr:row>2228</xdr:row>
      <xdr:rowOff>25400</xdr:rowOff>
    </xdr:from>
    <xdr:to>
      <xdr:col>9</xdr:col>
      <xdr:colOff>885190</xdr:colOff>
      <xdr:row>2228</xdr:row>
      <xdr:rowOff>1209040</xdr:rowOff>
    </xdr:to>
    <xdr:pic>
      <xdr:nvPicPr>
        <xdr:cNvPr id="6920" name="Изображение 6919" descr="resizeПП-00271412"/>
        <xdr:cNvPicPr>
          <a:picLocks noChangeAspect="1"/>
        </xdr:cNvPicPr>
      </xdr:nvPicPr>
      <xdr:blipFill>
        <a:blip xmlns:r="http://schemas.openxmlformats.org/officeDocument/2006/relationships" r:embed="rId1653"/>
        <a:stretch>
          <a:fillRect/>
        </a:stretch>
      </xdr:blipFill>
      <xdr:spPr>
        <a:xfrm>
          <a:off x="7235825" y="2175281400"/>
          <a:ext cx="878840" cy="1183640"/>
        </a:xfrm>
        <a:prstGeom prst="rect">
          <a:avLst/>
        </a:prstGeom>
      </xdr:spPr>
    </xdr:pic>
    <xdr:clientData/>
  </xdr:twoCellAnchor>
  <xdr:twoCellAnchor>
    <xdr:from>
      <xdr:col>9</xdr:col>
      <xdr:colOff>6350</xdr:colOff>
      <xdr:row>2230</xdr:row>
      <xdr:rowOff>25400</xdr:rowOff>
    </xdr:from>
    <xdr:to>
      <xdr:col>9</xdr:col>
      <xdr:colOff>885190</xdr:colOff>
      <xdr:row>2230</xdr:row>
      <xdr:rowOff>1209040</xdr:rowOff>
    </xdr:to>
    <xdr:pic>
      <xdr:nvPicPr>
        <xdr:cNvPr id="6921" name="Изображение 6920" descr="resizeПП-00258776"/>
        <xdr:cNvPicPr>
          <a:picLocks noChangeAspect="1"/>
        </xdr:cNvPicPr>
      </xdr:nvPicPr>
      <xdr:blipFill>
        <a:blip xmlns:r="http://schemas.openxmlformats.org/officeDocument/2006/relationships" r:embed="rId1523"/>
        <a:stretch>
          <a:fillRect/>
        </a:stretch>
      </xdr:blipFill>
      <xdr:spPr>
        <a:xfrm>
          <a:off x="7235825" y="2176656175"/>
          <a:ext cx="878840" cy="1183640"/>
        </a:xfrm>
        <a:prstGeom prst="rect">
          <a:avLst/>
        </a:prstGeom>
      </xdr:spPr>
    </xdr:pic>
    <xdr:clientData/>
  </xdr:twoCellAnchor>
  <xdr:twoCellAnchor>
    <xdr:from>
      <xdr:col>9</xdr:col>
      <xdr:colOff>6350</xdr:colOff>
      <xdr:row>2231</xdr:row>
      <xdr:rowOff>25400</xdr:rowOff>
    </xdr:from>
    <xdr:to>
      <xdr:col>9</xdr:col>
      <xdr:colOff>885190</xdr:colOff>
      <xdr:row>2231</xdr:row>
      <xdr:rowOff>1209040</xdr:rowOff>
    </xdr:to>
    <xdr:pic>
      <xdr:nvPicPr>
        <xdr:cNvPr id="6922" name="Изображение 6921" descr="resizeПП-00258781"/>
        <xdr:cNvPicPr>
          <a:picLocks noChangeAspect="1"/>
        </xdr:cNvPicPr>
      </xdr:nvPicPr>
      <xdr:blipFill>
        <a:blip xmlns:r="http://schemas.openxmlformats.org/officeDocument/2006/relationships" r:embed="rId1428"/>
        <a:stretch>
          <a:fillRect/>
        </a:stretch>
      </xdr:blipFill>
      <xdr:spPr>
        <a:xfrm>
          <a:off x="7235825" y="2177878550"/>
          <a:ext cx="878840" cy="1183640"/>
        </a:xfrm>
        <a:prstGeom prst="rect">
          <a:avLst/>
        </a:prstGeom>
      </xdr:spPr>
    </xdr:pic>
    <xdr:clientData/>
  </xdr:twoCellAnchor>
  <xdr:twoCellAnchor>
    <xdr:from>
      <xdr:col>9</xdr:col>
      <xdr:colOff>6350</xdr:colOff>
      <xdr:row>2232</xdr:row>
      <xdr:rowOff>25400</xdr:rowOff>
    </xdr:from>
    <xdr:to>
      <xdr:col>9</xdr:col>
      <xdr:colOff>885190</xdr:colOff>
      <xdr:row>2232</xdr:row>
      <xdr:rowOff>1209040</xdr:rowOff>
    </xdr:to>
    <xdr:pic>
      <xdr:nvPicPr>
        <xdr:cNvPr id="6923" name="Изображение 6922" descr="resizeПП-00258775"/>
        <xdr:cNvPicPr>
          <a:picLocks noChangeAspect="1"/>
        </xdr:cNvPicPr>
      </xdr:nvPicPr>
      <xdr:blipFill>
        <a:blip xmlns:r="http://schemas.openxmlformats.org/officeDocument/2006/relationships" r:embed="rId1531"/>
        <a:stretch>
          <a:fillRect/>
        </a:stretch>
      </xdr:blipFill>
      <xdr:spPr>
        <a:xfrm>
          <a:off x="7235825" y="2179100925"/>
          <a:ext cx="878840" cy="1183640"/>
        </a:xfrm>
        <a:prstGeom prst="rect">
          <a:avLst/>
        </a:prstGeom>
      </xdr:spPr>
    </xdr:pic>
    <xdr:clientData/>
  </xdr:twoCellAnchor>
  <xdr:twoCellAnchor>
    <xdr:from>
      <xdr:col>9</xdr:col>
      <xdr:colOff>6350</xdr:colOff>
      <xdr:row>2233</xdr:row>
      <xdr:rowOff>25400</xdr:rowOff>
    </xdr:from>
    <xdr:to>
      <xdr:col>9</xdr:col>
      <xdr:colOff>783590</xdr:colOff>
      <xdr:row>2233</xdr:row>
      <xdr:rowOff>1209040</xdr:rowOff>
    </xdr:to>
    <xdr:pic>
      <xdr:nvPicPr>
        <xdr:cNvPr id="6924" name="Изображение 6923" descr="resizeПП-00271416"/>
        <xdr:cNvPicPr>
          <a:picLocks noChangeAspect="1"/>
        </xdr:cNvPicPr>
      </xdr:nvPicPr>
      <xdr:blipFill>
        <a:blip xmlns:r="http://schemas.openxmlformats.org/officeDocument/2006/relationships" r:embed="rId1654"/>
        <a:stretch>
          <a:fillRect/>
        </a:stretch>
      </xdr:blipFill>
      <xdr:spPr>
        <a:xfrm>
          <a:off x="7235825" y="2180323300"/>
          <a:ext cx="777240" cy="1183640"/>
        </a:xfrm>
        <a:prstGeom prst="rect">
          <a:avLst/>
        </a:prstGeom>
      </xdr:spPr>
    </xdr:pic>
    <xdr:clientData/>
  </xdr:twoCellAnchor>
  <xdr:twoCellAnchor>
    <xdr:from>
      <xdr:col>9</xdr:col>
      <xdr:colOff>6350</xdr:colOff>
      <xdr:row>2234</xdr:row>
      <xdr:rowOff>25400</xdr:rowOff>
    </xdr:from>
    <xdr:to>
      <xdr:col>9</xdr:col>
      <xdr:colOff>885190</xdr:colOff>
      <xdr:row>2234</xdr:row>
      <xdr:rowOff>1209040</xdr:rowOff>
    </xdr:to>
    <xdr:pic>
      <xdr:nvPicPr>
        <xdr:cNvPr id="6925" name="Изображение 6924" descr="resizeПП-00271419"/>
        <xdr:cNvPicPr>
          <a:picLocks noChangeAspect="1"/>
        </xdr:cNvPicPr>
      </xdr:nvPicPr>
      <xdr:blipFill>
        <a:blip xmlns:r="http://schemas.openxmlformats.org/officeDocument/2006/relationships" r:embed="rId1655"/>
        <a:stretch>
          <a:fillRect/>
        </a:stretch>
      </xdr:blipFill>
      <xdr:spPr>
        <a:xfrm>
          <a:off x="7235825" y="2181545675"/>
          <a:ext cx="878840" cy="1183640"/>
        </a:xfrm>
        <a:prstGeom prst="rect">
          <a:avLst/>
        </a:prstGeom>
      </xdr:spPr>
    </xdr:pic>
    <xdr:clientData/>
  </xdr:twoCellAnchor>
  <xdr:twoCellAnchor>
    <xdr:from>
      <xdr:col>9</xdr:col>
      <xdr:colOff>6350</xdr:colOff>
      <xdr:row>2235</xdr:row>
      <xdr:rowOff>25400</xdr:rowOff>
    </xdr:from>
    <xdr:to>
      <xdr:col>9</xdr:col>
      <xdr:colOff>885190</xdr:colOff>
      <xdr:row>2235</xdr:row>
      <xdr:rowOff>1209040</xdr:rowOff>
    </xdr:to>
    <xdr:pic>
      <xdr:nvPicPr>
        <xdr:cNvPr id="6926" name="Изображение 6925" descr="resizeПП-00271414"/>
        <xdr:cNvPicPr>
          <a:picLocks noChangeAspect="1"/>
        </xdr:cNvPicPr>
      </xdr:nvPicPr>
      <xdr:blipFill>
        <a:blip xmlns:r="http://schemas.openxmlformats.org/officeDocument/2006/relationships" r:embed="rId1656"/>
        <a:stretch>
          <a:fillRect/>
        </a:stretch>
      </xdr:blipFill>
      <xdr:spPr>
        <a:xfrm>
          <a:off x="7235825" y="2182768050"/>
          <a:ext cx="878840" cy="1183640"/>
        </a:xfrm>
        <a:prstGeom prst="rect">
          <a:avLst/>
        </a:prstGeom>
      </xdr:spPr>
    </xdr:pic>
    <xdr:clientData/>
  </xdr:twoCellAnchor>
  <xdr:twoCellAnchor>
    <xdr:from>
      <xdr:col>9</xdr:col>
      <xdr:colOff>6350</xdr:colOff>
      <xdr:row>2236</xdr:row>
      <xdr:rowOff>25400</xdr:rowOff>
    </xdr:from>
    <xdr:to>
      <xdr:col>9</xdr:col>
      <xdr:colOff>885190</xdr:colOff>
      <xdr:row>2236</xdr:row>
      <xdr:rowOff>1209040</xdr:rowOff>
    </xdr:to>
    <xdr:pic>
      <xdr:nvPicPr>
        <xdr:cNvPr id="6927" name="Изображение 6926" descr="resizeПП-00269445"/>
        <xdr:cNvPicPr>
          <a:picLocks noChangeAspect="1"/>
        </xdr:cNvPicPr>
      </xdr:nvPicPr>
      <xdr:blipFill>
        <a:blip xmlns:r="http://schemas.openxmlformats.org/officeDocument/2006/relationships" r:embed="rId1657"/>
        <a:stretch>
          <a:fillRect/>
        </a:stretch>
      </xdr:blipFill>
      <xdr:spPr>
        <a:xfrm>
          <a:off x="7235825" y="2183990425"/>
          <a:ext cx="878840" cy="1183640"/>
        </a:xfrm>
        <a:prstGeom prst="rect">
          <a:avLst/>
        </a:prstGeom>
      </xdr:spPr>
    </xdr:pic>
    <xdr:clientData/>
  </xdr:twoCellAnchor>
  <xdr:twoCellAnchor>
    <xdr:from>
      <xdr:col>9</xdr:col>
      <xdr:colOff>6350</xdr:colOff>
      <xdr:row>2237</xdr:row>
      <xdr:rowOff>25400</xdr:rowOff>
    </xdr:from>
    <xdr:to>
      <xdr:col>9</xdr:col>
      <xdr:colOff>885190</xdr:colOff>
      <xdr:row>2237</xdr:row>
      <xdr:rowOff>1209040</xdr:rowOff>
    </xdr:to>
    <xdr:pic>
      <xdr:nvPicPr>
        <xdr:cNvPr id="6928" name="Изображение 6927" descr="resizeПП-00271413"/>
        <xdr:cNvPicPr>
          <a:picLocks noChangeAspect="1"/>
        </xdr:cNvPicPr>
      </xdr:nvPicPr>
      <xdr:blipFill>
        <a:blip xmlns:r="http://schemas.openxmlformats.org/officeDocument/2006/relationships" r:embed="rId1658"/>
        <a:stretch>
          <a:fillRect/>
        </a:stretch>
      </xdr:blipFill>
      <xdr:spPr>
        <a:xfrm>
          <a:off x="7235825" y="2185212800"/>
          <a:ext cx="878840" cy="1183640"/>
        </a:xfrm>
        <a:prstGeom prst="rect">
          <a:avLst/>
        </a:prstGeom>
      </xdr:spPr>
    </xdr:pic>
    <xdr:clientData/>
  </xdr:twoCellAnchor>
  <xdr:twoCellAnchor>
    <xdr:from>
      <xdr:col>9</xdr:col>
      <xdr:colOff>6350</xdr:colOff>
      <xdr:row>2238</xdr:row>
      <xdr:rowOff>25400</xdr:rowOff>
    </xdr:from>
    <xdr:to>
      <xdr:col>9</xdr:col>
      <xdr:colOff>885190</xdr:colOff>
      <xdr:row>2238</xdr:row>
      <xdr:rowOff>1209040</xdr:rowOff>
    </xdr:to>
    <xdr:pic>
      <xdr:nvPicPr>
        <xdr:cNvPr id="6929" name="Изображение 6928" descr="resizeПП-00271418"/>
        <xdr:cNvPicPr>
          <a:picLocks noChangeAspect="1"/>
        </xdr:cNvPicPr>
      </xdr:nvPicPr>
      <xdr:blipFill>
        <a:blip xmlns:r="http://schemas.openxmlformats.org/officeDocument/2006/relationships" r:embed="rId1659"/>
        <a:stretch>
          <a:fillRect/>
        </a:stretch>
      </xdr:blipFill>
      <xdr:spPr>
        <a:xfrm>
          <a:off x="7235825" y="2186435175"/>
          <a:ext cx="878840" cy="1183640"/>
        </a:xfrm>
        <a:prstGeom prst="rect">
          <a:avLst/>
        </a:prstGeom>
      </xdr:spPr>
    </xdr:pic>
    <xdr:clientData/>
  </xdr:twoCellAnchor>
  <xdr:twoCellAnchor>
    <xdr:from>
      <xdr:col>9</xdr:col>
      <xdr:colOff>6350</xdr:colOff>
      <xdr:row>2239</xdr:row>
      <xdr:rowOff>25400</xdr:rowOff>
    </xdr:from>
    <xdr:to>
      <xdr:col>9</xdr:col>
      <xdr:colOff>885190</xdr:colOff>
      <xdr:row>2239</xdr:row>
      <xdr:rowOff>1209040</xdr:rowOff>
    </xdr:to>
    <xdr:pic>
      <xdr:nvPicPr>
        <xdr:cNvPr id="6930" name="Изображение 6929" descr="resizeПП-00271415"/>
        <xdr:cNvPicPr>
          <a:picLocks noChangeAspect="1"/>
        </xdr:cNvPicPr>
      </xdr:nvPicPr>
      <xdr:blipFill>
        <a:blip xmlns:r="http://schemas.openxmlformats.org/officeDocument/2006/relationships" r:embed="rId1660"/>
        <a:stretch>
          <a:fillRect/>
        </a:stretch>
      </xdr:blipFill>
      <xdr:spPr>
        <a:xfrm>
          <a:off x="7235825" y="2187657550"/>
          <a:ext cx="878840" cy="1183640"/>
        </a:xfrm>
        <a:prstGeom prst="rect">
          <a:avLst/>
        </a:prstGeom>
      </xdr:spPr>
    </xdr:pic>
    <xdr:clientData/>
  </xdr:twoCellAnchor>
  <xdr:twoCellAnchor>
    <xdr:from>
      <xdr:col>9</xdr:col>
      <xdr:colOff>6350</xdr:colOff>
      <xdr:row>2242</xdr:row>
      <xdr:rowOff>25400</xdr:rowOff>
    </xdr:from>
    <xdr:to>
      <xdr:col>9</xdr:col>
      <xdr:colOff>885190</xdr:colOff>
      <xdr:row>2242</xdr:row>
      <xdr:rowOff>1209040</xdr:rowOff>
    </xdr:to>
    <xdr:pic>
      <xdr:nvPicPr>
        <xdr:cNvPr id="6931" name="Изображение 6930" descr="resizeПП-00201990"/>
        <xdr:cNvPicPr>
          <a:picLocks noChangeAspect="1"/>
        </xdr:cNvPicPr>
      </xdr:nvPicPr>
      <xdr:blipFill>
        <a:blip xmlns:r="http://schemas.openxmlformats.org/officeDocument/2006/relationships" r:embed="rId1661"/>
        <a:stretch>
          <a:fillRect/>
        </a:stretch>
      </xdr:blipFill>
      <xdr:spPr>
        <a:xfrm>
          <a:off x="7235825" y="2189184725"/>
          <a:ext cx="878840" cy="1183640"/>
        </a:xfrm>
        <a:prstGeom prst="rect">
          <a:avLst/>
        </a:prstGeom>
      </xdr:spPr>
    </xdr:pic>
    <xdr:clientData/>
  </xdr:twoCellAnchor>
  <xdr:twoCellAnchor>
    <xdr:from>
      <xdr:col>9</xdr:col>
      <xdr:colOff>6350</xdr:colOff>
      <xdr:row>2243</xdr:row>
      <xdr:rowOff>25400</xdr:rowOff>
    </xdr:from>
    <xdr:to>
      <xdr:col>9</xdr:col>
      <xdr:colOff>885190</xdr:colOff>
      <xdr:row>2243</xdr:row>
      <xdr:rowOff>1209040</xdr:rowOff>
    </xdr:to>
    <xdr:pic>
      <xdr:nvPicPr>
        <xdr:cNvPr id="6932" name="Изображение 6931" descr="resizeПП-00201995"/>
        <xdr:cNvPicPr>
          <a:picLocks noChangeAspect="1"/>
        </xdr:cNvPicPr>
      </xdr:nvPicPr>
      <xdr:blipFill>
        <a:blip xmlns:r="http://schemas.openxmlformats.org/officeDocument/2006/relationships" r:embed="rId1662"/>
        <a:stretch>
          <a:fillRect/>
        </a:stretch>
      </xdr:blipFill>
      <xdr:spPr>
        <a:xfrm>
          <a:off x="7235825" y="2190407100"/>
          <a:ext cx="878840" cy="1183640"/>
        </a:xfrm>
        <a:prstGeom prst="rect">
          <a:avLst/>
        </a:prstGeom>
      </xdr:spPr>
    </xdr:pic>
    <xdr:clientData/>
  </xdr:twoCellAnchor>
  <xdr:twoCellAnchor>
    <xdr:from>
      <xdr:col>9</xdr:col>
      <xdr:colOff>6350</xdr:colOff>
      <xdr:row>2244</xdr:row>
      <xdr:rowOff>25400</xdr:rowOff>
    </xdr:from>
    <xdr:to>
      <xdr:col>9</xdr:col>
      <xdr:colOff>885190</xdr:colOff>
      <xdr:row>2244</xdr:row>
      <xdr:rowOff>1209040</xdr:rowOff>
    </xdr:to>
    <xdr:pic>
      <xdr:nvPicPr>
        <xdr:cNvPr id="6933" name="Изображение 6932" descr="resizeПП-00201994"/>
        <xdr:cNvPicPr>
          <a:picLocks noChangeAspect="1"/>
        </xdr:cNvPicPr>
      </xdr:nvPicPr>
      <xdr:blipFill>
        <a:blip xmlns:r="http://schemas.openxmlformats.org/officeDocument/2006/relationships" r:embed="rId1663"/>
        <a:stretch>
          <a:fillRect/>
        </a:stretch>
      </xdr:blipFill>
      <xdr:spPr>
        <a:xfrm>
          <a:off x="7235825" y="2191629475"/>
          <a:ext cx="878840" cy="1183640"/>
        </a:xfrm>
        <a:prstGeom prst="rect">
          <a:avLst/>
        </a:prstGeom>
      </xdr:spPr>
    </xdr:pic>
    <xdr:clientData/>
  </xdr:twoCellAnchor>
  <xdr:twoCellAnchor>
    <xdr:from>
      <xdr:col>9</xdr:col>
      <xdr:colOff>6350</xdr:colOff>
      <xdr:row>2245</xdr:row>
      <xdr:rowOff>25400</xdr:rowOff>
    </xdr:from>
    <xdr:to>
      <xdr:col>9</xdr:col>
      <xdr:colOff>885190</xdr:colOff>
      <xdr:row>2245</xdr:row>
      <xdr:rowOff>1209040</xdr:rowOff>
    </xdr:to>
    <xdr:pic>
      <xdr:nvPicPr>
        <xdr:cNvPr id="6934" name="Изображение 6933" descr="resizeПП-00201989"/>
        <xdr:cNvPicPr>
          <a:picLocks noChangeAspect="1"/>
        </xdr:cNvPicPr>
      </xdr:nvPicPr>
      <xdr:blipFill>
        <a:blip xmlns:r="http://schemas.openxmlformats.org/officeDocument/2006/relationships" r:embed="rId1664"/>
        <a:stretch>
          <a:fillRect/>
        </a:stretch>
      </xdr:blipFill>
      <xdr:spPr>
        <a:xfrm>
          <a:off x="7235825" y="2192851850"/>
          <a:ext cx="878840" cy="1183640"/>
        </a:xfrm>
        <a:prstGeom prst="rect">
          <a:avLst/>
        </a:prstGeom>
      </xdr:spPr>
    </xdr:pic>
    <xdr:clientData/>
  </xdr:twoCellAnchor>
  <xdr:twoCellAnchor>
    <xdr:from>
      <xdr:col>9</xdr:col>
      <xdr:colOff>6350</xdr:colOff>
      <xdr:row>2246</xdr:row>
      <xdr:rowOff>25400</xdr:rowOff>
    </xdr:from>
    <xdr:to>
      <xdr:col>9</xdr:col>
      <xdr:colOff>885190</xdr:colOff>
      <xdr:row>2246</xdr:row>
      <xdr:rowOff>1209040</xdr:rowOff>
    </xdr:to>
    <xdr:pic>
      <xdr:nvPicPr>
        <xdr:cNvPr id="6935" name="Изображение 6934" descr="resizeПП-00201996"/>
        <xdr:cNvPicPr>
          <a:picLocks noChangeAspect="1"/>
        </xdr:cNvPicPr>
      </xdr:nvPicPr>
      <xdr:blipFill>
        <a:blip xmlns:r="http://schemas.openxmlformats.org/officeDocument/2006/relationships" r:embed="rId1665"/>
        <a:stretch>
          <a:fillRect/>
        </a:stretch>
      </xdr:blipFill>
      <xdr:spPr>
        <a:xfrm>
          <a:off x="7235825" y="2194074225"/>
          <a:ext cx="878840" cy="1183640"/>
        </a:xfrm>
        <a:prstGeom prst="rect">
          <a:avLst/>
        </a:prstGeom>
      </xdr:spPr>
    </xdr:pic>
    <xdr:clientData/>
  </xdr:twoCellAnchor>
  <xdr:twoCellAnchor>
    <xdr:from>
      <xdr:col>9</xdr:col>
      <xdr:colOff>6350</xdr:colOff>
      <xdr:row>2248</xdr:row>
      <xdr:rowOff>25400</xdr:rowOff>
    </xdr:from>
    <xdr:to>
      <xdr:col>9</xdr:col>
      <xdr:colOff>885190</xdr:colOff>
      <xdr:row>2248</xdr:row>
      <xdr:rowOff>1209040</xdr:rowOff>
    </xdr:to>
    <xdr:pic>
      <xdr:nvPicPr>
        <xdr:cNvPr id="6936" name="Изображение 6935" descr="resizeПП-00202016"/>
        <xdr:cNvPicPr>
          <a:picLocks noChangeAspect="1"/>
        </xdr:cNvPicPr>
      </xdr:nvPicPr>
      <xdr:blipFill>
        <a:blip xmlns:r="http://schemas.openxmlformats.org/officeDocument/2006/relationships" r:embed="rId1666"/>
        <a:stretch>
          <a:fillRect/>
        </a:stretch>
      </xdr:blipFill>
      <xdr:spPr>
        <a:xfrm>
          <a:off x="7235825" y="2195449000"/>
          <a:ext cx="878840" cy="1183640"/>
        </a:xfrm>
        <a:prstGeom prst="rect">
          <a:avLst/>
        </a:prstGeom>
      </xdr:spPr>
    </xdr:pic>
    <xdr:clientData/>
  </xdr:twoCellAnchor>
  <xdr:twoCellAnchor>
    <xdr:from>
      <xdr:col>9</xdr:col>
      <xdr:colOff>6350</xdr:colOff>
      <xdr:row>2249</xdr:row>
      <xdr:rowOff>25400</xdr:rowOff>
    </xdr:from>
    <xdr:to>
      <xdr:col>9</xdr:col>
      <xdr:colOff>885190</xdr:colOff>
      <xdr:row>2249</xdr:row>
      <xdr:rowOff>1209040</xdr:rowOff>
    </xdr:to>
    <xdr:pic>
      <xdr:nvPicPr>
        <xdr:cNvPr id="6937" name="Изображение 6936" descr="resizeПП-00202004"/>
        <xdr:cNvPicPr>
          <a:picLocks noChangeAspect="1"/>
        </xdr:cNvPicPr>
      </xdr:nvPicPr>
      <xdr:blipFill>
        <a:blip xmlns:r="http://schemas.openxmlformats.org/officeDocument/2006/relationships" r:embed="rId1664"/>
        <a:stretch>
          <a:fillRect/>
        </a:stretch>
      </xdr:blipFill>
      <xdr:spPr>
        <a:xfrm>
          <a:off x="7235825" y="2196671375"/>
          <a:ext cx="878840" cy="1183640"/>
        </a:xfrm>
        <a:prstGeom prst="rect">
          <a:avLst/>
        </a:prstGeom>
      </xdr:spPr>
    </xdr:pic>
    <xdr:clientData/>
  </xdr:twoCellAnchor>
  <xdr:twoCellAnchor>
    <xdr:from>
      <xdr:col>9</xdr:col>
      <xdr:colOff>6350</xdr:colOff>
      <xdr:row>2253</xdr:row>
      <xdr:rowOff>25400</xdr:rowOff>
    </xdr:from>
    <xdr:to>
      <xdr:col>9</xdr:col>
      <xdr:colOff>885190</xdr:colOff>
      <xdr:row>2253</xdr:row>
      <xdr:rowOff>1209040</xdr:rowOff>
    </xdr:to>
    <xdr:pic>
      <xdr:nvPicPr>
        <xdr:cNvPr id="6938" name="Изображение 6937" descr="resizeПП-00262078"/>
        <xdr:cNvPicPr>
          <a:picLocks noChangeAspect="1"/>
        </xdr:cNvPicPr>
      </xdr:nvPicPr>
      <xdr:blipFill>
        <a:blip xmlns:r="http://schemas.openxmlformats.org/officeDocument/2006/relationships" r:embed="rId1667"/>
        <a:stretch>
          <a:fillRect/>
        </a:stretch>
      </xdr:blipFill>
      <xdr:spPr>
        <a:xfrm>
          <a:off x="7235825" y="2198350950"/>
          <a:ext cx="878840" cy="1183640"/>
        </a:xfrm>
        <a:prstGeom prst="rect">
          <a:avLst/>
        </a:prstGeom>
      </xdr:spPr>
    </xdr:pic>
    <xdr:clientData/>
  </xdr:twoCellAnchor>
  <xdr:twoCellAnchor>
    <xdr:from>
      <xdr:col>9</xdr:col>
      <xdr:colOff>6350</xdr:colOff>
      <xdr:row>2254</xdr:row>
      <xdr:rowOff>25400</xdr:rowOff>
    </xdr:from>
    <xdr:to>
      <xdr:col>9</xdr:col>
      <xdr:colOff>885190</xdr:colOff>
      <xdr:row>2254</xdr:row>
      <xdr:rowOff>1209040</xdr:rowOff>
    </xdr:to>
    <xdr:pic>
      <xdr:nvPicPr>
        <xdr:cNvPr id="6939" name="Изображение 6938" descr="resizeПП-00258501"/>
        <xdr:cNvPicPr>
          <a:picLocks noChangeAspect="1"/>
        </xdr:cNvPicPr>
      </xdr:nvPicPr>
      <xdr:blipFill>
        <a:blip xmlns:r="http://schemas.openxmlformats.org/officeDocument/2006/relationships" r:embed="rId1668"/>
        <a:stretch>
          <a:fillRect/>
        </a:stretch>
      </xdr:blipFill>
      <xdr:spPr>
        <a:xfrm>
          <a:off x="7235825" y="2199573325"/>
          <a:ext cx="878840" cy="1183640"/>
        </a:xfrm>
        <a:prstGeom prst="rect">
          <a:avLst/>
        </a:prstGeom>
      </xdr:spPr>
    </xdr:pic>
    <xdr:clientData/>
  </xdr:twoCellAnchor>
  <xdr:twoCellAnchor>
    <xdr:from>
      <xdr:col>9</xdr:col>
      <xdr:colOff>6350</xdr:colOff>
      <xdr:row>2257</xdr:row>
      <xdr:rowOff>25400</xdr:rowOff>
    </xdr:from>
    <xdr:to>
      <xdr:col>9</xdr:col>
      <xdr:colOff>885190</xdr:colOff>
      <xdr:row>2257</xdr:row>
      <xdr:rowOff>1209040</xdr:rowOff>
    </xdr:to>
    <xdr:pic>
      <xdr:nvPicPr>
        <xdr:cNvPr id="6940" name="Изображение 6939" descr="resizeПП-00236013"/>
        <xdr:cNvPicPr>
          <a:picLocks noChangeAspect="1"/>
        </xdr:cNvPicPr>
      </xdr:nvPicPr>
      <xdr:blipFill>
        <a:blip xmlns:r="http://schemas.openxmlformats.org/officeDocument/2006/relationships" r:embed="rId1669"/>
        <a:stretch>
          <a:fillRect/>
        </a:stretch>
      </xdr:blipFill>
      <xdr:spPr>
        <a:xfrm>
          <a:off x="7235825" y="2201100500"/>
          <a:ext cx="878840" cy="1183640"/>
        </a:xfrm>
        <a:prstGeom prst="rect">
          <a:avLst/>
        </a:prstGeom>
      </xdr:spPr>
    </xdr:pic>
    <xdr:clientData/>
  </xdr:twoCellAnchor>
  <xdr:twoCellAnchor>
    <xdr:from>
      <xdr:col>9</xdr:col>
      <xdr:colOff>6350</xdr:colOff>
      <xdr:row>2258</xdr:row>
      <xdr:rowOff>25400</xdr:rowOff>
    </xdr:from>
    <xdr:to>
      <xdr:col>9</xdr:col>
      <xdr:colOff>885190</xdr:colOff>
      <xdr:row>2258</xdr:row>
      <xdr:rowOff>1209040</xdr:rowOff>
    </xdr:to>
    <xdr:pic>
      <xdr:nvPicPr>
        <xdr:cNvPr id="6941" name="Изображение 6940" descr="resizeПП-00237413"/>
        <xdr:cNvPicPr>
          <a:picLocks noChangeAspect="1"/>
        </xdr:cNvPicPr>
      </xdr:nvPicPr>
      <xdr:blipFill>
        <a:blip xmlns:r="http://schemas.openxmlformats.org/officeDocument/2006/relationships" r:embed="rId1670"/>
        <a:stretch>
          <a:fillRect/>
        </a:stretch>
      </xdr:blipFill>
      <xdr:spPr>
        <a:xfrm>
          <a:off x="7235825" y="2202322875"/>
          <a:ext cx="878840" cy="1183640"/>
        </a:xfrm>
        <a:prstGeom prst="rect">
          <a:avLst/>
        </a:prstGeom>
      </xdr:spPr>
    </xdr:pic>
    <xdr:clientData/>
  </xdr:twoCellAnchor>
  <xdr:twoCellAnchor>
    <xdr:from>
      <xdr:col>9</xdr:col>
      <xdr:colOff>6350</xdr:colOff>
      <xdr:row>2259</xdr:row>
      <xdr:rowOff>25400</xdr:rowOff>
    </xdr:from>
    <xdr:to>
      <xdr:col>9</xdr:col>
      <xdr:colOff>885190</xdr:colOff>
      <xdr:row>2259</xdr:row>
      <xdr:rowOff>1209040</xdr:rowOff>
    </xdr:to>
    <xdr:pic>
      <xdr:nvPicPr>
        <xdr:cNvPr id="6942" name="Изображение 6941" descr="resizeПП-00166180"/>
        <xdr:cNvPicPr>
          <a:picLocks noChangeAspect="1"/>
        </xdr:cNvPicPr>
      </xdr:nvPicPr>
      <xdr:blipFill>
        <a:blip xmlns:r="http://schemas.openxmlformats.org/officeDocument/2006/relationships" r:embed="rId1671"/>
        <a:stretch>
          <a:fillRect/>
        </a:stretch>
      </xdr:blipFill>
      <xdr:spPr>
        <a:xfrm>
          <a:off x="7235825" y="2203545250"/>
          <a:ext cx="878840" cy="1183640"/>
        </a:xfrm>
        <a:prstGeom prst="rect">
          <a:avLst/>
        </a:prstGeom>
      </xdr:spPr>
    </xdr:pic>
    <xdr:clientData/>
  </xdr:twoCellAnchor>
  <xdr:twoCellAnchor>
    <xdr:from>
      <xdr:col>9</xdr:col>
      <xdr:colOff>6350</xdr:colOff>
      <xdr:row>2260</xdr:row>
      <xdr:rowOff>25400</xdr:rowOff>
    </xdr:from>
    <xdr:to>
      <xdr:col>9</xdr:col>
      <xdr:colOff>885190</xdr:colOff>
      <xdr:row>2260</xdr:row>
      <xdr:rowOff>1209040</xdr:rowOff>
    </xdr:to>
    <xdr:pic>
      <xdr:nvPicPr>
        <xdr:cNvPr id="6943" name="Изображение 6942" descr="resizeПП-00236010"/>
        <xdr:cNvPicPr>
          <a:picLocks noChangeAspect="1"/>
        </xdr:cNvPicPr>
      </xdr:nvPicPr>
      <xdr:blipFill>
        <a:blip xmlns:r="http://schemas.openxmlformats.org/officeDocument/2006/relationships" r:embed="rId1672"/>
        <a:stretch>
          <a:fillRect/>
        </a:stretch>
      </xdr:blipFill>
      <xdr:spPr>
        <a:xfrm>
          <a:off x="7235825" y="2204767625"/>
          <a:ext cx="878840" cy="1183640"/>
        </a:xfrm>
        <a:prstGeom prst="rect">
          <a:avLst/>
        </a:prstGeom>
      </xdr:spPr>
    </xdr:pic>
    <xdr:clientData/>
  </xdr:twoCellAnchor>
  <xdr:twoCellAnchor>
    <xdr:from>
      <xdr:col>9</xdr:col>
      <xdr:colOff>6350</xdr:colOff>
      <xdr:row>2261</xdr:row>
      <xdr:rowOff>25400</xdr:rowOff>
    </xdr:from>
    <xdr:to>
      <xdr:col>9</xdr:col>
      <xdr:colOff>885190</xdr:colOff>
      <xdr:row>2261</xdr:row>
      <xdr:rowOff>1209040</xdr:rowOff>
    </xdr:to>
    <xdr:pic>
      <xdr:nvPicPr>
        <xdr:cNvPr id="6944" name="Изображение 6943" descr="resizeПП-00209927"/>
        <xdr:cNvPicPr>
          <a:picLocks noChangeAspect="1"/>
        </xdr:cNvPicPr>
      </xdr:nvPicPr>
      <xdr:blipFill>
        <a:blip xmlns:r="http://schemas.openxmlformats.org/officeDocument/2006/relationships" r:embed="rId1673"/>
        <a:stretch>
          <a:fillRect/>
        </a:stretch>
      </xdr:blipFill>
      <xdr:spPr>
        <a:xfrm>
          <a:off x="7235825" y="2205990000"/>
          <a:ext cx="878840" cy="1183640"/>
        </a:xfrm>
        <a:prstGeom prst="rect">
          <a:avLst/>
        </a:prstGeom>
      </xdr:spPr>
    </xdr:pic>
    <xdr:clientData/>
  </xdr:twoCellAnchor>
  <xdr:twoCellAnchor>
    <xdr:from>
      <xdr:col>9</xdr:col>
      <xdr:colOff>6350</xdr:colOff>
      <xdr:row>2262</xdr:row>
      <xdr:rowOff>25400</xdr:rowOff>
    </xdr:from>
    <xdr:to>
      <xdr:col>9</xdr:col>
      <xdr:colOff>885190</xdr:colOff>
      <xdr:row>2262</xdr:row>
      <xdr:rowOff>1209040</xdr:rowOff>
    </xdr:to>
    <xdr:pic>
      <xdr:nvPicPr>
        <xdr:cNvPr id="6945" name="Изображение 6944" descr="resizeПП-00191342"/>
        <xdr:cNvPicPr>
          <a:picLocks noChangeAspect="1"/>
        </xdr:cNvPicPr>
      </xdr:nvPicPr>
      <xdr:blipFill>
        <a:blip xmlns:r="http://schemas.openxmlformats.org/officeDocument/2006/relationships" r:embed="rId1674"/>
        <a:stretch>
          <a:fillRect/>
        </a:stretch>
      </xdr:blipFill>
      <xdr:spPr>
        <a:xfrm>
          <a:off x="7235825" y="2207212375"/>
          <a:ext cx="878840" cy="1183640"/>
        </a:xfrm>
        <a:prstGeom prst="rect">
          <a:avLst/>
        </a:prstGeom>
      </xdr:spPr>
    </xdr:pic>
    <xdr:clientData/>
  </xdr:twoCellAnchor>
  <xdr:twoCellAnchor>
    <xdr:from>
      <xdr:col>9</xdr:col>
      <xdr:colOff>6350</xdr:colOff>
      <xdr:row>2265</xdr:row>
      <xdr:rowOff>25400</xdr:rowOff>
    </xdr:from>
    <xdr:to>
      <xdr:col>9</xdr:col>
      <xdr:colOff>885190</xdr:colOff>
      <xdr:row>2265</xdr:row>
      <xdr:rowOff>1209040</xdr:rowOff>
    </xdr:to>
    <xdr:pic>
      <xdr:nvPicPr>
        <xdr:cNvPr id="6946" name="Изображение 6945" descr="resizeПП-00257139"/>
        <xdr:cNvPicPr>
          <a:picLocks noChangeAspect="1"/>
        </xdr:cNvPicPr>
      </xdr:nvPicPr>
      <xdr:blipFill>
        <a:blip xmlns:r="http://schemas.openxmlformats.org/officeDocument/2006/relationships" r:embed="rId1675"/>
        <a:stretch>
          <a:fillRect/>
        </a:stretch>
      </xdr:blipFill>
      <xdr:spPr>
        <a:xfrm>
          <a:off x="7235825" y="2208739550"/>
          <a:ext cx="878840" cy="1183640"/>
        </a:xfrm>
        <a:prstGeom prst="rect">
          <a:avLst/>
        </a:prstGeom>
      </xdr:spPr>
    </xdr:pic>
    <xdr:clientData/>
  </xdr:twoCellAnchor>
  <xdr:twoCellAnchor>
    <xdr:from>
      <xdr:col>9</xdr:col>
      <xdr:colOff>6350</xdr:colOff>
      <xdr:row>2267</xdr:row>
      <xdr:rowOff>25400</xdr:rowOff>
    </xdr:from>
    <xdr:to>
      <xdr:col>9</xdr:col>
      <xdr:colOff>885190</xdr:colOff>
      <xdr:row>2267</xdr:row>
      <xdr:rowOff>1209040</xdr:rowOff>
    </xdr:to>
    <xdr:pic>
      <xdr:nvPicPr>
        <xdr:cNvPr id="6947" name="Изображение 6946" descr="resizeПП-00260866"/>
        <xdr:cNvPicPr>
          <a:picLocks noChangeAspect="1"/>
        </xdr:cNvPicPr>
      </xdr:nvPicPr>
      <xdr:blipFill>
        <a:blip xmlns:r="http://schemas.openxmlformats.org/officeDocument/2006/relationships" r:embed="rId1676"/>
        <a:stretch>
          <a:fillRect/>
        </a:stretch>
      </xdr:blipFill>
      <xdr:spPr>
        <a:xfrm>
          <a:off x="7235825" y="2210114325"/>
          <a:ext cx="878840" cy="1183640"/>
        </a:xfrm>
        <a:prstGeom prst="rect">
          <a:avLst/>
        </a:prstGeom>
      </xdr:spPr>
    </xdr:pic>
    <xdr:clientData/>
  </xdr:twoCellAnchor>
  <xdr:twoCellAnchor>
    <xdr:from>
      <xdr:col>9</xdr:col>
      <xdr:colOff>6350</xdr:colOff>
      <xdr:row>2269</xdr:row>
      <xdr:rowOff>25400</xdr:rowOff>
    </xdr:from>
    <xdr:to>
      <xdr:col>9</xdr:col>
      <xdr:colOff>885190</xdr:colOff>
      <xdr:row>2269</xdr:row>
      <xdr:rowOff>1209040</xdr:rowOff>
    </xdr:to>
    <xdr:pic>
      <xdr:nvPicPr>
        <xdr:cNvPr id="6948" name="Изображение 6947" descr="resizeПП-00192980"/>
        <xdr:cNvPicPr>
          <a:picLocks noChangeAspect="1"/>
        </xdr:cNvPicPr>
      </xdr:nvPicPr>
      <xdr:blipFill>
        <a:blip xmlns:r="http://schemas.openxmlformats.org/officeDocument/2006/relationships" r:embed="rId1677"/>
        <a:stretch>
          <a:fillRect/>
        </a:stretch>
      </xdr:blipFill>
      <xdr:spPr>
        <a:xfrm>
          <a:off x="7235825" y="2211489100"/>
          <a:ext cx="878840" cy="1183640"/>
        </a:xfrm>
        <a:prstGeom prst="rect">
          <a:avLst/>
        </a:prstGeom>
      </xdr:spPr>
    </xdr:pic>
    <xdr:clientData/>
  </xdr:twoCellAnchor>
  <xdr:twoCellAnchor>
    <xdr:from>
      <xdr:col>9</xdr:col>
      <xdr:colOff>6350</xdr:colOff>
      <xdr:row>2271</xdr:row>
      <xdr:rowOff>25400</xdr:rowOff>
    </xdr:from>
    <xdr:to>
      <xdr:col>9</xdr:col>
      <xdr:colOff>885190</xdr:colOff>
      <xdr:row>2271</xdr:row>
      <xdr:rowOff>1209040</xdr:rowOff>
    </xdr:to>
    <xdr:pic>
      <xdr:nvPicPr>
        <xdr:cNvPr id="6949" name="Изображение 6948" descr="resizeПП-00275983"/>
        <xdr:cNvPicPr>
          <a:picLocks noChangeAspect="1"/>
        </xdr:cNvPicPr>
      </xdr:nvPicPr>
      <xdr:blipFill>
        <a:blip xmlns:r="http://schemas.openxmlformats.org/officeDocument/2006/relationships" r:embed="rId1678"/>
        <a:stretch>
          <a:fillRect/>
        </a:stretch>
      </xdr:blipFill>
      <xdr:spPr>
        <a:xfrm>
          <a:off x="7235825" y="2212863875"/>
          <a:ext cx="878840" cy="1183640"/>
        </a:xfrm>
        <a:prstGeom prst="rect">
          <a:avLst/>
        </a:prstGeom>
      </xdr:spPr>
    </xdr:pic>
    <xdr:clientData/>
  </xdr:twoCellAnchor>
  <xdr:twoCellAnchor>
    <xdr:from>
      <xdr:col>9</xdr:col>
      <xdr:colOff>6350</xdr:colOff>
      <xdr:row>2272</xdr:row>
      <xdr:rowOff>25400</xdr:rowOff>
    </xdr:from>
    <xdr:to>
      <xdr:col>9</xdr:col>
      <xdr:colOff>885190</xdr:colOff>
      <xdr:row>2272</xdr:row>
      <xdr:rowOff>1209040</xdr:rowOff>
    </xdr:to>
    <xdr:pic>
      <xdr:nvPicPr>
        <xdr:cNvPr id="6950" name="Изображение 6949" descr="resizeПП-00257369"/>
        <xdr:cNvPicPr>
          <a:picLocks noChangeAspect="1"/>
        </xdr:cNvPicPr>
      </xdr:nvPicPr>
      <xdr:blipFill>
        <a:blip xmlns:r="http://schemas.openxmlformats.org/officeDocument/2006/relationships" r:embed="rId1679"/>
        <a:stretch>
          <a:fillRect/>
        </a:stretch>
      </xdr:blipFill>
      <xdr:spPr>
        <a:xfrm>
          <a:off x="7235825" y="2214086250"/>
          <a:ext cx="878840" cy="1183640"/>
        </a:xfrm>
        <a:prstGeom prst="rect">
          <a:avLst/>
        </a:prstGeom>
      </xdr:spPr>
    </xdr:pic>
    <xdr:clientData/>
  </xdr:twoCellAnchor>
  <xdr:twoCellAnchor>
    <xdr:from>
      <xdr:col>9</xdr:col>
      <xdr:colOff>6350</xdr:colOff>
      <xdr:row>2273</xdr:row>
      <xdr:rowOff>25400</xdr:rowOff>
    </xdr:from>
    <xdr:to>
      <xdr:col>9</xdr:col>
      <xdr:colOff>885190</xdr:colOff>
      <xdr:row>2273</xdr:row>
      <xdr:rowOff>1209040</xdr:rowOff>
    </xdr:to>
    <xdr:pic>
      <xdr:nvPicPr>
        <xdr:cNvPr id="6951" name="Изображение 6950" descr="resizeПП-00236018"/>
        <xdr:cNvPicPr>
          <a:picLocks noChangeAspect="1"/>
        </xdr:cNvPicPr>
      </xdr:nvPicPr>
      <xdr:blipFill>
        <a:blip xmlns:r="http://schemas.openxmlformats.org/officeDocument/2006/relationships" r:embed="rId1680"/>
        <a:stretch>
          <a:fillRect/>
        </a:stretch>
      </xdr:blipFill>
      <xdr:spPr>
        <a:xfrm>
          <a:off x="7235825" y="2215308625"/>
          <a:ext cx="878840" cy="1183640"/>
        </a:xfrm>
        <a:prstGeom prst="rect">
          <a:avLst/>
        </a:prstGeom>
      </xdr:spPr>
    </xdr:pic>
    <xdr:clientData/>
  </xdr:twoCellAnchor>
  <xdr:twoCellAnchor>
    <xdr:from>
      <xdr:col>9</xdr:col>
      <xdr:colOff>6350</xdr:colOff>
      <xdr:row>2274</xdr:row>
      <xdr:rowOff>25400</xdr:rowOff>
    </xdr:from>
    <xdr:to>
      <xdr:col>9</xdr:col>
      <xdr:colOff>885190</xdr:colOff>
      <xdr:row>2274</xdr:row>
      <xdr:rowOff>1209040</xdr:rowOff>
    </xdr:to>
    <xdr:pic>
      <xdr:nvPicPr>
        <xdr:cNvPr id="6952" name="Изображение 6951" descr="resizeПП-00257372"/>
        <xdr:cNvPicPr>
          <a:picLocks noChangeAspect="1"/>
        </xdr:cNvPicPr>
      </xdr:nvPicPr>
      <xdr:blipFill>
        <a:blip xmlns:r="http://schemas.openxmlformats.org/officeDocument/2006/relationships" r:embed="rId1681"/>
        <a:stretch>
          <a:fillRect/>
        </a:stretch>
      </xdr:blipFill>
      <xdr:spPr>
        <a:xfrm>
          <a:off x="7235825" y="2216531000"/>
          <a:ext cx="878840" cy="1183640"/>
        </a:xfrm>
        <a:prstGeom prst="rect">
          <a:avLst/>
        </a:prstGeom>
      </xdr:spPr>
    </xdr:pic>
    <xdr:clientData/>
  </xdr:twoCellAnchor>
  <xdr:twoCellAnchor>
    <xdr:from>
      <xdr:col>9</xdr:col>
      <xdr:colOff>6350</xdr:colOff>
      <xdr:row>2275</xdr:row>
      <xdr:rowOff>25400</xdr:rowOff>
    </xdr:from>
    <xdr:to>
      <xdr:col>9</xdr:col>
      <xdr:colOff>885190</xdr:colOff>
      <xdr:row>2275</xdr:row>
      <xdr:rowOff>1209040</xdr:rowOff>
    </xdr:to>
    <xdr:pic>
      <xdr:nvPicPr>
        <xdr:cNvPr id="6953" name="Изображение 6952" descr="resizeПП-00257371"/>
        <xdr:cNvPicPr>
          <a:picLocks noChangeAspect="1"/>
        </xdr:cNvPicPr>
      </xdr:nvPicPr>
      <xdr:blipFill>
        <a:blip xmlns:r="http://schemas.openxmlformats.org/officeDocument/2006/relationships" r:embed="rId1682"/>
        <a:stretch>
          <a:fillRect/>
        </a:stretch>
      </xdr:blipFill>
      <xdr:spPr>
        <a:xfrm>
          <a:off x="7235825" y="2217753375"/>
          <a:ext cx="878840" cy="1183640"/>
        </a:xfrm>
        <a:prstGeom prst="rect">
          <a:avLst/>
        </a:prstGeom>
      </xdr:spPr>
    </xdr:pic>
    <xdr:clientData/>
  </xdr:twoCellAnchor>
  <xdr:twoCellAnchor>
    <xdr:from>
      <xdr:col>9</xdr:col>
      <xdr:colOff>6350</xdr:colOff>
      <xdr:row>2276</xdr:row>
      <xdr:rowOff>25400</xdr:rowOff>
    </xdr:from>
    <xdr:to>
      <xdr:col>9</xdr:col>
      <xdr:colOff>885190</xdr:colOff>
      <xdr:row>2276</xdr:row>
      <xdr:rowOff>1209040</xdr:rowOff>
    </xdr:to>
    <xdr:pic>
      <xdr:nvPicPr>
        <xdr:cNvPr id="6954" name="Изображение 6953" descr="resizeПП-00257374"/>
        <xdr:cNvPicPr>
          <a:picLocks noChangeAspect="1"/>
        </xdr:cNvPicPr>
      </xdr:nvPicPr>
      <xdr:blipFill>
        <a:blip xmlns:r="http://schemas.openxmlformats.org/officeDocument/2006/relationships" r:embed="rId1683"/>
        <a:stretch>
          <a:fillRect/>
        </a:stretch>
      </xdr:blipFill>
      <xdr:spPr>
        <a:xfrm>
          <a:off x="7235825" y="2218975750"/>
          <a:ext cx="878840" cy="1183640"/>
        </a:xfrm>
        <a:prstGeom prst="rect">
          <a:avLst/>
        </a:prstGeom>
      </xdr:spPr>
    </xdr:pic>
    <xdr:clientData/>
  </xdr:twoCellAnchor>
  <xdr:twoCellAnchor>
    <xdr:from>
      <xdr:col>9</xdr:col>
      <xdr:colOff>6350</xdr:colOff>
      <xdr:row>2277</xdr:row>
      <xdr:rowOff>25400</xdr:rowOff>
    </xdr:from>
    <xdr:to>
      <xdr:col>9</xdr:col>
      <xdr:colOff>885190</xdr:colOff>
      <xdr:row>2277</xdr:row>
      <xdr:rowOff>1209040</xdr:rowOff>
    </xdr:to>
    <xdr:pic>
      <xdr:nvPicPr>
        <xdr:cNvPr id="6955" name="Изображение 6954" descr="resizeПП-00275987"/>
        <xdr:cNvPicPr>
          <a:picLocks noChangeAspect="1"/>
        </xdr:cNvPicPr>
      </xdr:nvPicPr>
      <xdr:blipFill>
        <a:blip xmlns:r="http://schemas.openxmlformats.org/officeDocument/2006/relationships" r:embed="rId1684"/>
        <a:stretch>
          <a:fillRect/>
        </a:stretch>
      </xdr:blipFill>
      <xdr:spPr>
        <a:xfrm>
          <a:off x="7235825" y="2220198125"/>
          <a:ext cx="878840" cy="1183640"/>
        </a:xfrm>
        <a:prstGeom prst="rect">
          <a:avLst/>
        </a:prstGeom>
      </xdr:spPr>
    </xdr:pic>
    <xdr:clientData/>
  </xdr:twoCellAnchor>
  <xdr:twoCellAnchor>
    <xdr:from>
      <xdr:col>9</xdr:col>
      <xdr:colOff>6350</xdr:colOff>
      <xdr:row>2278</xdr:row>
      <xdr:rowOff>25400</xdr:rowOff>
    </xdr:from>
    <xdr:to>
      <xdr:col>9</xdr:col>
      <xdr:colOff>885190</xdr:colOff>
      <xdr:row>2278</xdr:row>
      <xdr:rowOff>1209040</xdr:rowOff>
    </xdr:to>
    <xdr:pic>
      <xdr:nvPicPr>
        <xdr:cNvPr id="6956" name="Изображение 6955" descr="resizeПП-00166209"/>
        <xdr:cNvPicPr>
          <a:picLocks noChangeAspect="1"/>
        </xdr:cNvPicPr>
      </xdr:nvPicPr>
      <xdr:blipFill>
        <a:blip xmlns:r="http://schemas.openxmlformats.org/officeDocument/2006/relationships" r:embed="rId1685"/>
        <a:stretch>
          <a:fillRect/>
        </a:stretch>
      </xdr:blipFill>
      <xdr:spPr>
        <a:xfrm>
          <a:off x="7235825" y="2221420500"/>
          <a:ext cx="878840" cy="1183640"/>
        </a:xfrm>
        <a:prstGeom prst="rect">
          <a:avLst/>
        </a:prstGeom>
      </xdr:spPr>
    </xdr:pic>
    <xdr:clientData/>
  </xdr:twoCellAnchor>
  <xdr:twoCellAnchor>
    <xdr:from>
      <xdr:col>9</xdr:col>
      <xdr:colOff>6350</xdr:colOff>
      <xdr:row>2279</xdr:row>
      <xdr:rowOff>25400</xdr:rowOff>
    </xdr:from>
    <xdr:to>
      <xdr:col>9</xdr:col>
      <xdr:colOff>885190</xdr:colOff>
      <xdr:row>2279</xdr:row>
      <xdr:rowOff>1209040</xdr:rowOff>
    </xdr:to>
    <xdr:pic>
      <xdr:nvPicPr>
        <xdr:cNvPr id="6957" name="Изображение 6956" descr="resizeПП-00257375"/>
        <xdr:cNvPicPr>
          <a:picLocks noChangeAspect="1"/>
        </xdr:cNvPicPr>
      </xdr:nvPicPr>
      <xdr:blipFill>
        <a:blip xmlns:r="http://schemas.openxmlformats.org/officeDocument/2006/relationships" r:embed="rId1686"/>
        <a:stretch>
          <a:fillRect/>
        </a:stretch>
      </xdr:blipFill>
      <xdr:spPr>
        <a:xfrm>
          <a:off x="7235825" y="2222642875"/>
          <a:ext cx="878840" cy="1183640"/>
        </a:xfrm>
        <a:prstGeom prst="rect">
          <a:avLst/>
        </a:prstGeom>
      </xdr:spPr>
    </xdr:pic>
    <xdr:clientData/>
  </xdr:twoCellAnchor>
  <xdr:twoCellAnchor>
    <xdr:from>
      <xdr:col>9</xdr:col>
      <xdr:colOff>6350</xdr:colOff>
      <xdr:row>2280</xdr:row>
      <xdr:rowOff>25400</xdr:rowOff>
    </xdr:from>
    <xdr:to>
      <xdr:col>9</xdr:col>
      <xdr:colOff>885190</xdr:colOff>
      <xdr:row>2280</xdr:row>
      <xdr:rowOff>1209040</xdr:rowOff>
    </xdr:to>
    <xdr:pic>
      <xdr:nvPicPr>
        <xdr:cNvPr id="6958" name="Изображение 6957" descr="resizeПП-00275986"/>
        <xdr:cNvPicPr>
          <a:picLocks noChangeAspect="1"/>
        </xdr:cNvPicPr>
      </xdr:nvPicPr>
      <xdr:blipFill>
        <a:blip xmlns:r="http://schemas.openxmlformats.org/officeDocument/2006/relationships" r:embed="rId1687"/>
        <a:stretch>
          <a:fillRect/>
        </a:stretch>
      </xdr:blipFill>
      <xdr:spPr>
        <a:xfrm>
          <a:off x="7235825" y="2223865250"/>
          <a:ext cx="878840" cy="1183640"/>
        </a:xfrm>
        <a:prstGeom prst="rect">
          <a:avLst/>
        </a:prstGeom>
      </xdr:spPr>
    </xdr:pic>
    <xdr:clientData/>
  </xdr:twoCellAnchor>
  <xdr:twoCellAnchor>
    <xdr:from>
      <xdr:col>9</xdr:col>
      <xdr:colOff>6350</xdr:colOff>
      <xdr:row>2281</xdr:row>
      <xdr:rowOff>25400</xdr:rowOff>
    </xdr:from>
    <xdr:to>
      <xdr:col>9</xdr:col>
      <xdr:colOff>885190</xdr:colOff>
      <xdr:row>2281</xdr:row>
      <xdr:rowOff>1209040</xdr:rowOff>
    </xdr:to>
    <xdr:pic>
      <xdr:nvPicPr>
        <xdr:cNvPr id="6959" name="Изображение 6958" descr="resizeПП-00275985"/>
        <xdr:cNvPicPr>
          <a:picLocks noChangeAspect="1"/>
        </xdr:cNvPicPr>
      </xdr:nvPicPr>
      <xdr:blipFill>
        <a:blip xmlns:r="http://schemas.openxmlformats.org/officeDocument/2006/relationships" r:embed="rId1688"/>
        <a:stretch>
          <a:fillRect/>
        </a:stretch>
      </xdr:blipFill>
      <xdr:spPr>
        <a:xfrm>
          <a:off x="7235825" y="2225087625"/>
          <a:ext cx="878840" cy="1183640"/>
        </a:xfrm>
        <a:prstGeom prst="rect">
          <a:avLst/>
        </a:prstGeom>
      </xdr:spPr>
    </xdr:pic>
    <xdr:clientData/>
  </xdr:twoCellAnchor>
  <xdr:twoCellAnchor>
    <xdr:from>
      <xdr:col>9</xdr:col>
      <xdr:colOff>6350</xdr:colOff>
      <xdr:row>2282</xdr:row>
      <xdr:rowOff>25400</xdr:rowOff>
    </xdr:from>
    <xdr:to>
      <xdr:col>9</xdr:col>
      <xdr:colOff>885190</xdr:colOff>
      <xdr:row>2282</xdr:row>
      <xdr:rowOff>1209040</xdr:rowOff>
    </xdr:to>
    <xdr:pic>
      <xdr:nvPicPr>
        <xdr:cNvPr id="6960" name="Изображение 6959" descr="resizeПП-00166205"/>
        <xdr:cNvPicPr>
          <a:picLocks noChangeAspect="1"/>
        </xdr:cNvPicPr>
      </xdr:nvPicPr>
      <xdr:blipFill>
        <a:blip xmlns:r="http://schemas.openxmlformats.org/officeDocument/2006/relationships" r:embed="rId1689"/>
        <a:stretch>
          <a:fillRect/>
        </a:stretch>
      </xdr:blipFill>
      <xdr:spPr>
        <a:xfrm>
          <a:off x="7235825" y="2226310000"/>
          <a:ext cx="878840" cy="1183640"/>
        </a:xfrm>
        <a:prstGeom prst="rect">
          <a:avLst/>
        </a:prstGeom>
      </xdr:spPr>
    </xdr:pic>
    <xdr:clientData/>
  </xdr:twoCellAnchor>
  <xdr:twoCellAnchor>
    <xdr:from>
      <xdr:col>9</xdr:col>
      <xdr:colOff>6350</xdr:colOff>
      <xdr:row>2283</xdr:row>
      <xdr:rowOff>25400</xdr:rowOff>
    </xdr:from>
    <xdr:to>
      <xdr:col>9</xdr:col>
      <xdr:colOff>885190</xdr:colOff>
      <xdr:row>2283</xdr:row>
      <xdr:rowOff>1209040</xdr:rowOff>
    </xdr:to>
    <xdr:pic>
      <xdr:nvPicPr>
        <xdr:cNvPr id="6961" name="Изображение 6960" descr="resizeПП-00209943"/>
        <xdr:cNvPicPr>
          <a:picLocks noChangeAspect="1"/>
        </xdr:cNvPicPr>
      </xdr:nvPicPr>
      <xdr:blipFill>
        <a:blip xmlns:r="http://schemas.openxmlformats.org/officeDocument/2006/relationships" r:embed="rId1690"/>
        <a:stretch>
          <a:fillRect/>
        </a:stretch>
      </xdr:blipFill>
      <xdr:spPr>
        <a:xfrm>
          <a:off x="7235825" y="2227532375"/>
          <a:ext cx="878840" cy="1183640"/>
        </a:xfrm>
        <a:prstGeom prst="rect">
          <a:avLst/>
        </a:prstGeom>
      </xdr:spPr>
    </xdr:pic>
    <xdr:clientData/>
  </xdr:twoCellAnchor>
  <xdr:twoCellAnchor>
    <xdr:from>
      <xdr:col>9</xdr:col>
      <xdr:colOff>6350</xdr:colOff>
      <xdr:row>2286</xdr:row>
      <xdr:rowOff>25400</xdr:rowOff>
    </xdr:from>
    <xdr:to>
      <xdr:col>9</xdr:col>
      <xdr:colOff>885190</xdr:colOff>
      <xdr:row>2286</xdr:row>
      <xdr:rowOff>1209040</xdr:rowOff>
    </xdr:to>
    <xdr:pic>
      <xdr:nvPicPr>
        <xdr:cNvPr id="6962" name="Изображение 6961" descr="resizeПП-00257142"/>
        <xdr:cNvPicPr>
          <a:picLocks noChangeAspect="1"/>
        </xdr:cNvPicPr>
      </xdr:nvPicPr>
      <xdr:blipFill>
        <a:blip xmlns:r="http://schemas.openxmlformats.org/officeDocument/2006/relationships" r:embed="rId1691"/>
        <a:stretch>
          <a:fillRect/>
        </a:stretch>
      </xdr:blipFill>
      <xdr:spPr>
        <a:xfrm>
          <a:off x="7235825" y="2229059550"/>
          <a:ext cx="878840" cy="1183640"/>
        </a:xfrm>
        <a:prstGeom prst="rect">
          <a:avLst/>
        </a:prstGeom>
      </xdr:spPr>
    </xdr:pic>
    <xdr:clientData/>
  </xdr:twoCellAnchor>
  <xdr:twoCellAnchor>
    <xdr:from>
      <xdr:col>9</xdr:col>
      <xdr:colOff>6350</xdr:colOff>
      <xdr:row>2288</xdr:row>
      <xdr:rowOff>25400</xdr:rowOff>
    </xdr:from>
    <xdr:to>
      <xdr:col>9</xdr:col>
      <xdr:colOff>885190</xdr:colOff>
      <xdr:row>2288</xdr:row>
      <xdr:rowOff>1209040</xdr:rowOff>
    </xdr:to>
    <xdr:pic>
      <xdr:nvPicPr>
        <xdr:cNvPr id="6963" name="Изображение 6962" descr="resizeПП-00260869"/>
        <xdr:cNvPicPr>
          <a:picLocks noChangeAspect="1"/>
        </xdr:cNvPicPr>
      </xdr:nvPicPr>
      <xdr:blipFill>
        <a:blip xmlns:r="http://schemas.openxmlformats.org/officeDocument/2006/relationships" r:embed="rId1692"/>
        <a:stretch>
          <a:fillRect/>
        </a:stretch>
      </xdr:blipFill>
      <xdr:spPr>
        <a:xfrm>
          <a:off x="7235825" y="2230434325"/>
          <a:ext cx="878840" cy="1183640"/>
        </a:xfrm>
        <a:prstGeom prst="rect">
          <a:avLst/>
        </a:prstGeom>
      </xdr:spPr>
    </xdr:pic>
    <xdr:clientData/>
  </xdr:twoCellAnchor>
  <xdr:twoCellAnchor>
    <xdr:from>
      <xdr:col>9</xdr:col>
      <xdr:colOff>6350</xdr:colOff>
      <xdr:row>2289</xdr:row>
      <xdr:rowOff>25400</xdr:rowOff>
    </xdr:from>
    <xdr:to>
      <xdr:col>9</xdr:col>
      <xdr:colOff>885190</xdr:colOff>
      <xdr:row>2289</xdr:row>
      <xdr:rowOff>1209040</xdr:rowOff>
    </xdr:to>
    <xdr:pic>
      <xdr:nvPicPr>
        <xdr:cNvPr id="6964" name="Изображение 6963" descr="resizeПП-00260869"/>
        <xdr:cNvPicPr>
          <a:picLocks noChangeAspect="1"/>
        </xdr:cNvPicPr>
      </xdr:nvPicPr>
      <xdr:blipFill>
        <a:blip xmlns:r="http://schemas.openxmlformats.org/officeDocument/2006/relationships" r:embed="rId1692"/>
        <a:stretch>
          <a:fillRect/>
        </a:stretch>
      </xdr:blipFill>
      <xdr:spPr>
        <a:xfrm>
          <a:off x="7235825" y="2231656700"/>
          <a:ext cx="878840" cy="1183640"/>
        </a:xfrm>
        <a:prstGeom prst="rect">
          <a:avLst/>
        </a:prstGeom>
      </xdr:spPr>
    </xdr:pic>
    <xdr:clientData/>
  </xdr:twoCellAnchor>
  <xdr:twoCellAnchor>
    <xdr:from>
      <xdr:col>9</xdr:col>
      <xdr:colOff>6350</xdr:colOff>
      <xdr:row>2291</xdr:row>
      <xdr:rowOff>25400</xdr:rowOff>
    </xdr:from>
    <xdr:to>
      <xdr:col>9</xdr:col>
      <xdr:colOff>885190</xdr:colOff>
      <xdr:row>2291</xdr:row>
      <xdr:rowOff>1209040</xdr:rowOff>
    </xdr:to>
    <xdr:pic>
      <xdr:nvPicPr>
        <xdr:cNvPr id="6965" name="Изображение 6964" descr="resizeПП-00210016"/>
        <xdr:cNvPicPr>
          <a:picLocks noChangeAspect="1"/>
        </xdr:cNvPicPr>
      </xdr:nvPicPr>
      <xdr:blipFill>
        <a:blip xmlns:r="http://schemas.openxmlformats.org/officeDocument/2006/relationships" r:embed="rId1693"/>
        <a:stretch>
          <a:fillRect/>
        </a:stretch>
      </xdr:blipFill>
      <xdr:spPr>
        <a:xfrm>
          <a:off x="7235825" y="2233031475"/>
          <a:ext cx="878840" cy="1183640"/>
        </a:xfrm>
        <a:prstGeom prst="rect">
          <a:avLst/>
        </a:prstGeom>
      </xdr:spPr>
    </xdr:pic>
    <xdr:clientData/>
  </xdr:twoCellAnchor>
  <xdr:twoCellAnchor>
    <xdr:from>
      <xdr:col>9</xdr:col>
      <xdr:colOff>6350</xdr:colOff>
      <xdr:row>2293</xdr:row>
      <xdr:rowOff>25400</xdr:rowOff>
    </xdr:from>
    <xdr:to>
      <xdr:col>9</xdr:col>
      <xdr:colOff>885190</xdr:colOff>
      <xdr:row>2293</xdr:row>
      <xdr:rowOff>1209040</xdr:rowOff>
    </xdr:to>
    <xdr:pic>
      <xdr:nvPicPr>
        <xdr:cNvPr id="6966" name="Изображение 6965" descr="resizeПП-00276903"/>
        <xdr:cNvPicPr>
          <a:picLocks noChangeAspect="1"/>
        </xdr:cNvPicPr>
      </xdr:nvPicPr>
      <xdr:blipFill>
        <a:blip xmlns:r="http://schemas.openxmlformats.org/officeDocument/2006/relationships" r:embed="rId1694"/>
        <a:stretch>
          <a:fillRect/>
        </a:stretch>
      </xdr:blipFill>
      <xdr:spPr>
        <a:xfrm>
          <a:off x="7235825" y="2234406250"/>
          <a:ext cx="878840" cy="1183640"/>
        </a:xfrm>
        <a:prstGeom prst="rect">
          <a:avLst/>
        </a:prstGeom>
      </xdr:spPr>
    </xdr:pic>
    <xdr:clientData/>
  </xdr:twoCellAnchor>
  <xdr:twoCellAnchor>
    <xdr:from>
      <xdr:col>9</xdr:col>
      <xdr:colOff>6350</xdr:colOff>
      <xdr:row>2294</xdr:row>
      <xdr:rowOff>25400</xdr:rowOff>
    </xdr:from>
    <xdr:to>
      <xdr:col>9</xdr:col>
      <xdr:colOff>885190</xdr:colOff>
      <xdr:row>2294</xdr:row>
      <xdr:rowOff>1209040</xdr:rowOff>
    </xdr:to>
    <xdr:pic>
      <xdr:nvPicPr>
        <xdr:cNvPr id="6967" name="Изображение 6966" descr="resizeПП-00276906"/>
        <xdr:cNvPicPr>
          <a:picLocks noChangeAspect="1"/>
        </xdr:cNvPicPr>
      </xdr:nvPicPr>
      <xdr:blipFill>
        <a:blip xmlns:r="http://schemas.openxmlformats.org/officeDocument/2006/relationships" r:embed="rId1695"/>
        <a:stretch>
          <a:fillRect/>
        </a:stretch>
      </xdr:blipFill>
      <xdr:spPr>
        <a:xfrm>
          <a:off x="7235825" y="2235628625"/>
          <a:ext cx="878840" cy="1183640"/>
        </a:xfrm>
        <a:prstGeom prst="rect">
          <a:avLst/>
        </a:prstGeom>
      </xdr:spPr>
    </xdr:pic>
    <xdr:clientData/>
  </xdr:twoCellAnchor>
  <xdr:twoCellAnchor>
    <xdr:from>
      <xdr:col>9</xdr:col>
      <xdr:colOff>6350</xdr:colOff>
      <xdr:row>2295</xdr:row>
      <xdr:rowOff>25400</xdr:rowOff>
    </xdr:from>
    <xdr:to>
      <xdr:col>9</xdr:col>
      <xdr:colOff>885190</xdr:colOff>
      <xdr:row>2295</xdr:row>
      <xdr:rowOff>1209040</xdr:rowOff>
    </xdr:to>
    <xdr:pic>
      <xdr:nvPicPr>
        <xdr:cNvPr id="6968" name="Изображение 6967" descr="resizeПП-00276901"/>
        <xdr:cNvPicPr>
          <a:picLocks noChangeAspect="1"/>
        </xdr:cNvPicPr>
      </xdr:nvPicPr>
      <xdr:blipFill>
        <a:blip xmlns:r="http://schemas.openxmlformats.org/officeDocument/2006/relationships" r:embed="rId1696"/>
        <a:stretch>
          <a:fillRect/>
        </a:stretch>
      </xdr:blipFill>
      <xdr:spPr>
        <a:xfrm>
          <a:off x="7235825" y="2236851000"/>
          <a:ext cx="878840" cy="1183640"/>
        </a:xfrm>
        <a:prstGeom prst="rect">
          <a:avLst/>
        </a:prstGeom>
      </xdr:spPr>
    </xdr:pic>
    <xdr:clientData/>
  </xdr:twoCellAnchor>
  <xdr:twoCellAnchor>
    <xdr:from>
      <xdr:col>9</xdr:col>
      <xdr:colOff>6350</xdr:colOff>
      <xdr:row>2296</xdr:row>
      <xdr:rowOff>25400</xdr:rowOff>
    </xdr:from>
    <xdr:to>
      <xdr:col>9</xdr:col>
      <xdr:colOff>885190</xdr:colOff>
      <xdr:row>2296</xdr:row>
      <xdr:rowOff>1209040</xdr:rowOff>
    </xdr:to>
    <xdr:pic>
      <xdr:nvPicPr>
        <xdr:cNvPr id="6969" name="Изображение 6968" descr="resizeПП-00276905"/>
        <xdr:cNvPicPr>
          <a:picLocks noChangeAspect="1"/>
        </xdr:cNvPicPr>
      </xdr:nvPicPr>
      <xdr:blipFill>
        <a:blip xmlns:r="http://schemas.openxmlformats.org/officeDocument/2006/relationships" r:embed="rId1697"/>
        <a:stretch>
          <a:fillRect/>
        </a:stretch>
      </xdr:blipFill>
      <xdr:spPr>
        <a:xfrm>
          <a:off x="7235825" y="2238073375"/>
          <a:ext cx="878840" cy="1183640"/>
        </a:xfrm>
        <a:prstGeom prst="rect">
          <a:avLst/>
        </a:prstGeom>
      </xdr:spPr>
    </xdr:pic>
    <xdr:clientData/>
  </xdr:twoCellAnchor>
  <xdr:twoCellAnchor>
    <xdr:from>
      <xdr:col>9</xdr:col>
      <xdr:colOff>6350</xdr:colOff>
      <xdr:row>2297</xdr:row>
      <xdr:rowOff>25400</xdr:rowOff>
    </xdr:from>
    <xdr:to>
      <xdr:col>9</xdr:col>
      <xdr:colOff>885190</xdr:colOff>
      <xdr:row>2297</xdr:row>
      <xdr:rowOff>1209040</xdr:rowOff>
    </xdr:to>
    <xdr:pic>
      <xdr:nvPicPr>
        <xdr:cNvPr id="6970" name="Изображение 6969" descr="resizeПП-00276907"/>
        <xdr:cNvPicPr>
          <a:picLocks noChangeAspect="1"/>
        </xdr:cNvPicPr>
      </xdr:nvPicPr>
      <xdr:blipFill>
        <a:blip xmlns:r="http://schemas.openxmlformats.org/officeDocument/2006/relationships" r:embed="rId1698"/>
        <a:stretch>
          <a:fillRect/>
        </a:stretch>
      </xdr:blipFill>
      <xdr:spPr>
        <a:xfrm>
          <a:off x="7235825" y="2239295750"/>
          <a:ext cx="878840" cy="1183640"/>
        </a:xfrm>
        <a:prstGeom prst="rect">
          <a:avLst/>
        </a:prstGeom>
      </xdr:spPr>
    </xdr:pic>
    <xdr:clientData/>
  </xdr:twoCellAnchor>
  <xdr:twoCellAnchor>
    <xdr:from>
      <xdr:col>9</xdr:col>
      <xdr:colOff>6350</xdr:colOff>
      <xdr:row>2299</xdr:row>
      <xdr:rowOff>25400</xdr:rowOff>
    </xdr:from>
    <xdr:to>
      <xdr:col>9</xdr:col>
      <xdr:colOff>885190</xdr:colOff>
      <xdr:row>2299</xdr:row>
      <xdr:rowOff>1209040</xdr:rowOff>
    </xdr:to>
    <xdr:pic>
      <xdr:nvPicPr>
        <xdr:cNvPr id="6971" name="Изображение 6970" descr="resizeПП-00275991"/>
        <xdr:cNvPicPr>
          <a:picLocks noChangeAspect="1"/>
        </xdr:cNvPicPr>
      </xdr:nvPicPr>
      <xdr:blipFill>
        <a:blip xmlns:r="http://schemas.openxmlformats.org/officeDocument/2006/relationships" r:embed="rId1699"/>
        <a:stretch>
          <a:fillRect/>
        </a:stretch>
      </xdr:blipFill>
      <xdr:spPr>
        <a:xfrm>
          <a:off x="7235825" y="2240670525"/>
          <a:ext cx="878840" cy="1183640"/>
        </a:xfrm>
        <a:prstGeom prst="rect">
          <a:avLst/>
        </a:prstGeom>
      </xdr:spPr>
    </xdr:pic>
    <xdr:clientData/>
  </xdr:twoCellAnchor>
  <xdr:twoCellAnchor>
    <xdr:from>
      <xdr:col>9</xdr:col>
      <xdr:colOff>6350</xdr:colOff>
      <xdr:row>2300</xdr:row>
      <xdr:rowOff>25400</xdr:rowOff>
    </xdr:from>
    <xdr:to>
      <xdr:col>9</xdr:col>
      <xdr:colOff>885190</xdr:colOff>
      <xdr:row>2300</xdr:row>
      <xdr:rowOff>1209040</xdr:rowOff>
    </xdr:to>
    <xdr:pic>
      <xdr:nvPicPr>
        <xdr:cNvPr id="6972" name="Изображение 6971" descr="resizeПП-00275989"/>
        <xdr:cNvPicPr>
          <a:picLocks noChangeAspect="1"/>
        </xdr:cNvPicPr>
      </xdr:nvPicPr>
      <xdr:blipFill>
        <a:blip xmlns:r="http://schemas.openxmlformats.org/officeDocument/2006/relationships" r:embed="rId1700"/>
        <a:stretch>
          <a:fillRect/>
        </a:stretch>
      </xdr:blipFill>
      <xdr:spPr>
        <a:xfrm>
          <a:off x="7235825" y="2241892900"/>
          <a:ext cx="878840" cy="1183640"/>
        </a:xfrm>
        <a:prstGeom prst="rect">
          <a:avLst/>
        </a:prstGeom>
      </xdr:spPr>
    </xdr:pic>
    <xdr:clientData/>
  </xdr:twoCellAnchor>
  <xdr:twoCellAnchor>
    <xdr:from>
      <xdr:col>9</xdr:col>
      <xdr:colOff>6350</xdr:colOff>
      <xdr:row>2301</xdr:row>
      <xdr:rowOff>25400</xdr:rowOff>
    </xdr:from>
    <xdr:to>
      <xdr:col>9</xdr:col>
      <xdr:colOff>885190</xdr:colOff>
      <xdr:row>2301</xdr:row>
      <xdr:rowOff>1209040</xdr:rowOff>
    </xdr:to>
    <xdr:pic>
      <xdr:nvPicPr>
        <xdr:cNvPr id="6973" name="Изображение 6972" descr="resizeПП-00275992"/>
        <xdr:cNvPicPr>
          <a:picLocks noChangeAspect="1"/>
        </xdr:cNvPicPr>
      </xdr:nvPicPr>
      <xdr:blipFill>
        <a:blip xmlns:r="http://schemas.openxmlformats.org/officeDocument/2006/relationships" r:embed="rId1701"/>
        <a:stretch>
          <a:fillRect/>
        </a:stretch>
      </xdr:blipFill>
      <xdr:spPr>
        <a:xfrm>
          <a:off x="7235825" y="2243115275"/>
          <a:ext cx="878840" cy="1183640"/>
        </a:xfrm>
        <a:prstGeom prst="rect">
          <a:avLst/>
        </a:prstGeom>
      </xdr:spPr>
    </xdr:pic>
    <xdr:clientData/>
  </xdr:twoCellAnchor>
  <xdr:twoCellAnchor>
    <xdr:from>
      <xdr:col>9</xdr:col>
      <xdr:colOff>6350</xdr:colOff>
      <xdr:row>2302</xdr:row>
      <xdr:rowOff>25400</xdr:rowOff>
    </xdr:from>
    <xdr:to>
      <xdr:col>9</xdr:col>
      <xdr:colOff>885190</xdr:colOff>
      <xdr:row>2302</xdr:row>
      <xdr:rowOff>1209040</xdr:rowOff>
    </xdr:to>
    <xdr:pic>
      <xdr:nvPicPr>
        <xdr:cNvPr id="6974" name="Изображение 6973" descr="resizeПП-00236024"/>
        <xdr:cNvPicPr>
          <a:picLocks noChangeAspect="1"/>
        </xdr:cNvPicPr>
      </xdr:nvPicPr>
      <xdr:blipFill>
        <a:blip xmlns:r="http://schemas.openxmlformats.org/officeDocument/2006/relationships" r:embed="rId1702"/>
        <a:stretch>
          <a:fillRect/>
        </a:stretch>
      </xdr:blipFill>
      <xdr:spPr>
        <a:xfrm>
          <a:off x="7235825" y="2244337650"/>
          <a:ext cx="878840" cy="1183640"/>
        </a:xfrm>
        <a:prstGeom prst="rect">
          <a:avLst/>
        </a:prstGeom>
      </xdr:spPr>
    </xdr:pic>
    <xdr:clientData/>
  </xdr:twoCellAnchor>
  <xdr:twoCellAnchor>
    <xdr:from>
      <xdr:col>9</xdr:col>
      <xdr:colOff>6350</xdr:colOff>
      <xdr:row>2303</xdr:row>
      <xdr:rowOff>25400</xdr:rowOff>
    </xdr:from>
    <xdr:to>
      <xdr:col>9</xdr:col>
      <xdr:colOff>885190</xdr:colOff>
      <xdr:row>2303</xdr:row>
      <xdr:rowOff>1209040</xdr:rowOff>
    </xdr:to>
    <xdr:pic>
      <xdr:nvPicPr>
        <xdr:cNvPr id="6975" name="Изображение 6974" descr="resizeПП-00275990"/>
        <xdr:cNvPicPr>
          <a:picLocks noChangeAspect="1"/>
        </xdr:cNvPicPr>
      </xdr:nvPicPr>
      <xdr:blipFill>
        <a:blip xmlns:r="http://schemas.openxmlformats.org/officeDocument/2006/relationships" r:embed="rId1703"/>
        <a:stretch>
          <a:fillRect/>
        </a:stretch>
      </xdr:blipFill>
      <xdr:spPr>
        <a:xfrm>
          <a:off x="7235825" y="2245560025"/>
          <a:ext cx="878840" cy="1183640"/>
        </a:xfrm>
        <a:prstGeom prst="rect">
          <a:avLst/>
        </a:prstGeom>
      </xdr:spPr>
    </xdr:pic>
    <xdr:clientData/>
  </xdr:twoCellAnchor>
  <xdr:twoCellAnchor>
    <xdr:from>
      <xdr:col>9</xdr:col>
      <xdr:colOff>6350</xdr:colOff>
      <xdr:row>2304</xdr:row>
      <xdr:rowOff>25400</xdr:rowOff>
    </xdr:from>
    <xdr:to>
      <xdr:col>9</xdr:col>
      <xdr:colOff>885190</xdr:colOff>
      <xdr:row>2304</xdr:row>
      <xdr:rowOff>1209040</xdr:rowOff>
    </xdr:to>
    <xdr:pic>
      <xdr:nvPicPr>
        <xdr:cNvPr id="6976" name="Изображение 6975" descr="resizeПП-00257391"/>
        <xdr:cNvPicPr>
          <a:picLocks noChangeAspect="1"/>
        </xdr:cNvPicPr>
      </xdr:nvPicPr>
      <xdr:blipFill>
        <a:blip xmlns:r="http://schemas.openxmlformats.org/officeDocument/2006/relationships" r:embed="rId1704"/>
        <a:stretch>
          <a:fillRect/>
        </a:stretch>
      </xdr:blipFill>
      <xdr:spPr>
        <a:xfrm>
          <a:off x="7235825" y="2246782400"/>
          <a:ext cx="878840" cy="1183640"/>
        </a:xfrm>
        <a:prstGeom prst="rect">
          <a:avLst/>
        </a:prstGeom>
      </xdr:spPr>
    </xdr:pic>
    <xdr:clientData/>
  </xdr:twoCellAnchor>
  <xdr:twoCellAnchor>
    <xdr:from>
      <xdr:col>9</xdr:col>
      <xdr:colOff>6350</xdr:colOff>
      <xdr:row>2305</xdr:row>
      <xdr:rowOff>25400</xdr:rowOff>
    </xdr:from>
    <xdr:to>
      <xdr:col>9</xdr:col>
      <xdr:colOff>885190</xdr:colOff>
      <xdr:row>2305</xdr:row>
      <xdr:rowOff>1209040</xdr:rowOff>
    </xdr:to>
    <xdr:pic>
      <xdr:nvPicPr>
        <xdr:cNvPr id="6977" name="Изображение 6976" descr="resizeПП-00257392"/>
        <xdr:cNvPicPr>
          <a:picLocks noChangeAspect="1"/>
        </xdr:cNvPicPr>
      </xdr:nvPicPr>
      <xdr:blipFill>
        <a:blip xmlns:r="http://schemas.openxmlformats.org/officeDocument/2006/relationships" r:embed="rId1705"/>
        <a:stretch>
          <a:fillRect/>
        </a:stretch>
      </xdr:blipFill>
      <xdr:spPr>
        <a:xfrm>
          <a:off x="7235825" y="2248004775"/>
          <a:ext cx="878840" cy="1183640"/>
        </a:xfrm>
        <a:prstGeom prst="rect">
          <a:avLst/>
        </a:prstGeom>
      </xdr:spPr>
    </xdr:pic>
    <xdr:clientData/>
  </xdr:twoCellAnchor>
  <xdr:twoCellAnchor>
    <xdr:from>
      <xdr:col>9</xdr:col>
      <xdr:colOff>6350</xdr:colOff>
      <xdr:row>2306</xdr:row>
      <xdr:rowOff>25400</xdr:rowOff>
    </xdr:from>
    <xdr:to>
      <xdr:col>9</xdr:col>
      <xdr:colOff>885190</xdr:colOff>
      <xdr:row>2306</xdr:row>
      <xdr:rowOff>1209040</xdr:rowOff>
    </xdr:to>
    <xdr:pic>
      <xdr:nvPicPr>
        <xdr:cNvPr id="6978" name="Изображение 6977" descr="resizeПП-00257382"/>
        <xdr:cNvPicPr>
          <a:picLocks noChangeAspect="1"/>
        </xdr:cNvPicPr>
      </xdr:nvPicPr>
      <xdr:blipFill>
        <a:blip xmlns:r="http://schemas.openxmlformats.org/officeDocument/2006/relationships" r:embed="rId1706"/>
        <a:stretch>
          <a:fillRect/>
        </a:stretch>
      </xdr:blipFill>
      <xdr:spPr>
        <a:xfrm>
          <a:off x="7235825" y="2249227150"/>
          <a:ext cx="878840" cy="1183640"/>
        </a:xfrm>
        <a:prstGeom prst="rect">
          <a:avLst/>
        </a:prstGeom>
      </xdr:spPr>
    </xdr:pic>
    <xdr:clientData/>
  </xdr:twoCellAnchor>
  <xdr:twoCellAnchor>
    <xdr:from>
      <xdr:col>9</xdr:col>
      <xdr:colOff>6350</xdr:colOff>
      <xdr:row>2307</xdr:row>
      <xdr:rowOff>25400</xdr:rowOff>
    </xdr:from>
    <xdr:to>
      <xdr:col>9</xdr:col>
      <xdr:colOff>885190</xdr:colOff>
      <xdr:row>2307</xdr:row>
      <xdr:rowOff>1209040</xdr:rowOff>
    </xdr:to>
    <xdr:pic>
      <xdr:nvPicPr>
        <xdr:cNvPr id="6979" name="Изображение 6978" descr="resizeПП-00257386"/>
        <xdr:cNvPicPr>
          <a:picLocks noChangeAspect="1"/>
        </xdr:cNvPicPr>
      </xdr:nvPicPr>
      <xdr:blipFill>
        <a:blip xmlns:r="http://schemas.openxmlformats.org/officeDocument/2006/relationships" r:embed="rId1707"/>
        <a:stretch>
          <a:fillRect/>
        </a:stretch>
      </xdr:blipFill>
      <xdr:spPr>
        <a:xfrm>
          <a:off x="7235825" y="2250449525"/>
          <a:ext cx="878840" cy="1183640"/>
        </a:xfrm>
        <a:prstGeom prst="rect">
          <a:avLst/>
        </a:prstGeom>
      </xdr:spPr>
    </xdr:pic>
    <xdr:clientData/>
  </xdr:twoCellAnchor>
  <xdr:twoCellAnchor>
    <xdr:from>
      <xdr:col>9</xdr:col>
      <xdr:colOff>6350</xdr:colOff>
      <xdr:row>2310</xdr:row>
      <xdr:rowOff>25400</xdr:rowOff>
    </xdr:from>
    <xdr:to>
      <xdr:col>9</xdr:col>
      <xdr:colOff>885190</xdr:colOff>
      <xdr:row>2310</xdr:row>
      <xdr:rowOff>1209040</xdr:rowOff>
    </xdr:to>
    <xdr:pic>
      <xdr:nvPicPr>
        <xdr:cNvPr id="6980" name="Изображение 6979" descr="resizeПП-00257394"/>
        <xdr:cNvPicPr>
          <a:picLocks noChangeAspect="1"/>
        </xdr:cNvPicPr>
      </xdr:nvPicPr>
      <xdr:blipFill>
        <a:blip xmlns:r="http://schemas.openxmlformats.org/officeDocument/2006/relationships" r:embed="rId1708"/>
        <a:stretch>
          <a:fillRect/>
        </a:stretch>
      </xdr:blipFill>
      <xdr:spPr>
        <a:xfrm>
          <a:off x="7235825" y="2251976700"/>
          <a:ext cx="878840" cy="1183640"/>
        </a:xfrm>
        <a:prstGeom prst="rect">
          <a:avLst/>
        </a:prstGeom>
      </xdr:spPr>
    </xdr:pic>
    <xdr:clientData/>
  </xdr:twoCellAnchor>
  <xdr:twoCellAnchor>
    <xdr:from>
      <xdr:col>9</xdr:col>
      <xdr:colOff>6350</xdr:colOff>
      <xdr:row>2311</xdr:row>
      <xdr:rowOff>25400</xdr:rowOff>
    </xdr:from>
    <xdr:to>
      <xdr:col>9</xdr:col>
      <xdr:colOff>885190</xdr:colOff>
      <xdr:row>2311</xdr:row>
      <xdr:rowOff>1209040</xdr:rowOff>
    </xdr:to>
    <xdr:pic>
      <xdr:nvPicPr>
        <xdr:cNvPr id="6981" name="Изображение 6980" descr="resizeПП-00191359"/>
        <xdr:cNvPicPr>
          <a:picLocks noChangeAspect="1"/>
        </xdr:cNvPicPr>
      </xdr:nvPicPr>
      <xdr:blipFill>
        <a:blip xmlns:r="http://schemas.openxmlformats.org/officeDocument/2006/relationships" r:embed="rId1709"/>
        <a:stretch>
          <a:fillRect/>
        </a:stretch>
      </xdr:blipFill>
      <xdr:spPr>
        <a:xfrm>
          <a:off x="7235825" y="2253199075"/>
          <a:ext cx="878840" cy="1183640"/>
        </a:xfrm>
        <a:prstGeom prst="rect">
          <a:avLst/>
        </a:prstGeom>
      </xdr:spPr>
    </xdr:pic>
    <xdr:clientData/>
  </xdr:twoCellAnchor>
  <xdr:twoCellAnchor>
    <xdr:from>
      <xdr:col>9</xdr:col>
      <xdr:colOff>6350</xdr:colOff>
      <xdr:row>2313</xdr:row>
      <xdr:rowOff>25400</xdr:rowOff>
    </xdr:from>
    <xdr:to>
      <xdr:col>9</xdr:col>
      <xdr:colOff>885190</xdr:colOff>
      <xdr:row>2313</xdr:row>
      <xdr:rowOff>1209040</xdr:rowOff>
    </xdr:to>
    <xdr:pic>
      <xdr:nvPicPr>
        <xdr:cNvPr id="6982" name="Изображение 6981" descr="resizeПП-00257397"/>
        <xdr:cNvPicPr>
          <a:picLocks noChangeAspect="1"/>
        </xdr:cNvPicPr>
      </xdr:nvPicPr>
      <xdr:blipFill>
        <a:blip xmlns:r="http://schemas.openxmlformats.org/officeDocument/2006/relationships" r:embed="rId1710"/>
        <a:stretch>
          <a:fillRect/>
        </a:stretch>
      </xdr:blipFill>
      <xdr:spPr>
        <a:xfrm>
          <a:off x="7235825" y="2254573850"/>
          <a:ext cx="878840" cy="1183640"/>
        </a:xfrm>
        <a:prstGeom prst="rect">
          <a:avLst/>
        </a:prstGeom>
      </xdr:spPr>
    </xdr:pic>
    <xdr:clientData/>
  </xdr:twoCellAnchor>
  <xdr:twoCellAnchor>
    <xdr:from>
      <xdr:col>9</xdr:col>
      <xdr:colOff>6350</xdr:colOff>
      <xdr:row>2314</xdr:row>
      <xdr:rowOff>25400</xdr:rowOff>
    </xdr:from>
    <xdr:to>
      <xdr:col>9</xdr:col>
      <xdr:colOff>885190</xdr:colOff>
      <xdr:row>2314</xdr:row>
      <xdr:rowOff>1209040</xdr:rowOff>
    </xdr:to>
    <xdr:pic>
      <xdr:nvPicPr>
        <xdr:cNvPr id="6983" name="Изображение 6982" descr="resizeПП-00275996"/>
        <xdr:cNvPicPr>
          <a:picLocks noChangeAspect="1"/>
        </xdr:cNvPicPr>
      </xdr:nvPicPr>
      <xdr:blipFill>
        <a:blip xmlns:r="http://schemas.openxmlformats.org/officeDocument/2006/relationships" r:embed="rId1711"/>
        <a:stretch>
          <a:fillRect/>
        </a:stretch>
      </xdr:blipFill>
      <xdr:spPr>
        <a:xfrm>
          <a:off x="7235825" y="2255796225"/>
          <a:ext cx="878840" cy="1183640"/>
        </a:xfrm>
        <a:prstGeom prst="rect">
          <a:avLst/>
        </a:prstGeom>
      </xdr:spPr>
    </xdr:pic>
    <xdr:clientData/>
  </xdr:twoCellAnchor>
  <xdr:twoCellAnchor>
    <xdr:from>
      <xdr:col>9</xdr:col>
      <xdr:colOff>6350</xdr:colOff>
      <xdr:row>2316</xdr:row>
      <xdr:rowOff>25400</xdr:rowOff>
    </xdr:from>
    <xdr:to>
      <xdr:col>9</xdr:col>
      <xdr:colOff>885190</xdr:colOff>
      <xdr:row>2316</xdr:row>
      <xdr:rowOff>1209040</xdr:rowOff>
    </xdr:to>
    <xdr:pic>
      <xdr:nvPicPr>
        <xdr:cNvPr id="6984" name="Изображение 6983" descr="resizeПП-00276000"/>
        <xdr:cNvPicPr>
          <a:picLocks noChangeAspect="1"/>
        </xdr:cNvPicPr>
      </xdr:nvPicPr>
      <xdr:blipFill>
        <a:blip xmlns:r="http://schemas.openxmlformats.org/officeDocument/2006/relationships" r:embed="rId1712"/>
        <a:stretch>
          <a:fillRect/>
        </a:stretch>
      </xdr:blipFill>
      <xdr:spPr>
        <a:xfrm>
          <a:off x="7235825" y="2257171000"/>
          <a:ext cx="878840" cy="1183640"/>
        </a:xfrm>
        <a:prstGeom prst="rect">
          <a:avLst/>
        </a:prstGeom>
      </xdr:spPr>
    </xdr:pic>
    <xdr:clientData/>
  </xdr:twoCellAnchor>
  <xdr:twoCellAnchor>
    <xdr:from>
      <xdr:col>9</xdr:col>
      <xdr:colOff>6350</xdr:colOff>
      <xdr:row>2317</xdr:row>
      <xdr:rowOff>25400</xdr:rowOff>
    </xdr:from>
    <xdr:to>
      <xdr:col>9</xdr:col>
      <xdr:colOff>885190</xdr:colOff>
      <xdr:row>2317</xdr:row>
      <xdr:rowOff>1209040</xdr:rowOff>
    </xdr:to>
    <xdr:pic>
      <xdr:nvPicPr>
        <xdr:cNvPr id="6985" name="Изображение 6984" descr="resizeПП-00275999"/>
        <xdr:cNvPicPr>
          <a:picLocks noChangeAspect="1"/>
        </xdr:cNvPicPr>
      </xdr:nvPicPr>
      <xdr:blipFill>
        <a:blip xmlns:r="http://schemas.openxmlformats.org/officeDocument/2006/relationships" r:embed="rId1713"/>
        <a:stretch>
          <a:fillRect/>
        </a:stretch>
      </xdr:blipFill>
      <xdr:spPr>
        <a:xfrm>
          <a:off x="7235825" y="2258393375"/>
          <a:ext cx="878840" cy="1183640"/>
        </a:xfrm>
        <a:prstGeom prst="rect">
          <a:avLst/>
        </a:prstGeom>
      </xdr:spPr>
    </xdr:pic>
    <xdr:clientData/>
  </xdr:twoCellAnchor>
  <xdr:twoCellAnchor>
    <xdr:from>
      <xdr:col>9</xdr:col>
      <xdr:colOff>6350</xdr:colOff>
      <xdr:row>2319</xdr:row>
      <xdr:rowOff>25400</xdr:rowOff>
    </xdr:from>
    <xdr:to>
      <xdr:col>9</xdr:col>
      <xdr:colOff>885190</xdr:colOff>
      <xdr:row>2319</xdr:row>
      <xdr:rowOff>1209040</xdr:rowOff>
    </xdr:to>
    <xdr:pic>
      <xdr:nvPicPr>
        <xdr:cNvPr id="6986" name="Изображение 6985" descr="resizeПП-00257416"/>
        <xdr:cNvPicPr>
          <a:picLocks noChangeAspect="1"/>
        </xdr:cNvPicPr>
      </xdr:nvPicPr>
      <xdr:blipFill>
        <a:blip xmlns:r="http://schemas.openxmlformats.org/officeDocument/2006/relationships" r:embed="rId1714"/>
        <a:stretch>
          <a:fillRect/>
        </a:stretch>
      </xdr:blipFill>
      <xdr:spPr>
        <a:xfrm>
          <a:off x="7235825" y="2259768150"/>
          <a:ext cx="878840" cy="1183640"/>
        </a:xfrm>
        <a:prstGeom prst="rect">
          <a:avLst/>
        </a:prstGeom>
      </xdr:spPr>
    </xdr:pic>
    <xdr:clientData/>
  </xdr:twoCellAnchor>
  <xdr:twoCellAnchor>
    <xdr:from>
      <xdr:col>9</xdr:col>
      <xdr:colOff>6350</xdr:colOff>
      <xdr:row>2320</xdr:row>
      <xdr:rowOff>25400</xdr:rowOff>
    </xdr:from>
    <xdr:to>
      <xdr:col>9</xdr:col>
      <xdr:colOff>885190</xdr:colOff>
      <xdr:row>2320</xdr:row>
      <xdr:rowOff>1209040</xdr:rowOff>
    </xdr:to>
    <xdr:pic>
      <xdr:nvPicPr>
        <xdr:cNvPr id="6987" name="Изображение 6986" descr="resizeПП-00193015"/>
        <xdr:cNvPicPr>
          <a:picLocks noChangeAspect="1"/>
        </xdr:cNvPicPr>
      </xdr:nvPicPr>
      <xdr:blipFill>
        <a:blip xmlns:r="http://schemas.openxmlformats.org/officeDocument/2006/relationships" r:embed="rId1715"/>
        <a:stretch>
          <a:fillRect/>
        </a:stretch>
      </xdr:blipFill>
      <xdr:spPr>
        <a:xfrm>
          <a:off x="7235825" y="2260990525"/>
          <a:ext cx="878840" cy="1183640"/>
        </a:xfrm>
        <a:prstGeom prst="rect">
          <a:avLst/>
        </a:prstGeom>
      </xdr:spPr>
    </xdr:pic>
    <xdr:clientData/>
  </xdr:twoCellAnchor>
  <xdr:twoCellAnchor>
    <xdr:from>
      <xdr:col>9</xdr:col>
      <xdr:colOff>6350</xdr:colOff>
      <xdr:row>2321</xdr:row>
      <xdr:rowOff>25400</xdr:rowOff>
    </xdr:from>
    <xdr:to>
      <xdr:col>9</xdr:col>
      <xdr:colOff>885190</xdr:colOff>
      <xdr:row>2321</xdr:row>
      <xdr:rowOff>1209040</xdr:rowOff>
    </xdr:to>
    <xdr:pic>
      <xdr:nvPicPr>
        <xdr:cNvPr id="6988" name="Изображение 6987" descr="resizeПП-00193016"/>
        <xdr:cNvPicPr>
          <a:picLocks noChangeAspect="1"/>
        </xdr:cNvPicPr>
      </xdr:nvPicPr>
      <xdr:blipFill>
        <a:blip xmlns:r="http://schemas.openxmlformats.org/officeDocument/2006/relationships" r:embed="rId1716"/>
        <a:stretch>
          <a:fillRect/>
        </a:stretch>
      </xdr:blipFill>
      <xdr:spPr>
        <a:xfrm>
          <a:off x="7235825" y="2262212900"/>
          <a:ext cx="878840" cy="1183640"/>
        </a:xfrm>
        <a:prstGeom prst="rect">
          <a:avLst/>
        </a:prstGeom>
      </xdr:spPr>
    </xdr:pic>
    <xdr:clientData/>
  </xdr:twoCellAnchor>
  <xdr:twoCellAnchor>
    <xdr:from>
      <xdr:col>9</xdr:col>
      <xdr:colOff>6350</xdr:colOff>
      <xdr:row>2324</xdr:row>
      <xdr:rowOff>25400</xdr:rowOff>
    </xdr:from>
    <xdr:to>
      <xdr:col>9</xdr:col>
      <xdr:colOff>885190</xdr:colOff>
      <xdr:row>2324</xdr:row>
      <xdr:rowOff>1209040</xdr:rowOff>
    </xdr:to>
    <xdr:pic>
      <xdr:nvPicPr>
        <xdr:cNvPr id="6989" name="Изображение 6988" descr="resizeПП-00257422"/>
        <xdr:cNvPicPr>
          <a:picLocks noChangeAspect="1"/>
        </xdr:cNvPicPr>
      </xdr:nvPicPr>
      <xdr:blipFill>
        <a:blip xmlns:r="http://schemas.openxmlformats.org/officeDocument/2006/relationships" r:embed="rId1717"/>
        <a:stretch>
          <a:fillRect/>
        </a:stretch>
      </xdr:blipFill>
      <xdr:spPr>
        <a:xfrm>
          <a:off x="7235825" y="2263740075"/>
          <a:ext cx="878840" cy="1183640"/>
        </a:xfrm>
        <a:prstGeom prst="rect">
          <a:avLst/>
        </a:prstGeom>
      </xdr:spPr>
    </xdr:pic>
    <xdr:clientData/>
  </xdr:twoCellAnchor>
  <xdr:twoCellAnchor>
    <xdr:from>
      <xdr:col>9</xdr:col>
      <xdr:colOff>6350</xdr:colOff>
      <xdr:row>2326</xdr:row>
      <xdr:rowOff>25400</xdr:rowOff>
    </xdr:from>
    <xdr:to>
      <xdr:col>9</xdr:col>
      <xdr:colOff>885190</xdr:colOff>
      <xdr:row>2326</xdr:row>
      <xdr:rowOff>1209040</xdr:rowOff>
    </xdr:to>
    <xdr:pic>
      <xdr:nvPicPr>
        <xdr:cNvPr id="6990" name="Изображение 6989" descr="resizeПП-00257424"/>
        <xdr:cNvPicPr>
          <a:picLocks noChangeAspect="1"/>
        </xdr:cNvPicPr>
      </xdr:nvPicPr>
      <xdr:blipFill>
        <a:blip xmlns:r="http://schemas.openxmlformats.org/officeDocument/2006/relationships" r:embed="rId1718"/>
        <a:stretch>
          <a:fillRect/>
        </a:stretch>
      </xdr:blipFill>
      <xdr:spPr>
        <a:xfrm>
          <a:off x="7235825" y="2265114850"/>
          <a:ext cx="878840" cy="1183640"/>
        </a:xfrm>
        <a:prstGeom prst="rect">
          <a:avLst/>
        </a:prstGeom>
      </xdr:spPr>
    </xdr:pic>
    <xdr:clientData/>
  </xdr:twoCellAnchor>
  <xdr:twoCellAnchor>
    <xdr:from>
      <xdr:col>9</xdr:col>
      <xdr:colOff>6350</xdr:colOff>
      <xdr:row>2330</xdr:row>
      <xdr:rowOff>25400</xdr:rowOff>
    </xdr:from>
    <xdr:to>
      <xdr:col>9</xdr:col>
      <xdr:colOff>885190</xdr:colOff>
      <xdr:row>2330</xdr:row>
      <xdr:rowOff>1209040</xdr:rowOff>
    </xdr:to>
    <xdr:pic>
      <xdr:nvPicPr>
        <xdr:cNvPr id="6991" name="Изображение 6990" descr="resizeПП-00270533"/>
        <xdr:cNvPicPr>
          <a:picLocks noChangeAspect="1"/>
        </xdr:cNvPicPr>
      </xdr:nvPicPr>
      <xdr:blipFill>
        <a:blip xmlns:r="http://schemas.openxmlformats.org/officeDocument/2006/relationships" r:embed="rId1719"/>
        <a:stretch>
          <a:fillRect/>
        </a:stretch>
      </xdr:blipFill>
      <xdr:spPr>
        <a:xfrm>
          <a:off x="7235825" y="2266794425"/>
          <a:ext cx="878840" cy="1183640"/>
        </a:xfrm>
        <a:prstGeom prst="rect">
          <a:avLst/>
        </a:prstGeom>
      </xdr:spPr>
    </xdr:pic>
    <xdr:clientData/>
  </xdr:twoCellAnchor>
  <xdr:twoCellAnchor>
    <xdr:from>
      <xdr:col>9</xdr:col>
      <xdr:colOff>6350</xdr:colOff>
      <xdr:row>2331</xdr:row>
      <xdr:rowOff>25400</xdr:rowOff>
    </xdr:from>
    <xdr:to>
      <xdr:col>9</xdr:col>
      <xdr:colOff>885190</xdr:colOff>
      <xdr:row>2331</xdr:row>
      <xdr:rowOff>1209040</xdr:rowOff>
    </xdr:to>
    <xdr:pic>
      <xdr:nvPicPr>
        <xdr:cNvPr id="6992" name="Изображение 6991" descr="resizeПП-00270541"/>
        <xdr:cNvPicPr>
          <a:picLocks noChangeAspect="1"/>
        </xdr:cNvPicPr>
      </xdr:nvPicPr>
      <xdr:blipFill>
        <a:blip xmlns:r="http://schemas.openxmlformats.org/officeDocument/2006/relationships" r:embed="rId1720"/>
        <a:stretch>
          <a:fillRect/>
        </a:stretch>
      </xdr:blipFill>
      <xdr:spPr>
        <a:xfrm>
          <a:off x="7235825" y="2268016800"/>
          <a:ext cx="878840" cy="1183640"/>
        </a:xfrm>
        <a:prstGeom prst="rect">
          <a:avLst/>
        </a:prstGeom>
      </xdr:spPr>
    </xdr:pic>
    <xdr:clientData/>
  </xdr:twoCellAnchor>
  <xdr:twoCellAnchor>
    <xdr:from>
      <xdr:col>9</xdr:col>
      <xdr:colOff>6350</xdr:colOff>
      <xdr:row>2332</xdr:row>
      <xdr:rowOff>25400</xdr:rowOff>
    </xdr:from>
    <xdr:to>
      <xdr:col>9</xdr:col>
      <xdr:colOff>885190</xdr:colOff>
      <xdr:row>2332</xdr:row>
      <xdr:rowOff>1209040</xdr:rowOff>
    </xdr:to>
    <xdr:pic>
      <xdr:nvPicPr>
        <xdr:cNvPr id="6993" name="Изображение 6992" descr="resizeПП-00270543"/>
        <xdr:cNvPicPr>
          <a:picLocks noChangeAspect="1"/>
        </xdr:cNvPicPr>
      </xdr:nvPicPr>
      <xdr:blipFill>
        <a:blip xmlns:r="http://schemas.openxmlformats.org/officeDocument/2006/relationships" r:embed="rId1721"/>
        <a:stretch>
          <a:fillRect/>
        </a:stretch>
      </xdr:blipFill>
      <xdr:spPr>
        <a:xfrm>
          <a:off x="7235825" y="2269239175"/>
          <a:ext cx="878840" cy="1183640"/>
        </a:xfrm>
        <a:prstGeom prst="rect">
          <a:avLst/>
        </a:prstGeom>
      </xdr:spPr>
    </xdr:pic>
    <xdr:clientData/>
  </xdr:twoCellAnchor>
  <xdr:twoCellAnchor>
    <xdr:from>
      <xdr:col>9</xdr:col>
      <xdr:colOff>6350</xdr:colOff>
      <xdr:row>2333</xdr:row>
      <xdr:rowOff>25400</xdr:rowOff>
    </xdr:from>
    <xdr:to>
      <xdr:col>9</xdr:col>
      <xdr:colOff>885190</xdr:colOff>
      <xdr:row>2333</xdr:row>
      <xdr:rowOff>1209040</xdr:rowOff>
    </xdr:to>
    <xdr:pic>
      <xdr:nvPicPr>
        <xdr:cNvPr id="6994" name="Изображение 6993" descr="resizeПП-00270545"/>
        <xdr:cNvPicPr>
          <a:picLocks noChangeAspect="1"/>
        </xdr:cNvPicPr>
      </xdr:nvPicPr>
      <xdr:blipFill>
        <a:blip xmlns:r="http://schemas.openxmlformats.org/officeDocument/2006/relationships" r:embed="rId1722"/>
        <a:stretch>
          <a:fillRect/>
        </a:stretch>
      </xdr:blipFill>
      <xdr:spPr>
        <a:xfrm>
          <a:off x="7235825" y="2270461550"/>
          <a:ext cx="878840" cy="1183640"/>
        </a:xfrm>
        <a:prstGeom prst="rect">
          <a:avLst/>
        </a:prstGeom>
      </xdr:spPr>
    </xdr:pic>
    <xdr:clientData/>
  </xdr:twoCellAnchor>
  <xdr:twoCellAnchor>
    <xdr:from>
      <xdr:col>9</xdr:col>
      <xdr:colOff>6350</xdr:colOff>
      <xdr:row>2334</xdr:row>
      <xdr:rowOff>25400</xdr:rowOff>
    </xdr:from>
    <xdr:to>
      <xdr:col>9</xdr:col>
      <xdr:colOff>885190</xdr:colOff>
      <xdr:row>2334</xdr:row>
      <xdr:rowOff>1209040</xdr:rowOff>
    </xdr:to>
    <xdr:pic>
      <xdr:nvPicPr>
        <xdr:cNvPr id="6995" name="Изображение 6994" descr="resizeПП-00270536"/>
        <xdr:cNvPicPr>
          <a:picLocks noChangeAspect="1"/>
        </xdr:cNvPicPr>
      </xdr:nvPicPr>
      <xdr:blipFill>
        <a:blip xmlns:r="http://schemas.openxmlformats.org/officeDocument/2006/relationships" r:embed="rId1723"/>
        <a:stretch>
          <a:fillRect/>
        </a:stretch>
      </xdr:blipFill>
      <xdr:spPr>
        <a:xfrm>
          <a:off x="7235825" y="2271683925"/>
          <a:ext cx="878840" cy="1183640"/>
        </a:xfrm>
        <a:prstGeom prst="rect">
          <a:avLst/>
        </a:prstGeom>
      </xdr:spPr>
    </xdr:pic>
    <xdr:clientData/>
  </xdr:twoCellAnchor>
  <xdr:twoCellAnchor>
    <xdr:from>
      <xdr:col>9</xdr:col>
      <xdr:colOff>6350</xdr:colOff>
      <xdr:row>2335</xdr:row>
      <xdr:rowOff>25400</xdr:rowOff>
    </xdr:from>
    <xdr:to>
      <xdr:col>9</xdr:col>
      <xdr:colOff>885190</xdr:colOff>
      <xdr:row>2335</xdr:row>
      <xdr:rowOff>1209040</xdr:rowOff>
    </xdr:to>
    <xdr:pic>
      <xdr:nvPicPr>
        <xdr:cNvPr id="6996" name="Изображение 6995" descr="resizeПП-00270538"/>
        <xdr:cNvPicPr>
          <a:picLocks noChangeAspect="1"/>
        </xdr:cNvPicPr>
      </xdr:nvPicPr>
      <xdr:blipFill>
        <a:blip xmlns:r="http://schemas.openxmlformats.org/officeDocument/2006/relationships" r:embed="rId1724"/>
        <a:stretch>
          <a:fillRect/>
        </a:stretch>
      </xdr:blipFill>
      <xdr:spPr>
        <a:xfrm>
          <a:off x="7235825" y="2272906300"/>
          <a:ext cx="878840" cy="1183640"/>
        </a:xfrm>
        <a:prstGeom prst="rect">
          <a:avLst/>
        </a:prstGeom>
      </xdr:spPr>
    </xdr:pic>
    <xdr:clientData/>
  </xdr:twoCellAnchor>
  <xdr:twoCellAnchor>
    <xdr:from>
      <xdr:col>9</xdr:col>
      <xdr:colOff>6350</xdr:colOff>
      <xdr:row>2336</xdr:row>
      <xdr:rowOff>25400</xdr:rowOff>
    </xdr:from>
    <xdr:to>
      <xdr:col>9</xdr:col>
      <xdr:colOff>885190</xdr:colOff>
      <xdr:row>2336</xdr:row>
      <xdr:rowOff>1209040</xdr:rowOff>
    </xdr:to>
    <xdr:pic>
      <xdr:nvPicPr>
        <xdr:cNvPr id="6997" name="Изображение 6996" descr="resizeПП-00270539"/>
        <xdr:cNvPicPr>
          <a:picLocks noChangeAspect="1"/>
        </xdr:cNvPicPr>
      </xdr:nvPicPr>
      <xdr:blipFill>
        <a:blip xmlns:r="http://schemas.openxmlformats.org/officeDocument/2006/relationships" r:embed="rId1725"/>
        <a:stretch>
          <a:fillRect/>
        </a:stretch>
      </xdr:blipFill>
      <xdr:spPr>
        <a:xfrm>
          <a:off x="7235825" y="2274128675"/>
          <a:ext cx="878840" cy="1183640"/>
        </a:xfrm>
        <a:prstGeom prst="rect">
          <a:avLst/>
        </a:prstGeom>
      </xdr:spPr>
    </xdr:pic>
    <xdr:clientData/>
  </xdr:twoCellAnchor>
  <xdr:twoCellAnchor>
    <xdr:from>
      <xdr:col>9</xdr:col>
      <xdr:colOff>6350</xdr:colOff>
      <xdr:row>2337</xdr:row>
      <xdr:rowOff>25400</xdr:rowOff>
    </xdr:from>
    <xdr:to>
      <xdr:col>9</xdr:col>
      <xdr:colOff>885190</xdr:colOff>
      <xdr:row>2337</xdr:row>
      <xdr:rowOff>1209040</xdr:rowOff>
    </xdr:to>
    <xdr:pic>
      <xdr:nvPicPr>
        <xdr:cNvPr id="6998" name="Изображение 6997" descr="resizeПП-00270535"/>
        <xdr:cNvPicPr>
          <a:picLocks noChangeAspect="1"/>
        </xdr:cNvPicPr>
      </xdr:nvPicPr>
      <xdr:blipFill>
        <a:blip xmlns:r="http://schemas.openxmlformats.org/officeDocument/2006/relationships" r:embed="rId1726"/>
        <a:stretch>
          <a:fillRect/>
        </a:stretch>
      </xdr:blipFill>
      <xdr:spPr>
        <a:xfrm>
          <a:off x="7235825" y="2275351050"/>
          <a:ext cx="878840" cy="1183640"/>
        </a:xfrm>
        <a:prstGeom prst="rect">
          <a:avLst/>
        </a:prstGeom>
      </xdr:spPr>
    </xdr:pic>
    <xdr:clientData/>
  </xdr:twoCellAnchor>
  <xdr:twoCellAnchor>
    <xdr:from>
      <xdr:col>9</xdr:col>
      <xdr:colOff>6350</xdr:colOff>
      <xdr:row>2338</xdr:row>
      <xdr:rowOff>25400</xdr:rowOff>
    </xdr:from>
    <xdr:to>
      <xdr:col>9</xdr:col>
      <xdr:colOff>885190</xdr:colOff>
      <xdr:row>2338</xdr:row>
      <xdr:rowOff>1209040</xdr:rowOff>
    </xdr:to>
    <xdr:pic>
      <xdr:nvPicPr>
        <xdr:cNvPr id="6999" name="Изображение 6998" descr="resizeПП-00270532"/>
        <xdr:cNvPicPr>
          <a:picLocks noChangeAspect="1"/>
        </xdr:cNvPicPr>
      </xdr:nvPicPr>
      <xdr:blipFill>
        <a:blip xmlns:r="http://schemas.openxmlformats.org/officeDocument/2006/relationships" r:embed="rId1727"/>
        <a:stretch>
          <a:fillRect/>
        </a:stretch>
      </xdr:blipFill>
      <xdr:spPr>
        <a:xfrm>
          <a:off x="7235825" y="2276573425"/>
          <a:ext cx="878840" cy="1183640"/>
        </a:xfrm>
        <a:prstGeom prst="rect">
          <a:avLst/>
        </a:prstGeom>
      </xdr:spPr>
    </xdr:pic>
    <xdr:clientData/>
  </xdr:twoCellAnchor>
  <xdr:twoCellAnchor>
    <xdr:from>
      <xdr:col>9</xdr:col>
      <xdr:colOff>6350</xdr:colOff>
      <xdr:row>2339</xdr:row>
      <xdr:rowOff>25400</xdr:rowOff>
    </xdr:from>
    <xdr:to>
      <xdr:col>9</xdr:col>
      <xdr:colOff>885190</xdr:colOff>
      <xdr:row>2339</xdr:row>
      <xdr:rowOff>1209040</xdr:rowOff>
    </xdr:to>
    <xdr:pic>
      <xdr:nvPicPr>
        <xdr:cNvPr id="7000" name="Изображение 6999" descr="resizeПП-00204046"/>
        <xdr:cNvPicPr>
          <a:picLocks noChangeAspect="1"/>
        </xdr:cNvPicPr>
      </xdr:nvPicPr>
      <xdr:blipFill>
        <a:blip xmlns:r="http://schemas.openxmlformats.org/officeDocument/2006/relationships" r:embed="rId1728"/>
        <a:stretch>
          <a:fillRect/>
        </a:stretch>
      </xdr:blipFill>
      <xdr:spPr>
        <a:xfrm>
          <a:off x="7235825" y="2277795800"/>
          <a:ext cx="878840" cy="1183640"/>
        </a:xfrm>
        <a:prstGeom prst="rect">
          <a:avLst/>
        </a:prstGeom>
      </xdr:spPr>
    </xdr:pic>
    <xdr:clientData/>
  </xdr:twoCellAnchor>
  <xdr:twoCellAnchor>
    <xdr:from>
      <xdr:col>9</xdr:col>
      <xdr:colOff>6350</xdr:colOff>
      <xdr:row>2340</xdr:row>
      <xdr:rowOff>25400</xdr:rowOff>
    </xdr:from>
    <xdr:to>
      <xdr:col>9</xdr:col>
      <xdr:colOff>885190</xdr:colOff>
      <xdr:row>2340</xdr:row>
      <xdr:rowOff>1209040</xdr:rowOff>
    </xdr:to>
    <xdr:pic>
      <xdr:nvPicPr>
        <xdr:cNvPr id="7001" name="Изображение 7000" descr="resizeПП-00270537"/>
        <xdr:cNvPicPr>
          <a:picLocks noChangeAspect="1"/>
        </xdr:cNvPicPr>
      </xdr:nvPicPr>
      <xdr:blipFill>
        <a:blip xmlns:r="http://schemas.openxmlformats.org/officeDocument/2006/relationships" r:embed="rId1729"/>
        <a:stretch>
          <a:fillRect/>
        </a:stretch>
      </xdr:blipFill>
      <xdr:spPr>
        <a:xfrm>
          <a:off x="7235825" y="2279018175"/>
          <a:ext cx="878840" cy="1183640"/>
        </a:xfrm>
        <a:prstGeom prst="rect">
          <a:avLst/>
        </a:prstGeom>
      </xdr:spPr>
    </xdr:pic>
    <xdr:clientData/>
  </xdr:twoCellAnchor>
  <xdr:twoCellAnchor>
    <xdr:from>
      <xdr:col>9</xdr:col>
      <xdr:colOff>6350</xdr:colOff>
      <xdr:row>2342</xdr:row>
      <xdr:rowOff>25400</xdr:rowOff>
    </xdr:from>
    <xdr:to>
      <xdr:col>9</xdr:col>
      <xdr:colOff>885190</xdr:colOff>
      <xdr:row>2342</xdr:row>
      <xdr:rowOff>1209040</xdr:rowOff>
    </xdr:to>
    <xdr:pic>
      <xdr:nvPicPr>
        <xdr:cNvPr id="7002" name="Изображение 7001" descr="resizeПП-00270515"/>
        <xdr:cNvPicPr>
          <a:picLocks noChangeAspect="1"/>
        </xdr:cNvPicPr>
      </xdr:nvPicPr>
      <xdr:blipFill>
        <a:blip xmlns:r="http://schemas.openxmlformats.org/officeDocument/2006/relationships" r:embed="rId1730"/>
        <a:stretch>
          <a:fillRect/>
        </a:stretch>
      </xdr:blipFill>
      <xdr:spPr>
        <a:xfrm>
          <a:off x="7235825" y="2280392950"/>
          <a:ext cx="878840" cy="1183640"/>
        </a:xfrm>
        <a:prstGeom prst="rect">
          <a:avLst/>
        </a:prstGeom>
      </xdr:spPr>
    </xdr:pic>
    <xdr:clientData/>
  </xdr:twoCellAnchor>
  <xdr:twoCellAnchor>
    <xdr:from>
      <xdr:col>9</xdr:col>
      <xdr:colOff>6350</xdr:colOff>
      <xdr:row>2343</xdr:row>
      <xdr:rowOff>25400</xdr:rowOff>
    </xdr:from>
    <xdr:to>
      <xdr:col>9</xdr:col>
      <xdr:colOff>885190</xdr:colOff>
      <xdr:row>2343</xdr:row>
      <xdr:rowOff>1209040</xdr:rowOff>
    </xdr:to>
    <xdr:pic>
      <xdr:nvPicPr>
        <xdr:cNvPr id="7003" name="Изображение 7002" descr="resizeПП-00270521"/>
        <xdr:cNvPicPr>
          <a:picLocks noChangeAspect="1"/>
        </xdr:cNvPicPr>
      </xdr:nvPicPr>
      <xdr:blipFill>
        <a:blip xmlns:r="http://schemas.openxmlformats.org/officeDocument/2006/relationships" r:embed="rId1731"/>
        <a:stretch>
          <a:fillRect/>
        </a:stretch>
      </xdr:blipFill>
      <xdr:spPr>
        <a:xfrm>
          <a:off x="7235825" y="2281615325"/>
          <a:ext cx="878840" cy="1183640"/>
        </a:xfrm>
        <a:prstGeom prst="rect">
          <a:avLst/>
        </a:prstGeom>
      </xdr:spPr>
    </xdr:pic>
    <xdr:clientData/>
  </xdr:twoCellAnchor>
  <xdr:twoCellAnchor>
    <xdr:from>
      <xdr:col>9</xdr:col>
      <xdr:colOff>6350</xdr:colOff>
      <xdr:row>2344</xdr:row>
      <xdr:rowOff>25400</xdr:rowOff>
    </xdr:from>
    <xdr:to>
      <xdr:col>9</xdr:col>
      <xdr:colOff>885190</xdr:colOff>
      <xdr:row>2344</xdr:row>
      <xdr:rowOff>1209040</xdr:rowOff>
    </xdr:to>
    <xdr:pic>
      <xdr:nvPicPr>
        <xdr:cNvPr id="7004" name="Изображение 7003" descr="resizeПП-00129280"/>
        <xdr:cNvPicPr>
          <a:picLocks noChangeAspect="1"/>
        </xdr:cNvPicPr>
      </xdr:nvPicPr>
      <xdr:blipFill>
        <a:blip xmlns:r="http://schemas.openxmlformats.org/officeDocument/2006/relationships" r:embed="rId1732"/>
        <a:stretch>
          <a:fillRect/>
        </a:stretch>
      </xdr:blipFill>
      <xdr:spPr>
        <a:xfrm>
          <a:off x="7235825" y="2282837700"/>
          <a:ext cx="878840" cy="1183640"/>
        </a:xfrm>
        <a:prstGeom prst="rect">
          <a:avLst/>
        </a:prstGeom>
      </xdr:spPr>
    </xdr:pic>
    <xdr:clientData/>
  </xdr:twoCellAnchor>
  <xdr:twoCellAnchor>
    <xdr:from>
      <xdr:col>9</xdr:col>
      <xdr:colOff>6350</xdr:colOff>
      <xdr:row>2345</xdr:row>
      <xdr:rowOff>25400</xdr:rowOff>
    </xdr:from>
    <xdr:to>
      <xdr:col>9</xdr:col>
      <xdr:colOff>885190</xdr:colOff>
      <xdr:row>2345</xdr:row>
      <xdr:rowOff>1209040</xdr:rowOff>
    </xdr:to>
    <xdr:pic>
      <xdr:nvPicPr>
        <xdr:cNvPr id="7005" name="Изображение 7004" descr="resizeПП-00270516"/>
        <xdr:cNvPicPr>
          <a:picLocks noChangeAspect="1"/>
        </xdr:cNvPicPr>
      </xdr:nvPicPr>
      <xdr:blipFill>
        <a:blip xmlns:r="http://schemas.openxmlformats.org/officeDocument/2006/relationships" r:embed="rId1733"/>
        <a:stretch>
          <a:fillRect/>
        </a:stretch>
      </xdr:blipFill>
      <xdr:spPr>
        <a:xfrm>
          <a:off x="7235825" y="2284060075"/>
          <a:ext cx="878840" cy="1183640"/>
        </a:xfrm>
        <a:prstGeom prst="rect">
          <a:avLst/>
        </a:prstGeom>
      </xdr:spPr>
    </xdr:pic>
    <xdr:clientData/>
  </xdr:twoCellAnchor>
  <xdr:twoCellAnchor>
    <xdr:from>
      <xdr:col>9</xdr:col>
      <xdr:colOff>6350</xdr:colOff>
      <xdr:row>2346</xdr:row>
      <xdr:rowOff>25400</xdr:rowOff>
    </xdr:from>
    <xdr:to>
      <xdr:col>9</xdr:col>
      <xdr:colOff>1189990</xdr:colOff>
      <xdr:row>2346</xdr:row>
      <xdr:rowOff>904240</xdr:rowOff>
    </xdr:to>
    <xdr:pic>
      <xdr:nvPicPr>
        <xdr:cNvPr id="7006" name="Изображение 7005" descr="resizeПП-00227412"/>
        <xdr:cNvPicPr>
          <a:picLocks noChangeAspect="1"/>
        </xdr:cNvPicPr>
      </xdr:nvPicPr>
      <xdr:blipFill>
        <a:blip xmlns:r="http://schemas.openxmlformats.org/officeDocument/2006/relationships" r:embed="rId1734"/>
        <a:stretch>
          <a:fillRect/>
        </a:stretch>
      </xdr:blipFill>
      <xdr:spPr>
        <a:xfrm>
          <a:off x="7235825" y="2285282450"/>
          <a:ext cx="1183640" cy="878840"/>
        </a:xfrm>
        <a:prstGeom prst="rect">
          <a:avLst/>
        </a:prstGeom>
      </xdr:spPr>
    </xdr:pic>
    <xdr:clientData/>
  </xdr:twoCellAnchor>
  <xdr:twoCellAnchor>
    <xdr:from>
      <xdr:col>9</xdr:col>
      <xdr:colOff>6350</xdr:colOff>
      <xdr:row>2347</xdr:row>
      <xdr:rowOff>25400</xdr:rowOff>
    </xdr:from>
    <xdr:to>
      <xdr:col>9</xdr:col>
      <xdr:colOff>1189990</xdr:colOff>
      <xdr:row>2347</xdr:row>
      <xdr:rowOff>904240</xdr:rowOff>
    </xdr:to>
    <xdr:pic>
      <xdr:nvPicPr>
        <xdr:cNvPr id="7007" name="Изображение 7006" descr="resizeПП-00227415"/>
        <xdr:cNvPicPr>
          <a:picLocks noChangeAspect="1"/>
        </xdr:cNvPicPr>
      </xdr:nvPicPr>
      <xdr:blipFill>
        <a:blip xmlns:r="http://schemas.openxmlformats.org/officeDocument/2006/relationships" r:embed="rId1735"/>
        <a:stretch>
          <a:fillRect/>
        </a:stretch>
      </xdr:blipFill>
      <xdr:spPr>
        <a:xfrm>
          <a:off x="7235825" y="2286504825"/>
          <a:ext cx="1183640" cy="878840"/>
        </a:xfrm>
        <a:prstGeom prst="rect">
          <a:avLst/>
        </a:prstGeom>
      </xdr:spPr>
    </xdr:pic>
    <xdr:clientData/>
  </xdr:twoCellAnchor>
  <xdr:twoCellAnchor>
    <xdr:from>
      <xdr:col>9</xdr:col>
      <xdr:colOff>6350</xdr:colOff>
      <xdr:row>2348</xdr:row>
      <xdr:rowOff>25400</xdr:rowOff>
    </xdr:from>
    <xdr:to>
      <xdr:col>9</xdr:col>
      <xdr:colOff>1189990</xdr:colOff>
      <xdr:row>2348</xdr:row>
      <xdr:rowOff>904240</xdr:rowOff>
    </xdr:to>
    <xdr:pic>
      <xdr:nvPicPr>
        <xdr:cNvPr id="7008" name="Изображение 7007" descr="resizeПП-00251832"/>
        <xdr:cNvPicPr>
          <a:picLocks noChangeAspect="1"/>
        </xdr:cNvPicPr>
      </xdr:nvPicPr>
      <xdr:blipFill>
        <a:blip xmlns:r="http://schemas.openxmlformats.org/officeDocument/2006/relationships" r:embed="rId1736"/>
        <a:stretch>
          <a:fillRect/>
        </a:stretch>
      </xdr:blipFill>
      <xdr:spPr>
        <a:xfrm>
          <a:off x="7235825" y="2287727200"/>
          <a:ext cx="1183640" cy="878840"/>
        </a:xfrm>
        <a:prstGeom prst="rect">
          <a:avLst/>
        </a:prstGeom>
      </xdr:spPr>
    </xdr:pic>
    <xdr:clientData/>
  </xdr:twoCellAnchor>
  <xdr:twoCellAnchor>
    <xdr:from>
      <xdr:col>9</xdr:col>
      <xdr:colOff>6350</xdr:colOff>
      <xdr:row>2349</xdr:row>
      <xdr:rowOff>25400</xdr:rowOff>
    </xdr:from>
    <xdr:to>
      <xdr:col>9</xdr:col>
      <xdr:colOff>885190</xdr:colOff>
      <xdr:row>2349</xdr:row>
      <xdr:rowOff>1209040</xdr:rowOff>
    </xdr:to>
    <xdr:pic>
      <xdr:nvPicPr>
        <xdr:cNvPr id="7009" name="Изображение 7008" descr="resizeПП-00270518"/>
        <xdr:cNvPicPr>
          <a:picLocks noChangeAspect="1"/>
        </xdr:cNvPicPr>
      </xdr:nvPicPr>
      <xdr:blipFill>
        <a:blip xmlns:r="http://schemas.openxmlformats.org/officeDocument/2006/relationships" r:embed="rId1737"/>
        <a:stretch>
          <a:fillRect/>
        </a:stretch>
      </xdr:blipFill>
      <xdr:spPr>
        <a:xfrm>
          <a:off x="7235825" y="2288949575"/>
          <a:ext cx="878840" cy="1183640"/>
        </a:xfrm>
        <a:prstGeom prst="rect">
          <a:avLst/>
        </a:prstGeom>
      </xdr:spPr>
    </xdr:pic>
    <xdr:clientData/>
  </xdr:twoCellAnchor>
  <xdr:twoCellAnchor>
    <xdr:from>
      <xdr:col>9</xdr:col>
      <xdr:colOff>6350</xdr:colOff>
      <xdr:row>2350</xdr:row>
      <xdr:rowOff>25400</xdr:rowOff>
    </xdr:from>
    <xdr:to>
      <xdr:col>9</xdr:col>
      <xdr:colOff>1189990</xdr:colOff>
      <xdr:row>2350</xdr:row>
      <xdr:rowOff>904240</xdr:rowOff>
    </xdr:to>
    <xdr:pic>
      <xdr:nvPicPr>
        <xdr:cNvPr id="7010" name="Изображение 7009" descr="resizeПП-00227413"/>
        <xdr:cNvPicPr>
          <a:picLocks noChangeAspect="1"/>
        </xdr:cNvPicPr>
      </xdr:nvPicPr>
      <xdr:blipFill>
        <a:blip xmlns:r="http://schemas.openxmlformats.org/officeDocument/2006/relationships" r:embed="rId1738"/>
        <a:stretch>
          <a:fillRect/>
        </a:stretch>
      </xdr:blipFill>
      <xdr:spPr>
        <a:xfrm>
          <a:off x="7235825" y="2290171950"/>
          <a:ext cx="1183640" cy="878840"/>
        </a:xfrm>
        <a:prstGeom prst="rect">
          <a:avLst/>
        </a:prstGeom>
      </xdr:spPr>
    </xdr:pic>
    <xdr:clientData/>
  </xdr:twoCellAnchor>
  <xdr:twoCellAnchor>
    <xdr:from>
      <xdr:col>9</xdr:col>
      <xdr:colOff>6350</xdr:colOff>
      <xdr:row>2351</xdr:row>
      <xdr:rowOff>25400</xdr:rowOff>
    </xdr:from>
    <xdr:to>
      <xdr:col>9</xdr:col>
      <xdr:colOff>885190</xdr:colOff>
      <xdr:row>2351</xdr:row>
      <xdr:rowOff>1209040</xdr:rowOff>
    </xdr:to>
    <xdr:pic>
      <xdr:nvPicPr>
        <xdr:cNvPr id="7011" name="Изображение 7010" descr="resizeПП-00270520"/>
        <xdr:cNvPicPr>
          <a:picLocks noChangeAspect="1"/>
        </xdr:cNvPicPr>
      </xdr:nvPicPr>
      <xdr:blipFill>
        <a:blip xmlns:r="http://schemas.openxmlformats.org/officeDocument/2006/relationships" r:embed="rId1739"/>
        <a:stretch>
          <a:fillRect/>
        </a:stretch>
      </xdr:blipFill>
      <xdr:spPr>
        <a:xfrm>
          <a:off x="7235825" y="2291394325"/>
          <a:ext cx="878840" cy="1183640"/>
        </a:xfrm>
        <a:prstGeom prst="rect">
          <a:avLst/>
        </a:prstGeom>
      </xdr:spPr>
    </xdr:pic>
    <xdr:clientData/>
  </xdr:twoCellAnchor>
  <xdr:twoCellAnchor>
    <xdr:from>
      <xdr:col>9</xdr:col>
      <xdr:colOff>6350</xdr:colOff>
      <xdr:row>2352</xdr:row>
      <xdr:rowOff>25400</xdr:rowOff>
    </xdr:from>
    <xdr:to>
      <xdr:col>9</xdr:col>
      <xdr:colOff>1189990</xdr:colOff>
      <xdr:row>2352</xdr:row>
      <xdr:rowOff>904240</xdr:rowOff>
    </xdr:to>
    <xdr:pic>
      <xdr:nvPicPr>
        <xdr:cNvPr id="7012" name="Изображение 7011" descr="resizeПП-00227414"/>
        <xdr:cNvPicPr>
          <a:picLocks noChangeAspect="1"/>
        </xdr:cNvPicPr>
      </xdr:nvPicPr>
      <xdr:blipFill>
        <a:blip xmlns:r="http://schemas.openxmlformats.org/officeDocument/2006/relationships" r:embed="rId1740"/>
        <a:stretch>
          <a:fillRect/>
        </a:stretch>
      </xdr:blipFill>
      <xdr:spPr>
        <a:xfrm>
          <a:off x="7235825" y="2292616700"/>
          <a:ext cx="1183640" cy="878840"/>
        </a:xfrm>
        <a:prstGeom prst="rect">
          <a:avLst/>
        </a:prstGeom>
      </xdr:spPr>
    </xdr:pic>
    <xdr:clientData/>
  </xdr:twoCellAnchor>
  <xdr:twoCellAnchor>
    <xdr:from>
      <xdr:col>9</xdr:col>
      <xdr:colOff>6350</xdr:colOff>
      <xdr:row>2353</xdr:row>
      <xdr:rowOff>25400</xdr:rowOff>
    </xdr:from>
    <xdr:to>
      <xdr:col>9</xdr:col>
      <xdr:colOff>885190</xdr:colOff>
      <xdr:row>2353</xdr:row>
      <xdr:rowOff>1209040</xdr:rowOff>
    </xdr:to>
    <xdr:pic>
      <xdr:nvPicPr>
        <xdr:cNvPr id="7013" name="Изображение 7012" descr="resizeПП-00270517"/>
        <xdr:cNvPicPr>
          <a:picLocks noChangeAspect="1"/>
        </xdr:cNvPicPr>
      </xdr:nvPicPr>
      <xdr:blipFill>
        <a:blip xmlns:r="http://schemas.openxmlformats.org/officeDocument/2006/relationships" r:embed="rId1741"/>
        <a:stretch>
          <a:fillRect/>
        </a:stretch>
      </xdr:blipFill>
      <xdr:spPr>
        <a:xfrm>
          <a:off x="7235825" y="2293839075"/>
          <a:ext cx="878840" cy="1183640"/>
        </a:xfrm>
        <a:prstGeom prst="rect">
          <a:avLst/>
        </a:prstGeom>
      </xdr:spPr>
    </xdr:pic>
    <xdr:clientData/>
  </xdr:twoCellAnchor>
  <xdr:twoCellAnchor>
    <xdr:from>
      <xdr:col>9</xdr:col>
      <xdr:colOff>6350</xdr:colOff>
      <xdr:row>2354</xdr:row>
      <xdr:rowOff>25400</xdr:rowOff>
    </xdr:from>
    <xdr:to>
      <xdr:col>9</xdr:col>
      <xdr:colOff>885190</xdr:colOff>
      <xdr:row>2354</xdr:row>
      <xdr:rowOff>1209040</xdr:rowOff>
    </xdr:to>
    <xdr:pic>
      <xdr:nvPicPr>
        <xdr:cNvPr id="7014" name="Изображение 7013" descr="resizeПП-00270519"/>
        <xdr:cNvPicPr>
          <a:picLocks noChangeAspect="1"/>
        </xdr:cNvPicPr>
      </xdr:nvPicPr>
      <xdr:blipFill>
        <a:blip xmlns:r="http://schemas.openxmlformats.org/officeDocument/2006/relationships" r:embed="rId1742"/>
        <a:stretch>
          <a:fillRect/>
        </a:stretch>
      </xdr:blipFill>
      <xdr:spPr>
        <a:xfrm>
          <a:off x="7235825" y="2295061450"/>
          <a:ext cx="878840" cy="1183640"/>
        </a:xfrm>
        <a:prstGeom prst="rect">
          <a:avLst/>
        </a:prstGeom>
      </xdr:spPr>
    </xdr:pic>
    <xdr:clientData/>
  </xdr:twoCellAnchor>
  <xdr:twoCellAnchor>
    <xdr:from>
      <xdr:col>9</xdr:col>
      <xdr:colOff>6350</xdr:colOff>
      <xdr:row>2355</xdr:row>
      <xdr:rowOff>25400</xdr:rowOff>
    </xdr:from>
    <xdr:to>
      <xdr:col>9</xdr:col>
      <xdr:colOff>1189990</xdr:colOff>
      <xdr:row>2355</xdr:row>
      <xdr:rowOff>904240</xdr:rowOff>
    </xdr:to>
    <xdr:pic>
      <xdr:nvPicPr>
        <xdr:cNvPr id="7015" name="Изображение 7014" descr="resizeПП-00227402"/>
        <xdr:cNvPicPr>
          <a:picLocks noChangeAspect="1"/>
        </xdr:cNvPicPr>
      </xdr:nvPicPr>
      <xdr:blipFill>
        <a:blip xmlns:r="http://schemas.openxmlformats.org/officeDocument/2006/relationships" r:embed="rId1743"/>
        <a:stretch>
          <a:fillRect/>
        </a:stretch>
      </xdr:blipFill>
      <xdr:spPr>
        <a:xfrm>
          <a:off x="7235825" y="2296283825"/>
          <a:ext cx="1183640" cy="878840"/>
        </a:xfrm>
        <a:prstGeom prst="rect">
          <a:avLst/>
        </a:prstGeom>
      </xdr:spPr>
    </xdr:pic>
    <xdr:clientData/>
  </xdr:twoCellAnchor>
  <xdr:twoCellAnchor>
    <xdr:from>
      <xdr:col>9</xdr:col>
      <xdr:colOff>6350</xdr:colOff>
      <xdr:row>2357</xdr:row>
      <xdr:rowOff>25400</xdr:rowOff>
    </xdr:from>
    <xdr:to>
      <xdr:col>9</xdr:col>
      <xdr:colOff>1189990</xdr:colOff>
      <xdr:row>2357</xdr:row>
      <xdr:rowOff>904240</xdr:rowOff>
    </xdr:to>
    <xdr:pic>
      <xdr:nvPicPr>
        <xdr:cNvPr id="7016" name="Изображение 7015" descr="resizeПП-00227464"/>
        <xdr:cNvPicPr>
          <a:picLocks noChangeAspect="1"/>
        </xdr:cNvPicPr>
      </xdr:nvPicPr>
      <xdr:blipFill>
        <a:blip xmlns:r="http://schemas.openxmlformats.org/officeDocument/2006/relationships" r:embed="rId1744"/>
        <a:stretch>
          <a:fillRect/>
        </a:stretch>
      </xdr:blipFill>
      <xdr:spPr>
        <a:xfrm>
          <a:off x="7235825" y="2297658600"/>
          <a:ext cx="1183640" cy="878840"/>
        </a:xfrm>
        <a:prstGeom prst="rect">
          <a:avLst/>
        </a:prstGeom>
      </xdr:spPr>
    </xdr:pic>
    <xdr:clientData/>
  </xdr:twoCellAnchor>
  <xdr:twoCellAnchor>
    <xdr:from>
      <xdr:col>9</xdr:col>
      <xdr:colOff>6350</xdr:colOff>
      <xdr:row>2358</xdr:row>
      <xdr:rowOff>25400</xdr:rowOff>
    </xdr:from>
    <xdr:to>
      <xdr:col>9</xdr:col>
      <xdr:colOff>885190</xdr:colOff>
      <xdr:row>2358</xdr:row>
      <xdr:rowOff>1209040</xdr:rowOff>
    </xdr:to>
    <xdr:pic>
      <xdr:nvPicPr>
        <xdr:cNvPr id="7017" name="Изображение 7016" descr="resizeПП-00270528"/>
        <xdr:cNvPicPr>
          <a:picLocks noChangeAspect="1"/>
        </xdr:cNvPicPr>
      </xdr:nvPicPr>
      <xdr:blipFill>
        <a:blip xmlns:r="http://schemas.openxmlformats.org/officeDocument/2006/relationships" r:embed="rId1745"/>
        <a:stretch>
          <a:fillRect/>
        </a:stretch>
      </xdr:blipFill>
      <xdr:spPr>
        <a:xfrm>
          <a:off x="7235825" y="2298880975"/>
          <a:ext cx="878840" cy="1183640"/>
        </a:xfrm>
        <a:prstGeom prst="rect">
          <a:avLst/>
        </a:prstGeom>
      </xdr:spPr>
    </xdr:pic>
    <xdr:clientData/>
  </xdr:twoCellAnchor>
  <xdr:twoCellAnchor>
    <xdr:from>
      <xdr:col>9</xdr:col>
      <xdr:colOff>6350</xdr:colOff>
      <xdr:row>2359</xdr:row>
      <xdr:rowOff>25400</xdr:rowOff>
    </xdr:from>
    <xdr:to>
      <xdr:col>9</xdr:col>
      <xdr:colOff>885190</xdr:colOff>
      <xdr:row>2359</xdr:row>
      <xdr:rowOff>1209040</xdr:rowOff>
    </xdr:to>
    <xdr:pic>
      <xdr:nvPicPr>
        <xdr:cNvPr id="7018" name="Изображение 7017" descr="resizeПП-00270531"/>
        <xdr:cNvPicPr>
          <a:picLocks noChangeAspect="1"/>
        </xdr:cNvPicPr>
      </xdr:nvPicPr>
      <xdr:blipFill>
        <a:blip xmlns:r="http://schemas.openxmlformats.org/officeDocument/2006/relationships" r:embed="rId1746"/>
        <a:stretch>
          <a:fillRect/>
        </a:stretch>
      </xdr:blipFill>
      <xdr:spPr>
        <a:xfrm>
          <a:off x="7235825" y="2300103350"/>
          <a:ext cx="878840" cy="1183640"/>
        </a:xfrm>
        <a:prstGeom prst="rect">
          <a:avLst/>
        </a:prstGeom>
      </xdr:spPr>
    </xdr:pic>
    <xdr:clientData/>
  </xdr:twoCellAnchor>
  <xdr:twoCellAnchor>
    <xdr:from>
      <xdr:col>9</xdr:col>
      <xdr:colOff>6350</xdr:colOff>
      <xdr:row>2360</xdr:row>
      <xdr:rowOff>25400</xdr:rowOff>
    </xdr:from>
    <xdr:to>
      <xdr:col>9</xdr:col>
      <xdr:colOff>885190</xdr:colOff>
      <xdr:row>2360</xdr:row>
      <xdr:rowOff>1209040</xdr:rowOff>
    </xdr:to>
    <xdr:pic>
      <xdr:nvPicPr>
        <xdr:cNvPr id="7019" name="Изображение 7018" descr="resizeПП-00227462"/>
        <xdr:cNvPicPr>
          <a:picLocks noChangeAspect="1"/>
        </xdr:cNvPicPr>
      </xdr:nvPicPr>
      <xdr:blipFill>
        <a:blip xmlns:r="http://schemas.openxmlformats.org/officeDocument/2006/relationships" r:embed="rId1747"/>
        <a:stretch>
          <a:fillRect/>
        </a:stretch>
      </xdr:blipFill>
      <xdr:spPr>
        <a:xfrm>
          <a:off x="7235825" y="2301325725"/>
          <a:ext cx="878840" cy="1183640"/>
        </a:xfrm>
        <a:prstGeom prst="rect">
          <a:avLst/>
        </a:prstGeom>
      </xdr:spPr>
    </xdr:pic>
    <xdr:clientData/>
  </xdr:twoCellAnchor>
  <xdr:twoCellAnchor>
    <xdr:from>
      <xdr:col>9</xdr:col>
      <xdr:colOff>6350</xdr:colOff>
      <xdr:row>2361</xdr:row>
      <xdr:rowOff>25400</xdr:rowOff>
    </xdr:from>
    <xdr:to>
      <xdr:col>9</xdr:col>
      <xdr:colOff>1189990</xdr:colOff>
      <xdr:row>2361</xdr:row>
      <xdr:rowOff>904240</xdr:rowOff>
    </xdr:to>
    <xdr:pic>
      <xdr:nvPicPr>
        <xdr:cNvPr id="7020" name="Изображение 7019" descr="resizeПП-00251847"/>
        <xdr:cNvPicPr>
          <a:picLocks noChangeAspect="1"/>
        </xdr:cNvPicPr>
      </xdr:nvPicPr>
      <xdr:blipFill>
        <a:blip xmlns:r="http://schemas.openxmlformats.org/officeDocument/2006/relationships" r:embed="rId1748"/>
        <a:stretch>
          <a:fillRect/>
        </a:stretch>
      </xdr:blipFill>
      <xdr:spPr>
        <a:xfrm>
          <a:off x="7235825" y="2302548100"/>
          <a:ext cx="1183640" cy="878840"/>
        </a:xfrm>
        <a:prstGeom prst="rect">
          <a:avLst/>
        </a:prstGeom>
      </xdr:spPr>
    </xdr:pic>
    <xdr:clientData/>
  </xdr:twoCellAnchor>
  <xdr:twoCellAnchor>
    <xdr:from>
      <xdr:col>9</xdr:col>
      <xdr:colOff>6350</xdr:colOff>
      <xdr:row>2362</xdr:row>
      <xdr:rowOff>25400</xdr:rowOff>
    </xdr:from>
    <xdr:to>
      <xdr:col>9</xdr:col>
      <xdr:colOff>1189990</xdr:colOff>
      <xdr:row>2362</xdr:row>
      <xdr:rowOff>904240</xdr:rowOff>
    </xdr:to>
    <xdr:pic>
      <xdr:nvPicPr>
        <xdr:cNvPr id="7021" name="Изображение 7020" descr="resizeПП-00251848"/>
        <xdr:cNvPicPr>
          <a:picLocks noChangeAspect="1"/>
        </xdr:cNvPicPr>
      </xdr:nvPicPr>
      <xdr:blipFill>
        <a:blip xmlns:r="http://schemas.openxmlformats.org/officeDocument/2006/relationships" r:embed="rId1749"/>
        <a:stretch>
          <a:fillRect/>
        </a:stretch>
      </xdr:blipFill>
      <xdr:spPr>
        <a:xfrm>
          <a:off x="7235825" y="2303770475"/>
          <a:ext cx="1183640" cy="878840"/>
        </a:xfrm>
        <a:prstGeom prst="rect">
          <a:avLst/>
        </a:prstGeom>
      </xdr:spPr>
    </xdr:pic>
    <xdr:clientData/>
  </xdr:twoCellAnchor>
  <xdr:twoCellAnchor>
    <xdr:from>
      <xdr:col>9</xdr:col>
      <xdr:colOff>6350</xdr:colOff>
      <xdr:row>2363</xdr:row>
      <xdr:rowOff>25400</xdr:rowOff>
    </xdr:from>
    <xdr:to>
      <xdr:col>9</xdr:col>
      <xdr:colOff>1189990</xdr:colOff>
      <xdr:row>2363</xdr:row>
      <xdr:rowOff>904240</xdr:rowOff>
    </xdr:to>
    <xdr:pic>
      <xdr:nvPicPr>
        <xdr:cNvPr id="7022" name="Изображение 7021" descr="resizeПП-00227460"/>
        <xdr:cNvPicPr>
          <a:picLocks noChangeAspect="1"/>
        </xdr:cNvPicPr>
      </xdr:nvPicPr>
      <xdr:blipFill>
        <a:blip xmlns:r="http://schemas.openxmlformats.org/officeDocument/2006/relationships" r:embed="rId1750"/>
        <a:stretch>
          <a:fillRect/>
        </a:stretch>
      </xdr:blipFill>
      <xdr:spPr>
        <a:xfrm>
          <a:off x="7235825" y="2304992850"/>
          <a:ext cx="1183640" cy="878840"/>
        </a:xfrm>
        <a:prstGeom prst="rect">
          <a:avLst/>
        </a:prstGeom>
      </xdr:spPr>
    </xdr:pic>
    <xdr:clientData/>
  </xdr:twoCellAnchor>
  <xdr:twoCellAnchor>
    <xdr:from>
      <xdr:col>9</xdr:col>
      <xdr:colOff>6350</xdr:colOff>
      <xdr:row>2364</xdr:row>
      <xdr:rowOff>25400</xdr:rowOff>
    </xdr:from>
    <xdr:to>
      <xdr:col>9</xdr:col>
      <xdr:colOff>1189990</xdr:colOff>
      <xdr:row>2364</xdr:row>
      <xdr:rowOff>904240</xdr:rowOff>
    </xdr:to>
    <xdr:pic>
      <xdr:nvPicPr>
        <xdr:cNvPr id="7023" name="Изображение 7022" descr="resizeПП-00251846"/>
        <xdr:cNvPicPr>
          <a:picLocks noChangeAspect="1"/>
        </xdr:cNvPicPr>
      </xdr:nvPicPr>
      <xdr:blipFill>
        <a:blip xmlns:r="http://schemas.openxmlformats.org/officeDocument/2006/relationships" r:embed="rId1751"/>
        <a:stretch>
          <a:fillRect/>
        </a:stretch>
      </xdr:blipFill>
      <xdr:spPr>
        <a:xfrm>
          <a:off x="7235825" y="2306215225"/>
          <a:ext cx="1183640" cy="878840"/>
        </a:xfrm>
        <a:prstGeom prst="rect">
          <a:avLst/>
        </a:prstGeom>
      </xdr:spPr>
    </xdr:pic>
    <xdr:clientData/>
  </xdr:twoCellAnchor>
  <xdr:twoCellAnchor>
    <xdr:from>
      <xdr:col>9</xdr:col>
      <xdr:colOff>6350</xdr:colOff>
      <xdr:row>2365</xdr:row>
      <xdr:rowOff>25400</xdr:rowOff>
    </xdr:from>
    <xdr:to>
      <xdr:col>9</xdr:col>
      <xdr:colOff>885190</xdr:colOff>
      <xdr:row>2365</xdr:row>
      <xdr:rowOff>1209040</xdr:rowOff>
    </xdr:to>
    <xdr:pic>
      <xdr:nvPicPr>
        <xdr:cNvPr id="7024" name="Изображение 7023" descr="resizeПП-00204067"/>
        <xdr:cNvPicPr>
          <a:picLocks noChangeAspect="1"/>
        </xdr:cNvPicPr>
      </xdr:nvPicPr>
      <xdr:blipFill>
        <a:blip xmlns:r="http://schemas.openxmlformats.org/officeDocument/2006/relationships" r:embed="rId1752"/>
        <a:stretch>
          <a:fillRect/>
        </a:stretch>
      </xdr:blipFill>
      <xdr:spPr>
        <a:xfrm>
          <a:off x="7235825" y="2307437600"/>
          <a:ext cx="878840" cy="1183640"/>
        </a:xfrm>
        <a:prstGeom prst="rect">
          <a:avLst/>
        </a:prstGeom>
      </xdr:spPr>
    </xdr:pic>
    <xdr:clientData/>
  </xdr:twoCellAnchor>
  <xdr:twoCellAnchor>
    <xdr:from>
      <xdr:col>9</xdr:col>
      <xdr:colOff>6350</xdr:colOff>
      <xdr:row>2366</xdr:row>
      <xdr:rowOff>25400</xdr:rowOff>
    </xdr:from>
    <xdr:to>
      <xdr:col>9</xdr:col>
      <xdr:colOff>885190</xdr:colOff>
      <xdr:row>2366</xdr:row>
      <xdr:rowOff>1209040</xdr:rowOff>
    </xdr:to>
    <xdr:pic>
      <xdr:nvPicPr>
        <xdr:cNvPr id="7025" name="Изображение 7024" descr="resizeПП-00204064"/>
        <xdr:cNvPicPr>
          <a:picLocks noChangeAspect="1"/>
        </xdr:cNvPicPr>
      </xdr:nvPicPr>
      <xdr:blipFill>
        <a:blip xmlns:r="http://schemas.openxmlformats.org/officeDocument/2006/relationships" r:embed="rId1753"/>
        <a:stretch>
          <a:fillRect/>
        </a:stretch>
      </xdr:blipFill>
      <xdr:spPr>
        <a:xfrm>
          <a:off x="7235825" y="2308659975"/>
          <a:ext cx="878840" cy="1183640"/>
        </a:xfrm>
        <a:prstGeom prst="rect">
          <a:avLst/>
        </a:prstGeom>
      </xdr:spPr>
    </xdr:pic>
    <xdr:clientData/>
  </xdr:twoCellAnchor>
  <xdr:twoCellAnchor>
    <xdr:from>
      <xdr:col>9</xdr:col>
      <xdr:colOff>6350</xdr:colOff>
      <xdr:row>2367</xdr:row>
      <xdr:rowOff>25400</xdr:rowOff>
    </xdr:from>
    <xdr:to>
      <xdr:col>9</xdr:col>
      <xdr:colOff>1189990</xdr:colOff>
      <xdr:row>2367</xdr:row>
      <xdr:rowOff>904240</xdr:rowOff>
    </xdr:to>
    <xdr:pic>
      <xdr:nvPicPr>
        <xdr:cNvPr id="7026" name="Изображение 7025" descr="resizeПП-00227461"/>
        <xdr:cNvPicPr>
          <a:picLocks noChangeAspect="1"/>
        </xdr:cNvPicPr>
      </xdr:nvPicPr>
      <xdr:blipFill>
        <a:blip xmlns:r="http://schemas.openxmlformats.org/officeDocument/2006/relationships" r:embed="rId1754"/>
        <a:stretch>
          <a:fillRect/>
        </a:stretch>
      </xdr:blipFill>
      <xdr:spPr>
        <a:xfrm>
          <a:off x="7235825" y="2309882350"/>
          <a:ext cx="1183640" cy="878840"/>
        </a:xfrm>
        <a:prstGeom prst="rect">
          <a:avLst/>
        </a:prstGeom>
      </xdr:spPr>
    </xdr:pic>
    <xdr:clientData/>
  </xdr:twoCellAnchor>
  <xdr:twoCellAnchor>
    <xdr:from>
      <xdr:col>9</xdr:col>
      <xdr:colOff>6350</xdr:colOff>
      <xdr:row>2368</xdr:row>
      <xdr:rowOff>25400</xdr:rowOff>
    </xdr:from>
    <xdr:to>
      <xdr:col>9</xdr:col>
      <xdr:colOff>885190</xdr:colOff>
      <xdr:row>2368</xdr:row>
      <xdr:rowOff>1209040</xdr:rowOff>
    </xdr:to>
    <xdr:pic>
      <xdr:nvPicPr>
        <xdr:cNvPr id="7027" name="Изображение 7026" descr="resizeПП-00270530"/>
        <xdr:cNvPicPr>
          <a:picLocks noChangeAspect="1"/>
        </xdr:cNvPicPr>
      </xdr:nvPicPr>
      <xdr:blipFill>
        <a:blip xmlns:r="http://schemas.openxmlformats.org/officeDocument/2006/relationships" r:embed="rId1755"/>
        <a:stretch>
          <a:fillRect/>
        </a:stretch>
      </xdr:blipFill>
      <xdr:spPr>
        <a:xfrm>
          <a:off x="7235825" y="2311104725"/>
          <a:ext cx="878840" cy="1183640"/>
        </a:xfrm>
        <a:prstGeom prst="rect">
          <a:avLst/>
        </a:prstGeom>
      </xdr:spPr>
    </xdr:pic>
    <xdr:clientData/>
  </xdr:twoCellAnchor>
  <xdr:twoCellAnchor>
    <xdr:from>
      <xdr:col>9</xdr:col>
      <xdr:colOff>6350</xdr:colOff>
      <xdr:row>2369</xdr:row>
      <xdr:rowOff>25400</xdr:rowOff>
    </xdr:from>
    <xdr:to>
      <xdr:col>9</xdr:col>
      <xdr:colOff>1189990</xdr:colOff>
      <xdr:row>2369</xdr:row>
      <xdr:rowOff>904240</xdr:rowOff>
    </xdr:to>
    <xdr:pic>
      <xdr:nvPicPr>
        <xdr:cNvPr id="7028" name="Изображение 7027" descr="resizeПП-00227463"/>
        <xdr:cNvPicPr>
          <a:picLocks noChangeAspect="1"/>
        </xdr:cNvPicPr>
      </xdr:nvPicPr>
      <xdr:blipFill>
        <a:blip xmlns:r="http://schemas.openxmlformats.org/officeDocument/2006/relationships" r:embed="rId1756"/>
        <a:stretch>
          <a:fillRect/>
        </a:stretch>
      </xdr:blipFill>
      <xdr:spPr>
        <a:xfrm>
          <a:off x="7235825" y="2312327100"/>
          <a:ext cx="1183640" cy="878840"/>
        </a:xfrm>
        <a:prstGeom prst="rect">
          <a:avLst/>
        </a:prstGeom>
      </xdr:spPr>
    </xdr:pic>
    <xdr:clientData/>
  </xdr:twoCellAnchor>
  <xdr:twoCellAnchor>
    <xdr:from>
      <xdr:col>9</xdr:col>
      <xdr:colOff>6350</xdr:colOff>
      <xdr:row>2372</xdr:row>
      <xdr:rowOff>25400</xdr:rowOff>
    </xdr:from>
    <xdr:to>
      <xdr:col>9</xdr:col>
      <xdr:colOff>885190</xdr:colOff>
      <xdr:row>2372</xdr:row>
      <xdr:rowOff>1209040</xdr:rowOff>
    </xdr:to>
    <xdr:pic>
      <xdr:nvPicPr>
        <xdr:cNvPr id="7029" name="Изображение 7028" descr="resizeПП-00270553"/>
        <xdr:cNvPicPr>
          <a:picLocks noChangeAspect="1"/>
        </xdr:cNvPicPr>
      </xdr:nvPicPr>
      <xdr:blipFill>
        <a:blip xmlns:r="http://schemas.openxmlformats.org/officeDocument/2006/relationships" r:embed="rId1757"/>
        <a:stretch>
          <a:fillRect/>
        </a:stretch>
      </xdr:blipFill>
      <xdr:spPr>
        <a:xfrm>
          <a:off x="7235825" y="2313854275"/>
          <a:ext cx="878840" cy="1183640"/>
        </a:xfrm>
        <a:prstGeom prst="rect">
          <a:avLst/>
        </a:prstGeom>
      </xdr:spPr>
    </xdr:pic>
    <xdr:clientData/>
  </xdr:twoCellAnchor>
  <xdr:twoCellAnchor>
    <xdr:from>
      <xdr:col>9</xdr:col>
      <xdr:colOff>6350</xdr:colOff>
      <xdr:row>2373</xdr:row>
      <xdr:rowOff>25400</xdr:rowOff>
    </xdr:from>
    <xdr:to>
      <xdr:col>9</xdr:col>
      <xdr:colOff>885190</xdr:colOff>
      <xdr:row>2373</xdr:row>
      <xdr:rowOff>1209040</xdr:rowOff>
    </xdr:to>
    <xdr:pic>
      <xdr:nvPicPr>
        <xdr:cNvPr id="7030" name="Изображение 7029" descr="resizeПП-00227454"/>
        <xdr:cNvPicPr>
          <a:picLocks noChangeAspect="1"/>
        </xdr:cNvPicPr>
      </xdr:nvPicPr>
      <xdr:blipFill>
        <a:blip xmlns:r="http://schemas.openxmlformats.org/officeDocument/2006/relationships" r:embed="rId1758"/>
        <a:stretch>
          <a:fillRect/>
        </a:stretch>
      </xdr:blipFill>
      <xdr:spPr>
        <a:xfrm>
          <a:off x="7235825" y="2315076650"/>
          <a:ext cx="878840" cy="1183640"/>
        </a:xfrm>
        <a:prstGeom prst="rect">
          <a:avLst/>
        </a:prstGeom>
      </xdr:spPr>
    </xdr:pic>
    <xdr:clientData/>
  </xdr:twoCellAnchor>
  <xdr:twoCellAnchor>
    <xdr:from>
      <xdr:col>9</xdr:col>
      <xdr:colOff>6350</xdr:colOff>
      <xdr:row>2374</xdr:row>
      <xdr:rowOff>25400</xdr:rowOff>
    </xdr:from>
    <xdr:to>
      <xdr:col>9</xdr:col>
      <xdr:colOff>885190</xdr:colOff>
      <xdr:row>2374</xdr:row>
      <xdr:rowOff>1209040</xdr:rowOff>
    </xdr:to>
    <xdr:pic>
      <xdr:nvPicPr>
        <xdr:cNvPr id="7031" name="Изображение 7030" descr="resizeПП-00270552"/>
        <xdr:cNvPicPr>
          <a:picLocks noChangeAspect="1"/>
        </xdr:cNvPicPr>
      </xdr:nvPicPr>
      <xdr:blipFill>
        <a:blip xmlns:r="http://schemas.openxmlformats.org/officeDocument/2006/relationships" r:embed="rId1759"/>
        <a:stretch>
          <a:fillRect/>
        </a:stretch>
      </xdr:blipFill>
      <xdr:spPr>
        <a:xfrm>
          <a:off x="7235825" y="2316299025"/>
          <a:ext cx="878840" cy="1183640"/>
        </a:xfrm>
        <a:prstGeom prst="rect">
          <a:avLst/>
        </a:prstGeom>
      </xdr:spPr>
    </xdr:pic>
    <xdr:clientData/>
  </xdr:twoCellAnchor>
  <xdr:twoCellAnchor>
    <xdr:from>
      <xdr:col>9</xdr:col>
      <xdr:colOff>6350</xdr:colOff>
      <xdr:row>2376</xdr:row>
      <xdr:rowOff>25400</xdr:rowOff>
    </xdr:from>
    <xdr:to>
      <xdr:col>9</xdr:col>
      <xdr:colOff>885190</xdr:colOff>
      <xdr:row>2376</xdr:row>
      <xdr:rowOff>1209040</xdr:rowOff>
    </xdr:to>
    <xdr:pic>
      <xdr:nvPicPr>
        <xdr:cNvPr id="7032" name="Изображение 7031" descr="resizeПП-00270550"/>
        <xdr:cNvPicPr>
          <a:picLocks noChangeAspect="1"/>
        </xdr:cNvPicPr>
      </xdr:nvPicPr>
      <xdr:blipFill>
        <a:blip xmlns:r="http://schemas.openxmlformats.org/officeDocument/2006/relationships" r:embed="rId1760"/>
        <a:stretch>
          <a:fillRect/>
        </a:stretch>
      </xdr:blipFill>
      <xdr:spPr>
        <a:xfrm>
          <a:off x="7235825" y="2317673800"/>
          <a:ext cx="878840" cy="1183640"/>
        </a:xfrm>
        <a:prstGeom prst="rect">
          <a:avLst/>
        </a:prstGeom>
      </xdr:spPr>
    </xdr:pic>
    <xdr:clientData/>
  </xdr:twoCellAnchor>
  <xdr:twoCellAnchor>
    <xdr:from>
      <xdr:col>9</xdr:col>
      <xdr:colOff>6350</xdr:colOff>
      <xdr:row>2377</xdr:row>
      <xdr:rowOff>25400</xdr:rowOff>
    </xdr:from>
    <xdr:to>
      <xdr:col>9</xdr:col>
      <xdr:colOff>885190</xdr:colOff>
      <xdr:row>2377</xdr:row>
      <xdr:rowOff>1209040</xdr:rowOff>
    </xdr:to>
    <xdr:pic>
      <xdr:nvPicPr>
        <xdr:cNvPr id="7033" name="Изображение 7032" descr="resizeПП-00270551"/>
        <xdr:cNvPicPr>
          <a:picLocks noChangeAspect="1"/>
        </xdr:cNvPicPr>
      </xdr:nvPicPr>
      <xdr:blipFill>
        <a:blip xmlns:r="http://schemas.openxmlformats.org/officeDocument/2006/relationships" r:embed="rId1761"/>
        <a:stretch>
          <a:fillRect/>
        </a:stretch>
      </xdr:blipFill>
      <xdr:spPr>
        <a:xfrm>
          <a:off x="7235825" y="2318896175"/>
          <a:ext cx="878840" cy="1183640"/>
        </a:xfrm>
        <a:prstGeom prst="rect">
          <a:avLst/>
        </a:prstGeom>
      </xdr:spPr>
    </xdr:pic>
    <xdr:clientData/>
  </xdr:twoCellAnchor>
  <xdr:twoCellAnchor>
    <xdr:from>
      <xdr:col>9</xdr:col>
      <xdr:colOff>6350</xdr:colOff>
      <xdr:row>2380</xdr:row>
      <xdr:rowOff>25400</xdr:rowOff>
    </xdr:from>
    <xdr:to>
      <xdr:col>9</xdr:col>
      <xdr:colOff>885190</xdr:colOff>
      <xdr:row>2380</xdr:row>
      <xdr:rowOff>1209040</xdr:rowOff>
    </xdr:to>
    <xdr:pic>
      <xdr:nvPicPr>
        <xdr:cNvPr id="7034" name="Изображение 7033" descr="resizeПП-00164870"/>
        <xdr:cNvPicPr>
          <a:picLocks noChangeAspect="1"/>
        </xdr:cNvPicPr>
      </xdr:nvPicPr>
      <xdr:blipFill>
        <a:blip xmlns:r="http://schemas.openxmlformats.org/officeDocument/2006/relationships" r:embed="rId1762"/>
        <a:stretch>
          <a:fillRect/>
        </a:stretch>
      </xdr:blipFill>
      <xdr:spPr>
        <a:xfrm>
          <a:off x="7235825" y="2320423350"/>
          <a:ext cx="878840" cy="1183640"/>
        </a:xfrm>
        <a:prstGeom prst="rect">
          <a:avLst/>
        </a:prstGeom>
      </xdr:spPr>
    </xdr:pic>
    <xdr:clientData/>
  </xdr:twoCellAnchor>
  <xdr:twoCellAnchor>
    <xdr:from>
      <xdr:col>9</xdr:col>
      <xdr:colOff>6350</xdr:colOff>
      <xdr:row>2384</xdr:row>
      <xdr:rowOff>25400</xdr:rowOff>
    </xdr:from>
    <xdr:to>
      <xdr:col>9</xdr:col>
      <xdr:colOff>885190</xdr:colOff>
      <xdr:row>2384</xdr:row>
      <xdr:rowOff>1209040</xdr:rowOff>
    </xdr:to>
    <xdr:pic>
      <xdr:nvPicPr>
        <xdr:cNvPr id="7035" name="Изображение 7034" descr="resizeПП-00251868"/>
        <xdr:cNvPicPr>
          <a:picLocks noChangeAspect="1"/>
        </xdr:cNvPicPr>
      </xdr:nvPicPr>
      <xdr:blipFill>
        <a:blip xmlns:r="http://schemas.openxmlformats.org/officeDocument/2006/relationships" r:embed="rId1763"/>
        <a:stretch>
          <a:fillRect/>
        </a:stretch>
      </xdr:blipFill>
      <xdr:spPr>
        <a:xfrm>
          <a:off x="7235825" y="2322102925"/>
          <a:ext cx="878840" cy="1183640"/>
        </a:xfrm>
        <a:prstGeom prst="rect">
          <a:avLst/>
        </a:prstGeom>
      </xdr:spPr>
    </xdr:pic>
    <xdr:clientData/>
  </xdr:twoCellAnchor>
  <xdr:twoCellAnchor>
    <xdr:from>
      <xdr:col>9</xdr:col>
      <xdr:colOff>6350</xdr:colOff>
      <xdr:row>2385</xdr:row>
      <xdr:rowOff>25400</xdr:rowOff>
    </xdr:from>
    <xdr:to>
      <xdr:col>9</xdr:col>
      <xdr:colOff>885190</xdr:colOff>
      <xdr:row>2385</xdr:row>
      <xdr:rowOff>1209040</xdr:rowOff>
    </xdr:to>
    <xdr:pic>
      <xdr:nvPicPr>
        <xdr:cNvPr id="7036" name="Изображение 7035" descr="resizeПП-00251869"/>
        <xdr:cNvPicPr>
          <a:picLocks noChangeAspect="1"/>
        </xdr:cNvPicPr>
      </xdr:nvPicPr>
      <xdr:blipFill>
        <a:blip xmlns:r="http://schemas.openxmlformats.org/officeDocument/2006/relationships" r:embed="rId1764"/>
        <a:stretch>
          <a:fillRect/>
        </a:stretch>
      </xdr:blipFill>
      <xdr:spPr>
        <a:xfrm>
          <a:off x="7235825" y="2323325300"/>
          <a:ext cx="878840" cy="1183640"/>
        </a:xfrm>
        <a:prstGeom prst="rect">
          <a:avLst/>
        </a:prstGeom>
      </xdr:spPr>
    </xdr:pic>
    <xdr:clientData/>
  </xdr:twoCellAnchor>
  <xdr:twoCellAnchor>
    <xdr:from>
      <xdr:col>9</xdr:col>
      <xdr:colOff>6350</xdr:colOff>
      <xdr:row>2386</xdr:row>
      <xdr:rowOff>25400</xdr:rowOff>
    </xdr:from>
    <xdr:to>
      <xdr:col>9</xdr:col>
      <xdr:colOff>885190</xdr:colOff>
      <xdr:row>2386</xdr:row>
      <xdr:rowOff>1209040</xdr:rowOff>
    </xdr:to>
    <xdr:pic>
      <xdr:nvPicPr>
        <xdr:cNvPr id="7037" name="Изображение 7036" descr="resizeПП-00251871"/>
        <xdr:cNvPicPr>
          <a:picLocks noChangeAspect="1"/>
        </xdr:cNvPicPr>
      </xdr:nvPicPr>
      <xdr:blipFill>
        <a:blip xmlns:r="http://schemas.openxmlformats.org/officeDocument/2006/relationships" r:embed="rId1765"/>
        <a:stretch>
          <a:fillRect/>
        </a:stretch>
      </xdr:blipFill>
      <xdr:spPr>
        <a:xfrm>
          <a:off x="7235825" y="2324547675"/>
          <a:ext cx="878840" cy="1183640"/>
        </a:xfrm>
        <a:prstGeom prst="rect">
          <a:avLst/>
        </a:prstGeom>
      </xdr:spPr>
    </xdr:pic>
    <xdr:clientData/>
  </xdr:twoCellAnchor>
  <xdr:twoCellAnchor>
    <xdr:from>
      <xdr:col>9</xdr:col>
      <xdr:colOff>6350</xdr:colOff>
      <xdr:row>2387</xdr:row>
      <xdr:rowOff>25400</xdr:rowOff>
    </xdr:from>
    <xdr:to>
      <xdr:col>9</xdr:col>
      <xdr:colOff>885190</xdr:colOff>
      <xdr:row>2387</xdr:row>
      <xdr:rowOff>1209040</xdr:rowOff>
    </xdr:to>
    <xdr:pic>
      <xdr:nvPicPr>
        <xdr:cNvPr id="7038" name="Изображение 7037" descr="resizeПП-00251872"/>
        <xdr:cNvPicPr>
          <a:picLocks noChangeAspect="1"/>
        </xdr:cNvPicPr>
      </xdr:nvPicPr>
      <xdr:blipFill>
        <a:blip xmlns:r="http://schemas.openxmlformats.org/officeDocument/2006/relationships" r:embed="rId1766"/>
        <a:stretch>
          <a:fillRect/>
        </a:stretch>
      </xdr:blipFill>
      <xdr:spPr>
        <a:xfrm>
          <a:off x="7235825" y="2325770050"/>
          <a:ext cx="878840" cy="1183640"/>
        </a:xfrm>
        <a:prstGeom prst="rect">
          <a:avLst/>
        </a:prstGeom>
      </xdr:spPr>
    </xdr:pic>
    <xdr:clientData/>
  </xdr:twoCellAnchor>
  <xdr:twoCellAnchor>
    <xdr:from>
      <xdr:col>9</xdr:col>
      <xdr:colOff>6350</xdr:colOff>
      <xdr:row>2388</xdr:row>
      <xdr:rowOff>25400</xdr:rowOff>
    </xdr:from>
    <xdr:to>
      <xdr:col>9</xdr:col>
      <xdr:colOff>885190</xdr:colOff>
      <xdr:row>2388</xdr:row>
      <xdr:rowOff>1209040</xdr:rowOff>
    </xdr:to>
    <xdr:pic>
      <xdr:nvPicPr>
        <xdr:cNvPr id="7039" name="Изображение 7038" descr="resizeПП-00251870"/>
        <xdr:cNvPicPr>
          <a:picLocks noChangeAspect="1"/>
        </xdr:cNvPicPr>
      </xdr:nvPicPr>
      <xdr:blipFill>
        <a:blip xmlns:r="http://schemas.openxmlformats.org/officeDocument/2006/relationships" r:embed="rId1767"/>
        <a:stretch>
          <a:fillRect/>
        </a:stretch>
      </xdr:blipFill>
      <xdr:spPr>
        <a:xfrm>
          <a:off x="7235825" y="2326992425"/>
          <a:ext cx="878840" cy="1183640"/>
        </a:xfrm>
        <a:prstGeom prst="rect">
          <a:avLst/>
        </a:prstGeom>
      </xdr:spPr>
    </xdr:pic>
    <xdr:clientData/>
  </xdr:twoCellAnchor>
  <xdr:twoCellAnchor>
    <xdr:from>
      <xdr:col>9</xdr:col>
      <xdr:colOff>6350</xdr:colOff>
      <xdr:row>2389</xdr:row>
      <xdr:rowOff>25400</xdr:rowOff>
    </xdr:from>
    <xdr:to>
      <xdr:col>9</xdr:col>
      <xdr:colOff>885190</xdr:colOff>
      <xdr:row>2389</xdr:row>
      <xdr:rowOff>1209040</xdr:rowOff>
    </xdr:to>
    <xdr:pic>
      <xdr:nvPicPr>
        <xdr:cNvPr id="7040" name="Изображение 7039" descr="resizeПП-00251873"/>
        <xdr:cNvPicPr>
          <a:picLocks noChangeAspect="1"/>
        </xdr:cNvPicPr>
      </xdr:nvPicPr>
      <xdr:blipFill>
        <a:blip xmlns:r="http://schemas.openxmlformats.org/officeDocument/2006/relationships" r:embed="rId1768"/>
        <a:stretch>
          <a:fillRect/>
        </a:stretch>
      </xdr:blipFill>
      <xdr:spPr>
        <a:xfrm>
          <a:off x="7235825" y="2328214800"/>
          <a:ext cx="878840" cy="1183640"/>
        </a:xfrm>
        <a:prstGeom prst="rect">
          <a:avLst/>
        </a:prstGeom>
      </xdr:spPr>
    </xdr:pic>
    <xdr:clientData/>
  </xdr:twoCellAnchor>
  <xdr:twoCellAnchor>
    <xdr:from>
      <xdr:col>9</xdr:col>
      <xdr:colOff>6350</xdr:colOff>
      <xdr:row>2390</xdr:row>
      <xdr:rowOff>25400</xdr:rowOff>
    </xdr:from>
    <xdr:to>
      <xdr:col>9</xdr:col>
      <xdr:colOff>885190</xdr:colOff>
      <xdr:row>2390</xdr:row>
      <xdr:rowOff>1209040</xdr:rowOff>
    </xdr:to>
    <xdr:pic>
      <xdr:nvPicPr>
        <xdr:cNvPr id="7041" name="Изображение 7040" descr="resizeПП-00251874"/>
        <xdr:cNvPicPr>
          <a:picLocks noChangeAspect="1"/>
        </xdr:cNvPicPr>
      </xdr:nvPicPr>
      <xdr:blipFill>
        <a:blip xmlns:r="http://schemas.openxmlformats.org/officeDocument/2006/relationships" r:embed="rId1769"/>
        <a:stretch>
          <a:fillRect/>
        </a:stretch>
      </xdr:blipFill>
      <xdr:spPr>
        <a:xfrm>
          <a:off x="7235825" y="2329437175"/>
          <a:ext cx="878840" cy="1183640"/>
        </a:xfrm>
        <a:prstGeom prst="rect">
          <a:avLst/>
        </a:prstGeom>
      </xdr:spPr>
    </xdr:pic>
    <xdr:clientData/>
  </xdr:twoCellAnchor>
  <xdr:twoCellAnchor>
    <xdr:from>
      <xdr:col>9</xdr:col>
      <xdr:colOff>6350</xdr:colOff>
      <xdr:row>2391</xdr:row>
      <xdr:rowOff>25400</xdr:rowOff>
    </xdr:from>
    <xdr:to>
      <xdr:col>9</xdr:col>
      <xdr:colOff>885190</xdr:colOff>
      <xdr:row>2391</xdr:row>
      <xdr:rowOff>1209040</xdr:rowOff>
    </xdr:to>
    <xdr:pic>
      <xdr:nvPicPr>
        <xdr:cNvPr id="7042" name="Изображение 7041" descr="resizeПП-00270782"/>
        <xdr:cNvPicPr>
          <a:picLocks noChangeAspect="1"/>
        </xdr:cNvPicPr>
      </xdr:nvPicPr>
      <xdr:blipFill>
        <a:blip xmlns:r="http://schemas.openxmlformats.org/officeDocument/2006/relationships" r:embed="rId1770"/>
        <a:stretch>
          <a:fillRect/>
        </a:stretch>
      </xdr:blipFill>
      <xdr:spPr>
        <a:xfrm>
          <a:off x="7235825" y="2330659550"/>
          <a:ext cx="878840" cy="1183640"/>
        </a:xfrm>
        <a:prstGeom prst="rect">
          <a:avLst/>
        </a:prstGeom>
      </xdr:spPr>
    </xdr:pic>
    <xdr:clientData/>
  </xdr:twoCellAnchor>
  <xdr:twoCellAnchor>
    <xdr:from>
      <xdr:col>9</xdr:col>
      <xdr:colOff>6350</xdr:colOff>
      <xdr:row>2393</xdr:row>
      <xdr:rowOff>25400</xdr:rowOff>
    </xdr:from>
    <xdr:to>
      <xdr:col>9</xdr:col>
      <xdr:colOff>885190</xdr:colOff>
      <xdr:row>2393</xdr:row>
      <xdr:rowOff>1209040</xdr:rowOff>
    </xdr:to>
    <xdr:pic>
      <xdr:nvPicPr>
        <xdr:cNvPr id="7043" name="Изображение 7042" descr="resizeПП-00275333"/>
        <xdr:cNvPicPr>
          <a:picLocks noChangeAspect="1"/>
        </xdr:cNvPicPr>
      </xdr:nvPicPr>
      <xdr:blipFill>
        <a:blip xmlns:r="http://schemas.openxmlformats.org/officeDocument/2006/relationships" r:embed="rId1771"/>
        <a:stretch>
          <a:fillRect/>
        </a:stretch>
      </xdr:blipFill>
      <xdr:spPr>
        <a:xfrm>
          <a:off x="7235825" y="2332034325"/>
          <a:ext cx="878840" cy="1183640"/>
        </a:xfrm>
        <a:prstGeom prst="rect">
          <a:avLst/>
        </a:prstGeom>
      </xdr:spPr>
    </xdr:pic>
    <xdr:clientData/>
  </xdr:twoCellAnchor>
  <xdr:twoCellAnchor>
    <xdr:from>
      <xdr:col>9</xdr:col>
      <xdr:colOff>6350</xdr:colOff>
      <xdr:row>2396</xdr:row>
      <xdr:rowOff>25400</xdr:rowOff>
    </xdr:from>
    <xdr:to>
      <xdr:col>9</xdr:col>
      <xdr:colOff>885190</xdr:colOff>
      <xdr:row>2396</xdr:row>
      <xdr:rowOff>1209040</xdr:rowOff>
    </xdr:to>
    <xdr:pic>
      <xdr:nvPicPr>
        <xdr:cNvPr id="7044" name="Изображение 7043" descr="resizeПП-00270789"/>
        <xdr:cNvPicPr>
          <a:picLocks noChangeAspect="1"/>
        </xdr:cNvPicPr>
      </xdr:nvPicPr>
      <xdr:blipFill>
        <a:blip xmlns:r="http://schemas.openxmlformats.org/officeDocument/2006/relationships" r:embed="rId1772"/>
        <a:stretch>
          <a:fillRect/>
        </a:stretch>
      </xdr:blipFill>
      <xdr:spPr>
        <a:xfrm>
          <a:off x="7235825" y="2333561500"/>
          <a:ext cx="878840" cy="1183640"/>
        </a:xfrm>
        <a:prstGeom prst="rect">
          <a:avLst/>
        </a:prstGeom>
      </xdr:spPr>
    </xdr:pic>
    <xdr:clientData/>
  </xdr:twoCellAnchor>
  <xdr:twoCellAnchor>
    <xdr:from>
      <xdr:col>9</xdr:col>
      <xdr:colOff>6350</xdr:colOff>
      <xdr:row>2397</xdr:row>
      <xdr:rowOff>25400</xdr:rowOff>
    </xdr:from>
    <xdr:to>
      <xdr:col>9</xdr:col>
      <xdr:colOff>885190</xdr:colOff>
      <xdr:row>2397</xdr:row>
      <xdr:rowOff>1209040</xdr:rowOff>
    </xdr:to>
    <xdr:pic>
      <xdr:nvPicPr>
        <xdr:cNvPr id="7045" name="Изображение 7044" descr="resizeПП-00270788"/>
        <xdr:cNvPicPr>
          <a:picLocks noChangeAspect="1"/>
        </xdr:cNvPicPr>
      </xdr:nvPicPr>
      <xdr:blipFill>
        <a:blip xmlns:r="http://schemas.openxmlformats.org/officeDocument/2006/relationships" r:embed="rId1773"/>
        <a:stretch>
          <a:fillRect/>
        </a:stretch>
      </xdr:blipFill>
      <xdr:spPr>
        <a:xfrm>
          <a:off x="7235825" y="2334783875"/>
          <a:ext cx="878840" cy="1183640"/>
        </a:xfrm>
        <a:prstGeom prst="rect">
          <a:avLst/>
        </a:prstGeom>
      </xdr:spPr>
    </xdr:pic>
    <xdr:clientData/>
  </xdr:twoCellAnchor>
  <xdr:twoCellAnchor>
    <xdr:from>
      <xdr:col>9</xdr:col>
      <xdr:colOff>6350</xdr:colOff>
      <xdr:row>2398</xdr:row>
      <xdr:rowOff>25400</xdr:rowOff>
    </xdr:from>
    <xdr:to>
      <xdr:col>9</xdr:col>
      <xdr:colOff>885190</xdr:colOff>
      <xdr:row>2398</xdr:row>
      <xdr:rowOff>1209040</xdr:rowOff>
    </xdr:to>
    <xdr:pic>
      <xdr:nvPicPr>
        <xdr:cNvPr id="7046" name="Изображение 7045" descr="resizeПП-00251886"/>
        <xdr:cNvPicPr>
          <a:picLocks noChangeAspect="1"/>
        </xdr:cNvPicPr>
      </xdr:nvPicPr>
      <xdr:blipFill>
        <a:blip xmlns:r="http://schemas.openxmlformats.org/officeDocument/2006/relationships" r:embed="rId1774"/>
        <a:stretch>
          <a:fillRect/>
        </a:stretch>
      </xdr:blipFill>
      <xdr:spPr>
        <a:xfrm>
          <a:off x="7235825" y="2336006250"/>
          <a:ext cx="878840" cy="1183640"/>
        </a:xfrm>
        <a:prstGeom prst="rect">
          <a:avLst/>
        </a:prstGeom>
      </xdr:spPr>
    </xdr:pic>
    <xdr:clientData/>
  </xdr:twoCellAnchor>
  <xdr:twoCellAnchor>
    <xdr:from>
      <xdr:col>9</xdr:col>
      <xdr:colOff>6350</xdr:colOff>
      <xdr:row>2399</xdr:row>
      <xdr:rowOff>25400</xdr:rowOff>
    </xdr:from>
    <xdr:to>
      <xdr:col>9</xdr:col>
      <xdr:colOff>885190</xdr:colOff>
      <xdr:row>2399</xdr:row>
      <xdr:rowOff>1209040</xdr:rowOff>
    </xdr:to>
    <xdr:pic>
      <xdr:nvPicPr>
        <xdr:cNvPr id="7047" name="Изображение 7046" descr="resizeПП-00251887"/>
        <xdr:cNvPicPr>
          <a:picLocks noChangeAspect="1"/>
        </xdr:cNvPicPr>
      </xdr:nvPicPr>
      <xdr:blipFill>
        <a:blip xmlns:r="http://schemas.openxmlformats.org/officeDocument/2006/relationships" r:embed="rId1775"/>
        <a:stretch>
          <a:fillRect/>
        </a:stretch>
      </xdr:blipFill>
      <xdr:spPr>
        <a:xfrm>
          <a:off x="7235825" y="2337228625"/>
          <a:ext cx="878840" cy="1183640"/>
        </a:xfrm>
        <a:prstGeom prst="rect">
          <a:avLst/>
        </a:prstGeom>
      </xdr:spPr>
    </xdr:pic>
    <xdr:clientData/>
  </xdr:twoCellAnchor>
  <xdr:twoCellAnchor>
    <xdr:from>
      <xdr:col>9</xdr:col>
      <xdr:colOff>6350</xdr:colOff>
      <xdr:row>2400</xdr:row>
      <xdr:rowOff>25400</xdr:rowOff>
    </xdr:from>
    <xdr:to>
      <xdr:col>9</xdr:col>
      <xdr:colOff>885190</xdr:colOff>
      <xdr:row>2400</xdr:row>
      <xdr:rowOff>1209040</xdr:rowOff>
    </xdr:to>
    <xdr:pic>
      <xdr:nvPicPr>
        <xdr:cNvPr id="7048" name="Изображение 7047" descr="resizeПП-00270793"/>
        <xdr:cNvPicPr>
          <a:picLocks noChangeAspect="1"/>
        </xdr:cNvPicPr>
      </xdr:nvPicPr>
      <xdr:blipFill>
        <a:blip xmlns:r="http://schemas.openxmlformats.org/officeDocument/2006/relationships" r:embed="rId1776"/>
        <a:stretch>
          <a:fillRect/>
        </a:stretch>
      </xdr:blipFill>
      <xdr:spPr>
        <a:xfrm>
          <a:off x="7235825" y="2338451000"/>
          <a:ext cx="878840" cy="1183640"/>
        </a:xfrm>
        <a:prstGeom prst="rect">
          <a:avLst/>
        </a:prstGeom>
      </xdr:spPr>
    </xdr:pic>
    <xdr:clientData/>
  </xdr:twoCellAnchor>
  <xdr:twoCellAnchor>
    <xdr:from>
      <xdr:col>9</xdr:col>
      <xdr:colOff>6350</xdr:colOff>
      <xdr:row>2401</xdr:row>
      <xdr:rowOff>25400</xdr:rowOff>
    </xdr:from>
    <xdr:to>
      <xdr:col>9</xdr:col>
      <xdr:colOff>885190</xdr:colOff>
      <xdr:row>2401</xdr:row>
      <xdr:rowOff>1209040</xdr:rowOff>
    </xdr:to>
    <xdr:pic>
      <xdr:nvPicPr>
        <xdr:cNvPr id="7049" name="Изображение 7048" descr="resizeПП-00270791"/>
        <xdr:cNvPicPr>
          <a:picLocks noChangeAspect="1"/>
        </xdr:cNvPicPr>
      </xdr:nvPicPr>
      <xdr:blipFill>
        <a:blip xmlns:r="http://schemas.openxmlformats.org/officeDocument/2006/relationships" r:embed="rId1777"/>
        <a:stretch>
          <a:fillRect/>
        </a:stretch>
      </xdr:blipFill>
      <xdr:spPr>
        <a:xfrm>
          <a:off x="7235825" y="2339673375"/>
          <a:ext cx="878840" cy="1183640"/>
        </a:xfrm>
        <a:prstGeom prst="rect">
          <a:avLst/>
        </a:prstGeom>
      </xdr:spPr>
    </xdr:pic>
    <xdr:clientData/>
  </xdr:twoCellAnchor>
  <xdr:twoCellAnchor>
    <xdr:from>
      <xdr:col>9</xdr:col>
      <xdr:colOff>6350</xdr:colOff>
      <xdr:row>2403</xdr:row>
      <xdr:rowOff>25400</xdr:rowOff>
    </xdr:from>
    <xdr:to>
      <xdr:col>9</xdr:col>
      <xdr:colOff>885190</xdr:colOff>
      <xdr:row>2403</xdr:row>
      <xdr:rowOff>1209040</xdr:rowOff>
    </xdr:to>
    <xdr:pic>
      <xdr:nvPicPr>
        <xdr:cNvPr id="7050" name="Изображение 7049" descr="resizeПП-00270799"/>
        <xdr:cNvPicPr>
          <a:picLocks noChangeAspect="1"/>
        </xdr:cNvPicPr>
      </xdr:nvPicPr>
      <xdr:blipFill>
        <a:blip xmlns:r="http://schemas.openxmlformats.org/officeDocument/2006/relationships" r:embed="rId1778"/>
        <a:stretch>
          <a:fillRect/>
        </a:stretch>
      </xdr:blipFill>
      <xdr:spPr>
        <a:xfrm>
          <a:off x="7235825" y="2341048150"/>
          <a:ext cx="878840" cy="1183640"/>
        </a:xfrm>
        <a:prstGeom prst="rect">
          <a:avLst/>
        </a:prstGeom>
      </xdr:spPr>
    </xdr:pic>
    <xdr:clientData/>
  </xdr:twoCellAnchor>
  <xdr:twoCellAnchor>
    <xdr:from>
      <xdr:col>9</xdr:col>
      <xdr:colOff>6350</xdr:colOff>
      <xdr:row>2404</xdr:row>
      <xdr:rowOff>25400</xdr:rowOff>
    </xdr:from>
    <xdr:to>
      <xdr:col>9</xdr:col>
      <xdr:colOff>885190</xdr:colOff>
      <xdr:row>2404</xdr:row>
      <xdr:rowOff>1209040</xdr:rowOff>
    </xdr:to>
    <xdr:pic>
      <xdr:nvPicPr>
        <xdr:cNvPr id="7051" name="Изображение 7050" descr="resizeПП-00270797"/>
        <xdr:cNvPicPr>
          <a:picLocks noChangeAspect="1"/>
        </xdr:cNvPicPr>
      </xdr:nvPicPr>
      <xdr:blipFill>
        <a:blip xmlns:r="http://schemas.openxmlformats.org/officeDocument/2006/relationships" r:embed="rId1779"/>
        <a:stretch>
          <a:fillRect/>
        </a:stretch>
      </xdr:blipFill>
      <xdr:spPr>
        <a:xfrm>
          <a:off x="7235825" y="2342270525"/>
          <a:ext cx="878840" cy="1183640"/>
        </a:xfrm>
        <a:prstGeom prst="rect">
          <a:avLst/>
        </a:prstGeom>
      </xdr:spPr>
    </xdr:pic>
    <xdr:clientData/>
  </xdr:twoCellAnchor>
  <xdr:twoCellAnchor>
    <xdr:from>
      <xdr:col>9</xdr:col>
      <xdr:colOff>6350</xdr:colOff>
      <xdr:row>2405</xdr:row>
      <xdr:rowOff>25400</xdr:rowOff>
    </xdr:from>
    <xdr:to>
      <xdr:col>9</xdr:col>
      <xdr:colOff>885190</xdr:colOff>
      <xdr:row>2405</xdr:row>
      <xdr:rowOff>1209040</xdr:rowOff>
    </xdr:to>
    <xdr:pic>
      <xdr:nvPicPr>
        <xdr:cNvPr id="7052" name="Изображение 7051" descr="resizeПП-00270794"/>
        <xdr:cNvPicPr>
          <a:picLocks noChangeAspect="1"/>
        </xdr:cNvPicPr>
      </xdr:nvPicPr>
      <xdr:blipFill>
        <a:blip xmlns:r="http://schemas.openxmlformats.org/officeDocument/2006/relationships" r:embed="rId1780"/>
        <a:stretch>
          <a:fillRect/>
        </a:stretch>
      </xdr:blipFill>
      <xdr:spPr>
        <a:xfrm>
          <a:off x="7235825" y="2343492900"/>
          <a:ext cx="878840" cy="1183640"/>
        </a:xfrm>
        <a:prstGeom prst="rect">
          <a:avLst/>
        </a:prstGeom>
      </xdr:spPr>
    </xdr:pic>
    <xdr:clientData/>
  </xdr:twoCellAnchor>
  <xdr:twoCellAnchor>
    <xdr:from>
      <xdr:col>9</xdr:col>
      <xdr:colOff>6350</xdr:colOff>
      <xdr:row>2406</xdr:row>
      <xdr:rowOff>25400</xdr:rowOff>
    </xdr:from>
    <xdr:to>
      <xdr:col>9</xdr:col>
      <xdr:colOff>885190</xdr:colOff>
      <xdr:row>2406</xdr:row>
      <xdr:rowOff>1209040</xdr:rowOff>
    </xdr:to>
    <xdr:pic>
      <xdr:nvPicPr>
        <xdr:cNvPr id="7053" name="Изображение 7052" descr="resizeПП-00270795"/>
        <xdr:cNvPicPr>
          <a:picLocks noChangeAspect="1"/>
        </xdr:cNvPicPr>
      </xdr:nvPicPr>
      <xdr:blipFill>
        <a:blip xmlns:r="http://schemas.openxmlformats.org/officeDocument/2006/relationships" r:embed="rId1781"/>
        <a:stretch>
          <a:fillRect/>
        </a:stretch>
      </xdr:blipFill>
      <xdr:spPr>
        <a:xfrm>
          <a:off x="7235825" y="2344715275"/>
          <a:ext cx="878840" cy="1183640"/>
        </a:xfrm>
        <a:prstGeom prst="rect">
          <a:avLst/>
        </a:prstGeom>
      </xdr:spPr>
    </xdr:pic>
    <xdr:clientData/>
  </xdr:twoCellAnchor>
  <xdr:twoCellAnchor>
    <xdr:from>
      <xdr:col>9</xdr:col>
      <xdr:colOff>6350</xdr:colOff>
      <xdr:row>2408</xdr:row>
      <xdr:rowOff>25400</xdr:rowOff>
    </xdr:from>
    <xdr:to>
      <xdr:col>9</xdr:col>
      <xdr:colOff>885190</xdr:colOff>
      <xdr:row>2408</xdr:row>
      <xdr:rowOff>1209040</xdr:rowOff>
    </xdr:to>
    <xdr:pic>
      <xdr:nvPicPr>
        <xdr:cNvPr id="7054" name="Изображение 7053" descr="resizeПП-00270805"/>
        <xdr:cNvPicPr>
          <a:picLocks noChangeAspect="1"/>
        </xdr:cNvPicPr>
      </xdr:nvPicPr>
      <xdr:blipFill>
        <a:blip xmlns:r="http://schemas.openxmlformats.org/officeDocument/2006/relationships" r:embed="rId1782"/>
        <a:stretch>
          <a:fillRect/>
        </a:stretch>
      </xdr:blipFill>
      <xdr:spPr>
        <a:xfrm>
          <a:off x="7235825" y="2346090050"/>
          <a:ext cx="878840" cy="1183640"/>
        </a:xfrm>
        <a:prstGeom prst="rect">
          <a:avLst/>
        </a:prstGeom>
      </xdr:spPr>
    </xdr:pic>
    <xdr:clientData/>
  </xdr:twoCellAnchor>
  <xdr:twoCellAnchor>
    <xdr:from>
      <xdr:col>9</xdr:col>
      <xdr:colOff>6350</xdr:colOff>
      <xdr:row>2409</xdr:row>
      <xdr:rowOff>25400</xdr:rowOff>
    </xdr:from>
    <xdr:to>
      <xdr:col>9</xdr:col>
      <xdr:colOff>885190</xdr:colOff>
      <xdr:row>2409</xdr:row>
      <xdr:rowOff>1209040</xdr:rowOff>
    </xdr:to>
    <xdr:pic>
      <xdr:nvPicPr>
        <xdr:cNvPr id="7055" name="Изображение 7054" descr="resizeПП-00270803"/>
        <xdr:cNvPicPr>
          <a:picLocks noChangeAspect="1"/>
        </xdr:cNvPicPr>
      </xdr:nvPicPr>
      <xdr:blipFill>
        <a:blip xmlns:r="http://schemas.openxmlformats.org/officeDocument/2006/relationships" r:embed="rId1783"/>
        <a:stretch>
          <a:fillRect/>
        </a:stretch>
      </xdr:blipFill>
      <xdr:spPr>
        <a:xfrm>
          <a:off x="7235825" y="2347312425"/>
          <a:ext cx="878840" cy="1183640"/>
        </a:xfrm>
        <a:prstGeom prst="rect">
          <a:avLst/>
        </a:prstGeom>
      </xdr:spPr>
    </xdr:pic>
    <xdr:clientData/>
  </xdr:twoCellAnchor>
  <xdr:twoCellAnchor>
    <xdr:from>
      <xdr:col>9</xdr:col>
      <xdr:colOff>6350</xdr:colOff>
      <xdr:row>2410</xdr:row>
      <xdr:rowOff>25400</xdr:rowOff>
    </xdr:from>
    <xdr:to>
      <xdr:col>9</xdr:col>
      <xdr:colOff>885190</xdr:colOff>
      <xdr:row>2410</xdr:row>
      <xdr:rowOff>1209040</xdr:rowOff>
    </xdr:to>
    <xdr:pic>
      <xdr:nvPicPr>
        <xdr:cNvPr id="7056" name="Изображение 7055" descr="resizeПП-00270804"/>
        <xdr:cNvPicPr>
          <a:picLocks noChangeAspect="1"/>
        </xdr:cNvPicPr>
      </xdr:nvPicPr>
      <xdr:blipFill>
        <a:blip xmlns:r="http://schemas.openxmlformats.org/officeDocument/2006/relationships" r:embed="rId1784"/>
        <a:stretch>
          <a:fillRect/>
        </a:stretch>
      </xdr:blipFill>
      <xdr:spPr>
        <a:xfrm>
          <a:off x="7235825" y="2348534800"/>
          <a:ext cx="878840" cy="1183640"/>
        </a:xfrm>
        <a:prstGeom prst="rect">
          <a:avLst/>
        </a:prstGeom>
      </xdr:spPr>
    </xdr:pic>
    <xdr:clientData/>
  </xdr:twoCellAnchor>
  <xdr:twoCellAnchor>
    <xdr:from>
      <xdr:col>9</xdr:col>
      <xdr:colOff>6350</xdr:colOff>
      <xdr:row>2411</xdr:row>
      <xdr:rowOff>25400</xdr:rowOff>
    </xdr:from>
    <xdr:to>
      <xdr:col>9</xdr:col>
      <xdr:colOff>885190</xdr:colOff>
      <xdr:row>2411</xdr:row>
      <xdr:rowOff>1209040</xdr:rowOff>
    </xdr:to>
    <xdr:pic>
      <xdr:nvPicPr>
        <xdr:cNvPr id="7057" name="Изображение 7056" descr="resizeПП-00257963"/>
        <xdr:cNvPicPr>
          <a:picLocks noChangeAspect="1"/>
        </xdr:cNvPicPr>
      </xdr:nvPicPr>
      <xdr:blipFill>
        <a:blip xmlns:r="http://schemas.openxmlformats.org/officeDocument/2006/relationships" r:embed="rId1785"/>
        <a:stretch>
          <a:fillRect/>
        </a:stretch>
      </xdr:blipFill>
      <xdr:spPr>
        <a:xfrm>
          <a:off x="7235825" y="2349757175"/>
          <a:ext cx="878840" cy="1183640"/>
        </a:xfrm>
        <a:prstGeom prst="rect">
          <a:avLst/>
        </a:prstGeom>
      </xdr:spPr>
    </xdr:pic>
    <xdr:clientData/>
  </xdr:twoCellAnchor>
  <xdr:twoCellAnchor>
    <xdr:from>
      <xdr:col>9</xdr:col>
      <xdr:colOff>6350</xdr:colOff>
      <xdr:row>2412</xdr:row>
      <xdr:rowOff>25400</xdr:rowOff>
    </xdr:from>
    <xdr:to>
      <xdr:col>9</xdr:col>
      <xdr:colOff>885190</xdr:colOff>
      <xdr:row>2412</xdr:row>
      <xdr:rowOff>1209040</xdr:rowOff>
    </xdr:to>
    <xdr:pic>
      <xdr:nvPicPr>
        <xdr:cNvPr id="7058" name="Изображение 7057" descr="resizeПП-00257955"/>
        <xdr:cNvPicPr>
          <a:picLocks noChangeAspect="1"/>
        </xdr:cNvPicPr>
      </xdr:nvPicPr>
      <xdr:blipFill>
        <a:blip xmlns:r="http://schemas.openxmlformats.org/officeDocument/2006/relationships" r:embed="rId1786"/>
        <a:stretch>
          <a:fillRect/>
        </a:stretch>
      </xdr:blipFill>
      <xdr:spPr>
        <a:xfrm>
          <a:off x="7235825" y="2350979550"/>
          <a:ext cx="878840" cy="1183640"/>
        </a:xfrm>
        <a:prstGeom prst="rect">
          <a:avLst/>
        </a:prstGeom>
      </xdr:spPr>
    </xdr:pic>
    <xdr:clientData/>
  </xdr:twoCellAnchor>
  <xdr:twoCellAnchor>
    <xdr:from>
      <xdr:col>9</xdr:col>
      <xdr:colOff>6350</xdr:colOff>
      <xdr:row>2413</xdr:row>
      <xdr:rowOff>25400</xdr:rowOff>
    </xdr:from>
    <xdr:to>
      <xdr:col>9</xdr:col>
      <xdr:colOff>885190</xdr:colOff>
      <xdr:row>2413</xdr:row>
      <xdr:rowOff>1209040</xdr:rowOff>
    </xdr:to>
    <xdr:pic>
      <xdr:nvPicPr>
        <xdr:cNvPr id="7059" name="Изображение 7058" descr="resizeПП-00252126"/>
        <xdr:cNvPicPr>
          <a:picLocks noChangeAspect="1"/>
        </xdr:cNvPicPr>
      </xdr:nvPicPr>
      <xdr:blipFill>
        <a:blip xmlns:r="http://schemas.openxmlformats.org/officeDocument/2006/relationships" r:embed="rId1787"/>
        <a:stretch>
          <a:fillRect/>
        </a:stretch>
      </xdr:blipFill>
      <xdr:spPr>
        <a:xfrm>
          <a:off x="7235825" y="2352201925"/>
          <a:ext cx="878840" cy="1183640"/>
        </a:xfrm>
        <a:prstGeom prst="rect">
          <a:avLst/>
        </a:prstGeom>
      </xdr:spPr>
    </xdr:pic>
    <xdr:clientData/>
  </xdr:twoCellAnchor>
  <xdr:twoCellAnchor>
    <xdr:from>
      <xdr:col>9</xdr:col>
      <xdr:colOff>6350</xdr:colOff>
      <xdr:row>2414</xdr:row>
      <xdr:rowOff>25400</xdr:rowOff>
    </xdr:from>
    <xdr:to>
      <xdr:col>9</xdr:col>
      <xdr:colOff>885190</xdr:colOff>
      <xdr:row>2414</xdr:row>
      <xdr:rowOff>1209040</xdr:rowOff>
    </xdr:to>
    <xdr:pic>
      <xdr:nvPicPr>
        <xdr:cNvPr id="7060" name="Изображение 7059" descr="resizeПП-00252128"/>
        <xdr:cNvPicPr>
          <a:picLocks noChangeAspect="1"/>
        </xdr:cNvPicPr>
      </xdr:nvPicPr>
      <xdr:blipFill>
        <a:blip xmlns:r="http://schemas.openxmlformats.org/officeDocument/2006/relationships" r:embed="rId1788"/>
        <a:stretch>
          <a:fillRect/>
        </a:stretch>
      </xdr:blipFill>
      <xdr:spPr>
        <a:xfrm>
          <a:off x="7235825" y="2353424300"/>
          <a:ext cx="878840" cy="1183640"/>
        </a:xfrm>
        <a:prstGeom prst="rect">
          <a:avLst/>
        </a:prstGeom>
      </xdr:spPr>
    </xdr:pic>
    <xdr:clientData/>
  </xdr:twoCellAnchor>
  <xdr:twoCellAnchor>
    <xdr:from>
      <xdr:col>9</xdr:col>
      <xdr:colOff>6350</xdr:colOff>
      <xdr:row>2415</xdr:row>
      <xdr:rowOff>25400</xdr:rowOff>
    </xdr:from>
    <xdr:to>
      <xdr:col>9</xdr:col>
      <xdr:colOff>885190</xdr:colOff>
      <xdr:row>2415</xdr:row>
      <xdr:rowOff>1209040</xdr:rowOff>
    </xdr:to>
    <xdr:pic>
      <xdr:nvPicPr>
        <xdr:cNvPr id="7061" name="Изображение 7060" descr="resizeПП-00252129"/>
        <xdr:cNvPicPr>
          <a:picLocks noChangeAspect="1"/>
        </xdr:cNvPicPr>
      </xdr:nvPicPr>
      <xdr:blipFill>
        <a:blip xmlns:r="http://schemas.openxmlformats.org/officeDocument/2006/relationships" r:embed="rId1789"/>
        <a:stretch>
          <a:fillRect/>
        </a:stretch>
      </xdr:blipFill>
      <xdr:spPr>
        <a:xfrm>
          <a:off x="7235825" y="2354646675"/>
          <a:ext cx="878840" cy="1183640"/>
        </a:xfrm>
        <a:prstGeom prst="rect">
          <a:avLst/>
        </a:prstGeom>
      </xdr:spPr>
    </xdr:pic>
    <xdr:clientData/>
  </xdr:twoCellAnchor>
  <xdr:twoCellAnchor>
    <xdr:from>
      <xdr:col>9</xdr:col>
      <xdr:colOff>6350</xdr:colOff>
      <xdr:row>2416</xdr:row>
      <xdr:rowOff>25400</xdr:rowOff>
    </xdr:from>
    <xdr:to>
      <xdr:col>9</xdr:col>
      <xdr:colOff>885190</xdr:colOff>
      <xdr:row>2416</xdr:row>
      <xdr:rowOff>1209040</xdr:rowOff>
    </xdr:to>
    <xdr:pic>
      <xdr:nvPicPr>
        <xdr:cNvPr id="7062" name="Изображение 7061" descr="resizeПП-00252127"/>
        <xdr:cNvPicPr>
          <a:picLocks noChangeAspect="1"/>
        </xdr:cNvPicPr>
      </xdr:nvPicPr>
      <xdr:blipFill>
        <a:blip xmlns:r="http://schemas.openxmlformats.org/officeDocument/2006/relationships" r:embed="rId1790"/>
        <a:stretch>
          <a:fillRect/>
        </a:stretch>
      </xdr:blipFill>
      <xdr:spPr>
        <a:xfrm>
          <a:off x="7235825" y="2355869050"/>
          <a:ext cx="878840" cy="1183640"/>
        </a:xfrm>
        <a:prstGeom prst="rect">
          <a:avLst/>
        </a:prstGeom>
      </xdr:spPr>
    </xdr:pic>
    <xdr:clientData/>
  </xdr:twoCellAnchor>
  <xdr:twoCellAnchor>
    <xdr:from>
      <xdr:col>9</xdr:col>
      <xdr:colOff>6350</xdr:colOff>
      <xdr:row>2417</xdr:row>
      <xdr:rowOff>25400</xdr:rowOff>
    </xdr:from>
    <xdr:to>
      <xdr:col>9</xdr:col>
      <xdr:colOff>885190</xdr:colOff>
      <xdr:row>2417</xdr:row>
      <xdr:rowOff>1209040</xdr:rowOff>
    </xdr:to>
    <xdr:pic>
      <xdr:nvPicPr>
        <xdr:cNvPr id="7063" name="Изображение 7062" descr="resizeПП-00252130"/>
        <xdr:cNvPicPr>
          <a:picLocks noChangeAspect="1"/>
        </xdr:cNvPicPr>
      </xdr:nvPicPr>
      <xdr:blipFill>
        <a:blip xmlns:r="http://schemas.openxmlformats.org/officeDocument/2006/relationships" r:embed="rId1791"/>
        <a:stretch>
          <a:fillRect/>
        </a:stretch>
      </xdr:blipFill>
      <xdr:spPr>
        <a:xfrm>
          <a:off x="7235825" y="2357091425"/>
          <a:ext cx="878840" cy="1183640"/>
        </a:xfrm>
        <a:prstGeom prst="rect">
          <a:avLst/>
        </a:prstGeom>
      </xdr:spPr>
    </xdr:pic>
    <xdr:clientData/>
  </xdr:twoCellAnchor>
  <xdr:twoCellAnchor>
    <xdr:from>
      <xdr:col>9</xdr:col>
      <xdr:colOff>6350</xdr:colOff>
      <xdr:row>2418</xdr:row>
      <xdr:rowOff>25400</xdr:rowOff>
    </xdr:from>
    <xdr:to>
      <xdr:col>9</xdr:col>
      <xdr:colOff>885190</xdr:colOff>
      <xdr:row>2418</xdr:row>
      <xdr:rowOff>1209040</xdr:rowOff>
    </xdr:to>
    <xdr:pic>
      <xdr:nvPicPr>
        <xdr:cNvPr id="7064" name="Изображение 7063" descr="resizeПП-00252131"/>
        <xdr:cNvPicPr>
          <a:picLocks noChangeAspect="1"/>
        </xdr:cNvPicPr>
      </xdr:nvPicPr>
      <xdr:blipFill>
        <a:blip xmlns:r="http://schemas.openxmlformats.org/officeDocument/2006/relationships" r:embed="rId1792"/>
        <a:stretch>
          <a:fillRect/>
        </a:stretch>
      </xdr:blipFill>
      <xdr:spPr>
        <a:xfrm>
          <a:off x="7235825" y="2358313800"/>
          <a:ext cx="878840" cy="1183640"/>
        </a:xfrm>
        <a:prstGeom prst="rect">
          <a:avLst/>
        </a:prstGeom>
      </xdr:spPr>
    </xdr:pic>
    <xdr:clientData/>
  </xdr:twoCellAnchor>
  <xdr:twoCellAnchor>
    <xdr:from>
      <xdr:col>9</xdr:col>
      <xdr:colOff>6350</xdr:colOff>
      <xdr:row>2419</xdr:row>
      <xdr:rowOff>25400</xdr:rowOff>
    </xdr:from>
    <xdr:to>
      <xdr:col>9</xdr:col>
      <xdr:colOff>885190</xdr:colOff>
      <xdr:row>2419</xdr:row>
      <xdr:rowOff>1209040</xdr:rowOff>
    </xdr:to>
    <xdr:pic>
      <xdr:nvPicPr>
        <xdr:cNvPr id="7065" name="Изображение 7064" descr="resizeПП-00270801"/>
        <xdr:cNvPicPr>
          <a:picLocks noChangeAspect="1"/>
        </xdr:cNvPicPr>
      </xdr:nvPicPr>
      <xdr:blipFill>
        <a:blip xmlns:r="http://schemas.openxmlformats.org/officeDocument/2006/relationships" r:embed="rId1793"/>
        <a:stretch>
          <a:fillRect/>
        </a:stretch>
      </xdr:blipFill>
      <xdr:spPr>
        <a:xfrm>
          <a:off x="7235825" y="2359536175"/>
          <a:ext cx="878840" cy="1183640"/>
        </a:xfrm>
        <a:prstGeom prst="rect">
          <a:avLst/>
        </a:prstGeom>
      </xdr:spPr>
    </xdr:pic>
    <xdr:clientData/>
  </xdr:twoCellAnchor>
  <xdr:twoCellAnchor>
    <xdr:from>
      <xdr:col>9</xdr:col>
      <xdr:colOff>6350</xdr:colOff>
      <xdr:row>2420</xdr:row>
      <xdr:rowOff>25400</xdr:rowOff>
    </xdr:from>
    <xdr:to>
      <xdr:col>9</xdr:col>
      <xdr:colOff>885190</xdr:colOff>
      <xdr:row>2420</xdr:row>
      <xdr:rowOff>1209040</xdr:rowOff>
    </xdr:to>
    <xdr:pic>
      <xdr:nvPicPr>
        <xdr:cNvPr id="7066" name="Изображение 7065" descr="resizeПП-00270800"/>
        <xdr:cNvPicPr>
          <a:picLocks noChangeAspect="1"/>
        </xdr:cNvPicPr>
      </xdr:nvPicPr>
      <xdr:blipFill>
        <a:blip xmlns:r="http://schemas.openxmlformats.org/officeDocument/2006/relationships" r:embed="rId1794"/>
        <a:stretch>
          <a:fillRect/>
        </a:stretch>
      </xdr:blipFill>
      <xdr:spPr>
        <a:xfrm>
          <a:off x="7235825" y="2360758550"/>
          <a:ext cx="878840" cy="1183640"/>
        </a:xfrm>
        <a:prstGeom prst="rect">
          <a:avLst/>
        </a:prstGeom>
      </xdr:spPr>
    </xdr:pic>
    <xdr:clientData/>
  </xdr:twoCellAnchor>
  <xdr:twoCellAnchor>
    <xdr:from>
      <xdr:col>9</xdr:col>
      <xdr:colOff>6350</xdr:colOff>
      <xdr:row>2422</xdr:row>
      <xdr:rowOff>25400</xdr:rowOff>
    </xdr:from>
    <xdr:to>
      <xdr:col>9</xdr:col>
      <xdr:colOff>885190</xdr:colOff>
      <xdr:row>2422</xdr:row>
      <xdr:rowOff>1209040</xdr:rowOff>
    </xdr:to>
    <xdr:pic>
      <xdr:nvPicPr>
        <xdr:cNvPr id="7067" name="Изображение 7066" descr="resizeПП-00251894"/>
        <xdr:cNvPicPr>
          <a:picLocks noChangeAspect="1"/>
        </xdr:cNvPicPr>
      </xdr:nvPicPr>
      <xdr:blipFill>
        <a:blip xmlns:r="http://schemas.openxmlformats.org/officeDocument/2006/relationships" r:embed="rId1795"/>
        <a:stretch>
          <a:fillRect/>
        </a:stretch>
      </xdr:blipFill>
      <xdr:spPr>
        <a:xfrm>
          <a:off x="7235825" y="2362133325"/>
          <a:ext cx="878840" cy="1183640"/>
        </a:xfrm>
        <a:prstGeom prst="rect">
          <a:avLst/>
        </a:prstGeom>
      </xdr:spPr>
    </xdr:pic>
    <xdr:clientData/>
  </xdr:twoCellAnchor>
  <xdr:twoCellAnchor>
    <xdr:from>
      <xdr:col>9</xdr:col>
      <xdr:colOff>6350</xdr:colOff>
      <xdr:row>2423</xdr:row>
      <xdr:rowOff>25400</xdr:rowOff>
    </xdr:from>
    <xdr:to>
      <xdr:col>9</xdr:col>
      <xdr:colOff>885190</xdr:colOff>
      <xdr:row>2423</xdr:row>
      <xdr:rowOff>1209040</xdr:rowOff>
    </xdr:to>
    <xdr:pic>
      <xdr:nvPicPr>
        <xdr:cNvPr id="7068" name="Изображение 7067" descr="resizeПП-00251897"/>
        <xdr:cNvPicPr>
          <a:picLocks noChangeAspect="1"/>
        </xdr:cNvPicPr>
      </xdr:nvPicPr>
      <xdr:blipFill>
        <a:blip xmlns:r="http://schemas.openxmlformats.org/officeDocument/2006/relationships" r:embed="rId1796"/>
        <a:stretch>
          <a:fillRect/>
        </a:stretch>
      </xdr:blipFill>
      <xdr:spPr>
        <a:xfrm>
          <a:off x="7235825" y="2363355700"/>
          <a:ext cx="878840" cy="1183640"/>
        </a:xfrm>
        <a:prstGeom prst="rect">
          <a:avLst/>
        </a:prstGeom>
      </xdr:spPr>
    </xdr:pic>
    <xdr:clientData/>
  </xdr:twoCellAnchor>
  <xdr:twoCellAnchor>
    <xdr:from>
      <xdr:col>9</xdr:col>
      <xdr:colOff>6350</xdr:colOff>
      <xdr:row>2424</xdr:row>
      <xdr:rowOff>25400</xdr:rowOff>
    </xdr:from>
    <xdr:to>
      <xdr:col>9</xdr:col>
      <xdr:colOff>885190</xdr:colOff>
      <xdr:row>2424</xdr:row>
      <xdr:rowOff>1209040</xdr:rowOff>
    </xdr:to>
    <xdr:pic>
      <xdr:nvPicPr>
        <xdr:cNvPr id="7069" name="Изображение 7068" descr="resizeПП-00129980"/>
        <xdr:cNvPicPr>
          <a:picLocks noChangeAspect="1"/>
        </xdr:cNvPicPr>
      </xdr:nvPicPr>
      <xdr:blipFill>
        <a:blip xmlns:r="http://schemas.openxmlformats.org/officeDocument/2006/relationships" r:embed="rId1797"/>
        <a:stretch>
          <a:fillRect/>
        </a:stretch>
      </xdr:blipFill>
      <xdr:spPr>
        <a:xfrm>
          <a:off x="7235825" y="2364578075"/>
          <a:ext cx="878840" cy="1183640"/>
        </a:xfrm>
        <a:prstGeom prst="rect">
          <a:avLst/>
        </a:prstGeom>
      </xdr:spPr>
    </xdr:pic>
    <xdr:clientData/>
  </xdr:twoCellAnchor>
  <xdr:twoCellAnchor>
    <xdr:from>
      <xdr:col>9</xdr:col>
      <xdr:colOff>6350</xdr:colOff>
      <xdr:row>2425</xdr:row>
      <xdr:rowOff>25400</xdr:rowOff>
    </xdr:from>
    <xdr:to>
      <xdr:col>9</xdr:col>
      <xdr:colOff>885190</xdr:colOff>
      <xdr:row>2425</xdr:row>
      <xdr:rowOff>1209040</xdr:rowOff>
    </xdr:to>
    <xdr:pic>
      <xdr:nvPicPr>
        <xdr:cNvPr id="7070" name="Изображение 7069" descr="resizeПП-00251898"/>
        <xdr:cNvPicPr>
          <a:picLocks noChangeAspect="1"/>
        </xdr:cNvPicPr>
      </xdr:nvPicPr>
      <xdr:blipFill>
        <a:blip xmlns:r="http://schemas.openxmlformats.org/officeDocument/2006/relationships" r:embed="rId1798"/>
        <a:stretch>
          <a:fillRect/>
        </a:stretch>
      </xdr:blipFill>
      <xdr:spPr>
        <a:xfrm>
          <a:off x="7235825" y="2365800450"/>
          <a:ext cx="878840" cy="1183640"/>
        </a:xfrm>
        <a:prstGeom prst="rect">
          <a:avLst/>
        </a:prstGeom>
      </xdr:spPr>
    </xdr:pic>
    <xdr:clientData/>
  </xdr:twoCellAnchor>
  <xdr:twoCellAnchor>
    <xdr:from>
      <xdr:col>9</xdr:col>
      <xdr:colOff>6350</xdr:colOff>
      <xdr:row>2426</xdr:row>
      <xdr:rowOff>25400</xdr:rowOff>
    </xdr:from>
    <xdr:to>
      <xdr:col>9</xdr:col>
      <xdr:colOff>885190</xdr:colOff>
      <xdr:row>2426</xdr:row>
      <xdr:rowOff>1209040</xdr:rowOff>
    </xdr:to>
    <xdr:pic>
      <xdr:nvPicPr>
        <xdr:cNvPr id="7071" name="Изображение 7070" descr="resizeПП-00251896"/>
        <xdr:cNvPicPr>
          <a:picLocks noChangeAspect="1"/>
        </xdr:cNvPicPr>
      </xdr:nvPicPr>
      <xdr:blipFill>
        <a:blip xmlns:r="http://schemas.openxmlformats.org/officeDocument/2006/relationships" r:embed="rId1799"/>
        <a:stretch>
          <a:fillRect/>
        </a:stretch>
      </xdr:blipFill>
      <xdr:spPr>
        <a:xfrm>
          <a:off x="7235825" y="2367022825"/>
          <a:ext cx="878840" cy="1183640"/>
        </a:xfrm>
        <a:prstGeom prst="rect">
          <a:avLst/>
        </a:prstGeom>
      </xdr:spPr>
    </xdr:pic>
    <xdr:clientData/>
  </xdr:twoCellAnchor>
  <xdr:twoCellAnchor>
    <xdr:from>
      <xdr:col>9</xdr:col>
      <xdr:colOff>6350</xdr:colOff>
      <xdr:row>2427</xdr:row>
      <xdr:rowOff>25400</xdr:rowOff>
    </xdr:from>
    <xdr:to>
      <xdr:col>9</xdr:col>
      <xdr:colOff>885190</xdr:colOff>
      <xdr:row>2427</xdr:row>
      <xdr:rowOff>1209040</xdr:rowOff>
    </xdr:to>
    <xdr:pic>
      <xdr:nvPicPr>
        <xdr:cNvPr id="7072" name="Изображение 7071" descr="resizeПП-00251899"/>
        <xdr:cNvPicPr>
          <a:picLocks noChangeAspect="1"/>
        </xdr:cNvPicPr>
      </xdr:nvPicPr>
      <xdr:blipFill>
        <a:blip xmlns:r="http://schemas.openxmlformats.org/officeDocument/2006/relationships" r:embed="rId1800"/>
        <a:stretch>
          <a:fillRect/>
        </a:stretch>
      </xdr:blipFill>
      <xdr:spPr>
        <a:xfrm>
          <a:off x="7235825" y="2368245200"/>
          <a:ext cx="878840" cy="1183640"/>
        </a:xfrm>
        <a:prstGeom prst="rect">
          <a:avLst/>
        </a:prstGeom>
      </xdr:spPr>
    </xdr:pic>
    <xdr:clientData/>
  </xdr:twoCellAnchor>
  <xdr:twoCellAnchor>
    <xdr:from>
      <xdr:col>9</xdr:col>
      <xdr:colOff>6350</xdr:colOff>
      <xdr:row>2428</xdr:row>
      <xdr:rowOff>25400</xdr:rowOff>
    </xdr:from>
    <xdr:to>
      <xdr:col>9</xdr:col>
      <xdr:colOff>885190</xdr:colOff>
      <xdr:row>2428</xdr:row>
      <xdr:rowOff>1209040</xdr:rowOff>
    </xdr:to>
    <xdr:pic>
      <xdr:nvPicPr>
        <xdr:cNvPr id="7073" name="Изображение 7072" descr="resizeПП-00251901"/>
        <xdr:cNvPicPr>
          <a:picLocks noChangeAspect="1"/>
        </xdr:cNvPicPr>
      </xdr:nvPicPr>
      <xdr:blipFill>
        <a:blip xmlns:r="http://schemas.openxmlformats.org/officeDocument/2006/relationships" r:embed="rId1801"/>
        <a:stretch>
          <a:fillRect/>
        </a:stretch>
      </xdr:blipFill>
      <xdr:spPr>
        <a:xfrm>
          <a:off x="7235825" y="2369467575"/>
          <a:ext cx="878840" cy="1183640"/>
        </a:xfrm>
        <a:prstGeom prst="rect">
          <a:avLst/>
        </a:prstGeom>
      </xdr:spPr>
    </xdr:pic>
    <xdr:clientData/>
  </xdr:twoCellAnchor>
  <xdr:twoCellAnchor>
    <xdr:from>
      <xdr:col>9</xdr:col>
      <xdr:colOff>6350</xdr:colOff>
      <xdr:row>2429</xdr:row>
      <xdr:rowOff>25400</xdr:rowOff>
    </xdr:from>
    <xdr:to>
      <xdr:col>9</xdr:col>
      <xdr:colOff>885190</xdr:colOff>
      <xdr:row>2429</xdr:row>
      <xdr:rowOff>1209040</xdr:rowOff>
    </xdr:to>
    <xdr:pic>
      <xdr:nvPicPr>
        <xdr:cNvPr id="7074" name="Изображение 7073" descr="resizeПП-00230329"/>
        <xdr:cNvPicPr>
          <a:picLocks noChangeAspect="1"/>
        </xdr:cNvPicPr>
      </xdr:nvPicPr>
      <xdr:blipFill>
        <a:blip xmlns:r="http://schemas.openxmlformats.org/officeDocument/2006/relationships" r:embed="rId1802"/>
        <a:stretch>
          <a:fillRect/>
        </a:stretch>
      </xdr:blipFill>
      <xdr:spPr>
        <a:xfrm>
          <a:off x="7235825" y="2370689950"/>
          <a:ext cx="878840" cy="1183640"/>
        </a:xfrm>
        <a:prstGeom prst="rect">
          <a:avLst/>
        </a:prstGeom>
      </xdr:spPr>
    </xdr:pic>
    <xdr:clientData/>
  </xdr:twoCellAnchor>
  <xdr:twoCellAnchor>
    <xdr:from>
      <xdr:col>9</xdr:col>
      <xdr:colOff>6350</xdr:colOff>
      <xdr:row>2432</xdr:row>
      <xdr:rowOff>25400</xdr:rowOff>
    </xdr:from>
    <xdr:to>
      <xdr:col>9</xdr:col>
      <xdr:colOff>885190</xdr:colOff>
      <xdr:row>2432</xdr:row>
      <xdr:rowOff>1209040</xdr:rowOff>
    </xdr:to>
    <xdr:pic>
      <xdr:nvPicPr>
        <xdr:cNvPr id="7075" name="Изображение 7074" descr="resizeПП-00258619"/>
        <xdr:cNvPicPr>
          <a:picLocks noChangeAspect="1"/>
        </xdr:cNvPicPr>
      </xdr:nvPicPr>
      <xdr:blipFill>
        <a:blip xmlns:r="http://schemas.openxmlformats.org/officeDocument/2006/relationships" r:embed="rId1803"/>
        <a:stretch>
          <a:fillRect/>
        </a:stretch>
      </xdr:blipFill>
      <xdr:spPr>
        <a:xfrm>
          <a:off x="7235825" y="2372217125"/>
          <a:ext cx="878840" cy="1183640"/>
        </a:xfrm>
        <a:prstGeom prst="rect">
          <a:avLst/>
        </a:prstGeom>
      </xdr:spPr>
    </xdr:pic>
    <xdr:clientData/>
  </xdr:twoCellAnchor>
  <xdr:twoCellAnchor>
    <xdr:from>
      <xdr:col>9</xdr:col>
      <xdr:colOff>6350</xdr:colOff>
      <xdr:row>2434</xdr:row>
      <xdr:rowOff>25400</xdr:rowOff>
    </xdr:from>
    <xdr:to>
      <xdr:col>9</xdr:col>
      <xdr:colOff>885190</xdr:colOff>
      <xdr:row>2434</xdr:row>
      <xdr:rowOff>1209040</xdr:rowOff>
    </xdr:to>
    <xdr:pic>
      <xdr:nvPicPr>
        <xdr:cNvPr id="7076" name="Изображение 7075" descr="resizeПП-00258602"/>
        <xdr:cNvPicPr>
          <a:picLocks noChangeAspect="1"/>
        </xdr:cNvPicPr>
      </xdr:nvPicPr>
      <xdr:blipFill>
        <a:blip xmlns:r="http://schemas.openxmlformats.org/officeDocument/2006/relationships" r:embed="rId1804"/>
        <a:stretch>
          <a:fillRect/>
        </a:stretch>
      </xdr:blipFill>
      <xdr:spPr>
        <a:xfrm>
          <a:off x="7235825" y="2373579200"/>
          <a:ext cx="878840" cy="1183640"/>
        </a:xfrm>
        <a:prstGeom prst="rect">
          <a:avLst/>
        </a:prstGeom>
      </xdr:spPr>
    </xdr:pic>
    <xdr:clientData/>
  </xdr:twoCellAnchor>
  <xdr:twoCellAnchor>
    <xdr:from>
      <xdr:col>9</xdr:col>
      <xdr:colOff>6350</xdr:colOff>
      <xdr:row>2435</xdr:row>
      <xdr:rowOff>25400</xdr:rowOff>
    </xdr:from>
    <xdr:to>
      <xdr:col>9</xdr:col>
      <xdr:colOff>885190</xdr:colOff>
      <xdr:row>2435</xdr:row>
      <xdr:rowOff>1209040</xdr:rowOff>
    </xdr:to>
    <xdr:pic>
      <xdr:nvPicPr>
        <xdr:cNvPr id="7077" name="Изображение 7076" descr="resizeПП-00258611"/>
        <xdr:cNvPicPr>
          <a:picLocks noChangeAspect="1"/>
        </xdr:cNvPicPr>
      </xdr:nvPicPr>
      <xdr:blipFill>
        <a:blip xmlns:r="http://schemas.openxmlformats.org/officeDocument/2006/relationships" r:embed="rId1805"/>
        <a:stretch>
          <a:fillRect/>
        </a:stretch>
      </xdr:blipFill>
      <xdr:spPr>
        <a:xfrm>
          <a:off x="7235825" y="2374801575"/>
          <a:ext cx="878840" cy="1183640"/>
        </a:xfrm>
        <a:prstGeom prst="rect">
          <a:avLst/>
        </a:prstGeom>
      </xdr:spPr>
    </xdr:pic>
    <xdr:clientData/>
  </xdr:twoCellAnchor>
  <xdr:twoCellAnchor>
    <xdr:from>
      <xdr:col>9</xdr:col>
      <xdr:colOff>6350</xdr:colOff>
      <xdr:row>2436</xdr:row>
      <xdr:rowOff>25400</xdr:rowOff>
    </xdr:from>
    <xdr:to>
      <xdr:col>9</xdr:col>
      <xdr:colOff>885190</xdr:colOff>
      <xdr:row>2436</xdr:row>
      <xdr:rowOff>1209040</xdr:rowOff>
    </xdr:to>
    <xdr:pic>
      <xdr:nvPicPr>
        <xdr:cNvPr id="7078" name="Изображение 7077" descr="resizeПП-00258622"/>
        <xdr:cNvPicPr>
          <a:picLocks noChangeAspect="1"/>
        </xdr:cNvPicPr>
      </xdr:nvPicPr>
      <xdr:blipFill>
        <a:blip xmlns:r="http://schemas.openxmlformats.org/officeDocument/2006/relationships" r:embed="rId1806"/>
        <a:stretch>
          <a:fillRect/>
        </a:stretch>
      </xdr:blipFill>
      <xdr:spPr>
        <a:xfrm>
          <a:off x="7235825" y="2376023950"/>
          <a:ext cx="878840" cy="1183640"/>
        </a:xfrm>
        <a:prstGeom prst="rect">
          <a:avLst/>
        </a:prstGeom>
      </xdr:spPr>
    </xdr:pic>
    <xdr:clientData/>
  </xdr:twoCellAnchor>
  <xdr:twoCellAnchor>
    <xdr:from>
      <xdr:col>9</xdr:col>
      <xdr:colOff>6350</xdr:colOff>
      <xdr:row>2437</xdr:row>
      <xdr:rowOff>25400</xdr:rowOff>
    </xdr:from>
    <xdr:to>
      <xdr:col>9</xdr:col>
      <xdr:colOff>885190</xdr:colOff>
      <xdr:row>2437</xdr:row>
      <xdr:rowOff>1209040</xdr:rowOff>
    </xdr:to>
    <xdr:pic>
      <xdr:nvPicPr>
        <xdr:cNvPr id="7079" name="Изображение 7078" descr="resizeПП-00258637"/>
        <xdr:cNvPicPr>
          <a:picLocks noChangeAspect="1"/>
        </xdr:cNvPicPr>
      </xdr:nvPicPr>
      <xdr:blipFill>
        <a:blip xmlns:r="http://schemas.openxmlformats.org/officeDocument/2006/relationships" r:embed="rId1807"/>
        <a:stretch>
          <a:fillRect/>
        </a:stretch>
      </xdr:blipFill>
      <xdr:spPr>
        <a:xfrm>
          <a:off x="7235825" y="2377246325"/>
          <a:ext cx="878840" cy="1183640"/>
        </a:xfrm>
        <a:prstGeom prst="rect">
          <a:avLst/>
        </a:prstGeom>
      </xdr:spPr>
    </xdr:pic>
    <xdr:clientData/>
  </xdr:twoCellAnchor>
  <xdr:twoCellAnchor>
    <xdr:from>
      <xdr:col>9</xdr:col>
      <xdr:colOff>6350</xdr:colOff>
      <xdr:row>2438</xdr:row>
      <xdr:rowOff>25400</xdr:rowOff>
    </xdr:from>
    <xdr:to>
      <xdr:col>9</xdr:col>
      <xdr:colOff>885190</xdr:colOff>
      <xdr:row>2438</xdr:row>
      <xdr:rowOff>1209040</xdr:rowOff>
    </xdr:to>
    <xdr:pic>
      <xdr:nvPicPr>
        <xdr:cNvPr id="7080" name="Изображение 7079" descr="resizeПП-00258632"/>
        <xdr:cNvPicPr>
          <a:picLocks noChangeAspect="1"/>
        </xdr:cNvPicPr>
      </xdr:nvPicPr>
      <xdr:blipFill>
        <a:blip xmlns:r="http://schemas.openxmlformats.org/officeDocument/2006/relationships" r:embed="rId1807"/>
        <a:stretch>
          <a:fillRect/>
        </a:stretch>
      </xdr:blipFill>
      <xdr:spPr>
        <a:xfrm>
          <a:off x="7235825" y="2378468700"/>
          <a:ext cx="878840" cy="1183640"/>
        </a:xfrm>
        <a:prstGeom prst="rect">
          <a:avLst/>
        </a:prstGeom>
      </xdr:spPr>
    </xdr:pic>
    <xdr:clientData/>
  </xdr:twoCellAnchor>
  <xdr:twoCellAnchor>
    <xdr:from>
      <xdr:col>9</xdr:col>
      <xdr:colOff>6350</xdr:colOff>
      <xdr:row>2439</xdr:row>
      <xdr:rowOff>25400</xdr:rowOff>
    </xdr:from>
    <xdr:to>
      <xdr:col>9</xdr:col>
      <xdr:colOff>885190</xdr:colOff>
      <xdr:row>2439</xdr:row>
      <xdr:rowOff>1209040</xdr:rowOff>
    </xdr:to>
    <xdr:pic>
      <xdr:nvPicPr>
        <xdr:cNvPr id="7081" name="Изображение 7080" descr="resizeПП-00258625"/>
        <xdr:cNvPicPr>
          <a:picLocks noChangeAspect="1"/>
        </xdr:cNvPicPr>
      </xdr:nvPicPr>
      <xdr:blipFill>
        <a:blip xmlns:r="http://schemas.openxmlformats.org/officeDocument/2006/relationships" r:embed="rId1808"/>
        <a:stretch>
          <a:fillRect/>
        </a:stretch>
      </xdr:blipFill>
      <xdr:spPr>
        <a:xfrm>
          <a:off x="7235825" y="2379691075"/>
          <a:ext cx="878840" cy="1183640"/>
        </a:xfrm>
        <a:prstGeom prst="rect">
          <a:avLst/>
        </a:prstGeom>
      </xdr:spPr>
    </xdr:pic>
    <xdr:clientData/>
  </xdr:twoCellAnchor>
  <xdr:twoCellAnchor>
    <xdr:from>
      <xdr:col>9</xdr:col>
      <xdr:colOff>6350</xdr:colOff>
      <xdr:row>2442</xdr:row>
      <xdr:rowOff>25400</xdr:rowOff>
    </xdr:from>
    <xdr:to>
      <xdr:col>9</xdr:col>
      <xdr:colOff>885190</xdr:colOff>
      <xdr:row>2442</xdr:row>
      <xdr:rowOff>1209040</xdr:rowOff>
    </xdr:to>
    <xdr:pic>
      <xdr:nvPicPr>
        <xdr:cNvPr id="7082" name="Изображение 7081" descr="resizeПП-00208310"/>
        <xdr:cNvPicPr>
          <a:picLocks noChangeAspect="1"/>
        </xdr:cNvPicPr>
      </xdr:nvPicPr>
      <xdr:blipFill>
        <a:blip xmlns:r="http://schemas.openxmlformats.org/officeDocument/2006/relationships" r:embed="rId1809"/>
        <a:stretch>
          <a:fillRect/>
        </a:stretch>
      </xdr:blipFill>
      <xdr:spPr>
        <a:xfrm>
          <a:off x="7235825" y="2381218250"/>
          <a:ext cx="878840" cy="1183640"/>
        </a:xfrm>
        <a:prstGeom prst="rect">
          <a:avLst/>
        </a:prstGeom>
      </xdr:spPr>
    </xdr:pic>
    <xdr:clientData/>
  </xdr:twoCellAnchor>
  <xdr:twoCellAnchor>
    <xdr:from>
      <xdr:col>9</xdr:col>
      <xdr:colOff>6350</xdr:colOff>
      <xdr:row>2445</xdr:row>
      <xdr:rowOff>25400</xdr:rowOff>
    </xdr:from>
    <xdr:to>
      <xdr:col>9</xdr:col>
      <xdr:colOff>885190</xdr:colOff>
      <xdr:row>2445</xdr:row>
      <xdr:rowOff>1209040</xdr:rowOff>
    </xdr:to>
    <xdr:pic>
      <xdr:nvPicPr>
        <xdr:cNvPr id="7083" name="Изображение 7082" descr="resizeПП-00252187"/>
        <xdr:cNvPicPr>
          <a:picLocks noChangeAspect="1"/>
        </xdr:cNvPicPr>
      </xdr:nvPicPr>
      <xdr:blipFill>
        <a:blip xmlns:r="http://schemas.openxmlformats.org/officeDocument/2006/relationships" r:embed="rId1810"/>
        <a:stretch>
          <a:fillRect/>
        </a:stretch>
      </xdr:blipFill>
      <xdr:spPr>
        <a:xfrm>
          <a:off x="7235825" y="2382745425"/>
          <a:ext cx="878840" cy="1183640"/>
        </a:xfrm>
        <a:prstGeom prst="rect">
          <a:avLst/>
        </a:prstGeom>
      </xdr:spPr>
    </xdr:pic>
    <xdr:clientData/>
  </xdr:twoCellAnchor>
  <xdr:twoCellAnchor>
    <xdr:from>
      <xdr:col>9</xdr:col>
      <xdr:colOff>6350</xdr:colOff>
      <xdr:row>2446</xdr:row>
      <xdr:rowOff>25400</xdr:rowOff>
    </xdr:from>
    <xdr:to>
      <xdr:col>9</xdr:col>
      <xdr:colOff>885190</xdr:colOff>
      <xdr:row>2446</xdr:row>
      <xdr:rowOff>1209040</xdr:rowOff>
    </xdr:to>
    <xdr:pic>
      <xdr:nvPicPr>
        <xdr:cNvPr id="7084" name="Изображение 7083" descr="resizeПП-00271848"/>
        <xdr:cNvPicPr>
          <a:picLocks noChangeAspect="1"/>
        </xdr:cNvPicPr>
      </xdr:nvPicPr>
      <xdr:blipFill>
        <a:blip xmlns:r="http://schemas.openxmlformats.org/officeDocument/2006/relationships" r:embed="rId1811"/>
        <a:stretch>
          <a:fillRect/>
        </a:stretch>
      </xdr:blipFill>
      <xdr:spPr>
        <a:xfrm>
          <a:off x="7235825" y="2383967800"/>
          <a:ext cx="878840" cy="1183640"/>
        </a:xfrm>
        <a:prstGeom prst="rect">
          <a:avLst/>
        </a:prstGeom>
      </xdr:spPr>
    </xdr:pic>
    <xdr:clientData/>
  </xdr:twoCellAnchor>
  <xdr:twoCellAnchor>
    <xdr:from>
      <xdr:col>9</xdr:col>
      <xdr:colOff>6350</xdr:colOff>
      <xdr:row>2447</xdr:row>
      <xdr:rowOff>25400</xdr:rowOff>
    </xdr:from>
    <xdr:to>
      <xdr:col>9</xdr:col>
      <xdr:colOff>885190</xdr:colOff>
      <xdr:row>2447</xdr:row>
      <xdr:rowOff>1209040</xdr:rowOff>
    </xdr:to>
    <xdr:pic>
      <xdr:nvPicPr>
        <xdr:cNvPr id="7085" name="Изображение 7084" descr="resizeПП-00271855"/>
        <xdr:cNvPicPr>
          <a:picLocks noChangeAspect="1"/>
        </xdr:cNvPicPr>
      </xdr:nvPicPr>
      <xdr:blipFill>
        <a:blip xmlns:r="http://schemas.openxmlformats.org/officeDocument/2006/relationships" r:embed="rId1812"/>
        <a:stretch>
          <a:fillRect/>
        </a:stretch>
      </xdr:blipFill>
      <xdr:spPr>
        <a:xfrm>
          <a:off x="7235825" y="2385190175"/>
          <a:ext cx="878840" cy="1183640"/>
        </a:xfrm>
        <a:prstGeom prst="rect">
          <a:avLst/>
        </a:prstGeom>
      </xdr:spPr>
    </xdr:pic>
    <xdr:clientData/>
  </xdr:twoCellAnchor>
  <xdr:twoCellAnchor>
    <xdr:from>
      <xdr:col>9</xdr:col>
      <xdr:colOff>6350</xdr:colOff>
      <xdr:row>2448</xdr:row>
      <xdr:rowOff>25400</xdr:rowOff>
    </xdr:from>
    <xdr:to>
      <xdr:col>9</xdr:col>
      <xdr:colOff>885190</xdr:colOff>
      <xdr:row>2448</xdr:row>
      <xdr:rowOff>1209040</xdr:rowOff>
    </xdr:to>
    <xdr:pic>
      <xdr:nvPicPr>
        <xdr:cNvPr id="7086" name="Изображение 7085" descr="resizeПП-00271856"/>
        <xdr:cNvPicPr>
          <a:picLocks noChangeAspect="1"/>
        </xdr:cNvPicPr>
      </xdr:nvPicPr>
      <xdr:blipFill>
        <a:blip xmlns:r="http://schemas.openxmlformats.org/officeDocument/2006/relationships" r:embed="rId1813"/>
        <a:stretch>
          <a:fillRect/>
        </a:stretch>
      </xdr:blipFill>
      <xdr:spPr>
        <a:xfrm>
          <a:off x="7235825" y="2386412550"/>
          <a:ext cx="878840" cy="1183640"/>
        </a:xfrm>
        <a:prstGeom prst="rect">
          <a:avLst/>
        </a:prstGeom>
      </xdr:spPr>
    </xdr:pic>
    <xdr:clientData/>
  </xdr:twoCellAnchor>
  <xdr:twoCellAnchor>
    <xdr:from>
      <xdr:col>9</xdr:col>
      <xdr:colOff>6350</xdr:colOff>
      <xdr:row>2449</xdr:row>
      <xdr:rowOff>25400</xdr:rowOff>
    </xdr:from>
    <xdr:to>
      <xdr:col>9</xdr:col>
      <xdr:colOff>885190</xdr:colOff>
      <xdr:row>2449</xdr:row>
      <xdr:rowOff>1209040</xdr:rowOff>
    </xdr:to>
    <xdr:pic>
      <xdr:nvPicPr>
        <xdr:cNvPr id="7087" name="Изображение 7086" descr="resizeПП-00271853"/>
        <xdr:cNvPicPr>
          <a:picLocks noChangeAspect="1"/>
        </xdr:cNvPicPr>
      </xdr:nvPicPr>
      <xdr:blipFill>
        <a:blip xmlns:r="http://schemas.openxmlformats.org/officeDocument/2006/relationships" r:embed="rId1814"/>
        <a:stretch>
          <a:fillRect/>
        </a:stretch>
      </xdr:blipFill>
      <xdr:spPr>
        <a:xfrm>
          <a:off x="7235825" y="2387634925"/>
          <a:ext cx="878840" cy="1183640"/>
        </a:xfrm>
        <a:prstGeom prst="rect">
          <a:avLst/>
        </a:prstGeom>
      </xdr:spPr>
    </xdr:pic>
    <xdr:clientData/>
  </xdr:twoCellAnchor>
  <xdr:twoCellAnchor>
    <xdr:from>
      <xdr:col>9</xdr:col>
      <xdr:colOff>6350</xdr:colOff>
      <xdr:row>2450</xdr:row>
      <xdr:rowOff>25400</xdr:rowOff>
    </xdr:from>
    <xdr:to>
      <xdr:col>9</xdr:col>
      <xdr:colOff>885190</xdr:colOff>
      <xdr:row>2450</xdr:row>
      <xdr:rowOff>1209040</xdr:rowOff>
    </xdr:to>
    <xdr:pic>
      <xdr:nvPicPr>
        <xdr:cNvPr id="7088" name="Изображение 7087" descr="resizeПП-00252191"/>
        <xdr:cNvPicPr>
          <a:picLocks noChangeAspect="1"/>
        </xdr:cNvPicPr>
      </xdr:nvPicPr>
      <xdr:blipFill>
        <a:blip xmlns:r="http://schemas.openxmlformats.org/officeDocument/2006/relationships" r:embed="rId1815"/>
        <a:stretch>
          <a:fillRect/>
        </a:stretch>
      </xdr:blipFill>
      <xdr:spPr>
        <a:xfrm>
          <a:off x="7235825" y="2388857300"/>
          <a:ext cx="878840" cy="1183640"/>
        </a:xfrm>
        <a:prstGeom prst="rect">
          <a:avLst/>
        </a:prstGeom>
      </xdr:spPr>
    </xdr:pic>
    <xdr:clientData/>
  </xdr:twoCellAnchor>
  <xdr:twoCellAnchor>
    <xdr:from>
      <xdr:col>9</xdr:col>
      <xdr:colOff>6350</xdr:colOff>
      <xdr:row>2451</xdr:row>
      <xdr:rowOff>25400</xdr:rowOff>
    </xdr:from>
    <xdr:to>
      <xdr:col>9</xdr:col>
      <xdr:colOff>885190</xdr:colOff>
      <xdr:row>2451</xdr:row>
      <xdr:rowOff>1209040</xdr:rowOff>
    </xdr:to>
    <xdr:pic>
      <xdr:nvPicPr>
        <xdr:cNvPr id="7089" name="Изображение 7088" descr="resizeПП-00271847"/>
        <xdr:cNvPicPr>
          <a:picLocks noChangeAspect="1"/>
        </xdr:cNvPicPr>
      </xdr:nvPicPr>
      <xdr:blipFill>
        <a:blip xmlns:r="http://schemas.openxmlformats.org/officeDocument/2006/relationships" r:embed="rId1816"/>
        <a:stretch>
          <a:fillRect/>
        </a:stretch>
      </xdr:blipFill>
      <xdr:spPr>
        <a:xfrm>
          <a:off x="7235825" y="2390079675"/>
          <a:ext cx="878840" cy="1183640"/>
        </a:xfrm>
        <a:prstGeom prst="rect">
          <a:avLst/>
        </a:prstGeom>
      </xdr:spPr>
    </xdr:pic>
    <xdr:clientData/>
  </xdr:twoCellAnchor>
  <xdr:twoCellAnchor>
    <xdr:from>
      <xdr:col>9</xdr:col>
      <xdr:colOff>6350</xdr:colOff>
      <xdr:row>2452</xdr:row>
      <xdr:rowOff>25400</xdr:rowOff>
    </xdr:from>
    <xdr:to>
      <xdr:col>9</xdr:col>
      <xdr:colOff>885190</xdr:colOff>
      <xdr:row>2452</xdr:row>
      <xdr:rowOff>1209040</xdr:rowOff>
    </xdr:to>
    <xdr:pic>
      <xdr:nvPicPr>
        <xdr:cNvPr id="7090" name="Изображение 7089" descr="resizeПП-00252182"/>
        <xdr:cNvPicPr>
          <a:picLocks noChangeAspect="1"/>
        </xdr:cNvPicPr>
      </xdr:nvPicPr>
      <xdr:blipFill>
        <a:blip xmlns:r="http://schemas.openxmlformats.org/officeDocument/2006/relationships" r:embed="rId1817"/>
        <a:stretch>
          <a:fillRect/>
        </a:stretch>
      </xdr:blipFill>
      <xdr:spPr>
        <a:xfrm>
          <a:off x="7235825" y="2391302050"/>
          <a:ext cx="878840" cy="1183640"/>
        </a:xfrm>
        <a:prstGeom prst="rect">
          <a:avLst/>
        </a:prstGeom>
      </xdr:spPr>
    </xdr:pic>
    <xdr:clientData/>
  </xdr:twoCellAnchor>
  <xdr:twoCellAnchor>
    <xdr:from>
      <xdr:col>9</xdr:col>
      <xdr:colOff>6350</xdr:colOff>
      <xdr:row>2453</xdr:row>
      <xdr:rowOff>25400</xdr:rowOff>
    </xdr:from>
    <xdr:to>
      <xdr:col>9</xdr:col>
      <xdr:colOff>885190</xdr:colOff>
      <xdr:row>2453</xdr:row>
      <xdr:rowOff>1209040</xdr:rowOff>
    </xdr:to>
    <xdr:pic>
      <xdr:nvPicPr>
        <xdr:cNvPr id="7091" name="Изображение 7090" descr="resizeПП-00271854"/>
        <xdr:cNvPicPr>
          <a:picLocks noChangeAspect="1"/>
        </xdr:cNvPicPr>
      </xdr:nvPicPr>
      <xdr:blipFill>
        <a:blip xmlns:r="http://schemas.openxmlformats.org/officeDocument/2006/relationships" r:embed="rId1818"/>
        <a:stretch>
          <a:fillRect/>
        </a:stretch>
      </xdr:blipFill>
      <xdr:spPr>
        <a:xfrm>
          <a:off x="7235825" y="2392524425"/>
          <a:ext cx="878840" cy="1183640"/>
        </a:xfrm>
        <a:prstGeom prst="rect">
          <a:avLst/>
        </a:prstGeom>
      </xdr:spPr>
    </xdr:pic>
    <xdr:clientData/>
  </xdr:twoCellAnchor>
  <xdr:twoCellAnchor>
    <xdr:from>
      <xdr:col>9</xdr:col>
      <xdr:colOff>6350</xdr:colOff>
      <xdr:row>2454</xdr:row>
      <xdr:rowOff>25400</xdr:rowOff>
    </xdr:from>
    <xdr:to>
      <xdr:col>9</xdr:col>
      <xdr:colOff>885190</xdr:colOff>
      <xdr:row>2454</xdr:row>
      <xdr:rowOff>1209040</xdr:rowOff>
    </xdr:to>
    <xdr:pic>
      <xdr:nvPicPr>
        <xdr:cNvPr id="7092" name="Изображение 7091" descr="resizeПП-00252189"/>
        <xdr:cNvPicPr>
          <a:picLocks noChangeAspect="1"/>
        </xdr:cNvPicPr>
      </xdr:nvPicPr>
      <xdr:blipFill>
        <a:blip xmlns:r="http://schemas.openxmlformats.org/officeDocument/2006/relationships" r:embed="rId1819"/>
        <a:stretch>
          <a:fillRect/>
        </a:stretch>
      </xdr:blipFill>
      <xdr:spPr>
        <a:xfrm>
          <a:off x="7235825" y="2393746800"/>
          <a:ext cx="878840" cy="1183640"/>
        </a:xfrm>
        <a:prstGeom prst="rect">
          <a:avLst/>
        </a:prstGeom>
      </xdr:spPr>
    </xdr:pic>
    <xdr:clientData/>
  </xdr:twoCellAnchor>
  <xdr:twoCellAnchor>
    <xdr:from>
      <xdr:col>9</xdr:col>
      <xdr:colOff>6350</xdr:colOff>
      <xdr:row>2455</xdr:row>
      <xdr:rowOff>25400</xdr:rowOff>
    </xdr:from>
    <xdr:to>
      <xdr:col>9</xdr:col>
      <xdr:colOff>885190</xdr:colOff>
      <xdr:row>2455</xdr:row>
      <xdr:rowOff>1209040</xdr:rowOff>
    </xdr:to>
    <xdr:pic>
      <xdr:nvPicPr>
        <xdr:cNvPr id="7093" name="Изображение 7092" descr="resizeПП-00252181"/>
        <xdr:cNvPicPr>
          <a:picLocks noChangeAspect="1"/>
        </xdr:cNvPicPr>
      </xdr:nvPicPr>
      <xdr:blipFill>
        <a:blip xmlns:r="http://schemas.openxmlformats.org/officeDocument/2006/relationships" r:embed="rId1820"/>
        <a:stretch>
          <a:fillRect/>
        </a:stretch>
      </xdr:blipFill>
      <xdr:spPr>
        <a:xfrm>
          <a:off x="7235825" y="2394969175"/>
          <a:ext cx="878840" cy="1183640"/>
        </a:xfrm>
        <a:prstGeom prst="rect">
          <a:avLst/>
        </a:prstGeom>
      </xdr:spPr>
    </xdr:pic>
    <xdr:clientData/>
  </xdr:twoCellAnchor>
  <xdr:twoCellAnchor>
    <xdr:from>
      <xdr:col>9</xdr:col>
      <xdr:colOff>6350</xdr:colOff>
      <xdr:row>2456</xdr:row>
      <xdr:rowOff>25400</xdr:rowOff>
    </xdr:from>
    <xdr:to>
      <xdr:col>9</xdr:col>
      <xdr:colOff>885190</xdr:colOff>
      <xdr:row>2456</xdr:row>
      <xdr:rowOff>1209040</xdr:rowOff>
    </xdr:to>
    <xdr:pic>
      <xdr:nvPicPr>
        <xdr:cNvPr id="7094" name="Изображение 7093" descr="resizeПП-00271849"/>
        <xdr:cNvPicPr>
          <a:picLocks noChangeAspect="1"/>
        </xdr:cNvPicPr>
      </xdr:nvPicPr>
      <xdr:blipFill>
        <a:blip xmlns:r="http://schemas.openxmlformats.org/officeDocument/2006/relationships" r:embed="rId1821"/>
        <a:stretch>
          <a:fillRect/>
        </a:stretch>
      </xdr:blipFill>
      <xdr:spPr>
        <a:xfrm>
          <a:off x="7235825" y="2396191550"/>
          <a:ext cx="878840" cy="1183640"/>
        </a:xfrm>
        <a:prstGeom prst="rect">
          <a:avLst/>
        </a:prstGeom>
      </xdr:spPr>
    </xdr:pic>
    <xdr:clientData/>
  </xdr:twoCellAnchor>
  <xdr:twoCellAnchor>
    <xdr:from>
      <xdr:col>9</xdr:col>
      <xdr:colOff>6350</xdr:colOff>
      <xdr:row>2457</xdr:row>
      <xdr:rowOff>25400</xdr:rowOff>
    </xdr:from>
    <xdr:to>
      <xdr:col>9</xdr:col>
      <xdr:colOff>885190</xdr:colOff>
      <xdr:row>2457</xdr:row>
      <xdr:rowOff>1209040</xdr:rowOff>
    </xdr:to>
    <xdr:pic>
      <xdr:nvPicPr>
        <xdr:cNvPr id="7095" name="Изображение 7094" descr="resizeПП-00271850"/>
        <xdr:cNvPicPr>
          <a:picLocks noChangeAspect="1"/>
        </xdr:cNvPicPr>
      </xdr:nvPicPr>
      <xdr:blipFill>
        <a:blip xmlns:r="http://schemas.openxmlformats.org/officeDocument/2006/relationships" r:embed="rId1822"/>
        <a:stretch>
          <a:fillRect/>
        </a:stretch>
      </xdr:blipFill>
      <xdr:spPr>
        <a:xfrm>
          <a:off x="7235825" y="2397413925"/>
          <a:ext cx="878840" cy="1183640"/>
        </a:xfrm>
        <a:prstGeom prst="rect">
          <a:avLst/>
        </a:prstGeom>
      </xdr:spPr>
    </xdr:pic>
    <xdr:clientData/>
  </xdr:twoCellAnchor>
  <xdr:twoCellAnchor>
    <xdr:from>
      <xdr:col>9</xdr:col>
      <xdr:colOff>6350</xdr:colOff>
      <xdr:row>2458</xdr:row>
      <xdr:rowOff>25400</xdr:rowOff>
    </xdr:from>
    <xdr:to>
      <xdr:col>9</xdr:col>
      <xdr:colOff>885190</xdr:colOff>
      <xdr:row>2458</xdr:row>
      <xdr:rowOff>1209040</xdr:rowOff>
    </xdr:to>
    <xdr:pic>
      <xdr:nvPicPr>
        <xdr:cNvPr id="7096" name="Изображение 7095" descr="resizeПП-00271851"/>
        <xdr:cNvPicPr>
          <a:picLocks noChangeAspect="1"/>
        </xdr:cNvPicPr>
      </xdr:nvPicPr>
      <xdr:blipFill>
        <a:blip xmlns:r="http://schemas.openxmlformats.org/officeDocument/2006/relationships" r:embed="rId1823"/>
        <a:stretch>
          <a:fillRect/>
        </a:stretch>
      </xdr:blipFill>
      <xdr:spPr>
        <a:xfrm>
          <a:off x="7235825" y="2398636300"/>
          <a:ext cx="878840" cy="1183640"/>
        </a:xfrm>
        <a:prstGeom prst="rect">
          <a:avLst/>
        </a:prstGeom>
      </xdr:spPr>
    </xdr:pic>
    <xdr:clientData/>
  </xdr:twoCellAnchor>
  <xdr:twoCellAnchor>
    <xdr:from>
      <xdr:col>9</xdr:col>
      <xdr:colOff>6350</xdr:colOff>
      <xdr:row>2459</xdr:row>
      <xdr:rowOff>25400</xdr:rowOff>
    </xdr:from>
    <xdr:to>
      <xdr:col>9</xdr:col>
      <xdr:colOff>885190</xdr:colOff>
      <xdr:row>2459</xdr:row>
      <xdr:rowOff>1209040</xdr:rowOff>
    </xdr:to>
    <xdr:pic>
      <xdr:nvPicPr>
        <xdr:cNvPr id="7097" name="Изображение 7096" descr="resizeПП-00271858"/>
        <xdr:cNvPicPr>
          <a:picLocks noChangeAspect="1"/>
        </xdr:cNvPicPr>
      </xdr:nvPicPr>
      <xdr:blipFill>
        <a:blip xmlns:r="http://schemas.openxmlformats.org/officeDocument/2006/relationships" r:embed="rId1824"/>
        <a:stretch>
          <a:fillRect/>
        </a:stretch>
      </xdr:blipFill>
      <xdr:spPr>
        <a:xfrm>
          <a:off x="7235825" y="2399858675"/>
          <a:ext cx="878840" cy="1183640"/>
        </a:xfrm>
        <a:prstGeom prst="rect">
          <a:avLst/>
        </a:prstGeom>
      </xdr:spPr>
    </xdr:pic>
    <xdr:clientData/>
  </xdr:twoCellAnchor>
  <xdr:twoCellAnchor>
    <xdr:from>
      <xdr:col>9</xdr:col>
      <xdr:colOff>6350</xdr:colOff>
      <xdr:row>2460</xdr:row>
      <xdr:rowOff>25400</xdr:rowOff>
    </xdr:from>
    <xdr:to>
      <xdr:col>9</xdr:col>
      <xdr:colOff>885190</xdr:colOff>
      <xdr:row>2460</xdr:row>
      <xdr:rowOff>1209040</xdr:rowOff>
    </xdr:to>
    <xdr:pic>
      <xdr:nvPicPr>
        <xdr:cNvPr id="7098" name="Изображение 7097" descr="resizeПП-00252192"/>
        <xdr:cNvPicPr>
          <a:picLocks noChangeAspect="1"/>
        </xdr:cNvPicPr>
      </xdr:nvPicPr>
      <xdr:blipFill>
        <a:blip xmlns:r="http://schemas.openxmlformats.org/officeDocument/2006/relationships" r:embed="rId1825"/>
        <a:stretch>
          <a:fillRect/>
        </a:stretch>
      </xdr:blipFill>
      <xdr:spPr>
        <a:xfrm>
          <a:off x="7235825" y="2401081050"/>
          <a:ext cx="878840" cy="1183640"/>
        </a:xfrm>
        <a:prstGeom prst="rect">
          <a:avLst/>
        </a:prstGeom>
      </xdr:spPr>
    </xdr:pic>
    <xdr:clientData/>
  </xdr:twoCellAnchor>
  <xdr:twoCellAnchor>
    <xdr:from>
      <xdr:col>9</xdr:col>
      <xdr:colOff>6350</xdr:colOff>
      <xdr:row>2461</xdr:row>
      <xdr:rowOff>25400</xdr:rowOff>
    </xdr:from>
    <xdr:to>
      <xdr:col>9</xdr:col>
      <xdr:colOff>885190</xdr:colOff>
      <xdr:row>2461</xdr:row>
      <xdr:rowOff>1209040</xdr:rowOff>
    </xdr:to>
    <xdr:pic>
      <xdr:nvPicPr>
        <xdr:cNvPr id="7099" name="Изображение 7098" descr="resizeПП-00271846"/>
        <xdr:cNvPicPr>
          <a:picLocks noChangeAspect="1"/>
        </xdr:cNvPicPr>
      </xdr:nvPicPr>
      <xdr:blipFill>
        <a:blip xmlns:r="http://schemas.openxmlformats.org/officeDocument/2006/relationships" r:embed="rId1826"/>
        <a:stretch>
          <a:fillRect/>
        </a:stretch>
      </xdr:blipFill>
      <xdr:spPr>
        <a:xfrm>
          <a:off x="7235825" y="2402303425"/>
          <a:ext cx="878840" cy="1183640"/>
        </a:xfrm>
        <a:prstGeom prst="rect">
          <a:avLst/>
        </a:prstGeom>
      </xdr:spPr>
    </xdr:pic>
    <xdr:clientData/>
  </xdr:twoCellAnchor>
  <xdr:twoCellAnchor>
    <xdr:from>
      <xdr:col>9</xdr:col>
      <xdr:colOff>6350</xdr:colOff>
      <xdr:row>2462</xdr:row>
      <xdr:rowOff>25400</xdr:rowOff>
    </xdr:from>
    <xdr:to>
      <xdr:col>9</xdr:col>
      <xdr:colOff>885190</xdr:colOff>
      <xdr:row>2462</xdr:row>
      <xdr:rowOff>1209040</xdr:rowOff>
    </xdr:to>
    <xdr:pic>
      <xdr:nvPicPr>
        <xdr:cNvPr id="7100" name="Изображение 7099" descr="resizeПП-00271857"/>
        <xdr:cNvPicPr>
          <a:picLocks noChangeAspect="1"/>
        </xdr:cNvPicPr>
      </xdr:nvPicPr>
      <xdr:blipFill>
        <a:blip xmlns:r="http://schemas.openxmlformats.org/officeDocument/2006/relationships" r:embed="rId1827"/>
        <a:stretch>
          <a:fillRect/>
        </a:stretch>
      </xdr:blipFill>
      <xdr:spPr>
        <a:xfrm>
          <a:off x="7235825" y="2403525800"/>
          <a:ext cx="878840" cy="1183640"/>
        </a:xfrm>
        <a:prstGeom prst="rect">
          <a:avLst/>
        </a:prstGeom>
      </xdr:spPr>
    </xdr:pic>
    <xdr:clientData/>
  </xdr:twoCellAnchor>
  <xdr:twoCellAnchor>
    <xdr:from>
      <xdr:col>9</xdr:col>
      <xdr:colOff>6350</xdr:colOff>
      <xdr:row>2463</xdr:row>
      <xdr:rowOff>25400</xdr:rowOff>
    </xdr:from>
    <xdr:to>
      <xdr:col>9</xdr:col>
      <xdr:colOff>885190</xdr:colOff>
      <xdr:row>2463</xdr:row>
      <xdr:rowOff>1209040</xdr:rowOff>
    </xdr:to>
    <xdr:pic>
      <xdr:nvPicPr>
        <xdr:cNvPr id="7101" name="Изображение 7100" descr="resizeПП-00252184"/>
        <xdr:cNvPicPr>
          <a:picLocks noChangeAspect="1"/>
        </xdr:cNvPicPr>
      </xdr:nvPicPr>
      <xdr:blipFill>
        <a:blip xmlns:r="http://schemas.openxmlformats.org/officeDocument/2006/relationships" r:embed="rId1828"/>
        <a:stretch>
          <a:fillRect/>
        </a:stretch>
      </xdr:blipFill>
      <xdr:spPr>
        <a:xfrm>
          <a:off x="7235825" y="2404748175"/>
          <a:ext cx="878840" cy="1183640"/>
        </a:xfrm>
        <a:prstGeom prst="rect">
          <a:avLst/>
        </a:prstGeom>
      </xdr:spPr>
    </xdr:pic>
    <xdr:clientData/>
  </xdr:twoCellAnchor>
  <xdr:twoCellAnchor>
    <xdr:from>
      <xdr:col>9</xdr:col>
      <xdr:colOff>6350</xdr:colOff>
      <xdr:row>2464</xdr:row>
      <xdr:rowOff>25400</xdr:rowOff>
    </xdr:from>
    <xdr:to>
      <xdr:col>9</xdr:col>
      <xdr:colOff>885190</xdr:colOff>
      <xdr:row>2464</xdr:row>
      <xdr:rowOff>1209040</xdr:rowOff>
    </xdr:to>
    <xdr:pic>
      <xdr:nvPicPr>
        <xdr:cNvPr id="7102" name="Изображение 7101" descr="resizeПП-00230112"/>
        <xdr:cNvPicPr>
          <a:picLocks noChangeAspect="1"/>
        </xdr:cNvPicPr>
      </xdr:nvPicPr>
      <xdr:blipFill>
        <a:blip xmlns:r="http://schemas.openxmlformats.org/officeDocument/2006/relationships" r:embed="rId1829"/>
        <a:stretch>
          <a:fillRect/>
        </a:stretch>
      </xdr:blipFill>
      <xdr:spPr>
        <a:xfrm>
          <a:off x="7235825" y="2405970550"/>
          <a:ext cx="878840" cy="1183640"/>
        </a:xfrm>
        <a:prstGeom prst="rect">
          <a:avLst/>
        </a:prstGeom>
      </xdr:spPr>
    </xdr:pic>
    <xdr:clientData/>
  </xdr:twoCellAnchor>
  <xdr:twoCellAnchor>
    <xdr:from>
      <xdr:col>9</xdr:col>
      <xdr:colOff>6350</xdr:colOff>
      <xdr:row>2465</xdr:row>
      <xdr:rowOff>25400</xdr:rowOff>
    </xdr:from>
    <xdr:to>
      <xdr:col>9</xdr:col>
      <xdr:colOff>885190</xdr:colOff>
      <xdr:row>2465</xdr:row>
      <xdr:rowOff>1209040</xdr:rowOff>
    </xdr:to>
    <xdr:pic>
      <xdr:nvPicPr>
        <xdr:cNvPr id="7103" name="Изображение 7102" descr="resizeПП-00230105"/>
        <xdr:cNvPicPr>
          <a:picLocks noChangeAspect="1"/>
        </xdr:cNvPicPr>
      </xdr:nvPicPr>
      <xdr:blipFill>
        <a:blip xmlns:r="http://schemas.openxmlformats.org/officeDocument/2006/relationships" r:embed="rId1830"/>
        <a:stretch>
          <a:fillRect/>
        </a:stretch>
      </xdr:blipFill>
      <xdr:spPr>
        <a:xfrm>
          <a:off x="7235825" y="2407192925"/>
          <a:ext cx="878840" cy="1183640"/>
        </a:xfrm>
        <a:prstGeom prst="rect">
          <a:avLst/>
        </a:prstGeom>
      </xdr:spPr>
    </xdr:pic>
    <xdr:clientData/>
  </xdr:twoCellAnchor>
  <xdr:twoCellAnchor>
    <xdr:from>
      <xdr:col>9</xdr:col>
      <xdr:colOff>6350</xdr:colOff>
      <xdr:row>2467</xdr:row>
      <xdr:rowOff>25400</xdr:rowOff>
    </xdr:from>
    <xdr:to>
      <xdr:col>9</xdr:col>
      <xdr:colOff>885190</xdr:colOff>
      <xdr:row>2467</xdr:row>
      <xdr:rowOff>1209040</xdr:rowOff>
    </xdr:to>
    <xdr:pic>
      <xdr:nvPicPr>
        <xdr:cNvPr id="7104" name="Изображение 7103" descr="resizeПП-00272034"/>
        <xdr:cNvPicPr>
          <a:picLocks noChangeAspect="1"/>
        </xdr:cNvPicPr>
      </xdr:nvPicPr>
      <xdr:blipFill>
        <a:blip xmlns:r="http://schemas.openxmlformats.org/officeDocument/2006/relationships" r:embed="rId1831"/>
        <a:stretch>
          <a:fillRect/>
        </a:stretch>
      </xdr:blipFill>
      <xdr:spPr>
        <a:xfrm>
          <a:off x="7235825" y="2408567700"/>
          <a:ext cx="878840" cy="1183640"/>
        </a:xfrm>
        <a:prstGeom prst="rect">
          <a:avLst/>
        </a:prstGeom>
      </xdr:spPr>
    </xdr:pic>
    <xdr:clientData/>
  </xdr:twoCellAnchor>
  <xdr:twoCellAnchor>
    <xdr:from>
      <xdr:col>9</xdr:col>
      <xdr:colOff>6350</xdr:colOff>
      <xdr:row>2468</xdr:row>
      <xdr:rowOff>25400</xdr:rowOff>
    </xdr:from>
    <xdr:to>
      <xdr:col>9</xdr:col>
      <xdr:colOff>885190</xdr:colOff>
      <xdr:row>2468</xdr:row>
      <xdr:rowOff>1209040</xdr:rowOff>
    </xdr:to>
    <xdr:pic>
      <xdr:nvPicPr>
        <xdr:cNvPr id="7105" name="Изображение 7104" descr="resizeПП-00272035"/>
        <xdr:cNvPicPr>
          <a:picLocks noChangeAspect="1"/>
        </xdr:cNvPicPr>
      </xdr:nvPicPr>
      <xdr:blipFill>
        <a:blip xmlns:r="http://schemas.openxmlformats.org/officeDocument/2006/relationships" r:embed="rId1832"/>
        <a:stretch>
          <a:fillRect/>
        </a:stretch>
      </xdr:blipFill>
      <xdr:spPr>
        <a:xfrm>
          <a:off x="7235825" y="2409790075"/>
          <a:ext cx="878840" cy="1183640"/>
        </a:xfrm>
        <a:prstGeom prst="rect">
          <a:avLst/>
        </a:prstGeom>
      </xdr:spPr>
    </xdr:pic>
    <xdr:clientData/>
  </xdr:twoCellAnchor>
  <xdr:twoCellAnchor>
    <xdr:from>
      <xdr:col>9</xdr:col>
      <xdr:colOff>6350</xdr:colOff>
      <xdr:row>2469</xdr:row>
      <xdr:rowOff>25400</xdr:rowOff>
    </xdr:from>
    <xdr:to>
      <xdr:col>9</xdr:col>
      <xdr:colOff>885190</xdr:colOff>
      <xdr:row>2469</xdr:row>
      <xdr:rowOff>1209040</xdr:rowOff>
    </xdr:to>
    <xdr:pic>
      <xdr:nvPicPr>
        <xdr:cNvPr id="7106" name="Изображение 7105" descr="resizeПП-00272032"/>
        <xdr:cNvPicPr>
          <a:picLocks noChangeAspect="1"/>
        </xdr:cNvPicPr>
      </xdr:nvPicPr>
      <xdr:blipFill>
        <a:blip xmlns:r="http://schemas.openxmlformats.org/officeDocument/2006/relationships" r:embed="rId1833"/>
        <a:stretch>
          <a:fillRect/>
        </a:stretch>
      </xdr:blipFill>
      <xdr:spPr>
        <a:xfrm>
          <a:off x="7235825" y="2411012450"/>
          <a:ext cx="878840" cy="1183640"/>
        </a:xfrm>
        <a:prstGeom prst="rect">
          <a:avLst/>
        </a:prstGeom>
      </xdr:spPr>
    </xdr:pic>
    <xdr:clientData/>
  </xdr:twoCellAnchor>
  <xdr:twoCellAnchor>
    <xdr:from>
      <xdr:col>9</xdr:col>
      <xdr:colOff>6350</xdr:colOff>
      <xdr:row>2470</xdr:row>
      <xdr:rowOff>25400</xdr:rowOff>
    </xdr:from>
    <xdr:to>
      <xdr:col>9</xdr:col>
      <xdr:colOff>885190</xdr:colOff>
      <xdr:row>2470</xdr:row>
      <xdr:rowOff>1209040</xdr:rowOff>
    </xdr:to>
    <xdr:pic>
      <xdr:nvPicPr>
        <xdr:cNvPr id="7107" name="Изображение 7106" descr="resizeПП-00272021"/>
        <xdr:cNvPicPr>
          <a:picLocks noChangeAspect="1"/>
        </xdr:cNvPicPr>
      </xdr:nvPicPr>
      <xdr:blipFill>
        <a:blip xmlns:r="http://schemas.openxmlformats.org/officeDocument/2006/relationships" r:embed="rId1834"/>
        <a:stretch>
          <a:fillRect/>
        </a:stretch>
      </xdr:blipFill>
      <xdr:spPr>
        <a:xfrm>
          <a:off x="7235825" y="2412234825"/>
          <a:ext cx="878840" cy="1183640"/>
        </a:xfrm>
        <a:prstGeom prst="rect">
          <a:avLst/>
        </a:prstGeom>
      </xdr:spPr>
    </xdr:pic>
    <xdr:clientData/>
  </xdr:twoCellAnchor>
  <xdr:twoCellAnchor>
    <xdr:from>
      <xdr:col>9</xdr:col>
      <xdr:colOff>6350</xdr:colOff>
      <xdr:row>2471</xdr:row>
      <xdr:rowOff>25400</xdr:rowOff>
    </xdr:from>
    <xdr:to>
      <xdr:col>9</xdr:col>
      <xdr:colOff>885190</xdr:colOff>
      <xdr:row>2471</xdr:row>
      <xdr:rowOff>1209040</xdr:rowOff>
    </xdr:to>
    <xdr:pic>
      <xdr:nvPicPr>
        <xdr:cNvPr id="7108" name="Изображение 7107" descr="resizeПП-00208753"/>
        <xdr:cNvPicPr>
          <a:picLocks noChangeAspect="1"/>
        </xdr:cNvPicPr>
      </xdr:nvPicPr>
      <xdr:blipFill>
        <a:blip xmlns:r="http://schemas.openxmlformats.org/officeDocument/2006/relationships" r:embed="rId1835"/>
        <a:stretch>
          <a:fillRect/>
        </a:stretch>
      </xdr:blipFill>
      <xdr:spPr>
        <a:xfrm>
          <a:off x="7235825" y="2413457200"/>
          <a:ext cx="878840" cy="1183640"/>
        </a:xfrm>
        <a:prstGeom prst="rect">
          <a:avLst/>
        </a:prstGeom>
      </xdr:spPr>
    </xdr:pic>
    <xdr:clientData/>
  </xdr:twoCellAnchor>
  <xdr:twoCellAnchor>
    <xdr:from>
      <xdr:col>9</xdr:col>
      <xdr:colOff>6350</xdr:colOff>
      <xdr:row>2473</xdr:row>
      <xdr:rowOff>25400</xdr:rowOff>
    </xdr:from>
    <xdr:to>
      <xdr:col>9</xdr:col>
      <xdr:colOff>885190</xdr:colOff>
      <xdr:row>2473</xdr:row>
      <xdr:rowOff>1209040</xdr:rowOff>
    </xdr:to>
    <xdr:pic>
      <xdr:nvPicPr>
        <xdr:cNvPr id="7109" name="Изображение 7108" descr="resizeПП-00270681"/>
        <xdr:cNvPicPr>
          <a:picLocks noChangeAspect="1"/>
        </xdr:cNvPicPr>
      </xdr:nvPicPr>
      <xdr:blipFill>
        <a:blip xmlns:r="http://schemas.openxmlformats.org/officeDocument/2006/relationships" r:embed="rId1836"/>
        <a:stretch>
          <a:fillRect/>
        </a:stretch>
      </xdr:blipFill>
      <xdr:spPr>
        <a:xfrm>
          <a:off x="7235825" y="2414831975"/>
          <a:ext cx="878840" cy="1183640"/>
        </a:xfrm>
        <a:prstGeom prst="rect">
          <a:avLst/>
        </a:prstGeom>
      </xdr:spPr>
    </xdr:pic>
    <xdr:clientData/>
  </xdr:twoCellAnchor>
  <xdr:twoCellAnchor>
    <xdr:from>
      <xdr:col>9</xdr:col>
      <xdr:colOff>6350</xdr:colOff>
      <xdr:row>2474</xdr:row>
      <xdr:rowOff>25400</xdr:rowOff>
    </xdr:from>
    <xdr:to>
      <xdr:col>9</xdr:col>
      <xdr:colOff>885190</xdr:colOff>
      <xdr:row>2474</xdr:row>
      <xdr:rowOff>1209040</xdr:rowOff>
    </xdr:to>
    <xdr:pic>
      <xdr:nvPicPr>
        <xdr:cNvPr id="7110" name="Изображение 7109" descr="resizeПП-00270683"/>
        <xdr:cNvPicPr>
          <a:picLocks noChangeAspect="1"/>
        </xdr:cNvPicPr>
      </xdr:nvPicPr>
      <xdr:blipFill>
        <a:blip xmlns:r="http://schemas.openxmlformats.org/officeDocument/2006/relationships" r:embed="rId1837"/>
        <a:stretch>
          <a:fillRect/>
        </a:stretch>
      </xdr:blipFill>
      <xdr:spPr>
        <a:xfrm>
          <a:off x="7235825" y="2416054350"/>
          <a:ext cx="878840" cy="1183640"/>
        </a:xfrm>
        <a:prstGeom prst="rect">
          <a:avLst/>
        </a:prstGeom>
      </xdr:spPr>
    </xdr:pic>
    <xdr:clientData/>
  </xdr:twoCellAnchor>
  <xdr:twoCellAnchor>
    <xdr:from>
      <xdr:col>9</xdr:col>
      <xdr:colOff>6350</xdr:colOff>
      <xdr:row>2475</xdr:row>
      <xdr:rowOff>25400</xdr:rowOff>
    </xdr:from>
    <xdr:to>
      <xdr:col>9</xdr:col>
      <xdr:colOff>885190</xdr:colOff>
      <xdr:row>2475</xdr:row>
      <xdr:rowOff>1209040</xdr:rowOff>
    </xdr:to>
    <xdr:pic>
      <xdr:nvPicPr>
        <xdr:cNvPr id="7111" name="Изображение 7110" descr="resizeПП-00230052"/>
        <xdr:cNvPicPr>
          <a:picLocks noChangeAspect="1"/>
        </xdr:cNvPicPr>
      </xdr:nvPicPr>
      <xdr:blipFill>
        <a:blip xmlns:r="http://schemas.openxmlformats.org/officeDocument/2006/relationships" r:embed="rId1838"/>
        <a:stretch>
          <a:fillRect/>
        </a:stretch>
      </xdr:blipFill>
      <xdr:spPr>
        <a:xfrm>
          <a:off x="7235825" y="2417276725"/>
          <a:ext cx="878840" cy="1183640"/>
        </a:xfrm>
        <a:prstGeom prst="rect">
          <a:avLst/>
        </a:prstGeom>
      </xdr:spPr>
    </xdr:pic>
    <xdr:clientData/>
  </xdr:twoCellAnchor>
  <xdr:twoCellAnchor>
    <xdr:from>
      <xdr:col>9</xdr:col>
      <xdr:colOff>6350</xdr:colOff>
      <xdr:row>2476</xdr:row>
      <xdr:rowOff>25400</xdr:rowOff>
    </xdr:from>
    <xdr:to>
      <xdr:col>9</xdr:col>
      <xdr:colOff>885190</xdr:colOff>
      <xdr:row>2476</xdr:row>
      <xdr:rowOff>1209040</xdr:rowOff>
    </xdr:to>
    <xdr:pic>
      <xdr:nvPicPr>
        <xdr:cNvPr id="7112" name="Изображение 7111" descr="resizeПП-00249883"/>
        <xdr:cNvPicPr>
          <a:picLocks noChangeAspect="1"/>
        </xdr:cNvPicPr>
      </xdr:nvPicPr>
      <xdr:blipFill>
        <a:blip xmlns:r="http://schemas.openxmlformats.org/officeDocument/2006/relationships" r:embed="rId1839"/>
        <a:stretch>
          <a:fillRect/>
        </a:stretch>
      </xdr:blipFill>
      <xdr:spPr>
        <a:xfrm>
          <a:off x="7235825" y="2418499100"/>
          <a:ext cx="878840" cy="1183640"/>
        </a:xfrm>
        <a:prstGeom prst="rect">
          <a:avLst/>
        </a:prstGeom>
      </xdr:spPr>
    </xdr:pic>
    <xdr:clientData/>
  </xdr:twoCellAnchor>
  <xdr:twoCellAnchor>
    <xdr:from>
      <xdr:col>9</xdr:col>
      <xdr:colOff>6350</xdr:colOff>
      <xdr:row>2477</xdr:row>
      <xdr:rowOff>25400</xdr:rowOff>
    </xdr:from>
    <xdr:to>
      <xdr:col>9</xdr:col>
      <xdr:colOff>885190</xdr:colOff>
      <xdr:row>2477</xdr:row>
      <xdr:rowOff>1209040</xdr:rowOff>
    </xdr:to>
    <xdr:pic>
      <xdr:nvPicPr>
        <xdr:cNvPr id="7113" name="Изображение 7112" descr="resizeПП-00269218"/>
        <xdr:cNvPicPr>
          <a:picLocks noChangeAspect="1"/>
        </xdr:cNvPicPr>
      </xdr:nvPicPr>
      <xdr:blipFill>
        <a:blip xmlns:r="http://schemas.openxmlformats.org/officeDocument/2006/relationships" r:embed="rId1840"/>
        <a:stretch>
          <a:fillRect/>
        </a:stretch>
      </xdr:blipFill>
      <xdr:spPr>
        <a:xfrm>
          <a:off x="7235825" y="2419721475"/>
          <a:ext cx="878840" cy="1183640"/>
        </a:xfrm>
        <a:prstGeom prst="rect">
          <a:avLst/>
        </a:prstGeom>
      </xdr:spPr>
    </xdr:pic>
    <xdr:clientData/>
  </xdr:twoCellAnchor>
  <xdr:twoCellAnchor>
    <xdr:from>
      <xdr:col>9</xdr:col>
      <xdr:colOff>6350</xdr:colOff>
      <xdr:row>2478</xdr:row>
      <xdr:rowOff>25400</xdr:rowOff>
    </xdr:from>
    <xdr:to>
      <xdr:col>9</xdr:col>
      <xdr:colOff>885190</xdr:colOff>
      <xdr:row>2478</xdr:row>
      <xdr:rowOff>1209040</xdr:rowOff>
    </xdr:to>
    <xdr:pic>
      <xdr:nvPicPr>
        <xdr:cNvPr id="7114" name="Изображение 7113" descr="resizeПП-00249884"/>
        <xdr:cNvPicPr>
          <a:picLocks noChangeAspect="1"/>
        </xdr:cNvPicPr>
      </xdr:nvPicPr>
      <xdr:blipFill>
        <a:blip xmlns:r="http://schemas.openxmlformats.org/officeDocument/2006/relationships" r:embed="rId1841"/>
        <a:stretch>
          <a:fillRect/>
        </a:stretch>
      </xdr:blipFill>
      <xdr:spPr>
        <a:xfrm>
          <a:off x="7235825" y="2420943850"/>
          <a:ext cx="878840" cy="1183640"/>
        </a:xfrm>
        <a:prstGeom prst="rect">
          <a:avLst/>
        </a:prstGeom>
      </xdr:spPr>
    </xdr:pic>
    <xdr:clientData/>
  </xdr:twoCellAnchor>
  <xdr:twoCellAnchor>
    <xdr:from>
      <xdr:col>9</xdr:col>
      <xdr:colOff>6350</xdr:colOff>
      <xdr:row>2479</xdr:row>
      <xdr:rowOff>25400</xdr:rowOff>
    </xdr:from>
    <xdr:to>
      <xdr:col>9</xdr:col>
      <xdr:colOff>885190</xdr:colOff>
      <xdr:row>2479</xdr:row>
      <xdr:rowOff>1209040</xdr:rowOff>
    </xdr:to>
    <xdr:pic>
      <xdr:nvPicPr>
        <xdr:cNvPr id="7115" name="Изображение 7114" descr="resizeПП-00269220"/>
        <xdr:cNvPicPr>
          <a:picLocks noChangeAspect="1"/>
        </xdr:cNvPicPr>
      </xdr:nvPicPr>
      <xdr:blipFill>
        <a:blip xmlns:r="http://schemas.openxmlformats.org/officeDocument/2006/relationships" r:embed="rId1842"/>
        <a:stretch>
          <a:fillRect/>
        </a:stretch>
      </xdr:blipFill>
      <xdr:spPr>
        <a:xfrm>
          <a:off x="7235825" y="2422166225"/>
          <a:ext cx="878840" cy="1183640"/>
        </a:xfrm>
        <a:prstGeom prst="rect">
          <a:avLst/>
        </a:prstGeom>
      </xdr:spPr>
    </xdr:pic>
    <xdr:clientData/>
  </xdr:twoCellAnchor>
  <xdr:twoCellAnchor>
    <xdr:from>
      <xdr:col>9</xdr:col>
      <xdr:colOff>6350</xdr:colOff>
      <xdr:row>2480</xdr:row>
      <xdr:rowOff>25400</xdr:rowOff>
    </xdr:from>
    <xdr:to>
      <xdr:col>9</xdr:col>
      <xdr:colOff>885190</xdr:colOff>
      <xdr:row>2480</xdr:row>
      <xdr:rowOff>1209040</xdr:rowOff>
    </xdr:to>
    <xdr:pic>
      <xdr:nvPicPr>
        <xdr:cNvPr id="7116" name="Изображение 7115" descr="resizeПП-00249882"/>
        <xdr:cNvPicPr>
          <a:picLocks noChangeAspect="1"/>
        </xdr:cNvPicPr>
      </xdr:nvPicPr>
      <xdr:blipFill>
        <a:blip xmlns:r="http://schemas.openxmlformats.org/officeDocument/2006/relationships" r:embed="rId1843"/>
        <a:stretch>
          <a:fillRect/>
        </a:stretch>
      </xdr:blipFill>
      <xdr:spPr>
        <a:xfrm>
          <a:off x="7235825" y="2423388600"/>
          <a:ext cx="878840" cy="1183640"/>
        </a:xfrm>
        <a:prstGeom prst="rect">
          <a:avLst/>
        </a:prstGeom>
      </xdr:spPr>
    </xdr:pic>
    <xdr:clientData/>
  </xdr:twoCellAnchor>
  <xdr:twoCellAnchor>
    <xdr:from>
      <xdr:col>9</xdr:col>
      <xdr:colOff>6350</xdr:colOff>
      <xdr:row>2481</xdr:row>
      <xdr:rowOff>25400</xdr:rowOff>
    </xdr:from>
    <xdr:to>
      <xdr:col>9</xdr:col>
      <xdr:colOff>885190</xdr:colOff>
      <xdr:row>2481</xdr:row>
      <xdr:rowOff>1209040</xdr:rowOff>
    </xdr:to>
    <xdr:pic>
      <xdr:nvPicPr>
        <xdr:cNvPr id="7117" name="Изображение 7116" descr="resizeПП-00269221"/>
        <xdr:cNvPicPr>
          <a:picLocks noChangeAspect="1"/>
        </xdr:cNvPicPr>
      </xdr:nvPicPr>
      <xdr:blipFill>
        <a:blip xmlns:r="http://schemas.openxmlformats.org/officeDocument/2006/relationships" r:embed="rId1844"/>
        <a:stretch>
          <a:fillRect/>
        </a:stretch>
      </xdr:blipFill>
      <xdr:spPr>
        <a:xfrm>
          <a:off x="7235825" y="2424610975"/>
          <a:ext cx="878840" cy="1183640"/>
        </a:xfrm>
        <a:prstGeom prst="rect">
          <a:avLst/>
        </a:prstGeom>
      </xdr:spPr>
    </xdr:pic>
    <xdr:clientData/>
  </xdr:twoCellAnchor>
  <xdr:twoCellAnchor>
    <xdr:from>
      <xdr:col>9</xdr:col>
      <xdr:colOff>6350</xdr:colOff>
      <xdr:row>2482</xdr:row>
      <xdr:rowOff>25400</xdr:rowOff>
    </xdr:from>
    <xdr:to>
      <xdr:col>9</xdr:col>
      <xdr:colOff>885190</xdr:colOff>
      <xdr:row>2482</xdr:row>
      <xdr:rowOff>1209040</xdr:rowOff>
    </xdr:to>
    <xdr:pic>
      <xdr:nvPicPr>
        <xdr:cNvPr id="7118" name="Изображение 7117" descr="resizeПП-00249885"/>
        <xdr:cNvPicPr>
          <a:picLocks noChangeAspect="1"/>
        </xdr:cNvPicPr>
      </xdr:nvPicPr>
      <xdr:blipFill>
        <a:blip xmlns:r="http://schemas.openxmlformats.org/officeDocument/2006/relationships" r:embed="rId1845"/>
        <a:stretch>
          <a:fillRect/>
        </a:stretch>
      </xdr:blipFill>
      <xdr:spPr>
        <a:xfrm>
          <a:off x="7235825" y="2425833350"/>
          <a:ext cx="878840" cy="1183640"/>
        </a:xfrm>
        <a:prstGeom prst="rect">
          <a:avLst/>
        </a:prstGeom>
      </xdr:spPr>
    </xdr:pic>
    <xdr:clientData/>
  </xdr:twoCellAnchor>
  <xdr:twoCellAnchor>
    <xdr:from>
      <xdr:col>9</xdr:col>
      <xdr:colOff>6350</xdr:colOff>
      <xdr:row>2483</xdr:row>
      <xdr:rowOff>25400</xdr:rowOff>
    </xdr:from>
    <xdr:to>
      <xdr:col>9</xdr:col>
      <xdr:colOff>885190</xdr:colOff>
      <xdr:row>2483</xdr:row>
      <xdr:rowOff>1209040</xdr:rowOff>
    </xdr:to>
    <xdr:pic>
      <xdr:nvPicPr>
        <xdr:cNvPr id="7119" name="Изображение 7118" descr="resizeПП-00269219"/>
        <xdr:cNvPicPr>
          <a:picLocks noChangeAspect="1"/>
        </xdr:cNvPicPr>
      </xdr:nvPicPr>
      <xdr:blipFill>
        <a:blip xmlns:r="http://schemas.openxmlformats.org/officeDocument/2006/relationships" r:embed="rId1846"/>
        <a:stretch>
          <a:fillRect/>
        </a:stretch>
      </xdr:blipFill>
      <xdr:spPr>
        <a:xfrm>
          <a:off x="7235825" y="2427055725"/>
          <a:ext cx="878840" cy="1183640"/>
        </a:xfrm>
        <a:prstGeom prst="rect">
          <a:avLst/>
        </a:prstGeom>
      </xdr:spPr>
    </xdr:pic>
    <xdr:clientData/>
  </xdr:twoCellAnchor>
  <xdr:twoCellAnchor>
    <xdr:from>
      <xdr:col>9</xdr:col>
      <xdr:colOff>6350</xdr:colOff>
      <xdr:row>2484</xdr:row>
      <xdr:rowOff>25400</xdr:rowOff>
    </xdr:from>
    <xdr:to>
      <xdr:col>9</xdr:col>
      <xdr:colOff>885190</xdr:colOff>
      <xdr:row>2484</xdr:row>
      <xdr:rowOff>1209040</xdr:rowOff>
    </xdr:to>
    <xdr:pic>
      <xdr:nvPicPr>
        <xdr:cNvPr id="7120" name="Изображение 7119" descr="resizeПП-00230053"/>
        <xdr:cNvPicPr>
          <a:picLocks noChangeAspect="1"/>
        </xdr:cNvPicPr>
      </xdr:nvPicPr>
      <xdr:blipFill>
        <a:blip xmlns:r="http://schemas.openxmlformats.org/officeDocument/2006/relationships" r:embed="rId1847"/>
        <a:stretch>
          <a:fillRect/>
        </a:stretch>
      </xdr:blipFill>
      <xdr:spPr>
        <a:xfrm>
          <a:off x="7235825" y="2428278100"/>
          <a:ext cx="878840" cy="1183640"/>
        </a:xfrm>
        <a:prstGeom prst="rect">
          <a:avLst/>
        </a:prstGeom>
      </xdr:spPr>
    </xdr:pic>
    <xdr:clientData/>
  </xdr:twoCellAnchor>
  <xdr:twoCellAnchor>
    <xdr:from>
      <xdr:col>9</xdr:col>
      <xdr:colOff>6350</xdr:colOff>
      <xdr:row>2486</xdr:row>
      <xdr:rowOff>25400</xdr:rowOff>
    </xdr:from>
    <xdr:to>
      <xdr:col>9</xdr:col>
      <xdr:colOff>885190</xdr:colOff>
      <xdr:row>2486</xdr:row>
      <xdr:rowOff>1209040</xdr:rowOff>
    </xdr:to>
    <xdr:pic>
      <xdr:nvPicPr>
        <xdr:cNvPr id="7121" name="Изображение 7120" descr="resizeПП-00168719"/>
        <xdr:cNvPicPr>
          <a:picLocks noChangeAspect="1"/>
        </xdr:cNvPicPr>
      </xdr:nvPicPr>
      <xdr:blipFill>
        <a:blip xmlns:r="http://schemas.openxmlformats.org/officeDocument/2006/relationships" r:embed="rId1848"/>
        <a:stretch>
          <a:fillRect/>
        </a:stretch>
      </xdr:blipFill>
      <xdr:spPr>
        <a:xfrm>
          <a:off x="7235825" y="2429652875"/>
          <a:ext cx="878840" cy="1183640"/>
        </a:xfrm>
        <a:prstGeom prst="rect">
          <a:avLst/>
        </a:prstGeom>
      </xdr:spPr>
    </xdr:pic>
    <xdr:clientData/>
  </xdr:twoCellAnchor>
  <xdr:twoCellAnchor>
    <xdr:from>
      <xdr:col>9</xdr:col>
      <xdr:colOff>6350</xdr:colOff>
      <xdr:row>2487</xdr:row>
      <xdr:rowOff>25400</xdr:rowOff>
    </xdr:from>
    <xdr:to>
      <xdr:col>9</xdr:col>
      <xdr:colOff>885190</xdr:colOff>
      <xdr:row>2487</xdr:row>
      <xdr:rowOff>1209040</xdr:rowOff>
    </xdr:to>
    <xdr:pic>
      <xdr:nvPicPr>
        <xdr:cNvPr id="7122" name="Изображение 7121" descr="resizeПП-00168725"/>
        <xdr:cNvPicPr>
          <a:picLocks noChangeAspect="1"/>
        </xdr:cNvPicPr>
      </xdr:nvPicPr>
      <xdr:blipFill>
        <a:blip xmlns:r="http://schemas.openxmlformats.org/officeDocument/2006/relationships" r:embed="rId1849"/>
        <a:stretch>
          <a:fillRect/>
        </a:stretch>
      </xdr:blipFill>
      <xdr:spPr>
        <a:xfrm>
          <a:off x="7235825" y="2430875250"/>
          <a:ext cx="878840" cy="1183640"/>
        </a:xfrm>
        <a:prstGeom prst="rect">
          <a:avLst/>
        </a:prstGeom>
      </xdr:spPr>
    </xdr:pic>
    <xdr:clientData/>
  </xdr:twoCellAnchor>
  <xdr:twoCellAnchor>
    <xdr:from>
      <xdr:col>9</xdr:col>
      <xdr:colOff>6350</xdr:colOff>
      <xdr:row>2489</xdr:row>
      <xdr:rowOff>25400</xdr:rowOff>
    </xdr:from>
    <xdr:to>
      <xdr:col>9</xdr:col>
      <xdr:colOff>885190</xdr:colOff>
      <xdr:row>2489</xdr:row>
      <xdr:rowOff>1209040</xdr:rowOff>
    </xdr:to>
    <xdr:pic>
      <xdr:nvPicPr>
        <xdr:cNvPr id="7123" name="Изображение 7122" descr="resizeПП-00168734"/>
        <xdr:cNvPicPr>
          <a:picLocks noChangeAspect="1"/>
        </xdr:cNvPicPr>
      </xdr:nvPicPr>
      <xdr:blipFill>
        <a:blip xmlns:r="http://schemas.openxmlformats.org/officeDocument/2006/relationships" r:embed="rId1850"/>
        <a:stretch>
          <a:fillRect/>
        </a:stretch>
      </xdr:blipFill>
      <xdr:spPr>
        <a:xfrm>
          <a:off x="7235825" y="2432250025"/>
          <a:ext cx="878840" cy="1183640"/>
        </a:xfrm>
        <a:prstGeom prst="rect">
          <a:avLst/>
        </a:prstGeom>
      </xdr:spPr>
    </xdr:pic>
    <xdr:clientData/>
  </xdr:twoCellAnchor>
  <xdr:twoCellAnchor>
    <xdr:from>
      <xdr:col>9</xdr:col>
      <xdr:colOff>6350</xdr:colOff>
      <xdr:row>2490</xdr:row>
      <xdr:rowOff>25400</xdr:rowOff>
    </xdr:from>
    <xdr:to>
      <xdr:col>9</xdr:col>
      <xdr:colOff>885190</xdr:colOff>
      <xdr:row>2490</xdr:row>
      <xdr:rowOff>1209040</xdr:rowOff>
    </xdr:to>
    <xdr:pic>
      <xdr:nvPicPr>
        <xdr:cNvPr id="7124" name="Изображение 7123" descr="resizeПП-00168731"/>
        <xdr:cNvPicPr>
          <a:picLocks noChangeAspect="1"/>
        </xdr:cNvPicPr>
      </xdr:nvPicPr>
      <xdr:blipFill>
        <a:blip xmlns:r="http://schemas.openxmlformats.org/officeDocument/2006/relationships" r:embed="rId1851"/>
        <a:stretch>
          <a:fillRect/>
        </a:stretch>
      </xdr:blipFill>
      <xdr:spPr>
        <a:xfrm>
          <a:off x="7235825" y="2433472400"/>
          <a:ext cx="878840" cy="1183640"/>
        </a:xfrm>
        <a:prstGeom prst="rect">
          <a:avLst/>
        </a:prstGeom>
      </xdr:spPr>
    </xdr:pic>
    <xdr:clientData/>
  </xdr:twoCellAnchor>
  <xdr:twoCellAnchor>
    <xdr:from>
      <xdr:col>9</xdr:col>
      <xdr:colOff>6350</xdr:colOff>
      <xdr:row>2491</xdr:row>
      <xdr:rowOff>25400</xdr:rowOff>
    </xdr:from>
    <xdr:to>
      <xdr:col>9</xdr:col>
      <xdr:colOff>885190</xdr:colOff>
      <xdr:row>2491</xdr:row>
      <xdr:rowOff>1209040</xdr:rowOff>
    </xdr:to>
    <xdr:pic>
      <xdr:nvPicPr>
        <xdr:cNvPr id="7125" name="Изображение 7124" descr="resizeПП-00168736"/>
        <xdr:cNvPicPr>
          <a:picLocks noChangeAspect="1"/>
        </xdr:cNvPicPr>
      </xdr:nvPicPr>
      <xdr:blipFill>
        <a:blip xmlns:r="http://schemas.openxmlformats.org/officeDocument/2006/relationships" r:embed="rId1852"/>
        <a:stretch>
          <a:fillRect/>
        </a:stretch>
      </xdr:blipFill>
      <xdr:spPr>
        <a:xfrm>
          <a:off x="7235825" y="2434694775"/>
          <a:ext cx="878840" cy="1183640"/>
        </a:xfrm>
        <a:prstGeom prst="rect">
          <a:avLst/>
        </a:prstGeom>
      </xdr:spPr>
    </xdr:pic>
    <xdr:clientData/>
  </xdr:twoCellAnchor>
  <xdr:twoCellAnchor>
    <xdr:from>
      <xdr:col>9</xdr:col>
      <xdr:colOff>6350</xdr:colOff>
      <xdr:row>2496</xdr:row>
      <xdr:rowOff>25400</xdr:rowOff>
    </xdr:from>
    <xdr:to>
      <xdr:col>9</xdr:col>
      <xdr:colOff>885190</xdr:colOff>
      <xdr:row>2496</xdr:row>
      <xdr:rowOff>1209040</xdr:rowOff>
    </xdr:to>
    <xdr:pic>
      <xdr:nvPicPr>
        <xdr:cNvPr id="7126" name="Изображение 7125" descr="resizeПП-00274483"/>
        <xdr:cNvPicPr>
          <a:picLocks noChangeAspect="1"/>
        </xdr:cNvPicPr>
      </xdr:nvPicPr>
      <xdr:blipFill>
        <a:blip xmlns:r="http://schemas.openxmlformats.org/officeDocument/2006/relationships" r:embed="rId1853"/>
        <a:stretch>
          <a:fillRect/>
        </a:stretch>
      </xdr:blipFill>
      <xdr:spPr>
        <a:xfrm>
          <a:off x="7235825" y="2436526750"/>
          <a:ext cx="878840" cy="1183640"/>
        </a:xfrm>
        <a:prstGeom prst="rect">
          <a:avLst/>
        </a:prstGeom>
      </xdr:spPr>
    </xdr:pic>
    <xdr:clientData/>
  </xdr:twoCellAnchor>
  <xdr:twoCellAnchor>
    <xdr:from>
      <xdr:col>9</xdr:col>
      <xdr:colOff>6350</xdr:colOff>
      <xdr:row>2497</xdr:row>
      <xdr:rowOff>25400</xdr:rowOff>
    </xdr:from>
    <xdr:to>
      <xdr:col>9</xdr:col>
      <xdr:colOff>885190</xdr:colOff>
      <xdr:row>2497</xdr:row>
      <xdr:rowOff>1209040</xdr:rowOff>
    </xdr:to>
    <xdr:pic>
      <xdr:nvPicPr>
        <xdr:cNvPr id="7127" name="Изображение 7126" descr="resizeПП-00274480"/>
        <xdr:cNvPicPr>
          <a:picLocks noChangeAspect="1"/>
        </xdr:cNvPicPr>
      </xdr:nvPicPr>
      <xdr:blipFill>
        <a:blip xmlns:r="http://schemas.openxmlformats.org/officeDocument/2006/relationships" r:embed="rId1854"/>
        <a:stretch>
          <a:fillRect/>
        </a:stretch>
      </xdr:blipFill>
      <xdr:spPr>
        <a:xfrm>
          <a:off x="7235825" y="2437749125"/>
          <a:ext cx="878840" cy="1183640"/>
        </a:xfrm>
        <a:prstGeom prst="rect">
          <a:avLst/>
        </a:prstGeom>
      </xdr:spPr>
    </xdr:pic>
    <xdr:clientData/>
  </xdr:twoCellAnchor>
  <xdr:twoCellAnchor>
    <xdr:from>
      <xdr:col>9</xdr:col>
      <xdr:colOff>6350</xdr:colOff>
      <xdr:row>2500</xdr:row>
      <xdr:rowOff>25400</xdr:rowOff>
    </xdr:from>
    <xdr:to>
      <xdr:col>9</xdr:col>
      <xdr:colOff>885190</xdr:colOff>
      <xdr:row>2500</xdr:row>
      <xdr:rowOff>1209040</xdr:rowOff>
    </xdr:to>
    <xdr:pic>
      <xdr:nvPicPr>
        <xdr:cNvPr id="7128" name="Изображение 7127" descr="resizeПП-00274463"/>
        <xdr:cNvPicPr>
          <a:picLocks noChangeAspect="1"/>
        </xdr:cNvPicPr>
      </xdr:nvPicPr>
      <xdr:blipFill>
        <a:blip xmlns:r="http://schemas.openxmlformats.org/officeDocument/2006/relationships" r:embed="rId1855"/>
        <a:stretch>
          <a:fillRect/>
        </a:stretch>
      </xdr:blipFill>
      <xdr:spPr>
        <a:xfrm>
          <a:off x="7235825" y="2439276300"/>
          <a:ext cx="878840" cy="1183640"/>
        </a:xfrm>
        <a:prstGeom prst="rect">
          <a:avLst/>
        </a:prstGeom>
      </xdr:spPr>
    </xdr:pic>
    <xdr:clientData/>
  </xdr:twoCellAnchor>
  <xdr:twoCellAnchor>
    <xdr:from>
      <xdr:col>9</xdr:col>
      <xdr:colOff>6350</xdr:colOff>
      <xdr:row>2501</xdr:row>
      <xdr:rowOff>25400</xdr:rowOff>
    </xdr:from>
    <xdr:to>
      <xdr:col>9</xdr:col>
      <xdr:colOff>885190</xdr:colOff>
      <xdr:row>2501</xdr:row>
      <xdr:rowOff>1209040</xdr:rowOff>
    </xdr:to>
    <xdr:pic>
      <xdr:nvPicPr>
        <xdr:cNvPr id="7129" name="Изображение 7128" descr="resizeПП-00274465"/>
        <xdr:cNvPicPr>
          <a:picLocks noChangeAspect="1"/>
        </xdr:cNvPicPr>
      </xdr:nvPicPr>
      <xdr:blipFill>
        <a:blip xmlns:r="http://schemas.openxmlformats.org/officeDocument/2006/relationships" r:embed="rId1855"/>
        <a:stretch>
          <a:fillRect/>
        </a:stretch>
      </xdr:blipFill>
      <xdr:spPr>
        <a:xfrm>
          <a:off x="7235825" y="2440498675"/>
          <a:ext cx="878840" cy="1183640"/>
        </a:xfrm>
        <a:prstGeom prst="rect">
          <a:avLst/>
        </a:prstGeom>
      </xdr:spPr>
    </xdr:pic>
    <xdr:clientData/>
  </xdr:twoCellAnchor>
  <xdr:twoCellAnchor>
    <xdr:from>
      <xdr:col>9</xdr:col>
      <xdr:colOff>6350</xdr:colOff>
      <xdr:row>2503</xdr:row>
      <xdr:rowOff>25400</xdr:rowOff>
    </xdr:from>
    <xdr:to>
      <xdr:col>9</xdr:col>
      <xdr:colOff>885190</xdr:colOff>
      <xdr:row>2503</xdr:row>
      <xdr:rowOff>1209040</xdr:rowOff>
    </xdr:to>
    <xdr:pic>
      <xdr:nvPicPr>
        <xdr:cNvPr id="7130" name="Изображение 7129" descr="resizeПП-00274459"/>
        <xdr:cNvPicPr>
          <a:picLocks noChangeAspect="1"/>
        </xdr:cNvPicPr>
      </xdr:nvPicPr>
      <xdr:blipFill>
        <a:blip xmlns:r="http://schemas.openxmlformats.org/officeDocument/2006/relationships" r:embed="rId1856"/>
        <a:stretch>
          <a:fillRect/>
        </a:stretch>
      </xdr:blipFill>
      <xdr:spPr>
        <a:xfrm>
          <a:off x="7235825" y="2441873450"/>
          <a:ext cx="878840" cy="1183640"/>
        </a:xfrm>
        <a:prstGeom prst="rect">
          <a:avLst/>
        </a:prstGeom>
      </xdr:spPr>
    </xdr:pic>
    <xdr:clientData/>
  </xdr:twoCellAnchor>
  <xdr:twoCellAnchor>
    <xdr:from>
      <xdr:col>9</xdr:col>
      <xdr:colOff>6350</xdr:colOff>
      <xdr:row>2504</xdr:row>
      <xdr:rowOff>25400</xdr:rowOff>
    </xdr:from>
    <xdr:to>
      <xdr:col>9</xdr:col>
      <xdr:colOff>885190</xdr:colOff>
      <xdr:row>2504</xdr:row>
      <xdr:rowOff>1209040</xdr:rowOff>
    </xdr:to>
    <xdr:pic>
      <xdr:nvPicPr>
        <xdr:cNvPr id="7131" name="Изображение 7130" descr="resizeПП-00274460"/>
        <xdr:cNvPicPr>
          <a:picLocks noChangeAspect="1"/>
        </xdr:cNvPicPr>
      </xdr:nvPicPr>
      <xdr:blipFill>
        <a:blip xmlns:r="http://schemas.openxmlformats.org/officeDocument/2006/relationships" r:embed="rId1856"/>
        <a:stretch>
          <a:fillRect/>
        </a:stretch>
      </xdr:blipFill>
      <xdr:spPr>
        <a:xfrm>
          <a:off x="7235825" y="2443095825"/>
          <a:ext cx="878840" cy="1183640"/>
        </a:xfrm>
        <a:prstGeom prst="rect">
          <a:avLst/>
        </a:prstGeom>
      </xdr:spPr>
    </xdr:pic>
    <xdr:clientData/>
  </xdr:twoCellAnchor>
  <xdr:twoCellAnchor>
    <xdr:from>
      <xdr:col>9</xdr:col>
      <xdr:colOff>6350</xdr:colOff>
      <xdr:row>2506</xdr:row>
      <xdr:rowOff>25400</xdr:rowOff>
    </xdr:from>
    <xdr:to>
      <xdr:col>9</xdr:col>
      <xdr:colOff>885190</xdr:colOff>
      <xdr:row>2506</xdr:row>
      <xdr:rowOff>1209040</xdr:rowOff>
    </xdr:to>
    <xdr:pic>
      <xdr:nvPicPr>
        <xdr:cNvPr id="7132" name="Изображение 7131" descr="resizeПП-00274470"/>
        <xdr:cNvPicPr>
          <a:picLocks noChangeAspect="1"/>
        </xdr:cNvPicPr>
      </xdr:nvPicPr>
      <xdr:blipFill>
        <a:blip xmlns:r="http://schemas.openxmlformats.org/officeDocument/2006/relationships" r:embed="rId1857"/>
        <a:stretch>
          <a:fillRect/>
        </a:stretch>
      </xdr:blipFill>
      <xdr:spPr>
        <a:xfrm>
          <a:off x="7235825" y="2444470600"/>
          <a:ext cx="878840" cy="1183640"/>
        </a:xfrm>
        <a:prstGeom prst="rect">
          <a:avLst/>
        </a:prstGeom>
      </xdr:spPr>
    </xdr:pic>
    <xdr:clientData/>
  </xdr:twoCellAnchor>
  <xdr:twoCellAnchor>
    <xdr:from>
      <xdr:col>9</xdr:col>
      <xdr:colOff>6350</xdr:colOff>
      <xdr:row>2508</xdr:row>
      <xdr:rowOff>25400</xdr:rowOff>
    </xdr:from>
    <xdr:to>
      <xdr:col>9</xdr:col>
      <xdr:colOff>885190</xdr:colOff>
      <xdr:row>2508</xdr:row>
      <xdr:rowOff>1209040</xdr:rowOff>
    </xdr:to>
    <xdr:pic>
      <xdr:nvPicPr>
        <xdr:cNvPr id="7133" name="Изображение 7132" descr="resizeПП-00274456"/>
        <xdr:cNvPicPr>
          <a:picLocks noChangeAspect="1"/>
        </xdr:cNvPicPr>
      </xdr:nvPicPr>
      <xdr:blipFill>
        <a:blip xmlns:r="http://schemas.openxmlformats.org/officeDocument/2006/relationships" r:embed="rId1858"/>
        <a:stretch>
          <a:fillRect/>
        </a:stretch>
      </xdr:blipFill>
      <xdr:spPr>
        <a:xfrm>
          <a:off x="7235825" y="2445845375"/>
          <a:ext cx="878840" cy="1183640"/>
        </a:xfrm>
        <a:prstGeom prst="rect">
          <a:avLst/>
        </a:prstGeom>
      </xdr:spPr>
    </xdr:pic>
    <xdr:clientData/>
  </xdr:twoCellAnchor>
  <xdr:twoCellAnchor>
    <xdr:from>
      <xdr:col>9</xdr:col>
      <xdr:colOff>6350</xdr:colOff>
      <xdr:row>2509</xdr:row>
      <xdr:rowOff>25400</xdr:rowOff>
    </xdr:from>
    <xdr:to>
      <xdr:col>9</xdr:col>
      <xdr:colOff>885190</xdr:colOff>
      <xdr:row>2509</xdr:row>
      <xdr:rowOff>1209040</xdr:rowOff>
    </xdr:to>
    <xdr:pic>
      <xdr:nvPicPr>
        <xdr:cNvPr id="7134" name="Изображение 7133" descr="resizeПП-00274457"/>
        <xdr:cNvPicPr>
          <a:picLocks noChangeAspect="1"/>
        </xdr:cNvPicPr>
      </xdr:nvPicPr>
      <xdr:blipFill>
        <a:blip xmlns:r="http://schemas.openxmlformats.org/officeDocument/2006/relationships" r:embed="rId1859"/>
        <a:stretch>
          <a:fillRect/>
        </a:stretch>
      </xdr:blipFill>
      <xdr:spPr>
        <a:xfrm>
          <a:off x="7235825" y="2447067750"/>
          <a:ext cx="878840" cy="1183640"/>
        </a:xfrm>
        <a:prstGeom prst="rect">
          <a:avLst/>
        </a:prstGeom>
      </xdr:spPr>
    </xdr:pic>
    <xdr:clientData/>
  </xdr:twoCellAnchor>
  <xdr:twoCellAnchor>
    <xdr:from>
      <xdr:col>9</xdr:col>
      <xdr:colOff>6350</xdr:colOff>
      <xdr:row>2512</xdr:row>
      <xdr:rowOff>25400</xdr:rowOff>
    </xdr:from>
    <xdr:to>
      <xdr:col>9</xdr:col>
      <xdr:colOff>885190</xdr:colOff>
      <xdr:row>2512</xdr:row>
      <xdr:rowOff>1209040</xdr:rowOff>
    </xdr:to>
    <xdr:pic>
      <xdr:nvPicPr>
        <xdr:cNvPr id="7135" name="Изображение 7134" descr="resizeПП-00256682"/>
        <xdr:cNvPicPr>
          <a:picLocks noChangeAspect="1"/>
        </xdr:cNvPicPr>
      </xdr:nvPicPr>
      <xdr:blipFill>
        <a:blip xmlns:r="http://schemas.openxmlformats.org/officeDocument/2006/relationships" r:embed="rId1860"/>
        <a:stretch>
          <a:fillRect/>
        </a:stretch>
      </xdr:blipFill>
      <xdr:spPr>
        <a:xfrm>
          <a:off x="7235825" y="2448594925"/>
          <a:ext cx="878840" cy="1183640"/>
        </a:xfrm>
        <a:prstGeom prst="rect">
          <a:avLst/>
        </a:prstGeom>
      </xdr:spPr>
    </xdr:pic>
    <xdr:clientData/>
  </xdr:twoCellAnchor>
  <xdr:twoCellAnchor>
    <xdr:from>
      <xdr:col>9</xdr:col>
      <xdr:colOff>6350</xdr:colOff>
      <xdr:row>2513</xdr:row>
      <xdr:rowOff>25400</xdr:rowOff>
    </xdr:from>
    <xdr:to>
      <xdr:col>9</xdr:col>
      <xdr:colOff>885190</xdr:colOff>
      <xdr:row>2513</xdr:row>
      <xdr:rowOff>1209040</xdr:rowOff>
    </xdr:to>
    <xdr:pic>
      <xdr:nvPicPr>
        <xdr:cNvPr id="7136" name="Изображение 7135" descr="resizeПП-00256683"/>
        <xdr:cNvPicPr>
          <a:picLocks noChangeAspect="1"/>
        </xdr:cNvPicPr>
      </xdr:nvPicPr>
      <xdr:blipFill>
        <a:blip xmlns:r="http://schemas.openxmlformats.org/officeDocument/2006/relationships" r:embed="rId1861"/>
        <a:stretch>
          <a:fillRect/>
        </a:stretch>
      </xdr:blipFill>
      <xdr:spPr>
        <a:xfrm>
          <a:off x="7235825" y="2449817300"/>
          <a:ext cx="878840" cy="1183640"/>
        </a:xfrm>
        <a:prstGeom prst="rect">
          <a:avLst/>
        </a:prstGeom>
      </xdr:spPr>
    </xdr:pic>
    <xdr:clientData/>
  </xdr:twoCellAnchor>
  <xdr:twoCellAnchor>
    <xdr:from>
      <xdr:col>9</xdr:col>
      <xdr:colOff>6350</xdr:colOff>
      <xdr:row>2515</xdr:row>
      <xdr:rowOff>25400</xdr:rowOff>
    </xdr:from>
    <xdr:to>
      <xdr:col>9</xdr:col>
      <xdr:colOff>885190</xdr:colOff>
      <xdr:row>2515</xdr:row>
      <xdr:rowOff>1209040</xdr:rowOff>
    </xdr:to>
    <xdr:pic>
      <xdr:nvPicPr>
        <xdr:cNvPr id="7137" name="Изображение 7136" descr="resizeПП-00274443"/>
        <xdr:cNvPicPr>
          <a:picLocks noChangeAspect="1"/>
        </xdr:cNvPicPr>
      </xdr:nvPicPr>
      <xdr:blipFill>
        <a:blip xmlns:r="http://schemas.openxmlformats.org/officeDocument/2006/relationships" r:embed="rId1862"/>
        <a:stretch>
          <a:fillRect/>
        </a:stretch>
      </xdr:blipFill>
      <xdr:spPr>
        <a:xfrm>
          <a:off x="7235825" y="2451192075"/>
          <a:ext cx="878840" cy="1183640"/>
        </a:xfrm>
        <a:prstGeom prst="rect">
          <a:avLst/>
        </a:prstGeom>
      </xdr:spPr>
    </xdr:pic>
    <xdr:clientData/>
  </xdr:twoCellAnchor>
  <xdr:twoCellAnchor>
    <xdr:from>
      <xdr:col>9</xdr:col>
      <xdr:colOff>6350</xdr:colOff>
      <xdr:row>2516</xdr:row>
      <xdr:rowOff>25400</xdr:rowOff>
    </xdr:from>
    <xdr:to>
      <xdr:col>9</xdr:col>
      <xdr:colOff>885190</xdr:colOff>
      <xdr:row>2516</xdr:row>
      <xdr:rowOff>1209040</xdr:rowOff>
    </xdr:to>
    <xdr:pic>
      <xdr:nvPicPr>
        <xdr:cNvPr id="7138" name="Изображение 7137" descr="resizeПП-00274445"/>
        <xdr:cNvPicPr>
          <a:picLocks noChangeAspect="1"/>
        </xdr:cNvPicPr>
      </xdr:nvPicPr>
      <xdr:blipFill>
        <a:blip xmlns:r="http://schemas.openxmlformats.org/officeDocument/2006/relationships" r:embed="rId1862"/>
        <a:stretch>
          <a:fillRect/>
        </a:stretch>
      </xdr:blipFill>
      <xdr:spPr>
        <a:xfrm>
          <a:off x="7235825" y="2452414450"/>
          <a:ext cx="878840" cy="1183640"/>
        </a:xfrm>
        <a:prstGeom prst="rect">
          <a:avLst/>
        </a:prstGeom>
      </xdr:spPr>
    </xdr:pic>
    <xdr:clientData/>
  </xdr:twoCellAnchor>
  <xdr:twoCellAnchor>
    <xdr:from>
      <xdr:col>9</xdr:col>
      <xdr:colOff>6350</xdr:colOff>
      <xdr:row>2518</xdr:row>
      <xdr:rowOff>25400</xdr:rowOff>
    </xdr:from>
    <xdr:to>
      <xdr:col>9</xdr:col>
      <xdr:colOff>885190</xdr:colOff>
      <xdr:row>2518</xdr:row>
      <xdr:rowOff>1209040</xdr:rowOff>
    </xdr:to>
    <xdr:pic>
      <xdr:nvPicPr>
        <xdr:cNvPr id="7139" name="Изображение 7138" descr="resizeПП-00274440"/>
        <xdr:cNvPicPr>
          <a:picLocks noChangeAspect="1"/>
        </xdr:cNvPicPr>
      </xdr:nvPicPr>
      <xdr:blipFill>
        <a:blip xmlns:r="http://schemas.openxmlformats.org/officeDocument/2006/relationships" r:embed="rId1863"/>
        <a:stretch>
          <a:fillRect/>
        </a:stretch>
      </xdr:blipFill>
      <xdr:spPr>
        <a:xfrm>
          <a:off x="7235825" y="2453789225"/>
          <a:ext cx="878840" cy="1183640"/>
        </a:xfrm>
        <a:prstGeom prst="rect">
          <a:avLst/>
        </a:prstGeom>
      </xdr:spPr>
    </xdr:pic>
    <xdr:clientData/>
  </xdr:twoCellAnchor>
  <xdr:twoCellAnchor>
    <xdr:from>
      <xdr:col>9</xdr:col>
      <xdr:colOff>6350</xdr:colOff>
      <xdr:row>2520</xdr:row>
      <xdr:rowOff>25400</xdr:rowOff>
    </xdr:from>
    <xdr:to>
      <xdr:col>9</xdr:col>
      <xdr:colOff>885190</xdr:colOff>
      <xdr:row>2520</xdr:row>
      <xdr:rowOff>1209040</xdr:rowOff>
    </xdr:to>
    <xdr:pic>
      <xdr:nvPicPr>
        <xdr:cNvPr id="7140" name="Изображение 7139" descr="resizeПП-00256685"/>
        <xdr:cNvPicPr>
          <a:picLocks noChangeAspect="1"/>
        </xdr:cNvPicPr>
      </xdr:nvPicPr>
      <xdr:blipFill>
        <a:blip xmlns:r="http://schemas.openxmlformats.org/officeDocument/2006/relationships" r:embed="rId1864"/>
        <a:stretch>
          <a:fillRect/>
        </a:stretch>
      </xdr:blipFill>
      <xdr:spPr>
        <a:xfrm>
          <a:off x="7235825" y="2455164000"/>
          <a:ext cx="878840" cy="1183640"/>
        </a:xfrm>
        <a:prstGeom prst="rect">
          <a:avLst/>
        </a:prstGeom>
      </xdr:spPr>
    </xdr:pic>
    <xdr:clientData/>
  </xdr:twoCellAnchor>
  <xdr:twoCellAnchor>
    <xdr:from>
      <xdr:col>9</xdr:col>
      <xdr:colOff>6350</xdr:colOff>
      <xdr:row>2521</xdr:row>
      <xdr:rowOff>25400</xdr:rowOff>
    </xdr:from>
    <xdr:to>
      <xdr:col>9</xdr:col>
      <xdr:colOff>885190</xdr:colOff>
      <xdr:row>2521</xdr:row>
      <xdr:rowOff>1209040</xdr:rowOff>
    </xdr:to>
    <xdr:pic>
      <xdr:nvPicPr>
        <xdr:cNvPr id="7141" name="Изображение 7140" descr="resizeПП-00256686"/>
        <xdr:cNvPicPr>
          <a:picLocks noChangeAspect="1"/>
        </xdr:cNvPicPr>
      </xdr:nvPicPr>
      <xdr:blipFill>
        <a:blip xmlns:r="http://schemas.openxmlformats.org/officeDocument/2006/relationships" r:embed="rId1865"/>
        <a:stretch>
          <a:fillRect/>
        </a:stretch>
      </xdr:blipFill>
      <xdr:spPr>
        <a:xfrm>
          <a:off x="7235825" y="2456386375"/>
          <a:ext cx="878840" cy="1183640"/>
        </a:xfrm>
        <a:prstGeom prst="rect">
          <a:avLst/>
        </a:prstGeom>
      </xdr:spPr>
    </xdr:pic>
    <xdr:clientData/>
  </xdr:twoCellAnchor>
  <xdr:twoCellAnchor>
    <xdr:from>
      <xdr:col>9</xdr:col>
      <xdr:colOff>6350</xdr:colOff>
      <xdr:row>2524</xdr:row>
      <xdr:rowOff>25400</xdr:rowOff>
    </xdr:from>
    <xdr:to>
      <xdr:col>9</xdr:col>
      <xdr:colOff>885190</xdr:colOff>
      <xdr:row>2524</xdr:row>
      <xdr:rowOff>1209040</xdr:rowOff>
    </xdr:to>
    <xdr:pic>
      <xdr:nvPicPr>
        <xdr:cNvPr id="7142" name="Изображение 7141" descr="resizeПП-00274475"/>
        <xdr:cNvPicPr>
          <a:picLocks noChangeAspect="1"/>
        </xdr:cNvPicPr>
      </xdr:nvPicPr>
      <xdr:blipFill>
        <a:blip xmlns:r="http://schemas.openxmlformats.org/officeDocument/2006/relationships" r:embed="rId1866"/>
        <a:stretch>
          <a:fillRect/>
        </a:stretch>
      </xdr:blipFill>
      <xdr:spPr>
        <a:xfrm>
          <a:off x="7235825" y="2457913550"/>
          <a:ext cx="878840" cy="1183640"/>
        </a:xfrm>
        <a:prstGeom prst="rect">
          <a:avLst/>
        </a:prstGeom>
      </xdr:spPr>
    </xdr:pic>
    <xdr:clientData/>
  </xdr:twoCellAnchor>
  <xdr:twoCellAnchor>
    <xdr:from>
      <xdr:col>9</xdr:col>
      <xdr:colOff>6350</xdr:colOff>
      <xdr:row>2525</xdr:row>
      <xdr:rowOff>25400</xdr:rowOff>
    </xdr:from>
    <xdr:to>
      <xdr:col>9</xdr:col>
      <xdr:colOff>885190</xdr:colOff>
      <xdr:row>2525</xdr:row>
      <xdr:rowOff>1209040</xdr:rowOff>
    </xdr:to>
    <xdr:pic>
      <xdr:nvPicPr>
        <xdr:cNvPr id="7143" name="Изображение 7142" descr="resizeПП-00274476"/>
        <xdr:cNvPicPr>
          <a:picLocks noChangeAspect="1"/>
        </xdr:cNvPicPr>
      </xdr:nvPicPr>
      <xdr:blipFill>
        <a:blip xmlns:r="http://schemas.openxmlformats.org/officeDocument/2006/relationships" r:embed="rId1866"/>
        <a:stretch>
          <a:fillRect/>
        </a:stretch>
      </xdr:blipFill>
      <xdr:spPr>
        <a:xfrm>
          <a:off x="7235825" y="2459135925"/>
          <a:ext cx="878840" cy="1183640"/>
        </a:xfrm>
        <a:prstGeom prst="rect">
          <a:avLst/>
        </a:prstGeom>
      </xdr:spPr>
    </xdr:pic>
    <xdr:clientData/>
  </xdr:twoCellAnchor>
  <xdr:twoCellAnchor>
    <xdr:from>
      <xdr:col>9</xdr:col>
      <xdr:colOff>6350</xdr:colOff>
      <xdr:row>2527</xdr:row>
      <xdr:rowOff>25400</xdr:rowOff>
    </xdr:from>
    <xdr:to>
      <xdr:col>9</xdr:col>
      <xdr:colOff>885190</xdr:colOff>
      <xdr:row>2527</xdr:row>
      <xdr:rowOff>1209040</xdr:rowOff>
    </xdr:to>
    <xdr:pic>
      <xdr:nvPicPr>
        <xdr:cNvPr id="7144" name="Изображение 7143" descr="resizeПП-00274473"/>
        <xdr:cNvPicPr>
          <a:picLocks noChangeAspect="1"/>
        </xdr:cNvPicPr>
      </xdr:nvPicPr>
      <xdr:blipFill>
        <a:blip xmlns:r="http://schemas.openxmlformats.org/officeDocument/2006/relationships" r:embed="rId1867"/>
        <a:stretch>
          <a:fillRect/>
        </a:stretch>
      </xdr:blipFill>
      <xdr:spPr>
        <a:xfrm>
          <a:off x="7235825" y="2460510700"/>
          <a:ext cx="878840" cy="1183640"/>
        </a:xfrm>
        <a:prstGeom prst="rect">
          <a:avLst/>
        </a:prstGeom>
      </xdr:spPr>
    </xdr:pic>
    <xdr:clientData/>
  </xdr:twoCellAnchor>
  <xdr:twoCellAnchor>
    <xdr:from>
      <xdr:col>9</xdr:col>
      <xdr:colOff>6350</xdr:colOff>
      <xdr:row>2529</xdr:row>
      <xdr:rowOff>25400</xdr:rowOff>
    </xdr:from>
    <xdr:to>
      <xdr:col>9</xdr:col>
      <xdr:colOff>885190</xdr:colOff>
      <xdr:row>2529</xdr:row>
      <xdr:rowOff>1209040</xdr:rowOff>
    </xdr:to>
    <xdr:pic>
      <xdr:nvPicPr>
        <xdr:cNvPr id="7145" name="Изображение 7144" descr="resizeПП-00237433"/>
        <xdr:cNvPicPr>
          <a:picLocks noChangeAspect="1"/>
        </xdr:cNvPicPr>
      </xdr:nvPicPr>
      <xdr:blipFill>
        <a:blip xmlns:r="http://schemas.openxmlformats.org/officeDocument/2006/relationships" r:embed="rId1868"/>
        <a:stretch>
          <a:fillRect/>
        </a:stretch>
      </xdr:blipFill>
      <xdr:spPr>
        <a:xfrm>
          <a:off x="7235825" y="2461885475"/>
          <a:ext cx="878840" cy="1183640"/>
        </a:xfrm>
        <a:prstGeom prst="rect">
          <a:avLst/>
        </a:prstGeom>
      </xdr:spPr>
    </xdr:pic>
    <xdr:clientData/>
  </xdr:twoCellAnchor>
  <xdr:twoCellAnchor>
    <xdr:from>
      <xdr:col>9</xdr:col>
      <xdr:colOff>6350</xdr:colOff>
      <xdr:row>2530</xdr:row>
      <xdr:rowOff>25400</xdr:rowOff>
    </xdr:from>
    <xdr:to>
      <xdr:col>9</xdr:col>
      <xdr:colOff>885190</xdr:colOff>
      <xdr:row>2530</xdr:row>
      <xdr:rowOff>1209040</xdr:rowOff>
    </xdr:to>
    <xdr:pic>
      <xdr:nvPicPr>
        <xdr:cNvPr id="7146" name="Изображение 7145" descr="resizeПП-00237432"/>
        <xdr:cNvPicPr>
          <a:picLocks noChangeAspect="1"/>
        </xdr:cNvPicPr>
      </xdr:nvPicPr>
      <xdr:blipFill>
        <a:blip xmlns:r="http://schemas.openxmlformats.org/officeDocument/2006/relationships" r:embed="rId1869"/>
        <a:stretch>
          <a:fillRect/>
        </a:stretch>
      </xdr:blipFill>
      <xdr:spPr>
        <a:xfrm>
          <a:off x="7235825" y="2463107850"/>
          <a:ext cx="878840" cy="1183640"/>
        </a:xfrm>
        <a:prstGeom prst="rect">
          <a:avLst/>
        </a:prstGeom>
      </xdr:spPr>
    </xdr:pic>
    <xdr:clientData/>
  </xdr:twoCellAnchor>
  <xdr:twoCellAnchor>
    <xdr:from>
      <xdr:col>9</xdr:col>
      <xdr:colOff>6350</xdr:colOff>
      <xdr:row>2531</xdr:row>
      <xdr:rowOff>25400</xdr:rowOff>
    </xdr:from>
    <xdr:to>
      <xdr:col>9</xdr:col>
      <xdr:colOff>885190</xdr:colOff>
      <xdr:row>2531</xdr:row>
      <xdr:rowOff>1209040</xdr:rowOff>
    </xdr:to>
    <xdr:pic>
      <xdr:nvPicPr>
        <xdr:cNvPr id="7147" name="Изображение 7146" descr="resizeПП-00237431"/>
        <xdr:cNvPicPr>
          <a:picLocks noChangeAspect="1"/>
        </xdr:cNvPicPr>
      </xdr:nvPicPr>
      <xdr:blipFill>
        <a:blip xmlns:r="http://schemas.openxmlformats.org/officeDocument/2006/relationships" r:embed="rId1870"/>
        <a:stretch>
          <a:fillRect/>
        </a:stretch>
      </xdr:blipFill>
      <xdr:spPr>
        <a:xfrm>
          <a:off x="7235825" y="2464330225"/>
          <a:ext cx="878840" cy="1183640"/>
        </a:xfrm>
        <a:prstGeom prst="rect">
          <a:avLst/>
        </a:prstGeom>
      </xdr:spPr>
    </xdr:pic>
    <xdr:clientData/>
  </xdr:twoCellAnchor>
  <xdr:twoCellAnchor>
    <xdr:from>
      <xdr:col>9</xdr:col>
      <xdr:colOff>6350</xdr:colOff>
      <xdr:row>2534</xdr:row>
      <xdr:rowOff>25400</xdr:rowOff>
    </xdr:from>
    <xdr:to>
      <xdr:col>9</xdr:col>
      <xdr:colOff>885190</xdr:colOff>
      <xdr:row>2534</xdr:row>
      <xdr:rowOff>1209040</xdr:rowOff>
    </xdr:to>
    <xdr:pic>
      <xdr:nvPicPr>
        <xdr:cNvPr id="7148" name="Изображение 7147" descr="resizeПП-00274487"/>
        <xdr:cNvPicPr>
          <a:picLocks noChangeAspect="1"/>
        </xdr:cNvPicPr>
      </xdr:nvPicPr>
      <xdr:blipFill>
        <a:blip xmlns:r="http://schemas.openxmlformats.org/officeDocument/2006/relationships" r:embed="rId1871"/>
        <a:stretch>
          <a:fillRect/>
        </a:stretch>
      </xdr:blipFill>
      <xdr:spPr>
        <a:xfrm>
          <a:off x="7235825" y="2465857400"/>
          <a:ext cx="878840" cy="1183640"/>
        </a:xfrm>
        <a:prstGeom prst="rect">
          <a:avLst/>
        </a:prstGeom>
      </xdr:spPr>
    </xdr:pic>
    <xdr:clientData/>
  </xdr:twoCellAnchor>
  <xdr:twoCellAnchor>
    <xdr:from>
      <xdr:col>9</xdr:col>
      <xdr:colOff>6350</xdr:colOff>
      <xdr:row>2536</xdr:row>
      <xdr:rowOff>25400</xdr:rowOff>
    </xdr:from>
    <xdr:to>
      <xdr:col>9</xdr:col>
      <xdr:colOff>885190</xdr:colOff>
      <xdr:row>2536</xdr:row>
      <xdr:rowOff>1209040</xdr:rowOff>
    </xdr:to>
    <xdr:pic>
      <xdr:nvPicPr>
        <xdr:cNvPr id="7149" name="Изображение 7148" descr="resizeПП-00274491"/>
        <xdr:cNvPicPr>
          <a:picLocks noChangeAspect="1"/>
        </xdr:cNvPicPr>
      </xdr:nvPicPr>
      <xdr:blipFill>
        <a:blip xmlns:r="http://schemas.openxmlformats.org/officeDocument/2006/relationships" r:embed="rId1872"/>
        <a:stretch>
          <a:fillRect/>
        </a:stretch>
      </xdr:blipFill>
      <xdr:spPr>
        <a:xfrm>
          <a:off x="7235825" y="2467232175"/>
          <a:ext cx="878840" cy="1183640"/>
        </a:xfrm>
        <a:prstGeom prst="rect">
          <a:avLst/>
        </a:prstGeom>
      </xdr:spPr>
    </xdr:pic>
    <xdr:clientData/>
  </xdr:twoCellAnchor>
  <xdr:twoCellAnchor>
    <xdr:from>
      <xdr:col>9</xdr:col>
      <xdr:colOff>6350</xdr:colOff>
      <xdr:row>2538</xdr:row>
      <xdr:rowOff>25400</xdr:rowOff>
    </xdr:from>
    <xdr:to>
      <xdr:col>9</xdr:col>
      <xdr:colOff>885190</xdr:colOff>
      <xdr:row>2538</xdr:row>
      <xdr:rowOff>1209040</xdr:rowOff>
    </xdr:to>
    <xdr:pic>
      <xdr:nvPicPr>
        <xdr:cNvPr id="7150" name="Изображение 7149" descr="resizeПП-00274497"/>
        <xdr:cNvPicPr>
          <a:picLocks noChangeAspect="1"/>
        </xdr:cNvPicPr>
      </xdr:nvPicPr>
      <xdr:blipFill>
        <a:blip xmlns:r="http://schemas.openxmlformats.org/officeDocument/2006/relationships" r:embed="rId1873"/>
        <a:stretch>
          <a:fillRect/>
        </a:stretch>
      </xdr:blipFill>
      <xdr:spPr>
        <a:xfrm>
          <a:off x="7235825" y="2468606950"/>
          <a:ext cx="878840" cy="1183640"/>
        </a:xfrm>
        <a:prstGeom prst="rect">
          <a:avLst/>
        </a:prstGeom>
      </xdr:spPr>
    </xdr:pic>
    <xdr:clientData/>
  </xdr:twoCellAnchor>
  <xdr:twoCellAnchor>
    <xdr:from>
      <xdr:col>9</xdr:col>
      <xdr:colOff>6350</xdr:colOff>
      <xdr:row>2540</xdr:row>
      <xdr:rowOff>25400</xdr:rowOff>
    </xdr:from>
    <xdr:to>
      <xdr:col>9</xdr:col>
      <xdr:colOff>885190</xdr:colOff>
      <xdr:row>2540</xdr:row>
      <xdr:rowOff>1209040</xdr:rowOff>
    </xdr:to>
    <xdr:pic>
      <xdr:nvPicPr>
        <xdr:cNvPr id="7151" name="Изображение 7150" descr="resizeПП-00235291"/>
        <xdr:cNvPicPr>
          <a:picLocks noChangeAspect="1"/>
        </xdr:cNvPicPr>
      </xdr:nvPicPr>
      <xdr:blipFill>
        <a:blip xmlns:r="http://schemas.openxmlformats.org/officeDocument/2006/relationships" r:embed="rId1874"/>
        <a:stretch>
          <a:fillRect/>
        </a:stretch>
      </xdr:blipFill>
      <xdr:spPr>
        <a:xfrm>
          <a:off x="7235825" y="2469981725"/>
          <a:ext cx="878840" cy="1183640"/>
        </a:xfrm>
        <a:prstGeom prst="rect">
          <a:avLst/>
        </a:prstGeom>
      </xdr:spPr>
    </xdr:pic>
    <xdr:clientData/>
  </xdr:twoCellAnchor>
  <xdr:twoCellAnchor>
    <xdr:from>
      <xdr:col>9</xdr:col>
      <xdr:colOff>6350</xdr:colOff>
      <xdr:row>2541</xdr:row>
      <xdr:rowOff>25400</xdr:rowOff>
    </xdr:from>
    <xdr:to>
      <xdr:col>9</xdr:col>
      <xdr:colOff>885190</xdr:colOff>
      <xdr:row>2541</xdr:row>
      <xdr:rowOff>1209040</xdr:rowOff>
    </xdr:to>
    <xdr:pic>
      <xdr:nvPicPr>
        <xdr:cNvPr id="7152" name="Изображение 7151" descr="resizeПП-00239021"/>
        <xdr:cNvPicPr>
          <a:picLocks noChangeAspect="1"/>
        </xdr:cNvPicPr>
      </xdr:nvPicPr>
      <xdr:blipFill>
        <a:blip xmlns:r="http://schemas.openxmlformats.org/officeDocument/2006/relationships" r:embed="rId1875"/>
        <a:stretch>
          <a:fillRect/>
        </a:stretch>
      </xdr:blipFill>
      <xdr:spPr>
        <a:xfrm>
          <a:off x="7235825" y="2471204100"/>
          <a:ext cx="878840" cy="1183640"/>
        </a:xfrm>
        <a:prstGeom prst="rect">
          <a:avLst/>
        </a:prstGeom>
      </xdr:spPr>
    </xdr:pic>
    <xdr:clientData/>
  </xdr:twoCellAnchor>
  <xdr:twoCellAnchor>
    <xdr:from>
      <xdr:col>9</xdr:col>
      <xdr:colOff>6350</xdr:colOff>
      <xdr:row>2542</xdr:row>
      <xdr:rowOff>25400</xdr:rowOff>
    </xdr:from>
    <xdr:to>
      <xdr:col>9</xdr:col>
      <xdr:colOff>885190</xdr:colOff>
      <xdr:row>2542</xdr:row>
      <xdr:rowOff>1209040</xdr:rowOff>
    </xdr:to>
    <xdr:pic>
      <xdr:nvPicPr>
        <xdr:cNvPr id="7153" name="Изображение 7152" descr="resizeПП-00239022"/>
        <xdr:cNvPicPr>
          <a:picLocks noChangeAspect="1"/>
        </xdr:cNvPicPr>
      </xdr:nvPicPr>
      <xdr:blipFill>
        <a:blip xmlns:r="http://schemas.openxmlformats.org/officeDocument/2006/relationships" r:embed="rId1876"/>
        <a:stretch>
          <a:fillRect/>
        </a:stretch>
      </xdr:blipFill>
      <xdr:spPr>
        <a:xfrm>
          <a:off x="7235825" y="2472426475"/>
          <a:ext cx="878840" cy="1183640"/>
        </a:xfrm>
        <a:prstGeom prst="rect">
          <a:avLst/>
        </a:prstGeom>
      </xdr:spPr>
    </xdr:pic>
    <xdr:clientData/>
  </xdr:twoCellAnchor>
  <xdr:twoCellAnchor>
    <xdr:from>
      <xdr:col>9</xdr:col>
      <xdr:colOff>6350</xdr:colOff>
      <xdr:row>2543</xdr:row>
      <xdr:rowOff>25400</xdr:rowOff>
    </xdr:from>
    <xdr:to>
      <xdr:col>9</xdr:col>
      <xdr:colOff>885190</xdr:colOff>
      <xdr:row>2543</xdr:row>
      <xdr:rowOff>1209040</xdr:rowOff>
    </xdr:to>
    <xdr:pic>
      <xdr:nvPicPr>
        <xdr:cNvPr id="7154" name="Изображение 7153" descr="resizeПП-00239023"/>
        <xdr:cNvPicPr>
          <a:picLocks noChangeAspect="1"/>
        </xdr:cNvPicPr>
      </xdr:nvPicPr>
      <xdr:blipFill>
        <a:blip xmlns:r="http://schemas.openxmlformats.org/officeDocument/2006/relationships" r:embed="rId1877"/>
        <a:stretch>
          <a:fillRect/>
        </a:stretch>
      </xdr:blipFill>
      <xdr:spPr>
        <a:xfrm>
          <a:off x="7235825" y="2473648850"/>
          <a:ext cx="878840" cy="1183640"/>
        </a:xfrm>
        <a:prstGeom prst="rect">
          <a:avLst/>
        </a:prstGeom>
      </xdr:spPr>
    </xdr:pic>
    <xdr:clientData/>
  </xdr:twoCellAnchor>
  <xdr:twoCellAnchor>
    <xdr:from>
      <xdr:col>9</xdr:col>
      <xdr:colOff>6350</xdr:colOff>
      <xdr:row>2546</xdr:row>
      <xdr:rowOff>25400</xdr:rowOff>
    </xdr:from>
    <xdr:to>
      <xdr:col>9</xdr:col>
      <xdr:colOff>885190</xdr:colOff>
      <xdr:row>2546</xdr:row>
      <xdr:rowOff>1209040</xdr:rowOff>
    </xdr:to>
    <xdr:pic>
      <xdr:nvPicPr>
        <xdr:cNvPr id="7155" name="Изображение 7154" descr="resizeПП-00256681"/>
        <xdr:cNvPicPr>
          <a:picLocks noChangeAspect="1"/>
        </xdr:cNvPicPr>
      </xdr:nvPicPr>
      <xdr:blipFill>
        <a:blip xmlns:r="http://schemas.openxmlformats.org/officeDocument/2006/relationships" r:embed="rId1878"/>
        <a:stretch>
          <a:fillRect/>
        </a:stretch>
      </xdr:blipFill>
      <xdr:spPr>
        <a:xfrm>
          <a:off x="7235825" y="2475176025"/>
          <a:ext cx="878840" cy="1183640"/>
        </a:xfrm>
        <a:prstGeom prst="rect">
          <a:avLst/>
        </a:prstGeom>
      </xdr:spPr>
    </xdr:pic>
    <xdr:clientData/>
  </xdr:twoCellAnchor>
  <xdr:twoCellAnchor>
    <xdr:from>
      <xdr:col>9</xdr:col>
      <xdr:colOff>6350</xdr:colOff>
      <xdr:row>2547</xdr:row>
      <xdr:rowOff>25400</xdr:rowOff>
    </xdr:from>
    <xdr:to>
      <xdr:col>9</xdr:col>
      <xdr:colOff>885190</xdr:colOff>
      <xdr:row>2547</xdr:row>
      <xdr:rowOff>1209040</xdr:rowOff>
    </xdr:to>
    <xdr:pic>
      <xdr:nvPicPr>
        <xdr:cNvPr id="7156" name="Изображение 7155" descr="resizeПП-00256680"/>
        <xdr:cNvPicPr>
          <a:picLocks noChangeAspect="1"/>
        </xdr:cNvPicPr>
      </xdr:nvPicPr>
      <xdr:blipFill>
        <a:blip xmlns:r="http://schemas.openxmlformats.org/officeDocument/2006/relationships" r:embed="rId1879"/>
        <a:stretch>
          <a:fillRect/>
        </a:stretch>
      </xdr:blipFill>
      <xdr:spPr>
        <a:xfrm>
          <a:off x="7235825" y="2476398400"/>
          <a:ext cx="878840" cy="1183640"/>
        </a:xfrm>
        <a:prstGeom prst="rect">
          <a:avLst/>
        </a:prstGeom>
      </xdr:spPr>
    </xdr:pic>
    <xdr:clientData/>
  </xdr:twoCellAnchor>
  <xdr:twoCellAnchor>
    <xdr:from>
      <xdr:col>9</xdr:col>
      <xdr:colOff>6350</xdr:colOff>
      <xdr:row>2549</xdr:row>
      <xdr:rowOff>25400</xdr:rowOff>
    </xdr:from>
    <xdr:to>
      <xdr:col>9</xdr:col>
      <xdr:colOff>885190</xdr:colOff>
      <xdr:row>2549</xdr:row>
      <xdr:rowOff>1209040</xdr:rowOff>
    </xdr:to>
    <xdr:pic>
      <xdr:nvPicPr>
        <xdr:cNvPr id="7157" name="Изображение 7156" descr="resizeПП-00262397"/>
        <xdr:cNvPicPr>
          <a:picLocks noChangeAspect="1"/>
        </xdr:cNvPicPr>
      </xdr:nvPicPr>
      <xdr:blipFill>
        <a:blip xmlns:r="http://schemas.openxmlformats.org/officeDocument/2006/relationships" r:embed="rId1880"/>
        <a:stretch>
          <a:fillRect/>
        </a:stretch>
      </xdr:blipFill>
      <xdr:spPr>
        <a:xfrm>
          <a:off x="7235825" y="2477773175"/>
          <a:ext cx="878840" cy="1183640"/>
        </a:xfrm>
        <a:prstGeom prst="rect">
          <a:avLst/>
        </a:prstGeom>
      </xdr:spPr>
    </xdr:pic>
    <xdr:clientData/>
  </xdr:twoCellAnchor>
  <xdr:twoCellAnchor>
    <xdr:from>
      <xdr:col>9</xdr:col>
      <xdr:colOff>6350</xdr:colOff>
      <xdr:row>2550</xdr:row>
      <xdr:rowOff>25400</xdr:rowOff>
    </xdr:from>
    <xdr:to>
      <xdr:col>9</xdr:col>
      <xdr:colOff>885190</xdr:colOff>
      <xdr:row>2550</xdr:row>
      <xdr:rowOff>1209040</xdr:rowOff>
    </xdr:to>
    <xdr:pic>
      <xdr:nvPicPr>
        <xdr:cNvPr id="7158" name="Изображение 7157" descr="resizeПП-00257861"/>
        <xdr:cNvPicPr>
          <a:picLocks noChangeAspect="1"/>
        </xdr:cNvPicPr>
      </xdr:nvPicPr>
      <xdr:blipFill>
        <a:blip xmlns:r="http://schemas.openxmlformats.org/officeDocument/2006/relationships" r:embed="rId1881"/>
        <a:stretch>
          <a:fillRect/>
        </a:stretch>
      </xdr:blipFill>
      <xdr:spPr>
        <a:xfrm>
          <a:off x="7235825" y="2478995550"/>
          <a:ext cx="878840" cy="1183640"/>
        </a:xfrm>
        <a:prstGeom prst="rect">
          <a:avLst/>
        </a:prstGeom>
      </xdr:spPr>
    </xdr:pic>
    <xdr:clientData/>
  </xdr:twoCellAnchor>
  <xdr:twoCellAnchor>
    <xdr:from>
      <xdr:col>9</xdr:col>
      <xdr:colOff>6350</xdr:colOff>
      <xdr:row>2551</xdr:row>
      <xdr:rowOff>25400</xdr:rowOff>
    </xdr:from>
    <xdr:to>
      <xdr:col>9</xdr:col>
      <xdr:colOff>885190</xdr:colOff>
      <xdr:row>2551</xdr:row>
      <xdr:rowOff>1209040</xdr:rowOff>
    </xdr:to>
    <xdr:pic>
      <xdr:nvPicPr>
        <xdr:cNvPr id="7159" name="Изображение 7158" descr="resizeПП-00257871"/>
        <xdr:cNvPicPr>
          <a:picLocks noChangeAspect="1"/>
        </xdr:cNvPicPr>
      </xdr:nvPicPr>
      <xdr:blipFill>
        <a:blip xmlns:r="http://schemas.openxmlformats.org/officeDocument/2006/relationships" r:embed="rId1882"/>
        <a:stretch>
          <a:fillRect/>
        </a:stretch>
      </xdr:blipFill>
      <xdr:spPr>
        <a:xfrm>
          <a:off x="7235825" y="2480217925"/>
          <a:ext cx="878840" cy="1183640"/>
        </a:xfrm>
        <a:prstGeom prst="rect">
          <a:avLst/>
        </a:prstGeom>
      </xdr:spPr>
    </xdr:pic>
    <xdr:clientData/>
  </xdr:twoCellAnchor>
  <xdr:twoCellAnchor>
    <xdr:from>
      <xdr:col>9</xdr:col>
      <xdr:colOff>6350</xdr:colOff>
      <xdr:row>2552</xdr:row>
      <xdr:rowOff>25400</xdr:rowOff>
    </xdr:from>
    <xdr:to>
      <xdr:col>9</xdr:col>
      <xdr:colOff>885190</xdr:colOff>
      <xdr:row>2552</xdr:row>
      <xdr:rowOff>1209040</xdr:rowOff>
    </xdr:to>
    <xdr:pic>
      <xdr:nvPicPr>
        <xdr:cNvPr id="7160" name="Изображение 7159" descr="resizeПП-00257855"/>
        <xdr:cNvPicPr>
          <a:picLocks noChangeAspect="1"/>
        </xdr:cNvPicPr>
      </xdr:nvPicPr>
      <xdr:blipFill>
        <a:blip xmlns:r="http://schemas.openxmlformats.org/officeDocument/2006/relationships" r:embed="rId1883"/>
        <a:stretch>
          <a:fillRect/>
        </a:stretch>
      </xdr:blipFill>
      <xdr:spPr>
        <a:xfrm>
          <a:off x="7235825" y="2481440300"/>
          <a:ext cx="878840" cy="1183640"/>
        </a:xfrm>
        <a:prstGeom prst="rect">
          <a:avLst/>
        </a:prstGeom>
      </xdr:spPr>
    </xdr:pic>
    <xdr:clientData/>
  </xdr:twoCellAnchor>
  <xdr:twoCellAnchor>
    <xdr:from>
      <xdr:col>9</xdr:col>
      <xdr:colOff>6350</xdr:colOff>
      <xdr:row>2553</xdr:row>
      <xdr:rowOff>25400</xdr:rowOff>
    </xdr:from>
    <xdr:to>
      <xdr:col>9</xdr:col>
      <xdr:colOff>885190</xdr:colOff>
      <xdr:row>2553</xdr:row>
      <xdr:rowOff>1209040</xdr:rowOff>
    </xdr:to>
    <xdr:pic>
      <xdr:nvPicPr>
        <xdr:cNvPr id="7161" name="Изображение 7160" descr="resizeПП-00235292"/>
        <xdr:cNvPicPr>
          <a:picLocks noChangeAspect="1"/>
        </xdr:cNvPicPr>
      </xdr:nvPicPr>
      <xdr:blipFill>
        <a:blip xmlns:r="http://schemas.openxmlformats.org/officeDocument/2006/relationships" r:embed="rId1884"/>
        <a:stretch>
          <a:fillRect/>
        </a:stretch>
      </xdr:blipFill>
      <xdr:spPr>
        <a:xfrm>
          <a:off x="7235825" y="2482662675"/>
          <a:ext cx="878840" cy="1183640"/>
        </a:xfrm>
        <a:prstGeom prst="rect">
          <a:avLst/>
        </a:prstGeom>
      </xdr:spPr>
    </xdr:pic>
    <xdr:clientData/>
  </xdr:twoCellAnchor>
  <xdr:twoCellAnchor>
    <xdr:from>
      <xdr:col>9</xdr:col>
      <xdr:colOff>6350</xdr:colOff>
      <xdr:row>2554</xdr:row>
      <xdr:rowOff>25400</xdr:rowOff>
    </xdr:from>
    <xdr:to>
      <xdr:col>9</xdr:col>
      <xdr:colOff>885190</xdr:colOff>
      <xdr:row>2554</xdr:row>
      <xdr:rowOff>1209040</xdr:rowOff>
    </xdr:to>
    <xdr:pic>
      <xdr:nvPicPr>
        <xdr:cNvPr id="7162" name="Изображение 7161" descr="resizeПП-00257872"/>
        <xdr:cNvPicPr>
          <a:picLocks noChangeAspect="1"/>
        </xdr:cNvPicPr>
      </xdr:nvPicPr>
      <xdr:blipFill>
        <a:blip xmlns:r="http://schemas.openxmlformats.org/officeDocument/2006/relationships" r:embed="rId1885"/>
        <a:stretch>
          <a:fillRect/>
        </a:stretch>
      </xdr:blipFill>
      <xdr:spPr>
        <a:xfrm>
          <a:off x="7235825" y="2483885050"/>
          <a:ext cx="878840" cy="1183640"/>
        </a:xfrm>
        <a:prstGeom prst="rect">
          <a:avLst/>
        </a:prstGeom>
      </xdr:spPr>
    </xdr:pic>
    <xdr:clientData/>
  </xdr:twoCellAnchor>
  <xdr:twoCellAnchor>
    <xdr:from>
      <xdr:col>9</xdr:col>
      <xdr:colOff>6350</xdr:colOff>
      <xdr:row>2555</xdr:row>
      <xdr:rowOff>25400</xdr:rowOff>
    </xdr:from>
    <xdr:to>
      <xdr:col>9</xdr:col>
      <xdr:colOff>885190</xdr:colOff>
      <xdr:row>2555</xdr:row>
      <xdr:rowOff>1209040</xdr:rowOff>
    </xdr:to>
    <xdr:pic>
      <xdr:nvPicPr>
        <xdr:cNvPr id="7163" name="Изображение 7162" descr="resizeПП-00257868"/>
        <xdr:cNvPicPr>
          <a:picLocks noChangeAspect="1"/>
        </xdr:cNvPicPr>
      </xdr:nvPicPr>
      <xdr:blipFill>
        <a:blip xmlns:r="http://schemas.openxmlformats.org/officeDocument/2006/relationships" r:embed="rId1886"/>
        <a:stretch>
          <a:fillRect/>
        </a:stretch>
      </xdr:blipFill>
      <xdr:spPr>
        <a:xfrm>
          <a:off x="7235825" y="2485107425"/>
          <a:ext cx="878840" cy="1183640"/>
        </a:xfrm>
        <a:prstGeom prst="rect">
          <a:avLst/>
        </a:prstGeom>
      </xdr:spPr>
    </xdr:pic>
    <xdr:clientData/>
  </xdr:twoCellAnchor>
  <xdr:twoCellAnchor>
    <xdr:from>
      <xdr:col>9</xdr:col>
      <xdr:colOff>6350</xdr:colOff>
      <xdr:row>2556</xdr:row>
      <xdr:rowOff>25400</xdr:rowOff>
    </xdr:from>
    <xdr:to>
      <xdr:col>9</xdr:col>
      <xdr:colOff>885190</xdr:colOff>
      <xdr:row>2556</xdr:row>
      <xdr:rowOff>1209040</xdr:rowOff>
    </xdr:to>
    <xdr:pic>
      <xdr:nvPicPr>
        <xdr:cNvPr id="7164" name="Изображение 7163" descr="resizeПП-00255924"/>
        <xdr:cNvPicPr>
          <a:picLocks noChangeAspect="1"/>
        </xdr:cNvPicPr>
      </xdr:nvPicPr>
      <xdr:blipFill>
        <a:blip xmlns:r="http://schemas.openxmlformats.org/officeDocument/2006/relationships" r:embed="rId1887"/>
        <a:stretch>
          <a:fillRect/>
        </a:stretch>
      </xdr:blipFill>
      <xdr:spPr>
        <a:xfrm>
          <a:off x="7235825" y="2486329800"/>
          <a:ext cx="878840" cy="1183640"/>
        </a:xfrm>
        <a:prstGeom prst="rect">
          <a:avLst/>
        </a:prstGeom>
      </xdr:spPr>
    </xdr:pic>
    <xdr:clientData/>
  </xdr:twoCellAnchor>
  <xdr:twoCellAnchor>
    <xdr:from>
      <xdr:col>9</xdr:col>
      <xdr:colOff>6350</xdr:colOff>
      <xdr:row>2558</xdr:row>
      <xdr:rowOff>25400</xdr:rowOff>
    </xdr:from>
    <xdr:to>
      <xdr:col>9</xdr:col>
      <xdr:colOff>885190</xdr:colOff>
      <xdr:row>2558</xdr:row>
      <xdr:rowOff>1209040</xdr:rowOff>
    </xdr:to>
    <xdr:pic>
      <xdr:nvPicPr>
        <xdr:cNvPr id="7165" name="Изображение 7164" descr="resizeПП-00271614"/>
        <xdr:cNvPicPr>
          <a:picLocks noChangeAspect="1"/>
        </xdr:cNvPicPr>
      </xdr:nvPicPr>
      <xdr:blipFill>
        <a:blip xmlns:r="http://schemas.openxmlformats.org/officeDocument/2006/relationships" r:embed="rId1888"/>
        <a:stretch>
          <a:fillRect/>
        </a:stretch>
      </xdr:blipFill>
      <xdr:spPr>
        <a:xfrm>
          <a:off x="7235825" y="2487704575"/>
          <a:ext cx="878840" cy="1183640"/>
        </a:xfrm>
        <a:prstGeom prst="rect">
          <a:avLst/>
        </a:prstGeom>
      </xdr:spPr>
    </xdr:pic>
    <xdr:clientData/>
  </xdr:twoCellAnchor>
  <xdr:twoCellAnchor>
    <xdr:from>
      <xdr:col>9</xdr:col>
      <xdr:colOff>6350</xdr:colOff>
      <xdr:row>2559</xdr:row>
      <xdr:rowOff>25400</xdr:rowOff>
    </xdr:from>
    <xdr:to>
      <xdr:col>9</xdr:col>
      <xdr:colOff>885190</xdr:colOff>
      <xdr:row>2559</xdr:row>
      <xdr:rowOff>1209040</xdr:rowOff>
    </xdr:to>
    <xdr:pic>
      <xdr:nvPicPr>
        <xdr:cNvPr id="7166" name="Изображение 7165" descr="resizeПП-00247981"/>
        <xdr:cNvPicPr>
          <a:picLocks noChangeAspect="1"/>
        </xdr:cNvPicPr>
      </xdr:nvPicPr>
      <xdr:blipFill>
        <a:blip xmlns:r="http://schemas.openxmlformats.org/officeDocument/2006/relationships" r:embed="rId1889"/>
        <a:stretch>
          <a:fillRect/>
        </a:stretch>
      </xdr:blipFill>
      <xdr:spPr>
        <a:xfrm>
          <a:off x="7235825" y="2488926950"/>
          <a:ext cx="878840" cy="1183640"/>
        </a:xfrm>
        <a:prstGeom prst="rect">
          <a:avLst/>
        </a:prstGeom>
      </xdr:spPr>
    </xdr:pic>
    <xdr:clientData/>
  </xdr:twoCellAnchor>
  <xdr:twoCellAnchor>
    <xdr:from>
      <xdr:col>9</xdr:col>
      <xdr:colOff>6350</xdr:colOff>
      <xdr:row>2560</xdr:row>
      <xdr:rowOff>25400</xdr:rowOff>
    </xdr:from>
    <xdr:to>
      <xdr:col>9</xdr:col>
      <xdr:colOff>885190</xdr:colOff>
      <xdr:row>2560</xdr:row>
      <xdr:rowOff>1209040</xdr:rowOff>
    </xdr:to>
    <xdr:pic>
      <xdr:nvPicPr>
        <xdr:cNvPr id="7167" name="Изображение 7166" descr="resizeПП-00247980"/>
        <xdr:cNvPicPr>
          <a:picLocks noChangeAspect="1"/>
        </xdr:cNvPicPr>
      </xdr:nvPicPr>
      <xdr:blipFill>
        <a:blip xmlns:r="http://schemas.openxmlformats.org/officeDocument/2006/relationships" r:embed="rId1890"/>
        <a:stretch>
          <a:fillRect/>
        </a:stretch>
      </xdr:blipFill>
      <xdr:spPr>
        <a:xfrm>
          <a:off x="7235825" y="2490149325"/>
          <a:ext cx="878840" cy="1183640"/>
        </a:xfrm>
        <a:prstGeom prst="rect">
          <a:avLst/>
        </a:prstGeom>
      </xdr:spPr>
    </xdr:pic>
    <xdr:clientData/>
  </xdr:twoCellAnchor>
  <xdr:twoCellAnchor>
    <xdr:from>
      <xdr:col>9</xdr:col>
      <xdr:colOff>6350</xdr:colOff>
      <xdr:row>2561</xdr:row>
      <xdr:rowOff>25400</xdr:rowOff>
    </xdr:from>
    <xdr:to>
      <xdr:col>9</xdr:col>
      <xdr:colOff>885190</xdr:colOff>
      <xdr:row>2561</xdr:row>
      <xdr:rowOff>1209040</xdr:rowOff>
    </xdr:to>
    <xdr:pic>
      <xdr:nvPicPr>
        <xdr:cNvPr id="7168" name="Изображение 7167" descr="resizeПП-00247986"/>
        <xdr:cNvPicPr>
          <a:picLocks noChangeAspect="1"/>
        </xdr:cNvPicPr>
      </xdr:nvPicPr>
      <xdr:blipFill>
        <a:blip xmlns:r="http://schemas.openxmlformats.org/officeDocument/2006/relationships" r:embed="rId1891"/>
        <a:stretch>
          <a:fillRect/>
        </a:stretch>
      </xdr:blipFill>
      <xdr:spPr>
        <a:xfrm>
          <a:off x="7235825" y="2491371700"/>
          <a:ext cx="878840" cy="1183640"/>
        </a:xfrm>
        <a:prstGeom prst="rect">
          <a:avLst/>
        </a:prstGeom>
      </xdr:spPr>
    </xdr:pic>
    <xdr:clientData/>
  </xdr:twoCellAnchor>
  <xdr:twoCellAnchor>
    <xdr:from>
      <xdr:col>9</xdr:col>
      <xdr:colOff>6350</xdr:colOff>
      <xdr:row>2562</xdr:row>
      <xdr:rowOff>25400</xdr:rowOff>
    </xdr:from>
    <xdr:to>
      <xdr:col>9</xdr:col>
      <xdr:colOff>885190</xdr:colOff>
      <xdr:row>2562</xdr:row>
      <xdr:rowOff>1209040</xdr:rowOff>
    </xdr:to>
    <xdr:pic>
      <xdr:nvPicPr>
        <xdr:cNvPr id="7169" name="Изображение 7168" descr="resizeПП-00271609"/>
        <xdr:cNvPicPr>
          <a:picLocks noChangeAspect="1"/>
        </xdr:cNvPicPr>
      </xdr:nvPicPr>
      <xdr:blipFill>
        <a:blip xmlns:r="http://schemas.openxmlformats.org/officeDocument/2006/relationships" r:embed="rId1892"/>
        <a:stretch>
          <a:fillRect/>
        </a:stretch>
      </xdr:blipFill>
      <xdr:spPr>
        <a:xfrm>
          <a:off x="7235825" y="2492594075"/>
          <a:ext cx="878840" cy="1183640"/>
        </a:xfrm>
        <a:prstGeom prst="rect">
          <a:avLst/>
        </a:prstGeom>
      </xdr:spPr>
    </xdr:pic>
    <xdr:clientData/>
  </xdr:twoCellAnchor>
  <xdr:twoCellAnchor>
    <xdr:from>
      <xdr:col>9</xdr:col>
      <xdr:colOff>6350</xdr:colOff>
      <xdr:row>2563</xdr:row>
      <xdr:rowOff>25400</xdr:rowOff>
    </xdr:from>
    <xdr:to>
      <xdr:col>9</xdr:col>
      <xdr:colOff>885190</xdr:colOff>
      <xdr:row>2563</xdr:row>
      <xdr:rowOff>1209040</xdr:rowOff>
    </xdr:to>
    <xdr:pic>
      <xdr:nvPicPr>
        <xdr:cNvPr id="7170" name="Изображение 7169" descr="resizeПП-00247990"/>
        <xdr:cNvPicPr>
          <a:picLocks noChangeAspect="1"/>
        </xdr:cNvPicPr>
      </xdr:nvPicPr>
      <xdr:blipFill>
        <a:blip xmlns:r="http://schemas.openxmlformats.org/officeDocument/2006/relationships" r:embed="rId1893"/>
        <a:stretch>
          <a:fillRect/>
        </a:stretch>
      </xdr:blipFill>
      <xdr:spPr>
        <a:xfrm>
          <a:off x="7235825" y="2493816450"/>
          <a:ext cx="878840" cy="1183640"/>
        </a:xfrm>
        <a:prstGeom prst="rect">
          <a:avLst/>
        </a:prstGeom>
      </xdr:spPr>
    </xdr:pic>
    <xdr:clientData/>
  </xdr:twoCellAnchor>
  <xdr:twoCellAnchor>
    <xdr:from>
      <xdr:col>9</xdr:col>
      <xdr:colOff>6350</xdr:colOff>
      <xdr:row>2564</xdr:row>
      <xdr:rowOff>25400</xdr:rowOff>
    </xdr:from>
    <xdr:to>
      <xdr:col>9</xdr:col>
      <xdr:colOff>885190</xdr:colOff>
      <xdr:row>2564</xdr:row>
      <xdr:rowOff>1209040</xdr:rowOff>
    </xdr:to>
    <xdr:pic>
      <xdr:nvPicPr>
        <xdr:cNvPr id="7171" name="Изображение 7170" descr="resizeПП-00271613"/>
        <xdr:cNvPicPr>
          <a:picLocks noChangeAspect="1"/>
        </xdr:cNvPicPr>
      </xdr:nvPicPr>
      <xdr:blipFill>
        <a:blip xmlns:r="http://schemas.openxmlformats.org/officeDocument/2006/relationships" r:embed="rId1894"/>
        <a:stretch>
          <a:fillRect/>
        </a:stretch>
      </xdr:blipFill>
      <xdr:spPr>
        <a:xfrm>
          <a:off x="7235825" y="2495038825"/>
          <a:ext cx="878840" cy="1183640"/>
        </a:xfrm>
        <a:prstGeom prst="rect">
          <a:avLst/>
        </a:prstGeom>
      </xdr:spPr>
    </xdr:pic>
    <xdr:clientData/>
  </xdr:twoCellAnchor>
  <xdr:twoCellAnchor>
    <xdr:from>
      <xdr:col>9</xdr:col>
      <xdr:colOff>6350</xdr:colOff>
      <xdr:row>2565</xdr:row>
      <xdr:rowOff>25400</xdr:rowOff>
    </xdr:from>
    <xdr:to>
      <xdr:col>9</xdr:col>
      <xdr:colOff>885190</xdr:colOff>
      <xdr:row>2565</xdr:row>
      <xdr:rowOff>1209040</xdr:rowOff>
    </xdr:to>
    <xdr:pic>
      <xdr:nvPicPr>
        <xdr:cNvPr id="7172" name="Изображение 7171" descr="resizeПП-00271612"/>
        <xdr:cNvPicPr>
          <a:picLocks noChangeAspect="1"/>
        </xdr:cNvPicPr>
      </xdr:nvPicPr>
      <xdr:blipFill>
        <a:blip xmlns:r="http://schemas.openxmlformats.org/officeDocument/2006/relationships" r:embed="rId1895"/>
        <a:stretch>
          <a:fillRect/>
        </a:stretch>
      </xdr:blipFill>
      <xdr:spPr>
        <a:xfrm>
          <a:off x="7235825" y="2496261200"/>
          <a:ext cx="878840" cy="1183640"/>
        </a:xfrm>
        <a:prstGeom prst="rect">
          <a:avLst/>
        </a:prstGeom>
      </xdr:spPr>
    </xdr:pic>
    <xdr:clientData/>
  </xdr:twoCellAnchor>
  <xdr:twoCellAnchor>
    <xdr:from>
      <xdr:col>9</xdr:col>
      <xdr:colOff>6350</xdr:colOff>
      <xdr:row>2566</xdr:row>
      <xdr:rowOff>25400</xdr:rowOff>
    </xdr:from>
    <xdr:to>
      <xdr:col>9</xdr:col>
      <xdr:colOff>885190</xdr:colOff>
      <xdr:row>2566</xdr:row>
      <xdr:rowOff>1209040</xdr:rowOff>
    </xdr:to>
    <xdr:pic>
      <xdr:nvPicPr>
        <xdr:cNvPr id="7173" name="Изображение 7172" descr="resizeПП-00271610"/>
        <xdr:cNvPicPr>
          <a:picLocks noChangeAspect="1"/>
        </xdr:cNvPicPr>
      </xdr:nvPicPr>
      <xdr:blipFill>
        <a:blip xmlns:r="http://schemas.openxmlformats.org/officeDocument/2006/relationships" r:embed="rId1896"/>
        <a:stretch>
          <a:fillRect/>
        </a:stretch>
      </xdr:blipFill>
      <xdr:spPr>
        <a:xfrm>
          <a:off x="7235825" y="2497483575"/>
          <a:ext cx="878840" cy="1183640"/>
        </a:xfrm>
        <a:prstGeom prst="rect">
          <a:avLst/>
        </a:prstGeom>
      </xdr:spPr>
    </xdr:pic>
    <xdr:clientData/>
  </xdr:twoCellAnchor>
  <xdr:twoCellAnchor>
    <xdr:from>
      <xdr:col>9</xdr:col>
      <xdr:colOff>6350</xdr:colOff>
      <xdr:row>2567</xdr:row>
      <xdr:rowOff>25400</xdr:rowOff>
    </xdr:from>
    <xdr:to>
      <xdr:col>9</xdr:col>
      <xdr:colOff>885190</xdr:colOff>
      <xdr:row>2567</xdr:row>
      <xdr:rowOff>1209040</xdr:rowOff>
    </xdr:to>
    <xdr:pic>
      <xdr:nvPicPr>
        <xdr:cNvPr id="7174" name="Изображение 7173" descr="resizeПП-00247983"/>
        <xdr:cNvPicPr>
          <a:picLocks noChangeAspect="1"/>
        </xdr:cNvPicPr>
      </xdr:nvPicPr>
      <xdr:blipFill>
        <a:blip xmlns:r="http://schemas.openxmlformats.org/officeDocument/2006/relationships" r:embed="rId1897"/>
        <a:stretch>
          <a:fillRect/>
        </a:stretch>
      </xdr:blipFill>
      <xdr:spPr>
        <a:xfrm>
          <a:off x="7235825" y="2498705950"/>
          <a:ext cx="878840" cy="1183640"/>
        </a:xfrm>
        <a:prstGeom prst="rect">
          <a:avLst/>
        </a:prstGeom>
      </xdr:spPr>
    </xdr:pic>
    <xdr:clientData/>
  </xdr:twoCellAnchor>
  <xdr:twoCellAnchor>
    <xdr:from>
      <xdr:col>9</xdr:col>
      <xdr:colOff>6350</xdr:colOff>
      <xdr:row>2568</xdr:row>
      <xdr:rowOff>25400</xdr:rowOff>
    </xdr:from>
    <xdr:to>
      <xdr:col>9</xdr:col>
      <xdr:colOff>885190</xdr:colOff>
      <xdr:row>2568</xdr:row>
      <xdr:rowOff>1209040</xdr:rowOff>
    </xdr:to>
    <xdr:pic>
      <xdr:nvPicPr>
        <xdr:cNvPr id="7175" name="Изображение 7174" descr="resizeПП-00271611"/>
        <xdr:cNvPicPr>
          <a:picLocks noChangeAspect="1"/>
        </xdr:cNvPicPr>
      </xdr:nvPicPr>
      <xdr:blipFill>
        <a:blip xmlns:r="http://schemas.openxmlformats.org/officeDocument/2006/relationships" r:embed="rId1898"/>
        <a:stretch>
          <a:fillRect/>
        </a:stretch>
      </xdr:blipFill>
      <xdr:spPr>
        <a:xfrm>
          <a:off x="7235825" y="2499928325"/>
          <a:ext cx="878840" cy="1183640"/>
        </a:xfrm>
        <a:prstGeom prst="rect">
          <a:avLst/>
        </a:prstGeom>
      </xdr:spPr>
    </xdr:pic>
    <xdr:clientData/>
  </xdr:twoCellAnchor>
  <xdr:twoCellAnchor>
    <xdr:from>
      <xdr:col>9</xdr:col>
      <xdr:colOff>6350</xdr:colOff>
      <xdr:row>2569</xdr:row>
      <xdr:rowOff>25400</xdr:rowOff>
    </xdr:from>
    <xdr:to>
      <xdr:col>9</xdr:col>
      <xdr:colOff>885190</xdr:colOff>
      <xdr:row>2569</xdr:row>
      <xdr:rowOff>1209040</xdr:rowOff>
    </xdr:to>
    <xdr:pic>
      <xdr:nvPicPr>
        <xdr:cNvPr id="7176" name="Изображение 7175" descr="resizeПП-00247987"/>
        <xdr:cNvPicPr>
          <a:picLocks noChangeAspect="1"/>
        </xdr:cNvPicPr>
      </xdr:nvPicPr>
      <xdr:blipFill>
        <a:blip xmlns:r="http://schemas.openxmlformats.org/officeDocument/2006/relationships" r:embed="rId1899"/>
        <a:stretch>
          <a:fillRect/>
        </a:stretch>
      </xdr:blipFill>
      <xdr:spPr>
        <a:xfrm>
          <a:off x="7235825" y="2501150700"/>
          <a:ext cx="878840" cy="1183640"/>
        </a:xfrm>
        <a:prstGeom prst="rect">
          <a:avLst/>
        </a:prstGeom>
      </xdr:spPr>
    </xdr:pic>
    <xdr:clientData/>
  </xdr:twoCellAnchor>
  <xdr:twoCellAnchor>
    <xdr:from>
      <xdr:col>9</xdr:col>
      <xdr:colOff>6350</xdr:colOff>
      <xdr:row>2570</xdr:row>
      <xdr:rowOff>25400</xdr:rowOff>
    </xdr:from>
    <xdr:to>
      <xdr:col>9</xdr:col>
      <xdr:colOff>885190</xdr:colOff>
      <xdr:row>2570</xdr:row>
      <xdr:rowOff>1209040</xdr:rowOff>
    </xdr:to>
    <xdr:pic>
      <xdr:nvPicPr>
        <xdr:cNvPr id="7177" name="Изображение 7176" descr="resizeПП-00271608"/>
        <xdr:cNvPicPr>
          <a:picLocks noChangeAspect="1"/>
        </xdr:cNvPicPr>
      </xdr:nvPicPr>
      <xdr:blipFill>
        <a:blip xmlns:r="http://schemas.openxmlformats.org/officeDocument/2006/relationships" r:embed="rId1900"/>
        <a:stretch>
          <a:fillRect/>
        </a:stretch>
      </xdr:blipFill>
      <xdr:spPr>
        <a:xfrm>
          <a:off x="7235825" y="2502373075"/>
          <a:ext cx="878840" cy="1183640"/>
        </a:xfrm>
        <a:prstGeom prst="rect">
          <a:avLst/>
        </a:prstGeom>
      </xdr:spPr>
    </xdr:pic>
    <xdr:clientData/>
  </xdr:twoCellAnchor>
  <xdr:twoCellAnchor>
    <xdr:from>
      <xdr:col>9</xdr:col>
      <xdr:colOff>6350</xdr:colOff>
      <xdr:row>2574</xdr:row>
      <xdr:rowOff>25400</xdr:rowOff>
    </xdr:from>
    <xdr:to>
      <xdr:col>9</xdr:col>
      <xdr:colOff>885190</xdr:colOff>
      <xdr:row>2574</xdr:row>
      <xdr:rowOff>1209040</xdr:rowOff>
    </xdr:to>
    <xdr:pic>
      <xdr:nvPicPr>
        <xdr:cNvPr id="7178" name="Изображение 7177" descr="resizeПП-00268779"/>
        <xdr:cNvPicPr>
          <a:picLocks noChangeAspect="1"/>
        </xdr:cNvPicPr>
      </xdr:nvPicPr>
      <xdr:blipFill>
        <a:blip xmlns:r="http://schemas.openxmlformats.org/officeDocument/2006/relationships" r:embed="rId1901"/>
        <a:stretch>
          <a:fillRect/>
        </a:stretch>
      </xdr:blipFill>
      <xdr:spPr>
        <a:xfrm>
          <a:off x="7235825" y="2504052650"/>
          <a:ext cx="878840" cy="1183640"/>
        </a:xfrm>
        <a:prstGeom prst="rect">
          <a:avLst/>
        </a:prstGeom>
      </xdr:spPr>
    </xdr:pic>
    <xdr:clientData/>
  </xdr:twoCellAnchor>
  <xdr:twoCellAnchor>
    <xdr:from>
      <xdr:col>9</xdr:col>
      <xdr:colOff>6350</xdr:colOff>
      <xdr:row>2575</xdr:row>
      <xdr:rowOff>25400</xdr:rowOff>
    </xdr:from>
    <xdr:to>
      <xdr:col>9</xdr:col>
      <xdr:colOff>885190</xdr:colOff>
      <xdr:row>2575</xdr:row>
      <xdr:rowOff>1209040</xdr:rowOff>
    </xdr:to>
    <xdr:pic>
      <xdr:nvPicPr>
        <xdr:cNvPr id="7179" name="Изображение 7178" descr="resizeПП-00268783"/>
        <xdr:cNvPicPr>
          <a:picLocks noChangeAspect="1"/>
        </xdr:cNvPicPr>
      </xdr:nvPicPr>
      <xdr:blipFill>
        <a:blip xmlns:r="http://schemas.openxmlformats.org/officeDocument/2006/relationships" r:embed="rId1902"/>
        <a:stretch>
          <a:fillRect/>
        </a:stretch>
      </xdr:blipFill>
      <xdr:spPr>
        <a:xfrm>
          <a:off x="7235825" y="2505275025"/>
          <a:ext cx="878840" cy="1183640"/>
        </a:xfrm>
        <a:prstGeom prst="rect">
          <a:avLst/>
        </a:prstGeom>
      </xdr:spPr>
    </xdr:pic>
    <xdr:clientData/>
  </xdr:twoCellAnchor>
  <xdr:twoCellAnchor>
    <xdr:from>
      <xdr:col>9</xdr:col>
      <xdr:colOff>6350</xdr:colOff>
      <xdr:row>2577</xdr:row>
      <xdr:rowOff>25400</xdr:rowOff>
    </xdr:from>
    <xdr:to>
      <xdr:col>9</xdr:col>
      <xdr:colOff>885190</xdr:colOff>
      <xdr:row>2577</xdr:row>
      <xdr:rowOff>1209040</xdr:rowOff>
    </xdr:to>
    <xdr:pic>
      <xdr:nvPicPr>
        <xdr:cNvPr id="7180" name="Изображение 7179" descr="resizeПП-00231389"/>
        <xdr:cNvPicPr>
          <a:picLocks noChangeAspect="1"/>
        </xdr:cNvPicPr>
      </xdr:nvPicPr>
      <xdr:blipFill>
        <a:blip xmlns:r="http://schemas.openxmlformats.org/officeDocument/2006/relationships" r:embed="rId1903"/>
        <a:stretch>
          <a:fillRect/>
        </a:stretch>
      </xdr:blipFill>
      <xdr:spPr>
        <a:xfrm>
          <a:off x="7235825" y="2506649800"/>
          <a:ext cx="878840" cy="1183640"/>
        </a:xfrm>
        <a:prstGeom prst="rect">
          <a:avLst/>
        </a:prstGeom>
      </xdr:spPr>
    </xdr:pic>
    <xdr:clientData/>
  </xdr:twoCellAnchor>
  <xdr:twoCellAnchor>
    <xdr:from>
      <xdr:col>9</xdr:col>
      <xdr:colOff>6350</xdr:colOff>
      <xdr:row>2578</xdr:row>
      <xdr:rowOff>25400</xdr:rowOff>
    </xdr:from>
    <xdr:to>
      <xdr:col>9</xdr:col>
      <xdr:colOff>885190</xdr:colOff>
      <xdr:row>2578</xdr:row>
      <xdr:rowOff>1209040</xdr:rowOff>
    </xdr:to>
    <xdr:pic>
      <xdr:nvPicPr>
        <xdr:cNvPr id="7181" name="Изображение 7180" descr="resizeПП-00231390"/>
        <xdr:cNvPicPr>
          <a:picLocks noChangeAspect="1"/>
        </xdr:cNvPicPr>
      </xdr:nvPicPr>
      <xdr:blipFill>
        <a:blip xmlns:r="http://schemas.openxmlformats.org/officeDocument/2006/relationships" r:embed="rId1904"/>
        <a:stretch>
          <a:fillRect/>
        </a:stretch>
      </xdr:blipFill>
      <xdr:spPr>
        <a:xfrm>
          <a:off x="7235825" y="2507872175"/>
          <a:ext cx="878840" cy="1183640"/>
        </a:xfrm>
        <a:prstGeom prst="rect">
          <a:avLst/>
        </a:prstGeom>
      </xdr:spPr>
    </xdr:pic>
    <xdr:clientData/>
  </xdr:twoCellAnchor>
  <xdr:twoCellAnchor>
    <xdr:from>
      <xdr:col>9</xdr:col>
      <xdr:colOff>6350</xdr:colOff>
      <xdr:row>2579</xdr:row>
      <xdr:rowOff>25400</xdr:rowOff>
    </xdr:from>
    <xdr:to>
      <xdr:col>9</xdr:col>
      <xdr:colOff>885190</xdr:colOff>
      <xdr:row>2579</xdr:row>
      <xdr:rowOff>1209040</xdr:rowOff>
    </xdr:to>
    <xdr:pic>
      <xdr:nvPicPr>
        <xdr:cNvPr id="7182" name="Изображение 7181" descr="resizeПП-00275457"/>
        <xdr:cNvPicPr>
          <a:picLocks noChangeAspect="1"/>
        </xdr:cNvPicPr>
      </xdr:nvPicPr>
      <xdr:blipFill>
        <a:blip xmlns:r="http://schemas.openxmlformats.org/officeDocument/2006/relationships" r:embed="rId1905"/>
        <a:stretch>
          <a:fillRect/>
        </a:stretch>
      </xdr:blipFill>
      <xdr:spPr>
        <a:xfrm>
          <a:off x="7235825" y="2509094550"/>
          <a:ext cx="878840" cy="1183640"/>
        </a:xfrm>
        <a:prstGeom prst="rect">
          <a:avLst/>
        </a:prstGeom>
      </xdr:spPr>
    </xdr:pic>
    <xdr:clientData/>
  </xdr:twoCellAnchor>
  <xdr:twoCellAnchor>
    <xdr:from>
      <xdr:col>9</xdr:col>
      <xdr:colOff>6350</xdr:colOff>
      <xdr:row>2580</xdr:row>
      <xdr:rowOff>25400</xdr:rowOff>
    </xdr:from>
    <xdr:to>
      <xdr:col>9</xdr:col>
      <xdr:colOff>885190</xdr:colOff>
      <xdr:row>2580</xdr:row>
      <xdr:rowOff>1209040</xdr:rowOff>
    </xdr:to>
    <xdr:pic>
      <xdr:nvPicPr>
        <xdr:cNvPr id="7183" name="Изображение 7182" descr="resizeПП-00275458"/>
        <xdr:cNvPicPr>
          <a:picLocks noChangeAspect="1"/>
        </xdr:cNvPicPr>
      </xdr:nvPicPr>
      <xdr:blipFill>
        <a:blip xmlns:r="http://schemas.openxmlformats.org/officeDocument/2006/relationships" r:embed="rId1906"/>
        <a:stretch>
          <a:fillRect/>
        </a:stretch>
      </xdr:blipFill>
      <xdr:spPr>
        <a:xfrm>
          <a:off x="7235825" y="2510316925"/>
          <a:ext cx="878840" cy="1183640"/>
        </a:xfrm>
        <a:prstGeom prst="rect">
          <a:avLst/>
        </a:prstGeom>
      </xdr:spPr>
    </xdr:pic>
    <xdr:clientData/>
  </xdr:twoCellAnchor>
  <xdr:twoCellAnchor>
    <xdr:from>
      <xdr:col>9</xdr:col>
      <xdr:colOff>6350</xdr:colOff>
      <xdr:row>2581</xdr:row>
      <xdr:rowOff>25400</xdr:rowOff>
    </xdr:from>
    <xdr:to>
      <xdr:col>9</xdr:col>
      <xdr:colOff>885190</xdr:colOff>
      <xdr:row>2581</xdr:row>
      <xdr:rowOff>1209040</xdr:rowOff>
    </xdr:to>
    <xdr:pic>
      <xdr:nvPicPr>
        <xdr:cNvPr id="7184" name="Изображение 7183" descr="resizeПП-00275463"/>
        <xdr:cNvPicPr>
          <a:picLocks noChangeAspect="1"/>
        </xdr:cNvPicPr>
      </xdr:nvPicPr>
      <xdr:blipFill>
        <a:blip xmlns:r="http://schemas.openxmlformats.org/officeDocument/2006/relationships" r:embed="rId1907"/>
        <a:stretch>
          <a:fillRect/>
        </a:stretch>
      </xdr:blipFill>
      <xdr:spPr>
        <a:xfrm>
          <a:off x="7235825" y="2511539300"/>
          <a:ext cx="878840" cy="1183640"/>
        </a:xfrm>
        <a:prstGeom prst="rect">
          <a:avLst/>
        </a:prstGeom>
      </xdr:spPr>
    </xdr:pic>
    <xdr:clientData/>
  </xdr:twoCellAnchor>
  <xdr:twoCellAnchor>
    <xdr:from>
      <xdr:col>9</xdr:col>
      <xdr:colOff>6350</xdr:colOff>
      <xdr:row>2582</xdr:row>
      <xdr:rowOff>25400</xdr:rowOff>
    </xdr:from>
    <xdr:to>
      <xdr:col>9</xdr:col>
      <xdr:colOff>885190</xdr:colOff>
      <xdr:row>2582</xdr:row>
      <xdr:rowOff>1209040</xdr:rowOff>
    </xdr:to>
    <xdr:pic>
      <xdr:nvPicPr>
        <xdr:cNvPr id="7185" name="Изображение 7184" descr="resizeПП-00215695"/>
        <xdr:cNvPicPr>
          <a:picLocks noChangeAspect="1"/>
        </xdr:cNvPicPr>
      </xdr:nvPicPr>
      <xdr:blipFill>
        <a:blip xmlns:r="http://schemas.openxmlformats.org/officeDocument/2006/relationships" r:embed="rId1908"/>
        <a:stretch>
          <a:fillRect/>
        </a:stretch>
      </xdr:blipFill>
      <xdr:spPr>
        <a:xfrm>
          <a:off x="7235825" y="2512761675"/>
          <a:ext cx="878840" cy="1183640"/>
        </a:xfrm>
        <a:prstGeom prst="rect">
          <a:avLst/>
        </a:prstGeom>
      </xdr:spPr>
    </xdr:pic>
    <xdr:clientData/>
  </xdr:twoCellAnchor>
  <xdr:twoCellAnchor>
    <xdr:from>
      <xdr:col>9</xdr:col>
      <xdr:colOff>6350</xdr:colOff>
      <xdr:row>2583</xdr:row>
      <xdr:rowOff>25400</xdr:rowOff>
    </xdr:from>
    <xdr:to>
      <xdr:col>9</xdr:col>
      <xdr:colOff>885190</xdr:colOff>
      <xdr:row>2583</xdr:row>
      <xdr:rowOff>1209040</xdr:rowOff>
    </xdr:to>
    <xdr:pic>
      <xdr:nvPicPr>
        <xdr:cNvPr id="7186" name="Изображение 7185" descr="resizeПП-00215693"/>
        <xdr:cNvPicPr>
          <a:picLocks noChangeAspect="1"/>
        </xdr:cNvPicPr>
      </xdr:nvPicPr>
      <xdr:blipFill>
        <a:blip xmlns:r="http://schemas.openxmlformats.org/officeDocument/2006/relationships" r:embed="rId1909"/>
        <a:stretch>
          <a:fillRect/>
        </a:stretch>
      </xdr:blipFill>
      <xdr:spPr>
        <a:xfrm>
          <a:off x="7235825" y="2513984050"/>
          <a:ext cx="878840" cy="1183640"/>
        </a:xfrm>
        <a:prstGeom prst="rect">
          <a:avLst/>
        </a:prstGeom>
      </xdr:spPr>
    </xdr:pic>
    <xdr:clientData/>
  </xdr:twoCellAnchor>
  <xdr:twoCellAnchor>
    <xdr:from>
      <xdr:col>9</xdr:col>
      <xdr:colOff>6350</xdr:colOff>
      <xdr:row>2584</xdr:row>
      <xdr:rowOff>25400</xdr:rowOff>
    </xdr:from>
    <xdr:to>
      <xdr:col>9</xdr:col>
      <xdr:colOff>885190</xdr:colOff>
      <xdr:row>2584</xdr:row>
      <xdr:rowOff>1209040</xdr:rowOff>
    </xdr:to>
    <xdr:pic>
      <xdr:nvPicPr>
        <xdr:cNvPr id="7187" name="Изображение 7186" descr="resizeПП-00215694"/>
        <xdr:cNvPicPr>
          <a:picLocks noChangeAspect="1"/>
        </xdr:cNvPicPr>
      </xdr:nvPicPr>
      <xdr:blipFill>
        <a:blip xmlns:r="http://schemas.openxmlformats.org/officeDocument/2006/relationships" r:embed="rId1910"/>
        <a:stretch>
          <a:fillRect/>
        </a:stretch>
      </xdr:blipFill>
      <xdr:spPr>
        <a:xfrm>
          <a:off x="7235825" y="2515206425"/>
          <a:ext cx="878840" cy="1183640"/>
        </a:xfrm>
        <a:prstGeom prst="rect">
          <a:avLst/>
        </a:prstGeom>
      </xdr:spPr>
    </xdr:pic>
    <xdr:clientData/>
  </xdr:twoCellAnchor>
  <xdr:twoCellAnchor>
    <xdr:from>
      <xdr:col>9</xdr:col>
      <xdr:colOff>6350</xdr:colOff>
      <xdr:row>2586</xdr:row>
      <xdr:rowOff>25400</xdr:rowOff>
    </xdr:from>
    <xdr:to>
      <xdr:col>9</xdr:col>
      <xdr:colOff>885190</xdr:colOff>
      <xdr:row>2586</xdr:row>
      <xdr:rowOff>1209040</xdr:rowOff>
    </xdr:to>
    <xdr:pic>
      <xdr:nvPicPr>
        <xdr:cNvPr id="7188" name="Изображение 7187" descr="resizeПП-00251499"/>
        <xdr:cNvPicPr>
          <a:picLocks noChangeAspect="1"/>
        </xdr:cNvPicPr>
      </xdr:nvPicPr>
      <xdr:blipFill>
        <a:blip xmlns:r="http://schemas.openxmlformats.org/officeDocument/2006/relationships" r:embed="rId1911"/>
        <a:stretch>
          <a:fillRect/>
        </a:stretch>
      </xdr:blipFill>
      <xdr:spPr>
        <a:xfrm>
          <a:off x="7235825" y="2516581200"/>
          <a:ext cx="878840" cy="1183640"/>
        </a:xfrm>
        <a:prstGeom prst="rect">
          <a:avLst/>
        </a:prstGeom>
      </xdr:spPr>
    </xdr:pic>
    <xdr:clientData/>
  </xdr:twoCellAnchor>
  <xdr:twoCellAnchor>
    <xdr:from>
      <xdr:col>9</xdr:col>
      <xdr:colOff>6350</xdr:colOff>
      <xdr:row>2588</xdr:row>
      <xdr:rowOff>25400</xdr:rowOff>
    </xdr:from>
    <xdr:to>
      <xdr:col>9</xdr:col>
      <xdr:colOff>885190</xdr:colOff>
      <xdr:row>2588</xdr:row>
      <xdr:rowOff>1209040</xdr:rowOff>
    </xdr:to>
    <xdr:pic>
      <xdr:nvPicPr>
        <xdr:cNvPr id="7189" name="Изображение 7188" descr="resizeПП-00204856"/>
        <xdr:cNvPicPr>
          <a:picLocks noChangeAspect="1"/>
        </xdr:cNvPicPr>
      </xdr:nvPicPr>
      <xdr:blipFill>
        <a:blip xmlns:r="http://schemas.openxmlformats.org/officeDocument/2006/relationships" r:embed="rId1912"/>
        <a:stretch>
          <a:fillRect/>
        </a:stretch>
      </xdr:blipFill>
      <xdr:spPr>
        <a:xfrm>
          <a:off x="7235825" y="2517955975"/>
          <a:ext cx="878840" cy="1183640"/>
        </a:xfrm>
        <a:prstGeom prst="rect">
          <a:avLst/>
        </a:prstGeom>
      </xdr:spPr>
    </xdr:pic>
    <xdr:clientData/>
  </xdr:twoCellAnchor>
  <xdr:twoCellAnchor>
    <xdr:from>
      <xdr:col>9</xdr:col>
      <xdr:colOff>6350</xdr:colOff>
      <xdr:row>2589</xdr:row>
      <xdr:rowOff>25400</xdr:rowOff>
    </xdr:from>
    <xdr:to>
      <xdr:col>9</xdr:col>
      <xdr:colOff>885190</xdr:colOff>
      <xdr:row>2589</xdr:row>
      <xdr:rowOff>1209040</xdr:rowOff>
    </xdr:to>
    <xdr:pic>
      <xdr:nvPicPr>
        <xdr:cNvPr id="7190" name="Изображение 7189" descr="resizeПП-00204851"/>
        <xdr:cNvPicPr>
          <a:picLocks noChangeAspect="1"/>
        </xdr:cNvPicPr>
      </xdr:nvPicPr>
      <xdr:blipFill>
        <a:blip xmlns:r="http://schemas.openxmlformats.org/officeDocument/2006/relationships" r:embed="rId1913"/>
        <a:stretch>
          <a:fillRect/>
        </a:stretch>
      </xdr:blipFill>
      <xdr:spPr>
        <a:xfrm>
          <a:off x="7235825" y="2519178350"/>
          <a:ext cx="878840" cy="1183640"/>
        </a:xfrm>
        <a:prstGeom prst="rect">
          <a:avLst/>
        </a:prstGeom>
      </xdr:spPr>
    </xdr:pic>
    <xdr:clientData/>
  </xdr:twoCellAnchor>
  <xdr:twoCellAnchor>
    <xdr:from>
      <xdr:col>9</xdr:col>
      <xdr:colOff>6350</xdr:colOff>
      <xdr:row>2590</xdr:row>
      <xdr:rowOff>25400</xdr:rowOff>
    </xdr:from>
    <xdr:to>
      <xdr:col>9</xdr:col>
      <xdr:colOff>885190</xdr:colOff>
      <xdr:row>2590</xdr:row>
      <xdr:rowOff>1209040</xdr:rowOff>
    </xdr:to>
    <xdr:pic>
      <xdr:nvPicPr>
        <xdr:cNvPr id="7191" name="Изображение 7190" descr="resizeПП-00204852"/>
        <xdr:cNvPicPr>
          <a:picLocks noChangeAspect="1"/>
        </xdr:cNvPicPr>
      </xdr:nvPicPr>
      <xdr:blipFill>
        <a:blip xmlns:r="http://schemas.openxmlformats.org/officeDocument/2006/relationships" r:embed="rId1914"/>
        <a:stretch>
          <a:fillRect/>
        </a:stretch>
      </xdr:blipFill>
      <xdr:spPr>
        <a:xfrm>
          <a:off x="7235825" y="2520400725"/>
          <a:ext cx="878840" cy="1183640"/>
        </a:xfrm>
        <a:prstGeom prst="rect">
          <a:avLst/>
        </a:prstGeom>
      </xdr:spPr>
    </xdr:pic>
    <xdr:clientData/>
  </xdr:twoCellAnchor>
  <xdr:twoCellAnchor>
    <xdr:from>
      <xdr:col>9</xdr:col>
      <xdr:colOff>6350</xdr:colOff>
      <xdr:row>2591</xdr:row>
      <xdr:rowOff>25400</xdr:rowOff>
    </xdr:from>
    <xdr:to>
      <xdr:col>9</xdr:col>
      <xdr:colOff>885190</xdr:colOff>
      <xdr:row>2591</xdr:row>
      <xdr:rowOff>1209040</xdr:rowOff>
    </xdr:to>
    <xdr:pic>
      <xdr:nvPicPr>
        <xdr:cNvPr id="7192" name="Изображение 7191" descr="resizeПП-00204854"/>
        <xdr:cNvPicPr>
          <a:picLocks noChangeAspect="1"/>
        </xdr:cNvPicPr>
      </xdr:nvPicPr>
      <xdr:blipFill>
        <a:blip xmlns:r="http://schemas.openxmlformats.org/officeDocument/2006/relationships" r:embed="rId1915"/>
        <a:stretch>
          <a:fillRect/>
        </a:stretch>
      </xdr:blipFill>
      <xdr:spPr>
        <a:xfrm>
          <a:off x="7235825" y="2521623100"/>
          <a:ext cx="878840" cy="1183640"/>
        </a:xfrm>
        <a:prstGeom prst="rect">
          <a:avLst/>
        </a:prstGeom>
      </xdr:spPr>
    </xdr:pic>
    <xdr:clientData/>
  </xdr:twoCellAnchor>
  <xdr:twoCellAnchor>
    <xdr:from>
      <xdr:col>9</xdr:col>
      <xdr:colOff>6350</xdr:colOff>
      <xdr:row>2592</xdr:row>
      <xdr:rowOff>25400</xdr:rowOff>
    </xdr:from>
    <xdr:to>
      <xdr:col>9</xdr:col>
      <xdr:colOff>885190</xdr:colOff>
      <xdr:row>2592</xdr:row>
      <xdr:rowOff>1209040</xdr:rowOff>
    </xdr:to>
    <xdr:pic>
      <xdr:nvPicPr>
        <xdr:cNvPr id="7193" name="Изображение 7192" descr="resizeПП-00204850"/>
        <xdr:cNvPicPr>
          <a:picLocks noChangeAspect="1"/>
        </xdr:cNvPicPr>
      </xdr:nvPicPr>
      <xdr:blipFill>
        <a:blip xmlns:r="http://schemas.openxmlformats.org/officeDocument/2006/relationships" r:embed="rId1916"/>
        <a:stretch>
          <a:fillRect/>
        </a:stretch>
      </xdr:blipFill>
      <xdr:spPr>
        <a:xfrm>
          <a:off x="7235825" y="2522845475"/>
          <a:ext cx="878840" cy="1183640"/>
        </a:xfrm>
        <a:prstGeom prst="rect">
          <a:avLst/>
        </a:prstGeom>
      </xdr:spPr>
    </xdr:pic>
    <xdr:clientData/>
  </xdr:twoCellAnchor>
  <xdr:twoCellAnchor>
    <xdr:from>
      <xdr:col>9</xdr:col>
      <xdr:colOff>6350</xdr:colOff>
      <xdr:row>2593</xdr:row>
      <xdr:rowOff>25400</xdr:rowOff>
    </xdr:from>
    <xdr:to>
      <xdr:col>9</xdr:col>
      <xdr:colOff>885190</xdr:colOff>
      <xdr:row>2593</xdr:row>
      <xdr:rowOff>1209040</xdr:rowOff>
    </xdr:to>
    <xdr:pic>
      <xdr:nvPicPr>
        <xdr:cNvPr id="7194" name="Изображение 7193" descr="resizeПП-00204853"/>
        <xdr:cNvPicPr>
          <a:picLocks noChangeAspect="1"/>
        </xdr:cNvPicPr>
      </xdr:nvPicPr>
      <xdr:blipFill>
        <a:blip xmlns:r="http://schemas.openxmlformats.org/officeDocument/2006/relationships" r:embed="rId1917"/>
        <a:stretch>
          <a:fillRect/>
        </a:stretch>
      </xdr:blipFill>
      <xdr:spPr>
        <a:xfrm>
          <a:off x="7235825" y="2524067850"/>
          <a:ext cx="878840" cy="1183640"/>
        </a:xfrm>
        <a:prstGeom prst="rect">
          <a:avLst/>
        </a:prstGeom>
      </xdr:spPr>
    </xdr:pic>
    <xdr:clientData/>
  </xdr:twoCellAnchor>
  <xdr:twoCellAnchor>
    <xdr:from>
      <xdr:col>9</xdr:col>
      <xdr:colOff>6350</xdr:colOff>
      <xdr:row>2594</xdr:row>
      <xdr:rowOff>25400</xdr:rowOff>
    </xdr:from>
    <xdr:to>
      <xdr:col>9</xdr:col>
      <xdr:colOff>885190</xdr:colOff>
      <xdr:row>2594</xdr:row>
      <xdr:rowOff>1209040</xdr:rowOff>
    </xdr:to>
    <xdr:pic>
      <xdr:nvPicPr>
        <xdr:cNvPr id="7195" name="Изображение 7194" descr="resizeПП-00204855"/>
        <xdr:cNvPicPr>
          <a:picLocks noChangeAspect="1"/>
        </xdr:cNvPicPr>
      </xdr:nvPicPr>
      <xdr:blipFill>
        <a:blip xmlns:r="http://schemas.openxmlformats.org/officeDocument/2006/relationships" r:embed="rId1918"/>
        <a:stretch>
          <a:fillRect/>
        </a:stretch>
      </xdr:blipFill>
      <xdr:spPr>
        <a:xfrm>
          <a:off x="7235825" y="2525290225"/>
          <a:ext cx="878840" cy="1183640"/>
        </a:xfrm>
        <a:prstGeom prst="rect">
          <a:avLst/>
        </a:prstGeom>
      </xdr:spPr>
    </xdr:pic>
    <xdr:clientData/>
  </xdr:twoCellAnchor>
  <xdr:twoCellAnchor>
    <xdr:from>
      <xdr:col>9</xdr:col>
      <xdr:colOff>6350</xdr:colOff>
      <xdr:row>2595</xdr:row>
      <xdr:rowOff>25400</xdr:rowOff>
    </xdr:from>
    <xdr:to>
      <xdr:col>9</xdr:col>
      <xdr:colOff>885190</xdr:colOff>
      <xdr:row>2595</xdr:row>
      <xdr:rowOff>1209040</xdr:rowOff>
    </xdr:to>
    <xdr:pic>
      <xdr:nvPicPr>
        <xdr:cNvPr id="7196" name="Изображение 7195" descr="resizeПП-00204849"/>
        <xdr:cNvPicPr>
          <a:picLocks noChangeAspect="1"/>
        </xdr:cNvPicPr>
      </xdr:nvPicPr>
      <xdr:blipFill>
        <a:blip xmlns:r="http://schemas.openxmlformats.org/officeDocument/2006/relationships" r:embed="rId1919"/>
        <a:stretch>
          <a:fillRect/>
        </a:stretch>
      </xdr:blipFill>
      <xdr:spPr>
        <a:xfrm>
          <a:off x="7235825" y="2526512600"/>
          <a:ext cx="878840" cy="1183640"/>
        </a:xfrm>
        <a:prstGeom prst="rect">
          <a:avLst/>
        </a:prstGeom>
      </xdr:spPr>
    </xdr:pic>
    <xdr:clientData/>
  </xdr:twoCellAnchor>
  <xdr:twoCellAnchor>
    <xdr:from>
      <xdr:col>9</xdr:col>
      <xdr:colOff>6350</xdr:colOff>
      <xdr:row>2596</xdr:row>
      <xdr:rowOff>25400</xdr:rowOff>
    </xdr:from>
    <xdr:to>
      <xdr:col>9</xdr:col>
      <xdr:colOff>885190</xdr:colOff>
      <xdr:row>2596</xdr:row>
      <xdr:rowOff>1209040</xdr:rowOff>
    </xdr:to>
    <xdr:pic>
      <xdr:nvPicPr>
        <xdr:cNvPr id="7197" name="Изображение 7196" descr="resizeПП-00204845"/>
        <xdr:cNvPicPr>
          <a:picLocks noChangeAspect="1"/>
        </xdr:cNvPicPr>
      </xdr:nvPicPr>
      <xdr:blipFill>
        <a:blip xmlns:r="http://schemas.openxmlformats.org/officeDocument/2006/relationships" r:embed="rId1920"/>
        <a:stretch>
          <a:fillRect/>
        </a:stretch>
      </xdr:blipFill>
      <xdr:spPr>
        <a:xfrm>
          <a:off x="7235825" y="2527734975"/>
          <a:ext cx="878840" cy="1183640"/>
        </a:xfrm>
        <a:prstGeom prst="rect">
          <a:avLst/>
        </a:prstGeom>
      </xdr:spPr>
    </xdr:pic>
    <xdr:clientData/>
  </xdr:twoCellAnchor>
  <xdr:twoCellAnchor>
    <xdr:from>
      <xdr:col>9</xdr:col>
      <xdr:colOff>6350</xdr:colOff>
      <xdr:row>2597</xdr:row>
      <xdr:rowOff>25400</xdr:rowOff>
    </xdr:from>
    <xdr:to>
      <xdr:col>9</xdr:col>
      <xdr:colOff>885190</xdr:colOff>
      <xdr:row>2597</xdr:row>
      <xdr:rowOff>1209040</xdr:rowOff>
    </xdr:to>
    <xdr:pic>
      <xdr:nvPicPr>
        <xdr:cNvPr id="7198" name="Изображение 7197" descr="resizeПП-00204838"/>
        <xdr:cNvPicPr>
          <a:picLocks noChangeAspect="1"/>
        </xdr:cNvPicPr>
      </xdr:nvPicPr>
      <xdr:blipFill>
        <a:blip xmlns:r="http://schemas.openxmlformats.org/officeDocument/2006/relationships" r:embed="rId1921"/>
        <a:stretch>
          <a:fillRect/>
        </a:stretch>
      </xdr:blipFill>
      <xdr:spPr>
        <a:xfrm>
          <a:off x="7235825" y="2528957350"/>
          <a:ext cx="878840" cy="1183640"/>
        </a:xfrm>
        <a:prstGeom prst="rect">
          <a:avLst/>
        </a:prstGeom>
      </xdr:spPr>
    </xdr:pic>
    <xdr:clientData/>
  </xdr:twoCellAnchor>
  <xdr:twoCellAnchor>
    <xdr:from>
      <xdr:col>9</xdr:col>
      <xdr:colOff>6350</xdr:colOff>
      <xdr:row>2598</xdr:row>
      <xdr:rowOff>25400</xdr:rowOff>
    </xdr:from>
    <xdr:to>
      <xdr:col>9</xdr:col>
      <xdr:colOff>885190</xdr:colOff>
      <xdr:row>2598</xdr:row>
      <xdr:rowOff>1209040</xdr:rowOff>
    </xdr:to>
    <xdr:pic>
      <xdr:nvPicPr>
        <xdr:cNvPr id="7199" name="Изображение 7198" descr="resizeПП-00204846"/>
        <xdr:cNvPicPr>
          <a:picLocks noChangeAspect="1"/>
        </xdr:cNvPicPr>
      </xdr:nvPicPr>
      <xdr:blipFill>
        <a:blip xmlns:r="http://schemas.openxmlformats.org/officeDocument/2006/relationships" r:embed="rId1922"/>
        <a:stretch>
          <a:fillRect/>
        </a:stretch>
      </xdr:blipFill>
      <xdr:spPr>
        <a:xfrm>
          <a:off x="7235825" y="2530179725"/>
          <a:ext cx="878840" cy="1183640"/>
        </a:xfrm>
        <a:prstGeom prst="rect">
          <a:avLst/>
        </a:prstGeom>
      </xdr:spPr>
    </xdr:pic>
    <xdr:clientData/>
  </xdr:twoCellAnchor>
  <xdr:twoCellAnchor>
    <xdr:from>
      <xdr:col>9</xdr:col>
      <xdr:colOff>6350</xdr:colOff>
      <xdr:row>2599</xdr:row>
      <xdr:rowOff>25400</xdr:rowOff>
    </xdr:from>
    <xdr:to>
      <xdr:col>9</xdr:col>
      <xdr:colOff>885190</xdr:colOff>
      <xdr:row>2599</xdr:row>
      <xdr:rowOff>1209040</xdr:rowOff>
    </xdr:to>
    <xdr:pic>
      <xdr:nvPicPr>
        <xdr:cNvPr id="7200" name="Изображение 7199" descr="resizeПП-00204848"/>
        <xdr:cNvPicPr>
          <a:picLocks noChangeAspect="1"/>
        </xdr:cNvPicPr>
      </xdr:nvPicPr>
      <xdr:blipFill>
        <a:blip xmlns:r="http://schemas.openxmlformats.org/officeDocument/2006/relationships" r:embed="rId1923"/>
        <a:stretch>
          <a:fillRect/>
        </a:stretch>
      </xdr:blipFill>
      <xdr:spPr>
        <a:xfrm>
          <a:off x="7235825" y="2531402100"/>
          <a:ext cx="878840" cy="1183640"/>
        </a:xfrm>
        <a:prstGeom prst="rect">
          <a:avLst/>
        </a:prstGeom>
      </xdr:spPr>
    </xdr:pic>
    <xdr:clientData/>
  </xdr:twoCellAnchor>
  <xdr:twoCellAnchor>
    <xdr:from>
      <xdr:col>9</xdr:col>
      <xdr:colOff>6350</xdr:colOff>
      <xdr:row>2600</xdr:row>
      <xdr:rowOff>25400</xdr:rowOff>
    </xdr:from>
    <xdr:to>
      <xdr:col>9</xdr:col>
      <xdr:colOff>885190</xdr:colOff>
      <xdr:row>2600</xdr:row>
      <xdr:rowOff>1209040</xdr:rowOff>
    </xdr:to>
    <xdr:pic>
      <xdr:nvPicPr>
        <xdr:cNvPr id="7201" name="Изображение 7200" descr="resizeПП-00204847"/>
        <xdr:cNvPicPr>
          <a:picLocks noChangeAspect="1"/>
        </xdr:cNvPicPr>
      </xdr:nvPicPr>
      <xdr:blipFill>
        <a:blip xmlns:r="http://schemas.openxmlformats.org/officeDocument/2006/relationships" r:embed="rId1924"/>
        <a:stretch>
          <a:fillRect/>
        </a:stretch>
      </xdr:blipFill>
      <xdr:spPr>
        <a:xfrm>
          <a:off x="7235825" y="2532624475"/>
          <a:ext cx="878840" cy="1183640"/>
        </a:xfrm>
        <a:prstGeom prst="rect">
          <a:avLst/>
        </a:prstGeom>
      </xdr:spPr>
    </xdr:pic>
    <xdr:clientData/>
  </xdr:twoCellAnchor>
  <xdr:twoCellAnchor>
    <xdr:from>
      <xdr:col>9</xdr:col>
      <xdr:colOff>6350</xdr:colOff>
      <xdr:row>2601</xdr:row>
      <xdr:rowOff>25400</xdr:rowOff>
    </xdr:from>
    <xdr:to>
      <xdr:col>9</xdr:col>
      <xdr:colOff>885190</xdr:colOff>
      <xdr:row>2601</xdr:row>
      <xdr:rowOff>1209040</xdr:rowOff>
    </xdr:to>
    <xdr:pic>
      <xdr:nvPicPr>
        <xdr:cNvPr id="7202" name="Изображение 7201" descr="resizeПП-00227521"/>
        <xdr:cNvPicPr>
          <a:picLocks noChangeAspect="1"/>
        </xdr:cNvPicPr>
      </xdr:nvPicPr>
      <xdr:blipFill>
        <a:blip xmlns:r="http://schemas.openxmlformats.org/officeDocument/2006/relationships" r:embed="rId1925"/>
        <a:stretch>
          <a:fillRect/>
        </a:stretch>
      </xdr:blipFill>
      <xdr:spPr>
        <a:xfrm>
          <a:off x="7235825" y="2533846850"/>
          <a:ext cx="878840" cy="1183640"/>
        </a:xfrm>
        <a:prstGeom prst="rect">
          <a:avLst/>
        </a:prstGeom>
      </xdr:spPr>
    </xdr:pic>
    <xdr:clientData/>
  </xdr:twoCellAnchor>
  <xdr:twoCellAnchor>
    <xdr:from>
      <xdr:col>9</xdr:col>
      <xdr:colOff>6350</xdr:colOff>
      <xdr:row>2604</xdr:row>
      <xdr:rowOff>25400</xdr:rowOff>
    </xdr:from>
    <xdr:to>
      <xdr:col>9</xdr:col>
      <xdr:colOff>885190</xdr:colOff>
      <xdr:row>2604</xdr:row>
      <xdr:rowOff>1209040</xdr:rowOff>
    </xdr:to>
    <xdr:pic>
      <xdr:nvPicPr>
        <xdr:cNvPr id="7203" name="Изображение 7202" descr="resizeПП-00265991"/>
        <xdr:cNvPicPr>
          <a:picLocks noChangeAspect="1"/>
        </xdr:cNvPicPr>
      </xdr:nvPicPr>
      <xdr:blipFill>
        <a:blip xmlns:r="http://schemas.openxmlformats.org/officeDocument/2006/relationships" r:embed="rId1926"/>
        <a:stretch>
          <a:fillRect/>
        </a:stretch>
      </xdr:blipFill>
      <xdr:spPr>
        <a:xfrm>
          <a:off x="7235825" y="2535424825"/>
          <a:ext cx="878840" cy="1183640"/>
        </a:xfrm>
        <a:prstGeom prst="rect">
          <a:avLst/>
        </a:prstGeom>
      </xdr:spPr>
    </xdr:pic>
    <xdr:clientData/>
  </xdr:twoCellAnchor>
  <xdr:twoCellAnchor>
    <xdr:from>
      <xdr:col>9</xdr:col>
      <xdr:colOff>6350</xdr:colOff>
      <xdr:row>2605</xdr:row>
      <xdr:rowOff>25400</xdr:rowOff>
    </xdr:from>
    <xdr:to>
      <xdr:col>9</xdr:col>
      <xdr:colOff>885190</xdr:colOff>
      <xdr:row>2605</xdr:row>
      <xdr:rowOff>1209040</xdr:rowOff>
    </xdr:to>
    <xdr:pic>
      <xdr:nvPicPr>
        <xdr:cNvPr id="7204" name="Изображение 7203" descr="resizeПП-00265990"/>
        <xdr:cNvPicPr>
          <a:picLocks noChangeAspect="1"/>
        </xdr:cNvPicPr>
      </xdr:nvPicPr>
      <xdr:blipFill>
        <a:blip xmlns:r="http://schemas.openxmlformats.org/officeDocument/2006/relationships" r:embed="rId1927"/>
        <a:stretch>
          <a:fillRect/>
        </a:stretch>
      </xdr:blipFill>
      <xdr:spPr>
        <a:xfrm>
          <a:off x="7235825" y="2536647200"/>
          <a:ext cx="878840" cy="1183640"/>
        </a:xfrm>
        <a:prstGeom prst="rect">
          <a:avLst/>
        </a:prstGeom>
      </xdr:spPr>
    </xdr:pic>
    <xdr:clientData/>
  </xdr:twoCellAnchor>
  <xdr:twoCellAnchor>
    <xdr:from>
      <xdr:col>9</xdr:col>
      <xdr:colOff>6350</xdr:colOff>
      <xdr:row>2606</xdr:row>
      <xdr:rowOff>25400</xdr:rowOff>
    </xdr:from>
    <xdr:to>
      <xdr:col>9</xdr:col>
      <xdr:colOff>885190</xdr:colOff>
      <xdr:row>2606</xdr:row>
      <xdr:rowOff>1209040</xdr:rowOff>
    </xdr:to>
    <xdr:pic>
      <xdr:nvPicPr>
        <xdr:cNvPr id="7205" name="Изображение 7204" descr="resizeПП-00259690"/>
        <xdr:cNvPicPr>
          <a:picLocks noChangeAspect="1"/>
        </xdr:cNvPicPr>
      </xdr:nvPicPr>
      <xdr:blipFill>
        <a:blip xmlns:r="http://schemas.openxmlformats.org/officeDocument/2006/relationships" r:embed="rId1928"/>
        <a:stretch>
          <a:fillRect/>
        </a:stretch>
      </xdr:blipFill>
      <xdr:spPr>
        <a:xfrm>
          <a:off x="7235825" y="2537869575"/>
          <a:ext cx="878840" cy="1183640"/>
        </a:xfrm>
        <a:prstGeom prst="rect">
          <a:avLst/>
        </a:prstGeom>
      </xdr:spPr>
    </xdr:pic>
    <xdr:clientData/>
  </xdr:twoCellAnchor>
  <xdr:twoCellAnchor>
    <xdr:from>
      <xdr:col>9</xdr:col>
      <xdr:colOff>6350</xdr:colOff>
      <xdr:row>2607</xdr:row>
      <xdr:rowOff>25400</xdr:rowOff>
    </xdr:from>
    <xdr:to>
      <xdr:col>9</xdr:col>
      <xdr:colOff>885190</xdr:colOff>
      <xdr:row>2607</xdr:row>
      <xdr:rowOff>1209040</xdr:rowOff>
    </xdr:to>
    <xdr:pic>
      <xdr:nvPicPr>
        <xdr:cNvPr id="7206" name="Изображение 7205" descr="resizeПП-00259691"/>
        <xdr:cNvPicPr>
          <a:picLocks noChangeAspect="1"/>
        </xdr:cNvPicPr>
      </xdr:nvPicPr>
      <xdr:blipFill>
        <a:blip xmlns:r="http://schemas.openxmlformats.org/officeDocument/2006/relationships" r:embed="rId1929"/>
        <a:stretch>
          <a:fillRect/>
        </a:stretch>
      </xdr:blipFill>
      <xdr:spPr>
        <a:xfrm>
          <a:off x="7235825" y="2539091950"/>
          <a:ext cx="878840" cy="1183640"/>
        </a:xfrm>
        <a:prstGeom prst="rect">
          <a:avLst/>
        </a:prstGeom>
      </xdr:spPr>
    </xdr:pic>
    <xdr:clientData/>
  </xdr:twoCellAnchor>
  <xdr:twoCellAnchor>
    <xdr:from>
      <xdr:col>9</xdr:col>
      <xdr:colOff>6350</xdr:colOff>
      <xdr:row>2608</xdr:row>
      <xdr:rowOff>25400</xdr:rowOff>
    </xdr:from>
    <xdr:to>
      <xdr:col>9</xdr:col>
      <xdr:colOff>885190</xdr:colOff>
      <xdr:row>2608</xdr:row>
      <xdr:rowOff>1209040</xdr:rowOff>
    </xdr:to>
    <xdr:pic>
      <xdr:nvPicPr>
        <xdr:cNvPr id="7207" name="Изображение 7206" descr="resizeПП-00259692"/>
        <xdr:cNvPicPr>
          <a:picLocks noChangeAspect="1"/>
        </xdr:cNvPicPr>
      </xdr:nvPicPr>
      <xdr:blipFill>
        <a:blip xmlns:r="http://schemas.openxmlformats.org/officeDocument/2006/relationships" r:embed="rId1930"/>
        <a:stretch>
          <a:fillRect/>
        </a:stretch>
      </xdr:blipFill>
      <xdr:spPr>
        <a:xfrm>
          <a:off x="7235825" y="2540314325"/>
          <a:ext cx="878840" cy="1183640"/>
        </a:xfrm>
        <a:prstGeom prst="rect">
          <a:avLst/>
        </a:prstGeom>
      </xdr:spPr>
    </xdr:pic>
    <xdr:clientData/>
  </xdr:twoCellAnchor>
  <xdr:twoCellAnchor>
    <xdr:from>
      <xdr:col>9</xdr:col>
      <xdr:colOff>6350</xdr:colOff>
      <xdr:row>2609</xdr:row>
      <xdr:rowOff>25400</xdr:rowOff>
    </xdr:from>
    <xdr:to>
      <xdr:col>9</xdr:col>
      <xdr:colOff>885190</xdr:colOff>
      <xdr:row>2609</xdr:row>
      <xdr:rowOff>1209040</xdr:rowOff>
    </xdr:to>
    <xdr:pic>
      <xdr:nvPicPr>
        <xdr:cNvPr id="7208" name="Изображение 7207" descr="resizeПП-00259694"/>
        <xdr:cNvPicPr>
          <a:picLocks noChangeAspect="1"/>
        </xdr:cNvPicPr>
      </xdr:nvPicPr>
      <xdr:blipFill>
        <a:blip xmlns:r="http://schemas.openxmlformats.org/officeDocument/2006/relationships" r:embed="rId1931"/>
        <a:stretch>
          <a:fillRect/>
        </a:stretch>
      </xdr:blipFill>
      <xdr:spPr>
        <a:xfrm>
          <a:off x="7235825" y="2541536700"/>
          <a:ext cx="878840" cy="1183640"/>
        </a:xfrm>
        <a:prstGeom prst="rect">
          <a:avLst/>
        </a:prstGeom>
      </xdr:spPr>
    </xdr:pic>
    <xdr:clientData/>
  </xdr:twoCellAnchor>
  <xdr:twoCellAnchor>
    <xdr:from>
      <xdr:col>9</xdr:col>
      <xdr:colOff>6350</xdr:colOff>
      <xdr:row>2610</xdr:row>
      <xdr:rowOff>25400</xdr:rowOff>
    </xdr:from>
    <xdr:to>
      <xdr:col>9</xdr:col>
      <xdr:colOff>885190</xdr:colOff>
      <xdr:row>2610</xdr:row>
      <xdr:rowOff>1209040</xdr:rowOff>
    </xdr:to>
    <xdr:pic>
      <xdr:nvPicPr>
        <xdr:cNvPr id="7209" name="Изображение 7208" descr="resizeПП-00259693"/>
        <xdr:cNvPicPr>
          <a:picLocks noChangeAspect="1"/>
        </xdr:cNvPicPr>
      </xdr:nvPicPr>
      <xdr:blipFill>
        <a:blip xmlns:r="http://schemas.openxmlformats.org/officeDocument/2006/relationships" r:embed="rId1932"/>
        <a:stretch>
          <a:fillRect/>
        </a:stretch>
      </xdr:blipFill>
      <xdr:spPr>
        <a:xfrm>
          <a:off x="7235825" y="2542759075"/>
          <a:ext cx="878840" cy="1183640"/>
        </a:xfrm>
        <a:prstGeom prst="rect">
          <a:avLst/>
        </a:prstGeom>
      </xdr:spPr>
    </xdr:pic>
    <xdr:clientData/>
  </xdr:twoCellAnchor>
  <xdr:twoCellAnchor>
    <xdr:from>
      <xdr:col>9</xdr:col>
      <xdr:colOff>6350</xdr:colOff>
      <xdr:row>2611</xdr:row>
      <xdr:rowOff>25400</xdr:rowOff>
    </xdr:from>
    <xdr:to>
      <xdr:col>9</xdr:col>
      <xdr:colOff>885190</xdr:colOff>
      <xdr:row>2611</xdr:row>
      <xdr:rowOff>1209040</xdr:rowOff>
    </xdr:to>
    <xdr:pic>
      <xdr:nvPicPr>
        <xdr:cNvPr id="7210" name="Изображение 7209" descr="resizeПП-00259695"/>
        <xdr:cNvPicPr>
          <a:picLocks noChangeAspect="1"/>
        </xdr:cNvPicPr>
      </xdr:nvPicPr>
      <xdr:blipFill>
        <a:blip xmlns:r="http://schemas.openxmlformats.org/officeDocument/2006/relationships" r:embed="rId1933"/>
        <a:stretch>
          <a:fillRect/>
        </a:stretch>
      </xdr:blipFill>
      <xdr:spPr>
        <a:xfrm>
          <a:off x="7235825" y="2543981450"/>
          <a:ext cx="878840" cy="1183640"/>
        </a:xfrm>
        <a:prstGeom prst="rect">
          <a:avLst/>
        </a:prstGeom>
      </xdr:spPr>
    </xdr:pic>
    <xdr:clientData/>
  </xdr:twoCellAnchor>
  <xdr:twoCellAnchor>
    <xdr:from>
      <xdr:col>9</xdr:col>
      <xdr:colOff>6350</xdr:colOff>
      <xdr:row>2612</xdr:row>
      <xdr:rowOff>25400</xdr:rowOff>
    </xdr:from>
    <xdr:to>
      <xdr:col>9</xdr:col>
      <xdr:colOff>885190</xdr:colOff>
      <xdr:row>2612</xdr:row>
      <xdr:rowOff>1209040</xdr:rowOff>
    </xdr:to>
    <xdr:pic>
      <xdr:nvPicPr>
        <xdr:cNvPr id="7211" name="Изображение 7210" descr="resizeПП-00244811"/>
        <xdr:cNvPicPr>
          <a:picLocks noChangeAspect="1"/>
        </xdr:cNvPicPr>
      </xdr:nvPicPr>
      <xdr:blipFill>
        <a:blip xmlns:r="http://schemas.openxmlformats.org/officeDocument/2006/relationships" r:embed="rId1934"/>
        <a:stretch>
          <a:fillRect/>
        </a:stretch>
      </xdr:blipFill>
      <xdr:spPr>
        <a:xfrm>
          <a:off x="7235825" y="2545203825"/>
          <a:ext cx="878840" cy="1183640"/>
        </a:xfrm>
        <a:prstGeom prst="rect">
          <a:avLst/>
        </a:prstGeom>
      </xdr:spPr>
    </xdr:pic>
    <xdr:clientData/>
  </xdr:twoCellAnchor>
  <xdr:twoCellAnchor>
    <xdr:from>
      <xdr:col>9</xdr:col>
      <xdr:colOff>6350</xdr:colOff>
      <xdr:row>2613</xdr:row>
      <xdr:rowOff>25400</xdr:rowOff>
    </xdr:from>
    <xdr:to>
      <xdr:col>9</xdr:col>
      <xdr:colOff>885190</xdr:colOff>
      <xdr:row>2613</xdr:row>
      <xdr:rowOff>1209040</xdr:rowOff>
    </xdr:to>
    <xdr:pic>
      <xdr:nvPicPr>
        <xdr:cNvPr id="7212" name="Изображение 7211" descr="resizeПП-00259451"/>
        <xdr:cNvPicPr>
          <a:picLocks noChangeAspect="1"/>
        </xdr:cNvPicPr>
      </xdr:nvPicPr>
      <xdr:blipFill>
        <a:blip xmlns:r="http://schemas.openxmlformats.org/officeDocument/2006/relationships" r:embed="rId1935"/>
        <a:stretch>
          <a:fillRect/>
        </a:stretch>
      </xdr:blipFill>
      <xdr:spPr>
        <a:xfrm>
          <a:off x="7235825" y="2546426200"/>
          <a:ext cx="878840" cy="1183640"/>
        </a:xfrm>
        <a:prstGeom prst="rect">
          <a:avLst/>
        </a:prstGeom>
      </xdr:spPr>
    </xdr:pic>
    <xdr:clientData/>
  </xdr:twoCellAnchor>
  <xdr:twoCellAnchor>
    <xdr:from>
      <xdr:col>9</xdr:col>
      <xdr:colOff>6350</xdr:colOff>
      <xdr:row>2614</xdr:row>
      <xdr:rowOff>25400</xdr:rowOff>
    </xdr:from>
    <xdr:to>
      <xdr:col>9</xdr:col>
      <xdr:colOff>885190</xdr:colOff>
      <xdr:row>2614</xdr:row>
      <xdr:rowOff>1209040</xdr:rowOff>
    </xdr:to>
    <xdr:pic>
      <xdr:nvPicPr>
        <xdr:cNvPr id="7213" name="Изображение 7212" descr="resizeПП-00259452"/>
        <xdr:cNvPicPr>
          <a:picLocks noChangeAspect="1"/>
        </xdr:cNvPicPr>
      </xdr:nvPicPr>
      <xdr:blipFill>
        <a:blip xmlns:r="http://schemas.openxmlformats.org/officeDocument/2006/relationships" r:embed="rId1936"/>
        <a:stretch>
          <a:fillRect/>
        </a:stretch>
      </xdr:blipFill>
      <xdr:spPr>
        <a:xfrm>
          <a:off x="7235825" y="2547648575"/>
          <a:ext cx="878840" cy="1183640"/>
        </a:xfrm>
        <a:prstGeom prst="rect">
          <a:avLst/>
        </a:prstGeom>
      </xdr:spPr>
    </xdr:pic>
    <xdr:clientData/>
  </xdr:twoCellAnchor>
  <xdr:twoCellAnchor>
    <xdr:from>
      <xdr:col>9</xdr:col>
      <xdr:colOff>6350</xdr:colOff>
      <xdr:row>2615</xdr:row>
      <xdr:rowOff>25400</xdr:rowOff>
    </xdr:from>
    <xdr:to>
      <xdr:col>9</xdr:col>
      <xdr:colOff>885190</xdr:colOff>
      <xdr:row>2615</xdr:row>
      <xdr:rowOff>1209040</xdr:rowOff>
    </xdr:to>
    <xdr:pic>
      <xdr:nvPicPr>
        <xdr:cNvPr id="7214" name="Изображение 7213" descr="resizeПП-00259687"/>
        <xdr:cNvPicPr>
          <a:picLocks noChangeAspect="1"/>
        </xdr:cNvPicPr>
      </xdr:nvPicPr>
      <xdr:blipFill>
        <a:blip xmlns:r="http://schemas.openxmlformats.org/officeDocument/2006/relationships" r:embed="rId1937"/>
        <a:stretch>
          <a:fillRect/>
        </a:stretch>
      </xdr:blipFill>
      <xdr:spPr>
        <a:xfrm>
          <a:off x="7235825" y="2548870950"/>
          <a:ext cx="878840" cy="1183640"/>
        </a:xfrm>
        <a:prstGeom prst="rect">
          <a:avLst/>
        </a:prstGeom>
      </xdr:spPr>
    </xdr:pic>
    <xdr:clientData/>
  </xdr:twoCellAnchor>
  <xdr:twoCellAnchor>
    <xdr:from>
      <xdr:col>9</xdr:col>
      <xdr:colOff>6350</xdr:colOff>
      <xdr:row>2616</xdr:row>
      <xdr:rowOff>25400</xdr:rowOff>
    </xdr:from>
    <xdr:to>
      <xdr:col>9</xdr:col>
      <xdr:colOff>885190</xdr:colOff>
      <xdr:row>2616</xdr:row>
      <xdr:rowOff>1209040</xdr:rowOff>
    </xdr:to>
    <xdr:pic>
      <xdr:nvPicPr>
        <xdr:cNvPr id="7215" name="Изображение 7214" descr="resizeПП-00259689"/>
        <xdr:cNvPicPr>
          <a:picLocks noChangeAspect="1"/>
        </xdr:cNvPicPr>
      </xdr:nvPicPr>
      <xdr:blipFill>
        <a:blip xmlns:r="http://schemas.openxmlformats.org/officeDocument/2006/relationships" r:embed="rId1938"/>
        <a:stretch>
          <a:fillRect/>
        </a:stretch>
      </xdr:blipFill>
      <xdr:spPr>
        <a:xfrm>
          <a:off x="7235825" y="2550093325"/>
          <a:ext cx="878840" cy="1183640"/>
        </a:xfrm>
        <a:prstGeom prst="rect">
          <a:avLst/>
        </a:prstGeom>
      </xdr:spPr>
    </xdr:pic>
    <xdr:clientData/>
  </xdr:twoCellAnchor>
  <xdr:twoCellAnchor>
    <xdr:from>
      <xdr:col>9</xdr:col>
      <xdr:colOff>6350</xdr:colOff>
      <xdr:row>2617</xdr:row>
      <xdr:rowOff>25400</xdr:rowOff>
    </xdr:from>
    <xdr:to>
      <xdr:col>9</xdr:col>
      <xdr:colOff>885190</xdr:colOff>
      <xdr:row>2617</xdr:row>
      <xdr:rowOff>1209040</xdr:rowOff>
    </xdr:to>
    <xdr:pic>
      <xdr:nvPicPr>
        <xdr:cNvPr id="7216" name="Изображение 7215" descr="resizeПП-00259688"/>
        <xdr:cNvPicPr>
          <a:picLocks noChangeAspect="1"/>
        </xdr:cNvPicPr>
      </xdr:nvPicPr>
      <xdr:blipFill>
        <a:blip xmlns:r="http://schemas.openxmlformats.org/officeDocument/2006/relationships" r:embed="rId1939"/>
        <a:stretch>
          <a:fillRect/>
        </a:stretch>
      </xdr:blipFill>
      <xdr:spPr>
        <a:xfrm>
          <a:off x="7235825" y="2551315700"/>
          <a:ext cx="878840" cy="1183640"/>
        </a:xfrm>
        <a:prstGeom prst="rect">
          <a:avLst/>
        </a:prstGeom>
      </xdr:spPr>
    </xdr:pic>
    <xdr:clientData/>
  </xdr:twoCellAnchor>
  <xdr:twoCellAnchor>
    <xdr:from>
      <xdr:col>9</xdr:col>
      <xdr:colOff>6350</xdr:colOff>
      <xdr:row>2619</xdr:row>
      <xdr:rowOff>25400</xdr:rowOff>
    </xdr:from>
    <xdr:to>
      <xdr:col>9</xdr:col>
      <xdr:colOff>885190</xdr:colOff>
      <xdr:row>2619</xdr:row>
      <xdr:rowOff>1209040</xdr:rowOff>
    </xdr:to>
    <xdr:pic>
      <xdr:nvPicPr>
        <xdr:cNvPr id="7217" name="Изображение 7216" descr="resizeПП-00265988"/>
        <xdr:cNvPicPr>
          <a:picLocks noChangeAspect="1"/>
        </xdr:cNvPicPr>
      </xdr:nvPicPr>
      <xdr:blipFill>
        <a:blip xmlns:r="http://schemas.openxmlformats.org/officeDocument/2006/relationships" r:embed="rId1940"/>
        <a:stretch>
          <a:fillRect/>
        </a:stretch>
      </xdr:blipFill>
      <xdr:spPr>
        <a:xfrm>
          <a:off x="7235825" y="2552690475"/>
          <a:ext cx="878840" cy="1183640"/>
        </a:xfrm>
        <a:prstGeom prst="rect">
          <a:avLst/>
        </a:prstGeom>
      </xdr:spPr>
    </xdr:pic>
    <xdr:clientData/>
  </xdr:twoCellAnchor>
  <xdr:twoCellAnchor>
    <xdr:from>
      <xdr:col>9</xdr:col>
      <xdr:colOff>6350</xdr:colOff>
      <xdr:row>2620</xdr:row>
      <xdr:rowOff>25400</xdr:rowOff>
    </xdr:from>
    <xdr:to>
      <xdr:col>9</xdr:col>
      <xdr:colOff>885190</xdr:colOff>
      <xdr:row>2620</xdr:row>
      <xdr:rowOff>1209040</xdr:rowOff>
    </xdr:to>
    <xdr:pic>
      <xdr:nvPicPr>
        <xdr:cNvPr id="7218" name="Изображение 7217" descr="resizeПП-00265989"/>
        <xdr:cNvPicPr>
          <a:picLocks noChangeAspect="1"/>
        </xdr:cNvPicPr>
      </xdr:nvPicPr>
      <xdr:blipFill>
        <a:blip xmlns:r="http://schemas.openxmlformats.org/officeDocument/2006/relationships" r:embed="rId1941"/>
        <a:stretch>
          <a:fillRect/>
        </a:stretch>
      </xdr:blipFill>
      <xdr:spPr>
        <a:xfrm>
          <a:off x="7235825" y="2553912850"/>
          <a:ext cx="878840" cy="1183640"/>
        </a:xfrm>
        <a:prstGeom prst="rect">
          <a:avLst/>
        </a:prstGeom>
      </xdr:spPr>
    </xdr:pic>
    <xdr:clientData/>
  </xdr:twoCellAnchor>
  <xdr:twoCellAnchor>
    <xdr:from>
      <xdr:col>9</xdr:col>
      <xdr:colOff>6350</xdr:colOff>
      <xdr:row>2621</xdr:row>
      <xdr:rowOff>25400</xdr:rowOff>
    </xdr:from>
    <xdr:to>
      <xdr:col>9</xdr:col>
      <xdr:colOff>885190</xdr:colOff>
      <xdr:row>2621</xdr:row>
      <xdr:rowOff>1209040</xdr:rowOff>
    </xdr:to>
    <xdr:pic>
      <xdr:nvPicPr>
        <xdr:cNvPr id="7219" name="Изображение 7218" descr="resizeПП-00259685"/>
        <xdr:cNvPicPr>
          <a:picLocks noChangeAspect="1"/>
        </xdr:cNvPicPr>
      </xdr:nvPicPr>
      <xdr:blipFill>
        <a:blip xmlns:r="http://schemas.openxmlformats.org/officeDocument/2006/relationships" r:embed="rId1942"/>
        <a:stretch>
          <a:fillRect/>
        </a:stretch>
      </xdr:blipFill>
      <xdr:spPr>
        <a:xfrm>
          <a:off x="7235825" y="2555135225"/>
          <a:ext cx="878840" cy="1183640"/>
        </a:xfrm>
        <a:prstGeom prst="rect">
          <a:avLst/>
        </a:prstGeom>
      </xdr:spPr>
    </xdr:pic>
    <xdr:clientData/>
  </xdr:twoCellAnchor>
  <xdr:twoCellAnchor>
    <xdr:from>
      <xdr:col>9</xdr:col>
      <xdr:colOff>6350</xdr:colOff>
      <xdr:row>2622</xdr:row>
      <xdr:rowOff>25400</xdr:rowOff>
    </xdr:from>
    <xdr:to>
      <xdr:col>9</xdr:col>
      <xdr:colOff>885190</xdr:colOff>
      <xdr:row>2622</xdr:row>
      <xdr:rowOff>1209040</xdr:rowOff>
    </xdr:to>
    <xdr:pic>
      <xdr:nvPicPr>
        <xdr:cNvPr id="7220" name="Изображение 7219" descr="resizeПП-00259686"/>
        <xdr:cNvPicPr>
          <a:picLocks noChangeAspect="1"/>
        </xdr:cNvPicPr>
      </xdr:nvPicPr>
      <xdr:blipFill>
        <a:blip xmlns:r="http://schemas.openxmlformats.org/officeDocument/2006/relationships" r:embed="rId1943"/>
        <a:stretch>
          <a:fillRect/>
        </a:stretch>
      </xdr:blipFill>
      <xdr:spPr>
        <a:xfrm>
          <a:off x="7235825" y="2556357600"/>
          <a:ext cx="878840" cy="1183640"/>
        </a:xfrm>
        <a:prstGeom prst="rect">
          <a:avLst/>
        </a:prstGeom>
      </xdr:spPr>
    </xdr:pic>
    <xdr:clientData/>
  </xdr:twoCellAnchor>
  <xdr:twoCellAnchor>
    <xdr:from>
      <xdr:col>9</xdr:col>
      <xdr:colOff>6350</xdr:colOff>
      <xdr:row>2623</xdr:row>
      <xdr:rowOff>25400</xdr:rowOff>
    </xdr:from>
    <xdr:to>
      <xdr:col>9</xdr:col>
      <xdr:colOff>885190</xdr:colOff>
      <xdr:row>2623</xdr:row>
      <xdr:rowOff>1209040</xdr:rowOff>
    </xdr:to>
    <xdr:pic>
      <xdr:nvPicPr>
        <xdr:cNvPr id="7221" name="Изображение 7220" descr="resizeПП-00259684"/>
        <xdr:cNvPicPr>
          <a:picLocks noChangeAspect="1"/>
        </xdr:cNvPicPr>
      </xdr:nvPicPr>
      <xdr:blipFill>
        <a:blip xmlns:r="http://schemas.openxmlformats.org/officeDocument/2006/relationships" r:embed="rId1944"/>
        <a:stretch>
          <a:fillRect/>
        </a:stretch>
      </xdr:blipFill>
      <xdr:spPr>
        <a:xfrm>
          <a:off x="7235825" y="2557579975"/>
          <a:ext cx="878840" cy="1183640"/>
        </a:xfrm>
        <a:prstGeom prst="rect">
          <a:avLst/>
        </a:prstGeom>
      </xdr:spPr>
    </xdr:pic>
    <xdr:clientData/>
  </xdr:twoCellAnchor>
  <xdr:twoCellAnchor>
    <xdr:from>
      <xdr:col>9</xdr:col>
      <xdr:colOff>6350</xdr:colOff>
      <xdr:row>2624</xdr:row>
      <xdr:rowOff>25400</xdr:rowOff>
    </xdr:from>
    <xdr:to>
      <xdr:col>9</xdr:col>
      <xdr:colOff>885190</xdr:colOff>
      <xdr:row>2624</xdr:row>
      <xdr:rowOff>1209040</xdr:rowOff>
    </xdr:to>
    <xdr:pic>
      <xdr:nvPicPr>
        <xdr:cNvPr id="7222" name="Изображение 7221" descr="resizeПП-00259445"/>
        <xdr:cNvPicPr>
          <a:picLocks noChangeAspect="1"/>
        </xdr:cNvPicPr>
      </xdr:nvPicPr>
      <xdr:blipFill>
        <a:blip xmlns:r="http://schemas.openxmlformats.org/officeDocument/2006/relationships" r:embed="rId1945"/>
        <a:stretch>
          <a:fillRect/>
        </a:stretch>
      </xdr:blipFill>
      <xdr:spPr>
        <a:xfrm>
          <a:off x="7235825" y="2558802350"/>
          <a:ext cx="878840" cy="1183640"/>
        </a:xfrm>
        <a:prstGeom prst="rect">
          <a:avLst/>
        </a:prstGeom>
      </xdr:spPr>
    </xdr:pic>
    <xdr:clientData/>
  </xdr:twoCellAnchor>
  <xdr:twoCellAnchor>
    <xdr:from>
      <xdr:col>9</xdr:col>
      <xdr:colOff>6350</xdr:colOff>
      <xdr:row>2625</xdr:row>
      <xdr:rowOff>25400</xdr:rowOff>
    </xdr:from>
    <xdr:to>
      <xdr:col>9</xdr:col>
      <xdr:colOff>885190</xdr:colOff>
      <xdr:row>2625</xdr:row>
      <xdr:rowOff>1209040</xdr:rowOff>
    </xdr:to>
    <xdr:pic>
      <xdr:nvPicPr>
        <xdr:cNvPr id="7223" name="Изображение 7222" descr="resizeПП-00259449"/>
        <xdr:cNvPicPr>
          <a:picLocks noChangeAspect="1"/>
        </xdr:cNvPicPr>
      </xdr:nvPicPr>
      <xdr:blipFill>
        <a:blip xmlns:r="http://schemas.openxmlformats.org/officeDocument/2006/relationships" r:embed="rId1946"/>
        <a:stretch>
          <a:fillRect/>
        </a:stretch>
      </xdr:blipFill>
      <xdr:spPr>
        <a:xfrm>
          <a:off x="7235825" y="2560024725"/>
          <a:ext cx="878840" cy="1183640"/>
        </a:xfrm>
        <a:prstGeom prst="rect">
          <a:avLst/>
        </a:prstGeom>
      </xdr:spPr>
    </xdr:pic>
    <xdr:clientData/>
  </xdr:twoCellAnchor>
  <xdr:twoCellAnchor>
    <xdr:from>
      <xdr:col>9</xdr:col>
      <xdr:colOff>6350</xdr:colOff>
      <xdr:row>2626</xdr:row>
      <xdr:rowOff>25400</xdr:rowOff>
    </xdr:from>
    <xdr:to>
      <xdr:col>9</xdr:col>
      <xdr:colOff>885190</xdr:colOff>
      <xdr:row>2626</xdr:row>
      <xdr:rowOff>1209040</xdr:rowOff>
    </xdr:to>
    <xdr:pic>
      <xdr:nvPicPr>
        <xdr:cNvPr id="7224" name="Изображение 7223" descr="resizeПП-00259678"/>
        <xdr:cNvPicPr>
          <a:picLocks noChangeAspect="1"/>
        </xdr:cNvPicPr>
      </xdr:nvPicPr>
      <xdr:blipFill>
        <a:blip xmlns:r="http://schemas.openxmlformats.org/officeDocument/2006/relationships" r:embed="rId1947"/>
        <a:stretch>
          <a:fillRect/>
        </a:stretch>
      </xdr:blipFill>
      <xdr:spPr>
        <a:xfrm>
          <a:off x="7235825" y="2561247100"/>
          <a:ext cx="878840" cy="1183640"/>
        </a:xfrm>
        <a:prstGeom prst="rect">
          <a:avLst/>
        </a:prstGeom>
      </xdr:spPr>
    </xdr:pic>
    <xdr:clientData/>
  </xdr:twoCellAnchor>
  <xdr:twoCellAnchor>
    <xdr:from>
      <xdr:col>9</xdr:col>
      <xdr:colOff>6350</xdr:colOff>
      <xdr:row>2627</xdr:row>
      <xdr:rowOff>25400</xdr:rowOff>
    </xdr:from>
    <xdr:to>
      <xdr:col>9</xdr:col>
      <xdr:colOff>885190</xdr:colOff>
      <xdr:row>2627</xdr:row>
      <xdr:rowOff>1209040</xdr:rowOff>
    </xdr:to>
    <xdr:pic>
      <xdr:nvPicPr>
        <xdr:cNvPr id="7225" name="Изображение 7224" descr="resizeПП-00259680"/>
        <xdr:cNvPicPr>
          <a:picLocks noChangeAspect="1"/>
        </xdr:cNvPicPr>
      </xdr:nvPicPr>
      <xdr:blipFill>
        <a:blip xmlns:r="http://schemas.openxmlformats.org/officeDocument/2006/relationships" r:embed="rId1948"/>
        <a:stretch>
          <a:fillRect/>
        </a:stretch>
      </xdr:blipFill>
      <xdr:spPr>
        <a:xfrm>
          <a:off x="7235825" y="2562469475"/>
          <a:ext cx="878840" cy="1183640"/>
        </a:xfrm>
        <a:prstGeom prst="rect">
          <a:avLst/>
        </a:prstGeom>
      </xdr:spPr>
    </xdr:pic>
    <xdr:clientData/>
  </xdr:twoCellAnchor>
  <xdr:twoCellAnchor>
    <xdr:from>
      <xdr:col>9</xdr:col>
      <xdr:colOff>6350</xdr:colOff>
      <xdr:row>2628</xdr:row>
      <xdr:rowOff>25400</xdr:rowOff>
    </xdr:from>
    <xdr:to>
      <xdr:col>9</xdr:col>
      <xdr:colOff>885190</xdr:colOff>
      <xdr:row>2628</xdr:row>
      <xdr:rowOff>1209040</xdr:rowOff>
    </xdr:to>
    <xdr:pic>
      <xdr:nvPicPr>
        <xdr:cNvPr id="7226" name="Изображение 7225" descr="resizeПП-00259679"/>
        <xdr:cNvPicPr>
          <a:picLocks noChangeAspect="1"/>
        </xdr:cNvPicPr>
      </xdr:nvPicPr>
      <xdr:blipFill>
        <a:blip xmlns:r="http://schemas.openxmlformats.org/officeDocument/2006/relationships" r:embed="rId1949"/>
        <a:stretch>
          <a:fillRect/>
        </a:stretch>
      </xdr:blipFill>
      <xdr:spPr>
        <a:xfrm>
          <a:off x="7235825" y="2563691850"/>
          <a:ext cx="878840" cy="1183640"/>
        </a:xfrm>
        <a:prstGeom prst="rect">
          <a:avLst/>
        </a:prstGeom>
      </xdr:spPr>
    </xdr:pic>
    <xdr:clientData/>
  </xdr:twoCellAnchor>
  <xdr:twoCellAnchor>
    <xdr:from>
      <xdr:col>9</xdr:col>
      <xdr:colOff>6350</xdr:colOff>
      <xdr:row>2629</xdr:row>
      <xdr:rowOff>25400</xdr:rowOff>
    </xdr:from>
    <xdr:to>
      <xdr:col>9</xdr:col>
      <xdr:colOff>885190</xdr:colOff>
      <xdr:row>2629</xdr:row>
      <xdr:rowOff>1209040</xdr:rowOff>
    </xdr:to>
    <xdr:pic>
      <xdr:nvPicPr>
        <xdr:cNvPr id="7227" name="Изображение 7226" descr="resizeПП-00259436"/>
        <xdr:cNvPicPr>
          <a:picLocks noChangeAspect="1"/>
        </xdr:cNvPicPr>
      </xdr:nvPicPr>
      <xdr:blipFill>
        <a:blip xmlns:r="http://schemas.openxmlformats.org/officeDocument/2006/relationships" r:embed="rId1950"/>
        <a:stretch>
          <a:fillRect/>
        </a:stretch>
      </xdr:blipFill>
      <xdr:spPr>
        <a:xfrm>
          <a:off x="7235825" y="2564914225"/>
          <a:ext cx="878840" cy="1183640"/>
        </a:xfrm>
        <a:prstGeom prst="rect">
          <a:avLst/>
        </a:prstGeom>
      </xdr:spPr>
    </xdr:pic>
    <xdr:clientData/>
  </xdr:twoCellAnchor>
  <xdr:twoCellAnchor>
    <xdr:from>
      <xdr:col>9</xdr:col>
      <xdr:colOff>6350</xdr:colOff>
      <xdr:row>2630</xdr:row>
      <xdr:rowOff>25400</xdr:rowOff>
    </xdr:from>
    <xdr:to>
      <xdr:col>9</xdr:col>
      <xdr:colOff>885190</xdr:colOff>
      <xdr:row>2630</xdr:row>
      <xdr:rowOff>1209040</xdr:rowOff>
    </xdr:to>
    <xdr:pic>
      <xdr:nvPicPr>
        <xdr:cNvPr id="7228" name="Изображение 7227" descr="resizeПП-00265215"/>
        <xdr:cNvPicPr>
          <a:picLocks noChangeAspect="1"/>
        </xdr:cNvPicPr>
      </xdr:nvPicPr>
      <xdr:blipFill>
        <a:blip xmlns:r="http://schemas.openxmlformats.org/officeDocument/2006/relationships" r:embed="rId1951"/>
        <a:stretch>
          <a:fillRect/>
        </a:stretch>
      </xdr:blipFill>
      <xdr:spPr>
        <a:xfrm>
          <a:off x="7235825" y="2566136600"/>
          <a:ext cx="878840" cy="1183640"/>
        </a:xfrm>
        <a:prstGeom prst="rect">
          <a:avLst/>
        </a:prstGeom>
      </xdr:spPr>
    </xdr:pic>
    <xdr:clientData/>
  </xdr:twoCellAnchor>
  <xdr:twoCellAnchor>
    <xdr:from>
      <xdr:col>9</xdr:col>
      <xdr:colOff>6350</xdr:colOff>
      <xdr:row>2636</xdr:row>
      <xdr:rowOff>25400</xdr:rowOff>
    </xdr:from>
    <xdr:to>
      <xdr:col>9</xdr:col>
      <xdr:colOff>885190</xdr:colOff>
      <xdr:row>2636</xdr:row>
      <xdr:rowOff>1209040</xdr:rowOff>
    </xdr:to>
    <xdr:pic>
      <xdr:nvPicPr>
        <xdr:cNvPr id="7229" name="Изображение 7228" descr="resizeПП-00254267"/>
        <xdr:cNvPicPr>
          <a:picLocks noChangeAspect="1"/>
        </xdr:cNvPicPr>
      </xdr:nvPicPr>
      <xdr:blipFill>
        <a:blip xmlns:r="http://schemas.openxmlformats.org/officeDocument/2006/relationships" r:embed="rId1952"/>
        <a:stretch>
          <a:fillRect/>
        </a:stretch>
      </xdr:blipFill>
      <xdr:spPr>
        <a:xfrm>
          <a:off x="7235825" y="2568171775"/>
          <a:ext cx="878840" cy="1183640"/>
        </a:xfrm>
        <a:prstGeom prst="rect">
          <a:avLst/>
        </a:prstGeom>
      </xdr:spPr>
    </xdr:pic>
    <xdr:clientData/>
  </xdr:twoCellAnchor>
  <xdr:twoCellAnchor>
    <xdr:from>
      <xdr:col>9</xdr:col>
      <xdr:colOff>6350</xdr:colOff>
      <xdr:row>2640</xdr:row>
      <xdr:rowOff>25400</xdr:rowOff>
    </xdr:from>
    <xdr:to>
      <xdr:col>9</xdr:col>
      <xdr:colOff>885190</xdr:colOff>
      <xdr:row>2640</xdr:row>
      <xdr:rowOff>1209040</xdr:rowOff>
    </xdr:to>
    <xdr:pic>
      <xdr:nvPicPr>
        <xdr:cNvPr id="7230" name="Изображение 7229" descr="resizeПП-00254260"/>
        <xdr:cNvPicPr>
          <a:picLocks noChangeAspect="1"/>
        </xdr:cNvPicPr>
      </xdr:nvPicPr>
      <xdr:blipFill>
        <a:blip xmlns:r="http://schemas.openxmlformats.org/officeDocument/2006/relationships" r:embed="rId1953"/>
        <a:stretch>
          <a:fillRect/>
        </a:stretch>
      </xdr:blipFill>
      <xdr:spPr>
        <a:xfrm>
          <a:off x="7235825" y="2569851350"/>
          <a:ext cx="878840" cy="1183640"/>
        </a:xfrm>
        <a:prstGeom prst="rect">
          <a:avLst/>
        </a:prstGeom>
      </xdr:spPr>
    </xdr:pic>
    <xdr:clientData/>
  </xdr:twoCellAnchor>
  <xdr:twoCellAnchor>
    <xdr:from>
      <xdr:col>9</xdr:col>
      <xdr:colOff>6350</xdr:colOff>
      <xdr:row>2644</xdr:row>
      <xdr:rowOff>25400</xdr:rowOff>
    </xdr:from>
    <xdr:to>
      <xdr:col>9</xdr:col>
      <xdr:colOff>885190</xdr:colOff>
      <xdr:row>2644</xdr:row>
      <xdr:rowOff>1209040</xdr:rowOff>
    </xdr:to>
    <xdr:pic>
      <xdr:nvPicPr>
        <xdr:cNvPr id="7231" name="Изображение 7230" descr="resizeПП-00251672"/>
        <xdr:cNvPicPr>
          <a:picLocks noChangeAspect="1"/>
        </xdr:cNvPicPr>
      </xdr:nvPicPr>
      <xdr:blipFill>
        <a:blip xmlns:r="http://schemas.openxmlformats.org/officeDocument/2006/relationships" r:embed="rId1954"/>
        <a:stretch>
          <a:fillRect/>
        </a:stretch>
      </xdr:blipFill>
      <xdr:spPr>
        <a:xfrm>
          <a:off x="7235825" y="2571530925"/>
          <a:ext cx="878840" cy="1183640"/>
        </a:xfrm>
        <a:prstGeom prst="rect">
          <a:avLst/>
        </a:prstGeom>
      </xdr:spPr>
    </xdr:pic>
    <xdr:clientData/>
  </xdr:twoCellAnchor>
  <xdr:twoCellAnchor>
    <xdr:from>
      <xdr:col>9</xdr:col>
      <xdr:colOff>6350</xdr:colOff>
      <xdr:row>2646</xdr:row>
      <xdr:rowOff>25400</xdr:rowOff>
    </xdr:from>
    <xdr:to>
      <xdr:col>9</xdr:col>
      <xdr:colOff>885190</xdr:colOff>
      <xdr:row>2646</xdr:row>
      <xdr:rowOff>1209040</xdr:rowOff>
    </xdr:to>
    <xdr:pic>
      <xdr:nvPicPr>
        <xdr:cNvPr id="7232" name="Изображение 7231" descr="resizeПП-00261119"/>
        <xdr:cNvPicPr>
          <a:picLocks noChangeAspect="1"/>
        </xdr:cNvPicPr>
      </xdr:nvPicPr>
      <xdr:blipFill>
        <a:blip xmlns:r="http://schemas.openxmlformats.org/officeDocument/2006/relationships" r:embed="rId1955"/>
        <a:stretch>
          <a:fillRect/>
        </a:stretch>
      </xdr:blipFill>
      <xdr:spPr>
        <a:xfrm>
          <a:off x="7235825" y="2572905700"/>
          <a:ext cx="878840" cy="1183640"/>
        </a:xfrm>
        <a:prstGeom prst="rect">
          <a:avLst/>
        </a:prstGeom>
      </xdr:spPr>
    </xdr:pic>
    <xdr:clientData/>
  </xdr:twoCellAnchor>
  <xdr:twoCellAnchor>
    <xdr:from>
      <xdr:col>9</xdr:col>
      <xdr:colOff>6350</xdr:colOff>
      <xdr:row>2650</xdr:row>
      <xdr:rowOff>25400</xdr:rowOff>
    </xdr:from>
    <xdr:to>
      <xdr:col>9</xdr:col>
      <xdr:colOff>885190</xdr:colOff>
      <xdr:row>2650</xdr:row>
      <xdr:rowOff>1209040</xdr:rowOff>
    </xdr:to>
    <xdr:pic>
      <xdr:nvPicPr>
        <xdr:cNvPr id="7233" name="Изображение 7232" descr="resizeПП-00199199"/>
        <xdr:cNvPicPr>
          <a:picLocks noChangeAspect="1"/>
        </xdr:cNvPicPr>
      </xdr:nvPicPr>
      <xdr:blipFill>
        <a:blip xmlns:r="http://schemas.openxmlformats.org/officeDocument/2006/relationships" r:embed="rId1956"/>
        <a:stretch>
          <a:fillRect/>
        </a:stretch>
      </xdr:blipFill>
      <xdr:spPr>
        <a:xfrm>
          <a:off x="7235825" y="2574636075"/>
          <a:ext cx="878840" cy="1183640"/>
        </a:xfrm>
        <a:prstGeom prst="rect">
          <a:avLst/>
        </a:prstGeom>
      </xdr:spPr>
    </xdr:pic>
    <xdr:clientData/>
  </xdr:twoCellAnchor>
  <xdr:twoCellAnchor>
    <xdr:from>
      <xdr:col>9</xdr:col>
      <xdr:colOff>6350</xdr:colOff>
      <xdr:row>2651</xdr:row>
      <xdr:rowOff>25400</xdr:rowOff>
    </xdr:from>
    <xdr:to>
      <xdr:col>9</xdr:col>
      <xdr:colOff>885190</xdr:colOff>
      <xdr:row>2651</xdr:row>
      <xdr:rowOff>1209040</xdr:rowOff>
    </xdr:to>
    <xdr:pic>
      <xdr:nvPicPr>
        <xdr:cNvPr id="7234" name="Изображение 7233" descr="resizeПП-00260021"/>
        <xdr:cNvPicPr>
          <a:picLocks noChangeAspect="1"/>
        </xdr:cNvPicPr>
      </xdr:nvPicPr>
      <xdr:blipFill>
        <a:blip xmlns:r="http://schemas.openxmlformats.org/officeDocument/2006/relationships" r:embed="rId1957"/>
        <a:stretch>
          <a:fillRect/>
        </a:stretch>
      </xdr:blipFill>
      <xdr:spPr>
        <a:xfrm>
          <a:off x="7235825" y="2575858450"/>
          <a:ext cx="878840" cy="1183640"/>
        </a:xfrm>
        <a:prstGeom prst="rect">
          <a:avLst/>
        </a:prstGeom>
      </xdr:spPr>
    </xdr:pic>
    <xdr:clientData/>
  </xdr:twoCellAnchor>
  <xdr:twoCellAnchor>
    <xdr:from>
      <xdr:col>9</xdr:col>
      <xdr:colOff>6350</xdr:colOff>
      <xdr:row>2652</xdr:row>
      <xdr:rowOff>25400</xdr:rowOff>
    </xdr:from>
    <xdr:to>
      <xdr:col>9</xdr:col>
      <xdr:colOff>885190</xdr:colOff>
      <xdr:row>2652</xdr:row>
      <xdr:rowOff>1209040</xdr:rowOff>
    </xdr:to>
    <xdr:pic>
      <xdr:nvPicPr>
        <xdr:cNvPr id="7235" name="Изображение 7234" descr="resizeПП-00260032"/>
        <xdr:cNvPicPr>
          <a:picLocks noChangeAspect="1"/>
        </xdr:cNvPicPr>
      </xdr:nvPicPr>
      <xdr:blipFill>
        <a:blip xmlns:r="http://schemas.openxmlformats.org/officeDocument/2006/relationships" r:embed="rId1958"/>
        <a:stretch>
          <a:fillRect/>
        </a:stretch>
      </xdr:blipFill>
      <xdr:spPr>
        <a:xfrm>
          <a:off x="7235825" y="2577080825"/>
          <a:ext cx="878840" cy="1183640"/>
        </a:xfrm>
        <a:prstGeom prst="rect">
          <a:avLst/>
        </a:prstGeom>
      </xdr:spPr>
    </xdr:pic>
    <xdr:clientData/>
  </xdr:twoCellAnchor>
  <xdr:twoCellAnchor>
    <xdr:from>
      <xdr:col>9</xdr:col>
      <xdr:colOff>6350</xdr:colOff>
      <xdr:row>2653</xdr:row>
      <xdr:rowOff>25400</xdr:rowOff>
    </xdr:from>
    <xdr:to>
      <xdr:col>9</xdr:col>
      <xdr:colOff>885190</xdr:colOff>
      <xdr:row>2653</xdr:row>
      <xdr:rowOff>1209040</xdr:rowOff>
    </xdr:to>
    <xdr:pic>
      <xdr:nvPicPr>
        <xdr:cNvPr id="7236" name="Изображение 7235" descr="resizeПП-00192099"/>
        <xdr:cNvPicPr>
          <a:picLocks noChangeAspect="1"/>
        </xdr:cNvPicPr>
      </xdr:nvPicPr>
      <xdr:blipFill>
        <a:blip xmlns:r="http://schemas.openxmlformats.org/officeDocument/2006/relationships" r:embed="rId1959"/>
        <a:stretch>
          <a:fillRect/>
        </a:stretch>
      </xdr:blipFill>
      <xdr:spPr>
        <a:xfrm>
          <a:off x="7235825" y="2578303200"/>
          <a:ext cx="878840" cy="1183640"/>
        </a:xfrm>
        <a:prstGeom prst="rect">
          <a:avLst/>
        </a:prstGeom>
      </xdr:spPr>
    </xdr:pic>
    <xdr:clientData/>
  </xdr:twoCellAnchor>
  <xdr:twoCellAnchor>
    <xdr:from>
      <xdr:col>9</xdr:col>
      <xdr:colOff>6350</xdr:colOff>
      <xdr:row>2654</xdr:row>
      <xdr:rowOff>25400</xdr:rowOff>
    </xdr:from>
    <xdr:to>
      <xdr:col>9</xdr:col>
      <xdr:colOff>885190</xdr:colOff>
      <xdr:row>2654</xdr:row>
      <xdr:rowOff>1209040</xdr:rowOff>
    </xdr:to>
    <xdr:pic>
      <xdr:nvPicPr>
        <xdr:cNvPr id="7237" name="Изображение 7236" descr="resizeПП-00280698"/>
        <xdr:cNvPicPr>
          <a:picLocks noChangeAspect="1"/>
        </xdr:cNvPicPr>
      </xdr:nvPicPr>
      <xdr:blipFill>
        <a:blip xmlns:r="http://schemas.openxmlformats.org/officeDocument/2006/relationships" r:embed="rId1960"/>
        <a:stretch>
          <a:fillRect/>
        </a:stretch>
      </xdr:blipFill>
      <xdr:spPr>
        <a:xfrm>
          <a:off x="7235825" y="2579525575"/>
          <a:ext cx="878840" cy="1183640"/>
        </a:xfrm>
        <a:prstGeom prst="rect">
          <a:avLst/>
        </a:prstGeom>
      </xdr:spPr>
    </xdr:pic>
    <xdr:clientData/>
  </xdr:twoCellAnchor>
  <xdr:twoCellAnchor>
    <xdr:from>
      <xdr:col>9</xdr:col>
      <xdr:colOff>6350</xdr:colOff>
      <xdr:row>2655</xdr:row>
      <xdr:rowOff>25400</xdr:rowOff>
    </xdr:from>
    <xdr:to>
      <xdr:col>9</xdr:col>
      <xdr:colOff>885190</xdr:colOff>
      <xdr:row>2655</xdr:row>
      <xdr:rowOff>1209040</xdr:rowOff>
    </xdr:to>
    <xdr:pic>
      <xdr:nvPicPr>
        <xdr:cNvPr id="7238" name="Изображение 7237" descr="resizeПП-00280691"/>
        <xdr:cNvPicPr>
          <a:picLocks noChangeAspect="1"/>
        </xdr:cNvPicPr>
      </xdr:nvPicPr>
      <xdr:blipFill>
        <a:blip xmlns:r="http://schemas.openxmlformats.org/officeDocument/2006/relationships" r:embed="rId1961"/>
        <a:stretch>
          <a:fillRect/>
        </a:stretch>
      </xdr:blipFill>
      <xdr:spPr>
        <a:xfrm>
          <a:off x="7235825" y="2580747950"/>
          <a:ext cx="878840" cy="1183640"/>
        </a:xfrm>
        <a:prstGeom prst="rect">
          <a:avLst/>
        </a:prstGeom>
      </xdr:spPr>
    </xdr:pic>
    <xdr:clientData/>
  </xdr:twoCellAnchor>
  <xdr:twoCellAnchor>
    <xdr:from>
      <xdr:col>9</xdr:col>
      <xdr:colOff>6350</xdr:colOff>
      <xdr:row>2656</xdr:row>
      <xdr:rowOff>25400</xdr:rowOff>
    </xdr:from>
    <xdr:to>
      <xdr:col>9</xdr:col>
      <xdr:colOff>885190</xdr:colOff>
      <xdr:row>2656</xdr:row>
      <xdr:rowOff>1209040</xdr:rowOff>
    </xdr:to>
    <xdr:pic>
      <xdr:nvPicPr>
        <xdr:cNvPr id="7239" name="Изображение 7238" descr="resizeПП-00211353"/>
        <xdr:cNvPicPr>
          <a:picLocks noChangeAspect="1"/>
        </xdr:cNvPicPr>
      </xdr:nvPicPr>
      <xdr:blipFill>
        <a:blip xmlns:r="http://schemas.openxmlformats.org/officeDocument/2006/relationships" r:embed="rId1962"/>
        <a:stretch>
          <a:fillRect/>
        </a:stretch>
      </xdr:blipFill>
      <xdr:spPr>
        <a:xfrm>
          <a:off x="7235825" y="2581970325"/>
          <a:ext cx="878840" cy="1183640"/>
        </a:xfrm>
        <a:prstGeom prst="rect">
          <a:avLst/>
        </a:prstGeom>
      </xdr:spPr>
    </xdr:pic>
    <xdr:clientData/>
  </xdr:twoCellAnchor>
  <xdr:twoCellAnchor>
    <xdr:from>
      <xdr:col>9</xdr:col>
      <xdr:colOff>6350</xdr:colOff>
      <xdr:row>2657</xdr:row>
      <xdr:rowOff>25400</xdr:rowOff>
    </xdr:from>
    <xdr:to>
      <xdr:col>9</xdr:col>
      <xdr:colOff>885190</xdr:colOff>
      <xdr:row>2657</xdr:row>
      <xdr:rowOff>1209040</xdr:rowOff>
    </xdr:to>
    <xdr:pic>
      <xdr:nvPicPr>
        <xdr:cNvPr id="7240" name="Изображение 7239" descr="resizeПП-00280689"/>
        <xdr:cNvPicPr>
          <a:picLocks noChangeAspect="1"/>
        </xdr:cNvPicPr>
      </xdr:nvPicPr>
      <xdr:blipFill>
        <a:blip xmlns:r="http://schemas.openxmlformats.org/officeDocument/2006/relationships" r:embed="rId1963"/>
        <a:stretch>
          <a:fillRect/>
        </a:stretch>
      </xdr:blipFill>
      <xdr:spPr>
        <a:xfrm>
          <a:off x="7235825" y="2583192700"/>
          <a:ext cx="878840" cy="1183640"/>
        </a:xfrm>
        <a:prstGeom prst="rect">
          <a:avLst/>
        </a:prstGeom>
      </xdr:spPr>
    </xdr:pic>
    <xdr:clientData/>
  </xdr:twoCellAnchor>
  <xdr:twoCellAnchor>
    <xdr:from>
      <xdr:col>9</xdr:col>
      <xdr:colOff>6350</xdr:colOff>
      <xdr:row>2658</xdr:row>
      <xdr:rowOff>25400</xdr:rowOff>
    </xdr:from>
    <xdr:to>
      <xdr:col>9</xdr:col>
      <xdr:colOff>885190</xdr:colOff>
      <xdr:row>2658</xdr:row>
      <xdr:rowOff>1209040</xdr:rowOff>
    </xdr:to>
    <xdr:pic>
      <xdr:nvPicPr>
        <xdr:cNvPr id="7241" name="Изображение 7240" descr="resizeПП-00218494"/>
        <xdr:cNvPicPr>
          <a:picLocks noChangeAspect="1"/>
        </xdr:cNvPicPr>
      </xdr:nvPicPr>
      <xdr:blipFill>
        <a:blip xmlns:r="http://schemas.openxmlformats.org/officeDocument/2006/relationships" r:embed="rId1964"/>
        <a:stretch>
          <a:fillRect/>
        </a:stretch>
      </xdr:blipFill>
      <xdr:spPr>
        <a:xfrm>
          <a:off x="7235825" y="2584415075"/>
          <a:ext cx="878840" cy="1183640"/>
        </a:xfrm>
        <a:prstGeom prst="rect">
          <a:avLst/>
        </a:prstGeom>
      </xdr:spPr>
    </xdr:pic>
    <xdr:clientData/>
  </xdr:twoCellAnchor>
  <xdr:twoCellAnchor>
    <xdr:from>
      <xdr:col>9</xdr:col>
      <xdr:colOff>6350</xdr:colOff>
      <xdr:row>2659</xdr:row>
      <xdr:rowOff>25400</xdr:rowOff>
    </xdr:from>
    <xdr:to>
      <xdr:col>9</xdr:col>
      <xdr:colOff>885190</xdr:colOff>
      <xdr:row>2659</xdr:row>
      <xdr:rowOff>1209040</xdr:rowOff>
    </xdr:to>
    <xdr:pic>
      <xdr:nvPicPr>
        <xdr:cNvPr id="7242" name="Изображение 7241" descr="resizeПП-00218493"/>
        <xdr:cNvPicPr>
          <a:picLocks noChangeAspect="1"/>
        </xdr:cNvPicPr>
      </xdr:nvPicPr>
      <xdr:blipFill>
        <a:blip xmlns:r="http://schemas.openxmlformats.org/officeDocument/2006/relationships" r:embed="rId1965"/>
        <a:stretch>
          <a:fillRect/>
        </a:stretch>
      </xdr:blipFill>
      <xdr:spPr>
        <a:xfrm>
          <a:off x="7235825" y="2585637450"/>
          <a:ext cx="878840" cy="1183640"/>
        </a:xfrm>
        <a:prstGeom prst="rect">
          <a:avLst/>
        </a:prstGeom>
      </xdr:spPr>
    </xdr:pic>
    <xdr:clientData/>
  </xdr:twoCellAnchor>
  <xdr:twoCellAnchor>
    <xdr:from>
      <xdr:col>9</xdr:col>
      <xdr:colOff>6350</xdr:colOff>
      <xdr:row>2660</xdr:row>
      <xdr:rowOff>25400</xdr:rowOff>
    </xdr:from>
    <xdr:to>
      <xdr:col>9</xdr:col>
      <xdr:colOff>885190</xdr:colOff>
      <xdr:row>2660</xdr:row>
      <xdr:rowOff>1209040</xdr:rowOff>
    </xdr:to>
    <xdr:pic>
      <xdr:nvPicPr>
        <xdr:cNvPr id="7243" name="Изображение 7242" descr="resizeПП-00280693"/>
        <xdr:cNvPicPr>
          <a:picLocks noChangeAspect="1"/>
        </xdr:cNvPicPr>
      </xdr:nvPicPr>
      <xdr:blipFill>
        <a:blip xmlns:r="http://schemas.openxmlformats.org/officeDocument/2006/relationships" r:embed="rId1966"/>
        <a:stretch>
          <a:fillRect/>
        </a:stretch>
      </xdr:blipFill>
      <xdr:spPr>
        <a:xfrm>
          <a:off x="7235825" y="2586859825"/>
          <a:ext cx="878840" cy="1183640"/>
        </a:xfrm>
        <a:prstGeom prst="rect">
          <a:avLst/>
        </a:prstGeom>
      </xdr:spPr>
    </xdr:pic>
    <xdr:clientData/>
  </xdr:twoCellAnchor>
  <xdr:twoCellAnchor>
    <xdr:from>
      <xdr:col>9</xdr:col>
      <xdr:colOff>6350</xdr:colOff>
      <xdr:row>2661</xdr:row>
      <xdr:rowOff>25400</xdr:rowOff>
    </xdr:from>
    <xdr:to>
      <xdr:col>9</xdr:col>
      <xdr:colOff>885190</xdr:colOff>
      <xdr:row>2661</xdr:row>
      <xdr:rowOff>1209040</xdr:rowOff>
    </xdr:to>
    <xdr:pic>
      <xdr:nvPicPr>
        <xdr:cNvPr id="7244" name="Изображение 7243" descr="resizeПП-00280697"/>
        <xdr:cNvPicPr>
          <a:picLocks noChangeAspect="1"/>
        </xdr:cNvPicPr>
      </xdr:nvPicPr>
      <xdr:blipFill>
        <a:blip xmlns:r="http://schemas.openxmlformats.org/officeDocument/2006/relationships" r:embed="rId1967"/>
        <a:stretch>
          <a:fillRect/>
        </a:stretch>
      </xdr:blipFill>
      <xdr:spPr>
        <a:xfrm>
          <a:off x="7235825" y="2588082200"/>
          <a:ext cx="878840" cy="1183640"/>
        </a:xfrm>
        <a:prstGeom prst="rect">
          <a:avLst/>
        </a:prstGeom>
      </xdr:spPr>
    </xdr:pic>
    <xdr:clientData/>
  </xdr:twoCellAnchor>
  <xdr:twoCellAnchor>
    <xdr:from>
      <xdr:col>9</xdr:col>
      <xdr:colOff>6350</xdr:colOff>
      <xdr:row>2662</xdr:row>
      <xdr:rowOff>25400</xdr:rowOff>
    </xdr:from>
    <xdr:to>
      <xdr:col>9</xdr:col>
      <xdr:colOff>885190</xdr:colOff>
      <xdr:row>2662</xdr:row>
      <xdr:rowOff>1209040</xdr:rowOff>
    </xdr:to>
    <xdr:pic>
      <xdr:nvPicPr>
        <xdr:cNvPr id="7245" name="Изображение 7244" descr="resizeПП-00280707"/>
        <xdr:cNvPicPr>
          <a:picLocks noChangeAspect="1"/>
        </xdr:cNvPicPr>
      </xdr:nvPicPr>
      <xdr:blipFill>
        <a:blip xmlns:r="http://schemas.openxmlformats.org/officeDocument/2006/relationships" r:embed="rId1968"/>
        <a:stretch>
          <a:fillRect/>
        </a:stretch>
      </xdr:blipFill>
      <xdr:spPr>
        <a:xfrm>
          <a:off x="7235825" y="2589304575"/>
          <a:ext cx="878840" cy="1183640"/>
        </a:xfrm>
        <a:prstGeom prst="rect">
          <a:avLst/>
        </a:prstGeom>
      </xdr:spPr>
    </xdr:pic>
    <xdr:clientData/>
  </xdr:twoCellAnchor>
  <xdr:twoCellAnchor>
    <xdr:from>
      <xdr:col>9</xdr:col>
      <xdr:colOff>6350</xdr:colOff>
      <xdr:row>2663</xdr:row>
      <xdr:rowOff>25400</xdr:rowOff>
    </xdr:from>
    <xdr:to>
      <xdr:col>9</xdr:col>
      <xdr:colOff>885190</xdr:colOff>
      <xdr:row>2663</xdr:row>
      <xdr:rowOff>1209040</xdr:rowOff>
    </xdr:to>
    <xdr:pic>
      <xdr:nvPicPr>
        <xdr:cNvPr id="7246" name="Изображение 7245" descr="resizeПП-00260030"/>
        <xdr:cNvPicPr>
          <a:picLocks noChangeAspect="1"/>
        </xdr:cNvPicPr>
      </xdr:nvPicPr>
      <xdr:blipFill>
        <a:blip xmlns:r="http://schemas.openxmlformats.org/officeDocument/2006/relationships" r:embed="rId1969"/>
        <a:stretch>
          <a:fillRect/>
        </a:stretch>
      </xdr:blipFill>
      <xdr:spPr>
        <a:xfrm>
          <a:off x="7235825" y="2590526950"/>
          <a:ext cx="878840" cy="1183640"/>
        </a:xfrm>
        <a:prstGeom prst="rect">
          <a:avLst/>
        </a:prstGeom>
      </xdr:spPr>
    </xdr:pic>
    <xdr:clientData/>
  </xdr:twoCellAnchor>
  <xdr:twoCellAnchor>
    <xdr:from>
      <xdr:col>9</xdr:col>
      <xdr:colOff>6350</xdr:colOff>
      <xdr:row>2664</xdr:row>
      <xdr:rowOff>25400</xdr:rowOff>
    </xdr:from>
    <xdr:to>
      <xdr:col>9</xdr:col>
      <xdr:colOff>885190</xdr:colOff>
      <xdr:row>2664</xdr:row>
      <xdr:rowOff>1209040</xdr:rowOff>
    </xdr:to>
    <xdr:pic>
      <xdr:nvPicPr>
        <xdr:cNvPr id="7247" name="Изображение 7246" descr="resizeПП-00280690"/>
        <xdr:cNvPicPr>
          <a:picLocks noChangeAspect="1"/>
        </xdr:cNvPicPr>
      </xdr:nvPicPr>
      <xdr:blipFill>
        <a:blip xmlns:r="http://schemas.openxmlformats.org/officeDocument/2006/relationships" r:embed="rId1970"/>
        <a:stretch>
          <a:fillRect/>
        </a:stretch>
      </xdr:blipFill>
      <xdr:spPr>
        <a:xfrm>
          <a:off x="7235825" y="2591749325"/>
          <a:ext cx="878840" cy="1183640"/>
        </a:xfrm>
        <a:prstGeom prst="rect">
          <a:avLst/>
        </a:prstGeom>
      </xdr:spPr>
    </xdr:pic>
    <xdr:clientData/>
  </xdr:twoCellAnchor>
  <xdr:twoCellAnchor>
    <xdr:from>
      <xdr:col>9</xdr:col>
      <xdr:colOff>6350</xdr:colOff>
      <xdr:row>2665</xdr:row>
      <xdr:rowOff>25400</xdr:rowOff>
    </xdr:from>
    <xdr:to>
      <xdr:col>9</xdr:col>
      <xdr:colOff>885190</xdr:colOff>
      <xdr:row>2665</xdr:row>
      <xdr:rowOff>1209040</xdr:rowOff>
    </xdr:to>
    <xdr:pic>
      <xdr:nvPicPr>
        <xdr:cNvPr id="7248" name="Изображение 7247" descr="resizeПП-00260029"/>
        <xdr:cNvPicPr>
          <a:picLocks noChangeAspect="1"/>
        </xdr:cNvPicPr>
      </xdr:nvPicPr>
      <xdr:blipFill>
        <a:blip xmlns:r="http://schemas.openxmlformats.org/officeDocument/2006/relationships" r:embed="rId1971"/>
        <a:stretch>
          <a:fillRect/>
        </a:stretch>
      </xdr:blipFill>
      <xdr:spPr>
        <a:xfrm>
          <a:off x="7235825" y="2592971700"/>
          <a:ext cx="878840" cy="1183640"/>
        </a:xfrm>
        <a:prstGeom prst="rect">
          <a:avLst/>
        </a:prstGeom>
      </xdr:spPr>
    </xdr:pic>
    <xdr:clientData/>
  </xdr:twoCellAnchor>
  <xdr:twoCellAnchor>
    <xdr:from>
      <xdr:col>9</xdr:col>
      <xdr:colOff>6350</xdr:colOff>
      <xdr:row>2666</xdr:row>
      <xdr:rowOff>25400</xdr:rowOff>
    </xdr:from>
    <xdr:to>
      <xdr:col>9</xdr:col>
      <xdr:colOff>885190</xdr:colOff>
      <xdr:row>2666</xdr:row>
      <xdr:rowOff>1209040</xdr:rowOff>
    </xdr:to>
    <xdr:pic>
      <xdr:nvPicPr>
        <xdr:cNvPr id="7249" name="Изображение 7248" descr="resizeПП-00280702"/>
        <xdr:cNvPicPr>
          <a:picLocks noChangeAspect="1"/>
        </xdr:cNvPicPr>
      </xdr:nvPicPr>
      <xdr:blipFill>
        <a:blip xmlns:r="http://schemas.openxmlformats.org/officeDocument/2006/relationships" r:embed="rId1972"/>
        <a:stretch>
          <a:fillRect/>
        </a:stretch>
      </xdr:blipFill>
      <xdr:spPr>
        <a:xfrm>
          <a:off x="7235825" y="2594194075"/>
          <a:ext cx="878840" cy="1183640"/>
        </a:xfrm>
        <a:prstGeom prst="rect">
          <a:avLst/>
        </a:prstGeom>
      </xdr:spPr>
    </xdr:pic>
    <xdr:clientData/>
  </xdr:twoCellAnchor>
  <xdr:twoCellAnchor>
    <xdr:from>
      <xdr:col>9</xdr:col>
      <xdr:colOff>6350</xdr:colOff>
      <xdr:row>2667</xdr:row>
      <xdr:rowOff>25400</xdr:rowOff>
    </xdr:from>
    <xdr:to>
      <xdr:col>9</xdr:col>
      <xdr:colOff>885190</xdr:colOff>
      <xdr:row>2667</xdr:row>
      <xdr:rowOff>1209040</xdr:rowOff>
    </xdr:to>
    <xdr:pic>
      <xdr:nvPicPr>
        <xdr:cNvPr id="7250" name="Изображение 7249" descr="resizeПП-00199193"/>
        <xdr:cNvPicPr>
          <a:picLocks noChangeAspect="1"/>
        </xdr:cNvPicPr>
      </xdr:nvPicPr>
      <xdr:blipFill>
        <a:blip xmlns:r="http://schemas.openxmlformats.org/officeDocument/2006/relationships" r:embed="rId1973"/>
        <a:stretch>
          <a:fillRect/>
        </a:stretch>
      </xdr:blipFill>
      <xdr:spPr>
        <a:xfrm>
          <a:off x="7235825" y="2595416450"/>
          <a:ext cx="878840" cy="1183640"/>
        </a:xfrm>
        <a:prstGeom prst="rect">
          <a:avLst/>
        </a:prstGeom>
      </xdr:spPr>
    </xdr:pic>
    <xdr:clientData/>
  </xdr:twoCellAnchor>
  <xdr:twoCellAnchor>
    <xdr:from>
      <xdr:col>9</xdr:col>
      <xdr:colOff>6350</xdr:colOff>
      <xdr:row>2668</xdr:row>
      <xdr:rowOff>25400</xdr:rowOff>
    </xdr:from>
    <xdr:to>
      <xdr:col>9</xdr:col>
      <xdr:colOff>885190</xdr:colOff>
      <xdr:row>2668</xdr:row>
      <xdr:rowOff>1209040</xdr:rowOff>
    </xdr:to>
    <xdr:pic>
      <xdr:nvPicPr>
        <xdr:cNvPr id="7251" name="Изображение 7250" descr="resizeПП-00260034"/>
        <xdr:cNvPicPr>
          <a:picLocks noChangeAspect="1"/>
        </xdr:cNvPicPr>
      </xdr:nvPicPr>
      <xdr:blipFill>
        <a:blip xmlns:r="http://schemas.openxmlformats.org/officeDocument/2006/relationships" r:embed="rId1974"/>
        <a:stretch>
          <a:fillRect/>
        </a:stretch>
      </xdr:blipFill>
      <xdr:spPr>
        <a:xfrm>
          <a:off x="7235825" y="2596638825"/>
          <a:ext cx="878840" cy="1183640"/>
        </a:xfrm>
        <a:prstGeom prst="rect">
          <a:avLst/>
        </a:prstGeom>
      </xdr:spPr>
    </xdr:pic>
    <xdr:clientData/>
  </xdr:twoCellAnchor>
  <xdr:twoCellAnchor>
    <xdr:from>
      <xdr:col>9</xdr:col>
      <xdr:colOff>6350</xdr:colOff>
      <xdr:row>2670</xdr:row>
      <xdr:rowOff>25400</xdr:rowOff>
    </xdr:from>
    <xdr:to>
      <xdr:col>9</xdr:col>
      <xdr:colOff>885190</xdr:colOff>
      <xdr:row>2670</xdr:row>
      <xdr:rowOff>1209040</xdr:rowOff>
    </xdr:to>
    <xdr:pic>
      <xdr:nvPicPr>
        <xdr:cNvPr id="7252" name="Изображение 7251" descr="resizeПП-00050824"/>
        <xdr:cNvPicPr>
          <a:picLocks noChangeAspect="1"/>
        </xdr:cNvPicPr>
      </xdr:nvPicPr>
      <xdr:blipFill>
        <a:blip xmlns:r="http://schemas.openxmlformats.org/officeDocument/2006/relationships" r:embed="rId1975"/>
        <a:stretch>
          <a:fillRect/>
        </a:stretch>
      </xdr:blipFill>
      <xdr:spPr>
        <a:xfrm>
          <a:off x="7235825" y="2598013600"/>
          <a:ext cx="878840" cy="1183640"/>
        </a:xfrm>
        <a:prstGeom prst="rect">
          <a:avLst/>
        </a:prstGeom>
      </xdr:spPr>
    </xdr:pic>
    <xdr:clientData/>
  </xdr:twoCellAnchor>
  <xdr:twoCellAnchor>
    <xdr:from>
      <xdr:col>9</xdr:col>
      <xdr:colOff>6350</xdr:colOff>
      <xdr:row>2671</xdr:row>
      <xdr:rowOff>25400</xdr:rowOff>
    </xdr:from>
    <xdr:to>
      <xdr:col>9</xdr:col>
      <xdr:colOff>1189990</xdr:colOff>
      <xdr:row>2671</xdr:row>
      <xdr:rowOff>904240</xdr:rowOff>
    </xdr:to>
    <xdr:pic>
      <xdr:nvPicPr>
        <xdr:cNvPr id="7253" name="Изображение 7252" descr="resizeПП-00090378"/>
        <xdr:cNvPicPr>
          <a:picLocks noChangeAspect="1"/>
        </xdr:cNvPicPr>
      </xdr:nvPicPr>
      <xdr:blipFill>
        <a:blip xmlns:r="http://schemas.openxmlformats.org/officeDocument/2006/relationships" r:embed="rId1976"/>
        <a:stretch>
          <a:fillRect/>
        </a:stretch>
      </xdr:blipFill>
      <xdr:spPr>
        <a:xfrm>
          <a:off x="7235825" y="2599235975"/>
          <a:ext cx="1183640" cy="878840"/>
        </a:xfrm>
        <a:prstGeom prst="rect">
          <a:avLst/>
        </a:prstGeom>
      </xdr:spPr>
    </xdr:pic>
    <xdr:clientData/>
  </xdr:twoCellAnchor>
  <xdr:twoCellAnchor>
    <xdr:from>
      <xdr:col>9</xdr:col>
      <xdr:colOff>6350</xdr:colOff>
      <xdr:row>2674</xdr:row>
      <xdr:rowOff>25400</xdr:rowOff>
    </xdr:from>
    <xdr:to>
      <xdr:col>9</xdr:col>
      <xdr:colOff>885190</xdr:colOff>
      <xdr:row>2674</xdr:row>
      <xdr:rowOff>1209040</xdr:rowOff>
    </xdr:to>
    <xdr:pic>
      <xdr:nvPicPr>
        <xdr:cNvPr id="7254" name="Изображение 7253" descr="resizeПП-00122025"/>
        <xdr:cNvPicPr>
          <a:picLocks noChangeAspect="1"/>
        </xdr:cNvPicPr>
      </xdr:nvPicPr>
      <xdr:blipFill>
        <a:blip xmlns:r="http://schemas.openxmlformats.org/officeDocument/2006/relationships" r:embed="rId1977"/>
        <a:stretch>
          <a:fillRect/>
        </a:stretch>
      </xdr:blipFill>
      <xdr:spPr>
        <a:xfrm>
          <a:off x="7235825" y="2600763150"/>
          <a:ext cx="878840" cy="1183640"/>
        </a:xfrm>
        <a:prstGeom prst="rect">
          <a:avLst/>
        </a:prstGeom>
      </xdr:spPr>
    </xdr:pic>
    <xdr:clientData/>
  </xdr:twoCellAnchor>
  <xdr:twoCellAnchor>
    <xdr:from>
      <xdr:col>9</xdr:col>
      <xdr:colOff>6350</xdr:colOff>
      <xdr:row>2676</xdr:row>
      <xdr:rowOff>25400</xdr:rowOff>
    </xdr:from>
    <xdr:to>
      <xdr:col>9</xdr:col>
      <xdr:colOff>885190</xdr:colOff>
      <xdr:row>2676</xdr:row>
      <xdr:rowOff>1209040</xdr:rowOff>
    </xdr:to>
    <xdr:pic>
      <xdr:nvPicPr>
        <xdr:cNvPr id="7255" name="Изображение 7254" descr="resizeПП-00197718"/>
        <xdr:cNvPicPr>
          <a:picLocks noChangeAspect="1"/>
        </xdr:cNvPicPr>
      </xdr:nvPicPr>
      <xdr:blipFill>
        <a:blip xmlns:r="http://schemas.openxmlformats.org/officeDocument/2006/relationships" r:embed="rId1978"/>
        <a:stretch>
          <a:fillRect/>
        </a:stretch>
      </xdr:blipFill>
      <xdr:spPr>
        <a:xfrm>
          <a:off x="7235825" y="2602137925"/>
          <a:ext cx="878840" cy="1183640"/>
        </a:xfrm>
        <a:prstGeom prst="rect">
          <a:avLst/>
        </a:prstGeom>
      </xdr:spPr>
    </xdr:pic>
    <xdr:clientData/>
  </xdr:twoCellAnchor>
  <xdr:twoCellAnchor>
    <xdr:from>
      <xdr:col>9</xdr:col>
      <xdr:colOff>6350</xdr:colOff>
      <xdr:row>2677</xdr:row>
      <xdr:rowOff>25400</xdr:rowOff>
    </xdr:from>
    <xdr:to>
      <xdr:col>9</xdr:col>
      <xdr:colOff>885190</xdr:colOff>
      <xdr:row>2677</xdr:row>
      <xdr:rowOff>1209040</xdr:rowOff>
    </xdr:to>
    <xdr:pic>
      <xdr:nvPicPr>
        <xdr:cNvPr id="7256" name="Изображение 7255" descr="resizeПП-00269695"/>
        <xdr:cNvPicPr>
          <a:picLocks noChangeAspect="1"/>
        </xdr:cNvPicPr>
      </xdr:nvPicPr>
      <xdr:blipFill>
        <a:blip xmlns:r="http://schemas.openxmlformats.org/officeDocument/2006/relationships" r:embed="rId1979"/>
        <a:stretch>
          <a:fillRect/>
        </a:stretch>
      </xdr:blipFill>
      <xdr:spPr>
        <a:xfrm>
          <a:off x="7235825" y="2603360300"/>
          <a:ext cx="878840" cy="1183640"/>
        </a:xfrm>
        <a:prstGeom prst="rect">
          <a:avLst/>
        </a:prstGeom>
      </xdr:spPr>
    </xdr:pic>
    <xdr:clientData/>
  </xdr:twoCellAnchor>
  <xdr:twoCellAnchor>
    <xdr:from>
      <xdr:col>9</xdr:col>
      <xdr:colOff>6350</xdr:colOff>
      <xdr:row>2678</xdr:row>
      <xdr:rowOff>25400</xdr:rowOff>
    </xdr:from>
    <xdr:to>
      <xdr:col>9</xdr:col>
      <xdr:colOff>885190</xdr:colOff>
      <xdr:row>2678</xdr:row>
      <xdr:rowOff>1209040</xdr:rowOff>
    </xdr:to>
    <xdr:pic>
      <xdr:nvPicPr>
        <xdr:cNvPr id="7257" name="Изображение 7256" descr="resizeПП-00269694"/>
        <xdr:cNvPicPr>
          <a:picLocks noChangeAspect="1"/>
        </xdr:cNvPicPr>
      </xdr:nvPicPr>
      <xdr:blipFill>
        <a:blip xmlns:r="http://schemas.openxmlformats.org/officeDocument/2006/relationships" r:embed="rId1980"/>
        <a:stretch>
          <a:fillRect/>
        </a:stretch>
      </xdr:blipFill>
      <xdr:spPr>
        <a:xfrm>
          <a:off x="7235825" y="2604582675"/>
          <a:ext cx="878840" cy="1183640"/>
        </a:xfrm>
        <a:prstGeom prst="rect">
          <a:avLst/>
        </a:prstGeom>
      </xdr:spPr>
    </xdr:pic>
    <xdr:clientData/>
  </xdr:twoCellAnchor>
  <xdr:twoCellAnchor>
    <xdr:from>
      <xdr:col>9</xdr:col>
      <xdr:colOff>6350</xdr:colOff>
      <xdr:row>2679</xdr:row>
      <xdr:rowOff>25400</xdr:rowOff>
    </xdr:from>
    <xdr:to>
      <xdr:col>9</xdr:col>
      <xdr:colOff>885190</xdr:colOff>
      <xdr:row>2679</xdr:row>
      <xdr:rowOff>1209040</xdr:rowOff>
    </xdr:to>
    <xdr:pic>
      <xdr:nvPicPr>
        <xdr:cNvPr id="7258" name="Изображение 7257" descr="resizeПП-00269693"/>
        <xdr:cNvPicPr>
          <a:picLocks noChangeAspect="1"/>
        </xdr:cNvPicPr>
      </xdr:nvPicPr>
      <xdr:blipFill>
        <a:blip xmlns:r="http://schemas.openxmlformats.org/officeDocument/2006/relationships" r:embed="rId1981"/>
        <a:stretch>
          <a:fillRect/>
        </a:stretch>
      </xdr:blipFill>
      <xdr:spPr>
        <a:xfrm>
          <a:off x="7235825" y="2605805050"/>
          <a:ext cx="878840" cy="1183640"/>
        </a:xfrm>
        <a:prstGeom prst="rect">
          <a:avLst/>
        </a:prstGeom>
      </xdr:spPr>
    </xdr:pic>
    <xdr:clientData/>
  </xdr:twoCellAnchor>
  <xdr:twoCellAnchor>
    <xdr:from>
      <xdr:col>9</xdr:col>
      <xdr:colOff>6350</xdr:colOff>
      <xdr:row>2681</xdr:row>
      <xdr:rowOff>25400</xdr:rowOff>
    </xdr:from>
    <xdr:to>
      <xdr:col>9</xdr:col>
      <xdr:colOff>885190</xdr:colOff>
      <xdr:row>2681</xdr:row>
      <xdr:rowOff>1209040</xdr:rowOff>
    </xdr:to>
    <xdr:pic>
      <xdr:nvPicPr>
        <xdr:cNvPr id="7259" name="Изображение 7258" descr="resizeПП-00197710"/>
        <xdr:cNvPicPr>
          <a:picLocks noChangeAspect="1"/>
        </xdr:cNvPicPr>
      </xdr:nvPicPr>
      <xdr:blipFill>
        <a:blip xmlns:r="http://schemas.openxmlformats.org/officeDocument/2006/relationships" r:embed="rId1982"/>
        <a:stretch>
          <a:fillRect/>
        </a:stretch>
      </xdr:blipFill>
      <xdr:spPr>
        <a:xfrm>
          <a:off x="7235825" y="2607179825"/>
          <a:ext cx="878840" cy="1183640"/>
        </a:xfrm>
        <a:prstGeom prst="rect">
          <a:avLst/>
        </a:prstGeom>
      </xdr:spPr>
    </xdr:pic>
    <xdr:clientData/>
  </xdr:twoCellAnchor>
  <xdr:twoCellAnchor>
    <xdr:from>
      <xdr:col>9</xdr:col>
      <xdr:colOff>6350</xdr:colOff>
      <xdr:row>2682</xdr:row>
      <xdr:rowOff>25400</xdr:rowOff>
    </xdr:from>
    <xdr:to>
      <xdr:col>9</xdr:col>
      <xdr:colOff>885190</xdr:colOff>
      <xdr:row>2682</xdr:row>
      <xdr:rowOff>1209040</xdr:rowOff>
    </xdr:to>
    <xdr:pic>
      <xdr:nvPicPr>
        <xdr:cNvPr id="7260" name="Изображение 7259" descr="resizeПП-00215006"/>
        <xdr:cNvPicPr>
          <a:picLocks noChangeAspect="1"/>
        </xdr:cNvPicPr>
      </xdr:nvPicPr>
      <xdr:blipFill>
        <a:blip xmlns:r="http://schemas.openxmlformats.org/officeDocument/2006/relationships" r:embed="rId1983"/>
        <a:stretch>
          <a:fillRect/>
        </a:stretch>
      </xdr:blipFill>
      <xdr:spPr>
        <a:xfrm>
          <a:off x="7235825" y="2608402200"/>
          <a:ext cx="878840" cy="1183640"/>
        </a:xfrm>
        <a:prstGeom prst="rect">
          <a:avLst/>
        </a:prstGeom>
      </xdr:spPr>
    </xdr:pic>
    <xdr:clientData/>
  </xdr:twoCellAnchor>
  <xdr:twoCellAnchor>
    <xdr:from>
      <xdr:col>9</xdr:col>
      <xdr:colOff>6350</xdr:colOff>
      <xdr:row>2683</xdr:row>
      <xdr:rowOff>25400</xdr:rowOff>
    </xdr:from>
    <xdr:to>
      <xdr:col>9</xdr:col>
      <xdr:colOff>885190</xdr:colOff>
      <xdr:row>2683</xdr:row>
      <xdr:rowOff>1209040</xdr:rowOff>
    </xdr:to>
    <xdr:pic>
      <xdr:nvPicPr>
        <xdr:cNvPr id="7261" name="Изображение 7260" descr="resizeПП-00260040"/>
        <xdr:cNvPicPr>
          <a:picLocks noChangeAspect="1"/>
        </xdr:cNvPicPr>
      </xdr:nvPicPr>
      <xdr:blipFill>
        <a:blip xmlns:r="http://schemas.openxmlformats.org/officeDocument/2006/relationships" r:embed="rId1984"/>
        <a:stretch>
          <a:fillRect/>
        </a:stretch>
      </xdr:blipFill>
      <xdr:spPr>
        <a:xfrm>
          <a:off x="7235825" y="2609624575"/>
          <a:ext cx="878840" cy="1183640"/>
        </a:xfrm>
        <a:prstGeom prst="rect">
          <a:avLst/>
        </a:prstGeom>
      </xdr:spPr>
    </xdr:pic>
    <xdr:clientData/>
  </xdr:twoCellAnchor>
  <xdr:twoCellAnchor>
    <xdr:from>
      <xdr:col>9</xdr:col>
      <xdr:colOff>6350</xdr:colOff>
      <xdr:row>2684</xdr:row>
      <xdr:rowOff>25400</xdr:rowOff>
    </xdr:from>
    <xdr:to>
      <xdr:col>9</xdr:col>
      <xdr:colOff>885190</xdr:colOff>
      <xdr:row>2684</xdr:row>
      <xdr:rowOff>1209040</xdr:rowOff>
    </xdr:to>
    <xdr:pic>
      <xdr:nvPicPr>
        <xdr:cNvPr id="7262" name="Изображение 7261" descr="resizeПП-00235131"/>
        <xdr:cNvPicPr>
          <a:picLocks noChangeAspect="1"/>
        </xdr:cNvPicPr>
      </xdr:nvPicPr>
      <xdr:blipFill>
        <a:blip xmlns:r="http://schemas.openxmlformats.org/officeDocument/2006/relationships" r:embed="rId1985"/>
        <a:stretch>
          <a:fillRect/>
        </a:stretch>
      </xdr:blipFill>
      <xdr:spPr>
        <a:xfrm>
          <a:off x="7235825" y="2610846950"/>
          <a:ext cx="878840" cy="1183640"/>
        </a:xfrm>
        <a:prstGeom prst="rect">
          <a:avLst/>
        </a:prstGeom>
      </xdr:spPr>
    </xdr:pic>
    <xdr:clientData/>
  </xdr:twoCellAnchor>
  <xdr:twoCellAnchor>
    <xdr:from>
      <xdr:col>9</xdr:col>
      <xdr:colOff>6350</xdr:colOff>
      <xdr:row>2685</xdr:row>
      <xdr:rowOff>25400</xdr:rowOff>
    </xdr:from>
    <xdr:to>
      <xdr:col>9</xdr:col>
      <xdr:colOff>885190</xdr:colOff>
      <xdr:row>2685</xdr:row>
      <xdr:rowOff>1209040</xdr:rowOff>
    </xdr:to>
    <xdr:pic>
      <xdr:nvPicPr>
        <xdr:cNvPr id="7263" name="Изображение 7262" descr="resizeПП-00274576"/>
        <xdr:cNvPicPr>
          <a:picLocks noChangeAspect="1"/>
        </xdr:cNvPicPr>
      </xdr:nvPicPr>
      <xdr:blipFill>
        <a:blip xmlns:r="http://schemas.openxmlformats.org/officeDocument/2006/relationships" r:embed="rId1986"/>
        <a:stretch>
          <a:fillRect/>
        </a:stretch>
      </xdr:blipFill>
      <xdr:spPr>
        <a:xfrm>
          <a:off x="7235825" y="2612069325"/>
          <a:ext cx="878840" cy="1183640"/>
        </a:xfrm>
        <a:prstGeom prst="rect">
          <a:avLst/>
        </a:prstGeom>
      </xdr:spPr>
    </xdr:pic>
    <xdr:clientData/>
  </xdr:twoCellAnchor>
  <xdr:twoCellAnchor>
    <xdr:from>
      <xdr:col>9</xdr:col>
      <xdr:colOff>6350</xdr:colOff>
      <xdr:row>2686</xdr:row>
      <xdr:rowOff>25400</xdr:rowOff>
    </xdr:from>
    <xdr:to>
      <xdr:col>9</xdr:col>
      <xdr:colOff>885190</xdr:colOff>
      <xdr:row>2686</xdr:row>
      <xdr:rowOff>1209040</xdr:rowOff>
    </xdr:to>
    <xdr:pic>
      <xdr:nvPicPr>
        <xdr:cNvPr id="7264" name="Изображение 7263" descr="resizeПП-00235133"/>
        <xdr:cNvPicPr>
          <a:picLocks noChangeAspect="1"/>
        </xdr:cNvPicPr>
      </xdr:nvPicPr>
      <xdr:blipFill>
        <a:blip xmlns:r="http://schemas.openxmlformats.org/officeDocument/2006/relationships" r:embed="rId1987"/>
        <a:stretch>
          <a:fillRect/>
        </a:stretch>
      </xdr:blipFill>
      <xdr:spPr>
        <a:xfrm>
          <a:off x="7235825" y="2613291700"/>
          <a:ext cx="878840" cy="1183640"/>
        </a:xfrm>
        <a:prstGeom prst="rect">
          <a:avLst/>
        </a:prstGeom>
      </xdr:spPr>
    </xdr:pic>
    <xdr:clientData/>
  </xdr:twoCellAnchor>
  <xdr:twoCellAnchor>
    <xdr:from>
      <xdr:col>9</xdr:col>
      <xdr:colOff>6350</xdr:colOff>
      <xdr:row>2687</xdr:row>
      <xdr:rowOff>25400</xdr:rowOff>
    </xdr:from>
    <xdr:to>
      <xdr:col>9</xdr:col>
      <xdr:colOff>885190</xdr:colOff>
      <xdr:row>2687</xdr:row>
      <xdr:rowOff>1209040</xdr:rowOff>
    </xdr:to>
    <xdr:pic>
      <xdr:nvPicPr>
        <xdr:cNvPr id="7265" name="Изображение 7264" descr="resizeПП-00274575"/>
        <xdr:cNvPicPr>
          <a:picLocks noChangeAspect="1"/>
        </xdr:cNvPicPr>
      </xdr:nvPicPr>
      <xdr:blipFill>
        <a:blip xmlns:r="http://schemas.openxmlformats.org/officeDocument/2006/relationships" r:embed="rId1988"/>
        <a:stretch>
          <a:fillRect/>
        </a:stretch>
      </xdr:blipFill>
      <xdr:spPr>
        <a:xfrm>
          <a:off x="7235825" y="2614514075"/>
          <a:ext cx="878840" cy="1183640"/>
        </a:xfrm>
        <a:prstGeom prst="rect">
          <a:avLst/>
        </a:prstGeom>
      </xdr:spPr>
    </xdr:pic>
    <xdr:clientData/>
  </xdr:twoCellAnchor>
  <xdr:twoCellAnchor>
    <xdr:from>
      <xdr:col>9</xdr:col>
      <xdr:colOff>6350</xdr:colOff>
      <xdr:row>2688</xdr:row>
      <xdr:rowOff>25400</xdr:rowOff>
    </xdr:from>
    <xdr:to>
      <xdr:col>9</xdr:col>
      <xdr:colOff>885190</xdr:colOff>
      <xdr:row>2688</xdr:row>
      <xdr:rowOff>1209040</xdr:rowOff>
    </xdr:to>
    <xdr:pic>
      <xdr:nvPicPr>
        <xdr:cNvPr id="7266" name="Изображение 7265" descr="resizeПП-00274579"/>
        <xdr:cNvPicPr>
          <a:picLocks noChangeAspect="1"/>
        </xdr:cNvPicPr>
      </xdr:nvPicPr>
      <xdr:blipFill>
        <a:blip xmlns:r="http://schemas.openxmlformats.org/officeDocument/2006/relationships" r:embed="rId1989"/>
        <a:stretch>
          <a:fillRect/>
        </a:stretch>
      </xdr:blipFill>
      <xdr:spPr>
        <a:xfrm>
          <a:off x="7235825" y="2615736450"/>
          <a:ext cx="878840" cy="1183640"/>
        </a:xfrm>
        <a:prstGeom prst="rect">
          <a:avLst/>
        </a:prstGeom>
      </xdr:spPr>
    </xdr:pic>
    <xdr:clientData/>
  </xdr:twoCellAnchor>
  <xdr:twoCellAnchor>
    <xdr:from>
      <xdr:col>9</xdr:col>
      <xdr:colOff>6350</xdr:colOff>
      <xdr:row>2689</xdr:row>
      <xdr:rowOff>25400</xdr:rowOff>
    </xdr:from>
    <xdr:to>
      <xdr:col>9</xdr:col>
      <xdr:colOff>885190</xdr:colOff>
      <xdr:row>2689</xdr:row>
      <xdr:rowOff>1209040</xdr:rowOff>
    </xdr:to>
    <xdr:pic>
      <xdr:nvPicPr>
        <xdr:cNvPr id="7267" name="Изображение 7266" descr="resizeПП-00274572"/>
        <xdr:cNvPicPr>
          <a:picLocks noChangeAspect="1"/>
        </xdr:cNvPicPr>
      </xdr:nvPicPr>
      <xdr:blipFill>
        <a:blip xmlns:r="http://schemas.openxmlformats.org/officeDocument/2006/relationships" r:embed="rId1990"/>
        <a:stretch>
          <a:fillRect/>
        </a:stretch>
      </xdr:blipFill>
      <xdr:spPr>
        <a:xfrm>
          <a:off x="7235825" y="2616958825"/>
          <a:ext cx="878840" cy="1183640"/>
        </a:xfrm>
        <a:prstGeom prst="rect">
          <a:avLst/>
        </a:prstGeom>
      </xdr:spPr>
    </xdr:pic>
    <xdr:clientData/>
  </xdr:twoCellAnchor>
  <xdr:twoCellAnchor>
    <xdr:from>
      <xdr:col>9</xdr:col>
      <xdr:colOff>6350</xdr:colOff>
      <xdr:row>2690</xdr:row>
      <xdr:rowOff>25400</xdr:rowOff>
    </xdr:from>
    <xdr:to>
      <xdr:col>9</xdr:col>
      <xdr:colOff>885190</xdr:colOff>
      <xdr:row>2690</xdr:row>
      <xdr:rowOff>1209040</xdr:rowOff>
    </xdr:to>
    <xdr:pic>
      <xdr:nvPicPr>
        <xdr:cNvPr id="7268" name="Изображение 7267" descr="resizeПП-00260037"/>
        <xdr:cNvPicPr>
          <a:picLocks noChangeAspect="1"/>
        </xdr:cNvPicPr>
      </xdr:nvPicPr>
      <xdr:blipFill>
        <a:blip xmlns:r="http://schemas.openxmlformats.org/officeDocument/2006/relationships" r:embed="rId1991"/>
        <a:stretch>
          <a:fillRect/>
        </a:stretch>
      </xdr:blipFill>
      <xdr:spPr>
        <a:xfrm>
          <a:off x="7235825" y="2618181200"/>
          <a:ext cx="878840" cy="1183640"/>
        </a:xfrm>
        <a:prstGeom prst="rect">
          <a:avLst/>
        </a:prstGeom>
      </xdr:spPr>
    </xdr:pic>
    <xdr:clientData/>
  </xdr:twoCellAnchor>
  <xdr:twoCellAnchor>
    <xdr:from>
      <xdr:col>9</xdr:col>
      <xdr:colOff>6350</xdr:colOff>
      <xdr:row>2691</xdr:row>
      <xdr:rowOff>25400</xdr:rowOff>
    </xdr:from>
    <xdr:to>
      <xdr:col>9</xdr:col>
      <xdr:colOff>885190</xdr:colOff>
      <xdr:row>2691</xdr:row>
      <xdr:rowOff>1209040</xdr:rowOff>
    </xdr:to>
    <xdr:pic>
      <xdr:nvPicPr>
        <xdr:cNvPr id="7269" name="Изображение 7268" descr="resizeПП-00274577"/>
        <xdr:cNvPicPr>
          <a:picLocks noChangeAspect="1"/>
        </xdr:cNvPicPr>
      </xdr:nvPicPr>
      <xdr:blipFill>
        <a:blip xmlns:r="http://schemas.openxmlformats.org/officeDocument/2006/relationships" r:embed="rId1992"/>
        <a:stretch>
          <a:fillRect/>
        </a:stretch>
      </xdr:blipFill>
      <xdr:spPr>
        <a:xfrm>
          <a:off x="7235825" y="2619403575"/>
          <a:ext cx="878840" cy="1183640"/>
        </a:xfrm>
        <a:prstGeom prst="rect">
          <a:avLst/>
        </a:prstGeom>
      </xdr:spPr>
    </xdr:pic>
    <xdr:clientData/>
  </xdr:twoCellAnchor>
  <xdr:twoCellAnchor>
    <xdr:from>
      <xdr:col>9</xdr:col>
      <xdr:colOff>6350</xdr:colOff>
      <xdr:row>2692</xdr:row>
      <xdr:rowOff>25400</xdr:rowOff>
    </xdr:from>
    <xdr:to>
      <xdr:col>9</xdr:col>
      <xdr:colOff>885190</xdr:colOff>
      <xdr:row>2692</xdr:row>
      <xdr:rowOff>1209040</xdr:rowOff>
    </xdr:to>
    <xdr:pic>
      <xdr:nvPicPr>
        <xdr:cNvPr id="7270" name="Изображение 7269" descr="resizeПП-00260043"/>
        <xdr:cNvPicPr>
          <a:picLocks noChangeAspect="1"/>
        </xdr:cNvPicPr>
      </xdr:nvPicPr>
      <xdr:blipFill>
        <a:blip xmlns:r="http://schemas.openxmlformats.org/officeDocument/2006/relationships" r:embed="rId1993"/>
        <a:stretch>
          <a:fillRect/>
        </a:stretch>
      </xdr:blipFill>
      <xdr:spPr>
        <a:xfrm>
          <a:off x="7235825" y="2620625950"/>
          <a:ext cx="878840" cy="1183640"/>
        </a:xfrm>
        <a:prstGeom prst="rect">
          <a:avLst/>
        </a:prstGeom>
      </xdr:spPr>
    </xdr:pic>
    <xdr:clientData/>
  </xdr:twoCellAnchor>
  <xdr:twoCellAnchor>
    <xdr:from>
      <xdr:col>9</xdr:col>
      <xdr:colOff>6350</xdr:colOff>
      <xdr:row>2693</xdr:row>
      <xdr:rowOff>25400</xdr:rowOff>
    </xdr:from>
    <xdr:to>
      <xdr:col>9</xdr:col>
      <xdr:colOff>885190</xdr:colOff>
      <xdr:row>2693</xdr:row>
      <xdr:rowOff>1209040</xdr:rowOff>
    </xdr:to>
    <xdr:pic>
      <xdr:nvPicPr>
        <xdr:cNvPr id="7271" name="Изображение 7270" descr="resizeПП-00260036"/>
        <xdr:cNvPicPr>
          <a:picLocks noChangeAspect="1"/>
        </xdr:cNvPicPr>
      </xdr:nvPicPr>
      <xdr:blipFill>
        <a:blip xmlns:r="http://schemas.openxmlformats.org/officeDocument/2006/relationships" r:embed="rId1994"/>
        <a:stretch>
          <a:fillRect/>
        </a:stretch>
      </xdr:blipFill>
      <xdr:spPr>
        <a:xfrm>
          <a:off x="7235825" y="2621848325"/>
          <a:ext cx="878840" cy="1183640"/>
        </a:xfrm>
        <a:prstGeom prst="rect">
          <a:avLst/>
        </a:prstGeom>
      </xdr:spPr>
    </xdr:pic>
    <xdr:clientData/>
  </xdr:twoCellAnchor>
  <xdr:twoCellAnchor>
    <xdr:from>
      <xdr:col>9</xdr:col>
      <xdr:colOff>6350</xdr:colOff>
      <xdr:row>2694</xdr:row>
      <xdr:rowOff>25400</xdr:rowOff>
    </xdr:from>
    <xdr:to>
      <xdr:col>9</xdr:col>
      <xdr:colOff>885190</xdr:colOff>
      <xdr:row>2694</xdr:row>
      <xdr:rowOff>1209040</xdr:rowOff>
    </xdr:to>
    <xdr:pic>
      <xdr:nvPicPr>
        <xdr:cNvPr id="7272" name="Изображение 7271" descr="resizeПП-00235134"/>
        <xdr:cNvPicPr>
          <a:picLocks noChangeAspect="1"/>
        </xdr:cNvPicPr>
      </xdr:nvPicPr>
      <xdr:blipFill>
        <a:blip xmlns:r="http://schemas.openxmlformats.org/officeDocument/2006/relationships" r:embed="rId1995"/>
        <a:stretch>
          <a:fillRect/>
        </a:stretch>
      </xdr:blipFill>
      <xdr:spPr>
        <a:xfrm>
          <a:off x="7235825" y="2623070700"/>
          <a:ext cx="878840" cy="1183640"/>
        </a:xfrm>
        <a:prstGeom prst="rect">
          <a:avLst/>
        </a:prstGeom>
      </xdr:spPr>
    </xdr:pic>
    <xdr:clientData/>
  </xdr:twoCellAnchor>
  <xdr:twoCellAnchor>
    <xdr:from>
      <xdr:col>9</xdr:col>
      <xdr:colOff>6350</xdr:colOff>
      <xdr:row>2695</xdr:row>
      <xdr:rowOff>25400</xdr:rowOff>
    </xdr:from>
    <xdr:to>
      <xdr:col>9</xdr:col>
      <xdr:colOff>885190</xdr:colOff>
      <xdr:row>2695</xdr:row>
      <xdr:rowOff>1209040</xdr:rowOff>
    </xdr:to>
    <xdr:pic>
      <xdr:nvPicPr>
        <xdr:cNvPr id="7273" name="Изображение 7272" descr="resizeПП-00260025"/>
        <xdr:cNvPicPr>
          <a:picLocks noChangeAspect="1"/>
        </xdr:cNvPicPr>
      </xdr:nvPicPr>
      <xdr:blipFill>
        <a:blip xmlns:r="http://schemas.openxmlformats.org/officeDocument/2006/relationships" r:embed="rId1996"/>
        <a:stretch>
          <a:fillRect/>
        </a:stretch>
      </xdr:blipFill>
      <xdr:spPr>
        <a:xfrm>
          <a:off x="7235825" y="2624293075"/>
          <a:ext cx="878840" cy="1183640"/>
        </a:xfrm>
        <a:prstGeom prst="rect">
          <a:avLst/>
        </a:prstGeom>
      </xdr:spPr>
    </xdr:pic>
    <xdr:clientData/>
  </xdr:twoCellAnchor>
  <xdr:twoCellAnchor>
    <xdr:from>
      <xdr:col>9</xdr:col>
      <xdr:colOff>6350</xdr:colOff>
      <xdr:row>2696</xdr:row>
      <xdr:rowOff>25400</xdr:rowOff>
    </xdr:from>
    <xdr:to>
      <xdr:col>9</xdr:col>
      <xdr:colOff>885190</xdr:colOff>
      <xdr:row>2696</xdr:row>
      <xdr:rowOff>1209040</xdr:rowOff>
    </xdr:to>
    <xdr:pic>
      <xdr:nvPicPr>
        <xdr:cNvPr id="7274" name="Изображение 7273" descr="resizeПП-00260027"/>
        <xdr:cNvPicPr>
          <a:picLocks noChangeAspect="1"/>
        </xdr:cNvPicPr>
      </xdr:nvPicPr>
      <xdr:blipFill>
        <a:blip xmlns:r="http://schemas.openxmlformats.org/officeDocument/2006/relationships" r:embed="rId1997"/>
        <a:stretch>
          <a:fillRect/>
        </a:stretch>
      </xdr:blipFill>
      <xdr:spPr>
        <a:xfrm>
          <a:off x="7235825" y="2625515450"/>
          <a:ext cx="878840" cy="1183640"/>
        </a:xfrm>
        <a:prstGeom prst="rect">
          <a:avLst/>
        </a:prstGeom>
      </xdr:spPr>
    </xdr:pic>
    <xdr:clientData/>
  </xdr:twoCellAnchor>
  <xdr:twoCellAnchor>
    <xdr:from>
      <xdr:col>9</xdr:col>
      <xdr:colOff>6350</xdr:colOff>
      <xdr:row>2697</xdr:row>
      <xdr:rowOff>25400</xdr:rowOff>
    </xdr:from>
    <xdr:to>
      <xdr:col>9</xdr:col>
      <xdr:colOff>885190</xdr:colOff>
      <xdr:row>2697</xdr:row>
      <xdr:rowOff>1209040</xdr:rowOff>
    </xdr:to>
    <xdr:pic>
      <xdr:nvPicPr>
        <xdr:cNvPr id="7275" name="Изображение 7274" descr="resizeПП-00235140"/>
        <xdr:cNvPicPr>
          <a:picLocks noChangeAspect="1"/>
        </xdr:cNvPicPr>
      </xdr:nvPicPr>
      <xdr:blipFill>
        <a:blip xmlns:r="http://schemas.openxmlformats.org/officeDocument/2006/relationships" r:embed="rId1998"/>
        <a:stretch>
          <a:fillRect/>
        </a:stretch>
      </xdr:blipFill>
      <xdr:spPr>
        <a:xfrm>
          <a:off x="7235825" y="2626737825"/>
          <a:ext cx="878840" cy="1183640"/>
        </a:xfrm>
        <a:prstGeom prst="rect">
          <a:avLst/>
        </a:prstGeom>
      </xdr:spPr>
    </xdr:pic>
    <xdr:clientData/>
  </xdr:twoCellAnchor>
  <xdr:twoCellAnchor>
    <xdr:from>
      <xdr:col>9</xdr:col>
      <xdr:colOff>6350</xdr:colOff>
      <xdr:row>2698</xdr:row>
      <xdr:rowOff>25400</xdr:rowOff>
    </xdr:from>
    <xdr:to>
      <xdr:col>9</xdr:col>
      <xdr:colOff>885190</xdr:colOff>
      <xdr:row>2698</xdr:row>
      <xdr:rowOff>1209040</xdr:rowOff>
    </xdr:to>
    <xdr:pic>
      <xdr:nvPicPr>
        <xdr:cNvPr id="7276" name="Изображение 7275" descr="resizeПП-00215009"/>
        <xdr:cNvPicPr>
          <a:picLocks noChangeAspect="1"/>
        </xdr:cNvPicPr>
      </xdr:nvPicPr>
      <xdr:blipFill>
        <a:blip xmlns:r="http://schemas.openxmlformats.org/officeDocument/2006/relationships" r:embed="rId1999"/>
        <a:stretch>
          <a:fillRect/>
        </a:stretch>
      </xdr:blipFill>
      <xdr:spPr>
        <a:xfrm>
          <a:off x="7235825" y="2627960200"/>
          <a:ext cx="878840" cy="1183640"/>
        </a:xfrm>
        <a:prstGeom prst="rect">
          <a:avLst/>
        </a:prstGeom>
      </xdr:spPr>
    </xdr:pic>
    <xdr:clientData/>
  </xdr:twoCellAnchor>
  <xdr:twoCellAnchor>
    <xdr:from>
      <xdr:col>9</xdr:col>
      <xdr:colOff>6350</xdr:colOff>
      <xdr:row>2699</xdr:row>
      <xdr:rowOff>25400</xdr:rowOff>
    </xdr:from>
    <xdr:to>
      <xdr:col>9</xdr:col>
      <xdr:colOff>885190</xdr:colOff>
      <xdr:row>2699</xdr:row>
      <xdr:rowOff>1209040</xdr:rowOff>
    </xdr:to>
    <xdr:pic>
      <xdr:nvPicPr>
        <xdr:cNvPr id="7277" name="Изображение 7276" descr="resizeПП-00235138"/>
        <xdr:cNvPicPr>
          <a:picLocks noChangeAspect="1"/>
        </xdr:cNvPicPr>
      </xdr:nvPicPr>
      <xdr:blipFill>
        <a:blip xmlns:r="http://schemas.openxmlformats.org/officeDocument/2006/relationships" r:embed="rId2000"/>
        <a:stretch>
          <a:fillRect/>
        </a:stretch>
      </xdr:blipFill>
      <xdr:spPr>
        <a:xfrm>
          <a:off x="7235825" y="2629182575"/>
          <a:ext cx="878840" cy="1183640"/>
        </a:xfrm>
        <a:prstGeom prst="rect">
          <a:avLst/>
        </a:prstGeom>
      </xdr:spPr>
    </xdr:pic>
    <xdr:clientData/>
  </xdr:twoCellAnchor>
  <xdr:twoCellAnchor>
    <xdr:from>
      <xdr:col>9</xdr:col>
      <xdr:colOff>6350</xdr:colOff>
      <xdr:row>2700</xdr:row>
      <xdr:rowOff>25400</xdr:rowOff>
    </xdr:from>
    <xdr:to>
      <xdr:col>9</xdr:col>
      <xdr:colOff>885190</xdr:colOff>
      <xdr:row>2700</xdr:row>
      <xdr:rowOff>1209040</xdr:rowOff>
    </xdr:to>
    <xdr:pic>
      <xdr:nvPicPr>
        <xdr:cNvPr id="7278" name="Изображение 7277" descr="resizeПП-00235137"/>
        <xdr:cNvPicPr>
          <a:picLocks noChangeAspect="1"/>
        </xdr:cNvPicPr>
      </xdr:nvPicPr>
      <xdr:blipFill>
        <a:blip xmlns:r="http://schemas.openxmlformats.org/officeDocument/2006/relationships" r:embed="rId2001"/>
        <a:stretch>
          <a:fillRect/>
        </a:stretch>
      </xdr:blipFill>
      <xdr:spPr>
        <a:xfrm>
          <a:off x="7235825" y="2630404950"/>
          <a:ext cx="878840" cy="1183640"/>
        </a:xfrm>
        <a:prstGeom prst="rect">
          <a:avLst/>
        </a:prstGeom>
      </xdr:spPr>
    </xdr:pic>
    <xdr:clientData/>
  </xdr:twoCellAnchor>
  <xdr:twoCellAnchor>
    <xdr:from>
      <xdr:col>9</xdr:col>
      <xdr:colOff>6350</xdr:colOff>
      <xdr:row>2702</xdr:row>
      <xdr:rowOff>25400</xdr:rowOff>
    </xdr:from>
    <xdr:to>
      <xdr:col>9</xdr:col>
      <xdr:colOff>885190</xdr:colOff>
      <xdr:row>2702</xdr:row>
      <xdr:rowOff>1209040</xdr:rowOff>
    </xdr:to>
    <xdr:pic>
      <xdr:nvPicPr>
        <xdr:cNvPr id="7279" name="Изображение 7278" descr="resizeПП-00047574"/>
        <xdr:cNvPicPr>
          <a:picLocks noChangeAspect="1"/>
        </xdr:cNvPicPr>
      </xdr:nvPicPr>
      <xdr:blipFill>
        <a:blip xmlns:r="http://schemas.openxmlformats.org/officeDocument/2006/relationships" r:embed="rId2002"/>
        <a:stretch>
          <a:fillRect/>
        </a:stretch>
      </xdr:blipFill>
      <xdr:spPr>
        <a:xfrm>
          <a:off x="7235825" y="2631779725"/>
          <a:ext cx="878840" cy="1183640"/>
        </a:xfrm>
        <a:prstGeom prst="rect">
          <a:avLst/>
        </a:prstGeom>
      </xdr:spPr>
    </xdr:pic>
    <xdr:clientData/>
  </xdr:twoCellAnchor>
  <xdr:twoCellAnchor>
    <xdr:from>
      <xdr:col>9</xdr:col>
      <xdr:colOff>6350</xdr:colOff>
      <xdr:row>2703</xdr:row>
      <xdr:rowOff>25400</xdr:rowOff>
    </xdr:from>
    <xdr:to>
      <xdr:col>9</xdr:col>
      <xdr:colOff>885190</xdr:colOff>
      <xdr:row>2703</xdr:row>
      <xdr:rowOff>1209040</xdr:rowOff>
    </xdr:to>
    <xdr:pic>
      <xdr:nvPicPr>
        <xdr:cNvPr id="7280" name="Изображение 7279" descr="resizeПП-00047580"/>
        <xdr:cNvPicPr>
          <a:picLocks noChangeAspect="1"/>
        </xdr:cNvPicPr>
      </xdr:nvPicPr>
      <xdr:blipFill>
        <a:blip xmlns:r="http://schemas.openxmlformats.org/officeDocument/2006/relationships" r:embed="rId2003"/>
        <a:stretch>
          <a:fillRect/>
        </a:stretch>
      </xdr:blipFill>
      <xdr:spPr>
        <a:xfrm>
          <a:off x="7235825" y="2633002100"/>
          <a:ext cx="878840" cy="1183640"/>
        </a:xfrm>
        <a:prstGeom prst="rect">
          <a:avLst/>
        </a:prstGeom>
      </xdr:spPr>
    </xdr:pic>
    <xdr:clientData/>
  </xdr:twoCellAnchor>
  <xdr:twoCellAnchor>
    <xdr:from>
      <xdr:col>9</xdr:col>
      <xdr:colOff>6350</xdr:colOff>
      <xdr:row>2704</xdr:row>
      <xdr:rowOff>25400</xdr:rowOff>
    </xdr:from>
    <xdr:to>
      <xdr:col>9</xdr:col>
      <xdr:colOff>885190</xdr:colOff>
      <xdr:row>2704</xdr:row>
      <xdr:rowOff>1209040</xdr:rowOff>
    </xdr:to>
    <xdr:pic>
      <xdr:nvPicPr>
        <xdr:cNvPr id="7281" name="Изображение 7280" descr="resizeПП-00047584"/>
        <xdr:cNvPicPr>
          <a:picLocks noChangeAspect="1"/>
        </xdr:cNvPicPr>
      </xdr:nvPicPr>
      <xdr:blipFill>
        <a:blip xmlns:r="http://schemas.openxmlformats.org/officeDocument/2006/relationships" r:embed="rId2004"/>
        <a:stretch>
          <a:fillRect/>
        </a:stretch>
      </xdr:blipFill>
      <xdr:spPr>
        <a:xfrm>
          <a:off x="7235825" y="2634224475"/>
          <a:ext cx="878840" cy="1183640"/>
        </a:xfrm>
        <a:prstGeom prst="rect">
          <a:avLst/>
        </a:prstGeom>
      </xdr:spPr>
    </xdr:pic>
    <xdr:clientData/>
  </xdr:twoCellAnchor>
  <xdr:twoCellAnchor>
    <xdr:from>
      <xdr:col>9</xdr:col>
      <xdr:colOff>6350</xdr:colOff>
      <xdr:row>2705</xdr:row>
      <xdr:rowOff>25400</xdr:rowOff>
    </xdr:from>
    <xdr:to>
      <xdr:col>9</xdr:col>
      <xdr:colOff>885190</xdr:colOff>
      <xdr:row>2705</xdr:row>
      <xdr:rowOff>1209040</xdr:rowOff>
    </xdr:to>
    <xdr:pic>
      <xdr:nvPicPr>
        <xdr:cNvPr id="7282" name="Изображение 7281" descr="resizeПП-00090370"/>
        <xdr:cNvPicPr>
          <a:picLocks noChangeAspect="1"/>
        </xdr:cNvPicPr>
      </xdr:nvPicPr>
      <xdr:blipFill>
        <a:blip xmlns:r="http://schemas.openxmlformats.org/officeDocument/2006/relationships" r:embed="rId2005"/>
        <a:stretch>
          <a:fillRect/>
        </a:stretch>
      </xdr:blipFill>
      <xdr:spPr>
        <a:xfrm>
          <a:off x="7235825" y="2635446850"/>
          <a:ext cx="878840" cy="1183640"/>
        </a:xfrm>
        <a:prstGeom prst="rect">
          <a:avLst/>
        </a:prstGeom>
      </xdr:spPr>
    </xdr:pic>
    <xdr:clientData/>
  </xdr:twoCellAnchor>
  <xdr:twoCellAnchor>
    <xdr:from>
      <xdr:col>9</xdr:col>
      <xdr:colOff>6350</xdr:colOff>
      <xdr:row>2706</xdr:row>
      <xdr:rowOff>25400</xdr:rowOff>
    </xdr:from>
    <xdr:to>
      <xdr:col>9</xdr:col>
      <xdr:colOff>885190</xdr:colOff>
      <xdr:row>2706</xdr:row>
      <xdr:rowOff>1209040</xdr:rowOff>
    </xdr:to>
    <xdr:pic>
      <xdr:nvPicPr>
        <xdr:cNvPr id="7283" name="Изображение 7282" descr="resizeПП-00090372"/>
        <xdr:cNvPicPr>
          <a:picLocks noChangeAspect="1"/>
        </xdr:cNvPicPr>
      </xdr:nvPicPr>
      <xdr:blipFill>
        <a:blip xmlns:r="http://schemas.openxmlformats.org/officeDocument/2006/relationships" r:embed="rId2006"/>
        <a:stretch>
          <a:fillRect/>
        </a:stretch>
      </xdr:blipFill>
      <xdr:spPr>
        <a:xfrm>
          <a:off x="7235825" y="2636669225"/>
          <a:ext cx="878840" cy="1183640"/>
        </a:xfrm>
        <a:prstGeom prst="rect">
          <a:avLst/>
        </a:prstGeom>
      </xdr:spPr>
    </xdr:pic>
    <xdr:clientData/>
  </xdr:twoCellAnchor>
  <xdr:twoCellAnchor>
    <xdr:from>
      <xdr:col>9</xdr:col>
      <xdr:colOff>6350</xdr:colOff>
      <xdr:row>2707</xdr:row>
      <xdr:rowOff>25400</xdr:rowOff>
    </xdr:from>
    <xdr:to>
      <xdr:col>9</xdr:col>
      <xdr:colOff>885190</xdr:colOff>
      <xdr:row>2707</xdr:row>
      <xdr:rowOff>1209040</xdr:rowOff>
    </xdr:to>
    <xdr:pic>
      <xdr:nvPicPr>
        <xdr:cNvPr id="7284" name="Изображение 7283" descr="resizeПП-00090373"/>
        <xdr:cNvPicPr>
          <a:picLocks noChangeAspect="1"/>
        </xdr:cNvPicPr>
      </xdr:nvPicPr>
      <xdr:blipFill>
        <a:blip xmlns:r="http://schemas.openxmlformats.org/officeDocument/2006/relationships" r:embed="rId2007"/>
        <a:stretch>
          <a:fillRect/>
        </a:stretch>
      </xdr:blipFill>
      <xdr:spPr>
        <a:xfrm>
          <a:off x="7235825" y="2637891600"/>
          <a:ext cx="878840" cy="1183640"/>
        </a:xfrm>
        <a:prstGeom prst="rect">
          <a:avLst/>
        </a:prstGeom>
      </xdr:spPr>
    </xdr:pic>
    <xdr:clientData/>
  </xdr:twoCellAnchor>
  <xdr:twoCellAnchor>
    <xdr:from>
      <xdr:col>9</xdr:col>
      <xdr:colOff>6350</xdr:colOff>
      <xdr:row>2708</xdr:row>
      <xdr:rowOff>25400</xdr:rowOff>
    </xdr:from>
    <xdr:to>
      <xdr:col>9</xdr:col>
      <xdr:colOff>885190</xdr:colOff>
      <xdr:row>2708</xdr:row>
      <xdr:rowOff>1209040</xdr:rowOff>
    </xdr:to>
    <xdr:pic>
      <xdr:nvPicPr>
        <xdr:cNvPr id="7285" name="Изображение 7284" descr="resizeПП-00047579"/>
        <xdr:cNvPicPr>
          <a:picLocks noChangeAspect="1"/>
        </xdr:cNvPicPr>
      </xdr:nvPicPr>
      <xdr:blipFill>
        <a:blip xmlns:r="http://schemas.openxmlformats.org/officeDocument/2006/relationships" r:embed="rId2008"/>
        <a:stretch>
          <a:fillRect/>
        </a:stretch>
      </xdr:blipFill>
      <xdr:spPr>
        <a:xfrm>
          <a:off x="7235825" y="2639113975"/>
          <a:ext cx="878840" cy="1183640"/>
        </a:xfrm>
        <a:prstGeom prst="rect">
          <a:avLst/>
        </a:prstGeom>
      </xdr:spPr>
    </xdr:pic>
    <xdr:clientData/>
  </xdr:twoCellAnchor>
  <xdr:twoCellAnchor>
    <xdr:from>
      <xdr:col>9</xdr:col>
      <xdr:colOff>6350</xdr:colOff>
      <xdr:row>2709</xdr:row>
      <xdr:rowOff>25400</xdr:rowOff>
    </xdr:from>
    <xdr:to>
      <xdr:col>9</xdr:col>
      <xdr:colOff>885190</xdr:colOff>
      <xdr:row>2709</xdr:row>
      <xdr:rowOff>1209040</xdr:rowOff>
    </xdr:to>
    <xdr:pic>
      <xdr:nvPicPr>
        <xdr:cNvPr id="7286" name="Изображение 7285" descr="resizeПП-00084737"/>
        <xdr:cNvPicPr>
          <a:picLocks noChangeAspect="1"/>
        </xdr:cNvPicPr>
      </xdr:nvPicPr>
      <xdr:blipFill>
        <a:blip xmlns:r="http://schemas.openxmlformats.org/officeDocument/2006/relationships" r:embed="rId2009"/>
        <a:stretch>
          <a:fillRect/>
        </a:stretch>
      </xdr:blipFill>
      <xdr:spPr>
        <a:xfrm>
          <a:off x="7235825" y="2640336350"/>
          <a:ext cx="878840" cy="1183640"/>
        </a:xfrm>
        <a:prstGeom prst="rect">
          <a:avLst/>
        </a:prstGeom>
      </xdr:spPr>
    </xdr:pic>
    <xdr:clientData/>
  </xdr:twoCellAnchor>
  <xdr:twoCellAnchor>
    <xdr:from>
      <xdr:col>9</xdr:col>
      <xdr:colOff>6350</xdr:colOff>
      <xdr:row>2711</xdr:row>
      <xdr:rowOff>25400</xdr:rowOff>
    </xdr:from>
    <xdr:to>
      <xdr:col>9</xdr:col>
      <xdr:colOff>885190</xdr:colOff>
      <xdr:row>2711</xdr:row>
      <xdr:rowOff>1209040</xdr:rowOff>
    </xdr:to>
    <xdr:pic>
      <xdr:nvPicPr>
        <xdr:cNvPr id="7287" name="Изображение 7286" descr="resizeПП-00084736"/>
        <xdr:cNvPicPr>
          <a:picLocks noChangeAspect="1"/>
        </xdr:cNvPicPr>
      </xdr:nvPicPr>
      <xdr:blipFill>
        <a:blip xmlns:r="http://schemas.openxmlformats.org/officeDocument/2006/relationships" r:embed="rId2010"/>
        <a:stretch>
          <a:fillRect/>
        </a:stretch>
      </xdr:blipFill>
      <xdr:spPr>
        <a:xfrm>
          <a:off x="7235825" y="2641711125"/>
          <a:ext cx="878840" cy="1183640"/>
        </a:xfrm>
        <a:prstGeom prst="rect">
          <a:avLst/>
        </a:prstGeom>
      </xdr:spPr>
    </xdr:pic>
    <xdr:clientData/>
  </xdr:twoCellAnchor>
  <xdr:twoCellAnchor>
    <xdr:from>
      <xdr:col>9</xdr:col>
      <xdr:colOff>6350</xdr:colOff>
      <xdr:row>2712</xdr:row>
      <xdr:rowOff>25400</xdr:rowOff>
    </xdr:from>
    <xdr:to>
      <xdr:col>9</xdr:col>
      <xdr:colOff>885190</xdr:colOff>
      <xdr:row>2712</xdr:row>
      <xdr:rowOff>1209040</xdr:rowOff>
    </xdr:to>
    <xdr:pic>
      <xdr:nvPicPr>
        <xdr:cNvPr id="7288" name="Изображение 7287" descr="resizeПП-00215750"/>
        <xdr:cNvPicPr>
          <a:picLocks noChangeAspect="1"/>
        </xdr:cNvPicPr>
      </xdr:nvPicPr>
      <xdr:blipFill>
        <a:blip xmlns:r="http://schemas.openxmlformats.org/officeDocument/2006/relationships" r:embed="rId2011"/>
        <a:stretch>
          <a:fillRect/>
        </a:stretch>
      </xdr:blipFill>
      <xdr:spPr>
        <a:xfrm>
          <a:off x="7235825" y="2642933500"/>
          <a:ext cx="878840" cy="1183640"/>
        </a:xfrm>
        <a:prstGeom prst="rect">
          <a:avLst/>
        </a:prstGeom>
      </xdr:spPr>
    </xdr:pic>
    <xdr:clientData/>
  </xdr:twoCellAnchor>
  <xdr:twoCellAnchor>
    <xdr:from>
      <xdr:col>9</xdr:col>
      <xdr:colOff>6350</xdr:colOff>
      <xdr:row>2713</xdr:row>
      <xdr:rowOff>25400</xdr:rowOff>
    </xdr:from>
    <xdr:to>
      <xdr:col>9</xdr:col>
      <xdr:colOff>885190</xdr:colOff>
      <xdr:row>2713</xdr:row>
      <xdr:rowOff>1209040</xdr:rowOff>
    </xdr:to>
    <xdr:pic>
      <xdr:nvPicPr>
        <xdr:cNvPr id="7289" name="Изображение 7288" descr="resizeПП-00215752"/>
        <xdr:cNvPicPr>
          <a:picLocks noChangeAspect="1"/>
        </xdr:cNvPicPr>
      </xdr:nvPicPr>
      <xdr:blipFill>
        <a:blip xmlns:r="http://schemas.openxmlformats.org/officeDocument/2006/relationships" r:embed="rId2012"/>
        <a:stretch>
          <a:fillRect/>
        </a:stretch>
      </xdr:blipFill>
      <xdr:spPr>
        <a:xfrm>
          <a:off x="7235825" y="2644155875"/>
          <a:ext cx="878840" cy="1183640"/>
        </a:xfrm>
        <a:prstGeom prst="rect">
          <a:avLst/>
        </a:prstGeom>
      </xdr:spPr>
    </xdr:pic>
    <xdr:clientData/>
  </xdr:twoCellAnchor>
  <xdr:twoCellAnchor>
    <xdr:from>
      <xdr:col>9</xdr:col>
      <xdr:colOff>6350</xdr:colOff>
      <xdr:row>2715</xdr:row>
      <xdr:rowOff>25400</xdr:rowOff>
    </xdr:from>
    <xdr:to>
      <xdr:col>9</xdr:col>
      <xdr:colOff>885190</xdr:colOff>
      <xdr:row>2715</xdr:row>
      <xdr:rowOff>1209040</xdr:rowOff>
    </xdr:to>
    <xdr:pic>
      <xdr:nvPicPr>
        <xdr:cNvPr id="7290" name="Изображение 7289" descr="resizeПП-00234686"/>
        <xdr:cNvPicPr>
          <a:picLocks noChangeAspect="1"/>
        </xdr:cNvPicPr>
      </xdr:nvPicPr>
      <xdr:blipFill>
        <a:blip xmlns:r="http://schemas.openxmlformats.org/officeDocument/2006/relationships" r:embed="rId2013"/>
        <a:stretch>
          <a:fillRect/>
        </a:stretch>
      </xdr:blipFill>
      <xdr:spPr>
        <a:xfrm>
          <a:off x="7235825" y="2645530650"/>
          <a:ext cx="878840" cy="1183640"/>
        </a:xfrm>
        <a:prstGeom prst="rect">
          <a:avLst/>
        </a:prstGeom>
      </xdr:spPr>
    </xdr:pic>
    <xdr:clientData/>
  </xdr:twoCellAnchor>
  <xdr:twoCellAnchor>
    <xdr:from>
      <xdr:col>9</xdr:col>
      <xdr:colOff>6350</xdr:colOff>
      <xdr:row>2716</xdr:row>
      <xdr:rowOff>25400</xdr:rowOff>
    </xdr:from>
    <xdr:to>
      <xdr:col>9</xdr:col>
      <xdr:colOff>885190</xdr:colOff>
      <xdr:row>2716</xdr:row>
      <xdr:rowOff>1209040</xdr:rowOff>
    </xdr:to>
    <xdr:pic>
      <xdr:nvPicPr>
        <xdr:cNvPr id="7291" name="Изображение 7290" descr="resizeПП-00234683"/>
        <xdr:cNvPicPr>
          <a:picLocks noChangeAspect="1"/>
        </xdr:cNvPicPr>
      </xdr:nvPicPr>
      <xdr:blipFill>
        <a:blip xmlns:r="http://schemas.openxmlformats.org/officeDocument/2006/relationships" r:embed="rId2014"/>
        <a:stretch>
          <a:fillRect/>
        </a:stretch>
      </xdr:blipFill>
      <xdr:spPr>
        <a:xfrm>
          <a:off x="7235825" y="2646753025"/>
          <a:ext cx="878840" cy="1183640"/>
        </a:xfrm>
        <a:prstGeom prst="rect">
          <a:avLst/>
        </a:prstGeom>
      </xdr:spPr>
    </xdr:pic>
    <xdr:clientData/>
  </xdr:twoCellAnchor>
  <xdr:twoCellAnchor>
    <xdr:from>
      <xdr:col>9</xdr:col>
      <xdr:colOff>6350</xdr:colOff>
      <xdr:row>2717</xdr:row>
      <xdr:rowOff>25400</xdr:rowOff>
    </xdr:from>
    <xdr:to>
      <xdr:col>9</xdr:col>
      <xdr:colOff>885190</xdr:colOff>
      <xdr:row>2717</xdr:row>
      <xdr:rowOff>1209040</xdr:rowOff>
    </xdr:to>
    <xdr:pic>
      <xdr:nvPicPr>
        <xdr:cNvPr id="7292" name="Изображение 7291" descr="resizeПП-00234685"/>
        <xdr:cNvPicPr>
          <a:picLocks noChangeAspect="1"/>
        </xdr:cNvPicPr>
      </xdr:nvPicPr>
      <xdr:blipFill>
        <a:blip xmlns:r="http://schemas.openxmlformats.org/officeDocument/2006/relationships" r:embed="rId2015"/>
        <a:stretch>
          <a:fillRect/>
        </a:stretch>
      </xdr:blipFill>
      <xdr:spPr>
        <a:xfrm>
          <a:off x="7235825" y="2647975400"/>
          <a:ext cx="878840" cy="1183640"/>
        </a:xfrm>
        <a:prstGeom prst="rect">
          <a:avLst/>
        </a:prstGeom>
      </xdr:spPr>
    </xdr:pic>
    <xdr:clientData/>
  </xdr:twoCellAnchor>
  <xdr:twoCellAnchor>
    <xdr:from>
      <xdr:col>9</xdr:col>
      <xdr:colOff>6350</xdr:colOff>
      <xdr:row>2718</xdr:row>
      <xdr:rowOff>25400</xdr:rowOff>
    </xdr:from>
    <xdr:to>
      <xdr:col>9</xdr:col>
      <xdr:colOff>885190</xdr:colOff>
      <xdr:row>2718</xdr:row>
      <xdr:rowOff>1209040</xdr:rowOff>
    </xdr:to>
    <xdr:pic>
      <xdr:nvPicPr>
        <xdr:cNvPr id="7293" name="Изображение 7292" descr="resizeПП-00234681"/>
        <xdr:cNvPicPr>
          <a:picLocks noChangeAspect="1"/>
        </xdr:cNvPicPr>
      </xdr:nvPicPr>
      <xdr:blipFill>
        <a:blip xmlns:r="http://schemas.openxmlformats.org/officeDocument/2006/relationships" r:embed="rId2016"/>
        <a:stretch>
          <a:fillRect/>
        </a:stretch>
      </xdr:blipFill>
      <xdr:spPr>
        <a:xfrm>
          <a:off x="7235825" y="2649197775"/>
          <a:ext cx="878840" cy="1183640"/>
        </a:xfrm>
        <a:prstGeom prst="rect">
          <a:avLst/>
        </a:prstGeom>
      </xdr:spPr>
    </xdr:pic>
    <xdr:clientData/>
  </xdr:twoCellAnchor>
  <xdr:twoCellAnchor>
    <xdr:from>
      <xdr:col>9</xdr:col>
      <xdr:colOff>6350</xdr:colOff>
      <xdr:row>2719</xdr:row>
      <xdr:rowOff>25400</xdr:rowOff>
    </xdr:from>
    <xdr:to>
      <xdr:col>9</xdr:col>
      <xdr:colOff>885190</xdr:colOff>
      <xdr:row>2719</xdr:row>
      <xdr:rowOff>1209040</xdr:rowOff>
    </xdr:to>
    <xdr:pic>
      <xdr:nvPicPr>
        <xdr:cNvPr id="7294" name="Изображение 7293" descr="resizeПП-00234682"/>
        <xdr:cNvPicPr>
          <a:picLocks noChangeAspect="1"/>
        </xdr:cNvPicPr>
      </xdr:nvPicPr>
      <xdr:blipFill>
        <a:blip xmlns:r="http://schemas.openxmlformats.org/officeDocument/2006/relationships" r:embed="rId2017"/>
        <a:stretch>
          <a:fillRect/>
        </a:stretch>
      </xdr:blipFill>
      <xdr:spPr>
        <a:xfrm>
          <a:off x="7235825" y="2650420150"/>
          <a:ext cx="878840" cy="1183640"/>
        </a:xfrm>
        <a:prstGeom prst="rect">
          <a:avLst/>
        </a:prstGeom>
      </xdr:spPr>
    </xdr:pic>
    <xdr:clientData/>
  </xdr:twoCellAnchor>
  <xdr:twoCellAnchor>
    <xdr:from>
      <xdr:col>9</xdr:col>
      <xdr:colOff>6350</xdr:colOff>
      <xdr:row>2720</xdr:row>
      <xdr:rowOff>25400</xdr:rowOff>
    </xdr:from>
    <xdr:to>
      <xdr:col>9</xdr:col>
      <xdr:colOff>885190</xdr:colOff>
      <xdr:row>2720</xdr:row>
      <xdr:rowOff>1209040</xdr:rowOff>
    </xdr:to>
    <xdr:pic>
      <xdr:nvPicPr>
        <xdr:cNvPr id="7295" name="Изображение 7294" descr="resizeПП-00234660"/>
        <xdr:cNvPicPr>
          <a:picLocks noChangeAspect="1"/>
        </xdr:cNvPicPr>
      </xdr:nvPicPr>
      <xdr:blipFill>
        <a:blip xmlns:r="http://schemas.openxmlformats.org/officeDocument/2006/relationships" r:embed="rId2018"/>
        <a:stretch>
          <a:fillRect/>
        </a:stretch>
      </xdr:blipFill>
      <xdr:spPr>
        <a:xfrm>
          <a:off x="7235825" y="2651642525"/>
          <a:ext cx="878840" cy="1183640"/>
        </a:xfrm>
        <a:prstGeom prst="rect">
          <a:avLst/>
        </a:prstGeom>
      </xdr:spPr>
    </xdr:pic>
    <xdr:clientData/>
  </xdr:twoCellAnchor>
  <xdr:twoCellAnchor>
    <xdr:from>
      <xdr:col>9</xdr:col>
      <xdr:colOff>6350</xdr:colOff>
      <xdr:row>2721</xdr:row>
      <xdr:rowOff>25400</xdr:rowOff>
    </xdr:from>
    <xdr:to>
      <xdr:col>9</xdr:col>
      <xdr:colOff>885190</xdr:colOff>
      <xdr:row>2721</xdr:row>
      <xdr:rowOff>1209040</xdr:rowOff>
    </xdr:to>
    <xdr:pic>
      <xdr:nvPicPr>
        <xdr:cNvPr id="7296" name="Изображение 7295" descr="resizeПП-00234659"/>
        <xdr:cNvPicPr>
          <a:picLocks noChangeAspect="1"/>
        </xdr:cNvPicPr>
      </xdr:nvPicPr>
      <xdr:blipFill>
        <a:blip xmlns:r="http://schemas.openxmlformats.org/officeDocument/2006/relationships" r:embed="rId2019"/>
        <a:stretch>
          <a:fillRect/>
        </a:stretch>
      </xdr:blipFill>
      <xdr:spPr>
        <a:xfrm>
          <a:off x="7235825" y="2652864900"/>
          <a:ext cx="878840" cy="1183640"/>
        </a:xfrm>
        <a:prstGeom prst="rect">
          <a:avLst/>
        </a:prstGeom>
      </xdr:spPr>
    </xdr:pic>
    <xdr:clientData/>
  </xdr:twoCellAnchor>
  <xdr:twoCellAnchor>
    <xdr:from>
      <xdr:col>9</xdr:col>
      <xdr:colOff>6350</xdr:colOff>
      <xdr:row>2722</xdr:row>
      <xdr:rowOff>25400</xdr:rowOff>
    </xdr:from>
    <xdr:to>
      <xdr:col>9</xdr:col>
      <xdr:colOff>885190</xdr:colOff>
      <xdr:row>2722</xdr:row>
      <xdr:rowOff>1209040</xdr:rowOff>
    </xdr:to>
    <xdr:pic>
      <xdr:nvPicPr>
        <xdr:cNvPr id="7297" name="Изображение 7296" descr="resizeПП-00234677"/>
        <xdr:cNvPicPr>
          <a:picLocks noChangeAspect="1"/>
        </xdr:cNvPicPr>
      </xdr:nvPicPr>
      <xdr:blipFill>
        <a:blip xmlns:r="http://schemas.openxmlformats.org/officeDocument/2006/relationships" r:embed="rId2020"/>
        <a:stretch>
          <a:fillRect/>
        </a:stretch>
      </xdr:blipFill>
      <xdr:spPr>
        <a:xfrm>
          <a:off x="7235825" y="2654087275"/>
          <a:ext cx="878840" cy="1183640"/>
        </a:xfrm>
        <a:prstGeom prst="rect">
          <a:avLst/>
        </a:prstGeom>
      </xdr:spPr>
    </xdr:pic>
    <xdr:clientData/>
  </xdr:twoCellAnchor>
  <xdr:twoCellAnchor>
    <xdr:from>
      <xdr:col>9</xdr:col>
      <xdr:colOff>6350</xdr:colOff>
      <xdr:row>2723</xdr:row>
      <xdr:rowOff>25400</xdr:rowOff>
    </xdr:from>
    <xdr:to>
      <xdr:col>9</xdr:col>
      <xdr:colOff>885190</xdr:colOff>
      <xdr:row>2723</xdr:row>
      <xdr:rowOff>1209040</xdr:rowOff>
    </xdr:to>
    <xdr:pic>
      <xdr:nvPicPr>
        <xdr:cNvPr id="7298" name="Изображение 7297" descr="resizeПП-00234668"/>
        <xdr:cNvPicPr>
          <a:picLocks noChangeAspect="1"/>
        </xdr:cNvPicPr>
      </xdr:nvPicPr>
      <xdr:blipFill>
        <a:blip xmlns:r="http://schemas.openxmlformats.org/officeDocument/2006/relationships" r:embed="rId2021"/>
        <a:stretch>
          <a:fillRect/>
        </a:stretch>
      </xdr:blipFill>
      <xdr:spPr>
        <a:xfrm>
          <a:off x="7235825" y="2655309650"/>
          <a:ext cx="878840" cy="1183640"/>
        </a:xfrm>
        <a:prstGeom prst="rect">
          <a:avLst/>
        </a:prstGeom>
      </xdr:spPr>
    </xdr:pic>
    <xdr:clientData/>
  </xdr:twoCellAnchor>
  <xdr:twoCellAnchor>
    <xdr:from>
      <xdr:col>9</xdr:col>
      <xdr:colOff>6350</xdr:colOff>
      <xdr:row>2724</xdr:row>
      <xdr:rowOff>25400</xdr:rowOff>
    </xdr:from>
    <xdr:to>
      <xdr:col>9</xdr:col>
      <xdr:colOff>885190</xdr:colOff>
      <xdr:row>2724</xdr:row>
      <xdr:rowOff>1209040</xdr:rowOff>
    </xdr:to>
    <xdr:pic>
      <xdr:nvPicPr>
        <xdr:cNvPr id="7299" name="Изображение 7298" descr="resizeПП-00234666"/>
        <xdr:cNvPicPr>
          <a:picLocks noChangeAspect="1"/>
        </xdr:cNvPicPr>
      </xdr:nvPicPr>
      <xdr:blipFill>
        <a:blip xmlns:r="http://schemas.openxmlformats.org/officeDocument/2006/relationships" r:embed="rId2022"/>
        <a:stretch>
          <a:fillRect/>
        </a:stretch>
      </xdr:blipFill>
      <xdr:spPr>
        <a:xfrm>
          <a:off x="7235825" y="2656532025"/>
          <a:ext cx="878840" cy="1183640"/>
        </a:xfrm>
        <a:prstGeom prst="rect">
          <a:avLst/>
        </a:prstGeom>
      </xdr:spPr>
    </xdr:pic>
    <xdr:clientData/>
  </xdr:twoCellAnchor>
  <xdr:twoCellAnchor>
    <xdr:from>
      <xdr:col>9</xdr:col>
      <xdr:colOff>6350</xdr:colOff>
      <xdr:row>2725</xdr:row>
      <xdr:rowOff>25400</xdr:rowOff>
    </xdr:from>
    <xdr:to>
      <xdr:col>9</xdr:col>
      <xdr:colOff>885190</xdr:colOff>
      <xdr:row>2725</xdr:row>
      <xdr:rowOff>1209040</xdr:rowOff>
    </xdr:to>
    <xdr:pic>
      <xdr:nvPicPr>
        <xdr:cNvPr id="7300" name="Изображение 7299" descr="resizeПП-00234667"/>
        <xdr:cNvPicPr>
          <a:picLocks noChangeAspect="1"/>
        </xdr:cNvPicPr>
      </xdr:nvPicPr>
      <xdr:blipFill>
        <a:blip xmlns:r="http://schemas.openxmlformats.org/officeDocument/2006/relationships" r:embed="rId2023"/>
        <a:stretch>
          <a:fillRect/>
        </a:stretch>
      </xdr:blipFill>
      <xdr:spPr>
        <a:xfrm>
          <a:off x="7235825" y="2657754400"/>
          <a:ext cx="878840" cy="1183640"/>
        </a:xfrm>
        <a:prstGeom prst="rect">
          <a:avLst/>
        </a:prstGeom>
      </xdr:spPr>
    </xdr:pic>
    <xdr:clientData/>
  </xdr:twoCellAnchor>
  <xdr:twoCellAnchor>
    <xdr:from>
      <xdr:col>9</xdr:col>
      <xdr:colOff>6350</xdr:colOff>
      <xdr:row>2729</xdr:row>
      <xdr:rowOff>25400</xdr:rowOff>
    </xdr:from>
    <xdr:to>
      <xdr:col>9</xdr:col>
      <xdr:colOff>885190</xdr:colOff>
      <xdr:row>2729</xdr:row>
      <xdr:rowOff>1209040</xdr:rowOff>
    </xdr:to>
    <xdr:pic>
      <xdr:nvPicPr>
        <xdr:cNvPr id="7301" name="Изображение 7300" descr="resizeПП-00047590"/>
        <xdr:cNvPicPr>
          <a:picLocks noChangeAspect="1"/>
        </xdr:cNvPicPr>
      </xdr:nvPicPr>
      <xdr:blipFill>
        <a:blip xmlns:r="http://schemas.openxmlformats.org/officeDocument/2006/relationships" r:embed="rId2024"/>
        <a:stretch>
          <a:fillRect/>
        </a:stretch>
      </xdr:blipFill>
      <xdr:spPr>
        <a:xfrm>
          <a:off x="7235825" y="2659433975"/>
          <a:ext cx="878840" cy="1183640"/>
        </a:xfrm>
        <a:prstGeom prst="rect">
          <a:avLst/>
        </a:prstGeom>
      </xdr:spPr>
    </xdr:pic>
    <xdr:clientData/>
  </xdr:twoCellAnchor>
  <xdr:twoCellAnchor>
    <xdr:from>
      <xdr:col>9</xdr:col>
      <xdr:colOff>6350</xdr:colOff>
      <xdr:row>2730</xdr:row>
      <xdr:rowOff>25400</xdr:rowOff>
    </xdr:from>
    <xdr:to>
      <xdr:col>9</xdr:col>
      <xdr:colOff>885190</xdr:colOff>
      <xdr:row>2730</xdr:row>
      <xdr:rowOff>1209040</xdr:rowOff>
    </xdr:to>
    <xdr:pic>
      <xdr:nvPicPr>
        <xdr:cNvPr id="7302" name="Изображение 7301" descr="resizeПП-00047588"/>
        <xdr:cNvPicPr>
          <a:picLocks noChangeAspect="1"/>
        </xdr:cNvPicPr>
      </xdr:nvPicPr>
      <xdr:blipFill>
        <a:blip xmlns:r="http://schemas.openxmlformats.org/officeDocument/2006/relationships" r:embed="rId2025"/>
        <a:stretch>
          <a:fillRect/>
        </a:stretch>
      </xdr:blipFill>
      <xdr:spPr>
        <a:xfrm>
          <a:off x="7235825" y="2660656350"/>
          <a:ext cx="878840" cy="1183640"/>
        </a:xfrm>
        <a:prstGeom prst="rect">
          <a:avLst/>
        </a:prstGeom>
      </xdr:spPr>
    </xdr:pic>
    <xdr:clientData/>
  </xdr:twoCellAnchor>
  <xdr:twoCellAnchor>
    <xdr:from>
      <xdr:col>9</xdr:col>
      <xdr:colOff>6350</xdr:colOff>
      <xdr:row>2731</xdr:row>
      <xdr:rowOff>25400</xdr:rowOff>
    </xdr:from>
    <xdr:to>
      <xdr:col>9</xdr:col>
      <xdr:colOff>885190</xdr:colOff>
      <xdr:row>2731</xdr:row>
      <xdr:rowOff>1209040</xdr:rowOff>
    </xdr:to>
    <xdr:pic>
      <xdr:nvPicPr>
        <xdr:cNvPr id="7303" name="Изображение 7302" descr="resizeПП-00071906"/>
        <xdr:cNvPicPr>
          <a:picLocks noChangeAspect="1"/>
        </xdr:cNvPicPr>
      </xdr:nvPicPr>
      <xdr:blipFill>
        <a:blip xmlns:r="http://schemas.openxmlformats.org/officeDocument/2006/relationships" r:embed="rId2026"/>
        <a:stretch>
          <a:fillRect/>
        </a:stretch>
      </xdr:blipFill>
      <xdr:spPr>
        <a:xfrm>
          <a:off x="7235825" y="2661878725"/>
          <a:ext cx="878840" cy="1183640"/>
        </a:xfrm>
        <a:prstGeom prst="rect">
          <a:avLst/>
        </a:prstGeom>
      </xdr:spPr>
    </xdr:pic>
    <xdr:clientData/>
  </xdr:twoCellAnchor>
  <xdr:twoCellAnchor>
    <xdr:from>
      <xdr:col>9</xdr:col>
      <xdr:colOff>6350</xdr:colOff>
      <xdr:row>2732</xdr:row>
      <xdr:rowOff>25400</xdr:rowOff>
    </xdr:from>
    <xdr:to>
      <xdr:col>9</xdr:col>
      <xdr:colOff>885190</xdr:colOff>
      <xdr:row>2732</xdr:row>
      <xdr:rowOff>1209040</xdr:rowOff>
    </xdr:to>
    <xdr:pic>
      <xdr:nvPicPr>
        <xdr:cNvPr id="7304" name="Изображение 7303" descr="resizeПП-00047587"/>
        <xdr:cNvPicPr>
          <a:picLocks noChangeAspect="1"/>
        </xdr:cNvPicPr>
      </xdr:nvPicPr>
      <xdr:blipFill>
        <a:blip xmlns:r="http://schemas.openxmlformats.org/officeDocument/2006/relationships" r:embed="rId2027"/>
        <a:stretch>
          <a:fillRect/>
        </a:stretch>
      </xdr:blipFill>
      <xdr:spPr>
        <a:xfrm>
          <a:off x="7235825" y="2663101100"/>
          <a:ext cx="878840" cy="1183640"/>
        </a:xfrm>
        <a:prstGeom prst="rect">
          <a:avLst/>
        </a:prstGeom>
      </xdr:spPr>
    </xdr:pic>
    <xdr:clientData/>
  </xdr:twoCellAnchor>
  <xdr:twoCellAnchor>
    <xdr:from>
      <xdr:col>9</xdr:col>
      <xdr:colOff>6350</xdr:colOff>
      <xdr:row>2734</xdr:row>
      <xdr:rowOff>25400</xdr:rowOff>
    </xdr:from>
    <xdr:to>
      <xdr:col>9</xdr:col>
      <xdr:colOff>885190</xdr:colOff>
      <xdr:row>2734</xdr:row>
      <xdr:rowOff>1209040</xdr:rowOff>
    </xdr:to>
    <xdr:pic>
      <xdr:nvPicPr>
        <xdr:cNvPr id="7305" name="Изображение 7304" descr="resizeПП-00252495"/>
        <xdr:cNvPicPr>
          <a:picLocks noChangeAspect="1"/>
        </xdr:cNvPicPr>
      </xdr:nvPicPr>
      <xdr:blipFill>
        <a:blip xmlns:r="http://schemas.openxmlformats.org/officeDocument/2006/relationships" r:embed="rId2028"/>
        <a:stretch>
          <a:fillRect/>
        </a:stretch>
      </xdr:blipFill>
      <xdr:spPr>
        <a:xfrm>
          <a:off x="7235825" y="2664475875"/>
          <a:ext cx="878840" cy="1183640"/>
        </a:xfrm>
        <a:prstGeom prst="rect">
          <a:avLst/>
        </a:prstGeom>
      </xdr:spPr>
    </xdr:pic>
    <xdr:clientData/>
  </xdr:twoCellAnchor>
  <xdr:twoCellAnchor>
    <xdr:from>
      <xdr:col>9</xdr:col>
      <xdr:colOff>6350</xdr:colOff>
      <xdr:row>2735</xdr:row>
      <xdr:rowOff>25400</xdr:rowOff>
    </xdr:from>
    <xdr:to>
      <xdr:col>9</xdr:col>
      <xdr:colOff>885190</xdr:colOff>
      <xdr:row>2735</xdr:row>
      <xdr:rowOff>1209040</xdr:rowOff>
    </xdr:to>
    <xdr:pic>
      <xdr:nvPicPr>
        <xdr:cNvPr id="7306" name="Изображение 7305" descr="resizeПП-00221128"/>
        <xdr:cNvPicPr>
          <a:picLocks noChangeAspect="1"/>
        </xdr:cNvPicPr>
      </xdr:nvPicPr>
      <xdr:blipFill>
        <a:blip xmlns:r="http://schemas.openxmlformats.org/officeDocument/2006/relationships" r:embed="rId2029"/>
        <a:stretch>
          <a:fillRect/>
        </a:stretch>
      </xdr:blipFill>
      <xdr:spPr>
        <a:xfrm>
          <a:off x="7235825" y="2665698250"/>
          <a:ext cx="878840" cy="1183640"/>
        </a:xfrm>
        <a:prstGeom prst="rect">
          <a:avLst/>
        </a:prstGeom>
      </xdr:spPr>
    </xdr:pic>
    <xdr:clientData/>
  </xdr:twoCellAnchor>
  <xdr:twoCellAnchor>
    <xdr:from>
      <xdr:col>9</xdr:col>
      <xdr:colOff>6350</xdr:colOff>
      <xdr:row>2736</xdr:row>
      <xdr:rowOff>25400</xdr:rowOff>
    </xdr:from>
    <xdr:to>
      <xdr:col>9</xdr:col>
      <xdr:colOff>885190</xdr:colOff>
      <xdr:row>2736</xdr:row>
      <xdr:rowOff>1209040</xdr:rowOff>
    </xdr:to>
    <xdr:pic>
      <xdr:nvPicPr>
        <xdr:cNvPr id="7307" name="Изображение 7306" descr="resizeПП-00252497"/>
        <xdr:cNvPicPr>
          <a:picLocks noChangeAspect="1"/>
        </xdr:cNvPicPr>
      </xdr:nvPicPr>
      <xdr:blipFill>
        <a:blip xmlns:r="http://schemas.openxmlformats.org/officeDocument/2006/relationships" r:embed="rId2030"/>
        <a:stretch>
          <a:fillRect/>
        </a:stretch>
      </xdr:blipFill>
      <xdr:spPr>
        <a:xfrm>
          <a:off x="7235825" y="2666920625"/>
          <a:ext cx="878840" cy="1183640"/>
        </a:xfrm>
        <a:prstGeom prst="rect">
          <a:avLst/>
        </a:prstGeom>
      </xdr:spPr>
    </xdr:pic>
    <xdr:clientData/>
  </xdr:twoCellAnchor>
  <xdr:twoCellAnchor>
    <xdr:from>
      <xdr:col>9</xdr:col>
      <xdr:colOff>6350</xdr:colOff>
      <xdr:row>2737</xdr:row>
      <xdr:rowOff>25400</xdr:rowOff>
    </xdr:from>
    <xdr:to>
      <xdr:col>9</xdr:col>
      <xdr:colOff>885190</xdr:colOff>
      <xdr:row>2737</xdr:row>
      <xdr:rowOff>1209040</xdr:rowOff>
    </xdr:to>
    <xdr:pic>
      <xdr:nvPicPr>
        <xdr:cNvPr id="7308" name="Изображение 7307" descr="resizeПП-00252498"/>
        <xdr:cNvPicPr>
          <a:picLocks noChangeAspect="1"/>
        </xdr:cNvPicPr>
      </xdr:nvPicPr>
      <xdr:blipFill>
        <a:blip xmlns:r="http://schemas.openxmlformats.org/officeDocument/2006/relationships" r:embed="rId2031"/>
        <a:stretch>
          <a:fillRect/>
        </a:stretch>
      </xdr:blipFill>
      <xdr:spPr>
        <a:xfrm>
          <a:off x="7235825" y="2668143000"/>
          <a:ext cx="878840" cy="1183640"/>
        </a:xfrm>
        <a:prstGeom prst="rect">
          <a:avLst/>
        </a:prstGeom>
      </xdr:spPr>
    </xdr:pic>
    <xdr:clientData/>
  </xdr:twoCellAnchor>
  <xdr:twoCellAnchor>
    <xdr:from>
      <xdr:col>9</xdr:col>
      <xdr:colOff>6350</xdr:colOff>
      <xdr:row>2738</xdr:row>
      <xdr:rowOff>25400</xdr:rowOff>
    </xdr:from>
    <xdr:to>
      <xdr:col>9</xdr:col>
      <xdr:colOff>885190</xdr:colOff>
      <xdr:row>2738</xdr:row>
      <xdr:rowOff>1209040</xdr:rowOff>
    </xdr:to>
    <xdr:pic>
      <xdr:nvPicPr>
        <xdr:cNvPr id="7309" name="Изображение 7308" descr="resizeПП-00252496"/>
        <xdr:cNvPicPr>
          <a:picLocks noChangeAspect="1"/>
        </xdr:cNvPicPr>
      </xdr:nvPicPr>
      <xdr:blipFill>
        <a:blip xmlns:r="http://schemas.openxmlformats.org/officeDocument/2006/relationships" r:embed="rId2032"/>
        <a:stretch>
          <a:fillRect/>
        </a:stretch>
      </xdr:blipFill>
      <xdr:spPr>
        <a:xfrm>
          <a:off x="7235825" y="2669365375"/>
          <a:ext cx="878840" cy="1183640"/>
        </a:xfrm>
        <a:prstGeom prst="rect">
          <a:avLst/>
        </a:prstGeom>
      </xdr:spPr>
    </xdr:pic>
    <xdr:clientData/>
  </xdr:twoCellAnchor>
  <xdr:twoCellAnchor>
    <xdr:from>
      <xdr:col>9</xdr:col>
      <xdr:colOff>6350</xdr:colOff>
      <xdr:row>2740</xdr:row>
      <xdr:rowOff>25400</xdr:rowOff>
    </xdr:from>
    <xdr:to>
      <xdr:col>9</xdr:col>
      <xdr:colOff>885190</xdr:colOff>
      <xdr:row>2740</xdr:row>
      <xdr:rowOff>1209040</xdr:rowOff>
    </xdr:to>
    <xdr:pic>
      <xdr:nvPicPr>
        <xdr:cNvPr id="7310" name="Изображение 7309" descr="resizeПП-00259185"/>
        <xdr:cNvPicPr>
          <a:picLocks noChangeAspect="1"/>
        </xdr:cNvPicPr>
      </xdr:nvPicPr>
      <xdr:blipFill>
        <a:blip xmlns:r="http://schemas.openxmlformats.org/officeDocument/2006/relationships" r:embed="rId2033"/>
        <a:stretch>
          <a:fillRect/>
        </a:stretch>
      </xdr:blipFill>
      <xdr:spPr>
        <a:xfrm>
          <a:off x="7235825" y="2670740150"/>
          <a:ext cx="878840" cy="1183640"/>
        </a:xfrm>
        <a:prstGeom prst="rect">
          <a:avLst/>
        </a:prstGeom>
      </xdr:spPr>
    </xdr:pic>
    <xdr:clientData/>
  </xdr:twoCellAnchor>
  <xdr:twoCellAnchor>
    <xdr:from>
      <xdr:col>9</xdr:col>
      <xdr:colOff>6350</xdr:colOff>
      <xdr:row>2741</xdr:row>
      <xdr:rowOff>25400</xdr:rowOff>
    </xdr:from>
    <xdr:to>
      <xdr:col>9</xdr:col>
      <xdr:colOff>885190</xdr:colOff>
      <xdr:row>2741</xdr:row>
      <xdr:rowOff>1209040</xdr:rowOff>
    </xdr:to>
    <xdr:pic>
      <xdr:nvPicPr>
        <xdr:cNvPr id="7311" name="Изображение 7310" descr="resizeПП-00259184"/>
        <xdr:cNvPicPr>
          <a:picLocks noChangeAspect="1"/>
        </xdr:cNvPicPr>
      </xdr:nvPicPr>
      <xdr:blipFill>
        <a:blip xmlns:r="http://schemas.openxmlformats.org/officeDocument/2006/relationships" r:embed="rId2034"/>
        <a:stretch>
          <a:fillRect/>
        </a:stretch>
      </xdr:blipFill>
      <xdr:spPr>
        <a:xfrm>
          <a:off x="7235825" y="2671962525"/>
          <a:ext cx="878840" cy="1183640"/>
        </a:xfrm>
        <a:prstGeom prst="rect">
          <a:avLst/>
        </a:prstGeom>
      </xdr:spPr>
    </xdr:pic>
    <xdr:clientData/>
  </xdr:twoCellAnchor>
  <xdr:twoCellAnchor>
    <xdr:from>
      <xdr:col>9</xdr:col>
      <xdr:colOff>6350</xdr:colOff>
      <xdr:row>2742</xdr:row>
      <xdr:rowOff>25400</xdr:rowOff>
    </xdr:from>
    <xdr:to>
      <xdr:col>9</xdr:col>
      <xdr:colOff>885190</xdr:colOff>
      <xdr:row>2742</xdr:row>
      <xdr:rowOff>1209040</xdr:rowOff>
    </xdr:to>
    <xdr:pic>
      <xdr:nvPicPr>
        <xdr:cNvPr id="7312" name="Изображение 7311" descr="resizeПП-00259186"/>
        <xdr:cNvPicPr>
          <a:picLocks noChangeAspect="1"/>
        </xdr:cNvPicPr>
      </xdr:nvPicPr>
      <xdr:blipFill>
        <a:blip xmlns:r="http://schemas.openxmlformats.org/officeDocument/2006/relationships" r:embed="rId2035"/>
        <a:stretch>
          <a:fillRect/>
        </a:stretch>
      </xdr:blipFill>
      <xdr:spPr>
        <a:xfrm>
          <a:off x="7235825" y="2673184900"/>
          <a:ext cx="878840" cy="1183640"/>
        </a:xfrm>
        <a:prstGeom prst="rect">
          <a:avLst/>
        </a:prstGeom>
      </xdr:spPr>
    </xdr:pic>
    <xdr:clientData/>
  </xdr:twoCellAnchor>
  <xdr:twoCellAnchor>
    <xdr:from>
      <xdr:col>9</xdr:col>
      <xdr:colOff>6350</xdr:colOff>
      <xdr:row>2743</xdr:row>
      <xdr:rowOff>25400</xdr:rowOff>
    </xdr:from>
    <xdr:to>
      <xdr:col>9</xdr:col>
      <xdr:colOff>885190</xdr:colOff>
      <xdr:row>2743</xdr:row>
      <xdr:rowOff>1209040</xdr:rowOff>
    </xdr:to>
    <xdr:pic>
      <xdr:nvPicPr>
        <xdr:cNvPr id="7313" name="Изображение 7312" descr="resizeПП-00254799"/>
        <xdr:cNvPicPr>
          <a:picLocks noChangeAspect="1"/>
        </xdr:cNvPicPr>
      </xdr:nvPicPr>
      <xdr:blipFill>
        <a:blip xmlns:r="http://schemas.openxmlformats.org/officeDocument/2006/relationships" r:embed="rId2036"/>
        <a:stretch>
          <a:fillRect/>
        </a:stretch>
      </xdr:blipFill>
      <xdr:spPr>
        <a:xfrm>
          <a:off x="7235825" y="2674407275"/>
          <a:ext cx="878840" cy="1183640"/>
        </a:xfrm>
        <a:prstGeom prst="rect">
          <a:avLst/>
        </a:prstGeom>
      </xdr:spPr>
    </xdr:pic>
    <xdr:clientData/>
  </xdr:twoCellAnchor>
  <xdr:twoCellAnchor>
    <xdr:from>
      <xdr:col>9</xdr:col>
      <xdr:colOff>6350</xdr:colOff>
      <xdr:row>2744</xdr:row>
      <xdr:rowOff>25400</xdr:rowOff>
    </xdr:from>
    <xdr:to>
      <xdr:col>9</xdr:col>
      <xdr:colOff>885190</xdr:colOff>
      <xdr:row>2744</xdr:row>
      <xdr:rowOff>1209040</xdr:rowOff>
    </xdr:to>
    <xdr:pic>
      <xdr:nvPicPr>
        <xdr:cNvPr id="7314" name="Изображение 7313" descr="resizeПП-00254798"/>
        <xdr:cNvPicPr>
          <a:picLocks noChangeAspect="1"/>
        </xdr:cNvPicPr>
      </xdr:nvPicPr>
      <xdr:blipFill>
        <a:blip xmlns:r="http://schemas.openxmlformats.org/officeDocument/2006/relationships" r:embed="rId2037"/>
        <a:stretch>
          <a:fillRect/>
        </a:stretch>
      </xdr:blipFill>
      <xdr:spPr>
        <a:xfrm>
          <a:off x="7235825" y="2675629650"/>
          <a:ext cx="878840" cy="1183640"/>
        </a:xfrm>
        <a:prstGeom prst="rect">
          <a:avLst/>
        </a:prstGeom>
      </xdr:spPr>
    </xdr:pic>
    <xdr:clientData/>
  </xdr:twoCellAnchor>
  <xdr:twoCellAnchor>
    <xdr:from>
      <xdr:col>9</xdr:col>
      <xdr:colOff>6350</xdr:colOff>
      <xdr:row>2748</xdr:row>
      <xdr:rowOff>25400</xdr:rowOff>
    </xdr:from>
    <xdr:to>
      <xdr:col>9</xdr:col>
      <xdr:colOff>885190</xdr:colOff>
      <xdr:row>2748</xdr:row>
      <xdr:rowOff>1209040</xdr:rowOff>
    </xdr:to>
    <xdr:pic>
      <xdr:nvPicPr>
        <xdr:cNvPr id="7315" name="Изображение 7314" descr="resizeПП-00211803"/>
        <xdr:cNvPicPr>
          <a:picLocks noChangeAspect="1"/>
        </xdr:cNvPicPr>
      </xdr:nvPicPr>
      <xdr:blipFill>
        <a:blip xmlns:r="http://schemas.openxmlformats.org/officeDocument/2006/relationships" r:embed="rId2038"/>
        <a:stretch>
          <a:fillRect/>
        </a:stretch>
      </xdr:blipFill>
      <xdr:spPr>
        <a:xfrm>
          <a:off x="7235825" y="2677309225"/>
          <a:ext cx="878840" cy="1183640"/>
        </a:xfrm>
        <a:prstGeom prst="rect">
          <a:avLst/>
        </a:prstGeom>
      </xdr:spPr>
    </xdr:pic>
    <xdr:clientData/>
  </xdr:twoCellAnchor>
  <xdr:twoCellAnchor>
    <xdr:from>
      <xdr:col>9</xdr:col>
      <xdr:colOff>6350</xdr:colOff>
      <xdr:row>2749</xdr:row>
      <xdr:rowOff>25400</xdr:rowOff>
    </xdr:from>
    <xdr:to>
      <xdr:col>9</xdr:col>
      <xdr:colOff>885190</xdr:colOff>
      <xdr:row>2749</xdr:row>
      <xdr:rowOff>1209040</xdr:rowOff>
    </xdr:to>
    <xdr:pic>
      <xdr:nvPicPr>
        <xdr:cNvPr id="7316" name="Изображение 7315" descr="resizeПП-00266851"/>
        <xdr:cNvPicPr>
          <a:picLocks noChangeAspect="1"/>
        </xdr:cNvPicPr>
      </xdr:nvPicPr>
      <xdr:blipFill>
        <a:blip xmlns:r="http://schemas.openxmlformats.org/officeDocument/2006/relationships" r:embed="rId2039"/>
        <a:stretch>
          <a:fillRect/>
        </a:stretch>
      </xdr:blipFill>
      <xdr:spPr>
        <a:xfrm>
          <a:off x="7235825" y="2678531600"/>
          <a:ext cx="878840" cy="1183640"/>
        </a:xfrm>
        <a:prstGeom prst="rect">
          <a:avLst/>
        </a:prstGeom>
      </xdr:spPr>
    </xdr:pic>
    <xdr:clientData/>
  </xdr:twoCellAnchor>
  <xdr:twoCellAnchor>
    <xdr:from>
      <xdr:col>9</xdr:col>
      <xdr:colOff>6350</xdr:colOff>
      <xdr:row>2750</xdr:row>
      <xdr:rowOff>25400</xdr:rowOff>
    </xdr:from>
    <xdr:to>
      <xdr:col>9</xdr:col>
      <xdr:colOff>885190</xdr:colOff>
      <xdr:row>2750</xdr:row>
      <xdr:rowOff>1209040</xdr:rowOff>
    </xdr:to>
    <xdr:pic>
      <xdr:nvPicPr>
        <xdr:cNvPr id="7317" name="Изображение 7316" descr="resizeПП-00266850"/>
        <xdr:cNvPicPr>
          <a:picLocks noChangeAspect="1"/>
        </xdr:cNvPicPr>
      </xdr:nvPicPr>
      <xdr:blipFill>
        <a:blip xmlns:r="http://schemas.openxmlformats.org/officeDocument/2006/relationships" r:embed="rId2040"/>
        <a:stretch>
          <a:fillRect/>
        </a:stretch>
      </xdr:blipFill>
      <xdr:spPr>
        <a:xfrm>
          <a:off x="7235825" y="2679753975"/>
          <a:ext cx="878840" cy="1183640"/>
        </a:xfrm>
        <a:prstGeom prst="rect">
          <a:avLst/>
        </a:prstGeom>
      </xdr:spPr>
    </xdr:pic>
    <xdr:clientData/>
  </xdr:twoCellAnchor>
  <xdr:twoCellAnchor>
    <xdr:from>
      <xdr:col>9</xdr:col>
      <xdr:colOff>6350</xdr:colOff>
      <xdr:row>2751</xdr:row>
      <xdr:rowOff>25400</xdr:rowOff>
    </xdr:from>
    <xdr:to>
      <xdr:col>9</xdr:col>
      <xdr:colOff>885190</xdr:colOff>
      <xdr:row>2751</xdr:row>
      <xdr:rowOff>1209040</xdr:rowOff>
    </xdr:to>
    <xdr:pic>
      <xdr:nvPicPr>
        <xdr:cNvPr id="7318" name="Изображение 7317" descr="resizeПП-00266853"/>
        <xdr:cNvPicPr>
          <a:picLocks noChangeAspect="1"/>
        </xdr:cNvPicPr>
      </xdr:nvPicPr>
      <xdr:blipFill>
        <a:blip xmlns:r="http://schemas.openxmlformats.org/officeDocument/2006/relationships" r:embed="rId2041"/>
        <a:stretch>
          <a:fillRect/>
        </a:stretch>
      </xdr:blipFill>
      <xdr:spPr>
        <a:xfrm>
          <a:off x="7235825" y="2680976350"/>
          <a:ext cx="878840" cy="1183640"/>
        </a:xfrm>
        <a:prstGeom prst="rect">
          <a:avLst/>
        </a:prstGeom>
      </xdr:spPr>
    </xdr:pic>
    <xdr:clientData/>
  </xdr:twoCellAnchor>
  <xdr:twoCellAnchor>
    <xdr:from>
      <xdr:col>9</xdr:col>
      <xdr:colOff>6350</xdr:colOff>
      <xdr:row>2752</xdr:row>
      <xdr:rowOff>25400</xdr:rowOff>
    </xdr:from>
    <xdr:to>
      <xdr:col>9</xdr:col>
      <xdr:colOff>885190</xdr:colOff>
      <xdr:row>2752</xdr:row>
      <xdr:rowOff>1209040</xdr:rowOff>
    </xdr:to>
    <xdr:pic>
      <xdr:nvPicPr>
        <xdr:cNvPr id="7319" name="Изображение 7318" descr="resizeПП-00266852"/>
        <xdr:cNvPicPr>
          <a:picLocks noChangeAspect="1"/>
        </xdr:cNvPicPr>
      </xdr:nvPicPr>
      <xdr:blipFill>
        <a:blip xmlns:r="http://schemas.openxmlformats.org/officeDocument/2006/relationships" r:embed="rId2042"/>
        <a:stretch>
          <a:fillRect/>
        </a:stretch>
      </xdr:blipFill>
      <xdr:spPr>
        <a:xfrm>
          <a:off x="7235825" y="2682198725"/>
          <a:ext cx="878840" cy="1183640"/>
        </a:xfrm>
        <a:prstGeom prst="rect">
          <a:avLst/>
        </a:prstGeom>
      </xdr:spPr>
    </xdr:pic>
    <xdr:clientData/>
  </xdr:twoCellAnchor>
  <xdr:twoCellAnchor>
    <xdr:from>
      <xdr:col>9</xdr:col>
      <xdr:colOff>6350</xdr:colOff>
      <xdr:row>2753</xdr:row>
      <xdr:rowOff>25400</xdr:rowOff>
    </xdr:from>
    <xdr:to>
      <xdr:col>9</xdr:col>
      <xdr:colOff>885190</xdr:colOff>
      <xdr:row>2753</xdr:row>
      <xdr:rowOff>1209040</xdr:rowOff>
    </xdr:to>
    <xdr:pic>
      <xdr:nvPicPr>
        <xdr:cNvPr id="7320" name="Изображение 7319" descr="resizeПП-00266854"/>
        <xdr:cNvPicPr>
          <a:picLocks noChangeAspect="1"/>
        </xdr:cNvPicPr>
      </xdr:nvPicPr>
      <xdr:blipFill>
        <a:blip xmlns:r="http://schemas.openxmlformats.org/officeDocument/2006/relationships" r:embed="rId2043"/>
        <a:stretch>
          <a:fillRect/>
        </a:stretch>
      </xdr:blipFill>
      <xdr:spPr>
        <a:xfrm>
          <a:off x="7235825" y="2683421100"/>
          <a:ext cx="878840" cy="1183640"/>
        </a:xfrm>
        <a:prstGeom prst="rect">
          <a:avLst/>
        </a:prstGeom>
      </xdr:spPr>
    </xdr:pic>
    <xdr:clientData/>
  </xdr:twoCellAnchor>
  <xdr:twoCellAnchor>
    <xdr:from>
      <xdr:col>9</xdr:col>
      <xdr:colOff>6350</xdr:colOff>
      <xdr:row>2754</xdr:row>
      <xdr:rowOff>25400</xdr:rowOff>
    </xdr:from>
    <xdr:to>
      <xdr:col>9</xdr:col>
      <xdr:colOff>885190</xdr:colOff>
      <xdr:row>2754</xdr:row>
      <xdr:rowOff>1209040</xdr:rowOff>
    </xdr:to>
    <xdr:pic>
      <xdr:nvPicPr>
        <xdr:cNvPr id="7321" name="Изображение 7320" descr="resizeПП-00274404"/>
        <xdr:cNvPicPr>
          <a:picLocks noChangeAspect="1"/>
        </xdr:cNvPicPr>
      </xdr:nvPicPr>
      <xdr:blipFill>
        <a:blip xmlns:r="http://schemas.openxmlformats.org/officeDocument/2006/relationships" r:embed="rId2044"/>
        <a:stretch>
          <a:fillRect/>
        </a:stretch>
      </xdr:blipFill>
      <xdr:spPr>
        <a:xfrm>
          <a:off x="7235825" y="2684643475"/>
          <a:ext cx="878840" cy="1183640"/>
        </a:xfrm>
        <a:prstGeom prst="rect">
          <a:avLst/>
        </a:prstGeom>
      </xdr:spPr>
    </xdr:pic>
    <xdr:clientData/>
  </xdr:twoCellAnchor>
  <xdr:twoCellAnchor>
    <xdr:from>
      <xdr:col>9</xdr:col>
      <xdr:colOff>6350</xdr:colOff>
      <xdr:row>2755</xdr:row>
      <xdr:rowOff>25400</xdr:rowOff>
    </xdr:from>
    <xdr:to>
      <xdr:col>9</xdr:col>
      <xdr:colOff>885190</xdr:colOff>
      <xdr:row>2755</xdr:row>
      <xdr:rowOff>1209040</xdr:rowOff>
    </xdr:to>
    <xdr:pic>
      <xdr:nvPicPr>
        <xdr:cNvPr id="7322" name="Изображение 7321" descr="resizeПП-00211807"/>
        <xdr:cNvPicPr>
          <a:picLocks noChangeAspect="1"/>
        </xdr:cNvPicPr>
      </xdr:nvPicPr>
      <xdr:blipFill>
        <a:blip xmlns:r="http://schemas.openxmlformats.org/officeDocument/2006/relationships" r:embed="rId2045"/>
        <a:stretch>
          <a:fillRect/>
        </a:stretch>
      </xdr:blipFill>
      <xdr:spPr>
        <a:xfrm>
          <a:off x="7235825" y="2685865850"/>
          <a:ext cx="878840" cy="1183640"/>
        </a:xfrm>
        <a:prstGeom prst="rect">
          <a:avLst/>
        </a:prstGeom>
      </xdr:spPr>
    </xdr:pic>
    <xdr:clientData/>
  </xdr:twoCellAnchor>
  <xdr:twoCellAnchor>
    <xdr:from>
      <xdr:col>9</xdr:col>
      <xdr:colOff>6350</xdr:colOff>
      <xdr:row>2756</xdr:row>
      <xdr:rowOff>25400</xdr:rowOff>
    </xdr:from>
    <xdr:to>
      <xdr:col>9</xdr:col>
      <xdr:colOff>885190</xdr:colOff>
      <xdr:row>2756</xdr:row>
      <xdr:rowOff>1209040</xdr:rowOff>
    </xdr:to>
    <xdr:pic>
      <xdr:nvPicPr>
        <xdr:cNvPr id="7323" name="Изображение 7322" descr="resizeПП-00211810"/>
        <xdr:cNvPicPr>
          <a:picLocks noChangeAspect="1"/>
        </xdr:cNvPicPr>
      </xdr:nvPicPr>
      <xdr:blipFill>
        <a:blip xmlns:r="http://schemas.openxmlformats.org/officeDocument/2006/relationships" r:embed="rId2046"/>
        <a:stretch>
          <a:fillRect/>
        </a:stretch>
      </xdr:blipFill>
      <xdr:spPr>
        <a:xfrm>
          <a:off x="7235825" y="2687088225"/>
          <a:ext cx="878840" cy="1183640"/>
        </a:xfrm>
        <a:prstGeom prst="rect">
          <a:avLst/>
        </a:prstGeom>
      </xdr:spPr>
    </xdr:pic>
    <xdr:clientData/>
  </xdr:twoCellAnchor>
  <xdr:twoCellAnchor>
    <xdr:from>
      <xdr:col>9</xdr:col>
      <xdr:colOff>6350</xdr:colOff>
      <xdr:row>2757</xdr:row>
      <xdr:rowOff>25400</xdr:rowOff>
    </xdr:from>
    <xdr:to>
      <xdr:col>9</xdr:col>
      <xdr:colOff>885190</xdr:colOff>
      <xdr:row>2757</xdr:row>
      <xdr:rowOff>1209040</xdr:rowOff>
    </xdr:to>
    <xdr:pic>
      <xdr:nvPicPr>
        <xdr:cNvPr id="7324" name="Изображение 7323" descr="resizeПП-00266859"/>
        <xdr:cNvPicPr>
          <a:picLocks noChangeAspect="1"/>
        </xdr:cNvPicPr>
      </xdr:nvPicPr>
      <xdr:blipFill>
        <a:blip xmlns:r="http://schemas.openxmlformats.org/officeDocument/2006/relationships" r:embed="rId2047"/>
        <a:stretch>
          <a:fillRect/>
        </a:stretch>
      </xdr:blipFill>
      <xdr:spPr>
        <a:xfrm>
          <a:off x="7235825" y="2688310600"/>
          <a:ext cx="878840" cy="1183640"/>
        </a:xfrm>
        <a:prstGeom prst="rect">
          <a:avLst/>
        </a:prstGeom>
      </xdr:spPr>
    </xdr:pic>
    <xdr:clientData/>
  </xdr:twoCellAnchor>
  <xdr:twoCellAnchor>
    <xdr:from>
      <xdr:col>9</xdr:col>
      <xdr:colOff>6350</xdr:colOff>
      <xdr:row>2762</xdr:row>
      <xdr:rowOff>25400</xdr:rowOff>
    </xdr:from>
    <xdr:to>
      <xdr:col>9</xdr:col>
      <xdr:colOff>885190</xdr:colOff>
      <xdr:row>2762</xdr:row>
      <xdr:rowOff>1209040</xdr:rowOff>
    </xdr:to>
    <xdr:pic>
      <xdr:nvPicPr>
        <xdr:cNvPr id="7325" name="Изображение 7324" descr="resizeПП-00266696"/>
        <xdr:cNvPicPr>
          <a:picLocks noChangeAspect="1"/>
        </xdr:cNvPicPr>
      </xdr:nvPicPr>
      <xdr:blipFill>
        <a:blip xmlns:r="http://schemas.openxmlformats.org/officeDocument/2006/relationships" r:embed="rId2048"/>
        <a:stretch>
          <a:fillRect/>
        </a:stretch>
      </xdr:blipFill>
      <xdr:spPr>
        <a:xfrm>
          <a:off x="7235825" y="2690142575"/>
          <a:ext cx="878840" cy="1183640"/>
        </a:xfrm>
        <a:prstGeom prst="rect">
          <a:avLst/>
        </a:prstGeom>
      </xdr:spPr>
    </xdr:pic>
    <xdr:clientData/>
  </xdr:twoCellAnchor>
  <xdr:twoCellAnchor>
    <xdr:from>
      <xdr:col>9</xdr:col>
      <xdr:colOff>6350</xdr:colOff>
      <xdr:row>2765</xdr:row>
      <xdr:rowOff>25400</xdr:rowOff>
    </xdr:from>
    <xdr:to>
      <xdr:col>9</xdr:col>
      <xdr:colOff>885190</xdr:colOff>
      <xdr:row>2765</xdr:row>
      <xdr:rowOff>1209040</xdr:rowOff>
    </xdr:to>
    <xdr:pic>
      <xdr:nvPicPr>
        <xdr:cNvPr id="7326" name="Изображение 7325" descr="resizeПП-00236397"/>
        <xdr:cNvPicPr>
          <a:picLocks noChangeAspect="1"/>
        </xdr:cNvPicPr>
      </xdr:nvPicPr>
      <xdr:blipFill>
        <a:blip xmlns:r="http://schemas.openxmlformats.org/officeDocument/2006/relationships" r:embed="rId2049"/>
        <a:stretch>
          <a:fillRect/>
        </a:stretch>
      </xdr:blipFill>
      <xdr:spPr>
        <a:xfrm>
          <a:off x="7235825" y="2691669750"/>
          <a:ext cx="878840" cy="1183640"/>
        </a:xfrm>
        <a:prstGeom prst="rect">
          <a:avLst/>
        </a:prstGeom>
      </xdr:spPr>
    </xdr:pic>
    <xdr:clientData/>
  </xdr:twoCellAnchor>
  <xdr:twoCellAnchor>
    <xdr:from>
      <xdr:col>9</xdr:col>
      <xdr:colOff>6350</xdr:colOff>
      <xdr:row>2766</xdr:row>
      <xdr:rowOff>25400</xdr:rowOff>
    </xdr:from>
    <xdr:to>
      <xdr:col>9</xdr:col>
      <xdr:colOff>885190</xdr:colOff>
      <xdr:row>2766</xdr:row>
      <xdr:rowOff>1209040</xdr:rowOff>
    </xdr:to>
    <xdr:pic>
      <xdr:nvPicPr>
        <xdr:cNvPr id="7327" name="Изображение 7326" descr="resizeПП-00212867"/>
        <xdr:cNvPicPr>
          <a:picLocks noChangeAspect="1"/>
        </xdr:cNvPicPr>
      </xdr:nvPicPr>
      <xdr:blipFill>
        <a:blip xmlns:r="http://schemas.openxmlformats.org/officeDocument/2006/relationships" r:embed="rId2050"/>
        <a:stretch>
          <a:fillRect/>
        </a:stretch>
      </xdr:blipFill>
      <xdr:spPr>
        <a:xfrm>
          <a:off x="7235825" y="2692892125"/>
          <a:ext cx="878840" cy="1183640"/>
        </a:xfrm>
        <a:prstGeom prst="rect">
          <a:avLst/>
        </a:prstGeom>
      </xdr:spPr>
    </xdr:pic>
    <xdr:clientData/>
  </xdr:twoCellAnchor>
  <xdr:twoCellAnchor>
    <xdr:from>
      <xdr:col>9</xdr:col>
      <xdr:colOff>6350</xdr:colOff>
      <xdr:row>2767</xdr:row>
      <xdr:rowOff>25400</xdr:rowOff>
    </xdr:from>
    <xdr:to>
      <xdr:col>9</xdr:col>
      <xdr:colOff>885190</xdr:colOff>
      <xdr:row>2767</xdr:row>
      <xdr:rowOff>1209040</xdr:rowOff>
    </xdr:to>
    <xdr:pic>
      <xdr:nvPicPr>
        <xdr:cNvPr id="7328" name="Изображение 7327" descr="resizeПП-00212865"/>
        <xdr:cNvPicPr>
          <a:picLocks noChangeAspect="1"/>
        </xdr:cNvPicPr>
      </xdr:nvPicPr>
      <xdr:blipFill>
        <a:blip xmlns:r="http://schemas.openxmlformats.org/officeDocument/2006/relationships" r:embed="rId2051"/>
        <a:stretch>
          <a:fillRect/>
        </a:stretch>
      </xdr:blipFill>
      <xdr:spPr>
        <a:xfrm>
          <a:off x="7235825" y="2694114500"/>
          <a:ext cx="878840" cy="1183640"/>
        </a:xfrm>
        <a:prstGeom prst="rect">
          <a:avLst/>
        </a:prstGeom>
      </xdr:spPr>
    </xdr:pic>
    <xdr:clientData/>
  </xdr:twoCellAnchor>
  <xdr:twoCellAnchor>
    <xdr:from>
      <xdr:col>9</xdr:col>
      <xdr:colOff>6350</xdr:colOff>
      <xdr:row>2768</xdr:row>
      <xdr:rowOff>25400</xdr:rowOff>
    </xdr:from>
    <xdr:to>
      <xdr:col>9</xdr:col>
      <xdr:colOff>885190</xdr:colOff>
      <xdr:row>2768</xdr:row>
      <xdr:rowOff>1209040</xdr:rowOff>
    </xdr:to>
    <xdr:pic>
      <xdr:nvPicPr>
        <xdr:cNvPr id="7329" name="Изображение 7328" descr="resizeПП-00246480"/>
        <xdr:cNvPicPr>
          <a:picLocks noChangeAspect="1"/>
        </xdr:cNvPicPr>
      </xdr:nvPicPr>
      <xdr:blipFill>
        <a:blip xmlns:r="http://schemas.openxmlformats.org/officeDocument/2006/relationships" r:embed="rId2052"/>
        <a:stretch>
          <a:fillRect/>
        </a:stretch>
      </xdr:blipFill>
      <xdr:spPr>
        <a:xfrm>
          <a:off x="7235825" y="2695336875"/>
          <a:ext cx="878840" cy="1183640"/>
        </a:xfrm>
        <a:prstGeom prst="rect">
          <a:avLst/>
        </a:prstGeom>
      </xdr:spPr>
    </xdr:pic>
    <xdr:clientData/>
  </xdr:twoCellAnchor>
  <xdr:twoCellAnchor>
    <xdr:from>
      <xdr:col>9</xdr:col>
      <xdr:colOff>6350</xdr:colOff>
      <xdr:row>2770</xdr:row>
      <xdr:rowOff>25400</xdr:rowOff>
    </xdr:from>
    <xdr:to>
      <xdr:col>9</xdr:col>
      <xdr:colOff>885190</xdr:colOff>
      <xdr:row>2770</xdr:row>
      <xdr:rowOff>1209040</xdr:rowOff>
    </xdr:to>
    <xdr:pic>
      <xdr:nvPicPr>
        <xdr:cNvPr id="7330" name="Изображение 7329" descr="resizeПП-00236393"/>
        <xdr:cNvPicPr>
          <a:picLocks noChangeAspect="1"/>
        </xdr:cNvPicPr>
      </xdr:nvPicPr>
      <xdr:blipFill>
        <a:blip xmlns:r="http://schemas.openxmlformats.org/officeDocument/2006/relationships" r:embed="rId2053"/>
        <a:stretch>
          <a:fillRect/>
        </a:stretch>
      </xdr:blipFill>
      <xdr:spPr>
        <a:xfrm>
          <a:off x="7235825" y="2696711650"/>
          <a:ext cx="878840" cy="1183640"/>
        </a:xfrm>
        <a:prstGeom prst="rect">
          <a:avLst/>
        </a:prstGeom>
      </xdr:spPr>
    </xdr:pic>
    <xdr:clientData/>
  </xdr:twoCellAnchor>
  <xdr:twoCellAnchor>
    <xdr:from>
      <xdr:col>9</xdr:col>
      <xdr:colOff>6350</xdr:colOff>
      <xdr:row>2771</xdr:row>
      <xdr:rowOff>25400</xdr:rowOff>
    </xdr:from>
    <xdr:to>
      <xdr:col>9</xdr:col>
      <xdr:colOff>885190</xdr:colOff>
      <xdr:row>2771</xdr:row>
      <xdr:rowOff>1209040</xdr:rowOff>
    </xdr:to>
    <xdr:pic>
      <xdr:nvPicPr>
        <xdr:cNvPr id="7331" name="Изображение 7330" descr="resizeПП-00246483"/>
        <xdr:cNvPicPr>
          <a:picLocks noChangeAspect="1"/>
        </xdr:cNvPicPr>
      </xdr:nvPicPr>
      <xdr:blipFill>
        <a:blip xmlns:r="http://schemas.openxmlformats.org/officeDocument/2006/relationships" r:embed="rId2054"/>
        <a:stretch>
          <a:fillRect/>
        </a:stretch>
      </xdr:blipFill>
      <xdr:spPr>
        <a:xfrm>
          <a:off x="7235825" y="2697934025"/>
          <a:ext cx="878840" cy="1183640"/>
        </a:xfrm>
        <a:prstGeom prst="rect">
          <a:avLst/>
        </a:prstGeom>
      </xdr:spPr>
    </xdr:pic>
    <xdr:clientData/>
  </xdr:twoCellAnchor>
  <xdr:twoCellAnchor>
    <xdr:from>
      <xdr:col>9</xdr:col>
      <xdr:colOff>6350</xdr:colOff>
      <xdr:row>2773</xdr:row>
      <xdr:rowOff>25400</xdr:rowOff>
    </xdr:from>
    <xdr:to>
      <xdr:col>9</xdr:col>
      <xdr:colOff>885190</xdr:colOff>
      <xdr:row>2773</xdr:row>
      <xdr:rowOff>1209040</xdr:rowOff>
    </xdr:to>
    <xdr:pic>
      <xdr:nvPicPr>
        <xdr:cNvPr id="7332" name="Изображение 7331" descr="resizeПП-00246486"/>
        <xdr:cNvPicPr>
          <a:picLocks noChangeAspect="1"/>
        </xdr:cNvPicPr>
      </xdr:nvPicPr>
      <xdr:blipFill>
        <a:blip xmlns:r="http://schemas.openxmlformats.org/officeDocument/2006/relationships" r:embed="rId2055"/>
        <a:stretch>
          <a:fillRect/>
        </a:stretch>
      </xdr:blipFill>
      <xdr:spPr>
        <a:xfrm>
          <a:off x="7235825" y="2699308800"/>
          <a:ext cx="878840" cy="1183640"/>
        </a:xfrm>
        <a:prstGeom prst="rect">
          <a:avLst/>
        </a:prstGeom>
      </xdr:spPr>
    </xdr:pic>
    <xdr:clientData/>
  </xdr:twoCellAnchor>
  <xdr:twoCellAnchor>
    <xdr:from>
      <xdr:col>9</xdr:col>
      <xdr:colOff>6350</xdr:colOff>
      <xdr:row>2776</xdr:row>
      <xdr:rowOff>25400</xdr:rowOff>
    </xdr:from>
    <xdr:to>
      <xdr:col>9</xdr:col>
      <xdr:colOff>885190</xdr:colOff>
      <xdr:row>2776</xdr:row>
      <xdr:rowOff>1209040</xdr:rowOff>
    </xdr:to>
    <xdr:pic>
      <xdr:nvPicPr>
        <xdr:cNvPr id="7333" name="Изображение 7332" descr="resizeПП-00203884"/>
        <xdr:cNvPicPr>
          <a:picLocks noChangeAspect="1"/>
        </xdr:cNvPicPr>
      </xdr:nvPicPr>
      <xdr:blipFill>
        <a:blip xmlns:r="http://schemas.openxmlformats.org/officeDocument/2006/relationships" r:embed="rId2056"/>
        <a:stretch>
          <a:fillRect/>
        </a:stretch>
      </xdr:blipFill>
      <xdr:spPr>
        <a:xfrm>
          <a:off x="7235825" y="2700835975"/>
          <a:ext cx="878840" cy="1183640"/>
        </a:xfrm>
        <a:prstGeom prst="rect">
          <a:avLst/>
        </a:prstGeom>
      </xdr:spPr>
    </xdr:pic>
    <xdr:clientData/>
  </xdr:twoCellAnchor>
  <xdr:twoCellAnchor>
    <xdr:from>
      <xdr:col>9</xdr:col>
      <xdr:colOff>6350</xdr:colOff>
      <xdr:row>2777</xdr:row>
      <xdr:rowOff>25400</xdr:rowOff>
    </xdr:from>
    <xdr:to>
      <xdr:col>9</xdr:col>
      <xdr:colOff>885190</xdr:colOff>
      <xdr:row>2777</xdr:row>
      <xdr:rowOff>1209040</xdr:rowOff>
    </xdr:to>
    <xdr:pic>
      <xdr:nvPicPr>
        <xdr:cNvPr id="7334" name="Изображение 7333" descr="resizeПП-00203885"/>
        <xdr:cNvPicPr>
          <a:picLocks noChangeAspect="1"/>
        </xdr:cNvPicPr>
      </xdr:nvPicPr>
      <xdr:blipFill>
        <a:blip xmlns:r="http://schemas.openxmlformats.org/officeDocument/2006/relationships" r:embed="rId2057"/>
        <a:stretch>
          <a:fillRect/>
        </a:stretch>
      </xdr:blipFill>
      <xdr:spPr>
        <a:xfrm>
          <a:off x="7235825" y="2702058350"/>
          <a:ext cx="878840" cy="1183640"/>
        </a:xfrm>
        <a:prstGeom prst="rect">
          <a:avLst/>
        </a:prstGeom>
      </xdr:spPr>
    </xdr:pic>
    <xdr:clientData/>
  </xdr:twoCellAnchor>
  <xdr:twoCellAnchor>
    <xdr:from>
      <xdr:col>9</xdr:col>
      <xdr:colOff>6350</xdr:colOff>
      <xdr:row>2778</xdr:row>
      <xdr:rowOff>25400</xdr:rowOff>
    </xdr:from>
    <xdr:to>
      <xdr:col>9</xdr:col>
      <xdr:colOff>885190</xdr:colOff>
      <xdr:row>2778</xdr:row>
      <xdr:rowOff>1209040</xdr:rowOff>
    </xdr:to>
    <xdr:pic>
      <xdr:nvPicPr>
        <xdr:cNvPr id="7335" name="Изображение 7334" descr="resizeПП-00203850"/>
        <xdr:cNvPicPr>
          <a:picLocks noChangeAspect="1"/>
        </xdr:cNvPicPr>
      </xdr:nvPicPr>
      <xdr:blipFill>
        <a:blip xmlns:r="http://schemas.openxmlformats.org/officeDocument/2006/relationships" r:embed="rId2058"/>
        <a:stretch>
          <a:fillRect/>
        </a:stretch>
      </xdr:blipFill>
      <xdr:spPr>
        <a:xfrm>
          <a:off x="7235825" y="2703280725"/>
          <a:ext cx="878840" cy="1183640"/>
        </a:xfrm>
        <a:prstGeom prst="rect">
          <a:avLst/>
        </a:prstGeom>
      </xdr:spPr>
    </xdr:pic>
    <xdr:clientData/>
  </xdr:twoCellAnchor>
  <xdr:twoCellAnchor>
    <xdr:from>
      <xdr:col>9</xdr:col>
      <xdr:colOff>6350</xdr:colOff>
      <xdr:row>2780</xdr:row>
      <xdr:rowOff>25400</xdr:rowOff>
    </xdr:from>
    <xdr:to>
      <xdr:col>9</xdr:col>
      <xdr:colOff>885190</xdr:colOff>
      <xdr:row>2780</xdr:row>
      <xdr:rowOff>1209040</xdr:rowOff>
    </xdr:to>
    <xdr:pic>
      <xdr:nvPicPr>
        <xdr:cNvPr id="7336" name="Изображение 7335" descr="resizeПП-00203878"/>
        <xdr:cNvPicPr>
          <a:picLocks noChangeAspect="1"/>
        </xdr:cNvPicPr>
      </xdr:nvPicPr>
      <xdr:blipFill>
        <a:blip xmlns:r="http://schemas.openxmlformats.org/officeDocument/2006/relationships" r:embed="rId2059"/>
        <a:stretch>
          <a:fillRect/>
        </a:stretch>
      </xdr:blipFill>
      <xdr:spPr>
        <a:xfrm>
          <a:off x="7235825" y="2704655500"/>
          <a:ext cx="878840" cy="1183640"/>
        </a:xfrm>
        <a:prstGeom prst="rect">
          <a:avLst/>
        </a:prstGeom>
      </xdr:spPr>
    </xdr:pic>
    <xdr:clientData/>
  </xdr:twoCellAnchor>
  <xdr:twoCellAnchor>
    <xdr:from>
      <xdr:col>9</xdr:col>
      <xdr:colOff>6350</xdr:colOff>
      <xdr:row>2782</xdr:row>
      <xdr:rowOff>25400</xdr:rowOff>
    </xdr:from>
    <xdr:to>
      <xdr:col>9</xdr:col>
      <xdr:colOff>885190</xdr:colOff>
      <xdr:row>2782</xdr:row>
      <xdr:rowOff>1209040</xdr:rowOff>
    </xdr:to>
    <xdr:pic>
      <xdr:nvPicPr>
        <xdr:cNvPr id="7337" name="Изображение 7336" descr="resizeПП-00224719"/>
        <xdr:cNvPicPr>
          <a:picLocks noChangeAspect="1"/>
        </xdr:cNvPicPr>
      </xdr:nvPicPr>
      <xdr:blipFill>
        <a:blip xmlns:r="http://schemas.openxmlformats.org/officeDocument/2006/relationships" r:embed="rId2060"/>
        <a:stretch>
          <a:fillRect/>
        </a:stretch>
      </xdr:blipFill>
      <xdr:spPr>
        <a:xfrm>
          <a:off x="7235825" y="2706030275"/>
          <a:ext cx="878840" cy="1183640"/>
        </a:xfrm>
        <a:prstGeom prst="rect">
          <a:avLst/>
        </a:prstGeom>
      </xdr:spPr>
    </xdr:pic>
    <xdr:clientData/>
  </xdr:twoCellAnchor>
  <xdr:twoCellAnchor>
    <xdr:from>
      <xdr:col>9</xdr:col>
      <xdr:colOff>6350</xdr:colOff>
      <xdr:row>2786</xdr:row>
      <xdr:rowOff>25400</xdr:rowOff>
    </xdr:from>
    <xdr:to>
      <xdr:col>9</xdr:col>
      <xdr:colOff>885190</xdr:colOff>
      <xdr:row>2786</xdr:row>
      <xdr:rowOff>1209040</xdr:rowOff>
    </xdr:to>
    <xdr:pic>
      <xdr:nvPicPr>
        <xdr:cNvPr id="7338" name="Изображение 7337" descr="resizeПП-00262794"/>
        <xdr:cNvPicPr>
          <a:picLocks noChangeAspect="1"/>
        </xdr:cNvPicPr>
      </xdr:nvPicPr>
      <xdr:blipFill>
        <a:blip xmlns:r="http://schemas.openxmlformats.org/officeDocument/2006/relationships" r:embed="rId2061"/>
        <a:stretch>
          <a:fillRect/>
        </a:stretch>
      </xdr:blipFill>
      <xdr:spPr>
        <a:xfrm>
          <a:off x="7235825" y="2707709850"/>
          <a:ext cx="878840" cy="1183640"/>
        </a:xfrm>
        <a:prstGeom prst="rect">
          <a:avLst/>
        </a:prstGeom>
      </xdr:spPr>
    </xdr:pic>
    <xdr:clientData/>
  </xdr:twoCellAnchor>
  <xdr:twoCellAnchor>
    <xdr:from>
      <xdr:col>9</xdr:col>
      <xdr:colOff>6350</xdr:colOff>
      <xdr:row>2787</xdr:row>
      <xdr:rowOff>25400</xdr:rowOff>
    </xdr:from>
    <xdr:to>
      <xdr:col>9</xdr:col>
      <xdr:colOff>885190</xdr:colOff>
      <xdr:row>2787</xdr:row>
      <xdr:rowOff>1209040</xdr:rowOff>
    </xdr:to>
    <xdr:pic>
      <xdr:nvPicPr>
        <xdr:cNvPr id="7339" name="Изображение 7338" descr="resizeПП-00262795"/>
        <xdr:cNvPicPr>
          <a:picLocks noChangeAspect="1"/>
        </xdr:cNvPicPr>
      </xdr:nvPicPr>
      <xdr:blipFill>
        <a:blip xmlns:r="http://schemas.openxmlformats.org/officeDocument/2006/relationships" r:embed="rId2062"/>
        <a:stretch>
          <a:fillRect/>
        </a:stretch>
      </xdr:blipFill>
      <xdr:spPr>
        <a:xfrm>
          <a:off x="7235825" y="2708932225"/>
          <a:ext cx="878840" cy="1183640"/>
        </a:xfrm>
        <a:prstGeom prst="rect">
          <a:avLst/>
        </a:prstGeom>
      </xdr:spPr>
    </xdr:pic>
    <xdr:clientData/>
  </xdr:twoCellAnchor>
  <xdr:twoCellAnchor>
    <xdr:from>
      <xdr:col>9</xdr:col>
      <xdr:colOff>6350</xdr:colOff>
      <xdr:row>2788</xdr:row>
      <xdr:rowOff>25400</xdr:rowOff>
    </xdr:from>
    <xdr:to>
      <xdr:col>9</xdr:col>
      <xdr:colOff>885190</xdr:colOff>
      <xdr:row>2788</xdr:row>
      <xdr:rowOff>1209040</xdr:rowOff>
    </xdr:to>
    <xdr:pic>
      <xdr:nvPicPr>
        <xdr:cNvPr id="7340" name="Изображение 7339" descr="resizeПП-00262798"/>
        <xdr:cNvPicPr>
          <a:picLocks noChangeAspect="1"/>
        </xdr:cNvPicPr>
      </xdr:nvPicPr>
      <xdr:blipFill>
        <a:blip xmlns:r="http://schemas.openxmlformats.org/officeDocument/2006/relationships" r:embed="rId2063"/>
        <a:stretch>
          <a:fillRect/>
        </a:stretch>
      </xdr:blipFill>
      <xdr:spPr>
        <a:xfrm>
          <a:off x="7235825" y="2710154600"/>
          <a:ext cx="878840" cy="1183640"/>
        </a:xfrm>
        <a:prstGeom prst="rect">
          <a:avLst/>
        </a:prstGeom>
      </xdr:spPr>
    </xdr:pic>
    <xdr:clientData/>
  </xdr:twoCellAnchor>
  <xdr:twoCellAnchor>
    <xdr:from>
      <xdr:col>9</xdr:col>
      <xdr:colOff>6350</xdr:colOff>
      <xdr:row>2789</xdr:row>
      <xdr:rowOff>25400</xdr:rowOff>
    </xdr:from>
    <xdr:to>
      <xdr:col>9</xdr:col>
      <xdr:colOff>885190</xdr:colOff>
      <xdr:row>2789</xdr:row>
      <xdr:rowOff>1209040</xdr:rowOff>
    </xdr:to>
    <xdr:pic>
      <xdr:nvPicPr>
        <xdr:cNvPr id="7341" name="Изображение 7340" descr="resizeПП-00262799"/>
        <xdr:cNvPicPr>
          <a:picLocks noChangeAspect="1"/>
        </xdr:cNvPicPr>
      </xdr:nvPicPr>
      <xdr:blipFill>
        <a:blip xmlns:r="http://schemas.openxmlformats.org/officeDocument/2006/relationships" r:embed="rId2064"/>
        <a:stretch>
          <a:fillRect/>
        </a:stretch>
      </xdr:blipFill>
      <xdr:spPr>
        <a:xfrm>
          <a:off x="7235825" y="2711376975"/>
          <a:ext cx="878840" cy="1183640"/>
        </a:xfrm>
        <a:prstGeom prst="rect">
          <a:avLst/>
        </a:prstGeom>
      </xdr:spPr>
    </xdr:pic>
    <xdr:clientData/>
  </xdr:twoCellAnchor>
  <xdr:twoCellAnchor>
    <xdr:from>
      <xdr:col>9</xdr:col>
      <xdr:colOff>6350</xdr:colOff>
      <xdr:row>2790</xdr:row>
      <xdr:rowOff>25400</xdr:rowOff>
    </xdr:from>
    <xdr:to>
      <xdr:col>9</xdr:col>
      <xdr:colOff>885190</xdr:colOff>
      <xdr:row>2790</xdr:row>
      <xdr:rowOff>1209040</xdr:rowOff>
    </xdr:to>
    <xdr:pic>
      <xdr:nvPicPr>
        <xdr:cNvPr id="7342" name="Изображение 7341" descr="resizeПП-00262796"/>
        <xdr:cNvPicPr>
          <a:picLocks noChangeAspect="1"/>
        </xdr:cNvPicPr>
      </xdr:nvPicPr>
      <xdr:blipFill>
        <a:blip xmlns:r="http://schemas.openxmlformats.org/officeDocument/2006/relationships" r:embed="rId2065"/>
        <a:stretch>
          <a:fillRect/>
        </a:stretch>
      </xdr:blipFill>
      <xdr:spPr>
        <a:xfrm>
          <a:off x="7235825" y="2712599350"/>
          <a:ext cx="878840" cy="1183640"/>
        </a:xfrm>
        <a:prstGeom prst="rect">
          <a:avLst/>
        </a:prstGeom>
      </xdr:spPr>
    </xdr:pic>
    <xdr:clientData/>
  </xdr:twoCellAnchor>
  <xdr:twoCellAnchor>
    <xdr:from>
      <xdr:col>9</xdr:col>
      <xdr:colOff>6350</xdr:colOff>
      <xdr:row>2791</xdr:row>
      <xdr:rowOff>25400</xdr:rowOff>
    </xdr:from>
    <xdr:to>
      <xdr:col>9</xdr:col>
      <xdr:colOff>885190</xdr:colOff>
      <xdr:row>2791</xdr:row>
      <xdr:rowOff>1209040</xdr:rowOff>
    </xdr:to>
    <xdr:pic>
      <xdr:nvPicPr>
        <xdr:cNvPr id="7343" name="Изображение 7342" descr="resizeПП-00262797"/>
        <xdr:cNvPicPr>
          <a:picLocks noChangeAspect="1"/>
        </xdr:cNvPicPr>
      </xdr:nvPicPr>
      <xdr:blipFill>
        <a:blip xmlns:r="http://schemas.openxmlformats.org/officeDocument/2006/relationships" r:embed="rId2066"/>
        <a:stretch>
          <a:fillRect/>
        </a:stretch>
      </xdr:blipFill>
      <xdr:spPr>
        <a:xfrm>
          <a:off x="7235825" y="2713821725"/>
          <a:ext cx="878840" cy="1183640"/>
        </a:xfrm>
        <a:prstGeom prst="rect">
          <a:avLst/>
        </a:prstGeom>
      </xdr:spPr>
    </xdr:pic>
    <xdr:clientData/>
  </xdr:twoCellAnchor>
  <xdr:twoCellAnchor>
    <xdr:from>
      <xdr:col>9</xdr:col>
      <xdr:colOff>6350</xdr:colOff>
      <xdr:row>2793</xdr:row>
      <xdr:rowOff>25400</xdr:rowOff>
    </xdr:from>
    <xdr:to>
      <xdr:col>9</xdr:col>
      <xdr:colOff>885190</xdr:colOff>
      <xdr:row>2793</xdr:row>
      <xdr:rowOff>1209040</xdr:rowOff>
    </xdr:to>
    <xdr:pic>
      <xdr:nvPicPr>
        <xdr:cNvPr id="7344" name="Изображение 7343" descr="resizeПП-00262800"/>
        <xdr:cNvPicPr>
          <a:picLocks noChangeAspect="1"/>
        </xdr:cNvPicPr>
      </xdr:nvPicPr>
      <xdr:blipFill>
        <a:blip xmlns:r="http://schemas.openxmlformats.org/officeDocument/2006/relationships" r:embed="rId2067"/>
        <a:stretch>
          <a:fillRect/>
        </a:stretch>
      </xdr:blipFill>
      <xdr:spPr>
        <a:xfrm>
          <a:off x="7235825" y="2715196500"/>
          <a:ext cx="878840" cy="1183640"/>
        </a:xfrm>
        <a:prstGeom prst="rect">
          <a:avLst/>
        </a:prstGeom>
      </xdr:spPr>
    </xdr:pic>
    <xdr:clientData/>
  </xdr:twoCellAnchor>
  <xdr:twoCellAnchor>
    <xdr:from>
      <xdr:col>9</xdr:col>
      <xdr:colOff>6350</xdr:colOff>
      <xdr:row>2794</xdr:row>
      <xdr:rowOff>25400</xdr:rowOff>
    </xdr:from>
    <xdr:to>
      <xdr:col>9</xdr:col>
      <xdr:colOff>885190</xdr:colOff>
      <xdr:row>2794</xdr:row>
      <xdr:rowOff>1209040</xdr:rowOff>
    </xdr:to>
    <xdr:pic>
      <xdr:nvPicPr>
        <xdr:cNvPr id="7345" name="Изображение 7344" descr="resizeПП-00262801"/>
        <xdr:cNvPicPr>
          <a:picLocks noChangeAspect="1"/>
        </xdr:cNvPicPr>
      </xdr:nvPicPr>
      <xdr:blipFill>
        <a:blip xmlns:r="http://schemas.openxmlformats.org/officeDocument/2006/relationships" r:embed="rId2068"/>
        <a:stretch>
          <a:fillRect/>
        </a:stretch>
      </xdr:blipFill>
      <xdr:spPr>
        <a:xfrm>
          <a:off x="7235825" y="2716418875"/>
          <a:ext cx="878840" cy="1183640"/>
        </a:xfrm>
        <a:prstGeom prst="rect">
          <a:avLst/>
        </a:prstGeom>
      </xdr:spPr>
    </xdr:pic>
    <xdr:clientData/>
  </xdr:twoCellAnchor>
  <xdr:twoCellAnchor>
    <xdr:from>
      <xdr:col>9</xdr:col>
      <xdr:colOff>6350</xdr:colOff>
      <xdr:row>2795</xdr:row>
      <xdr:rowOff>25400</xdr:rowOff>
    </xdr:from>
    <xdr:to>
      <xdr:col>9</xdr:col>
      <xdr:colOff>885190</xdr:colOff>
      <xdr:row>2795</xdr:row>
      <xdr:rowOff>1209040</xdr:rowOff>
    </xdr:to>
    <xdr:pic>
      <xdr:nvPicPr>
        <xdr:cNvPr id="7346" name="Изображение 7345" descr="resizeПП-00262804"/>
        <xdr:cNvPicPr>
          <a:picLocks noChangeAspect="1"/>
        </xdr:cNvPicPr>
      </xdr:nvPicPr>
      <xdr:blipFill>
        <a:blip xmlns:r="http://schemas.openxmlformats.org/officeDocument/2006/relationships" r:embed="rId2069"/>
        <a:stretch>
          <a:fillRect/>
        </a:stretch>
      </xdr:blipFill>
      <xdr:spPr>
        <a:xfrm>
          <a:off x="7235825" y="2717641250"/>
          <a:ext cx="878840" cy="1183640"/>
        </a:xfrm>
        <a:prstGeom prst="rect">
          <a:avLst/>
        </a:prstGeom>
      </xdr:spPr>
    </xdr:pic>
    <xdr:clientData/>
  </xdr:twoCellAnchor>
  <xdr:twoCellAnchor>
    <xdr:from>
      <xdr:col>9</xdr:col>
      <xdr:colOff>6350</xdr:colOff>
      <xdr:row>2796</xdr:row>
      <xdr:rowOff>25400</xdr:rowOff>
    </xdr:from>
    <xdr:to>
      <xdr:col>9</xdr:col>
      <xdr:colOff>885190</xdr:colOff>
      <xdr:row>2796</xdr:row>
      <xdr:rowOff>1209040</xdr:rowOff>
    </xdr:to>
    <xdr:pic>
      <xdr:nvPicPr>
        <xdr:cNvPr id="7347" name="Изображение 7346" descr="resizeПП-00262802"/>
        <xdr:cNvPicPr>
          <a:picLocks noChangeAspect="1"/>
        </xdr:cNvPicPr>
      </xdr:nvPicPr>
      <xdr:blipFill>
        <a:blip xmlns:r="http://schemas.openxmlformats.org/officeDocument/2006/relationships" r:embed="rId2070"/>
        <a:stretch>
          <a:fillRect/>
        </a:stretch>
      </xdr:blipFill>
      <xdr:spPr>
        <a:xfrm>
          <a:off x="7235825" y="2718863625"/>
          <a:ext cx="878840" cy="1183640"/>
        </a:xfrm>
        <a:prstGeom prst="rect">
          <a:avLst/>
        </a:prstGeom>
      </xdr:spPr>
    </xdr:pic>
    <xdr:clientData/>
  </xdr:twoCellAnchor>
  <xdr:twoCellAnchor>
    <xdr:from>
      <xdr:col>9</xdr:col>
      <xdr:colOff>6350</xdr:colOff>
      <xdr:row>2797</xdr:row>
      <xdr:rowOff>25400</xdr:rowOff>
    </xdr:from>
    <xdr:to>
      <xdr:col>9</xdr:col>
      <xdr:colOff>885190</xdr:colOff>
      <xdr:row>2797</xdr:row>
      <xdr:rowOff>1209040</xdr:rowOff>
    </xdr:to>
    <xdr:pic>
      <xdr:nvPicPr>
        <xdr:cNvPr id="7348" name="Изображение 7347" descr="resizeПП-00262806"/>
        <xdr:cNvPicPr>
          <a:picLocks noChangeAspect="1"/>
        </xdr:cNvPicPr>
      </xdr:nvPicPr>
      <xdr:blipFill>
        <a:blip xmlns:r="http://schemas.openxmlformats.org/officeDocument/2006/relationships" r:embed="rId2071"/>
        <a:stretch>
          <a:fillRect/>
        </a:stretch>
      </xdr:blipFill>
      <xdr:spPr>
        <a:xfrm>
          <a:off x="7235825" y="2720086000"/>
          <a:ext cx="878840" cy="1183640"/>
        </a:xfrm>
        <a:prstGeom prst="rect">
          <a:avLst/>
        </a:prstGeom>
      </xdr:spPr>
    </xdr:pic>
    <xdr:clientData/>
  </xdr:twoCellAnchor>
  <xdr:twoCellAnchor>
    <xdr:from>
      <xdr:col>9</xdr:col>
      <xdr:colOff>6350</xdr:colOff>
      <xdr:row>2799</xdr:row>
      <xdr:rowOff>25400</xdr:rowOff>
    </xdr:from>
    <xdr:to>
      <xdr:col>9</xdr:col>
      <xdr:colOff>885190</xdr:colOff>
      <xdr:row>2799</xdr:row>
      <xdr:rowOff>1209040</xdr:rowOff>
    </xdr:to>
    <xdr:pic>
      <xdr:nvPicPr>
        <xdr:cNvPr id="7349" name="Изображение 7348" descr="resizeПП-00249212"/>
        <xdr:cNvPicPr>
          <a:picLocks noChangeAspect="1"/>
        </xdr:cNvPicPr>
      </xdr:nvPicPr>
      <xdr:blipFill>
        <a:blip xmlns:r="http://schemas.openxmlformats.org/officeDocument/2006/relationships" r:embed="rId2072"/>
        <a:stretch>
          <a:fillRect/>
        </a:stretch>
      </xdr:blipFill>
      <xdr:spPr>
        <a:xfrm>
          <a:off x="7235825" y="2721460775"/>
          <a:ext cx="878840" cy="1183640"/>
        </a:xfrm>
        <a:prstGeom prst="rect">
          <a:avLst/>
        </a:prstGeom>
      </xdr:spPr>
    </xdr:pic>
    <xdr:clientData/>
  </xdr:twoCellAnchor>
  <xdr:twoCellAnchor>
    <xdr:from>
      <xdr:col>9</xdr:col>
      <xdr:colOff>6350</xdr:colOff>
      <xdr:row>2800</xdr:row>
      <xdr:rowOff>25400</xdr:rowOff>
    </xdr:from>
    <xdr:to>
      <xdr:col>9</xdr:col>
      <xdr:colOff>885190</xdr:colOff>
      <xdr:row>2800</xdr:row>
      <xdr:rowOff>1209040</xdr:rowOff>
    </xdr:to>
    <xdr:pic>
      <xdr:nvPicPr>
        <xdr:cNvPr id="7350" name="Изображение 7349" descr="resizeПП-00249213"/>
        <xdr:cNvPicPr>
          <a:picLocks noChangeAspect="1"/>
        </xdr:cNvPicPr>
      </xdr:nvPicPr>
      <xdr:blipFill>
        <a:blip xmlns:r="http://schemas.openxmlformats.org/officeDocument/2006/relationships" r:embed="rId2073"/>
        <a:stretch>
          <a:fillRect/>
        </a:stretch>
      </xdr:blipFill>
      <xdr:spPr>
        <a:xfrm>
          <a:off x="7235825" y="2722683150"/>
          <a:ext cx="878840" cy="1183640"/>
        </a:xfrm>
        <a:prstGeom prst="rect">
          <a:avLst/>
        </a:prstGeom>
      </xdr:spPr>
    </xdr:pic>
    <xdr:clientData/>
  </xdr:twoCellAnchor>
  <xdr:twoCellAnchor>
    <xdr:from>
      <xdr:col>9</xdr:col>
      <xdr:colOff>6350</xdr:colOff>
      <xdr:row>2801</xdr:row>
      <xdr:rowOff>25400</xdr:rowOff>
    </xdr:from>
    <xdr:to>
      <xdr:col>9</xdr:col>
      <xdr:colOff>885190</xdr:colOff>
      <xdr:row>2801</xdr:row>
      <xdr:rowOff>1209040</xdr:rowOff>
    </xdr:to>
    <xdr:pic>
      <xdr:nvPicPr>
        <xdr:cNvPr id="7351" name="Изображение 7350" descr="resizeПП-00249211"/>
        <xdr:cNvPicPr>
          <a:picLocks noChangeAspect="1"/>
        </xdr:cNvPicPr>
      </xdr:nvPicPr>
      <xdr:blipFill>
        <a:blip xmlns:r="http://schemas.openxmlformats.org/officeDocument/2006/relationships" r:embed="rId2072"/>
        <a:stretch>
          <a:fillRect/>
        </a:stretch>
      </xdr:blipFill>
      <xdr:spPr>
        <a:xfrm>
          <a:off x="7235825" y="2723905525"/>
          <a:ext cx="878840" cy="1183640"/>
        </a:xfrm>
        <a:prstGeom prst="rect">
          <a:avLst/>
        </a:prstGeom>
      </xdr:spPr>
    </xdr:pic>
    <xdr:clientData/>
  </xdr:twoCellAnchor>
  <xdr:twoCellAnchor>
    <xdr:from>
      <xdr:col>9</xdr:col>
      <xdr:colOff>6350</xdr:colOff>
      <xdr:row>2804</xdr:row>
      <xdr:rowOff>25400</xdr:rowOff>
    </xdr:from>
    <xdr:to>
      <xdr:col>9</xdr:col>
      <xdr:colOff>885190</xdr:colOff>
      <xdr:row>2804</xdr:row>
      <xdr:rowOff>1209040</xdr:rowOff>
    </xdr:to>
    <xdr:pic>
      <xdr:nvPicPr>
        <xdr:cNvPr id="7352" name="Изображение 7351" descr="resizeПП-00122630"/>
        <xdr:cNvPicPr>
          <a:picLocks noChangeAspect="1"/>
        </xdr:cNvPicPr>
      </xdr:nvPicPr>
      <xdr:blipFill>
        <a:blip xmlns:r="http://schemas.openxmlformats.org/officeDocument/2006/relationships" r:embed="rId2074"/>
        <a:stretch>
          <a:fillRect/>
        </a:stretch>
      </xdr:blipFill>
      <xdr:spPr>
        <a:xfrm>
          <a:off x="7235825" y="2725432700"/>
          <a:ext cx="878840" cy="1183640"/>
        </a:xfrm>
        <a:prstGeom prst="rect">
          <a:avLst/>
        </a:prstGeom>
      </xdr:spPr>
    </xdr:pic>
    <xdr:clientData/>
  </xdr:twoCellAnchor>
  <xdr:twoCellAnchor>
    <xdr:from>
      <xdr:col>9</xdr:col>
      <xdr:colOff>6350</xdr:colOff>
      <xdr:row>2805</xdr:row>
      <xdr:rowOff>25400</xdr:rowOff>
    </xdr:from>
    <xdr:to>
      <xdr:col>9</xdr:col>
      <xdr:colOff>885190</xdr:colOff>
      <xdr:row>2805</xdr:row>
      <xdr:rowOff>1209040</xdr:rowOff>
    </xdr:to>
    <xdr:pic>
      <xdr:nvPicPr>
        <xdr:cNvPr id="7353" name="Изображение 7352" descr="resizeПП-00122629"/>
        <xdr:cNvPicPr>
          <a:picLocks noChangeAspect="1"/>
        </xdr:cNvPicPr>
      </xdr:nvPicPr>
      <xdr:blipFill>
        <a:blip xmlns:r="http://schemas.openxmlformats.org/officeDocument/2006/relationships" r:embed="rId2075"/>
        <a:stretch>
          <a:fillRect/>
        </a:stretch>
      </xdr:blipFill>
      <xdr:spPr>
        <a:xfrm>
          <a:off x="7235825" y="2726655075"/>
          <a:ext cx="878840" cy="1183640"/>
        </a:xfrm>
        <a:prstGeom prst="rect">
          <a:avLst/>
        </a:prstGeom>
      </xdr:spPr>
    </xdr:pic>
    <xdr:clientData/>
  </xdr:twoCellAnchor>
  <xdr:twoCellAnchor>
    <xdr:from>
      <xdr:col>9</xdr:col>
      <xdr:colOff>6350</xdr:colOff>
      <xdr:row>2806</xdr:row>
      <xdr:rowOff>25400</xdr:rowOff>
    </xdr:from>
    <xdr:to>
      <xdr:col>9</xdr:col>
      <xdr:colOff>885190</xdr:colOff>
      <xdr:row>2806</xdr:row>
      <xdr:rowOff>1209040</xdr:rowOff>
    </xdr:to>
    <xdr:pic>
      <xdr:nvPicPr>
        <xdr:cNvPr id="7354" name="Изображение 7353" descr="resizeПП-00122631"/>
        <xdr:cNvPicPr>
          <a:picLocks noChangeAspect="1"/>
        </xdr:cNvPicPr>
      </xdr:nvPicPr>
      <xdr:blipFill>
        <a:blip xmlns:r="http://schemas.openxmlformats.org/officeDocument/2006/relationships" r:embed="rId2076"/>
        <a:stretch>
          <a:fillRect/>
        </a:stretch>
      </xdr:blipFill>
      <xdr:spPr>
        <a:xfrm>
          <a:off x="7235825" y="2727877450"/>
          <a:ext cx="878840" cy="1183640"/>
        </a:xfrm>
        <a:prstGeom prst="rect">
          <a:avLst/>
        </a:prstGeom>
      </xdr:spPr>
    </xdr:pic>
    <xdr:clientData/>
  </xdr:twoCellAnchor>
  <xdr:twoCellAnchor>
    <xdr:from>
      <xdr:col>9</xdr:col>
      <xdr:colOff>6350</xdr:colOff>
      <xdr:row>2807</xdr:row>
      <xdr:rowOff>25400</xdr:rowOff>
    </xdr:from>
    <xdr:to>
      <xdr:col>9</xdr:col>
      <xdr:colOff>885190</xdr:colOff>
      <xdr:row>2807</xdr:row>
      <xdr:rowOff>1209040</xdr:rowOff>
    </xdr:to>
    <xdr:pic>
      <xdr:nvPicPr>
        <xdr:cNvPr id="7355" name="Изображение 7354" descr="resizeПП-00122632"/>
        <xdr:cNvPicPr>
          <a:picLocks noChangeAspect="1"/>
        </xdr:cNvPicPr>
      </xdr:nvPicPr>
      <xdr:blipFill>
        <a:blip xmlns:r="http://schemas.openxmlformats.org/officeDocument/2006/relationships" r:embed="rId2077"/>
        <a:stretch>
          <a:fillRect/>
        </a:stretch>
      </xdr:blipFill>
      <xdr:spPr>
        <a:xfrm>
          <a:off x="7235825" y="2729099825"/>
          <a:ext cx="878840" cy="1183640"/>
        </a:xfrm>
        <a:prstGeom prst="rect">
          <a:avLst/>
        </a:prstGeom>
      </xdr:spPr>
    </xdr:pic>
    <xdr:clientData/>
  </xdr:twoCellAnchor>
  <xdr:twoCellAnchor>
    <xdr:from>
      <xdr:col>9</xdr:col>
      <xdr:colOff>6350</xdr:colOff>
      <xdr:row>2809</xdr:row>
      <xdr:rowOff>25400</xdr:rowOff>
    </xdr:from>
    <xdr:to>
      <xdr:col>9</xdr:col>
      <xdr:colOff>885190</xdr:colOff>
      <xdr:row>2809</xdr:row>
      <xdr:rowOff>1209040</xdr:rowOff>
    </xdr:to>
    <xdr:pic>
      <xdr:nvPicPr>
        <xdr:cNvPr id="7356" name="Изображение 7355" descr="resizeПП-00122626"/>
        <xdr:cNvPicPr>
          <a:picLocks noChangeAspect="1"/>
        </xdr:cNvPicPr>
      </xdr:nvPicPr>
      <xdr:blipFill>
        <a:blip xmlns:r="http://schemas.openxmlformats.org/officeDocument/2006/relationships" r:embed="rId2074"/>
        <a:stretch>
          <a:fillRect/>
        </a:stretch>
      </xdr:blipFill>
      <xdr:spPr>
        <a:xfrm>
          <a:off x="7235825" y="2730474600"/>
          <a:ext cx="878840" cy="1183640"/>
        </a:xfrm>
        <a:prstGeom prst="rect">
          <a:avLst/>
        </a:prstGeom>
      </xdr:spPr>
    </xdr:pic>
    <xdr:clientData/>
  </xdr:twoCellAnchor>
  <xdr:twoCellAnchor>
    <xdr:from>
      <xdr:col>9</xdr:col>
      <xdr:colOff>6350</xdr:colOff>
      <xdr:row>2810</xdr:row>
      <xdr:rowOff>25400</xdr:rowOff>
    </xdr:from>
    <xdr:to>
      <xdr:col>9</xdr:col>
      <xdr:colOff>885190</xdr:colOff>
      <xdr:row>2810</xdr:row>
      <xdr:rowOff>1209040</xdr:rowOff>
    </xdr:to>
    <xdr:pic>
      <xdr:nvPicPr>
        <xdr:cNvPr id="7357" name="Изображение 7356" descr="resizeПП-00122624"/>
        <xdr:cNvPicPr>
          <a:picLocks noChangeAspect="1"/>
        </xdr:cNvPicPr>
      </xdr:nvPicPr>
      <xdr:blipFill>
        <a:blip xmlns:r="http://schemas.openxmlformats.org/officeDocument/2006/relationships" r:embed="rId2075"/>
        <a:stretch>
          <a:fillRect/>
        </a:stretch>
      </xdr:blipFill>
      <xdr:spPr>
        <a:xfrm>
          <a:off x="7235825" y="2731696975"/>
          <a:ext cx="878840" cy="1183640"/>
        </a:xfrm>
        <a:prstGeom prst="rect">
          <a:avLst/>
        </a:prstGeom>
      </xdr:spPr>
    </xdr:pic>
    <xdr:clientData/>
  </xdr:twoCellAnchor>
  <xdr:twoCellAnchor>
    <xdr:from>
      <xdr:col>9</xdr:col>
      <xdr:colOff>6350</xdr:colOff>
      <xdr:row>2811</xdr:row>
      <xdr:rowOff>25400</xdr:rowOff>
    </xdr:from>
    <xdr:to>
      <xdr:col>9</xdr:col>
      <xdr:colOff>885190</xdr:colOff>
      <xdr:row>2811</xdr:row>
      <xdr:rowOff>1209040</xdr:rowOff>
    </xdr:to>
    <xdr:pic>
      <xdr:nvPicPr>
        <xdr:cNvPr id="7358" name="Изображение 7357" descr="resizeПП-00262832"/>
        <xdr:cNvPicPr>
          <a:picLocks noChangeAspect="1"/>
        </xdr:cNvPicPr>
      </xdr:nvPicPr>
      <xdr:blipFill>
        <a:blip xmlns:r="http://schemas.openxmlformats.org/officeDocument/2006/relationships" r:embed="rId2078"/>
        <a:stretch>
          <a:fillRect/>
        </a:stretch>
      </xdr:blipFill>
      <xdr:spPr>
        <a:xfrm>
          <a:off x="7235825" y="2732919350"/>
          <a:ext cx="878840" cy="1183640"/>
        </a:xfrm>
        <a:prstGeom prst="rect">
          <a:avLst/>
        </a:prstGeom>
      </xdr:spPr>
    </xdr:pic>
    <xdr:clientData/>
  </xdr:twoCellAnchor>
  <xdr:twoCellAnchor>
    <xdr:from>
      <xdr:col>9</xdr:col>
      <xdr:colOff>6350</xdr:colOff>
      <xdr:row>2812</xdr:row>
      <xdr:rowOff>25400</xdr:rowOff>
    </xdr:from>
    <xdr:to>
      <xdr:col>9</xdr:col>
      <xdr:colOff>885190</xdr:colOff>
      <xdr:row>2812</xdr:row>
      <xdr:rowOff>1209040</xdr:rowOff>
    </xdr:to>
    <xdr:pic>
      <xdr:nvPicPr>
        <xdr:cNvPr id="7359" name="Изображение 7358" descr="resizeПП-00122627"/>
        <xdr:cNvPicPr>
          <a:picLocks noChangeAspect="1"/>
        </xdr:cNvPicPr>
      </xdr:nvPicPr>
      <xdr:blipFill>
        <a:blip xmlns:r="http://schemas.openxmlformats.org/officeDocument/2006/relationships" r:embed="rId2076"/>
        <a:stretch>
          <a:fillRect/>
        </a:stretch>
      </xdr:blipFill>
      <xdr:spPr>
        <a:xfrm>
          <a:off x="7235825" y="2734141725"/>
          <a:ext cx="878840" cy="1183640"/>
        </a:xfrm>
        <a:prstGeom prst="rect">
          <a:avLst/>
        </a:prstGeom>
      </xdr:spPr>
    </xdr:pic>
    <xdr:clientData/>
  </xdr:twoCellAnchor>
  <xdr:twoCellAnchor>
    <xdr:from>
      <xdr:col>9</xdr:col>
      <xdr:colOff>6350</xdr:colOff>
      <xdr:row>2813</xdr:row>
      <xdr:rowOff>25400</xdr:rowOff>
    </xdr:from>
    <xdr:to>
      <xdr:col>9</xdr:col>
      <xdr:colOff>885190</xdr:colOff>
      <xdr:row>2813</xdr:row>
      <xdr:rowOff>1209040</xdr:rowOff>
    </xdr:to>
    <xdr:pic>
      <xdr:nvPicPr>
        <xdr:cNvPr id="7360" name="Изображение 7359" descr="resizeПП-00122628"/>
        <xdr:cNvPicPr>
          <a:picLocks noChangeAspect="1"/>
        </xdr:cNvPicPr>
      </xdr:nvPicPr>
      <xdr:blipFill>
        <a:blip xmlns:r="http://schemas.openxmlformats.org/officeDocument/2006/relationships" r:embed="rId2077"/>
        <a:stretch>
          <a:fillRect/>
        </a:stretch>
      </xdr:blipFill>
      <xdr:spPr>
        <a:xfrm>
          <a:off x="7235825" y="2735364100"/>
          <a:ext cx="878840" cy="1183640"/>
        </a:xfrm>
        <a:prstGeom prst="rect">
          <a:avLst/>
        </a:prstGeom>
      </xdr:spPr>
    </xdr:pic>
    <xdr:clientData/>
  </xdr:twoCellAnchor>
  <xdr:twoCellAnchor>
    <xdr:from>
      <xdr:col>9</xdr:col>
      <xdr:colOff>6350</xdr:colOff>
      <xdr:row>2814</xdr:row>
      <xdr:rowOff>25400</xdr:rowOff>
    </xdr:from>
    <xdr:to>
      <xdr:col>9</xdr:col>
      <xdr:colOff>885190</xdr:colOff>
      <xdr:row>2814</xdr:row>
      <xdr:rowOff>1209040</xdr:rowOff>
    </xdr:to>
    <xdr:pic>
      <xdr:nvPicPr>
        <xdr:cNvPr id="7361" name="Изображение 7360" descr="resizeПП-00262834"/>
        <xdr:cNvPicPr>
          <a:picLocks noChangeAspect="1"/>
        </xdr:cNvPicPr>
      </xdr:nvPicPr>
      <xdr:blipFill>
        <a:blip xmlns:r="http://schemas.openxmlformats.org/officeDocument/2006/relationships" r:embed="rId2079"/>
        <a:stretch>
          <a:fillRect/>
        </a:stretch>
      </xdr:blipFill>
      <xdr:spPr>
        <a:xfrm>
          <a:off x="7235825" y="2736586475"/>
          <a:ext cx="878840" cy="1183640"/>
        </a:xfrm>
        <a:prstGeom prst="rect">
          <a:avLst/>
        </a:prstGeom>
      </xdr:spPr>
    </xdr:pic>
    <xdr:clientData/>
  </xdr:twoCellAnchor>
  <xdr:twoCellAnchor>
    <xdr:from>
      <xdr:col>9</xdr:col>
      <xdr:colOff>6350</xdr:colOff>
      <xdr:row>2817</xdr:row>
      <xdr:rowOff>25400</xdr:rowOff>
    </xdr:from>
    <xdr:to>
      <xdr:col>9</xdr:col>
      <xdr:colOff>885190</xdr:colOff>
      <xdr:row>2817</xdr:row>
      <xdr:rowOff>1209040</xdr:rowOff>
    </xdr:to>
    <xdr:pic>
      <xdr:nvPicPr>
        <xdr:cNvPr id="7362" name="Изображение 7361" descr="resizeПП-00262830"/>
        <xdr:cNvPicPr>
          <a:picLocks noChangeAspect="1"/>
        </xdr:cNvPicPr>
      </xdr:nvPicPr>
      <xdr:blipFill>
        <a:blip xmlns:r="http://schemas.openxmlformats.org/officeDocument/2006/relationships" r:embed="rId2080"/>
        <a:stretch>
          <a:fillRect/>
        </a:stretch>
      </xdr:blipFill>
      <xdr:spPr>
        <a:xfrm>
          <a:off x="7235825" y="2738113650"/>
          <a:ext cx="878840" cy="1183640"/>
        </a:xfrm>
        <a:prstGeom prst="rect">
          <a:avLst/>
        </a:prstGeom>
      </xdr:spPr>
    </xdr:pic>
    <xdr:clientData/>
  </xdr:twoCellAnchor>
  <xdr:twoCellAnchor>
    <xdr:from>
      <xdr:col>9</xdr:col>
      <xdr:colOff>6350</xdr:colOff>
      <xdr:row>2818</xdr:row>
      <xdr:rowOff>25400</xdr:rowOff>
    </xdr:from>
    <xdr:to>
      <xdr:col>9</xdr:col>
      <xdr:colOff>885190</xdr:colOff>
      <xdr:row>2818</xdr:row>
      <xdr:rowOff>1209040</xdr:rowOff>
    </xdr:to>
    <xdr:pic>
      <xdr:nvPicPr>
        <xdr:cNvPr id="7363" name="Изображение 7362" descr="resizeПП-00262831"/>
        <xdr:cNvPicPr>
          <a:picLocks noChangeAspect="1"/>
        </xdr:cNvPicPr>
      </xdr:nvPicPr>
      <xdr:blipFill>
        <a:blip xmlns:r="http://schemas.openxmlformats.org/officeDocument/2006/relationships" r:embed="rId2081"/>
        <a:stretch>
          <a:fillRect/>
        </a:stretch>
      </xdr:blipFill>
      <xdr:spPr>
        <a:xfrm>
          <a:off x="7235825" y="2739336025"/>
          <a:ext cx="878840" cy="1183640"/>
        </a:xfrm>
        <a:prstGeom prst="rect">
          <a:avLst/>
        </a:prstGeom>
      </xdr:spPr>
    </xdr:pic>
    <xdr:clientData/>
  </xdr:twoCellAnchor>
  <xdr:twoCellAnchor>
    <xdr:from>
      <xdr:col>9</xdr:col>
      <xdr:colOff>6350</xdr:colOff>
      <xdr:row>2821</xdr:row>
      <xdr:rowOff>25400</xdr:rowOff>
    </xdr:from>
    <xdr:to>
      <xdr:col>9</xdr:col>
      <xdr:colOff>885190</xdr:colOff>
      <xdr:row>2821</xdr:row>
      <xdr:rowOff>1209040</xdr:rowOff>
    </xdr:to>
    <xdr:pic>
      <xdr:nvPicPr>
        <xdr:cNvPr id="7364" name="Изображение 7363" descr="resizeПП-00234426"/>
        <xdr:cNvPicPr>
          <a:picLocks noChangeAspect="1"/>
        </xdr:cNvPicPr>
      </xdr:nvPicPr>
      <xdr:blipFill>
        <a:blip xmlns:r="http://schemas.openxmlformats.org/officeDocument/2006/relationships" r:embed="rId2082"/>
        <a:stretch>
          <a:fillRect/>
        </a:stretch>
      </xdr:blipFill>
      <xdr:spPr>
        <a:xfrm>
          <a:off x="7235825" y="2740863200"/>
          <a:ext cx="878840" cy="1183640"/>
        </a:xfrm>
        <a:prstGeom prst="rect">
          <a:avLst/>
        </a:prstGeom>
      </xdr:spPr>
    </xdr:pic>
    <xdr:clientData/>
  </xdr:twoCellAnchor>
  <xdr:twoCellAnchor>
    <xdr:from>
      <xdr:col>9</xdr:col>
      <xdr:colOff>6350</xdr:colOff>
      <xdr:row>2822</xdr:row>
      <xdr:rowOff>25400</xdr:rowOff>
    </xdr:from>
    <xdr:to>
      <xdr:col>9</xdr:col>
      <xdr:colOff>885190</xdr:colOff>
      <xdr:row>2822</xdr:row>
      <xdr:rowOff>1209040</xdr:rowOff>
    </xdr:to>
    <xdr:pic>
      <xdr:nvPicPr>
        <xdr:cNvPr id="7365" name="Изображение 7364" descr="resizeПП-00234425"/>
        <xdr:cNvPicPr>
          <a:picLocks noChangeAspect="1"/>
        </xdr:cNvPicPr>
      </xdr:nvPicPr>
      <xdr:blipFill>
        <a:blip xmlns:r="http://schemas.openxmlformats.org/officeDocument/2006/relationships" r:embed="rId2083"/>
        <a:stretch>
          <a:fillRect/>
        </a:stretch>
      </xdr:blipFill>
      <xdr:spPr>
        <a:xfrm>
          <a:off x="7235825" y="2742085575"/>
          <a:ext cx="878840" cy="1183640"/>
        </a:xfrm>
        <a:prstGeom prst="rect">
          <a:avLst/>
        </a:prstGeom>
      </xdr:spPr>
    </xdr:pic>
    <xdr:clientData/>
  </xdr:twoCellAnchor>
  <xdr:twoCellAnchor>
    <xdr:from>
      <xdr:col>9</xdr:col>
      <xdr:colOff>6350</xdr:colOff>
      <xdr:row>2823</xdr:row>
      <xdr:rowOff>25400</xdr:rowOff>
    </xdr:from>
    <xdr:to>
      <xdr:col>9</xdr:col>
      <xdr:colOff>885190</xdr:colOff>
      <xdr:row>2823</xdr:row>
      <xdr:rowOff>1209040</xdr:rowOff>
    </xdr:to>
    <xdr:pic>
      <xdr:nvPicPr>
        <xdr:cNvPr id="7366" name="Изображение 7365" descr="resizeПП-00210164"/>
        <xdr:cNvPicPr>
          <a:picLocks noChangeAspect="1"/>
        </xdr:cNvPicPr>
      </xdr:nvPicPr>
      <xdr:blipFill>
        <a:blip xmlns:r="http://schemas.openxmlformats.org/officeDocument/2006/relationships" r:embed="rId2084"/>
        <a:stretch>
          <a:fillRect/>
        </a:stretch>
      </xdr:blipFill>
      <xdr:spPr>
        <a:xfrm>
          <a:off x="7235825" y="2743307950"/>
          <a:ext cx="878840" cy="1183640"/>
        </a:xfrm>
        <a:prstGeom prst="rect">
          <a:avLst/>
        </a:prstGeom>
      </xdr:spPr>
    </xdr:pic>
    <xdr:clientData/>
  </xdr:twoCellAnchor>
  <xdr:twoCellAnchor>
    <xdr:from>
      <xdr:col>9</xdr:col>
      <xdr:colOff>6350</xdr:colOff>
      <xdr:row>2824</xdr:row>
      <xdr:rowOff>25400</xdr:rowOff>
    </xdr:from>
    <xdr:to>
      <xdr:col>9</xdr:col>
      <xdr:colOff>885190</xdr:colOff>
      <xdr:row>2824</xdr:row>
      <xdr:rowOff>1209040</xdr:rowOff>
    </xdr:to>
    <xdr:pic>
      <xdr:nvPicPr>
        <xdr:cNvPr id="7367" name="Изображение 7366" descr="resizeПП-00258455"/>
        <xdr:cNvPicPr>
          <a:picLocks noChangeAspect="1"/>
        </xdr:cNvPicPr>
      </xdr:nvPicPr>
      <xdr:blipFill>
        <a:blip xmlns:r="http://schemas.openxmlformats.org/officeDocument/2006/relationships" r:embed="rId2085"/>
        <a:stretch>
          <a:fillRect/>
        </a:stretch>
      </xdr:blipFill>
      <xdr:spPr>
        <a:xfrm>
          <a:off x="7235825" y="2744530325"/>
          <a:ext cx="878840" cy="1183640"/>
        </a:xfrm>
        <a:prstGeom prst="rect">
          <a:avLst/>
        </a:prstGeom>
      </xdr:spPr>
    </xdr:pic>
    <xdr:clientData/>
  </xdr:twoCellAnchor>
  <xdr:twoCellAnchor>
    <xdr:from>
      <xdr:col>9</xdr:col>
      <xdr:colOff>6350</xdr:colOff>
      <xdr:row>2825</xdr:row>
      <xdr:rowOff>25400</xdr:rowOff>
    </xdr:from>
    <xdr:to>
      <xdr:col>9</xdr:col>
      <xdr:colOff>885190</xdr:colOff>
      <xdr:row>2825</xdr:row>
      <xdr:rowOff>1209040</xdr:rowOff>
    </xdr:to>
    <xdr:pic>
      <xdr:nvPicPr>
        <xdr:cNvPr id="7368" name="Изображение 7367" descr="resizeПП-00210159"/>
        <xdr:cNvPicPr>
          <a:picLocks noChangeAspect="1"/>
        </xdr:cNvPicPr>
      </xdr:nvPicPr>
      <xdr:blipFill>
        <a:blip xmlns:r="http://schemas.openxmlformats.org/officeDocument/2006/relationships" r:embed="rId2086"/>
        <a:stretch>
          <a:fillRect/>
        </a:stretch>
      </xdr:blipFill>
      <xdr:spPr>
        <a:xfrm>
          <a:off x="7235825" y="2745752700"/>
          <a:ext cx="878840" cy="1183640"/>
        </a:xfrm>
        <a:prstGeom prst="rect">
          <a:avLst/>
        </a:prstGeom>
      </xdr:spPr>
    </xdr:pic>
    <xdr:clientData/>
  </xdr:twoCellAnchor>
  <xdr:twoCellAnchor>
    <xdr:from>
      <xdr:col>9</xdr:col>
      <xdr:colOff>6350</xdr:colOff>
      <xdr:row>2826</xdr:row>
      <xdr:rowOff>25400</xdr:rowOff>
    </xdr:from>
    <xdr:to>
      <xdr:col>9</xdr:col>
      <xdr:colOff>885190</xdr:colOff>
      <xdr:row>2826</xdr:row>
      <xdr:rowOff>1209040</xdr:rowOff>
    </xdr:to>
    <xdr:pic>
      <xdr:nvPicPr>
        <xdr:cNvPr id="7369" name="Изображение 7368" descr="resizeПП-00210161"/>
        <xdr:cNvPicPr>
          <a:picLocks noChangeAspect="1"/>
        </xdr:cNvPicPr>
      </xdr:nvPicPr>
      <xdr:blipFill>
        <a:blip xmlns:r="http://schemas.openxmlformats.org/officeDocument/2006/relationships" r:embed="rId2087"/>
        <a:stretch>
          <a:fillRect/>
        </a:stretch>
      </xdr:blipFill>
      <xdr:spPr>
        <a:xfrm>
          <a:off x="7235825" y="2746975075"/>
          <a:ext cx="878840" cy="1183640"/>
        </a:xfrm>
        <a:prstGeom prst="rect">
          <a:avLst/>
        </a:prstGeom>
      </xdr:spPr>
    </xdr:pic>
    <xdr:clientData/>
  </xdr:twoCellAnchor>
  <xdr:twoCellAnchor>
    <xdr:from>
      <xdr:col>9</xdr:col>
      <xdr:colOff>6350</xdr:colOff>
      <xdr:row>2827</xdr:row>
      <xdr:rowOff>25400</xdr:rowOff>
    </xdr:from>
    <xdr:to>
      <xdr:col>9</xdr:col>
      <xdr:colOff>885190</xdr:colOff>
      <xdr:row>2827</xdr:row>
      <xdr:rowOff>1209040</xdr:rowOff>
    </xdr:to>
    <xdr:pic>
      <xdr:nvPicPr>
        <xdr:cNvPr id="7370" name="Изображение 7369" descr="resizeПП-00234423"/>
        <xdr:cNvPicPr>
          <a:picLocks noChangeAspect="1"/>
        </xdr:cNvPicPr>
      </xdr:nvPicPr>
      <xdr:blipFill>
        <a:blip xmlns:r="http://schemas.openxmlformats.org/officeDocument/2006/relationships" r:embed="rId2088"/>
        <a:stretch>
          <a:fillRect/>
        </a:stretch>
      </xdr:blipFill>
      <xdr:spPr>
        <a:xfrm>
          <a:off x="7235825" y="2748197450"/>
          <a:ext cx="878840" cy="1183640"/>
        </a:xfrm>
        <a:prstGeom prst="rect">
          <a:avLst/>
        </a:prstGeom>
      </xdr:spPr>
    </xdr:pic>
    <xdr:clientData/>
  </xdr:twoCellAnchor>
  <xdr:twoCellAnchor>
    <xdr:from>
      <xdr:col>9</xdr:col>
      <xdr:colOff>6350</xdr:colOff>
      <xdr:row>2828</xdr:row>
      <xdr:rowOff>25400</xdr:rowOff>
    </xdr:from>
    <xdr:to>
      <xdr:col>9</xdr:col>
      <xdr:colOff>885190</xdr:colOff>
      <xdr:row>2828</xdr:row>
      <xdr:rowOff>1209040</xdr:rowOff>
    </xdr:to>
    <xdr:pic>
      <xdr:nvPicPr>
        <xdr:cNvPr id="7371" name="Изображение 7370" descr="resizeПП-00210160"/>
        <xdr:cNvPicPr>
          <a:picLocks noChangeAspect="1"/>
        </xdr:cNvPicPr>
      </xdr:nvPicPr>
      <xdr:blipFill>
        <a:blip xmlns:r="http://schemas.openxmlformats.org/officeDocument/2006/relationships" r:embed="rId2089"/>
        <a:stretch>
          <a:fillRect/>
        </a:stretch>
      </xdr:blipFill>
      <xdr:spPr>
        <a:xfrm>
          <a:off x="7235825" y="2749419825"/>
          <a:ext cx="878840" cy="1183640"/>
        </a:xfrm>
        <a:prstGeom prst="rect">
          <a:avLst/>
        </a:prstGeom>
      </xdr:spPr>
    </xdr:pic>
    <xdr:clientData/>
  </xdr:twoCellAnchor>
  <xdr:twoCellAnchor>
    <xdr:from>
      <xdr:col>9</xdr:col>
      <xdr:colOff>6350</xdr:colOff>
      <xdr:row>2829</xdr:row>
      <xdr:rowOff>25400</xdr:rowOff>
    </xdr:from>
    <xdr:to>
      <xdr:col>9</xdr:col>
      <xdr:colOff>885190</xdr:colOff>
      <xdr:row>2829</xdr:row>
      <xdr:rowOff>1209040</xdr:rowOff>
    </xdr:to>
    <xdr:pic>
      <xdr:nvPicPr>
        <xdr:cNvPr id="7372" name="Изображение 7371" descr="resizeПП-00258451"/>
        <xdr:cNvPicPr>
          <a:picLocks noChangeAspect="1"/>
        </xdr:cNvPicPr>
      </xdr:nvPicPr>
      <xdr:blipFill>
        <a:blip xmlns:r="http://schemas.openxmlformats.org/officeDocument/2006/relationships" r:embed="rId2090"/>
        <a:stretch>
          <a:fillRect/>
        </a:stretch>
      </xdr:blipFill>
      <xdr:spPr>
        <a:xfrm>
          <a:off x="7235825" y="2750642200"/>
          <a:ext cx="878840" cy="1183640"/>
        </a:xfrm>
        <a:prstGeom prst="rect">
          <a:avLst/>
        </a:prstGeom>
      </xdr:spPr>
    </xdr:pic>
    <xdr:clientData/>
  </xdr:twoCellAnchor>
  <xdr:twoCellAnchor>
    <xdr:from>
      <xdr:col>9</xdr:col>
      <xdr:colOff>6350</xdr:colOff>
      <xdr:row>2832</xdr:row>
      <xdr:rowOff>25400</xdr:rowOff>
    </xdr:from>
    <xdr:to>
      <xdr:col>9</xdr:col>
      <xdr:colOff>885190</xdr:colOff>
      <xdr:row>2832</xdr:row>
      <xdr:rowOff>1209040</xdr:rowOff>
    </xdr:to>
    <xdr:pic>
      <xdr:nvPicPr>
        <xdr:cNvPr id="7373" name="Изображение 7372" descr="resizeПП-00236747"/>
        <xdr:cNvPicPr>
          <a:picLocks noChangeAspect="1"/>
        </xdr:cNvPicPr>
      </xdr:nvPicPr>
      <xdr:blipFill>
        <a:blip xmlns:r="http://schemas.openxmlformats.org/officeDocument/2006/relationships" r:embed="rId2091"/>
        <a:stretch>
          <a:fillRect/>
        </a:stretch>
      </xdr:blipFill>
      <xdr:spPr>
        <a:xfrm>
          <a:off x="7235825" y="2752169375"/>
          <a:ext cx="878840" cy="1183640"/>
        </a:xfrm>
        <a:prstGeom prst="rect">
          <a:avLst/>
        </a:prstGeom>
      </xdr:spPr>
    </xdr:pic>
    <xdr:clientData/>
  </xdr:twoCellAnchor>
  <xdr:twoCellAnchor>
    <xdr:from>
      <xdr:col>9</xdr:col>
      <xdr:colOff>6350</xdr:colOff>
      <xdr:row>2833</xdr:row>
      <xdr:rowOff>25400</xdr:rowOff>
    </xdr:from>
    <xdr:to>
      <xdr:col>9</xdr:col>
      <xdr:colOff>885190</xdr:colOff>
      <xdr:row>2833</xdr:row>
      <xdr:rowOff>1209040</xdr:rowOff>
    </xdr:to>
    <xdr:pic>
      <xdr:nvPicPr>
        <xdr:cNvPr id="7374" name="Изображение 7373" descr="resizeПП-00236743"/>
        <xdr:cNvPicPr>
          <a:picLocks noChangeAspect="1"/>
        </xdr:cNvPicPr>
      </xdr:nvPicPr>
      <xdr:blipFill>
        <a:blip xmlns:r="http://schemas.openxmlformats.org/officeDocument/2006/relationships" r:embed="rId2092"/>
        <a:stretch>
          <a:fillRect/>
        </a:stretch>
      </xdr:blipFill>
      <xdr:spPr>
        <a:xfrm>
          <a:off x="7235825" y="2753391750"/>
          <a:ext cx="878840" cy="1183640"/>
        </a:xfrm>
        <a:prstGeom prst="rect">
          <a:avLst/>
        </a:prstGeom>
      </xdr:spPr>
    </xdr:pic>
    <xdr:clientData/>
  </xdr:twoCellAnchor>
  <xdr:twoCellAnchor>
    <xdr:from>
      <xdr:col>9</xdr:col>
      <xdr:colOff>6350</xdr:colOff>
      <xdr:row>2834</xdr:row>
      <xdr:rowOff>25400</xdr:rowOff>
    </xdr:from>
    <xdr:to>
      <xdr:col>9</xdr:col>
      <xdr:colOff>885190</xdr:colOff>
      <xdr:row>2834</xdr:row>
      <xdr:rowOff>1209040</xdr:rowOff>
    </xdr:to>
    <xdr:pic>
      <xdr:nvPicPr>
        <xdr:cNvPr id="7375" name="Изображение 7374" descr="resizeПП-00236744"/>
        <xdr:cNvPicPr>
          <a:picLocks noChangeAspect="1"/>
        </xdr:cNvPicPr>
      </xdr:nvPicPr>
      <xdr:blipFill>
        <a:blip xmlns:r="http://schemas.openxmlformats.org/officeDocument/2006/relationships" r:embed="rId2093"/>
        <a:stretch>
          <a:fillRect/>
        </a:stretch>
      </xdr:blipFill>
      <xdr:spPr>
        <a:xfrm>
          <a:off x="7235825" y="2754614125"/>
          <a:ext cx="878840" cy="1183640"/>
        </a:xfrm>
        <a:prstGeom prst="rect">
          <a:avLst/>
        </a:prstGeom>
      </xdr:spPr>
    </xdr:pic>
    <xdr:clientData/>
  </xdr:twoCellAnchor>
  <xdr:twoCellAnchor>
    <xdr:from>
      <xdr:col>9</xdr:col>
      <xdr:colOff>6350</xdr:colOff>
      <xdr:row>2835</xdr:row>
      <xdr:rowOff>25400</xdr:rowOff>
    </xdr:from>
    <xdr:to>
      <xdr:col>9</xdr:col>
      <xdr:colOff>885190</xdr:colOff>
      <xdr:row>2835</xdr:row>
      <xdr:rowOff>1209040</xdr:rowOff>
    </xdr:to>
    <xdr:pic>
      <xdr:nvPicPr>
        <xdr:cNvPr id="7376" name="Изображение 7375" descr="resizeПП-00236745"/>
        <xdr:cNvPicPr>
          <a:picLocks noChangeAspect="1"/>
        </xdr:cNvPicPr>
      </xdr:nvPicPr>
      <xdr:blipFill>
        <a:blip xmlns:r="http://schemas.openxmlformats.org/officeDocument/2006/relationships" r:embed="rId2094"/>
        <a:stretch>
          <a:fillRect/>
        </a:stretch>
      </xdr:blipFill>
      <xdr:spPr>
        <a:xfrm>
          <a:off x="7235825" y="2755836500"/>
          <a:ext cx="878840" cy="1183640"/>
        </a:xfrm>
        <a:prstGeom prst="rect">
          <a:avLst/>
        </a:prstGeom>
      </xdr:spPr>
    </xdr:pic>
    <xdr:clientData/>
  </xdr:twoCellAnchor>
  <xdr:twoCellAnchor>
    <xdr:from>
      <xdr:col>9</xdr:col>
      <xdr:colOff>6350</xdr:colOff>
      <xdr:row>2836</xdr:row>
      <xdr:rowOff>25400</xdr:rowOff>
    </xdr:from>
    <xdr:to>
      <xdr:col>9</xdr:col>
      <xdr:colOff>885190</xdr:colOff>
      <xdr:row>2836</xdr:row>
      <xdr:rowOff>1209040</xdr:rowOff>
    </xdr:to>
    <xdr:pic>
      <xdr:nvPicPr>
        <xdr:cNvPr id="7377" name="Изображение 7376" descr="resizeПП-00236746"/>
        <xdr:cNvPicPr>
          <a:picLocks noChangeAspect="1"/>
        </xdr:cNvPicPr>
      </xdr:nvPicPr>
      <xdr:blipFill>
        <a:blip xmlns:r="http://schemas.openxmlformats.org/officeDocument/2006/relationships" r:embed="rId2095"/>
        <a:stretch>
          <a:fillRect/>
        </a:stretch>
      </xdr:blipFill>
      <xdr:spPr>
        <a:xfrm>
          <a:off x="7235825" y="2757058875"/>
          <a:ext cx="878840" cy="1183640"/>
        </a:xfrm>
        <a:prstGeom prst="rect">
          <a:avLst/>
        </a:prstGeom>
      </xdr:spPr>
    </xdr:pic>
    <xdr:clientData/>
  </xdr:twoCellAnchor>
  <xdr:twoCellAnchor>
    <xdr:from>
      <xdr:col>9</xdr:col>
      <xdr:colOff>6350</xdr:colOff>
      <xdr:row>2837</xdr:row>
      <xdr:rowOff>25400</xdr:rowOff>
    </xdr:from>
    <xdr:to>
      <xdr:col>9</xdr:col>
      <xdr:colOff>885190</xdr:colOff>
      <xdr:row>2837</xdr:row>
      <xdr:rowOff>1209040</xdr:rowOff>
    </xdr:to>
    <xdr:pic>
      <xdr:nvPicPr>
        <xdr:cNvPr id="7378" name="Изображение 7377" descr="resizeПП-00236748"/>
        <xdr:cNvPicPr>
          <a:picLocks noChangeAspect="1"/>
        </xdr:cNvPicPr>
      </xdr:nvPicPr>
      <xdr:blipFill>
        <a:blip xmlns:r="http://schemas.openxmlformats.org/officeDocument/2006/relationships" r:embed="rId2096"/>
        <a:stretch>
          <a:fillRect/>
        </a:stretch>
      </xdr:blipFill>
      <xdr:spPr>
        <a:xfrm>
          <a:off x="7235825" y="2758281250"/>
          <a:ext cx="878840" cy="1183640"/>
        </a:xfrm>
        <a:prstGeom prst="rect">
          <a:avLst/>
        </a:prstGeom>
      </xdr:spPr>
    </xdr:pic>
    <xdr:clientData/>
  </xdr:twoCellAnchor>
  <xdr:twoCellAnchor>
    <xdr:from>
      <xdr:col>9</xdr:col>
      <xdr:colOff>6350</xdr:colOff>
      <xdr:row>2839</xdr:row>
      <xdr:rowOff>25400</xdr:rowOff>
    </xdr:from>
    <xdr:to>
      <xdr:col>9</xdr:col>
      <xdr:colOff>885190</xdr:colOff>
      <xdr:row>2839</xdr:row>
      <xdr:rowOff>1209040</xdr:rowOff>
    </xdr:to>
    <xdr:pic>
      <xdr:nvPicPr>
        <xdr:cNvPr id="7379" name="Изображение 7378" descr="resizeПП-00275962"/>
        <xdr:cNvPicPr>
          <a:picLocks noChangeAspect="1"/>
        </xdr:cNvPicPr>
      </xdr:nvPicPr>
      <xdr:blipFill>
        <a:blip xmlns:r="http://schemas.openxmlformats.org/officeDocument/2006/relationships" r:embed="rId2097"/>
        <a:stretch>
          <a:fillRect/>
        </a:stretch>
      </xdr:blipFill>
      <xdr:spPr>
        <a:xfrm>
          <a:off x="7235825" y="2759656025"/>
          <a:ext cx="878840" cy="1183640"/>
        </a:xfrm>
        <a:prstGeom prst="rect">
          <a:avLst/>
        </a:prstGeom>
      </xdr:spPr>
    </xdr:pic>
    <xdr:clientData/>
  </xdr:twoCellAnchor>
  <xdr:twoCellAnchor>
    <xdr:from>
      <xdr:col>9</xdr:col>
      <xdr:colOff>6350</xdr:colOff>
      <xdr:row>2840</xdr:row>
      <xdr:rowOff>25400</xdr:rowOff>
    </xdr:from>
    <xdr:to>
      <xdr:col>9</xdr:col>
      <xdr:colOff>885190</xdr:colOff>
      <xdr:row>2840</xdr:row>
      <xdr:rowOff>1209040</xdr:rowOff>
    </xdr:to>
    <xdr:pic>
      <xdr:nvPicPr>
        <xdr:cNvPr id="7380" name="Изображение 7379" descr="resizeПП-00275960"/>
        <xdr:cNvPicPr>
          <a:picLocks noChangeAspect="1"/>
        </xdr:cNvPicPr>
      </xdr:nvPicPr>
      <xdr:blipFill>
        <a:blip xmlns:r="http://schemas.openxmlformats.org/officeDocument/2006/relationships" r:embed="rId2098"/>
        <a:stretch>
          <a:fillRect/>
        </a:stretch>
      </xdr:blipFill>
      <xdr:spPr>
        <a:xfrm>
          <a:off x="7235825" y="2760878400"/>
          <a:ext cx="878840" cy="1183640"/>
        </a:xfrm>
        <a:prstGeom prst="rect">
          <a:avLst/>
        </a:prstGeom>
      </xdr:spPr>
    </xdr:pic>
    <xdr:clientData/>
  </xdr:twoCellAnchor>
  <xdr:twoCellAnchor>
    <xdr:from>
      <xdr:col>9</xdr:col>
      <xdr:colOff>6350</xdr:colOff>
      <xdr:row>2841</xdr:row>
      <xdr:rowOff>25400</xdr:rowOff>
    </xdr:from>
    <xdr:to>
      <xdr:col>9</xdr:col>
      <xdr:colOff>885190</xdr:colOff>
      <xdr:row>2841</xdr:row>
      <xdr:rowOff>1209040</xdr:rowOff>
    </xdr:to>
    <xdr:pic>
      <xdr:nvPicPr>
        <xdr:cNvPr id="7381" name="Изображение 7380" descr="resizeПП-00275968"/>
        <xdr:cNvPicPr>
          <a:picLocks noChangeAspect="1"/>
        </xdr:cNvPicPr>
      </xdr:nvPicPr>
      <xdr:blipFill>
        <a:blip xmlns:r="http://schemas.openxmlformats.org/officeDocument/2006/relationships" r:embed="rId2099"/>
        <a:stretch>
          <a:fillRect/>
        </a:stretch>
      </xdr:blipFill>
      <xdr:spPr>
        <a:xfrm>
          <a:off x="7235825" y="2762100775"/>
          <a:ext cx="878840" cy="1183640"/>
        </a:xfrm>
        <a:prstGeom prst="rect">
          <a:avLst/>
        </a:prstGeom>
      </xdr:spPr>
    </xdr:pic>
    <xdr:clientData/>
  </xdr:twoCellAnchor>
  <xdr:twoCellAnchor>
    <xdr:from>
      <xdr:col>9</xdr:col>
      <xdr:colOff>6350</xdr:colOff>
      <xdr:row>2842</xdr:row>
      <xdr:rowOff>25400</xdr:rowOff>
    </xdr:from>
    <xdr:to>
      <xdr:col>9</xdr:col>
      <xdr:colOff>885190</xdr:colOff>
      <xdr:row>2842</xdr:row>
      <xdr:rowOff>1209040</xdr:rowOff>
    </xdr:to>
    <xdr:pic>
      <xdr:nvPicPr>
        <xdr:cNvPr id="7382" name="Изображение 7381" descr="resizeПП-00275963"/>
        <xdr:cNvPicPr>
          <a:picLocks noChangeAspect="1"/>
        </xdr:cNvPicPr>
      </xdr:nvPicPr>
      <xdr:blipFill>
        <a:blip xmlns:r="http://schemas.openxmlformats.org/officeDocument/2006/relationships" r:embed="rId2100"/>
        <a:stretch>
          <a:fillRect/>
        </a:stretch>
      </xdr:blipFill>
      <xdr:spPr>
        <a:xfrm>
          <a:off x="7235825" y="2763323150"/>
          <a:ext cx="878840" cy="1183640"/>
        </a:xfrm>
        <a:prstGeom prst="rect">
          <a:avLst/>
        </a:prstGeom>
      </xdr:spPr>
    </xdr:pic>
    <xdr:clientData/>
  </xdr:twoCellAnchor>
  <xdr:twoCellAnchor>
    <xdr:from>
      <xdr:col>9</xdr:col>
      <xdr:colOff>6350</xdr:colOff>
      <xdr:row>2843</xdr:row>
      <xdr:rowOff>25400</xdr:rowOff>
    </xdr:from>
    <xdr:to>
      <xdr:col>9</xdr:col>
      <xdr:colOff>885190</xdr:colOff>
      <xdr:row>2843</xdr:row>
      <xdr:rowOff>1209040</xdr:rowOff>
    </xdr:to>
    <xdr:pic>
      <xdr:nvPicPr>
        <xdr:cNvPr id="7383" name="Изображение 7382" descr="resizeПП-00275961"/>
        <xdr:cNvPicPr>
          <a:picLocks noChangeAspect="1"/>
        </xdr:cNvPicPr>
      </xdr:nvPicPr>
      <xdr:blipFill>
        <a:blip xmlns:r="http://schemas.openxmlformats.org/officeDocument/2006/relationships" r:embed="rId2101"/>
        <a:stretch>
          <a:fillRect/>
        </a:stretch>
      </xdr:blipFill>
      <xdr:spPr>
        <a:xfrm>
          <a:off x="7235825" y="2764545525"/>
          <a:ext cx="878840" cy="1183640"/>
        </a:xfrm>
        <a:prstGeom prst="rect">
          <a:avLst/>
        </a:prstGeom>
      </xdr:spPr>
    </xdr:pic>
    <xdr:clientData/>
  </xdr:twoCellAnchor>
  <xdr:twoCellAnchor>
    <xdr:from>
      <xdr:col>9</xdr:col>
      <xdr:colOff>6350</xdr:colOff>
      <xdr:row>2844</xdr:row>
      <xdr:rowOff>25400</xdr:rowOff>
    </xdr:from>
    <xdr:to>
      <xdr:col>9</xdr:col>
      <xdr:colOff>885190</xdr:colOff>
      <xdr:row>2844</xdr:row>
      <xdr:rowOff>1209040</xdr:rowOff>
    </xdr:to>
    <xdr:pic>
      <xdr:nvPicPr>
        <xdr:cNvPr id="7384" name="Изображение 7383" descr="resizeПП-00275967"/>
        <xdr:cNvPicPr>
          <a:picLocks noChangeAspect="1"/>
        </xdr:cNvPicPr>
      </xdr:nvPicPr>
      <xdr:blipFill>
        <a:blip xmlns:r="http://schemas.openxmlformats.org/officeDocument/2006/relationships" r:embed="rId2102"/>
        <a:stretch>
          <a:fillRect/>
        </a:stretch>
      </xdr:blipFill>
      <xdr:spPr>
        <a:xfrm>
          <a:off x="7235825" y="2765767900"/>
          <a:ext cx="878840" cy="1183640"/>
        </a:xfrm>
        <a:prstGeom prst="rect">
          <a:avLst/>
        </a:prstGeom>
      </xdr:spPr>
    </xdr:pic>
    <xdr:clientData/>
  </xdr:twoCellAnchor>
  <xdr:twoCellAnchor>
    <xdr:from>
      <xdr:col>9</xdr:col>
      <xdr:colOff>6350</xdr:colOff>
      <xdr:row>2845</xdr:row>
      <xdr:rowOff>25400</xdr:rowOff>
    </xdr:from>
    <xdr:to>
      <xdr:col>9</xdr:col>
      <xdr:colOff>885190</xdr:colOff>
      <xdr:row>2845</xdr:row>
      <xdr:rowOff>1209040</xdr:rowOff>
    </xdr:to>
    <xdr:pic>
      <xdr:nvPicPr>
        <xdr:cNvPr id="7385" name="Изображение 7384" descr="resizeПП-00275958"/>
        <xdr:cNvPicPr>
          <a:picLocks noChangeAspect="1"/>
        </xdr:cNvPicPr>
      </xdr:nvPicPr>
      <xdr:blipFill>
        <a:blip xmlns:r="http://schemas.openxmlformats.org/officeDocument/2006/relationships" r:embed="rId2103"/>
        <a:stretch>
          <a:fillRect/>
        </a:stretch>
      </xdr:blipFill>
      <xdr:spPr>
        <a:xfrm>
          <a:off x="7235825" y="2766990275"/>
          <a:ext cx="878840" cy="1183640"/>
        </a:xfrm>
        <a:prstGeom prst="rect">
          <a:avLst/>
        </a:prstGeom>
      </xdr:spPr>
    </xdr:pic>
    <xdr:clientData/>
  </xdr:twoCellAnchor>
  <xdr:twoCellAnchor>
    <xdr:from>
      <xdr:col>9</xdr:col>
      <xdr:colOff>6350</xdr:colOff>
      <xdr:row>2846</xdr:row>
      <xdr:rowOff>25400</xdr:rowOff>
    </xdr:from>
    <xdr:to>
      <xdr:col>9</xdr:col>
      <xdr:colOff>885190</xdr:colOff>
      <xdr:row>2846</xdr:row>
      <xdr:rowOff>1209040</xdr:rowOff>
    </xdr:to>
    <xdr:pic>
      <xdr:nvPicPr>
        <xdr:cNvPr id="7386" name="Изображение 7385" descr="resizeПП-00275964"/>
        <xdr:cNvPicPr>
          <a:picLocks noChangeAspect="1"/>
        </xdr:cNvPicPr>
      </xdr:nvPicPr>
      <xdr:blipFill>
        <a:blip xmlns:r="http://schemas.openxmlformats.org/officeDocument/2006/relationships" r:embed="rId2104"/>
        <a:stretch>
          <a:fillRect/>
        </a:stretch>
      </xdr:blipFill>
      <xdr:spPr>
        <a:xfrm>
          <a:off x="7235825" y="2768212650"/>
          <a:ext cx="878840" cy="1183640"/>
        </a:xfrm>
        <a:prstGeom prst="rect">
          <a:avLst/>
        </a:prstGeom>
      </xdr:spPr>
    </xdr:pic>
    <xdr:clientData/>
  </xdr:twoCellAnchor>
  <xdr:twoCellAnchor>
    <xdr:from>
      <xdr:col>9</xdr:col>
      <xdr:colOff>6350</xdr:colOff>
      <xdr:row>2847</xdr:row>
      <xdr:rowOff>25400</xdr:rowOff>
    </xdr:from>
    <xdr:to>
      <xdr:col>9</xdr:col>
      <xdr:colOff>885190</xdr:colOff>
      <xdr:row>2847</xdr:row>
      <xdr:rowOff>1209040</xdr:rowOff>
    </xdr:to>
    <xdr:pic>
      <xdr:nvPicPr>
        <xdr:cNvPr id="7387" name="Изображение 7386" descr="resizeПП-00275965"/>
        <xdr:cNvPicPr>
          <a:picLocks noChangeAspect="1"/>
        </xdr:cNvPicPr>
      </xdr:nvPicPr>
      <xdr:blipFill>
        <a:blip xmlns:r="http://schemas.openxmlformats.org/officeDocument/2006/relationships" r:embed="rId2105"/>
        <a:stretch>
          <a:fillRect/>
        </a:stretch>
      </xdr:blipFill>
      <xdr:spPr>
        <a:xfrm>
          <a:off x="7235825" y="2769435025"/>
          <a:ext cx="878840" cy="1183640"/>
        </a:xfrm>
        <a:prstGeom prst="rect">
          <a:avLst/>
        </a:prstGeom>
      </xdr:spPr>
    </xdr:pic>
    <xdr:clientData/>
  </xdr:twoCellAnchor>
  <xdr:twoCellAnchor>
    <xdr:from>
      <xdr:col>9</xdr:col>
      <xdr:colOff>6350</xdr:colOff>
      <xdr:row>2848</xdr:row>
      <xdr:rowOff>25400</xdr:rowOff>
    </xdr:from>
    <xdr:to>
      <xdr:col>9</xdr:col>
      <xdr:colOff>885190</xdr:colOff>
      <xdr:row>2848</xdr:row>
      <xdr:rowOff>1209040</xdr:rowOff>
    </xdr:to>
    <xdr:pic>
      <xdr:nvPicPr>
        <xdr:cNvPr id="7388" name="Изображение 7387" descr="resizeПП-00275966"/>
        <xdr:cNvPicPr>
          <a:picLocks noChangeAspect="1"/>
        </xdr:cNvPicPr>
      </xdr:nvPicPr>
      <xdr:blipFill>
        <a:blip xmlns:r="http://schemas.openxmlformats.org/officeDocument/2006/relationships" r:embed="rId2106"/>
        <a:stretch>
          <a:fillRect/>
        </a:stretch>
      </xdr:blipFill>
      <xdr:spPr>
        <a:xfrm>
          <a:off x="7235825" y="2770657400"/>
          <a:ext cx="878840" cy="1183640"/>
        </a:xfrm>
        <a:prstGeom prst="rect">
          <a:avLst/>
        </a:prstGeom>
      </xdr:spPr>
    </xdr:pic>
    <xdr:clientData/>
  </xdr:twoCellAnchor>
  <xdr:twoCellAnchor>
    <xdr:from>
      <xdr:col>9</xdr:col>
      <xdr:colOff>6350</xdr:colOff>
      <xdr:row>2850</xdr:row>
      <xdr:rowOff>25400</xdr:rowOff>
    </xdr:from>
    <xdr:to>
      <xdr:col>9</xdr:col>
      <xdr:colOff>885190</xdr:colOff>
      <xdr:row>2850</xdr:row>
      <xdr:rowOff>1209040</xdr:rowOff>
    </xdr:to>
    <xdr:pic>
      <xdr:nvPicPr>
        <xdr:cNvPr id="7389" name="Изображение 7388" descr="resizeПП-00216955"/>
        <xdr:cNvPicPr>
          <a:picLocks noChangeAspect="1"/>
        </xdr:cNvPicPr>
      </xdr:nvPicPr>
      <xdr:blipFill>
        <a:blip xmlns:r="http://schemas.openxmlformats.org/officeDocument/2006/relationships" r:embed="rId2107"/>
        <a:stretch>
          <a:fillRect/>
        </a:stretch>
      </xdr:blipFill>
      <xdr:spPr>
        <a:xfrm>
          <a:off x="7235825" y="2772032175"/>
          <a:ext cx="878840" cy="1183640"/>
        </a:xfrm>
        <a:prstGeom prst="rect">
          <a:avLst/>
        </a:prstGeom>
      </xdr:spPr>
    </xdr:pic>
    <xdr:clientData/>
  </xdr:twoCellAnchor>
  <xdr:twoCellAnchor>
    <xdr:from>
      <xdr:col>9</xdr:col>
      <xdr:colOff>6350</xdr:colOff>
      <xdr:row>2851</xdr:row>
      <xdr:rowOff>25400</xdr:rowOff>
    </xdr:from>
    <xdr:to>
      <xdr:col>9</xdr:col>
      <xdr:colOff>885190</xdr:colOff>
      <xdr:row>2851</xdr:row>
      <xdr:rowOff>1209040</xdr:rowOff>
    </xdr:to>
    <xdr:pic>
      <xdr:nvPicPr>
        <xdr:cNvPr id="7390" name="Изображение 7389" descr="resizeПП-00243259"/>
        <xdr:cNvPicPr>
          <a:picLocks noChangeAspect="1"/>
        </xdr:cNvPicPr>
      </xdr:nvPicPr>
      <xdr:blipFill>
        <a:blip xmlns:r="http://schemas.openxmlformats.org/officeDocument/2006/relationships" r:embed="rId2108"/>
        <a:stretch>
          <a:fillRect/>
        </a:stretch>
      </xdr:blipFill>
      <xdr:spPr>
        <a:xfrm>
          <a:off x="7235825" y="2773254550"/>
          <a:ext cx="878840" cy="1183640"/>
        </a:xfrm>
        <a:prstGeom prst="rect">
          <a:avLst/>
        </a:prstGeom>
      </xdr:spPr>
    </xdr:pic>
    <xdr:clientData/>
  </xdr:twoCellAnchor>
  <xdr:twoCellAnchor>
    <xdr:from>
      <xdr:col>9</xdr:col>
      <xdr:colOff>6350</xdr:colOff>
      <xdr:row>2852</xdr:row>
      <xdr:rowOff>25400</xdr:rowOff>
    </xdr:from>
    <xdr:to>
      <xdr:col>9</xdr:col>
      <xdr:colOff>885190</xdr:colOff>
      <xdr:row>2852</xdr:row>
      <xdr:rowOff>1209040</xdr:rowOff>
    </xdr:to>
    <xdr:pic>
      <xdr:nvPicPr>
        <xdr:cNvPr id="7391" name="Изображение 7390" descr="resizeПП-00216958"/>
        <xdr:cNvPicPr>
          <a:picLocks noChangeAspect="1"/>
        </xdr:cNvPicPr>
      </xdr:nvPicPr>
      <xdr:blipFill>
        <a:blip xmlns:r="http://schemas.openxmlformats.org/officeDocument/2006/relationships" r:embed="rId2109"/>
        <a:stretch>
          <a:fillRect/>
        </a:stretch>
      </xdr:blipFill>
      <xdr:spPr>
        <a:xfrm>
          <a:off x="7235825" y="2774476925"/>
          <a:ext cx="878840" cy="1183640"/>
        </a:xfrm>
        <a:prstGeom prst="rect">
          <a:avLst/>
        </a:prstGeom>
      </xdr:spPr>
    </xdr:pic>
    <xdr:clientData/>
  </xdr:twoCellAnchor>
  <xdr:twoCellAnchor>
    <xdr:from>
      <xdr:col>9</xdr:col>
      <xdr:colOff>6350</xdr:colOff>
      <xdr:row>2853</xdr:row>
      <xdr:rowOff>25400</xdr:rowOff>
    </xdr:from>
    <xdr:to>
      <xdr:col>9</xdr:col>
      <xdr:colOff>885190</xdr:colOff>
      <xdr:row>2853</xdr:row>
      <xdr:rowOff>1209040</xdr:rowOff>
    </xdr:to>
    <xdr:pic>
      <xdr:nvPicPr>
        <xdr:cNvPr id="7392" name="Изображение 7391" descr="resizeПП-00194178"/>
        <xdr:cNvPicPr>
          <a:picLocks noChangeAspect="1"/>
        </xdr:cNvPicPr>
      </xdr:nvPicPr>
      <xdr:blipFill>
        <a:blip xmlns:r="http://schemas.openxmlformats.org/officeDocument/2006/relationships" r:embed="rId2110"/>
        <a:stretch>
          <a:fillRect/>
        </a:stretch>
      </xdr:blipFill>
      <xdr:spPr>
        <a:xfrm>
          <a:off x="7235825" y="2775699300"/>
          <a:ext cx="878840" cy="1183640"/>
        </a:xfrm>
        <a:prstGeom prst="rect">
          <a:avLst/>
        </a:prstGeom>
      </xdr:spPr>
    </xdr:pic>
    <xdr:clientData/>
  </xdr:twoCellAnchor>
  <xdr:twoCellAnchor>
    <xdr:from>
      <xdr:col>9</xdr:col>
      <xdr:colOff>6350</xdr:colOff>
      <xdr:row>2854</xdr:row>
      <xdr:rowOff>25400</xdr:rowOff>
    </xdr:from>
    <xdr:to>
      <xdr:col>9</xdr:col>
      <xdr:colOff>885190</xdr:colOff>
      <xdr:row>2854</xdr:row>
      <xdr:rowOff>1209040</xdr:rowOff>
    </xdr:to>
    <xdr:pic>
      <xdr:nvPicPr>
        <xdr:cNvPr id="7393" name="Изображение 7392" descr="resizeПП-00216957"/>
        <xdr:cNvPicPr>
          <a:picLocks noChangeAspect="1"/>
        </xdr:cNvPicPr>
      </xdr:nvPicPr>
      <xdr:blipFill>
        <a:blip xmlns:r="http://schemas.openxmlformats.org/officeDocument/2006/relationships" r:embed="rId2111"/>
        <a:stretch>
          <a:fillRect/>
        </a:stretch>
      </xdr:blipFill>
      <xdr:spPr>
        <a:xfrm>
          <a:off x="7235825" y="2776921675"/>
          <a:ext cx="878840" cy="1183640"/>
        </a:xfrm>
        <a:prstGeom prst="rect">
          <a:avLst/>
        </a:prstGeom>
      </xdr:spPr>
    </xdr:pic>
    <xdr:clientData/>
  </xdr:twoCellAnchor>
  <xdr:twoCellAnchor>
    <xdr:from>
      <xdr:col>9</xdr:col>
      <xdr:colOff>6350</xdr:colOff>
      <xdr:row>2855</xdr:row>
      <xdr:rowOff>25400</xdr:rowOff>
    </xdr:from>
    <xdr:to>
      <xdr:col>9</xdr:col>
      <xdr:colOff>885190</xdr:colOff>
      <xdr:row>2855</xdr:row>
      <xdr:rowOff>1209040</xdr:rowOff>
    </xdr:to>
    <xdr:pic>
      <xdr:nvPicPr>
        <xdr:cNvPr id="7394" name="Изображение 7393" descr="resizeПП-00216953"/>
        <xdr:cNvPicPr>
          <a:picLocks noChangeAspect="1"/>
        </xdr:cNvPicPr>
      </xdr:nvPicPr>
      <xdr:blipFill>
        <a:blip xmlns:r="http://schemas.openxmlformats.org/officeDocument/2006/relationships" r:embed="rId2112"/>
        <a:stretch>
          <a:fillRect/>
        </a:stretch>
      </xdr:blipFill>
      <xdr:spPr>
        <a:xfrm>
          <a:off x="7235825" y="2778144050"/>
          <a:ext cx="878840" cy="1183640"/>
        </a:xfrm>
        <a:prstGeom prst="rect">
          <a:avLst/>
        </a:prstGeom>
      </xdr:spPr>
    </xdr:pic>
    <xdr:clientData/>
  </xdr:twoCellAnchor>
  <xdr:twoCellAnchor>
    <xdr:from>
      <xdr:col>9</xdr:col>
      <xdr:colOff>6350</xdr:colOff>
      <xdr:row>2856</xdr:row>
      <xdr:rowOff>25400</xdr:rowOff>
    </xdr:from>
    <xdr:to>
      <xdr:col>9</xdr:col>
      <xdr:colOff>885190</xdr:colOff>
      <xdr:row>2856</xdr:row>
      <xdr:rowOff>1209040</xdr:rowOff>
    </xdr:to>
    <xdr:pic>
      <xdr:nvPicPr>
        <xdr:cNvPr id="7395" name="Изображение 7394" descr="resizeПП-00216952"/>
        <xdr:cNvPicPr>
          <a:picLocks noChangeAspect="1"/>
        </xdr:cNvPicPr>
      </xdr:nvPicPr>
      <xdr:blipFill>
        <a:blip xmlns:r="http://schemas.openxmlformats.org/officeDocument/2006/relationships" r:embed="rId2113"/>
        <a:stretch>
          <a:fillRect/>
        </a:stretch>
      </xdr:blipFill>
      <xdr:spPr>
        <a:xfrm>
          <a:off x="7235825" y="2779366425"/>
          <a:ext cx="878840" cy="1183640"/>
        </a:xfrm>
        <a:prstGeom prst="rect">
          <a:avLst/>
        </a:prstGeom>
      </xdr:spPr>
    </xdr:pic>
    <xdr:clientData/>
  </xdr:twoCellAnchor>
  <xdr:twoCellAnchor>
    <xdr:from>
      <xdr:col>9</xdr:col>
      <xdr:colOff>6350</xdr:colOff>
      <xdr:row>2857</xdr:row>
      <xdr:rowOff>25400</xdr:rowOff>
    </xdr:from>
    <xdr:to>
      <xdr:col>9</xdr:col>
      <xdr:colOff>885190</xdr:colOff>
      <xdr:row>2857</xdr:row>
      <xdr:rowOff>1209040</xdr:rowOff>
    </xdr:to>
    <xdr:pic>
      <xdr:nvPicPr>
        <xdr:cNvPr id="7396" name="Изображение 7395" descr="resizeПП-00243251"/>
        <xdr:cNvPicPr>
          <a:picLocks noChangeAspect="1"/>
        </xdr:cNvPicPr>
      </xdr:nvPicPr>
      <xdr:blipFill>
        <a:blip xmlns:r="http://schemas.openxmlformats.org/officeDocument/2006/relationships" r:embed="rId2114"/>
        <a:stretch>
          <a:fillRect/>
        </a:stretch>
      </xdr:blipFill>
      <xdr:spPr>
        <a:xfrm>
          <a:off x="7235825" y="2780588800"/>
          <a:ext cx="878840" cy="1183640"/>
        </a:xfrm>
        <a:prstGeom prst="rect">
          <a:avLst/>
        </a:prstGeom>
      </xdr:spPr>
    </xdr:pic>
    <xdr:clientData/>
  </xdr:twoCellAnchor>
  <xdr:twoCellAnchor>
    <xdr:from>
      <xdr:col>9</xdr:col>
      <xdr:colOff>6350</xdr:colOff>
      <xdr:row>2858</xdr:row>
      <xdr:rowOff>25400</xdr:rowOff>
    </xdr:from>
    <xdr:to>
      <xdr:col>9</xdr:col>
      <xdr:colOff>885190</xdr:colOff>
      <xdr:row>2858</xdr:row>
      <xdr:rowOff>1209040</xdr:rowOff>
    </xdr:to>
    <xdr:pic>
      <xdr:nvPicPr>
        <xdr:cNvPr id="7397" name="Изображение 7396" descr="resizeПП-00243252"/>
        <xdr:cNvPicPr>
          <a:picLocks noChangeAspect="1"/>
        </xdr:cNvPicPr>
      </xdr:nvPicPr>
      <xdr:blipFill>
        <a:blip xmlns:r="http://schemas.openxmlformats.org/officeDocument/2006/relationships" r:embed="rId2115"/>
        <a:stretch>
          <a:fillRect/>
        </a:stretch>
      </xdr:blipFill>
      <xdr:spPr>
        <a:xfrm>
          <a:off x="7235825" y="2781811175"/>
          <a:ext cx="878840" cy="1183640"/>
        </a:xfrm>
        <a:prstGeom prst="rect">
          <a:avLst/>
        </a:prstGeom>
      </xdr:spPr>
    </xdr:pic>
    <xdr:clientData/>
  </xdr:twoCellAnchor>
  <xdr:twoCellAnchor>
    <xdr:from>
      <xdr:col>9</xdr:col>
      <xdr:colOff>6350</xdr:colOff>
      <xdr:row>2859</xdr:row>
      <xdr:rowOff>25400</xdr:rowOff>
    </xdr:from>
    <xdr:to>
      <xdr:col>9</xdr:col>
      <xdr:colOff>885190</xdr:colOff>
      <xdr:row>2859</xdr:row>
      <xdr:rowOff>1209040</xdr:rowOff>
    </xdr:to>
    <xdr:pic>
      <xdr:nvPicPr>
        <xdr:cNvPr id="7398" name="Изображение 7397" descr="resizeПП-00216949"/>
        <xdr:cNvPicPr>
          <a:picLocks noChangeAspect="1"/>
        </xdr:cNvPicPr>
      </xdr:nvPicPr>
      <xdr:blipFill>
        <a:blip xmlns:r="http://schemas.openxmlformats.org/officeDocument/2006/relationships" r:embed="rId2116"/>
        <a:stretch>
          <a:fillRect/>
        </a:stretch>
      </xdr:blipFill>
      <xdr:spPr>
        <a:xfrm>
          <a:off x="7235825" y="2783033550"/>
          <a:ext cx="878840" cy="1183640"/>
        </a:xfrm>
        <a:prstGeom prst="rect">
          <a:avLst/>
        </a:prstGeom>
      </xdr:spPr>
    </xdr:pic>
    <xdr:clientData/>
  </xdr:twoCellAnchor>
  <xdr:twoCellAnchor>
    <xdr:from>
      <xdr:col>9</xdr:col>
      <xdr:colOff>6350</xdr:colOff>
      <xdr:row>2860</xdr:row>
      <xdr:rowOff>25400</xdr:rowOff>
    </xdr:from>
    <xdr:to>
      <xdr:col>9</xdr:col>
      <xdr:colOff>885190</xdr:colOff>
      <xdr:row>2860</xdr:row>
      <xdr:rowOff>1209040</xdr:rowOff>
    </xdr:to>
    <xdr:pic>
      <xdr:nvPicPr>
        <xdr:cNvPr id="7399" name="Изображение 7398" descr="resizeПП-00194180"/>
        <xdr:cNvPicPr>
          <a:picLocks noChangeAspect="1"/>
        </xdr:cNvPicPr>
      </xdr:nvPicPr>
      <xdr:blipFill>
        <a:blip xmlns:r="http://schemas.openxmlformats.org/officeDocument/2006/relationships" r:embed="rId2117"/>
        <a:stretch>
          <a:fillRect/>
        </a:stretch>
      </xdr:blipFill>
      <xdr:spPr>
        <a:xfrm>
          <a:off x="7235825" y="2784255925"/>
          <a:ext cx="878840" cy="1183640"/>
        </a:xfrm>
        <a:prstGeom prst="rect">
          <a:avLst/>
        </a:prstGeom>
      </xdr:spPr>
    </xdr:pic>
    <xdr:clientData/>
  </xdr:twoCellAnchor>
  <xdr:twoCellAnchor>
    <xdr:from>
      <xdr:col>9</xdr:col>
      <xdr:colOff>6350</xdr:colOff>
      <xdr:row>2861</xdr:row>
      <xdr:rowOff>25400</xdr:rowOff>
    </xdr:from>
    <xdr:to>
      <xdr:col>9</xdr:col>
      <xdr:colOff>885190</xdr:colOff>
      <xdr:row>2861</xdr:row>
      <xdr:rowOff>1209040</xdr:rowOff>
    </xdr:to>
    <xdr:pic>
      <xdr:nvPicPr>
        <xdr:cNvPr id="7400" name="Изображение 7399" descr="resizeПП-00216945"/>
        <xdr:cNvPicPr>
          <a:picLocks noChangeAspect="1"/>
        </xdr:cNvPicPr>
      </xdr:nvPicPr>
      <xdr:blipFill>
        <a:blip xmlns:r="http://schemas.openxmlformats.org/officeDocument/2006/relationships" r:embed="rId2118"/>
        <a:stretch>
          <a:fillRect/>
        </a:stretch>
      </xdr:blipFill>
      <xdr:spPr>
        <a:xfrm>
          <a:off x="7235825" y="2785478300"/>
          <a:ext cx="878840" cy="1183640"/>
        </a:xfrm>
        <a:prstGeom prst="rect">
          <a:avLst/>
        </a:prstGeom>
      </xdr:spPr>
    </xdr:pic>
    <xdr:clientData/>
  </xdr:twoCellAnchor>
  <xdr:twoCellAnchor>
    <xdr:from>
      <xdr:col>9</xdr:col>
      <xdr:colOff>6350</xdr:colOff>
      <xdr:row>2862</xdr:row>
      <xdr:rowOff>25400</xdr:rowOff>
    </xdr:from>
    <xdr:to>
      <xdr:col>9</xdr:col>
      <xdr:colOff>885190</xdr:colOff>
      <xdr:row>2862</xdr:row>
      <xdr:rowOff>1209040</xdr:rowOff>
    </xdr:to>
    <xdr:pic>
      <xdr:nvPicPr>
        <xdr:cNvPr id="7401" name="Изображение 7400" descr="resizeПП-00243253"/>
        <xdr:cNvPicPr>
          <a:picLocks noChangeAspect="1"/>
        </xdr:cNvPicPr>
      </xdr:nvPicPr>
      <xdr:blipFill>
        <a:blip xmlns:r="http://schemas.openxmlformats.org/officeDocument/2006/relationships" r:embed="rId2119"/>
        <a:stretch>
          <a:fillRect/>
        </a:stretch>
      </xdr:blipFill>
      <xdr:spPr>
        <a:xfrm>
          <a:off x="7235825" y="2786700675"/>
          <a:ext cx="878840" cy="1183640"/>
        </a:xfrm>
        <a:prstGeom prst="rect">
          <a:avLst/>
        </a:prstGeom>
      </xdr:spPr>
    </xdr:pic>
    <xdr:clientData/>
  </xdr:twoCellAnchor>
  <xdr:twoCellAnchor>
    <xdr:from>
      <xdr:col>9</xdr:col>
      <xdr:colOff>6350</xdr:colOff>
      <xdr:row>2863</xdr:row>
      <xdr:rowOff>25400</xdr:rowOff>
    </xdr:from>
    <xdr:to>
      <xdr:col>9</xdr:col>
      <xdr:colOff>885190</xdr:colOff>
      <xdr:row>2863</xdr:row>
      <xdr:rowOff>1209040</xdr:rowOff>
    </xdr:to>
    <xdr:pic>
      <xdr:nvPicPr>
        <xdr:cNvPr id="7402" name="Изображение 7401" descr="resizeПП-00243255"/>
        <xdr:cNvPicPr>
          <a:picLocks noChangeAspect="1"/>
        </xdr:cNvPicPr>
      </xdr:nvPicPr>
      <xdr:blipFill>
        <a:blip xmlns:r="http://schemas.openxmlformats.org/officeDocument/2006/relationships" r:embed="rId2120"/>
        <a:stretch>
          <a:fillRect/>
        </a:stretch>
      </xdr:blipFill>
      <xdr:spPr>
        <a:xfrm>
          <a:off x="7235825" y="2787923050"/>
          <a:ext cx="878840" cy="1183640"/>
        </a:xfrm>
        <a:prstGeom prst="rect">
          <a:avLst/>
        </a:prstGeom>
      </xdr:spPr>
    </xdr:pic>
    <xdr:clientData/>
  </xdr:twoCellAnchor>
  <xdr:twoCellAnchor>
    <xdr:from>
      <xdr:col>9</xdr:col>
      <xdr:colOff>6350</xdr:colOff>
      <xdr:row>2864</xdr:row>
      <xdr:rowOff>25400</xdr:rowOff>
    </xdr:from>
    <xdr:to>
      <xdr:col>9</xdr:col>
      <xdr:colOff>885190</xdr:colOff>
      <xdr:row>2864</xdr:row>
      <xdr:rowOff>1209040</xdr:rowOff>
    </xdr:to>
    <xdr:pic>
      <xdr:nvPicPr>
        <xdr:cNvPr id="7403" name="Изображение 7402" descr="resizeПП-00216951"/>
        <xdr:cNvPicPr>
          <a:picLocks noChangeAspect="1"/>
        </xdr:cNvPicPr>
      </xdr:nvPicPr>
      <xdr:blipFill>
        <a:blip xmlns:r="http://schemas.openxmlformats.org/officeDocument/2006/relationships" r:embed="rId2121"/>
        <a:stretch>
          <a:fillRect/>
        </a:stretch>
      </xdr:blipFill>
      <xdr:spPr>
        <a:xfrm>
          <a:off x="7235825" y="2789145425"/>
          <a:ext cx="878840" cy="1183640"/>
        </a:xfrm>
        <a:prstGeom prst="rect">
          <a:avLst/>
        </a:prstGeom>
      </xdr:spPr>
    </xdr:pic>
    <xdr:clientData/>
  </xdr:twoCellAnchor>
  <xdr:twoCellAnchor>
    <xdr:from>
      <xdr:col>9</xdr:col>
      <xdr:colOff>6350</xdr:colOff>
      <xdr:row>2865</xdr:row>
      <xdr:rowOff>25400</xdr:rowOff>
    </xdr:from>
    <xdr:to>
      <xdr:col>9</xdr:col>
      <xdr:colOff>885190</xdr:colOff>
      <xdr:row>2865</xdr:row>
      <xdr:rowOff>1209040</xdr:rowOff>
    </xdr:to>
    <xdr:pic>
      <xdr:nvPicPr>
        <xdr:cNvPr id="7404" name="Изображение 7403" descr="resizeПП-00243254"/>
        <xdr:cNvPicPr>
          <a:picLocks noChangeAspect="1"/>
        </xdr:cNvPicPr>
      </xdr:nvPicPr>
      <xdr:blipFill>
        <a:blip xmlns:r="http://schemas.openxmlformats.org/officeDocument/2006/relationships" r:embed="rId2122"/>
        <a:stretch>
          <a:fillRect/>
        </a:stretch>
      </xdr:blipFill>
      <xdr:spPr>
        <a:xfrm>
          <a:off x="7235825" y="2790367800"/>
          <a:ext cx="878840" cy="1183640"/>
        </a:xfrm>
        <a:prstGeom prst="rect">
          <a:avLst/>
        </a:prstGeom>
      </xdr:spPr>
    </xdr:pic>
    <xdr:clientData/>
  </xdr:twoCellAnchor>
  <xdr:twoCellAnchor>
    <xdr:from>
      <xdr:col>9</xdr:col>
      <xdr:colOff>6350</xdr:colOff>
      <xdr:row>2866</xdr:row>
      <xdr:rowOff>25400</xdr:rowOff>
    </xdr:from>
    <xdr:to>
      <xdr:col>9</xdr:col>
      <xdr:colOff>885190</xdr:colOff>
      <xdr:row>2866</xdr:row>
      <xdr:rowOff>1209040</xdr:rowOff>
    </xdr:to>
    <xdr:pic>
      <xdr:nvPicPr>
        <xdr:cNvPr id="7405" name="Изображение 7404" descr="resizeПП-00194171"/>
        <xdr:cNvPicPr>
          <a:picLocks noChangeAspect="1"/>
        </xdr:cNvPicPr>
      </xdr:nvPicPr>
      <xdr:blipFill>
        <a:blip xmlns:r="http://schemas.openxmlformats.org/officeDocument/2006/relationships" r:embed="rId2123"/>
        <a:stretch>
          <a:fillRect/>
        </a:stretch>
      </xdr:blipFill>
      <xdr:spPr>
        <a:xfrm>
          <a:off x="7235825" y="2791590175"/>
          <a:ext cx="878840" cy="1183640"/>
        </a:xfrm>
        <a:prstGeom prst="rect">
          <a:avLst/>
        </a:prstGeom>
      </xdr:spPr>
    </xdr:pic>
    <xdr:clientData/>
  </xdr:twoCellAnchor>
  <xdr:twoCellAnchor>
    <xdr:from>
      <xdr:col>9</xdr:col>
      <xdr:colOff>6350</xdr:colOff>
      <xdr:row>2867</xdr:row>
      <xdr:rowOff>25400</xdr:rowOff>
    </xdr:from>
    <xdr:to>
      <xdr:col>9</xdr:col>
      <xdr:colOff>885190</xdr:colOff>
      <xdr:row>2867</xdr:row>
      <xdr:rowOff>1209040</xdr:rowOff>
    </xdr:to>
    <xdr:pic>
      <xdr:nvPicPr>
        <xdr:cNvPr id="7406" name="Изображение 7405" descr="resizeПП-00243258"/>
        <xdr:cNvPicPr>
          <a:picLocks noChangeAspect="1"/>
        </xdr:cNvPicPr>
      </xdr:nvPicPr>
      <xdr:blipFill>
        <a:blip xmlns:r="http://schemas.openxmlformats.org/officeDocument/2006/relationships" r:embed="rId2124"/>
        <a:stretch>
          <a:fillRect/>
        </a:stretch>
      </xdr:blipFill>
      <xdr:spPr>
        <a:xfrm>
          <a:off x="7235825" y="2792812550"/>
          <a:ext cx="878840" cy="1183640"/>
        </a:xfrm>
        <a:prstGeom prst="rect">
          <a:avLst/>
        </a:prstGeom>
      </xdr:spPr>
    </xdr:pic>
    <xdr:clientData/>
  </xdr:twoCellAnchor>
  <xdr:twoCellAnchor>
    <xdr:from>
      <xdr:col>9</xdr:col>
      <xdr:colOff>6350</xdr:colOff>
      <xdr:row>2868</xdr:row>
      <xdr:rowOff>25400</xdr:rowOff>
    </xdr:from>
    <xdr:to>
      <xdr:col>9</xdr:col>
      <xdr:colOff>885190</xdr:colOff>
      <xdr:row>2868</xdr:row>
      <xdr:rowOff>1209040</xdr:rowOff>
    </xdr:to>
    <xdr:pic>
      <xdr:nvPicPr>
        <xdr:cNvPr id="7407" name="Изображение 7406" descr="resizeПП-00243260"/>
        <xdr:cNvPicPr>
          <a:picLocks noChangeAspect="1"/>
        </xdr:cNvPicPr>
      </xdr:nvPicPr>
      <xdr:blipFill>
        <a:blip xmlns:r="http://schemas.openxmlformats.org/officeDocument/2006/relationships" r:embed="rId2125"/>
        <a:stretch>
          <a:fillRect/>
        </a:stretch>
      </xdr:blipFill>
      <xdr:spPr>
        <a:xfrm>
          <a:off x="7235825" y="2794034925"/>
          <a:ext cx="878840" cy="1183640"/>
        </a:xfrm>
        <a:prstGeom prst="rect">
          <a:avLst/>
        </a:prstGeom>
      </xdr:spPr>
    </xdr:pic>
    <xdr:clientData/>
  </xdr:twoCellAnchor>
  <xdr:twoCellAnchor>
    <xdr:from>
      <xdr:col>9</xdr:col>
      <xdr:colOff>6350</xdr:colOff>
      <xdr:row>2869</xdr:row>
      <xdr:rowOff>25400</xdr:rowOff>
    </xdr:from>
    <xdr:to>
      <xdr:col>9</xdr:col>
      <xdr:colOff>885190</xdr:colOff>
      <xdr:row>2869</xdr:row>
      <xdr:rowOff>1209040</xdr:rowOff>
    </xdr:to>
    <xdr:pic>
      <xdr:nvPicPr>
        <xdr:cNvPr id="7408" name="Изображение 7407" descr="resizeПП-00194176"/>
        <xdr:cNvPicPr>
          <a:picLocks noChangeAspect="1"/>
        </xdr:cNvPicPr>
      </xdr:nvPicPr>
      <xdr:blipFill>
        <a:blip xmlns:r="http://schemas.openxmlformats.org/officeDocument/2006/relationships" r:embed="rId2126"/>
        <a:stretch>
          <a:fillRect/>
        </a:stretch>
      </xdr:blipFill>
      <xdr:spPr>
        <a:xfrm>
          <a:off x="7235825" y="2795257300"/>
          <a:ext cx="878840" cy="1183640"/>
        </a:xfrm>
        <a:prstGeom prst="rect">
          <a:avLst/>
        </a:prstGeom>
      </xdr:spPr>
    </xdr:pic>
    <xdr:clientData/>
  </xdr:twoCellAnchor>
  <xdr:twoCellAnchor>
    <xdr:from>
      <xdr:col>9</xdr:col>
      <xdr:colOff>6350</xdr:colOff>
      <xdr:row>2870</xdr:row>
      <xdr:rowOff>25400</xdr:rowOff>
    </xdr:from>
    <xdr:to>
      <xdr:col>9</xdr:col>
      <xdr:colOff>885190</xdr:colOff>
      <xdr:row>2870</xdr:row>
      <xdr:rowOff>1209040</xdr:rowOff>
    </xdr:to>
    <xdr:pic>
      <xdr:nvPicPr>
        <xdr:cNvPr id="7409" name="Изображение 7408" descr="resizeПП-00194177"/>
        <xdr:cNvPicPr>
          <a:picLocks noChangeAspect="1"/>
        </xdr:cNvPicPr>
      </xdr:nvPicPr>
      <xdr:blipFill>
        <a:blip xmlns:r="http://schemas.openxmlformats.org/officeDocument/2006/relationships" r:embed="rId2127"/>
        <a:stretch>
          <a:fillRect/>
        </a:stretch>
      </xdr:blipFill>
      <xdr:spPr>
        <a:xfrm>
          <a:off x="7235825" y="2796479675"/>
          <a:ext cx="878840" cy="1183640"/>
        </a:xfrm>
        <a:prstGeom prst="rect">
          <a:avLst/>
        </a:prstGeom>
      </xdr:spPr>
    </xdr:pic>
    <xdr:clientData/>
  </xdr:twoCellAnchor>
  <xdr:twoCellAnchor>
    <xdr:from>
      <xdr:col>9</xdr:col>
      <xdr:colOff>6350</xdr:colOff>
      <xdr:row>2871</xdr:row>
      <xdr:rowOff>25400</xdr:rowOff>
    </xdr:from>
    <xdr:to>
      <xdr:col>9</xdr:col>
      <xdr:colOff>885190</xdr:colOff>
      <xdr:row>2871</xdr:row>
      <xdr:rowOff>1209040</xdr:rowOff>
    </xdr:to>
    <xdr:pic>
      <xdr:nvPicPr>
        <xdr:cNvPr id="7410" name="Изображение 7409" descr="resizeПП-00243257"/>
        <xdr:cNvPicPr>
          <a:picLocks noChangeAspect="1"/>
        </xdr:cNvPicPr>
      </xdr:nvPicPr>
      <xdr:blipFill>
        <a:blip xmlns:r="http://schemas.openxmlformats.org/officeDocument/2006/relationships" r:embed="rId2128"/>
        <a:stretch>
          <a:fillRect/>
        </a:stretch>
      </xdr:blipFill>
      <xdr:spPr>
        <a:xfrm>
          <a:off x="7235825" y="2797702050"/>
          <a:ext cx="878840" cy="1183640"/>
        </a:xfrm>
        <a:prstGeom prst="rect">
          <a:avLst/>
        </a:prstGeom>
      </xdr:spPr>
    </xdr:pic>
    <xdr:clientData/>
  </xdr:twoCellAnchor>
  <xdr:twoCellAnchor>
    <xdr:from>
      <xdr:col>9</xdr:col>
      <xdr:colOff>6350</xdr:colOff>
      <xdr:row>2872</xdr:row>
      <xdr:rowOff>25400</xdr:rowOff>
    </xdr:from>
    <xdr:to>
      <xdr:col>9</xdr:col>
      <xdr:colOff>885190</xdr:colOff>
      <xdr:row>2872</xdr:row>
      <xdr:rowOff>1209040</xdr:rowOff>
    </xdr:to>
    <xdr:pic>
      <xdr:nvPicPr>
        <xdr:cNvPr id="7411" name="Изображение 7410" descr="resizeПП-00243256"/>
        <xdr:cNvPicPr>
          <a:picLocks noChangeAspect="1"/>
        </xdr:cNvPicPr>
      </xdr:nvPicPr>
      <xdr:blipFill>
        <a:blip xmlns:r="http://schemas.openxmlformats.org/officeDocument/2006/relationships" r:embed="rId2129"/>
        <a:stretch>
          <a:fillRect/>
        </a:stretch>
      </xdr:blipFill>
      <xdr:spPr>
        <a:xfrm>
          <a:off x="7235825" y="2798924425"/>
          <a:ext cx="878840" cy="1183640"/>
        </a:xfrm>
        <a:prstGeom prst="rect">
          <a:avLst/>
        </a:prstGeom>
      </xdr:spPr>
    </xdr:pic>
    <xdr:clientData/>
  </xdr:twoCellAnchor>
  <xdr:twoCellAnchor>
    <xdr:from>
      <xdr:col>9</xdr:col>
      <xdr:colOff>6350</xdr:colOff>
      <xdr:row>2873</xdr:row>
      <xdr:rowOff>25400</xdr:rowOff>
    </xdr:from>
    <xdr:to>
      <xdr:col>9</xdr:col>
      <xdr:colOff>885190</xdr:colOff>
      <xdr:row>2873</xdr:row>
      <xdr:rowOff>1209040</xdr:rowOff>
    </xdr:to>
    <xdr:pic>
      <xdr:nvPicPr>
        <xdr:cNvPr id="7412" name="Изображение 7411" descr="resizeПП-00194173"/>
        <xdr:cNvPicPr>
          <a:picLocks noChangeAspect="1"/>
        </xdr:cNvPicPr>
      </xdr:nvPicPr>
      <xdr:blipFill>
        <a:blip xmlns:r="http://schemas.openxmlformats.org/officeDocument/2006/relationships" r:embed="rId2130"/>
        <a:stretch>
          <a:fillRect/>
        </a:stretch>
      </xdr:blipFill>
      <xdr:spPr>
        <a:xfrm>
          <a:off x="7235825" y="2800146800"/>
          <a:ext cx="878840" cy="1183640"/>
        </a:xfrm>
        <a:prstGeom prst="rect">
          <a:avLst/>
        </a:prstGeom>
      </xdr:spPr>
    </xdr:pic>
    <xdr:clientData/>
  </xdr:twoCellAnchor>
  <xdr:twoCellAnchor>
    <xdr:from>
      <xdr:col>9</xdr:col>
      <xdr:colOff>6350</xdr:colOff>
      <xdr:row>2876</xdr:row>
      <xdr:rowOff>25400</xdr:rowOff>
    </xdr:from>
    <xdr:to>
      <xdr:col>9</xdr:col>
      <xdr:colOff>885190</xdr:colOff>
      <xdr:row>2876</xdr:row>
      <xdr:rowOff>1209040</xdr:rowOff>
    </xdr:to>
    <xdr:pic>
      <xdr:nvPicPr>
        <xdr:cNvPr id="7413" name="Изображение 7412" descr="resizeПП-00269608"/>
        <xdr:cNvPicPr>
          <a:picLocks noChangeAspect="1"/>
        </xdr:cNvPicPr>
      </xdr:nvPicPr>
      <xdr:blipFill>
        <a:blip xmlns:r="http://schemas.openxmlformats.org/officeDocument/2006/relationships" r:embed="rId2131"/>
        <a:stretch>
          <a:fillRect/>
        </a:stretch>
      </xdr:blipFill>
      <xdr:spPr>
        <a:xfrm>
          <a:off x="7235825" y="2801673975"/>
          <a:ext cx="878840" cy="1183640"/>
        </a:xfrm>
        <a:prstGeom prst="rect">
          <a:avLst/>
        </a:prstGeom>
      </xdr:spPr>
    </xdr:pic>
    <xdr:clientData/>
  </xdr:twoCellAnchor>
  <xdr:twoCellAnchor>
    <xdr:from>
      <xdr:col>9</xdr:col>
      <xdr:colOff>6350</xdr:colOff>
      <xdr:row>2877</xdr:row>
      <xdr:rowOff>25400</xdr:rowOff>
    </xdr:from>
    <xdr:to>
      <xdr:col>9</xdr:col>
      <xdr:colOff>885190</xdr:colOff>
      <xdr:row>2877</xdr:row>
      <xdr:rowOff>1209040</xdr:rowOff>
    </xdr:to>
    <xdr:pic>
      <xdr:nvPicPr>
        <xdr:cNvPr id="7414" name="Изображение 7413" descr="resizeПП-00269609"/>
        <xdr:cNvPicPr>
          <a:picLocks noChangeAspect="1"/>
        </xdr:cNvPicPr>
      </xdr:nvPicPr>
      <xdr:blipFill>
        <a:blip xmlns:r="http://schemas.openxmlformats.org/officeDocument/2006/relationships" r:embed="rId2132"/>
        <a:stretch>
          <a:fillRect/>
        </a:stretch>
      </xdr:blipFill>
      <xdr:spPr>
        <a:xfrm>
          <a:off x="7235825" y="2802896350"/>
          <a:ext cx="878840" cy="1183640"/>
        </a:xfrm>
        <a:prstGeom prst="rect">
          <a:avLst/>
        </a:prstGeom>
      </xdr:spPr>
    </xdr:pic>
    <xdr:clientData/>
  </xdr:twoCellAnchor>
  <xdr:twoCellAnchor>
    <xdr:from>
      <xdr:col>9</xdr:col>
      <xdr:colOff>6350</xdr:colOff>
      <xdr:row>2878</xdr:row>
      <xdr:rowOff>25400</xdr:rowOff>
    </xdr:from>
    <xdr:to>
      <xdr:col>9</xdr:col>
      <xdr:colOff>885190</xdr:colOff>
      <xdr:row>2878</xdr:row>
      <xdr:rowOff>1209040</xdr:rowOff>
    </xdr:to>
    <xdr:pic>
      <xdr:nvPicPr>
        <xdr:cNvPr id="7415" name="Изображение 7414" descr="resizeПП-00269606"/>
        <xdr:cNvPicPr>
          <a:picLocks noChangeAspect="1"/>
        </xdr:cNvPicPr>
      </xdr:nvPicPr>
      <xdr:blipFill>
        <a:blip xmlns:r="http://schemas.openxmlformats.org/officeDocument/2006/relationships" r:embed="rId2133"/>
        <a:stretch>
          <a:fillRect/>
        </a:stretch>
      </xdr:blipFill>
      <xdr:spPr>
        <a:xfrm>
          <a:off x="7235825" y="2804118725"/>
          <a:ext cx="878840" cy="1183640"/>
        </a:xfrm>
        <a:prstGeom prst="rect">
          <a:avLst/>
        </a:prstGeom>
      </xdr:spPr>
    </xdr:pic>
    <xdr:clientData/>
  </xdr:twoCellAnchor>
  <xdr:twoCellAnchor>
    <xdr:from>
      <xdr:col>9</xdr:col>
      <xdr:colOff>6350</xdr:colOff>
      <xdr:row>2879</xdr:row>
      <xdr:rowOff>25400</xdr:rowOff>
    </xdr:from>
    <xdr:to>
      <xdr:col>9</xdr:col>
      <xdr:colOff>885190</xdr:colOff>
      <xdr:row>2879</xdr:row>
      <xdr:rowOff>1209040</xdr:rowOff>
    </xdr:to>
    <xdr:pic>
      <xdr:nvPicPr>
        <xdr:cNvPr id="7416" name="Изображение 7415" descr="resizeПП-00269607"/>
        <xdr:cNvPicPr>
          <a:picLocks noChangeAspect="1"/>
        </xdr:cNvPicPr>
      </xdr:nvPicPr>
      <xdr:blipFill>
        <a:blip xmlns:r="http://schemas.openxmlformats.org/officeDocument/2006/relationships" r:embed="rId2134"/>
        <a:stretch>
          <a:fillRect/>
        </a:stretch>
      </xdr:blipFill>
      <xdr:spPr>
        <a:xfrm>
          <a:off x="7235825" y="2805341100"/>
          <a:ext cx="878840" cy="1183640"/>
        </a:xfrm>
        <a:prstGeom prst="rect">
          <a:avLst/>
        </a:prstGeom>
      </xdr:spPr>
    </xdr:pic>
    <xdr:clientData/>
  </xdr:twoCellAnchor>
  <xdr:twoCellAnchor>
    <xdr:from>
      <xdr:col>9</xdr:col>
      <xdr:colOff>6350</xdr:colOff>
      <xdr:row>2880</xdr:row>
      <xdr:rowOff>25400</xdr:rowOff>
    </xdr:from>
    <xdr:to>
      <xdr:col>9</xdr:col>
      <xdr:colOff>885190</xdr:colOff>
      <xdr:row>2880</xdr:row>
      <xdr:rowOff>1209040</xdr:rowOff>
    </xdr:to>
    <xdr:pic>
      <xdr:nvPicPr>
        <xdr:cNvPr id="7417" name="Изображение 7416" descr="resizeПП-00269602"/>
        <xdr:cNvPicPr>
          <a:picLocks noChangeAspect="1"/>
        </xdr:cNvPicPr>
      </xdr:nvPicPr>
      <xdr:blipFill>
        <a:blip xmlns:r="http://schemas.openxmlformats.org/officeDocument/2006/relationships" r:embed="rId2135"/>
        <a:stretch>
          <a:fillRect/>
        </a:stretch>
      </xdr:blipFill>
      <xdr:spPr>
        <a:xfrm>
          <a:off x="7235825" y="2806563475"/>
          <a:ext cx="878840" cy="1183640"/>
        </a:xfrm>
        <a:prstGeom prst="rect">
          <a:avLst/>
        </a:prstGeom>
      </xdr:spPr>
    </xdr:pic>
    <xdr:clientData/>
  </xdr:twoCellAnchor>
  <xdr:twoCellAnchor>
    <xdr:from>
      <xdr:col>9</xdr:col>
      <xdr:colOff>6350</xdr:colOff>
      <xdr:row>2881</xdr:row>
      <xdr:rowOff>25400</xdr:rowOff>
    </xdr:from>
    <xdr:to>
      <xdr:col>9</xdr:col>
      <xdr:colOff>885190</xdr:colOff>
      <xdr:row>2881</xdr:row>
      <xdr:rowOff>1209040</xdr:rowOff>
    </xdr:to>
    <xdr:pic>
      <xdr:nvPicPr>
        <xdr:cNvPr id="7418" name="Изображение 7417" descr="resizeПП-00269589"/>
        <xdr:cNvPicPr>
          <a:picLocks noChangeAspect="1"/>
        </xdr:cNvPicPr>
      </xdr:nvPicPr>
      <xdr:blipFill>
        <a:blip xmlns:r="http://schemas.openxmlformats.org/officeDocument/2006/relationships" r:embed="rId2136"/>
        <a:stretch>
          <a:fillRect/>
        </a:stretch>
      </xdr:blipFill>
      <xdr:spPr>
        <a:xfrm>
          <a:off x="7235825" y="2807785850"/>
          <a:ext cx="878840" cy="1183640"/>
        </a:xfrm>
        <a:prstGeom prst="rect">
          <a:avLst/>
        </a:prstGeom>
      </xdr:spPr>
    </xdr:pic>
    <xdr:clientData/>
  </xdr:twoCellAnchor>
  <xdr:twoCellAnchor>
    <xdr:from>
      <xdr:col>9</xdr:col>
      <xdr:colOff>6350</xdr:colOff>
      <xdr:row>2883</xdr:row>
      <xdr:rowOff>25400</xdr:rowOff>
    </xdr:from>
    <xdr:to>
      <xdr:col>9</xdr:col>
      <xdr:colOff>885190</xdr:colOff>
      <xdr:row>2883</xdr:row>
      <xdr:rowOff>1209040</xdr:rowOff>
    </xdr:to>
    <xdr:pic>
      <xdr:nvPicPr>
        <xdr:cNvPr id="7419" name="Изображение 7418" descr="resizeПП-00269610"/>
        <xdr:cNvPicPr>
          <a:picLocks noChangeAspect="1"/>
        </xdr:cNvPicPr>
      </xdr:nvPicPr>
      <xdr:blipFill>
        <a:blip xmlns:r="http://schemas.openxmlformats.org/officeDocument/2006/relationships" r:embed="rId2137"/>
        <a:stretch>
          <a:fillRect/>
        </a:stretch>
      </xdr:blipFill>
      <xdr:spPr>
        <a:xfrm>
          <a:off x="7235825" y="2809160625"/>
          <a:ext cx="878840" cy="1183640"/>
        </a:xfrm>
        <a:prstGeom prst="rect">
          <a:avLst/>
        </a:prstGeom>
      </xdr:spPr>
    </xdr:pic>
    <xdr:clientData/>
  </xdr:twoCellAnchor>
  <xdr:twoCellAnchor>
    <xdr:from>
      <xdr:col>9</xdr:col>
      <xdr:colOff>6350</xdr:colOff>
      <xdr:row>2885</xdr:row>
      <xdr:rowOff>25400</xdr:rowOff>
    </xdr:from>
    <xdr:to>
      <xdr:col>9</xdr:col>
      <xdr:colOff>885190</xdr:colOff>
      <xdr:row>2885</xdr:row>
      <xdr:rowOff>1209040</xdr:rowOff>
    </xdr:to>
    <xdr:pic>
      <xdr:nvPicPr>
        <xdr:cNvPr id="7420" name="Изображение 7419" descr="resizeПП-00267288"/>
        <xdr:cNvPicPr>
          <a:picLocks noChangeAspect="1"/>
        </xdr:cNvPicPr>
      </xdr:nvPicPr>
      <xdr:blipFill>
        <a:blip xmlns:r="http://schemas.openxmlformats.org/officeDocument/2006/relationships" r:embed="rId2138"/>
        <a:stretch>
          <a:fillRect/>
        </a:stretch>
      </xdr:blipFill>
      <xdr:spPr>
        <a:xfrm>
          <a:off x="7235825" y="2810535400"/>
          <a:ext cx="878840" cy="1183640"/>
        </a:xfrm>
        <a:prstGeom prst="rect">
          <a:avLst/>
        </a:prstGeom>
      </xdr:spPr>
    </xdr:pic>
    <xdr:clientData/>
  </xdr:twoCellAnchor>
  <xdr:twoCellAnchor>
    <xdr:from>
      <xdr:col>9</xdr:col>
      <xdr:colOff>6350</xdr:colOff>
      <xdr:row>2886</xdr:row>
      <xdr:rowOff>25400</xdr:rowOff>
    </xdr:from>
    <xdr:to>
      <xdr:col>9</xdr:col>
      <xdr:colOff>885190</xdr:colOff>
      <xdr:row>2886</xdr:row>
      <xdr:rowOff>1209040</xdr:rowOff>
    </xdr:to>
    <xdr:pic>
      <xdr:nvPicPr>
        <xdr:cNvPr id="7421" name="Изображение 7420" descr="resizeПП-00267285"/>
        <xdr:cNvPicPr>
          <a:picLocks noChangeAspect="1"/>
        </xdr:cNvPicPr>
      </xdr:nvPicPr>
      <xdr:blipFill>
        <a:blip xmlns:r="http://schemas.openxmlformats.org/officeDocument/2006/relationships" r:embed="rId2139"/>
        <a:stretch>
          <a:fillRect/>
        </a:stretch>
      </xdr:blipFill>
      <xdr:spPr>
        <a:xfrm>
          <a:off x="7235825" y="2811757775"/>
          <a:ext cx="878840" cy="1183640"/>
        </a:xfrm>
        <a:prstGeom prst="rect">
          <a:avLst/>
        </a:prstGeom>
      </xdr:spPr>
    </xdr:pic>
    <xdr:clientData/>
  </xdr:twoCellAnchor>
  <xdr:twoCellAnchor>
    <xdr:from>
      <xdr:col>9</xdr:col>
      <xdr:colOff>6350</xdr:colOff>
      <xdr:row>2887</xdr:row>
      <xdr:rowOff>25400</xdr:rowOff>
    </xdr:from>
    <xdr:to>
      <xdr:col>9</xdr:col>
      <xdr:colOff>885190</xdr:colOff>
      <xdr:row>2887</xdr:row>
      <xdr:rowOff>1209040</xdr:rowOff>
    </xdr:to>
    <xdr:pic>
      <xdr:nvPicPr>
        <xdr:cNvPr id="7422" name="Изображение 7421" descr="resizeПП-00267280"/>
        <xdr:cNvPicPr>
          <a:picLocks noChangeAspect="1"/>
        </xdr:cNvPicPr>
      </xdr:nvPicPr>
      <xdr:blipFill>
        <a:blip xmlns:r="http://schemas.openxmlformats.org/officeDocument/2006/relationships" r:embed="rId2140"/>
        <a:stretch>
          <a:fillRect/>
        </a:stretch>
      </xdr:blipFill>
      <xdr:spPr>
        <a:xfrm>
          <a:off x="7235825" y="2812980150"/>
          <a:ext cx="878840" cy="1183640"/>
        </a:xfrm>
        <a:prstGeom prst="rect">
          <a:avLst/>
        </a:prstGeom>
      </xdr:spPr>
    </xdr:pic>
    <xdr:clientData/>
  </xdr:twoCellAnchor>
  <xdr:twoCellAnchor>
    <xdr:from>
      <xdr:col>9</xdr:col>
      <xdr:colOff>6350</xdr:colOff>
      <xdr:row>2891</xdr:row>
      <xdr:rowOff>25400</xdr:rowOff>
    </xdr:from>
    <xdr:to>
      <xdr:col>9</xdr:col>
      <xdr:colOff>885190</xdr:colOff>
      <xdr:row>2891</xdr:row>
      <xdr:rowOff>1209040</xdr:rowOff>
    </xdr:to>
    <xdr:pic>
      <xdr:nvPicPr>
        <xdr:cNvPr id="7423" name="Изображение 7422" descr="resizeПП-00262407"/>
        <xdr:cNvPicPr>
          <a:picLocks noChangeAspect="1"/>
        </xdr:cNvPicPr>
      </xdr:nvPicPr>
      <xdr:blipFill>
        <a:blip xmlns:r="http://schemas.openxmlformats.org/officeDocument/2006/relationships" r:embed="rId2141"/>
        <a:stretch>
          <a:fillRect/>
        </a:stretch>
      </xdr:blipFill>
      <xdr:spPr>
        <a:xfrm>
          <a:off x="7235825" y="2814659725"/>
          <a:ext cx="878840" cy="1183640"/>
        </a:xfrm>
        <a:prstGeom prst="rect">
          <a:avLst/>
        </a:prstGeom>
      </xdr:spPr>
    </xdr:pic>
    <xdr:clientData/>
  </xdr:twoCellAnchor>
  <xdr:twoCellAnchor>
    <xdr:from>
      <xdr:col>9</xdr:col>
      <xdr:colOff>6350</xdr:colOff>
      <xdr:row>2893</xdr:row>
      <xdr:rowOff>25400</xdr:rowOff>
    </xdr:from>
    <xdr:to>
      <xdr:col>9</xdr:col>
      <xdr:colOff>885190</xdr:colOff>
      <xdr:row>2893</xdr:row>
      <xdr:rowOff>1209040</xdr:rowOff>
    </xdr:to>
    <xdr:pic>
      <xdr:nvPicPr>
        <xdr:cNvPr id="7424" name="Изображение 7423" descr="resizeПП-00262409"/>
        <xdr:cNvPicPr>
          <a:picLocks noChangeAspect="1"/>
        </xdr:cNvPicPr>
      </xdr:nvPicPr>
      <xdr:blipFill>
        <a:blip xmlns:r="http://schemas.openxmlformats.org/officeDocument/2006/relationships" r:embed="rId2142"/>
        <a:stretch>
          <a:fillRect/>
        </a:stretch>
      </xdr:blipFill>
      <xdr:spPr>
        <a:xfrm>
          <a:off x="7235825" y="2816034500"/>
          <a:ext cx="878840" cy="1183640"/>
        </a:xfrm>
        <a:prstGeom prst="rect">
          <a:avLst/>
        </a:prstGeom>
      </xdr:spPr>
    </xdr:pic>
    <xdr:clientData/>
  </xdr:twoCellAnchor>
  <xdr:twoCellAnchor>
    <xdr:from>
      <xdr:col>9</xdr:col>
      <xdr:colOff>6350</xdr:colOff>
      <xdr:row>2895</xdr:row>
      <xdr:rowOff>25400</xdr:rowOff>
    </xdr:from>
    <xdr:to>
      <xdr:col>9</xdr:col>
      <xdr:colOff>885190</xdr:colOff>
      <xdr:row>2895</xdr:row>
      <xdr:rowOff>1209040</xdr:rowOff>
    </xdr:to>
    <xdr:pic>
      <xdr:nvPicPr>
        <xdr:cNvPr id="7425" name="Изображение 7424" descr="resizeПП-00212871"/>
        <xdr:cNvPicPr>
          <a:picLocks noChangeAspect="1"/>
        </xdr:cNvPicPr>
      </xdr:nvPicPr>
      <xdr:blipFill>
        <a:blip xmlns:r="http://schemas.openxmlformats.org/officeDocument/2006/relationships" r:embed="rId2143"/>
        <a:stretch>
          <a:fillRect/>
        </a:stretch>
      </xdr:blipFill>
      <xdr:spPr>
        <a:xfrm>
          <a:off x="7235825" y="2817409275"/>
          <a:ext cx="878840" cy="1183640"/>
        </a:xfrm>
        <a:prstGeom prst="rect">
          <a:avLst/>
        </a:prstGeom>
      </xdr:spPr>
    </xdr:pic>
    <xdr:clientData/>
  </xdr:twoCellAnchor>
  <xdr:twoCellAnchor>
    <xdr:from>
      <xdr:col>9</xdr:col>
      <xdr:colOff>6350</xdr:colOff>
      <xdr:row>2896</xdr:row>
      <xdr:rowOff>25400</xdr:rowOff>
    </xdr:from>
    <xdr:to>
      <xdr:col>9</xdr:col>
      <xdr:colOff>885190</xdr:colOff>
      <xdr:row>2896</xdr:row>
      <xdr:rowOff>1209040</xdr:rowOff>
    </xdr:to>
    <xdr:pic>
      <xdr:nvPicPr>
        <xdr:cNvPr id="7426" name="Изображение 7425" descr="resizeПП-00212872"/>
        <xdr:cNvPicPr>
          <a:picLocks noChangeAspect="1"/>
        </xdr:cNvPicPr>
      </xdr:nvPicPr>
      <xdr:blipFill>
        <a:blip xmlns:r="http://schemas.openxmlformats.org/officeDocument/2006/relationships" r:embed="rId2144"/>
        <a:stretch>
          <a:fillRect/>
        </a:stretch>
      </xdr:blipFill>
      <xdr:spPr>
        <a:xfrm>
          <a:off x="7235825" y="2818631650"/>
          <a:ext cx="878840" cy="1183640"/>
        </a:xfrm>
        <a:prstGeom prst="rect">
          <a:avLst/>
        </a:prstGeom>
      </xdr:spPr>
    </xdr:pic>
    <xdr:clientData/>
  </xdr:twoCellAnchor>
  <xdr:twoCellAnchor>
    <xdr:from>
      <xdr:col>9</xdr:col>
      <xdr:colOff>6350</xdr:colOff>
      <xdr:row>2897</xdr:row>
      <xdr:rowOff>25400</xdr:rowOff>
    </xdr:from>
    <xdr:to>
      <xdr:col>9</xdr:col>
      <xdr:colOff>885190</xdr:colOff>
      <xdr:row>2897</xdr:row>
      <xdr:rowOff>1209040</xdr:rowOff>
    </xdr:to>
    <xdr:pic>
      <xdr:nvPicPr>
        <xdr:cNvPr id="7427" name="Изображение 7426" descr="resizeПП-00227192"/>
        <xdr:cNvPicPr>
          <a:picLocks noChangeAspect="1"/>
        </xdr:cNvPicPr>
      </xdr:nvPicPr>
      <xdr:blipFill>
        <a:blip xmlns:r="http://schemas.openxmlformats.org/officeDocument/2006/relationships" r:embed="rId2145"/>
        <a:stretch>
          <a:fillRect/>
        </a:stretch>
      </xdr:blipFill>
      <xdr:spPr>
        <a:xfrm>
          <a:off x="7235825" y="2819854025"/>
          <a:ext cx="878840" cy="1183640"/>
        </a:xfrm>
        <a:prstGeom prst="rect">
          <a:avLst/>
        </a:prstGeom>
      </xdr:spPr>
    </xdr:pic>
    <xdr:clientData/>
  </xdr:twoCellAnchor>
  <xdr:twoCellAnchor>
    <xdr:from>
      <xdr:col>9</xdr:col>
      <xdr:colOff>6350</xdr:colOff>
      <xdr:row>2899</xdr:row>
      <xdr:rowOff>25400</xdr:rowOff>
    </xdr:from>
    <xdr:to>
      <xdr:col>9</xdr:col>
      <xdr:colOff>885190</xdr:colOff>
      <xdr:row>2899</xdr:row>
      <xdr:rowOff>1209040</xdr:rowOff>
    </xdr:to>
    <xdr:pic>
      <xdr:nvPicPr>
        <xdr:cNvPr id="7428" name="Изображение 7427" descr="resizeПП-00210882"/>
        <xdr:cNvPicPr>
          <a:picLocks noChangeAspect="1"/>
        </xdr:cNvPicPr>
      </xdr:nvPicPr>
      <xdr:blipFill>
        <a:blip xmlns:r="http://schemas.openxmlformats.org/officeDocument/2006/relationships" r:embed="rId2146"/>
        <a:stretch>
          <a:fillRect/>
        </a:stretch>
      </xdr:blipFill>
      <xdr:spPr>
        <a:xfrm>
          <a:off x="7235825" y="2821228800"/>
          <a:ext cx="878840" cy="1183640"/>
        </a:xfrm>
        <a:prstGeom prst="rect">
          <a:avLst/>
        </a:prstGeom>
      </xdr:spPr>
    </xdr:pic>
    <xdr:clientData/>
  </xdr:twoCellAnchor>
  <xdr:twoCellAnchor>
    <xdr:from>
      <xdr:col>9</xdr:col>
      <xdr:colOff>6350</xdr:colOff>
      <xdr:row>2900</xdr:row>
      <xdr:rowOff>25400</xdr:rowOff>
    </xdr:from>
    <xdr:to>
      <xdr:col>9</xdr:col>
      <xdr:colOff>885190</xdr:colOff>
      <xdr:row>2900</xdr:row>
      <xdr:rowOff>1209040</xdr:rowOff>
    </xdr:to>
    <xdr:pic>
      <xdr:nvPicPr>
        <xdr:cNvPr id="7429" name="Изображение 7428" descr="resizeПП-00210868"/>
        <xdr:cNvPicPr>
          <a:picLocks noChangeAspect="1"/>
        </xdr:cNvPicPr>
      </xdr:nvPicPr>
      <xdr:blipFill>
        <a:blip xmlns:r="http://schemas.openxmlformats.org/officeDocument/2006/relationships" r:embed="rId2147"/>
        <a:stretch>
          <a:fillRect/>
        </a:stretch>
      </xdr:blipFill>
      <xdr:spPr>
        <a:xfrm>
          <a:off x="7235825" y="2822451175"/>
          <a:ext cx="878840" cy="1183640"/>
        </a:xfrm>
        <a:prstGeom prst="rect">
          <a:avLst/>
        </a:prstGeom>
      </xdr:spPr>
    </xdr:pic>
    <xdr:clientData/>
  </xdr:twoCellAnchor>
  <xdr:twoCellAnchor>
    <xdr:from>
      <xdr:col>9</xdr:col>
      <xdr:colOff>6350</xdr:colOff>
      <xdr:row>2902</xdr:row>
      <xdr:rowOff>25400</xdr:rowOff>
    </xdr:from>
    <xdr:to>
      <xdr:col>9</xdr:col>
      <xdr:colOff>885190</xdr:colOff>
      <xdr:row>2902</xdr:row>
      <xdr:rowOff>1209040</xdr:rowOff>
    </xdr:to>
    <xdr:pic>
      <xdr:nvPicPr>
        <xdr:cNvPr id="7430" name="Изображение 7429" descr="resizeПП-00214898"/>
        <xdr:cNvPicPr>
          <a:picLocks noChangeAspect="1"/>
        </xdr:cNvPicPr>
      </xdr:nvPicPr>
      <xdr:blipFill>
        <a:blip xmlns:r="http://schemas.openxmlformats.org/officeDocument/2006/relationships" r:embed="rId2148"/>
        <a:stretch>
          <a:fillRect/>
        </a:stretch>
      </xdr:blipFill>
      <xdr:spPr>
        <a:xfrm>
          <a:off x="7235825" y="2823825950"/>
          <a:ext cx="878840" cy="1183640"/>
        </a:xfrm>
        <a:prstGeom prst="rect">
          <a:avLst/>
        </a:prstGeom>
      </xdr:spPr>
    </xdr:pic>
    <xdr:clientData/>
  </xdr:twoCellAnchor>
  <xdr:twoCellAnchor>
    <xdr:from>
      <xdr:col>9</xdr:col>
      <xdr:colOff>6350</xdr:colOff>
      <xdr:row>2903</xdr:row>
      <xdr:rowOff>25400</xdr:rowOff>
    </xdr:from>
    <xdr:to>
      <xdr:col>9</xdr:col>
      <xdr:colOff>885190</xdr:colOff>
      <xdr:row>2903</xdr:row>
      <xdr:rowOff>1209040</xdr:rowOff>
    </xdr:to>
    <xdr:pic>
      <xdr:nvPicPr>
        <xdr:cNvPr id="7431" name="Изображение 7430" descr="resizeПП-00214893"/>
        <xdr:cNvPicPr>
          <a:picLocks noChangeAspect="1"/>
        </xdr:cNvPicPr>
      </xdr:nvPicPr>
      <xdr:blipFill>
        <a:blip xmlns:r="http://schemas.openxmlformats.org/officeDocument/2006/relationships" r:embed="rId2149"/>
        <a:stretch>
          <a:fillRect/>
        </a:stretch>
      </xdr:blipFill>
      <xdr:spPr>
        <a:xfrm>
          <a:off x="7235825" y="2825048325"/>
          <a:ext cx="878840" cy="1183640"/>
        </a:xfrm>
        <a:prstGeom prst="rect">
          <a:avLst/>
        </a:prstGeom>
      </xdr:spPr>
    </xdr:pic>
    <xdr:clientData/>
  </xdr:twoCellAnchor>
  <xdr:twoCellAnchor>
    <xdr:from>
      <xdr:col>9</xdr:col>
      <xdr:colOff>6350</xdr:colOff>
      <xdr:row>2904</xdr:row>
      <xdr:rowOff>25400</xdr:rowOff>
    </xdr:from>
    <xdr:to>
      <xdr:col>9</xdr:col>
      <xdr:colOff>885190</xdr:colOff>
      <xdr:row>2904</xdr:row>
      <xdr:rowOff>1209040</xdr:rowOff>
    </xdr:to>
    <xdr:pic>
      <xdr:nvPicPr>
        <xdr:cNvPr id="7432" name="Изображение 7431" descr="resizeПП-00214894"/>
        <xdr:cNvPicPr>
          <a:picLocks noChangeAspect="1"/>
        </xdr:cNvPicPr>
      </xdr:nvPicPr>
      <xdr:blipFill>
        <a:blip xmlns:r="http://schemas.openxmlformats.org/officeDocument/2006/relationships" r:embed="rId2150"/>
        <a:stretch>
          <a:fillRect/>
        </a:stretch>
      </xdr:blipFill>
      <xdr:spPr>
        <a:xfrm>
          <a:off x="7235825" y="2826270700"/>
          <a:ext cx="878840" cy="1183640"/>
        </a:xfrm>
        <a:prstGeom prst="rect">
          <a:avLst/>
        </a:prstGeom>
      </xdr:spPr>
    </xdr:pic>
    <xdr:clientData/>
  </xdr:twoCellAnchor>
  <xdr:twoCellAnchor>
    <xdr:from>
      <xdr:col>9</xdr:col>
      <xdr:colOff>6350</xdr:colOff>
      <xdr:row>2905</xdr:row>
      <xdr:rowOff>25400</xdr:rowOff>
    </xdr:from>
    <xdr:to>
      <xdr:col>9</xdr:col>
      <xdr:colOff>885190</xdr:colOff>
      <xdr:row>2905</xdr:row>
      <xdr:rowOff>1209040</xdr:rowOff>
    </xdr:to>
    <xdr:pic>
      <xdr:nvPicPr>
        <xdr:cNvPr id="7433" name="Изображение 7432" descr="resizeПП-00214375"/>
        <xdr:cNvPicPr>
          <a:picLocks noChangeAspect="1"/>
        </xdr:cNvPicPr>
      </xdr:nvPicPr>
      <xdr:blipFill>
        <a:blip xmlns:r="http://schemas.openxmlformats.org/officeDocument/2006/relationships" r:embed="rId2151"/>
        <a:stretch>
          <a:fillRect/>
        </a:stretch>
      </xdr:blipFill>
      <xdr:spPr>
        <a:xfrm>
          <a:off x="7235825" y="2827493075"/>
          <a:ext cx="878840" cy="1183640"/>
        </a:xfrm>
        <a:prstGeom prst="rect">
          <a:avLst/>
        </a:prstGeom>
      </xdr:spPr>
    </xdr:pic>
    <xdr:clientData/>
  </xdr:twoCellAnchor>
  <xdr:twoCellAnchor>
    <xdr:from>
      <xdr:col>9</xdr:col>
      <xdr:colOff>6350</xdr:colOff>
      <xdr:row>2906</xdr:row>
      <xdr:rowOff>25400</xdr:rowOff>
    </xdr:from>
    <xdr:to>
      <xdr:col>9</xdr:col>
      <xdr:colOff>885190</xdr:colOff>
      <xdr:row>2906</xdr:row>
      <xdr:rowOff>1209040</xdr:rowOff>
    </xdr:to>
    <xdr:pic>
      <xdr:nvPicPr>
        <xdr:cNvPr id="7434" name="Изображение 7433" descr="resizeПП-00202418"/>
        <xdr:cNvPicPr>
          <a:picLocks noChangeAspect="1"/>
        </xdr:cNvPicPr>
      </xdr:nvPicPr>
      <xdr:blipFill>
        <a:blip xmlns:r="http://schemas.openxmlformats.org/officeDocument/2006/relationships" r:embed="rId2152"/>
        <a:stretch>
          <a:fillRect/>
        </a:stretch>
      </xdr:blipFill>
      <xdr:spPr>
        <a:xfrm>
          <a:off x="7235825" y="2828715450"/>
          <a:ext cx="878840" cy="1183640"/>
        </a:xfrm>
        <a:prstGeom prst="rect">
          <a:avLst/>
        </a:prstGeom>
      </xdr:spPr>
    </xdr:pic>
    <xdr:clientData/>
  </xdr:twoCellAnchor>
  <xdr:twoCellAnchor>
    <xdr:from>
      <xdr:col>9</xdr:col>
      <xdr:colOff>6350</xdr:colOff>
      <xdr:row>2907</xdr:row>
      <xdr:rowOff>25400</xdr:rowOff>
    </xdr:from>
    <xdr:to>
      <xdr:col>9</xdr:col>
      <xdr:colOff>885190</xdr:colOff>
      <xdr:row>2907</xdr:row>
      <xdr:rowOff>1209040</xdr:rowOff>
    </xdr:to>
    <xdr:pic>
      <xdr:nvPicPr>
        <xdr:cNvPr id="7435" name="Изображение 7434" descr="resizeПП-00214122"/>
        <xdr:cNvPicPr>
          <a:picLocks noChangeAspect="1"/>
        </xdr:cNvPicPr>
      </xdr:nvPicPr>
      <xdr:blipFill>
        <a:blip xmlns:r="http://schemas.openxmlformats.org/officeDocument/2006/relationships" r:embed="rId2153"/>
        <a:stretch>
          <a:fillRect/>
        </a:stretch>
      </xdr:blipFill>
      <xdr:spPr>
        <a:xfrm>
          <a:off x="7235825" y="2829937825"/>
          <a:ext cx="878840" cy="1183640"/>
        </a:xfrm>
        <a:prstGeom prst="rect">
          <a:avLst/>
        </a:prstGeom>
      </xdr:spPr>
    </xdr:pic>
    <xdr:clientData/>
  </xdr:twoCellAnchor>
  <xdr:twoCellAnchor>
    <xdr:from>
      <xdr:col>9</xdr:col>
      <xdr:colOff>6350</xdr:colOff>
      <xdr:row>2908</xdr:row>
      <xdr:rowOff>25400</xdr:rowOff>
    </xdr:from>
    <xdr:to>
      <xdr:col>9</xdr:col>
      <xdr:colOff>885190</xdr:colOff>
      <xdr:row>2908</xdr:row>
      <xdr:rowOff>1209040</xdr:rowOff>
    </xdr:to>
    <xdr:pic>
      <xdr:nvPicPr>
        <xdr:cNvPr id="7436" name="Изображение 7435" descr="resizeПП-00214399"/>
        <xdr:cNvPicPr>
          <a:picLocks noChangeAspect="1"/>
        </xdr:cNvPicPr>
      </xdr:nvPicPr>
      <xdr:blipFill>
        <a:blip xmlns:r="http://schemas.openxmlformats.org/officeDocument/2006/relationships" r:embed="rId2154"/>
        <a:stretch>
          <a:fillRect/>
        </a:stretch>
      </xdr:blipFill>
      <xdr:spPr>
        <a:xfrm>
          <a:off x="7235825" y="2831160200"/>
          <a:ext cx="878840" cy="1183640"/>
        </a:xfrm>
        <a:prstGeom prst="rect">
          <a:avLst/>
        </a:prstGeom>
      </xdr:spPr>
    </xdr:pic>
    <xdr:clientData/>
  </xdr:twoCellAnchor>
  <xdr:twoCellAnchor>
    <xdr:from>
      <xdr:col>9</xdr:col>
      <xdr:colOff>6350</xdr:colOff>
      <xdr:row>2909</xdr:row>
      <xdr:rowOff>25400</xdr:rowOff>
    </xdr:from>
    <xdr:to>
      <xdr:col>9</xdr:col>
      <xdr:colOff>885190</xdr:colOff>
      <xdr:row>2909</xdr:row>
      <xdr:rowOff>1209040</xdr:rowOff>
    </xdr:to>
    <xdr:pic>
      <xdr:nvPicPr>
        <xdr:cNvPr id="7437" name="Изображение 7436" descr="resizeПП-00202362"/>
        <xdr:cNvPicPr>
          <a:picLocks noChangeAspect="1"/>
        </xdr:cNvPicPr>
      </xdr:nvPicPr>
      <xdr:blipFill>
        <a:blip xmlns:r="http://schemas.openxmlformats.org/officeDocument/2006/relationships" r:embed="rId2155"/>
        <a:stretch>
          <a:fillRect/>
        </a:stretch>
      </xdr:blipFill>
      <xdr:spPr>
        <a:xfrm>
          <a:off x="7235825" y="2832382575"/>
          <a:ext cx="878840" cy="1183640"/>
        </a:xfrm>
        <a:prstGeom prst="rect">
          <a:avLst/>
        </a:prstGeom>
      </xdr:spPr>
    </xdr:pic>
    <xdr:clientData/>
  </xdr:twoCellAnchor>
  <xdr:twoCellAnchor>
    <xdr:from>
      <xdr:col>9</xdr:col>
      <xdr:colOff>6350</xdr:colOff>
      <xdr:row>2910</xdr:row>
      <xdr:rowOff>25400</xdr:rowOff>
    </xdr:from>
    <xdr:to>
      <xdr:col>9</xdr:col>
      <xdr:colOff>885190</xdr:colOff>
      <xdr:row>2910</xdr:row>
      <xdr:rowOff>1209040</xdr:rowOff>
    </xdr:to>
    <xdr:pic>
      <xdr:nvPicPr>
        <xdr:cNvPr id="7438" name="Изображение 7437" descr="resizeПП-00202404"/>
        <xdr:cNvPicPr>
          <a:picLocks noChangeAspect="1"/>
        </xdr:cNvPicPr>
      </xdr:nvPicPr>
      <xdr:blipFill>
        <a:blip xmlns:r="http://schemas.openxmlformats.org/officeDocument/2006/relationships" r:embed="rId2156"/>
        <a:stretch>
          <a:fillRect/>
        </a:stretch>
      </xdr:blipFill>
      <xdr:spPr>
        <a:xfrm>
          <a:off x="7235825" y="2833604950"/>
          <a:ext cx="878840" cy="1183640"/>
        </a:xfrm>
        <a:prstGeom prst="rect">
          <a:avLst/>
        </a:prstGeom>
      </xdr:spPr>
    </xdr:pic>
    <xdr:clientData/>
  </xdr:twoCellAnchor>
  <xdr:twoCellAnchor>
    <xdr:from>
      <xdr:col>9</xdr:col>
      <xdr:colOff>6350</xdr:colOff>
      <xdr:row>2911</xdr:row>
      <xdr:rowOff>25400</xdr:rowOff>
    </xdr:from>
    <xdr:to>
      <xdr:col>9</xdr:col>
      <xdr:colOff>885190</xdr:colOff>
      <xdr:row>2911</xdr:row>
      <xdr:rowOff>1209040</xdr:rowOff>
    </xdr:to>
    <xdr:pic>
      <xdr:nvPicPr>
        <xdr:cNvPr id="7439" name="Изображение 7438" descr="resizeПП-00202402"/>
        <xdr:cNvPicPr>
          <a:picLocks noChangeAspect="1"/>
        </xdr:cNvPicPr>
      </xdr:nvPicPr>
      <xdr:blipFill>
        <a:blip xmlns:r="http://schemas.openxmlformats.org/officeDocument/2006/relationships" r:embed="rId2157"/>
        <a:stretch>
          <a:fillRect/>
        </a:stretch>
      </xdr:blipFill>
      <xdr:spPr>
        <a:xfrm>
          <a:off x="7235825" y="2834827325"/>
          <a:ext cx="878840" cy="1183640"/>
        </a:xfrm>
        <a:prstGeom prst="rect">
          <a:avLst/>
        </a:prstGeom>
      </xdr:spPr>
    </xdr:pic>
    <xdr:clientData/>
  </xdr:twoCellAnchor>
  <xdr:twoCellAnchor>
    <xdr:from>
      <xdr:col>9</xdr:col>
      <xdr:colOff>6350</xdr:colOff>
      <xdr:row>2912</xdr:row>
      <xdr:rowOff>25400</xdr:rowOff>
    </xdr:from>
    <xdr:to>
      <xdr:col>9</xdr:col>
      <xdr:colOff>885190</xdr:colOff>
      <xdr:row>2912</xdr:row>
      <xdr:rowOff>1209040</xdr:rowOff>
    </xdr:to>
    <xdr:pic>
      <xdr:nvPicPr>
        <xdr:cNvPr id="7440" name="Изображение 7439" descr="resizeПП-00202391"/>
        <xdr:cNvPicPr>
          <a:picLocks noChangeAspect="1"/>
        </xdr:cNvPicPr>
      </xdr:nvPicPr>
      <xdr:blipFill>
        <a:blip xmlns:r="http://schemas.openxmlformats.org/officeDocument/2006/relationships" r:embed="rId2158"/>
        <a:stretch>
          <a:fillRect/>
        </a:stretch>
      </xdr:blipFill>
      <xdr:spPr>
        <a:xfrm>
          <a:off x="7235825" y="2836049700"/>
          <a:ext cx="878840" cy="1183640"/>
        </a:xfrm>
        <a:prstGeom prst="rect">
          <a:avLst/>
        </a:prstGeom>
      </xdr:spPr>
    </xdr:pic>
    <xdr:clientData/>
  </xdr:twoCellAnchor>
  <xdr:twoCellAnchor>
    <xdr:from>
      <xdr:col>9</xdr:col>
      <xdr:colOff>6350</xdr:colOff>
      <xdr:row>2913</xdr:row>
      <xdr:rowOff>25400</xdr:rowOff>
    </xdr:from>
    <xdr:to>
      <xdr:col>9</xdr:col>
      <xdr:colOff>885190</xdr:colOff>
      <xdr:row>2913</xdr:row>
      <xdr:rowOff>1209040</xdr:rowOff>
    </xdr:to>
    <xdr:pic>
      <xdr:nvPicPr>
        <xdr:cNvPr id="7441" name="Изображение 7440" descr="resizeПП-00202399"/>
        <xdr:cNvPicPr>
          <a:picLocks noChangeAspect="1"/>
        </xdr:cNvPicPr>
      </xdr:nvPicPr>
      <xdr:blipFill>
        <a:blip xmlns:r="http://schemas.openxmlformats.org/officeDocument/2006/relationships" r:embed="rId2159"/>
        <a:stretch>
          <a:fillRect/>
        </a:stretch>
      </xdr:blipFill>
      <xdr:spPr>
        <a:xfrm>
          <a:off x="7235825" y="2837272075"/>
          <a:ext cx="878840" cy="1183640"/>
        </a:xfrm>
        <a:prstGeom prst="rect">
          <a:avLst/>
        </a:prstGeom>
      </xdr:spPr>
    </xdr:pic>
    <xdr:clientData/>
  </xdr:twoCellAnchor>
  <xdr:twoCellAnchor>
    <xdr:from>
      <xdr:col>9</xdr:col>
      <xdr:colOff>6350</xdr:colOff>
      <xdr:row>2914</xdr:row>
      <xdr:rowOff>25400</xdr:rowOff>
    </xdr:from>
    <xdr:to>
      <xdr:col>9</xdr:col>
      <xdr:colOff>885190</xdr:colOff>
      <xdr:row>2914</xdr:row>
      <xdr:rowOff>1209040</xdr:rowOff>
    </xdr:to>
    <xdr:pic>
      <xdr:nvPicPr>
        <xdr:cNvPr id="7442" name="Изображение 7441" descr="resizeПП-00202370"/>
        <xdr:cNvPicPr>
          <a:picLocks noChangeAspect="1"/>
        </xdr:cNvPicPr>
      </xdr:nvPicPr>
      <xdr:blipFill>
        <a:blip xmlns:r="http://schemas.openxmlformats.org/officeDocument/2006/relationships" r:embed="rId2160"/>
        <a:stretch>
          <a:fillRect/>
        </a:stretch>
      </xdr:blipFill>
      <xdr:spPr>
        <a:xfrm>
          <a:off x="7235825" y="2838494450"/>
          <a:ext cx="878840" cy="1183640"/>
        </a:xfrm>
        <a:prstGeom prst="rect">
          <a:avLst/>
        </a:prstGeom>
      </xdr:spPr>
    </xdr:pic>
    <xdr:clientData/>
  </xdr:twoCellAnchor>
  <xdr:twoCellAnchor>
    <xdr:from>
      <xdr:col>9</xdr:col>
      <xdr:colOff>6350</xdr:colOff>
      <xdr:row>2917</xdr:row>
      <xdr:rowOff>25400</xdr:rowOff>
    </xdr:from>
    <xdr:to>
      <xdr:col>9</xdr:col>
      <xdr:colOff>885190</xdr:colOff>
      <xdr:row>2917</xdr:row>
      <xdr:rowOff>1209040</xdr:rowOff>
    </xdr:to>
    <xdr:pic>
      <xdr:nvPicPr>
        <xdr:cNvPr id="7443" name="Изображение 7442" descr="resizeПП-00262377"/>
        <xdr:cNvPicPr>
          <a:picLocks noChangeAspect="1"/>
        </xdr:cNvPicPr>
      </xdr:nvPicPr>
      <xdr:blipFill>
        <a:blip xmlns:r="http://schemas.openxmlformats.org/officeDocument/2006/relationships" r:embed="rId2161"/>
        <a:stretch>
          <a:fillRect/>
        </a:stretch>
      </xdr:blipFill>
      <xdr:spPr>
        <a:xfrm>
          <a:off x="7235825" y="2840021625"/>
          <a:ext cx="878840" cy="1183640"/>
        </a:xfrm>
        <a:prstGeom prst="rect">
          <a:avLst/>
        </a:prstGeom>
      </xdr:spPr>
    </xdr:pic>
    <xdr:clientData/>
  </xdr:twoCellAnchor>
  <xdr:twoCellAnchor>
    <xdr:from>
      <xdr:col>9</xdr:col>
      <xdr:colOff>6350</xdr:colOff>
      <xdr:row>2918</xdr:row>
      <xdr:rowOff>25400</xdr:rowOff>
    </xdr:from>
    <xdr:to>
      <xdr:col>9</xdr:col>
      <xdr:colOff>885190</xdr:colOff>
      <xdr:row>2918</xdr:row>
      <xdr:rowOff>1209040</xdr:rowOff>
    </xdr:to>
    <xdr:pic>
      <xdr:nvPicPr>
        <xdr:cNvPr id="7444" name="Изображение 7443" descr="resizeПП-00257347"/>
        <xdr:cNvPicPr>
          <a:picLocks noChangeAspect="1"/>
        </xdr:cNvPicPr>
      </xdr:nvPicPr>
      <xdr:blipFill>
        <a:blip xmlns:r="http://schemas.openxmlformats.org/officeDocument/2006/relationships" r:embed="rId2162"/>
        <a:stretch>
          <a:fillRect/>
        </a:stretch>
      </xdr:blipFill>
      <xdr:spPr>
        <a:xfrm>
          <a:off x="7235825" y="2841244000"/>
          <a:ext cx="878840" cy="1183640"/>
        </a:xfrm>
        <a:prstGeom prst="rect">
          <a:avLst/>
        </a:prstGeom>
      </xdr:spPr>
    </xdr:pic>
    <xdr:clientData/>
  </xdr:twoCellAnchor>
  <xdr:twoCellAnchor>
    <xdr:from>
      <xdr:col>9</xdr:col>
      <xdr:colOff>6350</xdr:colOff>
      <xdr:row>2919</xdr:row>
      <xdr:rowOff>25400</xdr:rowOff>
    </xdr:from>
    <xdr:to>
      <xdr:col>9</xdr:col>
      <xdr:colOff>885190</xdr:colOff>
      <xdr:row>2919</xdr:row>
      <xdr:rowOff>1209040</xdr:rowOff>
    </xdr:to>
    <xdr:pic>
      <xdr:nvPicPr>
        <xdr:cNvPr id="7445" name="Изображение 7444" descr="resizeПП-00257348"/>
        <xdr:cNvPicPr>
          <a:picLocks noChangeAspect="1"/>
        </xdr:cNvPicPr>
      </xdr:nvPicPr>
      <xdr:blipFill>
        <a:blip xmlns:r="http://schemas.openxmlformats.org/officeDocument/2006/relationships" r:embed="rId2163"/>
        <a:stretch>
          <a:fillRect/>
        </a:stretch>
      </xdr:blipFill>
      <xdr:spPr>
        <a:xfrm>
          <a:off x="7235825" y="2842466375"/>
          <a:ext cx="878840" cy="1183640"/>
        </a:xfrm>
        <a:prstGeom prst="rect">
          <a:avLst/>
        </a:prstGeom>
      </xdr:spPr>
    </xdr:pic>
    <xdr:clientData/>
  </xdr:twoCellAnchor>
  <xdr:twoCellAnchor>
    <xdr:from>
      <xdr:col>9</xdr:col>
      <xdr:colOff>6350</xdr:colOff>
      <xdr:row>2920</xdr:row>
      <xdr:rowOff>25400</xdr:rowOff>
    </xdr:from>
    <xdr:to>
      <xdr:col>9</xdr:col>
      <xdr:colOff>885190</xdr:colOff>
      <xdr:row>2920</xdr:row>
      <xdr:rowOff>1209040</xdr:rowOff>
    </xdr:to>
    <xdr:pic>
      <xdr:nvPicPr>
        <xdr:cNvPr id="7446" name="Изображение 7445" descr="resizeПП-00262388"/>
        <xdr:cNvPicPr>
          <a:picLocks noChangeAspect="1"/>
        </xdr:cNvPicPr>
      </xdr:nvPicPr>
      <xdr:blipFill>
        <a:blip xmlns:r="http://schemas.openxmlformats.org/officeDocument/2006/relationships" r:embed="rId2164"/>
        <a:stretch>
          <a:fillRect/>
        </a:stretch>
      </xdr:blipFill>
      <xdr:spPr>
        <a:xfrm>
          <a:off x="7235825" y="2843688750"/>
          <a:ext cx="878840" cy="1183640"/>
        </a:xfrm>
        <a:prstGeom prst="rect">
          <a:avLst/>
        </a:prstGeom>
      </xdr:spPr>
    </xdr:pic>
    <xdr:clientData/>
  </xdr:twoCellAnchor>
  <xdr:twoCellAnchor>
    <xdr:from>
      <xdr:col>9</xdr:col>
      <xdr:colOff>6350</xdr:colOff>
      <xdr:row>2921</xdr:row>
      <xdr:rowOff>25400</xdr:rowOff>
    </xdr:from>
    <xdr:to>
      <xdr:col>9</xdr:col>
      <xdr:colOff>885190</xdr:colOff>
      <xdr:row>2921</xdr:row>
      <xdr:rowOff>1209040</xdr:rowOff>
    </xdr:to>
    <xdr:pic>
      <xdr:nvPicPr>
        <xdr:cNvPr id="7447" name="Изображение 7446" descr="resizeПП-00221374"/>
        <xdr:cNvPicPr>
          <a:picLocks noChangeAspect="1"/>
        </xdr:cNvPicPr>
      </xdr:nvPicPr>
      <xdr:blipFill>
        <a:blip xmlns:r="http://schemas.openxmlformats.org/officeDocument/2006/relationships" r:embed="rId2165"/>
        <a:stretch>
          <a:fillRect/>
        </a:stretch>
      </xdr:blipFill>
      <xdr:spPr>
        <a:xfrm>
          <a:off x="7235825" y="2844911125"/>
          <a:ext cx="878840" cy="1183640"/>
        </a:xfrm>
        <a:prstGeom prst="rect">
          <a:avLst/>
        </a:prstGeom>
      </xdr:spPr>
    </xdr:pic>
    <xdr:clientData/>
  </xdr:twoCellAnchor>
  <xdr:twoCellAnchor>
    <xdr:from>
      <xdr:col>9</xdr:col>
      <xdr:colOff>6350</xdr:colOff>
      <xdr:row>2922</xdr:row>
      <xdr:rowOff>25400</xdr:rowOff>
    </xdr:from>
    <xdr:to>
      <xdr:col>9</xdr:col>
      <xdr:colOff>885190</xdr:colOff>
      <xdr:row>2922</xdr:row>
      <xdr:rowOff>1209040</xdr:rowOff>
    </xdr:to>
    <xdr:pic>
      <xdr:nvPicPr>
        <xdr:cNvPr id="7448" name="Изображение 7447" descr="resizeПП-00221373"/>
        <xdr:cNvPicPr>
          <a:picLocks noChangeAspect="1"/>
        </xdr:cNvPicPr>
      </xdr:nvPicPr>
      <xdr:blipFill>
        <a:blip xmlns:r="http://schemas.openxmlformats.org/officeDocument/2006/relationships" r:embed="rId2166"/>
        <a:stretch>
          <a:fillRect/>
        </a:stretch>
      </xdr:blipFill>
      <xdr:spPr>
        <a:xfrm>
          <a:off x="7235825" y="2846133500"/>
          <a:ext cx="878840" cy="1183640"/>
        </a:xfrm>
        <a:prstGeom prst="rect">
          <a:avLst/>
        </a:prstGeom>
      </xdr:spPr>
    </xdr:pic>
    <xdr:clientData/>
  </xdr:twoCellAnchor>
  <xdr:twoCellAnchor>
    <xdr:from>
      <xdr:col>9</xdr:col>
      <xdr:colOff>6350</xdr:colOff>
      <xdr:row>2923</xdr:row>
      <xdr:rowOff>25400</xdr:rowOff>
    </xdr:from>
    <xdr:to>
      <xdr:col>9</xdr:col>
      <xdr:colOff>885190</xdr:colOff>
      <xdr:row>2923</xdr:row>
      <xdr:rowOff>1209040</xdr:rowOff>
    </xdr:to>
    <xdr:pic>
      <xdr:nvPicPr>
        <xdr:cNvPr id="7449" name="Изображение 7448" descr="resizeПП-00262380"/>
        <xdr:cNvPicPr>
          <a:picLocks noChangeAspect="1"/>
        </xdr:cNvPicPr>
      </xdr:nvPicPr>
      <xdr:blipFill>
        <a:blip xmlns:r="http://schemas.openxmlformats.org/officeDocument/2006/relationships" r:embed="rId2167"/>
        <a:stretch>
          <a:fillRect/>
        </a:stretch>
      </xdr:blipFill>
      <xdr:spPr>
        <a:xfrm>
          <a:off x="7235825" y="2847355875"/>
          <a:ext cx="878840" cy="1183640"/>
        </a:xfrm>
        <a:prstGeom prst="rect">
          <a:avLst/>
        </a:prstGeom>
      </xdr:spPr>
    </xdr:pic>
    <xdr:clientData/>
  </xdr:twoCellAnchor>
  <xdr:twoCellAnchor>
    <xdr:from>
      <xdr:col>9</xdr:col>
      <xdr:colOff>6350</xdr:colOff>
      <xdr:row>2924</xdr:row>
      <xdr:rowOff>25400</xdr:rowOff>
    </xdr:from>
    <xdr:to>
      <xdr:col>9</xdr:col>
      <xdr:colOff>885190</xdr:colOff>
      <xdr:row>2924</xdr:row>
      <xdr:rowOff>1209040</xdr:rowOff>
    </xdr:to>
    <xdr:pic>
      <xdr:nvPicPr>
        <xdr:cNvPr id="7450" name="Изображение 7449" descr="resizeПП-00239010"/>
        <xdr:cNvPicPr>
          <a:picLocks noChangeAspect="1"/>
        </xdr:cNvPicPr>
      </xdr:nvPicPr>
      <xdr:blipFill>
        <a:blip xmlns:r="http://schemas.openxmlformats.org/officeDocument/2006/relationships" r:embed="rId2168"/>
        <a:stretch>
          <a:fillRect/>
        </a:stretch>
      </xdr:blipFill>
      <xdr:spPr>
        <a:xfrm>
          <a:off x="7235825" y="2848578250"/>
          <a:ext cx="878840" cy="1183640"/>
        </a:xfrm>
        <a:prstGeom prst="rect">
          <a:avLst/>
        </a:prstGeom>
      </xdr:spPr>
    </xdr:pic>
    <xdr:clientData/>
  </xdr:twoCellAnchor>
  <xdr:twoCellAnchor>
    <xdr:from>
      <xdr:col>9</xdr:col>
      <xdr:colOff>6350</xdr:colOff>
      <xdr:row>2925</xdr:row>
      <xdr:rowOff>25400</xdr:rowOff>
    </xdr:from>
    <xdr:to>
      <xdr:col>9</xdr:col>
      <xdr:colOff>885190</xdr:colOff>
      <xdr:row>2925</xdr:row>
      <xdr:rowOff>1209040</xdr:rowOff>
    </xdr:to>
    <xdr:pic>
      <xdr:nvPicPr>
        <xdr:cNvPr id="7451" name="Изображение 7450" descr="resizeПП-00239012"/>
        <xdr:cNvPicPr>
          <a:picLocks noChangeAspect="1"/>
        </xdr:cNvPicPr>
      </xdr:nvPicPr>
      <xdr:blipFill>
        <a:blip xmlns:r="http://schemas.openxmlformats.org/officeDocument/2006/relationships" r:embed="rId2169"/>
        <a:stretch>
          <a:fillRect/>
        </a:stretch>
      </xdr:blipFill>
      <xdr:spPr>
        <a:xfrm>
          <a:off x="7235825" y="2849800625"/>
          <a:ext cx="878840" cy="1183640"/>
        </a:xfrm>
        <a:prstGeom prst="rect">
          <a:avLst/>
        </a:prstGeom>
      </xdr:spPr>
    </xdr:pic>
    <xdr:clientData/>
  </xdr:twoCellAnchor>
  <xdr:twoCellAnchor>
    <xdr:from>
      <xdr:col>9</xdr:col>
      <xdr:colOff>6350</xdr:colOff>
      <xdr:row>2926</xdr:row>
      <xdr:rowOff>25400</xdr:rowOff>
    </xdr:from>
    <xdr:to>
      <xdr:col>9</xdr:col>
      <xdr:colOff>885190</xdr:colOff>
      <xdr:row>2926</xdr:row>
      <xdr:rowOff>1209040</xdr:rowOff>
    </xdr:to>
    <xdr:pic>
      <xdr:nvPicPr>
        <xdr:cNvPr id="7452" name="Изображение 7451" descr="resizeПП-00239007"/>
        <xdr:cNvPicPr>
          <a:picLocks noChangeAspect="1"/>
        </xdr:cNvPicPr>
      </xdr:nvPicPr>
      <xdr:blipFill>
        <a:blip xmlns:r="http://schemas.openxmlformats.org/officeDocument/2006/relationships" r:embed="rId2170"/>
        <a:stretch>
          <a:fillRect/>
        </a:stretch>
      </xdr:blipFill>
      <xdr:spPr>
        <a:xfrm>
          <a:off x="7235825" y="2851023000"/>
          <a:ext cx="878840" cy="1183640"/>
        </a:xfrm>
        <a:prstGeom prst="rect">
          <a:avLst/>
        </a:prstGeom>
      </xdr:spPr>
    </xdr:pic>
    <xdr:clientData/>
  </xdr:twoCellAnchor>
  <xdr:twoCellAnchor>
    <xdr:from>
      <xdr:col>9</xdr:col>
      <xdr:colOff>6350</xdr:colOff>
      <xdr:row>2927</xdr:row>
      <xdr:rowOff>25400</xdr:rowOff>
    </xdr:from>
    <xdr:to>
      <xdr:col>9</xdr:col>
      <xdr:colOff>885190</xdr:colOff>
      <xdr:row>2927</xdr:row>
      <xdr:rowOff>1209040</xdr:rowOff>
    </xdr:to>
    <xdr:pic>
      <xdr:nvPicPr>
        <xdr:cNvPr id="7453" name="Изображение 7452" descr="resizeПП-00239018"/>
        <xdr:cNvPicPr>
          <a:picLocks noChangeAspect="1"/>
        </xdr:cNvPicPr>
      </xdr:nvPicPr>
      <xdr:blipFill>
        <a:blip xmlns:r="http://schemas.openxmlformats.org/officeDocument/2006/relationships" r:embed="rId2171"/>
        <a:stretch>
          <a:fillRect/>
        </a:stretch>
      </xdr:blipFill>
      <xdr:spPr>
        <a:xfrm>
          <a:off x="7235825" y="2852245375"/>
          <a:ext cx="878840" cy="1183640"/>
        </a:xfrm>
        <a:prstGeom prst="rect">
          <a:avLst/>
        </a:prstGeom>
      </xdr:spPr>
    </xdr:pic>
    <xdr:clientData/>
  </xdr:twoCellAnchor>
  <xdr:twoCellAnchor>
    <xdr:from>
      <xdr:col>9</xdr:col>
      <xdr:colOff>6350</xdr:colOff>
      <xdr:row>2928</xdr:row>
      <xdr:rowOff>25400</xdr:rowOff>
    </xdr:from>
    <xdr:to>
      <xdr:col>9</xdr:col>
      <xdr:colOff>885190</xdr:colOff>
      <xdr:row>2928</xdr:row>
      <xdr:rowOff>1209040</xdr:rowOff>
    </xdr:to>
    <xdr:pic>
      <xdr:nvPicPr>
        <xdr:cNvPr id="7454" name="Изображение 7453" descr="resizeПП-00239020"/>
        <xdr:cNvPicPr>
          <a:picLocks noChangeAspect="1"/>
        </xdr:cNvPicPr>
      </xdr:nvPicPr>
      <xdr:blipFill>
        <a:blip xmlns:r="http://schemas.openxmlformats.org/officeDocument/2006/relationships" r:embed="rId2172"/>
        <a:stretch>
          <a:fillRect/>
        </a:stretch>
      </xdr:blipFill>
      <xdr:spPr>
        <a:xfrm>
          <a:off x="7235825" y="2853467750"/>
          <a:ext cx="878840" cy="1183640"/>
        </a:xfrm>
        <a:prstGeom prst="rect">
          <a:avLst/>
        </a:prstGeom>
      </xdr:spPr>
    </xdr:pic>
    <xdr:clientData/>
  </xdr:twoCellAnchor>
  <xdr:twoCellAnchor>
    <xdr:from>
      <xdr:col>9</xdr:col>
      <xdr:colOff>6350</xdr:colOff>
      <xdr:row>2930</xdr:row>
      <xdr:rowOff>25400</xdr:rowOff>
    </xdr:from>
    <xdr:to>
      <xdr:col>9</xdr:col>
      <xdr:colOff>885190</xdr:colOff>
      <xdr:row>2930</xdr:row>
      <xdr:rowOff>1209040</xdr:rowOff>
    </xdr:to>
    <xdr:pic>
      <xdr:nvPicPr>
        <xdr:cNvPr id="7455" name="Изображение 7454" descr="resizeПП-00257328"/>
        <xdr:cNvPicPr>
          <a:picLocks noChangeAspect="1"/>
        </xdr:cNvPicPr>
      </xdr:nvPicPr>
      <xdr:blipFill>
        <a:blip xmlns:r="http://schemas.openxmlformats.org/officeDocument/2006/relationships" r:embed="rId2173"/>
        <a:stretch>
          <a:fillRect/>
        </a:stretch>
      </xdr:blipFill>
      <xdr:spPr>
        <a:xfrm>
          <a:off x="7235825" y="2854842525"/>
          <a:ext cx="878840" cy="1183640"/>
        </a:xfrm>
        <a:prstGeom prst="rect">
          <a:avLst/>
        </a:prstGeom>
      </xdr:spPr>
    </xdr:pic>
    <xdr:clientData/>
  </xdr:twoCellAnchor>
  <xdr:twoCellAnchor>
    <xdr:from>
      <xdr:col>9</xdr:col>
      <xdr:colOff>6350</xdr:colOff>
      <xdr:row>2931</xdr:row>
      <xdr:rowOff>25400</xdr:rowOff>
    </xdr:from>
    <xdr:to>
      <xdr:col>9</xdr:col>
      <xdr:colOff>885190</xdr:colOff>
      <xdr:row>2931</xdr:row>
      <xdr:rowOff>1209040</xdr:rowOff>
    </xdr:to>
    <xdr:pic>
      <xdr:nvPicPr>
        <xdr:cNvPr id="7456" name="Изображение 7455" descr="resizeПП-00257326"/>
        <xdr:cNvPicPr>
          <a:picLocks noChangeAspect="1"/>
        </xdr:cNvPicPr>
      </xdr:nvPicPr>
      <xdr:blipFill>
        <a:blip xmlns:r="http://schemas.openxmlformats.org/officeDocument/2006/relationships" r:embed="rId2174"/>
        <a:stretch>
          <a:fillRect/>
        </a:stretch>
      </xdr:blipFill>
      <xdr:spPr>
        <a:xfrm>
          <a:off x="7235825" y="2856064900"/>
          <a:ext cx="878840" cy="1183640"/>
        </a:xfrm>
        <a:prstGeom prst="rect">
          <a:avLst/>
        </a:prstGeom>
      </xdr:spPr>
    </xdr:pic>
    <xdr:clientData/>
  </xdr:twoCellAnchor>
  <xdr:twoCellAnchor>
    <xdr:from>
      <xdr:col>9</xdr:col>
      <xdr:colOff>6350</xdr:colOff>
      <xdr:row>2932</xdr:row>
      <xdr:rowOff>25400</xdr:rowOff>
    </xdr:from>
    <xdr:to>
      <xdr:col>9</xdr:col>
      <xdr:colOff>885190</xdr:colOff>
      <xdr:row>2932</xdr:row>
      <xdr:rowOff>1209040</xdr:rowOff>
    </xdr:to>
    <xdr:pic>
      <xdr:nvPicPr>
        <xdr:cNvPr id="7457" name="Изображение 7456" descr="resizeПП-00257329"/>
        <xdr:cNvPicPr>
          <a:picLocks noChangeAspect="1"/>
        </xdr:cNvPicPr>
      </xdr:nvPicPr>
      <xdr:blipFill>
        <a:blip xmlns:r="http://schemas.openxmlformats.org/officeDocument/2006/relationships" r:embed="rId2175"/>
        <a:stretch>
          <a:fillRect/>
        </a:stretch>
      </xdr:blipFill>
      <xdr:spPr>
        <a:xfrm>
          <a:off x="7235825" y="2857287275"/>
          <a:ext cx="878840" cy="1183640"/>
        </a:xfrm>
        <a:prstGeom prst="rect">
          <a:avLst/>
        </a:prstGeom>
      </xdr:spPr>
    </xdr:pic>
    <xdr:clientData/>
  </xdr:twoCellAnchor>
  <xdr:twoCellAnchor>
    <xdr:from>
      <xdr:col>9</xdr:col>
      <xdr:colOff>6350</xdr:colOff>
      <xdr:row>2933</xdr:row>
      <xdr:rowOff>25400</xdr:rowOff>
    </xdr:from>
    <xdr:to>
      <xdr:col>9</xdr:col>
      <xdr:colOff>885190</xdr:colOff>
      <xdr:row>2933</xdr:row>
      <xdr:rowOff>1209040</xdr:rowOff>
    </xdr:to>
    <xdr:pic>
      <xdr:nvPicPr>
        <xdr:cNvPr id="7458" name="Изображение 7457" descr="resizeПП-00255917"/>
        <xdr:cNvPicPr>
          <a:picLocks noChangeAspect="1"/>
        </xdr:cNvPicPr>
      </xdr:nvPicPr>
      <xdr:blipFill>
        <a:blip xmlns:r="http://schemas.openxmlformats.org/officeDocument/2006/relationships" r:embed="rId2176"/>
        <a:stretch>
          <a:fillRect/>
        </a:stretch>
      </xdr:blipFill>
      <xdr:spPr>
        <a:xfrm>
          <a:off x="7235825" y="2858509650"/>
          <a:ext cx="878840" cy="1183640"/>
        </a:xfrm>
        <a:prstGeom prst="rect">
          <a:avLst/>
        </a:prstGeom>
      </xdr:spPr>
    </xdr:pic>
    <xdr:clientData/>
  </xdr:twoCellAnchor>
  <xdr:twoCellAnchor>
    <xdr:from>
      <xdr:col>9</xdr:col>
      <xdr:colOff>6350</xdr:colOff>
      <xdr:row>2934</xdr:row>
      <xdr:rowOff>25400</xdr:rowOff>
    </xdr:from>
    <xdr:to>
      <xdr:col>9</xdr:col>
      <xdr:colOff>885190</xdr:colOff>
      <xdr:row>2934</xdr:row>
      <xdr:rowOff>1209040</xdr:rowOff>
    </xdr:to>
    <xdr:pic>
      <xdr:nvPicPr>
        <xdr:cNvPr id="7459" name="Изображение 7458" descr="resizeПП-00255920"/>
        <xdr:cNvPicPr>
          <a:picLocks noChangeAspect="1"/>
        </xdr:cNvPicPr>
      </xdr:nvPicPr>
      <xdr:blipFill>
        <a:blip xmlns:r="http://schemas.openxmlformats.org/officeDocument/2006/relationships" r:embed="rId2177"/>
        <a:stretch>
          <a:fillRect/>
        </a:stretch>
      </xdr:blipFill>
      <xdr:spPr>
        <a:xfrm>
          <a:off x="7235825" y="2859732025"/>
          <a:ext cx="878840" cy="1183640"/>
        </a:xfrm>
        <a:prstGeom prst="rect">
          <a:avLst/>
        </a:prstGeom>
      </xdr:spPr>
    </xdr:pic>
    <xdr:clientData/>
  </xdr:twoCellAnchor>
  <xdr:twoCellAnchor>
    <xdr:from>
      <xdr:col>9</xdr:col>
      <xdr:colOff>6350</xdr:colOff>
      <xdr:row>2935</xdr:row>
      <xdr:rowOff>25400</xdr:rowOff>
    </xdr:from>
    <xdr:to>
      <xdr:col>9</xdr:col>
      <xdr:colOff>885190</xdr:colOff>
      <xdr:row>2935</xdr:row>
      <xdr:rowOff>1209040</xdr:rowOff>
    </xdr:to>
    <xdr:pic>
      <xdr:nvPicPr>
        <xdr:cNvPr id="7460" name="Изображение 7459" descr="resizeПП-00255923"/>
        <xdr:cNvPicPr>
          <a:picLocks noChangeAspect="1"/>
        </xdr:cNvPicPr>
      </xdr:nvPicPr>
      <xdr:blipFill>
        <a:blip xmlns:r="http://schemas.openxmlformats.org/officeDocument/2006/relationships" r:embed="rId2178"/>
        <a:stretch>
          <a:fillRect/>
        </a:stretch>
      </xdr:blipFill>
      <xdr:spPr>
        <a:xfrm>
          <a:off x="7235825" y="2860954400"/>
          <a:ext cx="878840" cy="1183640"/>
        </a:xfrm>
        <a:prstGeom prst="rect">
          <a:avLst/>
        </a:prstGeom>
      </xdr:spPr>
    </xdr:pic>
    <xdr:clientData/>
  </xdr:twoCellAnchor>
  <xdr:twoCellAnchor>
    <xdr:from>
      <xdr:col>9</xdr:col>
      <xdr:colOff>6350</xdr:colOff>
      <xdr:row>2936</xdr:row>
      <xdr:rowOff>25400</xdr:rowOff>
    </xdr:from>
    <xdr:to>
      <xdr:col>9</xdr:col>
      <xdr:colOff>885190</xdr:colOff>
      <xdr:row>2936</xdr:row>
      <xdr:rowOff>1209040</xdr:rowOff>
    </xdr:to>
    <xdr:pic>
      <xdr:nvPicPr>
        <xdr:cNvPr id="7461" name="Изображение 7460" descr="resizeПП-00255925"/>
        <xdr:cNvPicPr>
          <a:picLocks noChangeAspect="1"/>
        </xdr:cNvPicPr>
      </xdr:nvPicPr>
      <xdr:blipFill>
        <a:blip xmlns:r="http://schemas.openxmlformats.org/officeDocument/2006/relationships" r:embed="rId2179"/>
        <a:stretch>
          <a:fillRect/>
        </a:stretch>
      </xdr:blipFill>
      <xdr:spPr>
        <a:xfrm>
          <a:off x="7235825" y="2862176775"/>
          <a:ext cx="878840" cy="1183640"/>
        </a:xfrm>
        <a:prstGeom prst="rect">
          <a:avLst/>
        </a:prstGeom>
      </xdr:spPr>
    </xdr:pic>
    <xdr:clientData/>
  </xdr:twoCellAnchor>
  <xdr:twoCellAnchor>
    <xdr:from>
      <xdr:col>9</xdr:col>
      <xdr:colOff>6350</xdr:colOff>
      <xdr:row>2937</xdr:row>
      <xdr:rowOff>25400</xdr:rowOff>
    </xdr:from>
    <xdr:to>
      <xdr:col>9</xdr:col>
      <xdr:colOff>885190</xdr:colOff>
      <xdr:row>2937</xdr:row>
      <xdr:rowOff>1209040</xdr:rowOff>
    </xdr:to>
    <xdr:pic>
      <xdr:nvPicPr>
        <xdr:cNvPr id="7462" name="Изображение 7461" descr="resizeПП-00255922"/>
        <xdr:cNvPicPr>
          <a:picLocks noChangeAspect="1"/>
        </xdr:cNvPicPr>
      </xdr:nvPicPr>
      <xdr:blipFill>
        <a:blip xmlns:r="http://schemas.openxmlformats.org/officeDocument/2006/relationships" r:embed="rId2180"/>
        <a:stretch>
          <a:fillRect/>
        </a:stretch>
      </xdr:blipFill>
      <xdr:spPr>
        <a:xfrm>
          <a:off x="7235825" y="2863399150"/>
          <a:ext cx="878840" cy="1183640"/>
        </a:xfrm>
        <a:prstGeom prst="rect">
          <a:avLst/>
        </a:prstGeom>
      </xdr:spPr>
    </xdr:pic>
    <xdr:clientData/>
  </xdr:twoCellAnchor>
  <xdr:twoCellAnchor>
    <xdr:from>
      <xdr:col>9</xdr:col>
      <xdr:colOff>6350</xdr:colOff>
      <xdr:row>2938</xdr:row>
      <xdr:rowOff>25400</xdr:rowOff>
    </xdr:from>
    <xdr:to>
      <xdr:col>9</xdr:col>
      <xdr:colOff>885190</xdr:colOff>
      <xdr:row>2938</xdr:row>
      <xdr:rowOff>1209040</xdr:rowOff>
    </xdr:to>
    <xdr:pic>
      <xdr:nvPicPr>
        <xdr:cNvPr id="7463" name="Изображение 7462" descr="resizeПП-00255918"/>
        <xdr:cNvPicPr>
          <a:picLocks noChangeAspect="1"/>
        </xdr:cNvPicPr>
      </xdr:nvPicPr>
      <xdr:blipFill>
        <a:blip xmlns:r="http://schemas.openxmlformats.org/officeDocument/2006/relationships" r:embed="rId2181"/>
        <a:stretch>
          <a:fillRect/>
        </a:stretch>
      </xdr:blipFill>
      <xdr:spPr>
        <a:xfrm>
          <a:off x="7235825" y="2864621525"/>
          <a:ext cx="878840" cy="1183640"/>
        </a:xfrm>
        <a:prstGeom prst="rect">
          <a:avLst/>
        </a:prstGeom>
      </xdr:spPr>
    </xdr:pic>
    <xdr:clientData/>
  </xdr:twoCellAnchor>
  <xdr:twoCellAnchor>
    <xdr:from>
      <xdr:col>9</xdr:col>
      <xdr:colOff>6350</xdr:colOff>
      <xdr:row>2939</xdr:row>
      <xdr:rowOff>25400</xdr:rowOff>
    </xdr:from>
    <xdr:to>
      <xdr:col>9</xdr:col>
      <xdr:colOff>885190</xdr:colOff>
      <xdr:row>2939</xdr:row>
      <xdr:rowOff>1209040</xdr:rowOff>
    </xdr:to>
    <xdr:pic>
      <xdr:nvPicPr>
        <xdr:cNvPr id="7464" name="Изображение 7463" descr="resizeПП-00255919"/>
        <xdr:cNvPicPr>
          <a:picLocks noChangeAspect="1"/>
        </xdr:cNvPicPr>
      </xdr:nvPicPr>
      <xdr:blipFill>
        <a:blip xmlns:r="http://schemas.openxmlformats.org/officeDocument/2006/relationships" r:embed="rId2182"/>
        <a:stretch>
          <a:fillRect/>
        </a:stretch>
      </xdr:blipFill>
      <xdr:spPr>
        <a:xfrm>
          <a:off x="7235825" y="2865843900"/>
          <a:ext cx="878840" cy="1183640"/>
        </a:xfrm>
        <a:prstGeom prst="rect">
          <a:avLst/>
        </a:prstGeom>
      </xdr:spPr>
    </xdr:pic>
    <xdr:clientData/>
  </xdr:twoCellAnchor>
  <xdr:twoCellAnchor>
    <xdr:from>
      <xdr:col>9</xdr:col>
      <xdr:colOff>6350</xdr:colOff>
      <xdr:row>2940</xdr:row>
      <xdr:rowOff>25400</xdr:rowOff>
    </xdr:from>
    <xdr:to>
      <xdr:col>9</xdr:col>
      <xdr:colOff>885190</xdr:colOff>
      <xdr:row>2940</xdr:row>
      <xdr:rowOff>1209040</xdr:rowOff>
    </xdr:to>
    <xdr:pic>
      <xdr:nvPicPr>
        <xdr:cNvPr id="7465" name="Изображение 7464" descr="resizeПП-00255921"/>
        <xdr:cNvPicPr>
          <a:picLocks noChangeAspect="1"/>
        </xdr:cNvPicPr>
      </xdr:nvPicPr>
      <xdr:blipFill>
        <a:blip xmlns:r="http://schemas.openxmlformats.org/officeDocument/2006/relationships" r:embed="rId2183"/>
        <a:stretch>
          <a:fillRect/>
        </a:stretch>
      </xdr:blipFill>
      <xdr:spPr>
        <a:xfrm>
          <a:off x="7235825" y="2867066275"/>
          <a:ext cx="878840" cy="1183640"/>
        </a:xfrm>
        <a:prstGeom prst="rect">
          <a:avLst/>
        </a:prstGeom>
      </xdr:spPr>
    </xdr:pic>
    <xdr:clientData/>
  </xdr:twoCellAnchor>
  <xdr:twoCellAnchor>
    <xdr:from>
      <xdr:col>9</xdr:col>
      <xdr:colOff>6350</xdr:colOff>
      <xdr:row>2941</xdr:row>
      <xdr:rowOff>25400</xdr:rowOff>
    </xdr:from>
    <xdr:to>
      <xdr:col>9</xdr:col>
      <xdr:colOff>885190</xdr:colOff>
      <xdr:row>2941</xdr:row>
      <xdr:rowOff>1209040</xdr:rowOff>
    </xdr:to>
    <xdr:pic>
      <xdr:nvPicPr>
        <xdr:cNvPr id="7466" name="Изображение 7465" descr="resizeПП-00267409"/>
        <xdr:cNvPicPr>
          <a:picLocks noChangeAspect="1"/>
        </xdr:cNvPicPr>
      </xdr:nvPicPr>
      <xdr:blipFill>
        <a:blip xmlns:r="http://schemas.openxmlformats.org/officeDocument/2006/relationships" r:embed="rId2184"/>
        <a:stretch>
          <a:fillRect/>
        </a:stretch>
      </xdr:blipFill>
      <xdr:spPr>
        <a:xfrm>
          <a:off x="7235825" y="2868288650"/>
          <a:ext cx="878840" cy="1183640"/>
        </a:xfrm>
        <a:prstGeom prst="rect">
          <a:avLst/>
        </a:prstGeom>
      </xdr:spPr>
    </xdr:pic>
    <xdr:clientData/>
  </xdr:twoCellAnchor>
  <xdr:twoCellAnchor>
    <xdr:from>
      <xdr:col>9</xdr:col>
      <xdr:colOff>6350</xdr:colOff>
      <xdr:row>2942</xdr:row>
      <xdr:rowOff>25400</xdr:rowOff>
    </xdr:from>
    <xdr:to>
      <xdr:col>9</xdr:col>
      <xdr:colOff>885190</xdr:colOff>
      <xdr:row>2942</xdr:row>
      <xdr:rowOff>1209040</xdr:rowOff>
    </xdr:to>
    <xdr:pic>
      <xdr:nvPicPr>
        <xdr:cNvPr id="7467" name="Изображение 7466" descr="resizeПП-00267408"/>
        <xdr:cNvPicPr>
          <a:picLocks noChangeAspect="1"/>
        </xdr:cNvPicPr>
      </xdr:nvPicPr>
      <xdr:blipFill>
        <a:blip xmlns:r="http://schemas.openxmlformats.org/officeDocument/2006/relationships" r:embed="rId2185"/>
        <a:stretch>
          <a:fillRect/>
        </a:stretch>
      </xdr:blipFill>
      <xdr:spPr>
        <a:xfrm>
          <a:off x="7235825" y="2869511025"/>
          <a:ext cx="878840" cy="1183640"/>
        </a:xfrm>
        <a:prstGeom prst="rect">
          <a:avLst/>
        </a:prstGeom>
      </xdr:spPr>
    </xdr:pic>
    <xdr:clientData/>
  </xdr:twoCellAnchor>
  <xdr:twoCellAnchor>
    <xdr:from>
      <xdr:col>9</xdr:col>
      <xdr:colOff>6350</xdr:colOff>
      <xdr:row>2943</xdr:row>
      <xdr:rowOff>25400</xdr:rowOff>
    </xdr:from>
    <xdr:to>
      <xdr:col>9</xdr:col>
      <xdr:colOff>885190</xdr:colOff>
      <xdr:row>2943</xdr:row>
      <xdr:rowOff>1209040</xdr:rowOff>
    </xdr:to>
    <xdr:pic>
      <xdr:nvPicPr>
        <xdr:cNvPr id="7468" name="Изображение 7467" descr="resizeПП-00237283"/>
        <xdr:cNvPicPr>
          <a:picLocks noChangeAspect="1"/>
        </xdr:cNvPicPr>
      </xdr:nvPicPr>
      <xdr:blipFill>
        <a:blip xmlns:r="http://schemas.openxmlformats.org/officeDocument/2006/relationships" r:embed="rId2186"/>
        <a:stretch>
          <a:fillRect/>
        </a:stretch>
      </xdr:blipFill>
      <xdr:spPr>
        <a:xfrm>
          <a:off x="7235825" y="2870733400"/>
          <a:ext cx="878840" cy="1183640"/>
        </a:xfrm>
        <a:prstGeom prst="rect">
          <a:avLst/>
        </a:prstGeom>
      </xdr:spPr>
    </xdr:pic>
    <xdr:clientData/>
  </xdr:twoCellAnchor>
  <xdr:twoCellAnchor>
    <xdr:from>
      <xdr:col>9</xdr:col>
      <xdr:colOff>6350</xdr:colOff>
      <xdr:row>2944</xdr:row>
      <xdr:rowOff>25400</xdr:rowOff>
    </xdr:from>
    <xdr:to>
      <xdr:col>9</xdr:col>
      <xdr:colOff>885190</xdr:colOff>
      <xdr:row>2944</xdr:row>
      <xdr:rowOff>1209040</xdr:rowOff>
    </xdr:to>
    <xdr:pic>
      <xdr:nvPicPr>
        <xdr:cNvPr id="7469" name="Изображение 7468" descr="resizeПП-00221366"/>
        <xdr:cNvPicPr>
          <a:picLocks noChangeAspect="1"/>
        </xdr:cNvPicPr>
      </xdr:nvPicPr>
      <xdr:blipFill>
        <a:blip xmlns:r="http://schemas.openxmlformats.org/officeDocument/2006/relationships" r:embed="rId2187"/>
        <a:stretch>
          <a:fillRect/>
        </a:stretch>
      </xdr:blipFill>
      <xdr:spPr>
        <a:xfrm>
          <a:off x="7235825" y="2871955775"/>
          <a:ext cx="878840" cy="1183640"/>
        </a:xfrm>
        <a:prstGeom prst="rect">
          <a:avLst/>
        </a:prstGeom>
      </xdr:spPr>
    </xdr:pic>
    <xdr:clientData/>
  </xdr:twoCellAnchor>
  <xdr:twoCellAnchor>
    <xdr:from>
      <xdr:col>9</xdr:col>
      <xdr:colOff>6350</xdr:colOff>
      <xdr:row>2945</xdr:row>
      <xdr:rowOff>25400</xdr:rowOff>
    </xdr:from>
    <xdr:to>
      <xdr:col>9</xdr:col>
      <xdr:colOff>885190</xdr:colOff>
      <xdr:row>2945</xdr:row>
      <xdr:rowOff>1209040</xdr:rowOff>
    </xdr:to>
    <xdr:pic>
      <xdr:nvPicPr>
        <xdr:cNvPr id="7470" name="Изображение 7469" descr="resizeПП-00257335"/>
        <xdr:cNvPicPr>
          <a:picLocks noChangeAspect="1"/>
        </xdr:cNvPicPr>
      </xdr:nvPicPr>
      <xdr:blipFill>
        <a:blip xmlns:r="http://schemas.openxmlformats.org/officeDocument/2006/relationships" r:embed="rId2188"/>
        <a:stretch>
          <a:fillRect/>
        </a:stretch>
      </xdr:blipFill>
      <xdr:spPr>
        <a:xfrm>
          <a:off x="7235825" y="2873178150"/>
          <a:ext cx="878840" cy="1183640"/>
        </a:xfrm>
        <a:prstGeom prst="rect">
          <a:avLst/>
        </a:prstGeom>
      </xdr:spPr>
    </xdr:pic>
    <xdr:clientData/>
  </xdr:twoCellAnchor>
  <xdr:twoCellAnchor>
    <xdr:from>
      <xdr:col>9</xdr:col>
      <xdr:colOff>6350</xdr:colOff>
      <xdr:row>2947</xdr:row>
      <xdr:rowOff>25400</xdr:rowOff>
    </xdr:from>
    <xdr:to>
      <xdr:col>9</xdr:col>
      <xdr:colOff>885190</xdr:colOff>
      <xdr:row>2947</xdr:row>
      <xdr:rowOff>1209040</xdr:rowOff>
    </xdr:to>
    <xdr:pic>
      <xdr:nvPicPr>
        <xdr:cNvPr id="7471" name="Изображение 7470" descr="resizeПП-00237264"/>
        <xdr:cNvPicPr>
          <a:picLocks noChangeAspect="1"/>
        </xdr:cNvPicPr>
      </xdr:nvPicPr>
      <xdr:blipFill>
        <a:blip xmlns:r="http://schemas.openxmlformats.org/officeDocument/2006/relationships" r:embed="rId2189"/>
        <a:stretch>
          <a:fillRect/>
        </a:stretch>
      </xdr:blipFill>
      <xdr:spPr>
        <a:xfrm>
          <a:off x="7235825" y="2874552925"/>
          <a:ext cx="878840" cy="1183640"/>
        </a:xfrm>
        <a:prstGeom prst="rect">
          <a:avLst/>
        </a:prstGeom>
      </xdr:spPr>
    </xdr:pic>
    <xdr:clientData/>
  </xdr:twoCellAnchor>
  <xdr:twoCellAnchor>
    <xdr:from>
      <xdr:col>9</xdr:col>
      <xdr:colOff>6350</xdr:colOff>
      <xdr:row>2948</xdr:row>
      <xdr:rowOff>25400</xdr:rowOff>
    </xdr:from>
    <xdr:to>
      <xdr:col>9</xdr:col>
      <xdr:colOff>885190</xdr:colOff>
      <xdr:row>2948</xdr:row>
      <xdr:rowOff>1209040</xdr:rowOff>
    </xdr:to>
    <xdr:pic>
      <xdr:nvPicPr>
        <xdr:cNvPr id="7472" name="Изображение 7471" descr="resizeПП-00237266"/>
        <xdr:cNvPicPr>
          <a:picLocks noChangeAspect="1"/>
        </xdr:cNvPicPr>
      </xdr:nvPicPr>
      <xdr:blipFill>
        <a:blip xmlns:r="http://schemas.openxmlformats.org/officeDocument/2006/relationships" r:embed="rId2190"/>
        <a:stretch>
          <a:fillRect/>
        </a:stretch>
      </xdr:blipFill>
      <xdr:spPr>
        <a:xfrm>
          <a:off x="7235825" y="2875775300"/>
          <a:ext cx="878840" cy="1183640"/>
        </a:xfrm>
        <a:prstGeom prst="rect">
          <a:avLst/>
        </a:prstGeom>
      </xdr:spPr>
    </xdr:pic>
    <xdr:clientData/>
  </xdr:twoCellAnchor>
  <xdr:twoCellAnchor>
    <xdr:from>
      <xdr:col>9</xdr:col>
      <xdr:colOff>6350</xdr:colOff>
      <xdr:row>2949</xdr:row>
      <xdr:rowOff>25400</xdr:rowOff>
    </xdr:from>
    <xdr:to>
      <xdr:col>9</xdr:col>
      <xdr:colOff>885190</xdr:colOff>
      <xdr:row>2949</xdr:row>
      <xdr:rowOff>1209040</xdr:rowOff>
    </xdr:to>
    <xdr:pic>
      <xdr:nvPicPr>
        <xdr:cNvPr id="7473" name="Изображение 7472" descr="resizeПП-00231509"/>
        <xdr:cNvPicPr>
          <a:picLocks noChangeAspect="1"/>
        </xdr:cNvPicPr>
      </xdr:nvPicPr>
      <xdr:blipFill>
        <a:blip xmlns:r="http://schemas.openxmlformats.org/officeDocument/2006/relationships" r:embed="rId2191"/>
        <a:stretch>
          <a:fillRect/>
        </a:stretch>
      </xdr:blipFill>
      <xdr:spPr>
        <a:xfrm>
          <a:off x="7235825" y="2876997675"/>
          <a:ext cx="878840" cy="1183640"/>
        </a:xfrm>
        <a:prstGeom prst="rect">
          <a:avLst/>
        </a:prstGeom>
      </xdr:spPr>
    </xdr:pic>
    <xdr:clientData/>
  </xdr:twoCellAnchor>
  <xdr:twoCellAnchor>
    <xdr:from>
      <xdr:col>9</xdr:col>
      <xdr:colOff>6350</xdr:colOff>
      <xdr:row>2950</xdr:row>
      <xdr:rowOff>25400</xdr:rowOff>
    </xdr:from>
    <xdr:to>
      <xdr:col>9</xdr:col>
      <xdr:colOff>885190</xdr:colOff>
      <xdr:row>2950</xdr:row>
      <xdr:rowOff>1209040</xdr:rowOff>
    </xdr:to>
    <xdr:pic>
      <xdr:nvPicPr>
        <xdr:cNvPr id="7474" name="Изображение 7473" descr="resizeПП-00231506"/>
        <xdr:cNvPicPr>
          <a:picLocks noChangeAspect="1"/>
        </xdr:cNvPicPr>
      </xdr:nvPicPr>
      <xdr:blipFill>
        <a:blip xmlns:r="http://schemas.openxmlformats.org/officeDocument/2006/relationships" r:embed="rId2192"/>
        <a:stretch>
          <a:fillRect/>
        </a:stretch>
      </xdr:blipFill>
      <xdr:spPr>
        <a:xfrm>
          <a:off x="7235825" y="2878220050"/>
          <a:ext cx="878840" cy="1183640"/>
        </a:xfrm>
        <a:prstGeom prst="rect">
          <a:avLst/>
        </a:prstGeom>
      </xdr:spPr>
    </xdr:pic>
    <xdr:clientData/>
  </xdr:twoCellAnchor>
  <xdr:twoCellAnchor>
    <xdr:from>
      <xdr:col>9</xdr:col>
      <xdr:colOff>6350</xdr:colOff>
      <xdr:row>2951</xdr:row>
      <xdr:rowOff>25400</xdr:rowOff>
    </xdr:from>
    <xdr:to>
      <xdr:col>9</xdr:col>
      <xdr:colOff>885190</xdr:colOff>
      <xdr:row>2951</xdr:row>
      <xdr:rowOff>1209040</xdr:rowOff>
    </xdr:to>
    <xdr:pic>
      <xdr:nvPicPr>
        <xdr:cNvPr id="7475" name="Изображение 7474" descr="resizeПП-00231507"/>
        <xdr:cNvPicPr>
          <a:picLocks noChangeAspect="1"/>
        </xdr:cNvPicPr>
      </xdr:nvPicPr>
      <xdr:blipFill>
        <a:blip xmlns:r="http://schemas.openxmlformats.org/officeDocument/2006/relationships" r:embed="rId2193"/>
        <a:stretch>
          <a:fillRect/>
        </a:stretch>
      </xdr:blipFill>
      <xdr:spPr>
        <a:xfrm>
          <a:off x="7235825" y="2879442425"/>
          <a:ext cx="878840" cy="1183640"/>
        </a:xfrm>
        <a:prstGeom prst="rect">
          <a:avLst/>
        </a:prstGeom>
      </xdr:spPr>
    </xdr:pic>
    <xdr:clientData/>
  </xdr:twoCellAnchor>
  <xdr:twoCellAnchor>
    <xdr:from>
      <xdr:col>9</xdr:col>
      <xdr:colOff>6350</xdr:colOff>
      <xdr:row>2952</xdr:row>
      <xdr:rowOff>25400</xdr:rowOff>
    </xdr:from>
    <xdr:to>
      <xdr:col>9</xdr:col>
      <xdr:colOff>885190</xdr:colOff>
      <xdr:row>2952</xdr:row>
      <xdr:rowOff>1209040</xdr:rowOff>
    </xdr:to>
    <xdr:pic>
      <xdr:nvPicPr>
        <xdr:cNvPr id="7476" name="Изображение 7475" descr="resizeПП-00237267"/>
        <xdr:cNvPicPr>
          <a:picLocks noChangeAspect="1"/>
        </xdr:cNvPicPr>
      </xdr:nvPicPr>
      <xdr:blipFill>
        <a:blip xmlns:r="http://schemas.openxmlformats.org/officeDocument/2006/relationships" r:embed="rId2194"/>
        <a:stretch>
          <a:fillRect/>
        </a:stretch>
      </xdr:blipFill>
      <xdr:spPr>
        <a:xfrm>
          <a:off x="7235825" y="2880664800"/>
          <a:ext cx="878840" cy="1183640"/>
        </a:xfrm>
        <a:prstGeom prst="rect">
          <a:avLst/>
        </a:prstGeom>
      </xdr:spPr>
    </xdr:pic>
    <xdr:clientData/>
  </xdr:twoCellAnchor>
  <xdr:twoCellAnchor>
    <xdr:from>
      <xdr:col>9</xdr:col>
      <xdr:colOff>6350</xdr:colOff>
      <xdr:row>2953</xdr:row>
      <xdr:rowOff>25400</xdr:rowOff>
    </xdr:from>
    <xdr:to>
      <xdr:col>9</xdr:col>
      <xdr:colOff>885190</xdr:colOff>
      <xdr:row>2953</xdr:row>
      <xdr:rowOff>1209040</xdr:rowOff>
    </xdr:to>
    <xdr:pic>
      <xdr:nvPicPr>
        <xdr:cNvPr id="7477" name="Изображение 7476" descr="resizeПП-00237270"/>
        <xdr:cNvPicPr>
          <a:picLocks noChangeAspect="1"/>
        </xdr:cNvPicPr>
      </xdr:nvPicPr>
      <xdr:blipFill>
        <a:blip xmlns:r="http://schemas.openxmlformats.org/officeDocument/2006/relationships" r:embed="rId2195"/>
        <a:stretch>
          <a:fillRect/>
        </a:stretch>
      </xdr:blipFill>
      <xdr:spPr>
        <a:xfrm>
          <a:off x="7235825" y="2881887175"/>
          <a:ext cx="878840" cy="1183640"/>
        </a:xfrm>
        <a:prstGeom prst="rect">
          <a:avLst/>
        </a:prstGeom>
      </xdr:spPr>
    </xdr:pic>
    <xdr:clientData/>
  </xdr:twoCellAnchor>
  <xdr:twoCellAnchor>
    <xdr:from>
      <xdr:col>9</xdr:col>
      <xdr:colOff>6350</xdr:colOff>
      <xdr:row>2954</xdr:row>
      <xdr:rowOff>25400</xdr:rowOff>
    </xdr:from>
    <xdr:to>
      <xdr:col>9</xdr:col>
      <xdr:colOff>885190</xdr:colOff>
      <xdr:row>2954</xdr:row>
      <xdr:rowOff>1209040</xdr:rowOff>
    </xdr:to>
    <xdr:pic>
      <xdr:nvPicPr>
        <xdr:cNvPr id="7478" name="Изображение 7477" descr="resizeПП-00215672"/>
        <xdr:cNvPicPr>
          <a:picLocks noChangeAspect="1"/>
        </xdr:cNvPicPr>
      </xdr:nvPicPr>
      <xdr:blipFill>
        <a:blip xmlns:r="http://schemas.openxmlformats.org/officeDocument/2006/relationships" r:embed="rId2196"/>
        <a:stretch>
          <a:fillRect/>
        </a:stretch>
      </xdr:blipFill>
      <xdr:spPr>
        <a:xfrm>
          <a:off x="7235825" y="2883109550"/>
          <a:ext cx="878840" cy="1183640"/>
        </a:xfrm>
        <a:prstGeom prst="rect">
          <a:avLst/>
        </a:prstGeom>
      </xdr:spPr>
    </xdr:pic>
    <xdr:clientData/>
  </xdr:twoCellAnchor>
  <xdr:twoCellAnchor>
    <xdr:from>
      <xdr:col>9</xdr:col>
      <xdr:colOff>6350</xdr:colOff>
      <xdr:row>2955</xdr:row>
      <xdr:rowOff>25400</xdr:rowOff>
    </xdr:from>
    <xdr:to>
      <xdr:col>9</xdr:col>
      <xdr:colOff>885190</xdr:colOff>
      <xdr:row>2955</xdr:row>
      <xdr:rowOff>1209040</xdr:rowOff>
    </xdr:to>
    <xdr:pic>
      <xdr:nvPicPr>
        <xdr:cNvPr id="7479" name="Изображение 7478" descr="resizeПП-00215673"/>
        <xdr:cNvPicPr>
          <a:picLocks noChangeAspect="1"/>
        </xdr:cNvPicPr>
      </xdr:nvPicPr>
      <xdr:blipFill>
        <a:blip xmlns:r="http://schemas.openxmlformats.org/officeDocument/2006/relationships" r:embed="rId2197"/>
        <a:stretch>
          <a:fillRect/>
        </a:stretch>
      </xdr:blipFill>
      <xdr:spPr>
        <a:xfrm>
          <a:off x="7235825" y="2884331925"/>
          <a:ext cx="878840" cy="1183640"/>
        </a:xfrm>
        <a:prstGeom prst="rect">
          <a:avLst/>
        </a:prstGeom>
      </xdr:spPr>
    </xdr:pic>
    <xdr:clientData/>
  </xdr:twoCellAnchor>
  <xdr:twoCellAnchor>
    <xdr:from>
      <xdr:col>9</xdr:col>
      <xdr:colOff>6350</xdr:colOff>
      <xdr:row>2957</xdr:row>
      <xdr:rowOff>25400</xdr:rowOff>
    </xdr:from>
    <xdr:to>
      <xdr:col>9</xdr:col>
      <xdr:colOff>885190</xdr:colOff>
      <xdr:row>2957</xdr:row>
      <xdr:rowOff>1209040</xdr:rowOff>
    </xdr:to>
    <xdr:pic>
      <xdr:nvPicPr>
        <xdr:cNvPr id="7480" name="Изображение 7479" descr="resizeПП-00263882"/>
        <xdr:cNvPicPr>
          <a:picLocks noChangeAspect="1"/>
        </xdr:cNvPicPr>
      </xdr:nvPicPr>
      <xdr:blipFill>
        <a:blip xmlns:r="http://schemas.openxmlformats.org/officeDocument/2006/relationships" r:embed="rId2198"/>
        <a:stretch>
          <a:fillRect/>
        </a:stretch>
      </xdr:blipFill>
      <xdr:spPr>
        <a:xfrm>
          <a:off x="7235825" y="2885706700"/>
          <a:ext cx="878840" cy="1183640"/>
        </a:xfrm>
        <a:prstGeom prst="rect">
          <a:avLst/>
        </a:prstGeom>
      </xdr:spPr>
    </xdr:pic>
    <xdr:clientData/>
  </xdr:twoCellAnchor>
  <xdr:twoCellAnchor>
    <xdr:from>
      <xdr:col>9</xdr:col>
      <xdr:colOff>6350</xdr:colOff>
      <xdr:row>2958</xdr:row>
      <xdr:rowOff>25400</xdr:rowOff>
    </xdr:from>
    <xdr:to>
      <xdr:col>9</xdr:col>
      <xdr:colOff>885190</xdr:colOff>
      <xdr:row>2958</xdr:row>
      <xdr:rowOff>1209040</xdr:rowOff>
    </xdr:to>
    <xdr:pic>
      <xdr:nvPicPr>
        <xdr:cNvPr id="7481" name="Изображение 7480" descr="resizeПП-00257344"/>
        <xdr:cNvPicPr>
          <a:picLocks noChangeAspect="1"/>
        </xdr:cNvPicPr>
      </xdr:nvPicPr>
      <xdr:blipFill>
        <a:blip xmlns:r="http://schemas.openxmlformats.org/officeDocument/2006/relationships" r:embed="rId2199"/>
        <a:stretch>
          <a:fillRect/>
        </a:stretch>
      </xdr:blipFill>
      <xdr:spPr>
        <a:xfrm>
          <a:off x="7235825" y="2886929075"/>
          <a:ext cx="878840" cy="1183640"/>
        </a:xfrm>
        <a:prstGeom prst="rect">
          <a:avLst/>
        </a:prstGeom>
      </xdr:spPr>
    </xdr:pic>
    <xdr:clientData/>
  </xdr:twoCellAnchor>
  <xdr:twoCellAnchor>
    <xdr:from>
      <xdr:col>9</xdr:col>
      <xdr:colOff>6350</xdr:colOff>
      <xdr:row>2959</xdr:row>
      <xdr:rowOff>25400</xdr:rowOff>
    </xdr:from>
    <xdr:to>
      <xdr:col>9</xdr:col>
      <xdr:colOff>885190</xdr:colOff>
      <xdr:row>2959</xdr:row>
      <xdr:rowOff>1209040</xdr:rowOff>
    </xdr:to>
    <xdr:pic>
      <xdr:nvPicPr>
        <xdr:cNvPr id="7482" name="Изображение 7481" descr="resizeПП-00257346"/>
        <xdr:cNvPicPr>
          <a:picLocks noChangeAspect="1"/>
        </xdr:cNvPicPr>
      </xdr:nvPicPr>
      <xdr:blipFill>
        <a:blip xmlns:r="http://schemas.openxmlformats.org/officeDocument/2006/relationships" r:embed="rId2200"/>
        <a:stretch>
          <a:fillRect/>
        </a:stretch>
      </xdr:blipFill>
      <xdr:spPr>
        <a:xfrm>
          <a:off x="7235825" y="2888151450"/>
          <a:ext cx="878840" cy="1183640"/>
        </a:xfrm>
        <a:prstGeom prst="rect">
          <a:avLst/>
        </a:prstGeom>
      </xdr:spPr>
    </xdr:pic>
    <xdr:clientData/>
  </xdr:twoCellAnchor>
  <xdr:twoCellAnchor>
    <xdr:from>
      <xdr:col>9</xdr:col>
      <xdr:colOff>6350</xdr:colOff>
      <xdr:row>2960</xdr:row>
      <xdr:rowOff>25400</xdr:rowOff>
    </xdr:from>
    <xdr:to>
      <xdr:col>9</xdr:col>
      <xdr:colOff>885190</xdr:colOff>
      <xdr:row>2960</xdr:row>
      <xdr:rowOff>1209040</xdr:rowOff>
    </xdr:to>
    <xdr:pic>
      <xdr:nvPicPr>
        <xdr:cNvPr id="7483" name="Изображение 7482" descr="resizeПП-00257345"/>
        <xdr:cNvPicPr>
          <a:picLocks noChangeAspect="1"/>
        </xdr:cNvPicPr>
      </xdr:nvPicPr>
      <xdr:blipFill>
        <a:blip xmlns:r="http://schemas.openxmlformats.org/officeDocument/2006/relationships" r:embed="rId2201"/>
        <a:stretch>
          <a:fillRect/>
        </a:stretch>
      </xdr:blipFill>
      <xdr:spPr>
        <a:xfrm>
          <a:off x="7235825" y="2889373825"/>
          <a:ext cx="878840" cy="1183640"/>
        </a:xfrm>
        <a:prstGeom prst="rect">
          <a:avLst/>
        </a:prstGeom>
      </xdr:spPr>
    </xdr:pic>
    <xdr:clientData/>
  </xdr:twoCellAnchor>
  <xdr:twoCellAnchor>
    <xdr:from>
      <xdr:col>9</xdr:col>
      <xdr:colOff>6350</xdr:colOff>
      <xdr:row>2964</xdr:row>
      <xdr:rowOff>25400</xdr:rowOff>
    </xdr:from>
    <xdr:to>
      <xdr:col>9</xdr:col>
      <xdr:colOff>885190</xdr:colOff>
      <xdr:row>2964</xdr:row>
      <xdr:rowOff>1209040</xdr:rowOff>
    </xdr:to>
    <xdr:pic>
      <xdr:nvPicPr>
        <xdr:cNvPr id="7484" name="Изображение 7483" descr="resizeПП-00274412"/>
        <xdr:cNvPicPr>
          <a:picLocks noChangeAspect="1"/>
        </xdr:cNvPicPr>
      </xdr:nvPicPr>
      <xdr:blipFill>
        <a:blip xmlns:r="http://schemas.openxmlformats.org/officeDocument/2006/relationships" r:embed="rId2202"/>
        <a:stretch>
          <a:fillRect/>
        </a:stretch>
      </xdr:blipFill>
      <xdr:spPr>
        <a:xfrm>
          <a:off x="7235825" y="2891053400"/>
          <a:ext cx="878840" cy="1183640"/>
        </a:xfrm>
        <a:prstGeom prst="rect">
          <a:avLst/>
        </a:prstGeom>
      </xdr:spPr>
    </xdr:pic>
    <xdr:clientData/>
  </xdr:twoCellAnchor>
  <xdr:twoCellAnchor>
    <xdr:from>
      <xdr:col>9</xdr:col>
      <xdr:colOff>6350</xdr:colOff>
      <xdr:row>2965</xdr:row>
      <xdr:rowOff>25400</xdr:rowOff>
    </xdr:from>
    <xdr:to>
      <xdr:col>9</xdr:col>
      <xdr:colOff>885190</xdr:colOff>
      <xdr:row>2965</xdr:row>
      <xdr:rowOff>1209040</xdr:rowOff>
    </xdr:to>
    <xdr:pic>
      <xdr:nvPicPr>
        <xdr:cNvPr id="7485" name="Изображение 7484" descr="resizeПП-00274415"/>
        <xdr:cNvPicPr>
          <a:picLocks noChangeAspect="1"/>
        </xdr:cNvPicPr>
      </xdr:nvPicPr>
      <xdr:blipFill>
        <a:blip xmlns:r="http://schemas.openxmlformats.org/officeDocument/2006/relationships" r:embed="rId2203"/>
        <a:stretch>
          <a:fillRect/>
        </a:stretch>
      </xdr:blipFill>
      <xdr:spPr>
        <a:xfrm>
          <a:off x="7235825" y="2892275775"/>
          <a:ext cx="878840" cy="1183640"/>
        </a:xfrm>
        <a:prstGeom prst="rect">
          <a:avLst/>
        </a:prstGeom>
      </xdr:spPr>
    </xdr:pic>
    <xdr:clientData/>
  </xdr:twoCellAnchor>
  <xdr:twoCellAnchor>
    <xdr:from>
      <xdr:col>9</xdr:col>
      <xdr:colOff>6350</xdr:colOff>
      <xdr:row>2966</xdr:row>
      <xdr:rowOff>25400</xdr:rowOff>
    </xdr:from>
    <xdr:to>
      <xdr:col>9</xdr:col>
      <xdr:colOff>885190</xdr:colOff>
      <xdr:row>2966</xdr:row>
      <xdr:rowOff>1209040</xdr:rowOff>
    </xdr:to>
    <xdr:pic>
      <xdr:nvPicPr>
        <xdr:cNvPr id="7486" name="Изображение 7485" descr="resizeПП-00274416"/>
        <xdr:cNvPicPr>
          <a:picLocks noChangeAspect="1"/>
        </xdr:cNvPicPr>
      </xdr:nvPicPr>
      <xdr:blipFill>
        <a:blip xmlns:r="http://schemas.openxmlformats.org/officeDocument/2006/relationships" r:embed="rId2204"/>
        <a:stretch>
          <a:fillRect/>
        </a:stretch>
      </xdr:blipFill>
      <xdr:spPr>
        <a:xfrm>
          <a:off x="7235825" y="2893498150"/>
          <a:ext cx="878840" cy="1183640"/>
        </a:xfrm>
        <a:prstGeom prst="rect">
          <a:avLst/>
        </a:prstGeom>
      </xdr:spPr>
    </xdr:pic>
    <xdr:clientData/>
  </xdr:twoCellAnchor>
  <xdr:twoCellAnchor>
    <xdr:from>
      <xdr:col>9</xdr:col>
      <xdr:colOff>6350</xdr:colOff>
      <xdr:row>2968</xdr:row>
      <xdr:rowOff>25400</xdr:rowOff>
    </xdr:from>
    <xdr:to>
      <xdr:col>9</xdr:col>
      <xdr:colOff>885190</xdr:colOff>
      <xdr:row>2968</xdr:row>
      <xdr:rowOff>1209040</xdr:rowOff>
    </xdr:to>
    <xdr:pic>
      <xdr:nvPicPr>
        <xdr:cNvPr id="7487" name="Изображение 7486" descr="resizeПП-00274417"/>
        <xdr:cNvPicPr>
          <a:picLocks noChangeAspect="1"/>
        </xdr:cNvPicPr>
      </xdr:nvPicPr>
      <xdr:blipFill>
        <a:blip xmlns:r="http://schemas.openxmlformats.org/officeDocument/2006/relationships" r:embed="rId2205"/>
        <a:stretch>
          <a:fillRect/>
        </a:stretch>
      </xdr:blipFill>
      <xdr:spPr>
        <a:xfrm>
          <a:off x="7235825" y="2894872925"/>
          <a:ext cx="878840" cy="1183640"/>
        </a:xfrm>
        <a:prstGeom prst="rect">
          <a:avLst/>
        </a:prstGeom>
      </xdr:spPr>
    </xdr:pic>
    <xdr:clientData/>
  </xdr:twoCellAnchor>
  <xdr:twoCellAnchor>
    <xdr:from>
      <xdr:col>9</xdr:col>
      <xdr:colOff>6350</xdr:colOff>
      <xdr:row>2969</xdr:row>
      <xdr:rowOff>25400</xdr:rowOff>
    </xdr:from>
    <xdr:to>
      <xdr:col>9</xdr:col>
      <xdr:colOff>885190</xdr:colOff>
      <xdr:row>2969</xdr:row>
      <xdr:rowOff>1209040</xdr:rowOff>
    </xdr:to>
    <xdr:pic>
      <xdr:nvPicPr>
        <xdr:cNvPr id="7488" name="Изображение 7487" descr="resizeПП-00274419"/>
        <xdr:cNvPicPr>
          <a:picLocks noChangeAspect="1"/>
        </xdr:cNvPicPr>
      </xdr:nvPicPr>
      <xdr:blipFill>
        <a:blip xmlns:r="http://schemas.openxmlformats.org/officeDocument/2006/relationships" r:embed="rId2206"/>
        <a:stretch>
          <a:fillRect/>
        </a:stretch>
      </xdr:blipFill>
      <xdr:spPr>
        <a:xfrm>
          <a:off x="7235825" y="2896095300"/>
          <a:ext cx="878840" cy="1183640"/>
        </a:xfrm>
        <a:prstGeom prst="rect">
          <a:avLst/>
        </a:prstGeom>
      </xdr:spPr>
    </xdr:pic>
    <xdr:clientData/>
  </xdr:twoCellAnchor>
  <xdr:twoCellAnchor>
    <xdr:from>
      <xdr:col>9</xdr:col>
      <xdr:colOff>6350</xdr:colOff>
      <xdr:row>2971</xdr:row>
      <xdr:rowOff>25400</xdr:rowOff>
    </xdr:from>
    <xdr:to>
      <xdr:col>9</xdr:col>
      <xdr:colOff>885190</xdr:colOff>
      <xdr:row>2971</xdr:row>
      <xdr:rowOff>1209040</xdr:rowOff>
    </xdr:to>
    <xdr:pic>
      <xdr:nvPicPr>
        <xdr:cNvPr id="7489" name="Изображение 7488" descr="resizeПП-00274426"/>
        <xdr:cNvPicPr>
          <a:picLocks noChangeAspect="1"/>
        </xdr:cNvPicPr>
      </xdr:nvPicPr>
      <xdr:blipFill>
        <a:blip xmlns:r="http://schemas.openxmlformats.org/officeDocument/2006/relationships" r:embed="rId2207"/>
        <a:stretch>
          <a:fillRect/>
        </a:stretch>
      </xdr:blipFill>
      <xdr:spPr>
        <a:xfrm>
          <a:off x="7235825" y="2897470075"/>
          <a:ext cx="878840" cy="1183640"/>
        </a:xfrm>
        <a:prstGeom prst="rect">
          <a:avLst/>
        </a:prstGeom>
      </xdr:spPr>
    </xdr:pic>
    <xdr:clientData/>
  </xdr:twoCellAnchor>
  <xdr:twoCellAnchor>
    <xdr:from>
      <xdr:col>9</xdr:col>
      <xdr:colOff>6350</xdr:colOff>
      <xdr:row>2972</xdr:row>
      <xdr:rowOff>25400</xdr:rowOff>
    </xdr:from>
    <xdr:to>
      <xdr:col>9</xdr:col>
      <xdr:colOff>885190</xdr:colOff>
      <xdr:row>2972</xdr:row>
      <xdr:rowOff>1209040</xdr:rowOff>
    </xdr:to>
    <xdr:pic>
      <xdr:nvPicPr>
        <xdr:cNvPr id="7490" name="Изображение 7489" descr="resizeПП-00274425"/>
        <xdr:cNvPicPr>
          <a:picLocks noChangeAspect="1"/>
        </xdr:cNvPicPr>
      </xdr:nvPicPr>
      <xdr:blipFill>
        <a:blip xmlns:r="http://schemas.openxmlformats.org/officeDocument/2006/relationships" r:embed="rId2208"/>
        <a:stretch>
          <a:fillRect/>
        </a:stretch>
      </xdr:blipFill>
      <xdr:spPr>
        <a:xfrm>
          <a:off x="7235825" y="2898692450"/>
          <a:ext cx="878840" cy="1183640"/>
        </a:xfrm>
        <a:prstGeom prst="rect">
          <a:avLst/>
        </a:prstGeom>
      </xdr:spPr>
    </xdr:pic>
    <xdr:clientData/>
  </xdr:twoCellAnchor>
  <xdr:twoCellAnchor>
    <xdr:from>
      <xdr:col>9</xdr:col>
      <xdr:colOff>6350</xdr:colOff>
      <xdr:row>2973</xdr:row>
      <xdr:rowOff>25400</xdr:rowOff>
    </xdr:from>
    <xdr:to>
      <xdr:col>9</xdr:col>
      <xdr:colOff>885190</xdr:colOff>
      <xdr:row>2973</xdr:row>
      <xdr:rowOff>1209040</xdr:rowOff>
    </xdr:to>
    <xdr:pic>
      <xdr:nvPicPr>
        <xdr:cNvPr id="7491" name="Изображение 7490" descr="resizeПП-00274427"/>
        <xdr:cNvPicPr>
          <a:picLocks noChangeAspect="1"/>
        </xdr:cNvPicPr>
      </xdr:nvPicPr>
      <xdr:blipFill>
        <a:blip xmlns:r="http://schemas.openxmlformats.org/officeDocument/2006/relationships" r:embed="rId2209"/>
        <a:stretch>
          <a:fillRect/>
        </a:stretch>
      </xdr:blipFill>
      <xdr:spPr>
        <a:xfrm>
          <a:off x="7235825" y="2899914825"/>
          <a:ext cx="878840" cy="1183640"/>
        </a:xfrm>
        <a:prstGeom prst="rect">
          <a:avLst/>
        </a:prstGeom>
      </xdr:spPr>
    </xdr:pic>
    <xdr:clientData/>
  </xdr:twoCellAnchor>
  <xdr:twoCellAnchor>
    <xdr:from>
      <xdr:col>9</xdr:col>
      <xdr:colOff>6350</xdr:colOff>
      <xdr:row>2975</xdr:row>
      <xdr:rowOff>25400</xdr:rowOff>
    </xdr:from>
    <xdr:to>
      <xdr:col>9</xdr:col>
      <xdr:colOff>885190</xdr:colOff>
      <xdr:row>2975</xdr:row>
      <xdr:rowOff>1209040</xdr:rowOff>
    </xdr:to>
    <xdr:pic>
      <xdr:nvPicPr>
        <xdr:cNvPr id="7492" name="Изображение 7491" descr="resizeПП-00274422"/>
        <xdr:cNvPicPr>
          <a:picLocks noChangeAspect="1"/>
        </xdr:cNvPicPr>
      </xdr:nvPicPr>
      <xdr:blipFill>
        <a:blip xmlns:r="http://schemas.openxmlformats.org/officeDocument/2006/relationships" r:embed="rId2210"/>
        <a:stretch>
          <a:fillRect/>
        </a:stretch>
      </xdr:blipFill>
      <xdr:spPr>
        <a:xfrm>
          <a:off x="7235825" y="2901289600"/>
          <a:ext cx="878840" cy="1183640"/>
        </a:xfrm>
        <a:prstGeom prst="rect">
          <a:avLst/>
        </a:prstGeom>
      </xdr:spPr>
    </xdr:pic>
    <xdr:clientData/>
  </xdr:twoCellAnchor>
  <xdr:twoCellAnchor>
    <xdr:from>
      <xdr:col>9</xdr:col>
      <xdr:colOff>6350</xdr:colOff>
      <xdr:row>2976</xdr:row>
      <xdr:rowOff>25400</xdr:rowOff>
    </xdr:from>
    <xdr:to>
      <xdr:col>9</xdr:col>
      <xdr:colOff>885190</xdr:colOff>
      <xdr:row>2976</xdr:row>
      <xdr:rowOff>1209040</xdr:rowOff>
    </xdr:to>
    <xdr:pic>
      <xdr:nvPicPr>
        <xdr:cNvPr id="7493" name="Изображение 7492" descr="resizeПП-00274421"/>
        <xdr:cNvPicPr>
          <a:picLocks noChangeAspect="1"/>
        </xdr:cNvPicPr>
      </xdr:nvPicPr>
      <xdr:blipFill>
        <a:blip xmlns:r="http://schemas.openxmlformats.org/officeDocument/2006/relationships" r:embed="rId2211"/>
        <a:stretch>
          <a:fillRect/>
        </a:stretch>
      </xdr:blipFill>
      <xdr:spPr>
        <a:xfrm>
          <a:off x="7235825" y="2902511975"/>
          <a:ext cx="878840" cy="1183640"/>
        </a:xfrm>
        <a:prstGeom prst="rect">
          <a:avLst/>
        </a:prstGeom>
      </xdr:spPr>
    </xdr:pic>
    <xdr:clientData/>
  </xdr:twoCellAnchor>
  <xdr:twoCellAnchor>
    <xdr:from>
      <xdr:col>9</xdr:col>
      <xdr:colOff>6350</xdr:colOff>
      <xdr:row>2977</xdr:row>
      <xdr:rowOff>25400</xdr:rowOff>
    </xdr:from>
    <xdr:to>
      <xdr:col>9</xdr:col>
      <xdr:colOff>885190</xdr:colOff>
      <xdr:row>2977</xdr:row>
      <xdr:rowOff>1209040</xdr:rowOff>
    </xdr:to>
    <xdr:pic>
      <xdr:nvPicPr>
        <xdr:cNvPr id="7494" name="Изображение 7493" descr="resizeПП-00274423"/>
        <xdr:cNvPicPr>
          <a:picLocks noChangeAspect="1"/>
        </xdr:cNvPicPr>
      </xdr:nvPicPr>
      <xdr:blipFill>
        <a:blip xmlns:r="http://schemas.openxmlformats.org/officeDocument/2006/relationships" r:embed="rId2212"/>
        <a:stretch>
          <a:fillRect/>
        </a:stretch>
      </xdr:blipFill>
      <xdr:spPr>
        <a:xfrm>
          <a:off x="7235825" y="2903734350"/>
          <a:ext cx="878840" cy="1183640"/>
        </a:xfrm>
        <a:prstGeom prst="rect">
          <a:avLst/>
        </a:prstGeom>
      </xdr:spPr>
    </xdr:pic>
    <xdr:clientData/>
  </xdr:twoCellAnchor>
  <xdr:twoCellAnchor>
    <xdr:from>
      <xdr:col>9</xdr:col>
      <xdr:colOff>6350</xdr:colOff>
      <xdr:row>2979</xdr:row>
      <xdr:rowOff>25400</xdr:rowOff>
    </xdr:from>
    <xdr:to>
      <xdr:col>9</xdr:col>
      <xdr:colOff>885190</xdr:colOff>
      <xdr:row>2979</xdr:row>
      <xdr:rowOff>1209040</xdr:rowOff>
    </xdr:to>
    <xdr:pic>
      <xdr:nvPicPr>
        <xdr:cNvPr id="7495" name="Изображение 7494" descr="resizeПП-00237276"/>
        <xdr:cNvPicPr>
          <a:picLocks noChangeAspect="1"/>
        </xdr:cNvPicPr>
      </xdr:nvPicPr>
      <xdr:blipFill>
        <a:blip xmlns:r="http://schemas.openxmlformats.org/officeDocument/2006/relationships" r:embed="rId2213"/>
        <a:stretch>
          <a:fillRect/>
        </a:stretch>
      </xdr:blipFill>
      <xdr:spPr>
        <a:xfrm>
          <a:off x="7235825" y="2905109125"/>
          <a:ext cx="878840" cy="1183640"/>
        </a:xfrm>
        <a:prstGeom prst="rect">
          <a:avLst/>
        </a:prstGeom>
      </xdr:spPr>
    </xdr:pic>
    <xdr:clientData/>
  </xdr:twoCellAnchor>
  <xdr:twoCellAnchor>
    <xdr:from>
      <xdr:col>9</xdr:col>
      <xdr:colOff>6350</xdr:colOff>
      <xdr:row>2980</xdr:row>
      <xdr:rowOff>25400</xdr:rowOff>
    </xdr:from>
    <xdr:to>
      <xdr:col>9</xdr:col>
      <xdr:colOff>885190</xdr:colOff>
      <xdr:row>2980</xdr:row>
      <xdr:rowOff>1209040</xdr:rowOff>
    </xdr:to>
    <xdr:pic>
      <xdr:nvPicPr>
        <xdr:cNvPr id="7496" name="Изображение 7495" descr="resizeПП-00237275"/>
        <xdr:cNvPicPr>
          <a:picLocks noChangeAspect="1"/>
        </xdr:cNvPicPr>
      </xdr:nvPicPr>
      <xdr:blipFill>
        <a:blip xmlns:r="http://schemas.openxmlformats.org/officeDocument/2006/relationships" r:embed="rId2214"/>
        <a:stretch>
          <a:fillRect/>
        </a:stretch>
      </xdr:blipFill>
      <xdr:spPr>
        <a:xfrm>
          <a:off x="7235825" y="2906331500"/>
          <a:ext cx="878840" cy="1183640"/>
        </a:xfrm>
        <a:prstGeom prst="rect">
          <a:avLst/>
        </a:prstGeom>
      </xdr:spPr>
    </xdr:pic>
    <xdr:clientData/>
  </xdr:twoCellAnchor>
  <xdr:twoCellAnchor>
    <xdr:from>
      <xdr:col>9</xdr:col>
      <xdr:colOff>6350</xdr:colOff>
      <xdr:row>2981</xdr:row>
      <xdr:rowOff>25400</xdr:rowOff>
    </xdr:from>
    <xdr:to>
      <xdr:col>9</xdr:col>
      <xdr:colOff>885190</xdr:colOff>
      <xdr:row>2981</xdr:row>
      <xdr:rowOff>1209040</xdr:rowOff>
    </xdr:to>
    <xdr:pic>
      <xdr:nvPicPr>
        <xdr:cNvPr id="7497" name="Изображение 7496" descr="resizeПП-00237277"/>
        <xdr:cNvPicPr>
          <a:picLocks noChangeAspect="1"/>
        </xdr:cNvPicPr>
      </xdr:nvPicPr>
      <xdr:blipFill>
        <a:blip xmlns:r="http://schemas.openxmlformats.org/officeDocument/2006/relationships" r:embed="rId2215"/>
        <a:stretch>
          <a:fillRect/>
        </a:stretch>
      </xdr:blipFill>
      <xdr:spPr>
        <a:xfrm>
          <a:off x="7235825" y="2907553875"/>
          <a:ext cx="878840" cy="1183640"/>
        </a:xfrm>
        <a:prstGeom prst="rect">
          <a:avLst/>
        </a:prstGeom>
      </xdr:spPr>
    </xdr:pic>
    <xdr:clientData/>
  </xdr:twoCellAnchor>
  <xdr:twoCellAnchor>
    <xdr:from>
      <xdr:col>9</xdr:col>
      <xdr:colOff>6350</xdr:colOff>
      <xdr:row>2982</xdr:row>
      <xdr:rowOff>25400</xdr:rowOff>
    </xdr:from>
    <xdr:to>
      <xdr:col>9</xdr:col>
      <xdr:colOff>885190</xdr:colOff>
      <xdr:row>2982</xdr:row>
      <xdr:rowOff>1209040</xdr:rowOff>
    </xdr:to>
    <xdr:pic>
      <xdr:nvPicPr>
        <xdr:cNvPr id="7498" name="Изображение 7497" descr="resizeПП-00237278"/>
        <xdr:cNvPicPr>
          <a:picLocks noChangeAspect="1"/>
        </xdr:cNvPicPr>
      </xdr:nvPicPr>
      <xdr:blipFill>
        <a:blip xmlns:r="http://schemas.openxmlformats.org/officeDocument/2006/relationships" r:embed="rId2216"/>
        <a:stretch>
          <a:fillRect/>
        </a:stretch>
      </xdr:blipFill>
      <xdr:spPr>
        <a:xfrm>
          <a:off x="7235825" y="2908776250"/>
          <a:ext cx="878840" cy="1183640"/>
        </a:xfrm>
        <a:prstGeom prst="rect">
          <a:avLst/>
        </a:prstGeom>
      </xdr:spPr>
    </xdr:pic>
    <xdr:clientData/>
  </xdr:twoCellAnchor>
  <xdr:twoCellAnchor>
    <xdr:from>
      <xdr:col>9</xdr:col>
      <xdr:colOff>6350</xdr:colOff>
      <xdr:row>2983</xdr:row>
      <xdr:rowOff>25400</xdr:rowOff>
    </xdr:from>
    <xdr:to>
      <xdr:col>9</xdr:col>
      <xdr:colOff>885190</xdr:colOff>
      <xdr:row>2983</xdr:row>
      <xdr:rowOff>1209040</xdr:rowOff>
    </xdr:to>
    <xdr:pic>
      <xdr:nvPicPr>
        <xdr:cNvPr id="7499" name="Изображение 7498" descr="resizeПП-00237282"/>
        <xdr:cNvPicPr>
          <a:picLocks noChangeAspect="1"/>
        </xdr:cNvPicPr>
      </xdr:nvPicPr>
      <xdr:blipFill>
        <a:blip xmlns:r="http://schemas.openxmlformats.org/officeDocument/2006/relationships" r:embed="rId2217"/>
        <a:stretch>
          <a:fillRect/>
        </a:stretch>
      </xdr:blipFill>
      <xdr:spPr>
        <a:xfrm>
          <a:off x="7235825" y="2909998625"/>
          <a:ext cx="878840" cy="1183640"/>
        </a:xfrm>
        <a:prstGeom prst="rect">
          <a:avLst/>
        </a:prstGeom>
      </xdr:spPr>
    </xdr:pic>
    <xdr:clientData/>
  </xdr:twoCellAnchor>
  <xdr:twoCellAnchor>
    <xdr:from>
      <xdr:col>9</xdr:col>
      <xdr:colOff>6350</xdr:colOff>
      <xdr:row>2984</xdr:row>
      <xdr:rowOff>25400</xdr:rowOff>
    </xdr:from>
    <xdr:to>
      <xdr:col>9</xdr:col>
      <xdr:colOff>885190</xdr:colOff>
      <xdr:row>2984</xdr:row>
      <xdr:rowOff>1209040</xdr:rowOff>
    </xdr:to>
    <xdr:pic>
      <xdr:nvPicPr>
        <xdr:cNvPr id="7500" name="Изображение 7499" descr="resizeПП-00237280"/>
        <xdr:cNvPicPr>
          <a:picLocks noChangeAspect="1"/>
        </xdr:cNvPicPr>
      </xdr:nvPicPr>
      <xdr:blipFill>
        <a:blip xmlns:r="http://schemas.openxmlformats.org/officeDocument/2006/relationships" r:embed="rId2218"/>
        <a:stretch>
          <a:fillRect/>
        </a:stretch>
      </xdr:blipFill>
      <xdr:spPr>
        <a:xfrm>
          <a:off x="7235825" y="2911221000"/>
          <a:ext cx="878840" cy="1183640"/>
        </a:xfrm>
        <a:prstGeom prst="rect">
          <a:avLst/>
        </a:prstGeom>
      </xdr:spPr>
    </xdr:pic>
    <xdr:clientData/>
  </xdr:twoCellAnchor>
  <xdr:twoCellAnchor>
    <xdr:from>
      <xdr:col>9</xdr:col>
      <xdr:colOff>6350</xdr:colOff>
      <xdr:row>2986</xdr:row>
      <xdr:rowOff>25400</xdr:rowOff>
    </xdr:from>
    <xdr:to>
      <xdr:col>9</xdr:col>
      <xdr:colOff>885190</xdr:colOff>
      <xdr:row>2986</xdr:row>
      <xdr:rowOff>1209040</xdr:rowOff>
    </xdr:to>
    <xdr:pic>
      <xdr:nvPicPr>
        <xdr:cNvPr id="7501" name="Изображение 7500" descr="resizeПП-00221358"/>
        <xdr:cNvPicPr>
          <a:picLocks noChangeAspect="1"/>
        </xdr:cNvPicPr>
      </xdr:nvPicPr>
      <xdr:blipFill>
        <a:blip xmlns:r="http://schemas.openxmlformats.org/officeDocument/2006/relationships" r:embed="rId2219"/>
        <a:stretch>
          <a:fillRect/>
        </a:stretch>
      </xdr:blipFill>
      <xdr:spPr>
        <a:xfrm>
          <a:off x="7235825" y="2912595775"/>
          <a:ext cx="878840" cy="1183640"/>
        </a:xfrm>
        <a:prstGeom prst="rect">
          <a:avLst/>
        </a:prstGeom>
      </xdr:spPr>
    </xdr:pic>
    <xdr:clientData/>
  </xdr:twoCellAnchor>
  <xdr:twoCellAnchor>
    <xdr:from>
      <xdr:col>9</xdr:col>
      <xdr:colOff>6350</xdr:colOff>
      <xdr:row>2987</xdr:row>
      <xdr:rowOff>25400</xdr:rowOff>
    </xdr:from>
    <xdr:to>
      <xdr:col>9</xdr:col>
      <xdr:colOff>885190</xdr:colOff>
      <xdr:row>2987</xdr:row>
      <xdr:rowOff>1209040</xdr:rowOff>
    </xdr:to>
    <xdr:pic>
      <xdr:nvPicPr>
        <xdr:cNvPr id="7502" name="Изображение 7501" descr="resizeПП-00221356"/>
        <xdr:cNvPicPr>
          <a:picLocks noChangeAspect="1"/>
        </xdr:cNvPicPr>
      </xdr:nvPicPr>
      <xdr:blipFill>
        <a:blip xmlns:r="http://schemas.openxmlformats.org/officeDocument/2006/relationships" r:embed="rId2220"/>
        <a:stretch>
          <a:fillRect/>
        </a:stretch>
      </xdr:blipFill>
      <xdr:spPr>
        <a:xfrm>
          <a:off x="7235825" y="2913818150"/>
          <a:ext cx="878840" cy="1183640"/>
        </a:xfrm>
        <a:prstGeom prst="rect">
          <a:avLst/>
        </a:prstGeom>
      </xdr:spPr>
    </xdr:pic>
    <xdr:clientData/>
  </xdr:twoCellAnchor>
  <xdr:twoCellAnchor>
    <xdr:from>
      <xdr:col>9</xdr:col>
      <xdr:colOff>6350</xdr:colOff>
      <xdr:row>2988</xdr:row>
      <xdr:rowOff>25400</xdr:rowOff>
    </xdr:from>
    <xdr:to>
      <xdr:col>9</xdr:col>
      <xdr:colOff>885190</xdr:colOff>
      <xdr:row>2988</xdr:row>
      <xdr:rowOff>1209040</xdr:rowOff>
    </xdr:to>
    <xdr:pic>
      <xdr:nvPicPr>
        <xdr:cNvPr id="7503" name="Изображение 7502" descr="resizeПП-00221357"/>
        <xdr:cNvPicPr>
          <a:picLocks noChangeAspect="1"/>
        </xdr:cNvPicPr>
      </xdr:nvPicPr>
      <xdr:blipFill>
        <a:blip xmlns:r="http://schemas.openxmlformats.org/officeDocument/2006/relationships" r:embed="rId2221"/>
        <a:stretch>
          <a:fillRect/>
        </a:stretch>
      </xdr:blipFill>
      <xdr:spPr>
        <a:xfrm>
          <a:off x="7235825" y="2915040525"/>
          <a:ext cx="878840" cy="1183640"/>
        </a:xfrm>
        <a:prstGeom prst="rect">
          <a:avLst/>
        </a:prstGeom>
      </xdr:spPr>
    </xdr:pic>
    <xdr:clientData/>
  </xdr:twoCellAnchor>
  <xdr:twoCellAnchor>
    <xdr:from>
      <xdr:col>9</xdr:col>
      <xdr:colOff>6350</xdr:colOff>
      <xdr:row>2989</xdr:row>
      <xdr:rowOff>25400</xdr:rowOff>
    </xdr:from>
    <xdr:to>
      <xdr:col>9</xdr:col>
      <xdr:colOff>885190</xdr:colOff>
      <xdr:row>2989</xdr:row>
      <xdr:rowOff>1209040</xdr:rowOff>
    </xdr:to>
    <xdr:pic>
      <xdr:nvPicPr>
        <xdr:cNvPr id="7504" name="Изображение 7503" descr="resizeПП-00237279"/>
        <xdr:cNvPicPr>
          <a:picLocks noChangeAspect="1"/>
        </xdr:cNvPicPr>
      </xdr:nvPicPr>
      <xdr:blipFill>
        <a:blip xmlns:r="http://schemas.openxmlformats.org/officeDocument/2006/relationships" r:embed="rId2222"/>
        <a:stretch>
          <a:fillRect/>
        </a:stretch>
      </xdr:blipFill>
      <xdr:spPr>
        <a:xfrm>
          <a:off x="7235825" y="2916262900"/>
          <a:ext cx="878840" cy="1183640"/>
        </a:xfrm>
        <a:prstGeom prst="rect">
          <a:avLst/>
        </a:prstGeom>
      </xdr:spPr>
    </xdr:pic>
    <xdr:clientData/>
  </xdr:twoCellAnchor>
  <xdr:twoCellAnchor>
    <xdr:from>
      <xdr:col>9</xdr:col>
      <xdr:colOff>6350</xdr:colOff>
      <xdr:row>2990</xdr:row>
      <xdr:rowOff>25400</xdr:rowOff>
    </xdr:from>
    <xdr:to>
      <xdr:col>9</xdr:col>
      <xdr:colOff>885190</xdr:colOff>
      <xdr:row>2990</xdr:row>
      <xdr:rowOff>1209040</xdr:rowOff>
    </xdr:to>
    <xdr:pic>
      <xdr:nvPicPr>
        <xdr:cNvPr id="7505" name="Изображение 7504" descr="resizeПП-00257338"/>
        <xdr:cNvPicPr>
          <a:picLocks noChangeAspect="1"/>
        </xdr:cNvPicPr>
      </xdr:nvPicPr>
      <xdr:blipFill>
        <a:blip xmlns:r="http://schemas.openxmlformats.org/officeDocument/2006/relationships" r:embed="rId2223"/>
        <a:stretch>
          <a:fillRect/>
        </a:stretch>
      </xdr:blipFill>
      <xdr:spPr>
        <a:xfrm>
          <a:off x="7235825" y="2917485275"/>
          <a:ext cx="878840" cy="1183640"/>
        </a:xfrm>
        <a:prstGeom prst="rect">
          <a:avLst/>
        </a:prstGeom>
      </xdr:spPr>
    </xdr:pic>
    <xdr:clientData/>
  </xdr:twoCellAnchor>
  <xdr:twoCellAnchor>
    <xdr:from>
      <xdr:col>9</xdr:col>
      <xdr:colOff>6350</xdr:colOff>
      <xdr:row>2991</xdr:row>
      <xdr:rowOff>25400</xdr:rowOff>
    </xdr:from>
    <xdr:to>
      <xdr:col>9</xdr:col>
      <xdr:colOff>885190</xdr:colOff>
      <xdr:row>2991</xdr:row>
      <xdr:rowOff>1209040</xdr:rowOff>
    </xdr:to>
    <xdr:pic>
      <xdr:nvPicPr>
        <xdr:cNvPr id="7506" name="Изображение 7505" descr="resizeПП-00262395"/>
        <xdr:cNvPicPr>
          <a:picLocks noChangeAspect="1"/>
        </xdr:cNvPicPr>
      </xdr:nvPicPr>
      <xdr:blipFill>
        <a:blip xmlns:r="http://schemas.openxmlformats.org/officeDocument/2006/relationships" r:embed="rId2224"/>
        <a:stretch>
          <a:fillRect/>
        </a:stretch>
      </xdr:blipFill>
      <xdr:spPr>
        <a:xfrm>
          <a:off x="7235825" y="2918707650"/>
          <a:ext cx="878840" cy="1183640"/>
        </a:xfrm>
        <a:prstGeom prst="rect">
          <a:avLst/>
        </a:prstGeom>
      </xdr:spPr>
    </xdr:pic>
    <xdr:clientData/>
  </xdr:twoCellAnchor>
  <xdr:twoCellAnchor>
    <xdr:from>
      <xdr:col>9</xdr:col>
      <xdr:colOff>6350</xdr:colOff>
      <xdr:row>2992</xdr:row>
      <xdr:rowOff>25400</xdr:rowOff>
    </xdr:from>
    <xdr:to>
      <xdr:col>9</xdr:col>
      <xdr:colOff>885190</xdr:colOff>
      <xdr:row>2992</xdr:row>
      <xdr:rowOff>1209040</xdr:rowOff>
    </xdr:to>
    <xdr:pic>
      <xdr:nvPicPr>
        <xdr:cNvPr id="7507" name="Изображение 7506" descr="resizeПП-00262394"/>
        <xdr:cNvPicPr>
          <a:picLocks noChangeAspect="1"/>
        </xdr:cNvPicPr>
      </xdr:nvPicPr>
      <xdr:blipFill>
        <a:blip xmlns:r="http://schemas.openxmlformats.org/officeDocument/2006/relationships" r:embed="rId2225"/>
        <a:stretch>
          <a:fillRect/>
        </a:stretch>
      </xdr:blipFill>
      <xdr:spPr>
        <a:xfrm>
          <a:off x="7235825" y="2919930025"/>
          <a:ext cx="878840" cy="1183640"/>
        </a:xfrm>
        <a:prstGeom prst="rect">
          <a:avLst/>
        </a:prstGeom>
      </xdr:spPr>
    </xdr:pic>
    <xdr:clientData/>
  </xdr:twoCellAnchor>
  <xdr:twoCellAnchor>
    <xdr:from>
      <xdr:col>9</xdr:col>
      <xdr:colOff>6350</xdr:colOff>
      <xdr:row>2993</xdr:row>
      <xdr:rowOff>25400</xdr:rowOff>
    </xdr:from>
    <xdr:to>
      <xdr:col>9</xdr:col>
      <xdr:colOff>885190</xdr:colOff>
      <xdr:row>2993</xdr:row>
      <xdr:rowOff>1209040</xdr:rowOff>
    </xdr:to>
    <xdr:pic>
      <xdr:nvPicPr>
        <xdr:cNvPr id="7508" name="Изображение 7507" descr="resizeПП-00262396"/>
        <xdr:cNvPicPr>
          <a:picLocks noChangeAspect="1"/>
        </xdr:cNvPicPr>
      </xdr:nvPicPr>
      <xdr:blipFill>
        <a:blip xmlns:r="http://schemas.openxmlformats.org/officeDocument/2006/relationships" r:embed="rId2226"/>
        <a:stretch>
          <a:fillRect/>
        </a:stretch>
      </xdr:blipFill>
      <xdr:spPr>
        <a:xfrm>
          <a:off x="7235825" y="2921152400"/>
          <a:ext cx="878840" cy="1183640"/>
        </a:xfrm>
        <a:prstGeom prst="rect">
          <a:avLst/>
        </a:prstGeom>
      </xdr:spPr>
    </xdr:pic>
    <xdr:clientData/>
  </xdr:twoCellAnchor>
  <xdr:twoCellAnchor>
    <xdr:from>
      <xdr:col>9</xdr:col>
      <xdr:colOff>6350</xdr:colOff>
      <xdr:row>2995</xdr:row>
      <xdr:rowOff>25400</xdr:rowOff>
    </xdr:from>
    <xdr:to>
      <xdr:col>9</xdr:col>
      <xdr:colOff>885190</xdr:colOff>
      <xdr:row>2995</xdr:row>
      <xdr:rowOff>1209040</xdr:rowOff>
    </xdr:to>
    <xdr:pic>
      <xdr:nvPicPr>
        <xdr:cNvPr id="7509" name="Изображение 7508" descr="resizeПП-00257341"/>
        <xdr:cNvPicPr>
          <a:picLocks noChangeAspect="1"/>
        </xdr:cNvPicPr>
      </xdr:nvPicPr>
      <xdr:blipFill>
        <a:blip xmlns:r="http://schemas.openxmlformats.org/officeDocument/2006/relationships" r:embed="rId2227"/>
        <a:stretch>
          <a:fillRect/>
        </a:stretch>
      </xdr:blipFill>
      <xdr:spPr>
        <a:xfrm>
          <a:off x="7235825" y="2922527175"/>
          <a:ext cx="878840" cy="1183640"/>
        </a:xfrm>
        <a:prstGeom prst="rect">
          <a:avLst/>
        </a:prstGeom>
      </xdr:spPr>
    </xdr:pic>
    <xdr:clientData/>
  </xdr:twoCellAnchor>
  <xdr:twoCellAnchor>
    <xdr:from>
      <xdr:col>9</xdr:col>
      <xdr:colOff>6350</xdr:colOff>
      <xdr:row>2996</xdr:row>
      <xdr:rowOff>25400</xdr:rowOff>
    </xdr:from>
    <xdr:to>
      <xdr:col>9</xdr:col>
      <xdr:colOff>885190</xdr:colOff>
      <xdr:row>2996</xdr:row>
      <xdr:rowOff>1209040</xdr:rowOff>
    </xdr:to>
    <xdr:pic>
      <xdr:nvPicPr>
        <xdr:cNvPr id="7510" name="Изображение 7509" descr="resizeПП-00257353"/>
        <xdr:cNvPicPr>
          <a:picLocks noChangeAspect="1"/>
        </xdr:cNvPicPr>
      </xdr:nvPicPr>
      <xdr:blipFill>
        <a:blip xmlns:r="http://schemas.openxmlformats.org/officeDocument/2006/relationships" r:embed="rId2228"/>
        <a:stretch>
          <a:fillRect/>
        </a:stretch>
      </xdr:blipFill>
      <xdr:spPr>
        <a:xfrm>
          <a:off x="7235825" y="2923749550"/>
          <a:ext cx="878840" cy="1183640"/>
        </a:xfrm>
        <a:prstGeom prst="rect">
          <a:avLst/>
        </a:prstGeom>
      </xdr:spPr>
    </xdr:pic>
    <xdr:clientData/>
  </xdr:twoCellAnchor>
  <xdr:twoCellAnchor>
    <xdr:from>
      <xdr:col>9</xdr:col>
      <xdr:colOff>6350</xdr:colOff>
      <xdr:row>2997</xdr:row>
      <xdr:rowOff>25400</xdr:rowOff>
    </xdr:from>
    <xdr:to>
      <xdr:col>9</xdr:col>
      <xdr:colOff>885190</xdr:colOff>
      <xdr:row>2997</xdr:row>
      <xdr:rowOff>1209040</xdr:rowOff>
    </xdr:to>
    <xdr:pic>
      <xdr:nvPicPr>
        <xdr:cNvPr id="7511" name="Изображение 7510" descr="resizeПП-00221360"/>
        <xdr:cNvPicPr>
          <a:picLocks noChangeAspect="1"/>
        </xdr:cNvPicPr>
      </xdr:nvPicPr>
      <xdr:blipFill>
        <a:blip xmlns:r="http://schemas.openxmlformats.org/officeDocument/2006/relationships" r:embed="rId2229"/>
        <a:stretch>
          <a:fillRect/>
        </a:stretch>
      </xdr:blipFill>
      <xdr:spPr>
        <a:xfrm>
          <a:off x="7235825" y="2924971925"/>
          <a:ext cx="878840" cy="1183640"/>
        </a:xfrm>
        <a:prstGeom prst="rect">
          <a:avLst/>
        </a:prstGeom>
      </xdr:spPr>
    </xdr:pic>
    <xdr:clientData/>
  </xdr:twoCellAnchor>
  <xdr:twoCellAnchor>
    <xdr:from>
      <xdr:col>9</xdr:col>
      <xdr:colOff>6350</xdr:colOff>
      <xdr:row>2998</xdr:row>
      <xdr:rowOff>25400</xdr:rowOff>
    </xdr:from>
    <xdr:to>
      <xdr:col>9</xdr:col>
      <xdr:colOff>885190</xdr:colOff>
      <xdr:row>2998</xdr:row>
      <xdr:rowOff>1209040</xdr:rowOff>
    </xdr:to>
    <xdr:pic>
      <xdr:nvPicPr>
        <xdr:cNvPr id="7512" name="Изображение 7511" descr="resizeПП-00257334"/>
        <xdr:cNvPicPr>
          <a:picLocks noChangeAspect="1"/>
        </xdr:cNvPicPr>
      </xdr:nvPicPr>
      <xdr:blipFill>
        <a:blip xmlns:r="http://schemas.openxmlformats.org/officeDocument/2006/relationships" r:embed="rId2230"/>
        <a:stretch>
          <a:fillRect/>
        </a:stretch>
      </xdr:blipFill>
      <xdr:spPr>
        <a:xfrm>
          <a:off x="7235825" y="2926194300"/>
          <a:ext cx="878840" cy="1183640"/>
        </a:xfrm>
        <a:prstGeom prst="rect">
          <a:avLst/>
        </a:prstGeom>
      </xdr:spPr>
    </xdr:pic>
    <xdr:clientData/>
  </xdr:twoCellAnchor>
  <xdr:twoCellAnchor>
    <xdr:from>
      <xdr:col>9</xdr:col>
      <xdr:colOff>6350</xdr:colOff>
      <xdr:row>3000</xdr:row>
      <xdr:rowOff>25400</xdr:rowOff>
    </xdr:from>
    <xdr:to>
      <xdr:col>9</xdr:col>
      <xdr:colOff>885190</xdr:colOff>
      <xdr:row>3000</xdr:row>
      <xdr:rowOff>1209040</xdr:rowOff>
    </xdr:to>
    <xdr:pic>
      <xdr:nvPicPr>
        <xdr:cNvPr id="7513" name="Изображение 7512" descr="resizeПП-00248282"/>
        <xdr:cNvPicPr>
          <a:picLocks noChangeAspect="1"/>
        </xdr:cNvPicPr>
      </xdr:nvPicPr>
      <xdr:blipFill>
        <a:blip xmlns:r="http://schemas.openxmlformats.org/officeDocument/2006/relationships" r:embed="rId2231"/>
        <a:stretch>
          <a:fillRect/>
        </a:stretch>
      </xdr:blipFill>
      <xdr:spPr>
        <a:xfrm>
          <a:off x="7235825" y="2927569075"/>
          <a:ext cx="878840" cy="1183640"/>
        </a:xfrm>
        <a:prstGeom prst="rect">
          <a:avLst/>
        </a:prstGeom>
      </xdr:spPr>
    </xdr:pic>
    <xdr:clientData/>
  </xdr:twoCellAnchor>
  <xdr:twoCellAnchor>
    <xdr:from>
      <xdr:col>9</xdr:col>
      <xdr:colOff>6350</xdr:colOff>
      <xdr:row>3001</xdr:row>
      <xdr:rowOff>25400</xdr:rowOff>
    </xdr:from>
    <xdr:to>
      <xdr:col>9</xdr:col>
      <xdr:colOff>885190</xdr:colOff>
      <xdr:row>3001</xdr:row>
      <xdr:rowOff>1209040</xdr:rowOff>
    </xdr:to>
    <xdr:pic>
      <xdr:nvPicPr>
        <xdr:cNvPr id="7514" name="Изображение 7513" descr="resizeПП-00248274"/>
        <xdr:cNvPicPr>
          <a:picLocks noChangeAspect="1"/>
        </xdr:cNvPicPr>
      </xdr:nvPicPr>
      <xdr:blipFill>
        <a:blip xmlns:r="http://schemas.openxmlformats.org/officeDocument/2006/relationships" r:embed="rId2232"/>
        <a:stretch>
          <a:fillRect/>
        </a:stretch>
      </xdr:blipFill>
      <xdr:spPr>
        <a:xfrm>
          <a:off x="7235825" y="2928791450"/>
          <a:ext cx="878840" cy="1183640"/>
        </a:xfrm>
        <a:prstGeom prst="rect">
          <a:avLst/>
        </a:prstGeom>
      </xdr:spPr>
    </xdr:pic>
    <xdr:clientData/>
  </xdr:twoCellAnchor>
  <xdr:twoCellAnchor>
    <xdr:from>
      <xdr:col>9</xdr:col>
      <xdr:colOff>6350</xdr:colOff>
      <xdr:row>3002</xdr:row>
      <xdr:rowOff>25400</xdr:rowOff>
    </xdr:from>
    <xdr:to>
      <xdr:col>9</xdr:col>
      <xdr:colOff>885190</xdr:colOff>
      <xdr:row>3002</xdr:row>
      <xdr:rowOff>1209040</xdr:rowOff>
    </xdr:to>
    <xdr:pic>
      <xdr:nvPicPr>
        <xdr:cNvPr id="7515" name="Изображение 7514" descr="resizeПП-00248272"/>
        <xdr:cNvPicPr>
          <a:picLocks noChangeAspect="1"/>
        </xdr:cNvPicPr>
      </xdr:nvPicPr>
      <xdr:blipFill>
        <a:blip xmlns:r="http://schemas.openxmlformats.org/officeDocument/2006/relationships" r:embed="rId2233"/>
        <a:stretch>
          <a:fillRect/>
        </a:stretch>
      </xdr:blipFill>
      <xdr:spPr>
        <a:xfrm>
          <a:off x="7235825" y="2930013825"/>
          <a:ext cx="878840" cy="1183640"/>
        </a:xfrm>
        <a:prstGeom prst="rect">
          <a:avLst/>
        </a:prstGeom>
      </xdr:spPr>
    </xdr:pic>
    <xdr:clientData/>
  </xdr:twoCellAnchor>
  <xdr:twoCellAnchor>
    <xdr:from>
      <xdr:col>9</xdr:col>
      <xdr:colOff>6350</xdr:colOff>
      <xdr:row>3003</xdr:row>
      <xdr:rowOff>25400</xdr:rowOff>
    </xdr:from>
    <xdr:to>
      <xdr:col>9</xdr:col>
      <xdr:colOff>885190</xdr:colOff>
      <xdr:row>3003</xdr:row>
      <xdr:rowOff>1209040</xdr:rowOff>
    </xdr:to>
    <xdr:pic>
      <xdr:nvPicPr>
        <xdr:cNvPr id="7516" name="Изображение 7515" descr="resizeПП-00248265"/>
        <xdr:cNvPicPr>
          <a:picLocks noChangeAspect="1"/>
        </xdr:cNvPicPr>
      </xdr:nvPicPr>
      <xdr:blipFill>
        <a:blip xmlns:r="http://schemas.openxmlformats.org/officeDocument/2006/relationships" r:embed="rId2234"/>
        <a:stretch>
          <a:fillRect/>
        </a:stretch>
      </xdr:blipFill>
      <xdr:spPr>
        <a:xfrm>
          <a:off x="7235825" y="2931236200"/>
          <a:ext cx="878840" cy="1183640"/>
        </a:xfrm>
        <a:prstGeom prst="rect">
          <a:avLst/>
        </a:prstGeom>
      </xdr:spPr>
    </xdr:pic>
    <xdr:clientData/>
  </xdr:twoCellAnchor>
  <xdr:twoCellAnchor>
    <xdr:from>
      <xdr:col>9</xdr:col>
      <xdr:colOff>6350</xdr:colOff>
      <xdr:row>3004</xdr:row>
      <xdr:rowOff>25400</xdr:rowOff>
    </xdr:from>
    <xdr:to>
      <xdr:col>9</xdr:col>
      <xdr:colOff>885190</xdr:colOff>
      <xdr:row>3004</xdr:row>
      <xdr:rowOff>1209040</xdr:rowOff>
    </xdr:to>
    <xdr:pic>
      <xdr:nvPicPr>
        <xdr:cNvPr id="7517" name="Изображение 7516" descr="resizeПП-00248278"/>
        <xdr:cNvPicPr>
          <a:picLocks noChangeAspect="1"/>
        </xdr:cNvPicPr>
      </xdr:nvPicPr>
      <xdr:blipFill>
        <a:blip xmlns:r="http://schemas.openxmlformats.org/officeDocument/2006/relationships" r:embed="rId2235"/>
        <a:stretch>
          <a:fillRect/>
        </a:stretch>
      </xdr:blipFill>
      <xdr:spPr>
        <a:xfrm>
          <a:off x="7235825" y="2932458575"/>
          <a:ext cx="878840" cy="1183640"/>
        </a:xfrm>
        <a:prstGeom prst="rect">
          <a:avLst/>
        </a:prstGeom>
      </xdr:spPr>
    </xdr:pic>
    <xdr:clientData/>
  </xdr:twoCellAnchor>
  <xdr:twoCellAnchor>
    <xdr:from>
      <xdr:col>9</xdr:col>
      <xdr:colOff>6350</xdr:colOff>
      <xdr:row>3006</xdr:row>
      <xdr:rowOff>25400</xdr:rowOff>
    </xdr:from>
    <xdr:to>
      <xdr:col>9</xdr:col>
      <xdr:colOff>885190</xdr:colOff>
      <xdr:row>3006</xdr:row>
      <xdr:rowOff>1209040</xdr:rowOff>
    </xdr:to>
    <xdr:pic>
      <xdr:nvPicPr>
        <xdr:cNvPr id="7518" name="Изображение 7517" descr="resizeПП-00237251"/>
        <xdr:cNvPicPr>
          <a:picLocks noChangeAspect="1"/>
        </xdr:cNvPicPr>
      </xdr:nvPicPr>
      <xdr:blipFill>
        <a:blip xmlns:r="http://schemas.openxmlformats.org/officeDocument/2006/relationships" r:embed="rId2236"/>
        <a:stretch>
          <a:fillRect/>
        </a:stretch>
      </xdr:blipFill>
      <xdr:spPr>
        <a:xfrm>
          <a:off x="7235825" y="2933833350"/>
          <a:ext cx="878840" cy="1183640"/>
        </a:xfrm>
        <a:prstGeom prst="rect">
          <a:avLst/>
        </a:prstGeom>
      </xdr:spPr>
    </xdr:pic>
    <xdr:clientData/>
  </xdr:twoCellAnchor>
  <xdr:twoCellAnchor>
    <xdr:from>
      <xdr:col>9</xdr:col>
      <xdr:colOff>6350</xdr:colOff>
      <xdr:row>3007</xdr:row>
      <xdr:rowOff>25400</xdr:rowOff>
    </xdr:from>
    <xdr:to>
      <xdr:col>9</xdr:col>
      <xdr:colOff>885190</xdr:colOff>
      <xdr:row>3007</xdr:row>
      <xdr:rowOff>1209040</xdr:rowOff>
    </xdr:to>
    <xdr:pic>
      <xdr:nvPicPr>
        <xdr:cNvPr id="7519" name="Изображение 7518" descr="resizeПП-00237255"/>
        <xdr:cNvPicPr>
          <a:picLocks noChangeAspect="1"/>
        </xdr:cNvPicPr>
      </xdr:nvPicPr>
      <xdr:blipFill>
        <a:blip xmlns:r="http://schemas.openxmlformats.org/officeDocument/2006/relationships" r:embed="rId2237"/>
        <a:stretch>
          <a:fillRect/>
        </a:stretch>
      </xdr:blipFill>
      <xdr:spPr>
        <a:xfrm>
          <a:off x="7235825" y="2935055725"/>
          <a:ext cx="878840" cy="1183640"/>
        </a:xfrm>
        <a:prstGeom prst="rect">
          <a:avLst/>
        </a:prstGeom>
      </xdr:spPr>
    </xdr:pic>
    <xdr:clientData/>
  </xdr:twoCellAnchor>
  <xdr:twoCellAnchor>
    <xdr:from>
      <xdr:col>9</xdr:col>
      <xdr:colOff>6350</xdr:colOff>
      <xdr:row>3009</xdr:row>
      <xdr:rowOff>25400</xdr:rowOff>
    </xdr:from>
    <xdr:to>
      <xdr:col>9</xdr:col>
      <xdr:colOff>885190</xdr:colOff>
      <xdr:row>3009</xdr:row>
      <xdr:rowOff>1209040</xdr:rowOff>
    </xdr:to>
    <xdr:pic>
      <xdr:nvPicPr>
        <xdr:cNvPr id="7520" name="Изображение 7519" descr="resizeПП-00257333"/>
        <xdr:cNvPicPr>
          <a:picLocks noChangeAspect="1"/>
        </xdr:cNvPicPr>
      </xdr:nvPicPr>
      <xdr:blipFill>
        <a:blip xmlns:r="http://schemas.openxmlformats.org/officeDocument/2006/relationships" r:embed="rId2238"/>
        <a:stretch>
          <a:fillRect/>
        </a:stretch>
      </xdr:blipFill>
      <xdr:spPr>
        <a:xfrm>
          <a:off x="7235825" y="2936430500"/>
          <a:ext cx="878840" cy="1183640"/>
        </a:xfrm>
        <a:prstGeom prst="rect">
          <a:avLst/>
        </a:prstGeom>
      </xdr:spPr>
    </xdr:pic>
    <xdr:clientData/>
  </xdr:twoCellAnchor>
  <xdr:twoCellAnchor>
    <xdr:from>
      <xdr:col>9</xdr:col>
      <xdr:colOff>6350</xdr:colOff>
      <xdr:row>3011</xdr:row>
      <xdr:rowOff>25400</xdr:rowOff>
    </xdr:from>
    <xdr:to>
      <xdr:col>9</xdr:col>
      <xdr:colOff>885190</xdr:colOff>
      <xdr:row>3011</xdr:row>
      <xdr:rowOff>1209040</xdr:rowOff>
    </xdr:to>
    <xdr:pic>
      <xdr:nvPicPr>
        <xdr:cNvPr id="7521" name="Изображение 7520" descr="resizeПП-00257336"/>
        <xdr:cNvPicPr>
          <a:picLocks noChangeAspect="1"/>
        </xdr:cNvPicPr>
      </xdr:nvPicPr>
      <xdr:blipFill>
        <a:blip xmlns:r="http://schemas.openxmlformats.org/officeDocument/2006/relationships" r:embed="rId2239"/>
        <a:stretch>
          <a:fillRect/>
        </a:stretch>
      </xdr:blipFill>
      <xdr:spPr>
        <a:xfrm>
          <a:off x="7235825" y="2937805275"/>
          <a:ext cx="878840" cy="1183640"/>
        </a:xfrm>
        <a:prstGeom prst="rect">
          <a:avLst/>
        </a:prstGeom>
      </xdr:spPr>
    </xdr:pic>
    <xdr:clientData/>
  </xdr:twoCellAnchor>
  <xdr:twoCellAnchor>
    <xdr:from>
      <xdr:col>9</xdr:col>
      <xdr:colOff>6350</xdr:colOff>
      <xdr:row>3014</xdr:row>
      <xdr:rowOff>25400</xdr:rowOff>
    </xdr:from>
    <xdr:to>
      <xdr:col>9</xdr:col>
      <xdr:colOff>885190</xdr:colOff>
      <xdr:row>3014</xdr:row>
      <xdr:rowOff>1209040</xdr:rowOff>
    </xdr:to>
    <xdr:pic>
      <xdr:nvPicPr>
        <xdr:cNvPr id="7522" name="Изображение 7521" descr="resizeПП-00223712"/>
        <xdr:cNvPicPr>
          <a:picLocks noChangeAspect="1"/>
        </xdr:cNvPicPr>
      </xdr:nvPicPr>
      <xdr:blipFill>
        <a:blip xmlns:r="http://schemas.openxmlformats.org/officeDocument/2006/relationships" r:embed="rId2240"/>
        <a:stretch>
          <a:fillRect/>
        </a:stretch>
      </xdr:blipFill>
      <xdr:spPr>
        <a:xfrm>
          <a:off x="7235825" y="2939332450"/>
          <a:ext cx="878840" cy="1183640"/>
        </a:xfrm>
        <a:prstGeom prst="rect">
          <a:avLst/>
        </a:prstGeom>
      </xdr:spPr>
    </xdr:pic>
    <xdr:clientData/>
  </xdr:twoCellAnchor>
  <xdr:twoCellAnchor>
    <xdr:from>
      <xdr:col>9</xdr:col>
      <xdr:colOff>6350</xdr:colOff>
      <xdr:row>3017</xdr:row>
      <xdr:rowOff>25400</xdr:rowOff>
    </xdr:from>
    <xdr:to>
      <xdr:col>9</xdr:col>
      <xdr:colOff>885190</xdr:colOff>
      <xdr:row>3017</xdr:row>
      <xdr:rowOff>1209040</xdr:rowOff>
    </xdr:to>
    <xdr:pic>
      <xdr:nvPicPr>
        <xdr:cNvPr id="7523" name="Изображение 7522" descr="resizeПП-00194981"/>
        <xdr:cNvPicPr>
          <a:picLocks noChangeAspect="1"/>
        </xdr:cNvPicPr>
      </xdr:nvPicPr>
      <xdr:blipFill>
        <a:blip xmlns:r="http://schemas.openxmlformats.org/officeDocument/2006/relationships" r:embed="rId2241"/>
        <a:stretch>
          <a:fillRect/>
        </a:stretch>
      </xdr:blipFill>
      <xdr:spPr>
        <a:xfrm>
          <a:off x="7235825" y="2940859625"/>
          <a:ext cx="878840" cy="1183640"/>
        </a:xfrm>
        <a:prstGeom prst="rect">
          <a:avLst/>
        </a:prstGeom>
      </xdr:spPr>
    </xdr:pic>
    <xdr:clientData/>
  </xdr:twoCellAnchor>
  <xdr:twoCellAnchor>
    <xdr:from>
      <xdr:col>9</xdr:col>
      <xdr:colOff>6350</xdr:colOff>
      <xdr:row>3018</xdr:row>
      <xdr:rowOff>25400</xdr:rowOff>
    </xdr:from>
    <xdr:to>
      <xdr:col>9</xdr:col>
      <xdr:colOff>885190</xdr:colOff>
      <xdr:row>3018</xdr:row>
      <xdr:rowOff>1209040</xdr:rowOff>
    </xdr:to>
    <xdr:pic>
      <xdr:nvPicPr>
        <xdr:cNvPr id="7524" name="Изображение 7523" descr="resizeПП-00194980"/>
        <xdr:cNvPicPr>
          <a:picLocks noChangeAspect="1"/>
        </xdr:cNvPicPr>
      </xdr:nvPicPr>
      <xdr:blipFill>
        <a:blip xmlns:r="http://schemas.openxmlformats.org/officeDocument/2006/relationships" r:embed="rId2242"/>
        <a:stretch>
          <a:fillRect/>
        </a:stretch>
      </xdr:blipFill>
      <xdr:spPr>
        <a:xfrm>
          <a:off x="7235825" y="2942082000"/>
          <a:ext cx="878840" cy="1183640"/>
        </a:xfrm>
        <a:prstGeom prst="rect">
          <a:avLst/>
        </a:prstGeom>
      </xdr:spPr>
    </xdr:pic>
    <xdr:clientData/>
  </xdr:twoCellAnchor>
  <xdr:twoCellAnchor>
    <xdr:from>
      <xdr:col>9</xdr:col>
      <xdr:colOff>6350</xdr:colOff>
      <xdr:row>3019</xdr:row>
      <xdr:rowOff>25400</xdr:rowOff>
    </xdr:from>
    <xdr:to>
      <xdr:col>9</xdr:col>
      <xdr:colOff>885190</xdr:colOff>
      <xdr:row>3019</xdr:row>
      <xdr:rowOff>1209040</xdr:rowOff>
    </xdr:to>
    <xdr:pic>
      <xdr:nvPicPr>
        <xdr:cNvPr id="7525" name="Изображение 7524" descr="resizeПП-00160370"/>
        <xdr:cNvPicPr>
          <a:picLocks noChangeAspect="1"/>
        </xdr:cNvPicPr>
      </xdr:nvPicPr>
      <xdr:blipFill>
        <a:blip xmlns:r="http://schemas.openxmlformats.org/officeDocument/2006/relationships" r:embed="rId2243"/>
        <a:stretch>
          <a:fillRect/>
        </a:stretch>
      </xdr:blipFill>
      <xdr:spPr>
        <a:xfrm>
          <a:off x="7235825" y="2943304375"/>
          <a:ext cx="878840" cy="1183640"/>
        </a:xfrm>
        <a:prstGeom prst="rect">
          <a:avLst/>
        </a:prstGeom>
      </xdr:spPr>
    </xdr:pic>
    <xdr:clientData/>
  </xdr:twoCellAnchor>
  <xdr:twoCellAnchor>
    <xdr:from>
      <xdr:col>9</xdr:col>
      <xdr:colOff>6350</xdr:colOff>
      <xdr:row>3020</xdr:row>
      <xdr:rowOff>25400</xdr:rowOff>
    </xdr:from>
    <xdr:to>
      <xdr:col>9</xdr:col>
      <xdr:colOff>885190</xdr:colOff>
      <xdr:row>3020</xdr:row>
      <xdr:rowOff>1209040</xdr:rowOff>
    </xdr:to>
    <xdr:pic>
      <xdr:nvPicPr>
        <xdr:cNvPr id="7526" name="Изображение 7525" descr="resizeПП-00160373"/>
        <xdr:cNvPicPr>
          <a:picLocks noChangeAspect="1"/>
        </xdr:cNvPicPr>
      </xdr:nvPicPr>
      <xdr:blipFill>
        <a:blip xmlns:r="http://schemas.openxmlformats.org/officeDocument/2006/relationships" r:embed="rId2244"/>
        <a:stretch>
          <a:fillRect/>
        </a:stretch>
      </xdr:blipFill>
      <xdr:spPr>
        <a:xfrm>
          <a:off x="7235825" y="2944526750"/>
          <a:ext cx="878840" cy="1183640"/>
        </a:xfrm>
        <a:prstGeom prst="rect">
          <a:avLst/>
        </a:prstGeom>
      </xdr:spPr>
    </xdr:pic>
    <xdr:clientData/>
  </xdr:twoCellAnchor>
  <xdr:twoCellAnchor>
    <xdr:from>
      <xdr:col>9</xdr:col>
      <xdr:colOff>6350</xdr:colOff>
      <xdr:row>3021</xdr:row>
      <xdr:rowOff>25400</xdr:rowOff>
    </xdr:from>
    <xdr:to>
      <xdr:col>9</xdr:col>
      <xdr:colOff>885190</xdr:colOff>
      <xdr:row>3021</xdr:row>
      <xdr:rowOff>1209040</xdr:rowOff>
    </xdr:to>
    <xdr:pic>
      <xdr:nvPicPr>
        <xdr:cNvPr id="7527" name="Изображение 7526" descr="resizeПП-00225827"/>
        <xdr:cNvPicPr>
          <a:picLocks noChangeAspect="1"/>
        </xdr:cNvPicPr>
      </xdr:nvPicPr>
      <xdr:blipFill>
        <a:blip xmlns:r="http://schemas.openxmlformats.org/officeDocument/2006/relationships" r:embed="rId2245"/>
        <a:stretch>
          <a:fillRect/>
        </a:stretch>
      </xdr:blipFill>
      <xdr:spPr>
        <a:xfrm>
          <a:off x="7235825" y="2945749125"/>
          <a:ext cx="878840" cy="1183640"/>
        </a:xfrm>
        <a:prstGeom prst="rect">
          <a:avLst/>
        </a:prstGeom>
      </xdr:spPr>
    </xdr:pic>
    <xdr:clientData/>
  </xdr:twoCellAnchor>
  <xdr:twoCellAnchor>
    <xdr:from>
      <xdr:col>9</xdr:col>
      <xdr:colOff>6350</xdr:colOff>
      <xdr:row>3022</xdr:row>
      <xdr:rowOff>25400</xdr:rowOff>
    </xdr:from>
    <xdr:to>
      <xdr:col>9</xdr:col>
      <xdr:colOff>885190</xdr:colOff>
      <xdr:row>3022</xdr:row>
      <xdr:rowOff>1209040</xdr:rowOff>
    </xdr:to>
    <xdr:pic>
      <xdr:nvPicPr>
        <xdr:cNvPr id="7528" name="Изображение 7527" descr="resizeПП-00240457"/>
        <xdr:cNvPicPr>
          <a:picLocks noChangeAspect="1"/>
        </xdr:cNvPicPr>
      </xdr:nvPicPr>
      <xdr:blipFill>
        <a:blip xmlns:r="http://schemas.openxmlformats.org/officeDocument/2006/relationships" r:embed="rId2246"/>
        <a:stretch>
          <a:fillRect/>
        </a:stretch>
      </xdr:blipFill>
      <xdr:spPr>
        <a:xfrm>
          <a:off x="7235825" y="2946971500"/>
          <a:ext cx="878840" cy="1183640"/>
        </a:xfrm>
        <a:prstGeom prst="rect">
          <a:avLst/>
        </a:prstGeom>
      </xdr:spPr>
    </xdr:pic>
    <xdr:clientData/>
  </xdr:twoCellAnchor>
  <xdr:twoCellAnchor>
    <xdr:from>
      <xdr:col>9</xdr:col>
      <xdr:colOff>6350</xdr:colOff>
      <xdr:row>3023</xdr:row>
      <xdr:rowOff>25400</xdr:rowOff>
    </xdr:from>
    <xdr:to>
      <xdr:col>9</xdr:col>
      <xdr:colOff>885190</xdr:colOff>
      <xdr:row>3023</xdr:row>
      <xdr:rowOff>1209040</xdr:rowOff>
    </xdr:to>
    <xdr:pic>
      <xdr:nvPicPr>
        <xdr:cNvPr id="7529" name="Изображение 7528" descr="resizeПП-00219150"/>
        <xdr:cNvPicPr>
          <a:picLocks noChangeAspect="1"/>
        </xdr:cNvPicPr>
      </xdr:nvPicPr>
      <xdr:blipFill>
        <a:blip xmlns:r="http://schemas.openxmlformats.org/officeDocument/2006/relationships" r:embed="rId2247"/>
        <a:stretch>
          <a:fillRect/>
        </a:stretch>
      </xdr:blipFill>
      <xdr:spPr>
        <a:xfrm>
          <a:off x="7235825" y="2948193875"/>
          <a:ext cx="878840" cy="1183640"/>
        </a:xfrm>
        <a:prstGeom prst="rect">
          <a:avLst/>
        </a:prstGeom>
      </xdr:spPr>
    </xdr:pic>
    <xdr:clientData/>
  </xdr:twoCellAnchor>
  <xdr:twoCellAnchor>
    <xdr:from>
      <xdr:col>9</xdr:col>
      <xdr:colOff>6350</xdr:colOff>
      <xdr:row>3024</xdr:row>
      <xdr:rowOff>25400</xdr:rowOff>
    </xdr:from>
    <xdr:to>
      <xdr:col>9</xdr:col>
      <xdr:colOff>885190</xdr:colOff>
      <xdr:row>3024</xdr:row>
      <xdr:rowOff>1209040</xdr:rowOff>
    </xdr:to>
    <xdr:pic>
      <xdr:nvPicPr>
        <xdr:cNvPr id="7530" name="Изображение 7529" descr="resizeПП-00195136"/>
        <xdr:cNvPicPr>
          <a:picLocks noChangeAspect="1"/>
        </xdr:cNvPicPr>
      </xdr:nvPicPr>
      <xdr:blipFill>
        <a:blip xmlns:r="http://schemas.openxmlformats.org/officeDocument/2006/relationships" r:embed="rId2248"/>
        <a:stretch>
          <a:fillRect/>
        </a:stretch>
      </xdr:blipFill>
      <xdr:spPr>
        <a:xfrm>
          <a:off x="7235825" y="2949416250"/>
          <a:ext cx="878840" cy="1183640"/>
        </a:xfrm>
        <a:prstGeom prst="rect">
          <a:avLst/>
        </a:prstGeom>
      </xdr:spPr>
    </xdr:pic>
    <xdr:clientData/>
  </xdr:twoCellAnchor>
  <xdr:twoCellAnchor>
    <xdr:from>
      <xdr:col>9</xdr:col>
      <xdr:colOff>6350</xdr:colOff>
      <xdr:row>3026</xdr:row>
      <xdr:rowOff>25400</xdr:rowOff>
    </xdr:from>
    <xdr:to>
      <xdr:col>9</xdr:col>
      <xdr:colOff>885190</xdr:colOff>
      <xdr:row>3026</xdr:row>
      <xdr:rowOff>1209040</xdr:rowOff>
    </xdr:to>
    <xdr:pic>
      <xdr:nvPicPr>
        <xdr:cNvPr id="7531" name="Изображение 7530" descr="resizeПП-00257808"/>
        <xdr:cNvPicPr>
          <a:picLocks noChangeAspect="1"/>
        </xdr:cNvPicPr>
      </xdr:nvPicPr>
      <xdr:blipFill>
        <a:blip xmlns:r="http://schemas.openxmlformats.org/officeDocument/2006/relationships" r:embed="rId2249"/>
        <a:stretch>
          <a:fillRect/>
        </a:stretch>
      </xdr:blipFill>
      <xdr:spPr>
        <a:xfrm>
          <a:off x="7235825" y="2950791025"/>
          <a:ext cx="878840" cy="1183640"/>
        </a:xfrm>
        <a:prstGeom prst="rect">
          <a:avLst/>
        </a:prstGeom>
      </xdr:spPr>
    </xdr:pic>
    <xdr:clientData/>
  </xdr:twoCellAnchor>
  <xdr:twoCellAnchor>
    <xdr:from>
      <xdr:col>9</xdr:col>
      <xdr:colOff>6350</xdr:colOff>
      <xdr:row>3027</xdr:row>
      <xdr:rowOff>25400</xdr:rowOff>
    </xdr:from>
    <xdr:to>
      <xdr:col>9</xdr:col>
      <xdr:colOff>885190</xdr:colOff>
      <xdr:row>3027</xdr:row>
      <xdr:rowOff>1209040</xdr:rowOff>
    </xdr:to>
    <xdr:pic>
      <xdr:nvPicPr>
        <xdr:cNvPr id="7532" name="Изображение 7531" descr="resizeПП-00257792"/>
        <xdr:cNvPicPr>
          <a:picLocks noChangeAspect="1"/>
        </xdr:cNvPicPr>
      </xdr:nvPicPr>
      <xdr:blipFill>
        <a:blip xmlns:r="http://schemas.openxmlformats.org/officeDocument/2006/relationships" r:embed="rId2250"/>
        <a:stretch>
          <a:fillRect/>
        </a:stretch>
      </xdr:blipFill>
      <xdr:spPr>
        <a:xfrm>
          <a:off x="7235825" y="2952013400"/>
          <a:ext cx="878840" cy="1183640"/>
        </a:xfrm>
        <a:prstGeom prst="rect">
          <a:avLst/>
        </a:prstGeom>
      </xdr:spPr>
    </xdr:pic>
    <xdr:clientData/>
  </xdr:twoCellAnchor>
  <xdr:twoCellAnchor>
    <xdr:from>
      <xdr:col>9</xdr:col>
      <xdr:colOff>6350</xdr:colOff>
      <xdr:row>3028</xdr:row>
      <xdr:rowOff>25400</xdr:rowOff>
    </xdr:from>
    <xdr:to>
      <xdr:col>9</xdr:col>
      <xdr:colOff>885190</xdr:colOff>
      <xdr:row>3028</xdr:row>
      <xdr:rowOff>1209040</xdr:rowOff>
    </xdr:to>
    <xdr:pic>
      <xdr:nvPicPr>
        <xdr:cNvPr id="7533" name="Изображение 7532" descr="resizeПП-00257804"/>
        <xdr:cNvPicPr>
          <a:picLocks noChangeAspect="1"/>
        </xdr:cNvPicPr>
      </xdr:nvPicPr>
      <xdr:blipFill>
        <a:blip xmlns:r="http://schemas.openxmlformats.org/officeDocument/2006/relationships" r:embed="rId2251"/>
        <a:stretch>
          <a:fillRect/>
        </a:stretch>
      </xdr:blipFill>
      <xdr:spPr>
        <a:xfrm>
          <a:off x="7235825" y="2953235775"/>
          <a:ext cx="878840" cy="1183640"/>
        </a:xfrm>
        <a:prstGeom prst="rect">
          <a:avLst/>
        </a:prstGeom>
      </xdr:spPr>
    </xdr:pic>
    <xdr:clientData/>
  </xdr:twoCellAnchor>
  <xdr:twoCellAnchor>
    <xdr:from>
      <xdr:col>9</xdr:col>
      <xdr:colOff>6350</xdr:colOff>
      <xdr:row>3029</xdr:row>
      <xdr:rowOff>25400</xdr:rowOff>
    </xdr:from>
    <xdr:to>
      <xdr:col>9</xdr:col>
      <xdr:colOff>885190</xdr:colOff>
      <xdr:row>3029</xdr:row>
      <xdr:rowOff>1209040</xdr:rowOff>
    </xdr:to>
    <xdr:pic>
      <xdr:nvPicPr>
        <xdr:cNvPr id="7534" name="Изображение 7533" descr="resizeПП-00257809"/>
        <xdr:cNvPicPr>
          <a:picLocks noChangeAspect="1"/>
        </xdr:cNvPicPr>
      </xdr:nvPicPr>
      <xdr:blipFill>
        <a:blip xmlns:r="http://schemas.openxmlformats.org/officeDocument/2006/relationships" r:embed="rId2252"/>
        <a:stretch>
          <a:fillRect/>
        </a:stretch>
      </xdr:blipFill>
      <xdr:spPr>
        <a:xfrm>
          <a:off x="7235825" y="2954458150"/>
          <a:ext cx="878840" cy="1183640"/>
        </a:xfrm>
        <a:prstGeom prst="rect">
          <a:avLst/>
        </a:prstGeom>
      </xdr:spPr>
    </xdr:pic>
    <xdr:clientData/>
  </xdr:twoCellAnchor>
  <xdr:twoCellAnchor>
    <xdr:from>
      <xdr:col>9</xdr:col>
      <xdr:colOff>6350</xdr:colOff>
      <xdr:row>3030</xdr:row>
      <xdr:rowOff>25400</xdr:rowOff>
    </xdr:from>
    <xdr:to>
      <xdr:col>9</xdr:col>
      <xdr:colOff>885190</xdr:colOff>
      <xdr:row>3030</xdr:row>
      <xdr:rowOff>1209040</xdr:rowOff>
    </xdr:to>
    <xdr:pic>
      <xdr:nvPicPr>
        <xdr:cNvPr id="7535" name="Изображение 7534" descr="resizeПП-00257816"/>
        <xdr:cNvPicPr>
          <a:picLocks noChangeAspect="1"/>
        </xdr:cNvPicPr>
      </xdr:nvPicPr>
      <xdr:blipFill>
        <a:blip xmlns:r="http://schemas.openxmlformats.org/officeDocument/2006/relationships" r:embed="rId2253"/>
        <a:stretch>
          <a:fillRect/>
        </a:stretch>
      </xdr:blipFill>
      <xdr:spPr>
        <a:xfrm>
          <a:off x="7235825" y="2955680525"/>
          <a:ext cx="878840" cy="1183640"/>
        </a:xfrm>
        <a:prstGeom prst="rect">
          <a:avLst/>
        </a:prstGeom>
      </xdr:spPr>
    </xdr:pic>
    <xdr:clientData/>
  </xdr:twoCellAnchor>
  <xdr:twoCellAnchor>
    <xdr:from>
      <xdr:col>9</xdr:col>
      <xdr:colOff>6350</xdr:colOff>
      <xdr:row>3031</xdr:row>
      <xdr:rowOff>25400</xdr:rowOff>
    </xdr:from>
    <xdr:to>
      <xdr:col>9</xdr:col>
      <xdr:colOff>885190</xdr:colOff>
      <xdr:row>3031</xdr:row>
      <xdr:rowOff>1209040</xdr:rowOff>
    </xdr:to>
    <xdr:pic>
      <xdr:nvPicPr>
        <xdr:cNvPr id="7536" name="Изображение 7535" descr="resizeПП-00257807"/>
        <xdr:cNvPicPr>
          <a:picLocks noChangeAspect="1"/>
        </xdr:cNvPicPr>
      </xdr:nvPicPr>
      <xdr:blipFill>
        <a:blip xmlns:r="http://schemas.openxmlformats.org/officeDocument/2006/relationships" r:embed="rId2254"/>
        <a:stretch>
          <a:fillRect/>
        </a:stretch>
      </xdr:blipFill>
      <xdr:spPr>
        <a:xfrm>
          <a:off x="7235825" y="2956902900"/>
          <a:ext cx="878840" cy="1183640"/>
        </a:xfrm>
        <a:prstGeom prst="rect">
          <a:avLst/>
        </a:prstGeom>
      </xdr:spPr>
    </xdr:pic>
    <xdr:clientData/>
  </xdr:twoCellAnchor>
  <xdr:twoCellAnchor>
    <xdr:from>
      <xdr:col>9</xdr:col>
      <xdr:colOff>6350</xdr:colOff>
      <xdr:row>3032</xdr:row>
      <xdr:rowOff>25400</xdr:rowOff>
    </xdr:from>
    <xdr:to>
      <xdr:col>9</xdr:col>
      <xdr:colOff>885190</xdr:colOff>
      <xdr:row>3032</xdr:row>
      <xdr:rowOff>1209040</xdr:rowOff>
    </xdr:to>
    <xdr:pic>
      <xdr:nvPicPr>
        <xdr:cNvPr id="7537" name="Изображение 7536" descr="resizeПП-00257805"/>
        <xdr:cNvPicPr>
          <a:picLocks noChangeAspect="1"/>
        </xdr:cNvPicPr>
      </xdr:nvPicPr>
      <xdr:blipFill>
        <a:blip xmlns:r="http://schemas.openxmlformats.org/officeDocument/2006/relationships" r:embed="rId2255"/>
        <a:stretch>
          <a:fillRect/>
        </a:stretch>
      </xdr:blipFill>
      <xdr:spPr>
        <a:xfrm>
          <a:off x="7235825" y="2958125275"/>
          <a:ext cx="878840" cy="1183640"/>
        </a:xfrm>
        <a:prstGeom prst="rect">
          <a:avLst/>
        </a:prstGeom>
      </xdr:spPr>
    </xdr:pic>
    <xdr:clientData/>
  </xdr:twoCellAnchor>
  <xdr:twoCellAnchor>
    <xdr:from>
      <xdr:col>9</xdr:col>
      <xdr:colOff>6350</xdr:colOff>
      <xdr:row>3033</xdr:row>
      <xdr:rowOff>25400</xdr:rowOff>
    </xdr:from>
    <xdr:to>
      <xdr:col>9</xdr:col>
      <xdr:colOff>885190</xdr:colOff>
      <xdr:row>3033</xdr:row>
      <xdr:rowOff>1209040</xdr:rowOff>
    </xdr:to>
    <xdr:pic>
      <xdr:nvPicPr>
        <xdr:cNvPr id="7538" name="Изображение 7537" descr="resizeПП-00257817"/>
        <xdr:cNvPicPr>
          <a:picLocks noChangeAspect="1"/>
        </xdr:cNvPicPr>
      </xdr:nvPicPr>
      <xdr:blipFill>
        <a:blip xmlns:r="http://schemas.openxmlformats.org/officeDocument/2006/relationships" r:embed="rId2256"/>
        <a:stretch>
          <a:fillRect/>
        </a:stretch>
      </xdr:blipFill>
      <xdr:spPr>
        <a:xfrm>
          <a:off x="7235825" y="2959347650"/>
          <a:ext cx="878840" cy="1183640"/>
        </a:xfrm>
        <a:prstGeom prst="rect">
          <a:avLst/>
        </a:prstGeom>
      </xdr:spPr>
    </xdr:pic>
    <xdr:clientData/>
  </xdr:twoCellAnchor>
  <xdr:twoCellAnchor>
    <xdr:from>
      <xdr:col>9</xdr:col>
      <xdr:colOff>6350</xdr:colOff>
      <xdr:row>3034</xdr:row>
      <xdr:rowOff>25400</xdr:rowOff>
    </xdr:from>
    <xdr:to>
      <xdr:col>9</xdr:col>
      <xdr:colOff>885190</xdr:colOff>
      <xdr:row>3034</xdr:row>
      <xdr:rowOff>1209040</xdr:rowOff>
    </xdr:to>
    <xdr:pic>
      <xdr:nvPicPr>
        <xdr:cNvPr id="7539" name="Изображение 7538" descr="resizeПП-00257827"/>
        <xdr:cNvPicPr>
          <a:picLocks noChangeAspect="1"/>
        </xdr:cNvPicPr>
      </xdr:nvPicPr>
      <xdr:blipFill>
        <a:blip xmlns:r="http://schemas.openxmlformats.org/officeDocument/2006/relationships" r:embed="rId2257"/>
        <a:stretch>
          <a:fillRect/>
        </a:stretch>
      </xdr:blipFill>
      <xdr:spPr>
        <a:xfrm>
          <a:off x="7235825" y="2960570025"/>
          <a:ext cx="878840" cy="1183640"/>
        </a:xfrm>
        <a:prstGeom prst="rect">
          <a:avLst/>
        </a:prstGeom>
      </xdr:spPr>
    </xdr:pic>
    <xdr:clientData/>
  </xdr:twoCellAnchor>
  <xdr:twoCellAnchor>
    <xdr:from>
      <xdr:col>9</xdr:col>
      <xdr:colOff>6350</xdr:colOff>
      <xdr:row>3035</xdr:row>
      <xdr:rowOff>25400</xdr:rowOff>
    </xdr:from>
    <xdr:to>
      <xdr:col>9</xdr:col>
      <xdr:colOff>885190</xdr:colOff>
      <xdr:row>3035</xdr:row>
      <xdr:rowOff>1209040</xdr:rowOff>
    </xdr:to>
    <xdr:pic>
      <xdr:nvPicPr>
        <xdr:cNvPr id="7540" name="Изображение 7539" descr="resizeПП-00266889"/>
        <xdr:cNvPicPr>
          <a:picLocks noChangeAspect="1"/>
        </xdr:cNvPicPr>
      </xdr:nvPicPr>
      <xdr:blipFill>
        <a:blip xmlns:r="http://schemas.openxmlformats.org/officeDocument/2006/relationships" r:embed="rId2258"/>
        <a:stretch>
          <a:fillRect/>
        </a:stretch>
      </xdr:blipFill>
      <xdr:spPr>
        <a:xfrm>
          <a:off x="7235825" y="2961792400"/>
          <a:ext cx="878840" cy="1183640"/>
        </a:xfrm>
        <a:prstGeom prst="rect">
          <a:avLst/>
        </a:prstGeom>
      </xdr:spPr>
    </xdr:pic>
    <xdr:clientData/>
  </xdr:twoCellAnchor>
  <xdr:twoCellAnchor>
    <xdr:from>
      <xdr:col>9</xdr:col>
      <xdr:colOff>6350</xdr:colOff>
      <xdr:row>3036</xdr:row>
      <xdr:rowOff>25400</xdr:rowOff>
    </xdr:from>
    <xdr:to>
      <xdr:col>9</xdr:col>
      <xdr:colOff>885190</xdr:colOff>
      <xdr:row>3036</xdr:row>
      <xdr:rowOff>1209040</xdr:rowOff>
    </xdr:to>
    <xdr:pic>
      <xdr:nvPicPr>
        <xdr:cNvPr id="7541" name="Изображение 7540" descr="resizeПП-00266888"/>
        <xdr:cNvPicPr>
          <a:picLocks noChangeAspect="1"/>
        </xdr:cNvPicPr>
      </xdr:nvPicPr>
      <xdr:blipFill>
        <a:blip xmlns:r="http://schemas.openxmlformats.org/officeDocument/2006/relationships" r:embed="rId2259"/>
        <a:stretch>
          <a:fillRect/>
        </a:stretch>
      </xdr:blipFill>
      <xdr:spPr>
        <a:xfrm>
          <a:off x="7235825" y="2963014775"/>
          <a:ext cx="878840" cy="1183640"/>
        </a:xfrm>
        <a:prstGeom prst="rect">
          <a:avLst/>
        </a:prstGeom>
      </xdr:spPr>
    </xdr:pic>
    <xdr:clientData/>
  </xdr:twoCellAnchor>
  <xdr:twoCellAnchor>
    <xdr:from>
      <xdr:col>9</xdr:col>
      <xdr:colOff>6350</xdr:colOff>
      <xdr:row>3037</xdr:row>
      <xdr:rowOff>25400</xdr:rowOff>
    </xdr:from>
    <xdr:to>
      <xdr:col>9</xdr:col>
      <xdr:colOff>885190</xdr:colOff>
      <xdr:row>3037</xdr:row>
      <xdr:rowOff>1209040</xdr:rowOff>
    </xdr:to>
    <xdr:pic>
      <xdr:nvPicPr>
        <xdr:cNvPr id="7542" name="Изображение 7541" descr="resizeПП-00257828"/>
        <xdr:cNvPicPr>
          <a:picLocks noChangeAspect="1"/>
        </xdr:cNvPicPr>
      </xdr:nvPicPr>
      <xdr:blipFill>
        <a:blip xmlns:r="http://schemas.openxmlformats.org/officeDocument/2006/relationships" r:embed="rId2260"/>
        <a:stretch>
          <a:fillRect/>
        </a:stretch>
      </xdr:blipFill>
      <xdr:spPr>
        <a:xfrm>
          <a:off x="7235825" y="2964237150"/>
          <a:ext cx="878840" cy="1183640"/>
        </a:xfrm>
        <a:prstGeom prst="rect">
          <a:avLst/>
        </a:prstGeom>
      </xdr:spPr>
    </xdr:pic>
    <xdr:clientData/>
  </xdr:twoCellAnchor>
  <xdr:twoCellAnchor>
    <xdr:from>
      <xdr:col>9</xdr:col>
      <xdr:colOff>6350</xdr:colOff>
      <xdr:row>3038</xdr:row>
      <xdr:rowOff>25400</xdr:rowOff>
    </xdr:from>
    <xdr:to>
      <xdr:col>9</xdr:col>
      <xdr:colOff>885190</xdr:colOff>
      <xdr:row>3038</xdr:row>
      <xdr:rowOff>1209040</xdr:rowOff>
    </xdr:to>
    <xdr:pic>
      <xdr:nvPicPr>
        <xdr:cNvPr id="7543" name="Изображение 7542" descr="resizeПП-00257830"/>
        <xdr:cNvPicPr>
          <a:picLocks noChangeAspect="1"/>
        </xdr:cNvPicPr>
      </xdr:nvPicPr>
      <xdr:blipFill>
        <a:blip xmlns:r="http://schemas.openxmlformats.org/officeDocument/2006/relationships" r:embed="rId2261"/>
        <a:stretch>
          <a:fillRect/>
        </a:stretch>
      </xdr:blipFill>
      <xdr:spPr>
        <a:xfrm>
          <a:off x="7235825" y="2965459525"/>
          <a:ext cx="878840" cy="1183640"/>
        </a:xfrm>
        <a:prstGeom prst="rect">
          <a:avLst/>
        </a:prstGeom>
      </xdr:spPr>
    </xdr:pic>
    <xdr:clientData/>
  </xdr:twoCellAnchor>
  <xdr:twoCellAnchor>
    <xdr:from>
      <xdr:col>9</xdr:col>
      <xdr:colOff>6350</xdr:colOff>
      <xdr:row>3039</xdr:row>
      <xdr:rowOff>25400</xdr:rowOff>
    </xdr:from>
    <xdr:to>
      <xdr:col>9</xdr:col>
      <xdr:colOff>885190</xdr:colOff>
      <xdr:row>3039</xdr:row>
      <xdr:rowOff>1209040</xdr:rowOff>
    </xdr:to>
    <xdr:pic>
      <xdr:nvPicPr>
        <xdr:cNvPr id="7544" name="Изображение 7543" descr="resizeПП-00257829"/>
        <xdr:cNvPicPr>
          <a:picLocks noChangeAspect="1"/>
        </xdr:cNvPicPr>
      </xdr:nvPicPr>
      <xdr:blipFill>
        <a:blip xmlns:r="http://schemas.openxmlformats.org/officeDocument/2006/relationships" r:embed="rId2262"/>
        <a:stretch>
          <a:fillRect/>
        </a:stretch>
      </xdr:blipFill>
      <xdr:spPr>
        <a:xfrm>
          <a:off x="7235825" y="2966681900"/>
          <a:ext cx="878840" cy="1183640"/>
        </a:xfrm>
        <a:prstGeom prst="rect">
          <a:avLst/>
        </a:prstGeom>
      </xdr:spPr>
    </xdr:pic>
    <xdr:clientData/>
  </xdr:twoCellAnchor>
  <xdr:twoCellAnchor>
    <xdr:from>
      <xdr:col>9</xdr:col>
      <xdr:colOff>6350</xdr:colOff>
      <xdr:row>3040</xdr:row>
      <xdr:rowOff>25400</xdr:rowOff>
    </xdr:from>
    <xdr:to>
      <xdr:col>9</xdr:col>
      <xdr:colOff>885190</xdr:colOff>
      <xdr:row>3040</xdr:row>
      <xdr:rowOff>1209040</xdr:rowOff>
    </xdr:to>
    <xdr:pic>
      <xdr:nvPicPr>
        <xdr:cNvPr id="7545" name="Изображение 7544" descr="resizeПП-00257831"/>
        <xdr:cNvPicPr>
          <a:picLocks noChangeAspect="1"/>
        </xdr:cNvPicPr>
      </xdr:nvPicPr>
      <xdr:blipFill>
        <a:blip xmlns:r="http://schemas.openxmlformats.org/officeDocument/2006/relationships" r:embed="rId2263"/>
        <a:stretch>
          <a:fillRect/>
        </a:stretch>
      </xdr:blipFill>
      <xdr:spPr>
        <a:xfrm>
          <a:off x="7235825" y="2967904275"/>
          <a:ext cx="878840" cy="1183640"/>
        </a:xfrm>
        <a:prstGeom prst="rect">
          <a:avLst/>
        </a:prstGeom>
      </xdr:spPr>
    </xdr:pic>
    <xdr:clientData/>
  </xdr:twoCellAnchor>
  <xdr:twoCellAnchor>
    <xdr:from>
      <xdr:col>9</xdr:col>
      <xdr:colOff>6350</xdr:colOff>
      <xdr:row>3041</xdr:row>
      <xdr:rowOff>25400</xdr:rowOff>
    </xdr:from>
    <xdr:to>
      <xdr:col>9</xdr:col>
      <xdr:colOff>885190</xdr:colOff>
      <xdr:row>3041</xdr:row>
      <xdr:rowOff>1209040</xdr:rowOff>
    </xdr:to>
    <xdr:pic>
      <xdr:nvPicPr>
        <xdr:cNvPr id="7546" name="Изображение 7545" descr="resizeПП-00266887"/>
        <xdr:cNvPicPr>
          <a:picLocks noChangeAspect="1"/>
        </xdr:cNvPicPr>
      </xdr:nvPicPr>
      <xdr:blipFill>
        <a:blip xmlns:r="http://schemas.openxmlformats.org/officeDocument/2006/relationships" r:embed="rId2264"/>
        <a:stretch>
          <a:fillRect/>
        </a:stretch>
      </xdr:blipFill>
      <xdr:spPr>
        <a:xfrm>
          <a:off x="7235825" y="2969126650"/>
          <a:ext cx="878840" cy="1183640"/>
        </a:xfrm>
        <a:prstGeom prst="rect">
          <a:avLst/>
        </a:prstGeom>
      </xdr:spPr>
    </xdr:pic>
    <xdr:clientData/>
  </xdr:twoCellAnchor>
  <xdr:twoCellAnchor>
    <xdr:from>
      <xdr:col>9</xdr:col>
      <xdr:colOff>6350</xdr:colOff>
      <xdr:row>3042</xdr:row>
      <xdr:rowOff>25400</xdr:rowOff>
    </xdr:from>
    <xdr:to>
      <xdr:col>9</xdr:col>
      <xdr:colOff>885190</xdr:colOff>
      <xdr:row>3042</xdr:row>
      <xdr:rowOff>1209040</xdr:rowOff>
    </xdr:to>
    <xdr:pic>
      <xdr:nvPicPr>
        <xdr:cNvPr id="7547" name="Изображение 7546" descr="resizeПП-00266890"/>
        <xdr:cNvPicPr>
          <a:picLocks noChangeAspect="1"/>
        </xdr:cNvPicPr>
      </xdr:nvPicPr>
      <xdr:blipFill>
        <a:blip xmlns:r="http://schemas.openxmlformats.org/officeDocument/2006/relationships" r:embed="rId2265"/>
        <a:stretch>
          <a:fillRect/>
        </a:stretch>
      </xdr:blipFill>
      <xdr:spPr>
        <a:xfrm>
          <a:off x="7235825" y="2970349025"/>
          <a:ext cx="878840" cy="1183640"/>
        </a:xfrm>
        <a:prstGeom prst="rect">
          <a:avLst/>
        </a:prstGeom>
      </xdr:spPr>
    </xdr:pic>
    <xdr:clientData/>
  </xdr:twoCellAnchor>
  <xdr:twoCellAnchor>
    <xdr:from>
      <xdr:col>9</xdr:col>
      <xdr:colOff>6350</xdr:colOff>
      <xdr:row>3043</xdr:row>
      <xdr:rowOff>25400</xdr:rowOff>
    </xdr:from>
    <xdr:to>
      <xdr:col>9</xdr:col>
      <xdr:colOff>885190</xdr:colOff>
      <xdr:row>3043</xdr:row>
      <xdr:rowOff>1209040</xdr:rowOff>
    </xdr:to>
    <xdr:pic>
      <xdr:nvPicPr>
        <xdr:cNvPr id="7548" name="Изображение 7547" descr="resizeПП-00233534"/>
        <xdr:cNvPicPr>
          <a:picLocks noChangeAspect="1"/>
        </xdr:cNvPicPr>
      </xdr:nvPicPr>
      <xdr:blipFill>
        <a:blip xmlns:r="http://schemas.openxmlformats.org/officeDocument/2006/relationships" r:embed="rId2266"/>
        <a:stretch>
          <a:fillRect/>
        </a:stretch>
      </xdr:blipFill>
      <xdr:spPr>
        <a:xfrm>
          <a:off x="7235825" y="2971571400"/>
          <a:ext cx="878840" cy="1183640"/>
        </a:xfrm>
        <a:prstGeom prst="rect">
          <a:avLst/>
        </a:prstGeom>
      </xdr:spPr>
    </xdr:pic>
    <xdr:clientData/>
  </xdr:twoCellAnchor>
  <xdr:twoCellAnchor>
    <xdr:from>
      <xdr:col>9</xdr:col>
      <xdr:colOff>6350</xdr:colOff>
      <xdr:row>3045</xdr:row>
      <xdr:rowOff>25400</xdr:rowOff>
    </xdr:from>
    <xdr:to>
      <xdr:col>9</xdr:col>
      <xdr:colOff>885190</xdr:colOff>
      <xdr:row>3045</xdr:row>
      <xdr:rowOff>1209040</xdr:rowOff>
    </xdr:to>
    <xdr:pic>
      <xdr:nvPicPr>
        <xdr:cNvPr id="7549" name="Изображение 7548" descr="resizeПП-00221801"/>
        <xdr:cNvPicPr>
          <a:picLocks noChangeAspect="1"/>
        </xdr:cNvPicPr>
      </xdr:nvPicPr>
      <xdr:blipFill>
        <a:blip xmlns:r="http://schemas.openxmlformats.org/officeDocument/2006/relationships" r:embed="rId2267"/>
        <a:stretch>
          <a:fillRect/>
        </a:stretch>
      </xdr:blipFill>
      <xdr:spPr>
        <a:xfrm>
          <a:off x="7235825" y="2972946175"/>
          <a:ext cx="878840" cy="1183640"/>
        </a:xfrm>
        <a:prstGeom prst="rect">
          <a:avLst/>
        </a:prstGeom>
      </xdr:spPr>
    </xdr:pic>
    <xdr:clientData/>
  </xdr:twoCellAnchor>
  <xdr:twoCellAnchor>
    <xdr:from>
      <xdr:col>9</xdr:col>
      <xdr:colOff>6350</xdr:colOff>
      <xdr:row>3048</xdr:row>
      <xdr:rowOff>25400</xdr:rowOff>
    </xdr:from>
    <xdr:to>
      <xdr:col>9</xdr:col>
      <xdr:colOff>885190</xdr:colOff>
      <xdr:row>3048</xdr:row>
      <xdr:rowOff>1209040</xdr:rowOff>
    </xdr:to>
    <xdr:pic>
      <xdr:nvPicPr>
        <xdr:cNvPr id="7550" name="Изображение 7549" descr="resizeПП-00118951"/>
        <xdr:cNvPicPr>
          <a:picLocks noChangeAspect="1"/>
        </xdr:cNvPicPr>
      </xdr:nvPicPr>
      <xdr:blipFill>
        <a:blip xmlns:r="http://schemas.openxmlformats.org/officeDocument/2006/relationships" r:embed="rId2268"/>
        <a:stretch>
          <a:fillRect/>
        </a:stretch>
      </xdr:blipFill>
      <xdr:spPr>
        <a:xfrm>
          <a:off x="7235825" y="2974473350"/>
          <a:ext cx="878840" cy="1183640"/>
        </a:xfrm>
        <a:prstGeom prst="rect">
          <a:avLst/>
        </a:prstGeom>
      </xdr:spPr>
    </xdr:pic>
    <xdr:clientData/>
  </xdr:twoCellAnchor>
  <xdr:twoCellAnchor>
    <xdr:from>
      <xdr:col>9</xdr:col>
      <xdr:colOff>6350</xdr:colOff>
      <xdr:row>3049</xdr:row>
      <xdr:rowOff>25400</xdr:rowOff>
    </xdr:from>
    <xdr:to>
      <xdr:col>9</xdr:col>
      <xdr:colOff>885190</xdr:colOff>
      <xdr:row>3049</xdr:row>
      <xdr:rowOff>1209040</xdr:rowOff>
    </xdr:to>
    <xdr:pic>
      <xdr:nvPicPr>
        <xdr:cNvPr id="7551" name="Изображение 7550" descr="resizeПП-00118949"/>
        <xdr:cNvPicPr>
          <a:picLocks noChangeAspect="1"/>
        </xdr:cNvPicPr>
      </xdr:nvPicPr>
      <xdr:blipFill>
        <a:blip xmlns:r="http://schemas.openxmlformats.org/officeDocument/2006/relationships" r:embed="rId2269"/>
        <a:stretch>
          <a:fillRect/>
        </a:stretch>
      </xdr:blipFill>
      <xdr:spPr>
        <a:xfrm>
          <a:off x="7235825" y="2975695725"/>
          <a:ext cx="878840" cy="1183640"/>
        </a:xfrm>
        <a:prstGeom prst="rect">
          <a:avLst/>
        </a:prstGeom>
      </xdr:spPr>
    </xdr:pic>
    <xdr:clientData/>
  </xdr:twoCellAnchor>
  <xdr:twoCellAnchor>
    <xdr:from>
      <xdr:col>9</xdr:col>
      <xdr:colOff>6350</xdr:colOff>
      <xdr:row>3051</xdr:row>
      <xdr:rowOff>25400</xdr:rowOff>
    </xdr:from>
    <xdr:to>
      <xdr:col>9</xdr:col>
      <xdr:colOff>885190</xdr:colOff>
      <xdr:row>3051</xdr:row>
      <xdr:rowOff>1209040</xdr:rowOff>
    </xdr:to>
    <xdr:pic>
      <xdr:nvPicPr>
        <xdr:cNvPr id="7552" name="Изображение 7551" descr="resizeПП-00118941"/>
        <xdr:cNvPicPr>
          <a:picLocks noChangeAspect="1"/>
        </xdr:cNvPicPr>
      </xdr:nvPicPr>
      <xdr:blipFill>
        <a:blip xmlns:r="http://schemas.openxmlformats.org/officeDocument/2006/relationships" r:embed="rId2270"/>
        <a:stretch>
          <a:fillRect/>
        </a:stretch>
      </xdr:blipFill>
      <xdr:spPr>
        <a:xfrm>
          <a:off x="7235825" y="2977070500"/>
          <a:ext cx="878840" cy="1183640"/>
        </a:xfrm>
        <a:prstGeom prst="rect">
          <a:avLst/>
        </a:prstGeom>
      </xdr:spPr>
    </xdr:pic>
    <xdr:clientData/>
  </xdr:twoCellAnchor>
  <xdr:twoCellAnchor>
    <xdr:from>
      <xdr:col>9</xdr:col>
      <xdr:colOff>6350</xdr:colOff>
      <xdr:row>3052</xdr:row>
      <xdr:rowOff>25400</xdr:rowOff>
    </xdr:from>
    <xdr:to>
      <xdr:col>9</xdr:col>
      <xdr:colOff>885190</xdr:colOff>
      <xdr:row>3052</xdr:row>
      <xdr:rowOff>1209040</xdr:rowOff>
    </xdr:to>
    <xdr:pic>
      <xdr:nvPicPr>
        <xdr:cNvPr id="7553" name="Изображение 7552" descr="resizeПП-00199908"/>
        <xdr:cNvPicPr>
          <a:picLocks noChangeAspect="1"/>
        </xdr:cNvPicPr>
      </xdr:nvPicPr>
      <xdr:blipFill>
        <a:blip xmlns:r="http://schemas.openxmlformats.org/officeDocument/2006/relationships" r:embed="rId2271"/>
        <a:stretch>
          <a:fillRect/>
        </a:stretch>
      </xdr:blipFill>
      <xdr:spPr>
        <a:xfrm>
          <a:off x="7235825" y="2978292875"/>
          <a:ext cx="878840" cy="1183640"/>
        </a:xfrm>
        <a:prstGeom prst="rect">
          <a:avLst/>
        </a:prstGeom>
      </xdr:spPr>
    </xdr:pic>
    <xdr:clientData/>
  </xdr:twoCellAnchor>
  <xdr:twoCellAnchor>
    <xdr:from>
      <xdr:col>9</xdr:col>
      <xdr:colOff>6350</xdr:colOff>
      <xdr:row>3053</xdr:row>
      <xdr:rowOff>25400</xdr:rowOff>
    </xdr:from>
    <xdr:to>
      <xdr:col>9</xdr:col>
      <xdr:colOff>885190</xdr:colOff>
      <xdr:row>3053</xdr:row>
      <xdr:rowOff>1209040</xdr:rowOff>
    </xdr:to>
    <xdr:pic>
      <xdr:nvPicPr>
        <xdr:cNvPr id="7554" name="Изображение 7553" descr="resizeПП-00199909"/>
        <xdr:cNvPicPr>
          <a:picLocks noChangeAspect="1"/>
        </xdr:cNvPicPr>
      </xdr:nvPicPr>
      <xdr:blipFill>
        <a:blip xmlns:r="http://schemas.openxmlformats.org/officeDocument/2006/relationships" r:embed="rId2272"/>
        <a:stretch>
          <a:fillRect/>
        </a:stretch>
      </xdr:blipFill>
      <xdr:spPr>
        <a:xfrm>
          <a:off x="7235825" y="2979515250"/>
          <a:ext cx="878840" cy="1183640"/>
        </a:xfrm>
        <a:prstGeom prst="rect">
          <a:avLst/>
        </a:prstGeom>
      </xdr:spPr>
    </xdr:pic>
    <xdr:clientData/>
  </xdr:twoCellAnchor>
  <xdr:twoCellAnchor>
    <xdr:from>
      <xdr:col>9</xdr:col>
      <xdr:colOff>6350</xdr:colOff>
      <xdr:row>3054</xdr:row>
      <xdr:rowOff>25400</xdr:rowOff>
    </xdr:from>
    <xdr:to>
      <xdr:col>9</xdr:col>
      <xdr:colOff>885190</xdr:colOff>
      <xdr:row>3054</xdr:row>
      <xdr:rowOff>1209040</xdr:rowOff>
    </xdr:to>
    <xdr:pic>
      <xdr:nvPicPr>
        <xdr:cNvPr id="7555" name="Изображение 7554" descr="resizeПП-00118943"/>
        <xdr:cNvPicPr>
          <a:picLocks noChangeAspect="1"/>
        </xdr:cNvPicPr>
      </xdr:nvPicPr>
      <xdr:blipFill>
        <a:blip xmlns:r="http://schemas.openxmlformats.org/officeDocument/2006/relationships" r:embed="rId2273"/>
        <a:stretch>
          <a:fillRect/>
        </a:stretch>
      </xdr:blipFill>
      <xdr:spPr>
        <a:xfrm>
          <a:off x="7235825" y="2980737625"/>
          <a:ext cx="878840" cy="1183640"/>
        </a:xfrm>
        <a:prstGeom prst="rect">
          <a:avLst/>
        </a:prstGeom>
      </xdr:spPr>
    </xdr:pic>
    <xdr:clientData/>
  </xdr:twoCellAnchor>
  <xdr:twoCellAnchor>
    <xdr:from>
      <xdr:col>9</xdr:col>
      <xdr:colOff>6350</xdr:colOff>
      <xdr:row>3055</xdr:row>
      <xdr:rowOff>25400</xdr:rowOff>
    </xdr:from>
    <xdr:to>
      <xdr:col>9</xdr:col>
      <xdr:colOff>885190</xdr:colOff>
      <xdr:row>3055</xdr:row>
      <xdr:rowOff>1209040</xdr:rowOff>
    </xdr:to>
    <xdr:pic>
      <xdr:nvPicPr>
        <xdr:cNvPr id="7556" name="Изображение 7555" descr="resizeПП-00199910"/>
        <xdr:cNvPicPr>
          <a:picLocks noChangeAspect="1"/>
        </xdr:cNvPicPr>
      </xdr:nvPicPr>
      <xdr:blipFill>
        <a:blip xmlns:r="http://schemas.openxmlformats.org/officeDocument/2006/relationships" r:embed="rId2274"/>
        <a:stretch>
          <a:fillRect/>
        </a:stretch>
      </xdr:blipFill>
      <xdr:spPr>
        <a:xfrm>
          <a:off x="7235825" y="2981960000"/>
          <a:ext cx="878840" cy="1183640"/>
        </a:xfrm>
        <a:prstGeom prst="rect">
          <a:avLst/>
        </a:prstGeom>
      </xdr:spPr>
    </xdr:pic>
    <xdr:clientData/>
  </xdr:twoCellAnchor>
  <xdr:twoCellAnchor>
    <xdr:from>
      <xdr:col>9</xdr:col>
      <xdr:colOff>6350</xdr:colOff>
      <xdr:row>3056</xdr:row>
      <xdr:rowOff>25400</xdr:rowOff>
    </xdr:from>
    <xdr:to>
      <xdr:col>9</xdr:col>
      <xdr:colOff>885190</xdr:colOff>
      <xdr:row>3056</xdr:row>
      <xdr:rowOff>1209040</xdr:rowOff>
    </xdr:to>
    <xdr:pic>
      <xdr:nvPicPr>
        <xdr:cNvPr id="7557" name="Изображение 7556" descr="resizeПП-00199911"/>
        <xdr:cNvPicPr>
          <a:picLocks noChangeAspect="1"/>
        </xdr:cNvPicPr>
      </xdr:nvPicPr>
      <xdr:blipFill>
        <a:blip xmlns:r="http://schemas.openxmlformats.org/officeDocument/2006/relationships" r:embed="rId2274"/>
        <a:stretch>
          <a:fillRect/>
        </a:stretch>
      </xdr:blipFill>
      <xdr:spPr>
        <a:xfrm>
          <a:off x="7235825" y="2983182375"/>
          <a:ext cx="878840" cy="1183640"/>
        </a:xfrm>
        <a:prstGeom prst="rect">
          <a:avLst/>
        </a:prstGeom>
      </xdr:spPr>
    </xdr:pic>
    <xdr:clientData/>
  </xdr:twoCellAnchor>
  <xdr:twoCellAnchor>
    <xdr:from>
      <xdr:col>9</xdr:col>
      <xdr:colOff>6350</xdr:colOff>
      <xdr:row>3057</xdr:row>
      <xdr:rowOff>25400</xdr:rowOff>
    </xdr:from>
    <xdr:to>
      <xdr:col>9</xdr:col>
      <xdr:colOff>885190</xdr:colOff>
      <xdr:row>3057</xdr:row>
      <xdr:rowOff>1209040</xdr:rowOff>
    </xdr:to>
    <xdr:pic>
      <xdr:nvPicPr>
        <xdr:cNvPr id="7558" name="Изображение 7557" descr="resizeПП-00199913"/>
        <xdr:cNvPicPr>
          <a:picLocks noChangeAspect="1"/>
        </xdr:cNvPicPr>
      </xdr:nvPicPr>
      <xdr:blipFill>
        <a:blip xmlns:r="http://schemas.openxmlformats.org/officeDocument/2006/relationships" r:embed="rId2275"/>
        <a:stretch>
          <a:fillRect/>
        </a:stretch>
      </xdr:blipFill>
      <xdr:spPr>
        <a:xfrm>
          <a:off x="7235825" y="2984404750"/>
          <a:ext cx="878840" cy="1183640"/>
        </a:xfrm>
        <a:prstGeom prst="rect">
          <a:avLst/>
        </a:prstGeom>
      </xdr:spPr>
    </xdr:pic>
    <xdr:clientData/>
  </xdr:twoCellAnchor>
  <xdr:twoCellAnchor>
    <xdr:from>
      <xdr:col>9</xdr:col>
      <xdr:colOff>6350</xdr:colOff>
      <xdr:row>3058</xdr:row>
      <xdr:rowOff>25400</xdr:rowOff>
    </xdr:from>
    <xdr:to>
      <xdr:col>9</xdr:col>
      <xdr:colOff>885190</xdr:colOff>
      <xdr:row>3058</xdr:row>
      <xdr:rowOff>1209040</xdr:rowOff>
    </xdr:to>
    <xdr:pic>
      <xdr:nvPicPr>
        <xdr:cNvPr id="7559" name="Изображение 7558" descr="resizeПП-00199914"/>
        <xdr:cNvPicPr>
          <a:picLocks noChangeAspect="1"/>
        </xdr:cNvPicPr>
      </xdr:nvPicPr>
      <xdr:blipFill>
        <a:blip xmlns:r="http://schemas.openxmlformats.org/officeDocument/2006/relationships" r:embed="rId2275"/>
        <a:stretch>
          <a:fillRect/>
        </a:stretch>
      </xdr:blipFill>
      <xdr:spPr>
        <a:xfrm>
          <a:off x="7235825" y="2985627125"/>
          <a:ext cx="878840" cy="1183640"/>
        </a:xfrm>
        <a:prstGeom prst="rect">
          <a:avLst/>
        </a:prstGeom>
      </xdr:spPr>
    </xdr:pic>
    <xdr:clientData/>
  </xdr:twoCellAnchor>
  <xdr:twoCellAnchor>
    <xdr:from>
      <xdr:col>9</xdr:col>
      <xdr:colOff>6350</xdr:colOff>
      <xdr:row>3059</xdr:row>
      <xdr:rowOff>25400</xdr:rowOff>
    </xdr:from>
    <xdr:to>
      <xdr:col>9</xdr:col>
      <xdr:colOff>885190</xdr:colOff>
      <xdr:row>3059</xdr:row>
      <xdr:rowOff>1209040</xdr:rowOff>
    </xdr:to>
    <xdr:pic>
      <xdr:nvPicPr>
        <xdr:cNvPr id="7560" name="Изображение 7559" descr="resizeПП-00118942"/>
        <xdr:cNvPicPr>
          <a:picLocks noChangeAspect="1"/>
        </xdr:cNvPicPr>
      </xdr:nvPicPr>
      <xdr:blipFill>
        <a:blip xmlns:r="http://schemas.openxmlformats.org/officeDocument/2006/relationships" r:embed="rId2276"/>
        <a:stretch>
          <a:fillRect/>
        </a:stretch>
      </xdr:blipFill>
      <xdr:spPr>
        <a:xfrm>
          <a:off x="7235825" y="2986849500"/>
          <a:ext cx="878840" cy="1183640"/>
        </a:xfrm>
        <a:prstGeom prst="rect">
          <a:avLst/>
        </a:prstGeom>
      </xdr:spPr>
    </xdr:pic>
    <xdr:clientData/>
  </xdr:twoCellAnchor>
  <xdr:twoCellAnchor>
    <xdr:from>
      <xdr:col>9</xdr:col>
      <xdr:colOff>6350</xdr:colOff>
      <xdr:row>3061</xdr:row>
      <xdr:rowOff>25400</xdr:rowOff>
    </xdr:from>
    <xdr:to>
      <xdr:col>9</xdr:col>
      <xdr:colOff>885190</xdr:colOff>
      <xdr:row>3061</xdr:row>
      <xdr:rowOff>1209040</xdr:rowOff>
    </xdr:to>
    <xdr:pic>
      <xdr:nvPicPr>
        <xdr:cNvPr id="7561" name="Изображение 7560" descr="resizeПП-00275137"/>
        <xdr:cNvPicPr>
          <a:picLocks noChangeAspect="1"/>
        </xdr:cNvPicPr>
      </xdr:nvPicPr>
      <xdr:blipFill>
        <a:blip xmlns:r="http://schemas.openxmlformats.org/officeDocument/2006/relationships" r:embed="rId2277"/>
        <a:stretch>
          <a:fillRect/>
        </a:stretch>
      </xdr:blipFill>
      <xdr:spPr>
        <a:xfrm>
          <a:off x="7235825" y="2988224275"/>
          <a:ext cx="878840" cy="1183640"/>
        </a:xfrm>
        <a:prstGeom prst="rect">
          <a:avLst/>
        </a:prstGeom>
      </xdr:spPr>
    </xdr:pic>
    <xdr:clientData/>
  </xdr:twoCellAnchor>
  <xdr:twoCellAnchor>
    <xdr:from>
      <xdr:col>9</xdr:col>
      <xdr:colOff>6350</xdr:colOff>
      <xdr:row>3062</xdr:row>
      <xdr:rowOff>25400</xdr:rowOff>
    </xdr:from>
    <xdr:to>
      <xdr:col>9</xdr:col>
      <xdr:colOff>885190</xdr:colOff>
      <xdr:row>3062</xdr:row>
      <xdr:rowOff>1209040</xdr:rowOff>
    </xdr:to>
    <xdr:pic>
      <xdr:nvPicPr>
        <xdr:cNvPr id="7562" name="Изображение 7561" descr="resizeПП-00255717"/>
        <xdr:cNvPicPr>
          <a:picLocks noChangeAspect="1"/>
        </xdr:cNvPicPr>
      </xdr:nvPicPr>
      <xdr:blipFill>
        <a:blip xmlns:r="http://schemas.openxmlformats.org/officeDocument/2006/relationships" r:embed="rId2278"/>
        <a:stretch>
          <a:fillRect/>
        </a:stretch>
      </xdr:blipFill>
      <xdr:spPr>
        <a:xfrm>
          <a:off x="7235825" y="2989446650"/>
          <a:ext cx="878840" cy="1183640"/>
        </a:xfrm>
        <a:prstGeom prst="rect">
          <a:avLst/>
        </a:prstGeom>
      </xdr:spPr>
    </xdr:pic>
    <xdr:clientData/>
  </xdr:twoCellAnchor>
  <xdr:twoCellAnchor>
    <xdr:from>
      <xdr:col>9</xdr:col>
      <xdr:colOff>6350</xdr:colOff>
      <xdr:row>3063</xdr:row>
      <xdr:rowOff>25400</xdr:rowOff>
    </xdr:from>
    <xdr:to>
      <xdr:col>9</xdr:col>
      <xdr:colOff>885190</xdr:colOff>
      <xdr:row>3063</xdr:row>
      <xdr:rowOff>1209040</xdr:rowOff>
    </xdr:to>
    <xdr:pic>
      <xdr:nvPicPr>
        <xdr:cNvPr id="7563" name="Изображение 7562" descr="resizeПП-00275136"/>
        <xdr:cNvPicPr>
          <a:picLocks noChangeAspect="1"/>
        </xdr:cNvPicPr>
      </xdr:nvPicPr>
      <xdr:blipFill>
        <a:blip xmlns:r="http://schemas.openxmlformats.org/officeDocument/2006/relationships" r:embed="rId2279"/>
        <a:stretch>
          <a:fillRect/>
        </a:stretch>
      </xdr:blipFill>
      <xdr:spPr>
        <a:xfrm>
          <a:off x="7235825" y="2990669025"/>
          <a:ext cx="878840" cy="1183640"/>
        </a:xfrm>
        <a:prstGeom prst="rect">
          <a:avLst/>
        </a:prstGeom>
      </xdr:spPr>
    </xdr:pic>
    <xdr:clientData/>
  </xdr:twoCellAnchor>
  <xdr:twoCellAnchor>
    <xdr:from>
      <xdr:col>9</xdr:col>
      <xdr:colOff>6350</xdr:colOff>
      <xdr:row>3064</xdr:row>
      <xdr:rowOff>25400</xdr:rowOff>
    </xdr:from>
    <xdr:to>
      <xdr:col>9</xdr:col>
      <xdr:colOff>885190</xdr:colOff>
      <xdr:row>3064</xdr:row>
      <xdr:rowOff>1209040</xdr:rowOff>
    </xdr:to>
    <xdr:pic>
      <xdr:nvPicPr>
        <xdr:cNvPr id="7564" name="Изображение 7563" descr="resizeПП-00236382"/>
        <xdr:cNvPicPr>
          <a:picLocks noChangeAspect="1"/>
        </xdr:cNvPicPr>
      </xdr:nvPicPr>
      <xdr:blipFill>
        <a:blip xmlns:r="http://schemas.openxmlformats.org/officeDocument/2006/relationships" r:embed="rId2280"/>
        <a:stretch>
          <a:fillRect/>
        </a:stretch>
      </xdr:blipFill>
      <xdr:spPr>
        <a:xfrm>
          <a:off x="7235825" y="2991891400"/>
          <a:ext cx="878840" cy="1183640"/>
        </a:xfrm>
        <a:prstGeom prst="rect">
          <a:avLst/>
        </a:prstGeom>
      </xdr:spPr>
    </xdr:pic>
    <xdr:clientData/>
  </xdr:twoCellAnchor>
  <xdr:twoCellAnchor>
    <xdr:from>
      <xdr:col>9</xdr:col>
      <xdr:colOff>6350</xdr:colOff>
      <xdr:row>3065</xdr:row>
      <xdr:rowOff>25400</xdr:rowOff>
    </xdr:from>
    <xdr:to>
      <xdr:col>9</xdr:col>
      <xdr:colOff>885190</xdr:colOff>
      <xdr:row>3065</xdr:row>
      <xdr:rowOff>1209040</xdr:rowOff>
    </xdr:to>
    <xdr:pic>
      <xdr:nvPicPr>
        <xdr:cNvPr id="7565" name="Изображение 7564" descr="resizeПП-00257879"/>
        <xdr:cNvPicPr>
          <a:picLocks noChangeAspect="1"/>
        </xdr:cNvPicPr>
      </xdr:nvPicPr>
      <xdr:blipFill>
        <a:blip xmlns:r="http://schemas.openxmlformats.org/officeDocument/2006/relationships" r:embed="rId2281"/>
        <a:stretch>
          <a:fillRect/>
        </a:stretch>
      </xdr:blipFill>
      <xdr:spPr>
        <a:xfrm>
          <a:off x="7235825" y="2993113775"/>
          <a:ext cx="878840" cy="1183640"/>
        </a:xfrm>
        <a:prstGeom prst="rect">
          <a:avLst/>
        </a:prstGeom>
      </xdr:spPr>
    </xdr:pic>
    <xdr:clientData/>
  </xdr:twoCellAnchor>
  <xdr:twoCellAnchor>
    <xdr:from>
      <xdr:col>9</xdr:col>
      <xdr:colOff>6350</xdr:colOff>
      <xdr:row>3066</xdr:row>
      <xdr:rowOff>25400</xdr:rowOff>
    </xdr:from>
    <xdr:to>
      <xdr:col>9</xdr:col>
      <xdr:colOff>885190</xdr:colOff>
      <xdr:row>3066</xdr:row>
      <xdr:rowOff>1209040</xdr:rowOff>
    </xdr:to>
    <xdr:pic>
      <xdr:nvPicPr>
        <xdr:cNvPr id="7566" name="Изображение 7565" descr="resizeПП-00257882"/>
        <xdr:cNvPicPr>
          <a:picLocks noChangeAspect="1"/>
        </xdr:cNvPicPr>
      </xdr:nvPicPr>
      <xdr:blipFill>
        <a:blip xmlns:r="http://schemas.openxmlformats.org/officeDocument/2006/relationships" r:embed="rId2282"/>
        <a:stretch>
          <a:fillRect/>
        </a:stretch>
      </xdr:blipFill>
      <xdr:spPr>
        <a:xfrm>
          <a:off x="7235825" y="2994336150"/>
          <a:ext cx="878840" cy="1183640"/>
        </a:xfrm>
        <a:prstGeom prst="rect">
          <a:avLst/>
        </a:prstGeom>
      </xdr:spPr>
    </xdr:pic>
    <xdr:clientData/>
  </xdr:twoCellAnchor>
  <xdr:twoCellAnchor>
    <xdr:from>
      <xdr:col>9</xdr:col>
      <xdr:colOff>6350</xdr:colOff>
      <xdr:row>3067</xdr:row>
      <xdr:rowOff>25400</xdr:rowOff>
    </xdr:from>
    <xdr:to>
      <xdr:col>9</xdr:col>
      <xdr:colOff>885190</xdr:colOff>
      <xdr:row>3067</xdr:row>
      <xdr:rowOff>1209040</xdr:rowOff>
    </xdr:to>
    <xdr:pic>
      <xdr:nvPicPr>
        <xdr:cNvPr id="7567" name="Изображение 7566" descr="resizeПП-00236380"/>
        <xdr:cNvPicPr>
          <a:picLocks noChangeAspect="1"/>
        </xdr:cNvPicPr>
      </xdr:nvPicPr>
      <xdr:blipFill>
        <a:blip xmlns:r="http://schemas.openxmlformats.org/officeDocument/2006/relationships" r:embed="rId2283"/>
        <a:stretch>
          <a:fillRect/>
        </a:stretch>
      </xdr:blipFill>
      <xdr:spPr>
        <a:xfrm>
          <a:off x="7235825" y="2995558525"/>
          <a:ext cx="878840" cy="1183640"/>
        </a:xfrm>
        <a:prstGeom prst="rect">
          <a:avLst/>
        </a:prstGeom>
      </xdr:spPr>
    </xdr:pic>
    <xdr:clientData/>
  </xdr:twoCellAnchor>
  <xdr:twoCellAnchor>
    <xdr:from>
      <xdr:col>9</xdr:col>
      <xdr:colOff>6350</xdr:colOff>
      <xdr:row>3068</xdr:row>
      <xdr:rowOff>25400</xdr:rowOff>
    </xdr:from>
    <xdr:to>
      <xdr:col>9</xdr:col>
      <xdr:colOff>885190</xdr:colOff>
      <xdr:row>3068</xdr:row>
      <xdr:rowOff>1209040</xdr:rowOff>
    </xdr:to>
    <xdr:pic>
      <xdr:nvPicPr>
        <xdr:cNvPr id="7568" name="Изображение 7567" descr="resizeПП-00257880"/>
        <xdr:cNvPicPr>
          <a:picLocks noChangeAspect="1"/>
        </xdr:cNvPicPr>
      </xdr:nvPicPr>
      <xdr:blipFill>
        <a:blip xmlns:r="http://schemas.openxmlformats.org/officeDocument/2006/relationships" r:embed="rId2284"/>
        <a:stretch>
          <a:fillRect/>
        </a:stretch>
      </xdr:blipFill>
      <xdr:spPr>
        <a:xfrm>
          <a:off x="7235825" y="2996780900"/>
          <a:ext cx="878840" cy="1183640"/>
        </a:xfrm>
        <a:prstGeom prst="rect">
          <a:avLst/>
        </a:prstGeom>
      </xdr:spPr>
    </xdr:pic>
    <xdr:clientData/>
  </xdr:twoCellAnchor>
  <xdr:twoCellAnchor>
    <xdr:from>
      <xdr:col>9</xdr:col>
      <xdr:colOff>6350</xdr:colOff>
      <xdr:row>3069</xdr:row>
      <xdr:rowOff>25400</xdr:rowOff>
    </xdr:from>
    <xdr:to>
      <xdr:col>9</xdr:col>
      <xdr:colOff>885190</xdr:colOff>
      <xdr:row>3069</xdr:row>
      <xdr:rowOff>1209040</xdr:rowOff>
    </xdr:to>
    <xdr:pic>
      <xdr:nvPicPr>
        <xdr:cNvPr id="7569" name="Изображение 7568" descr="resizeПП-00257883"/>
        <xdr:cNvPicPr>
          <a:picLocks noChangeAspect="1"/>
        </xdr:cNvPicPr>
      </xdr:nvPicPr>
      <xdr:blipFill>
        <a:blip xmlns:r="http://schemas.openxmlformats.org/officeDocument/2006/relationships" r:embed="rId2285"/>
        <a:stretch>
          <a:fillRect/>
        </a:stretch>
      </xdr:blipFill>
      <xdr:spPr>
        <a:xfrm>
          <a:off x="7235825" y="2998003275"/>
          <a:ext cx="878840" cy="1183640"/>
        </a:xfrm>
        <a:prstGeom prst="rect">
          <a:avLst/>
        </a:prstGeom>
      </xdr:spPr>
    </xdr:pic>
    <xdr:clientData/>
  </xdr:twoCellAnchor>
  <xdr:twoCellAnchor>
    <xdr:from>
      <xdr:col>9</xdr:col>
      <xdr:colOff>6350</xdr:colOff>
      <xdr:row>3070</xdr:row>
      <xdr:rowOff>25400</xdr:rowOff>
    </xdr:from>
    <xdr:to>
      <xdr:col>9</xdr:col>
      <xdr:colOff>885190</xdr:colOff>
      <xdr:row>3070</xdr:row>
      <xdr:rowOff>1209040</xdr:rowOff>
    </xdr:to>
    <xdr:pic>
      <xdr:nvPicPr>
        <xdr:cNvPr id="7570" name="Изображение 7569" descr="resizeПП-00275143"/>
        <xdr:cNvPicPr>
          <a:picLocks noChangeAspect="1"/>
        </xdr:cNvPicPr>
      </xdr:nvPicPr>
      <xdr:blipFill>
        <a:blip xmlns:r="http://schemas.openxmlformats.org/officeDocument/2006/relationships" r:embed="rId2286"/>
        <a:stretch>
          <a:fillRect/>
        </a:stretch>
      </xdr:blipFill>
      <xdr:spPr>
        <a:xfrm>
          <a:off x="7235825" y="2999225650"/>
          <a:ext cx="878840" cy="1183640"/>
        </a:xfrm>
        <a:prstGeom prst="rect">
          <a:avLst/>
        </a:prstGeom>
      </xdr:spPr>
    </xdr:pic>
    <xdr:clientData/>
  </xdr:twoCellAnchor>
  <xdr:twoCellAnchor>
    <xdr:from>
      <xdr:col>9</xdr:col>
      <xdr:colOff>6350</xdr:colOff>
      <xdr:row>3071</xdr:row>
      <xdr:rowOff>25400</xdr:rowOff>
    </xdr:from>
    <xdr:to>
      <xdr:col>9</xdr:col>
      <xdr:colOff>885190</xdr:colOff>
      <xdr:row>3071</xdr:row>
      <xdr:rowOff>1209040</xdr:rowOff>
    </xdr:to>
    <xdr:pic>
      <xdr:nvPicPr>
        <xdr:cNvPr id="7571" name="Изображение 7570" descr="resizeПП-00275140"/>
        <xdr:cNvPicPr>
          <a:picLocks noChangeAspect="1"/>
        </xdr:cNvPicPr>
      </xdr:nvPicPr>
      <xdr:blipFill>
        <a:blip xmlns:r="http://schemas.openxmlformats.org/officeDocument/2006/relationships" r:embed="rId2287"/>
        <a:stretch>
          <a:fillRect/>
        </a:stretch>
      </xdr:blipFill>
      <xdr:spPr>
        <a:xfrm>
          <a:off x="7235825" y="3000448025"/>
          <a:ext cx="878840" cy="1183640"/>
        </a:xfrm>
        <a:prstGeom prst="rect">
          <a:avLst/>
        </a:prstGeom>
      </xdr:spPr>
    </xdr:pic>
    <xdr:clientData/>
  </xdr:twoCellAnchor>
  <xdr:twoCellAnchor>
    <xdr:from>
      <xdr:col>9</xdr:col>
      <xdr:colOff>6350</xdr:colOff>
      <xdr:row>3072</xdr:row>
      <xdr:rowOff>25400</xdr:rowOff>
    </xdr:from>
    <xdr:to>
      <xdr:col>9</xdr:col>
      <xdr:colOff>885190</xdr:colOff>
      <xdr:row>3072</xdr:row>
      <xdr:rowOff>1209040</xdr:rowOff>
    </xdr:to>
    <xdr:pic>
      <xdr:nvPicPr>
        <xdr:cNvPr id="7572" name="Изображение 7571" descr="resizeПП-00275141"/>
        <xdr:cNvPicPr>
          <a:picLocks noChangeAspect="1"/>
        </xdr:cNvPicPr>
      </xdr:nvPicPr>
      <xdr:blipFill>
        <a:blip xmlns:r="http://schemas.openxmlformats.org/officeDocument/2006/relationships" r:embed="rId2288"/>
        <a:stretch>
          <a:fillRect/>
        </a:stretch>
      </xdr:blipFill>
      <xdr:spPr>
        <a:xfrm>
          <a:off x="7235825" y="3001670400"/>
          <a:ext cx="878840" cy="1183640"/>
        </a:xfrm>
        <a:prstGeom prst="rect">
          <a:avLst/>
        </a:prstGeom>
      </xdr:spPr>
    </xdr:pic>
    <xdr:clientData/>
  </xdr:twoCellAnchor>
  <xdr:twoCellAnchor>
    <xdr:from>
      <xdr:col>9</xdr:col>
      <xdr:colOff>6350</xdr:colOff>
      <xdr:row>3073</xdr:row>
      <xdr:rowOff>25400</xdr:rowOff>
    </xdr:from>
    <xdr:to>
      <xdr:col>9</xdr:col>
      <xdr:colOff>885190</xdr:colOff>
      <xdr:row>3073</xdr:row>
      <xdr:rowOff>1209040</xdr:rowOff>
    </xdr:to>
    <xdr:pic>
      <xdr:nvPicPr>
        <xdr:cNvPr id="7573" name="Изображение 7572" descr="resizeПП-00275144"/>
        <xdr:cNvPicPr>
          <a:picLocks noChangeAspect="1"/>
        </xdr:cNvPicPr>
      </xdr:nvPicPr>
      <xdr:blipFill>
        <a:blip xmlns:r="http://schemas.openxmlformats.org/officeDocument/2006/relationships" r:embed="rId2289"/>
        <a:stretch>
          <a:fillRect/>
        </a:stretch>
      </xdr:blipFill>
      <xdr:spPr>
        <a:xfrm>
          <a:off x="7235825" y="3002892775"/>
          <a:ext cx="878840" cy="1183640"/>
        </a:xfrm>
        <a:prstGeom prst="rect">
          <a:avLst/>
        </a:prstGeom>
      </xdr:spPr>
    </xdr:pic>
    <xdr:clientData/>
  </xdr:twoCellAnchor>
  <xdr:twoCellAnchor>
    <xdr:from>
      <xdr:col>9</xdr:col>
      <xdr:colOff>6350</xdr:colOff>
      <xdr:row>3074</xdr:row>
      <xdr:rowOff>25400</xdr:rowOff>
    </xdr:from>
    <xdr:to>
      <xdr:col>9</xdr:col>
      <xdr:colOff>885190</xdr:colOff>
      <xdr:row>3074</xdr:row>
      <xdr:rowOff>1209040</xdr:rowOff>
    </xdr:to>
    <xdr:pic>
      <xdr:nvPicPr>
        <xdr:cNvPr id="7574" name="Изображение 7573" descr="resizeПП-00257881"/>
        <xdr:cNvPicPr>
          <a:picLocks noChangeAspect="1"/>
        </xdr:cNvPicPr>
      </xdr:nvPicPr>
      <xdr:blipFill>
        <a:blip xmlns:r="http://schemas.openxmlformats.org/officeDocument/2006/relationships" r:embed="rId2290"/>
        <a:stretch>
          <a:fillRect/>
        </a:stretch>
      </xdr:blipFill>
      <xdr:spPr>
        <a:xfrm>
          <a:off x="7235825" y="3004115150"/>
          <a:ext cx="878840" cy="1183640"/>
        </a:xfrm>
        <a:prstGeom prst="rect">
          <a:avLst/>
        </a:prstGeom>
      </xdr:spPr>
    </xdr:pic>
    <xdr:clientData/>
  </xdr:twoCellAnchor>
  <xdr:twoCellAnchor>
    <xdr:from>
      <xdr:col>9</xdr:col>
      <xdr:colOff>6350</xdr:colOff>
      <xdr:row>3075</xdr:row>
      <xdr:rowOff>25400</xdr:rowOff>
    </xdr:from>
    <xdr:to>
      <xdr:col>9</xdr:col>
      <xdr:colOff>885190</xdr:colOff>
      <xdr:row>3075</xdr:row>
      <xdr:rowOff>1209040</xdr:rowOff>
    </xdr:to>
    <xdr:pic>
      <xdr:nvPicPr>
        <xdr:cNvPr id="7575" name="Изображение 7574" descr="resizeПП-00257876"/>
        <xdr:cNvPicPr>
          <a:picLocks noChangeAspect="1"/>
        </xdr:cNvPicPr>
      </xdr:nvPicPr>
      <xdr:blipFill>
        <a:blip xmlns:r="http://schemas.openxmlformats.org/officeDocument/2006/relationships" r:embed="rId2291"/>
        <a:stretch>
          <a:fillRect/>
        </a:stretch>
      </xdr:blipFill>
      <xdr:spPr>
        <a:xfrm>
          <a:off x="7235825" y="3005337525"/>
          <a:ext cx="878840" cy="1183640"/>
        </a:xfrm>
        <a:prstGeom prst="rect">
          <a:avLst/>
        </a:prstGeom>
      </xdr:spPr>
    </xdr:pic>
    <xdr:clientData/>
  </xdr:twoCellAnchor>
  <xdr:twoCellAnchor>
    <xdr:from>
      <xdr:col>9</xdr:col>
      <xdr:colOff>6350</xdr:colOff>
      <xdr:row>3076</xdr:row>
      <xdr:rowOff>25400</xdr:rowOff>
    </xdr:from>
    <xdr:to>
      <xdr:col>9</xdr:col>
      <xdr:colOff>885190</xdr:colOff>
      <xdr:row>3076</xdr:row>
      <xdr:rowOff>1209040</xdr:rowOff>
    </xdr:to>
    <xdr:pic>
      <xdr:nvPicPr>
        <xdr:cNvPr id="7576" name="Изображение 7575" descr="resizeПП-00275145"/>
        <xdr:cNvPicPr>
          <a:picLocks noChangeAspect="1"/>
        </xdr:cNvPicPr>
      </xdr:nvPicPr>
      <xdr:blipFill>
        <a:blip xmlns:r="http://schemas.openxmlformats.org/officeDocument/2006/relationships" r:embed="rId2292"/>
        <a:stretch>
          <a:fillRect/>
        </a:stretch>
      </xdr:blipFill>
      <xdr:spPr>
        <a:xfrm>
          <a:off x="7235825" y="3006559900"/>
          <a:ext cx="878840" cy="1183640"/>
        </a:xfrm>
        <a:prstGeom prst="rect">
          <a:avLst/>
        </a:prstGeom>
      </xdr:spPr>
    </xdr:pic>
    <xdr:clientData/>
  </xdr:twoCellAnchor>
  <xdr:twoCellAnchor>
    <xdr:from>
      <xdr:col>9</xdr:col>
      <xdr:colOff>6350</xdr:colOff>
      <xdr:row>3077</xdr:row>
      <xdr:rowOff>25400</xdr:rowOff>
    </xdr:from>
    <xdr:to>
      <xdr:col>9</xdr:col>
      <xdr:colOff>885190</xdr:colOff>
      <xdr:row>3077</xdr:row>
      <xdr:rowOff>1209040</xdr:rowOff>
    </xdr:to>
    <xdr:pic>
      <xdr:nvPicPr>
        <xdr:cNvPr id="7577" name="Изображение 7576" descr="resizeПП-00275134"/>
        <xdr:cNvPicPr>
          <a:picLocks noChangeAspect="1"/>
        </xdr:cNvPicPr>
      </xdr:nvPicPr>
      <xdr:blipFill>
        <a:blip xmlns:r="http://schemas.openxmlformats.org/officeDocument/2006/relationships" r:embed="rId2293"/>
        <a:stretch>
          <a:fillRect/>
        </a:stretch>
      </xdr:blipFill>
      <xdr:spPr>
        <a:xfrm>
          <a:off x="7235825" y="3007782275"/>
          <a:ext cx="878840" cy="1183640"/>
        </a:xfrm>
        <a:prstGeom prst="rect">
          <a:avLst/>
        </a:prstGeom>
      </xdr:spPr>
    </xdr:pic>
    <xdr:clientData/>
  </xdr:twoCellAnchor>
  <xdr:twoCellAnchor>
    <xdr:from>
      <xdr:col>9</xdr:col>
      <xdr:colOff>6350</xdr:colOff>
      <xdr:row>3078</xdr:row>
      <xdr:rowOff>25400</xdr:rowOff>
    </xdr:from>
    <xdr:to>
      <xdr:col>9</xdr:col>
      <xdr:colOff>885190</xdr:colOff>
      <xdr:row>3078</xdr:row>
      <xdr:rowOff>1209040</xdr:rowOff>
    </xdr:to>
    <xdr:pic>
      <xdr:nvPicPr>
        <xdr:cNvPr id="7578" name="Изображение 7577" descr="resizeПП-00236381"/>
        <xdr:cNvPicPr>
          <a:picLocks noChangeAspect="1"/>
        </xdr:cNvPicPr>
      </xdr:nvPicPr>
      <xdr:blipFill>
        <a:blip xmlns:r="http://schemas.openxmlformats.org/officeDocument/2006/relationships" r:embed="rId2294"/>
        <a:stretch>
          <a:fillRect/>
        </a:stretch>
      </xdr:blipFill>
      <xdr:spPr>
        <a:xfrm>
          <a:off x="7235825" y="3009004650"/>
          <a:ext cx="878840" cy="1183640"/>
        </a:xfrm>
        <a:prstGeom prst="rect">
          <a:avLst/>
        </a:prstGeom>
      </xdr:spPr>
    </xdr:pic>
    <xdr:clientData/>
  </xdr:twoCellAnchor>
  <xdr:twoCellAnchor>
    <xdr:from>
      <xdr:col>9</xdr:col>
      <xdr:colOff>6350</xdr:colOff>
      <xdr:row>3079</xdr:row>
      <xdr:rowOff>25400</xdr:rowOff>
    </xdr:from>
    <xdr:to>
      <xdr:col>9</xdr:col>
      <xdr:colOff>885190</xdr:colOff>
      <xdr:row>3079</xdr:row>
      <xdr:rowOff>1209040</xdr:rowOff>
    </xdr:to>
    <xdr:pic>
      <xdr:nvPicPr>
        <xdr:cNvPr id="7579" name="Изображение 7578" descr="resizeПП-00275135"/>
        <xdr:cNvPicPr>
          <a:picLocks noChangeAspect="1"/>
        </xdr:cNvPicPr>
      </xdr:nvPicPr>
      <xdr:blipFill>
        <a:blip xmlns:r="http://schemas.openxmlformats.org/officeDocument/2006/relationships" r:embed="rId2295"/>
        <a:stretch>
          <a:fillRect/>
        </a:stretch>
      </xdr:blipFill>
      <xdr:spPr>
        <a:xfrm>
          <a:off x="7235825" y="3010227025"/>
          <a:ext cx="878840" cy="1183640"/>
        </a:xfrm>
        <a:prstGeom prst="rect">
          <a:avLst/>
        </a:prstGeom>
      </xdr:spPr>
    </xdr:pic>
    <xdr:clientData/>
  </xdr:twoCellAnchor>
  <xdr:twoCellAnchor>
    <xdr:from>
      <xdr:col>9</xdr:col>
      <xdr:colOff>6350</xdr:colOff>
      <xdr:row>3080</xdr:row>
      <xdr:rowOff>25400</xdr:rowOff>
    </xdr:from>
    <xdr:to>
      <xdr:col>9</xdr:col>
      <xdr:colOff>885190</xdr:colOff>
      <xdr:row>3080</xdr:row>
      <xdr:rowOff>1209040</xdr:rowOff>
    </xdr:to>
    <xdr:pic>
      <xdr:nvPicPr>
        <xdr:cNvPr id="7580" name="Изображение 7579" descr="resizeПП-00275142"/>
        <xdr:cNvPicPr>
          <a:picLocks noChangeAspect="1"/>
        </xdr:cNvPicPr>
      </xdr:nvPicPr>
      <xdr:blipFill>
        <a:blip xmlns:r="http://schemas.openxmlformats.org/officeDocument/2006/relationships" r:embed="rId2296"/>
        <a:stretch>
          <a:fillRect/>
        </a:stretch>
      </xdr:blipFill>
      <xdr:spPr>
        <a:xfrm>
          <a:off x="7235825" y="3011449400"/>
          <a:ext cx="878840" cy="1183640"/>
        </a:xfrm>
        <a:prstGeom prst="rect">
          <a:avLst/>
        </a:prstGeom>
      </xdr:spPr>
    </xdr:pic>
    <xdr:clientData/>
  </xdr:twoCellAnchor>
  <xdr:twoCellAnchor>
    <xdr:from>
      <xdr:col>9</xdr:col>
      <xdr:colOff>6350</xdr:colOff>
      <xdr:row>3081</xdr:row>
      <xdr:rowOff>25400</xdr:rowOff>
    </xdr:from>
    <xdr:to>
      <xdr:col>9</xdr:col>
      <xdr:colOff>885190</xdr:colOff>
      <xdr:row>3081</xdr:row>
      <xdr:rowOff>1209040</xdr:rowOff>
    </xdr:to>
    <xdr:pic>
      <xdr:nvPicPr>
        <xdr:cNvPr id="7581" name="Изображение 7580" descr="resizeПП-00275138"/>
        <xdr:cNvPicPr>
          <a:picLocks noChangeAspect="1"/>
        </xdr:cNvPicPr>
      </xdr:nvPicPr>
      <xdr:blipFill>
        <a:blip xmlns:r="http://schemas.openxmlformats.org/officeDocument/2006/relationships" r:embed="rId2297"/>
        <a:stretch>
          <a:fillRect/>
        </a:stretch>
      </xdr:blipFill>
      <xdr:spPr>
        <a:xfrm>
          <a:off x="7235825" y="3012671775"/>
          <a:ext cx="878840" cy="1183640"/>
        </a:xfrm>
        <a:prstGeom prst="rect">
          <a:avLst/>
        </a:prstGeom>
      </xdr:spPr>
    </xdr:pic>
    <xdr:clientData/>
  </xdr:twoCellAnchor>
  <xdr:twoCellAnchor>
    <xdr:from>
      <xdr:col>9</xdr:col>
      <xdr:colOff>6350</xdr:colOff>
      <xdr:row>3082</xdr:row>
      <xdr:rowOff>25400</xdr:rowOff>
    </xdr:from>
    <xdr:to>
      <xdr:col>9</xdr:col>
      <xdr:colOff>885190</xdr:colOff>
      <xdr:row>3082</xdr:row>
      <xdr:rowOff>1209040</xdr:rowOff>
    </xdr:to>
    <xdr:pic>
      <xdr:nvPicPr>
        <xdr:cNvPr id="7582" name="Изображение 7581" descr="resizeПП-00275139"/>
        <xdr:cNvPicPr>
          <a:picLocks noChangeAspect="1"/>
        </xdr:cNvPicPr>
      </xdr:nvPicPr>
      <xdr:blipFill>
        <a:blip xmlns:r="http://schemas.openxmlformats.org/officeDocument/2006/relationships" r:embed="rId2298"/>
        <a:stretch>
          <a:fillRect/>
        </a:stretch>
      </xdr:blipFill>
      <xdr:spPr>
        <a:xfrm>
          <a:off x="7235825" y="3013894150"/>
          <a:ext cx="878840" cy="1183640"/>
        </a:xfrm>
        <a:prstGeom prst="rect">
          <a:avLst/>
        </a:prstGeom>
      </xdr:spPr>
    </xdr:pic>
    <xdr:clientData/>
  </xdr:twoCellAnchor>
  <xdr:twoCellAnchor>
    <xdr:from>
      <xdr:col>9</xdr:col>
      <xdr:colOff>6350</xdr:colOff>
      <xdr:row>3083</xdr:row>
      <xdr:rowOff>25400</xdr:rowOff>
    </xdr:from>
    <xdr:to>
      <xdr:col>9</xdr:col>
      <xdr:colOff>885190</xdr:colOff>
      <xdr:row>3083</xdr:row>
      <xdr:rowOff>1209040</xdr:rowOff>
    </xdr:to>
    <xdr:pic>
      <xdr:nvPicPr>
        <xdr:cNvPr id="7583" name="Изображение 7582" descr="resizeПП-00257891"/>
        <xdr:cNvPicPr>
          <a:picLocks noChangeAspect="1"/>
        </xdr:cNvPicPr>
      </xdr:nvPicPr>
      <xdr:blipFill>
        <a:blip xmlns:r="http://schemas.openxmlformats.org/officeDocument/2006/relationships" r:embed="rId2299"/>
        <a:stretch>
          <a:fillRect/>
        </a:stretch>
      </xdr:blipFill>
      <xdr:spPr>
        <a:xfrm>
          <a:off x="7235825" y="3015116525"/>
          <a:ext cx="878840" cy="1183640"/>
        </a:xfrm>
        <a:prstGeom prst="rect">
          <a:avLst/>
        </a:prstGeom>
      </xdr:spPr>
    </xdr:pic>
    <xdr:clientData/>
  </xdr:twoCellAnchor>
  <xdr:twoCellAnchor>
    <xdr:from>
      <xdr:col>9</xdr:col>
      <xdr:colOff>6350</xdr:colOff>
      <xdr:row>3084</xdr:row>
      <xdr:rowOff>25400</xdr:rowOff>
    </xdr:from>
    <xdr:to>
      <xdr:col>9</xdr:col>
      <xdr:colOff>885190</xdr:colOff>
      <xdr:row>3084</xdr:row>
      <xdr:rowOff>1209040</xdr:rowOff>
    </xdr:to>
    <xdr:pic>
      <xdr:nvPicPr>
        <xdr:cNvPr id="7584" name="Изображение 7583" descr="resizeПП-00257886"/>
        <xdr:cNvPicPr>
          <a:picLocks noChangeAspect="1"/>
        </xdr:cNvPicPr>
      </xdr:nvPicPr>
      <xdr:blipFill>
        <a:blip xmlns:r="http://schemas.openxmlformats.org/officeDocument/2006/relationships" r:embed="rId2300"/>
        <a:stretch>
          <a:fillRect/>
        </a:stretch>
      </xdr:blipFill>
      <xdr:spPr>
        <a:xfrm>
          <a:off x="7235825" y="3016338900"/>
          <a:ext cx="878840" cy="1183640"/>
        </a:xfrm>
        <a:prstGeom prst="rect">
          <a:avLst/>
        </a:prstGeom>
      </xdr:spPr>
    </xdr:pic>
    <xdr:clientData/>
  </xdr:twoCellAnchor>
  <xdr:twoCellAnchor>
    <xdr:from>
      <xdr:col>9</xdr:col>
      <xdr:colOff>6350</xdr:colOff>
      <xdr:row>3085</xdr:row>
      <xdr:rowOff>25400</xdr:rowOff>
    </xdr:from>
    <xdr:to>
      <xdr:col>9</xdr:col>
      <xdr:colOff>885190</xdr:colOff>
      <xdr:row>3085</xdr:row>
      <xdr:rowOff>1209040</xdr:rowOff>
    </xdr:to>
    <xdr:pic>
      <xdr:nvPicPr>
        <xdr:cNvPr id="7585" name="Изображение 7584" descr="resizeПП-00257889"/>
        <xdr:cNvPicPr>
          <a:picLocks noChangeAspect="1"/>
        </xdr:cNvPicPr>
      </xdr:nvPicPr>
      <xdr:blipFill>
        <a:blip xmlns:r="http://schemas.openxmlformats.org/officeDocument/2006/relationships" r:embed="rId2301"/>
        <a:stretch>
          <a:fillRect/>
        </a:stretch>
      </xdr:blipFill>
      <xdr:spPr>
        <a:xfrm>
          <a:off x="7235825" y="3017561275"/>
          <a:ext cx="878840" cy="1183640"/>
        </a:xfrm>
        <a:prstGeom prst="rect">
          <a:avLst/>
        </a:prstGeom>
      </xdr:spPr>
    </xdr:pic>
    <xdr:clientData/>
  </xdr:twoCellAnchor>
  <xdr:twoCellAnchor>
    <xdr:from>
      <xdr:col>9</xdr:col>
      <xdr:colOff>6350</xdr:colOff>
      <xdr:row>3086</xdr:row>
      <xdr:rowOff>25400</xdr:rowOff>
    </xdr:from>
    <xdr:to>
      <xdr:col>9</xdr:col>
      <xdr:colOff>885190</xdr:colOff>
      <xdr:row>3086</xdr:row>
      <xdr:rowOff>1209040</xdr:rowOff>
    </xdr:to>
    <xdr:pic>
      <xdr:nvPicPr>
        <xdr:cNvPr id="7586" name="Изображение 7585" descr="resizeПП-00257890"/>
        <xdr:cNvPicPr>
          <a:picLocks noChangeAspect="1"/>
        </xdr:cNvPicPr>
      </xdr:nvPicPr>
      <xdr:blipFill>
        <a:blip xmlns:r="http://schemas.openxmlformats.org/officeDocument/2006/relationships" r:embed="rId2302"/>
        <a:stretch>
          <a:fillRect/>
        </a:stretch>
      </xdr:blipFill>
      <xdr:spPr>
        <a:xfrm>
          <a:off x="7235825" y="3018783650"/>
          <a:ext cx="878840" cy="1183640"/>
        </a:xfrm>
        <a:prstGeom prst="rect">
          <a:avLst/>
        </a:prstGeom>
      </xdr:spPr>
    </xdr:pic>
    <xdr:clientData/>
  </xdr:twoCellAnchor>
  <xdr:twoCellAnchor>
    <xdr:from>
      <xdr:col>9</xdr:col>
      <xdr:colOff>6350</xdr:colOff>
      <xdr:row>3087</xdr:row>
      <xdr:rowOff>25400</xdr:rowOff>
    </xdr:from>
    <xdr:to>
      <xdr:col>9</xdr:col>
      <xdr:colOff>885190</xdr:colOff>
      <xdr:row>3087</xdr:row>
      <xdr:rowOff>1209040</xdr:rowOff>
    </xdr:to>
    <xdr:pic>
      <xdr:nvPicPr>
        <xdr:cNvPr id="7587" name="Изображение 7586" descr="resizeПП-00275149"/>
        <xdr:cNvPicPr>
          <a:picLocks noChangeAspect="1"/>
        </xdr:cNvPicPr>
      </xdr:nvPicPr>
      <xdr:blipFill>
        <a:blip xmlns:r="http://schemas.openxmlformats.org/officeDocument/2006/relationships" r:embed="rId2303"/>
        <a:stretch>
          <a:fillRect/>
        </a:stretch>
      </xdr:blipFill>
      <xdr:spPr>
        <a:xfrm>
          <a:off x="7235825" y="3020006025"/>
          <a:ext cx="878840" cy="1183640"/>
        </a:xfrm>
        <a:prstGeom prst="rect">
          <a:avLst/>
        </a:prstGeom>
      </xdr:spPr>
    </xdr:pic>
    <xdr:clientData/>
  </xdr:twoCellAnchor>
  <xdr:twoCellAnchor>
    <xdr:from>
      <xdr:col>9</xdr:col>
      <xdr:colOff>6350</xdr:colOff>
      <xdr:row>3088</xdr:row>
      <xdr:rowOff>25400</xdr:rowOff>
    </xdr:from>
    <xdr:to>
      <xdr:col>9</xdr:col>
      <xdr:colOff>885190</xdr:colOff>
      <xdr:row>3088</xdr:row>
      <xdr:rowOff>1209040</xdr:rowOff>
    </xdr:to>
    <xdr:pic>
      <xdr:nvPicPr>
        <xdr:cNvPr id="7588" name="Изображение 7587" descr="resizeПП-00275146"/>
        <xdr:cNvPicPr>
          <a:picLocks noChangeAspect="1"/>
        </xdr:cNvPicPr>
      </xdr:nvPicPr>
      <xdr:blipFill>
        <a:blip xmlns:r="http://schemas.openxmlformats.org/officeDocument/2006/relationships" r:embed="rId2304"/>
        <a:stretch>
          <a:fillRect/>
        </a:stretch>
      </xdr:blipFill>
      <xdr:spPr>
        <a:xfrm>
          <a:off x="7235825" y="3021228400"/>
          <a:ext cx="878840" cy="1183640"/>
        </a:xfrm>
        <a:prstGeom prst="rect">
          <a:avLst/>
        </a:prstGeom>
      </xdr:spPr>
    </xdr:pic>
    <xdr:clientData/>
  </xdr:twoCellAnchor>
  <xdr:twoCellAnchor>
    <xdr:from>
      <xdr:col>9</xdr:col>
      <xdr:colOff>6350</xdr:colOff>
      <xdr:row>3089</xdr:row>
      <xdr:rowOff>25400</xdr:rowOff>
    </xdr:from>
    <xdr:to>
      <xdr:col>9</xdr:col>
      <xdr:colOff>885190</xdr:colOff>
      <xdr:row>3089</xdr:row>
      <xdr:rowOff>1209040</xdr:rowOff>
    </xdr:to>
    <xdr:pic>
      <xdr:nvPicPr>
        <xdr:cNvPr id="7589" name="Изображение 7588" descr="resizeПП-00257884"/>
        <xdr:cNvPicPr>
          <a:picLocks noChangeAspect="1"/>
        </xdr:cNvPicPr>
      </xdr:nvPicPr>
      <xdr:blipFill>
        <a:blip xmlns:r="http://schemas.openxmlformats.org/officeDocument/2006/relationships" r:embed="rId2305"/>
        <a:stretch>
          <a:fillRect/>
        </a:stretch>
      </xdr:blipFill>
      <xdr:spPr>
        <a:xfrm>
          <a:off x="7235825" y="3022450775"/>
          <a:ext cx="878840" cy="1183640"/>
        </a:xfrm>
        <a:prstGeom prst="rect">
          <a:avLst/>
        </a:prstGeom>
      </xdr:spPr>
    </xdr:pic>
    <xdr:clientData/>
  </xdr:twoCellAnchor>
  <xdr:twoCellAnchor>
    <xdr:from>
      <xdr:col>9</xdr:col>
      <xdr:colOff>6350</xdr:colOff>
      <xdr:row>3091</xdr:row>
      <xdr:rowOff>25400</xdr:rowOff>
    </xdr:from>
    <xdr:to>
      <xdr:col>9</xdr:col>
      <xdr:colOff>885190</xdr:colOff>
      <xdr:row>3091</xdr:row>
      <xdr:rowOff>1209040</xdr:rowOff>
    </xdr:to>
    <xdr:pic>
      <xdr:nvPicPr>
        <xdr:cNvPr id="7590" name="Изображение 7589" descr="resizeПП-00235684"/>
        <xdr:cNvPicPr>
          <a:picLocks noChangeAspect="1"/>
        </xdr:cNvPicPr>
      </xdr:nvPicPr>
      <xdr:blipFill>
        <a:blip xmlns:r="http://schemas.openxmlformats.org/officeDocument/2006/relationships" r:embed="rId2306"/>
        <a:stretch>
          <a:fillRect/>
        </a:stretch>
      </xdr:blipFill>
      <xdr:spPr>
        <a:xfrm>
          <a:off x="7235825" y="3023825550"/>
          <a:ext cx="878840" cy="1183640"/>
        </a:xfrm>
        <a:prstGeom prst="rect">
          <a:avLst/>
        </a:prstGeom>
      </xdr:spPr>
    </xdr:pic>
    <xdr:clientData/>
  </xdr:twoCellAnchor>
  <xdr:twoCellAnchor>
    <xdr:from>
      <xdr:col>9</xdr:col>
      <xdr:colOff>6350</xdr:colOff>
      <xdr:row>3092</xdr:row>
      <xdr:rowOff>25400</xdr:rowOff>
    </xdr:from>
    <xdr:to>
      <xdr:col>9</xdr:col>
      <xdr:colOff>885190</xdr:colOff>
      <xdr:row>3092</xdr:row>
      <xdr:rowOff>1209040</xdr:rowOff>
    </xdr:to>
    <xdr:pic>
      <xdr:nvPicPr>
        <xdr:cNvPr id="7591" name="Изображение 7590" descr="resizeПП-00235679"/>
        <xdr:cNvPicPr>
          <a:picLocks noChangeAspect="1"/>
        </xdr:cNvPicPr>
      </xdr:nvPicPr>
      <xdr:blipFill>
        <a:blip xmlns:r="http://schemas.openxmlformats.org/officeDocument/2006/relationships" r:embed="rId2307"/>
        <a:stretch>
          <a:fillRect/>
        </a:stretch>
      </xdr:blipFill>
      <xdr:spPr>
        <a:xfrm>
          <a:off x="7235825" y="3025047925"/>
          <a:ext cx="878840" cy="1183640"/>
        </a:xfrm>
        <a:prstGeom prst="rect">
          <a:avLst/>
        </a:prstGeom>
      </xdr:spPr>
    </xdr:pic>
    <xdr:clientData/>
  </xdr:twoCellAnchor>
  <xdr:twoCellAnchor>
    <xdr:from>
      <xdr:col>9</xdr:col>
      <xdr:colOff>6350</xdr:colOff>
      <xdr:row>3093</xdr:row>
      <xdr:rowOff>25400</xdr:rowOff>
    </xdr:from>
    <xdr:to>
      <xdr:col>9</xdr:col>
      <xdr:colOff>885190</xdr:colOff>
      <xdr:row>3093</xdr:row>
      <xdr:rowOff>1209040</xdr:rowOff>
    </xdr:to>
    <xdr:pic>
      <xdr:nvPicPr>
        <xdr:cNvPr id="7592" name="Изображение 7591" descr="resizeПП-00235682"/>
        <xdr:cNvPicPr>
          <a:picLocks noChangeAspect="1"/>
        </xdr:cNvPicPr>
      </xdr:nvPicPr>
      <xdr:blipFill>
        <a:blip xmlns:r="http://schemas.openxmlformats.org/officeDocument/2006/relationships" r:embed="rId2308"/>
        <a:stretch>
          <a:fillRect/>
        </a:stretch>
      </xdr:blipFill>
      <xdr:spPr>
        <a:xfrm>
          <a:off x="7235825" y="3026270300"/>
          <a:ext cx="878840" cy="1183640"/>
        </a:xfrm>
        <a:prstGeom prst="rect">
          <a:avLst/>
        </a:prstGeom>
      </xdr:spPr>
    </xdr:pic>
    <xdr:clientData/>
  </xdr:twoCellAnchor>
  <xdr:twoCellAnchor>
    <xdr:from>
      <xdr:col>9</xdr:col>
      <xdr:colOff>6350</xdr:colOff>
      <xdr:row>3094</xdr:row>
      <xdr:rowOff>25400</xdr:rowOff>
    </xdr:from>
    <xdr:to>
      <xdr:col>9</xdr:col>
      <xdr:colOff>885190</xdr:colOff>
      <xdr:row>3094</xdr:row>
      <xdr:rowOff>1209040</xdr:rowOff>
    </xdr:to>
    <xdr:pic>
      <xdr:nvPicPr>
        <xdr:cNvPr id="7593" name="Изображение 7592" descr="resizeПП-00235678"/>
        <xdr:cNvPicPr>
          <a:picLocks noChangeAspect="1"/>
        </xdr:cNvPicPr>
      </xdr:nvPicPr>
      <xdr:blipFill>
        <a:blip xmlns:r="http://schemas.openxmlformats.org/officeDocument/2006/relationships" r:embed="rId2309"/>
        <a:stretch>
          <a:fillRect/>
        </a:stretch>
      </xdr:blipFill>
      <xdr:spPr>
        <a:xfrm>
          <a:off x="7235825" y="3027492675"/>
          <a:ext cx="878840" cy="1183640"/>
        </a:xfrm>
        <a:prstGeom prst="rect">
          <a:avLst/>
        </a:prstGeom>
      </xdr:spPr>
    </xdr:pic>
    <xdr:clientData/>
  </xdr:twoCellAnchor>
  <xdr:twoCellAnchor>
    <xdr:from>
      <xdr:col>9</xdr:col>
      <xdr:colOff>6350</xdr:colOff>
      <xdr:row>3095</xdr:row>
      <xdr:rowOff>25400</xdr:rowOff>
    </xdr:from>
    <xdr:to>
      <xdr:col>9</xdr:col>
      <xdr:colOff>885190</xdr:colOff>
      <xdr:row>3095</xdr:row>
      <xdr:rowOff>1209040</xdr:rowOff>
    </xdr:to>
    <xdr:pic>
      <xdr:nvPicPr>
        <xdr:cNvPr id="7594" name="Изображение 7593" descr="resizeПП-00199916"/>
        <xdr:cNvPicPr>
          <a:picLocks noChangeAspect="1"/>
        </xdr:cNvPicPr>
      </xdr:nvPicPr>
      <xdr:blipFill>
        <a:blip xmlns:r="http://schemas.openxmlformats.org/officeDocument/2006/relationships" r:embed="rId2310"/>
        <a:stretch>
          <a:fillRect/>
        </a:stretch>
      </xdr:blipFill>
      <xdr:spPr>
        <a:xfrm>
          <a:off x="7235825" y="3028715050"/>
          <a:ext cx="878840" cy="1183640"/>
        </a:xfrm>
        <a:prstGeom prst="rect">
          <a:avLst/>
        </a:prstGeom>
      </xdr:spPr>
    </xdr:pic>
    <xdr:clientData/>
  </xdr:twoCellAnchor>
  <xdr:twoCellAnchor>
    <xdr:from>
      <xdr:col>9</xdr:col>
      <xdr:colOff>6350</xdr:colOff>
      <xdr:row>3096</xdr:row>
      <xdr:rowOff>25400</xdr:rowOff>
    </xdr:from>
    <xdr:to>
      <xdr:col>9</xdr:col>
      <xdr:colOff>885190</xdr:colOff>
      <xdr:row>3096</xdr:row>
      <xdr:rowOff>1209040</xdr:rowOff>
    </xdr:to>
    <xdr:pic>
      <xdr:nvPicPr>
        <xdr:cNvPr id="7595" name="Изображение 7594" descr="resizeПП-00199915"/>
        <xdr:cNvPicPr>
          <a:picLocks noChangeAspect="1"/>
        </xdr:cNvPicPr>
      </xdr:nvPicPr>
      <xdr:blipFill>
        <a:blip xmlns:r="http://schemas.openxmlformats.org/officeDocument/2006/relationships" r:embed="rId2311"/>
        <a:stretch>
          <a:fillRect/>
        </a:stretch>
      </xdr:blipFill>
      <xdr:spPr>
        <a:xfrm>
          <a:off x="7235825" y="3029937425"/>
          <a:ext cx="878840" cy="1183640"/>
        </a:xfrm>
        <a:prstGeom prst="rect">
          <a:avLst/>
        </a:prstGeom>
      </xdr:spPr>
    </xdr:pic>
    <xdr:clientData/>
  </xdr:twoCellAnchor>
  <xdr:twoCellAnchor>
    <xdr:from>
      <xdr:col>9</xdr:col>
      <xdr:colOff>6350</xdr:colOff>
      <xdr:row>3097</xdr:row>
      <xdr:rowOff>25400</xdr:rowOff>
    </xdr:from>
    <xdr:to>
      <xdr:col>9</xdr:col>
      <xdr:colOff>885190</xdr:colOff>
      <xdr:row>3097</xdr:row>
      <xdr:rowOff>1209040</xdr:rowOff>
    </xdr:to>
    <xdr:pic>
      <xdr:nvPicPr>
        <xdr:cNvPr id="7596" name="Изображение 7595" descr="resizeПП-00118947"/>
        <xdr:cNvPicPr>
          <a:picLocks noChangeAspect="1"/>
        </xdr:cNvPicPr>
      </xdr:nvPicPr>
      <xdr:blipFill>
        <a:blip xmlns:r="http://schemas.openxmlformats.org/officeDocument/2006/relationships" r:embed="rId2312"/>
        <a:stretch>
          <a:fillRect/>
        </a:stretch>
      </xdr:blipFill>
      <xdr:spPr>
        <a:xfrm>
          <a:off x="7235825" y="3031159800"/>
          <a:ext cx="878840" cy="1183640"/>
        </a:xfrm>
        <a:prstGeom prst="rect">
          <a:avLst/>
        </a:prstGeom>
      </xdr:spPr>
    </xdr:pic>
    <xdr:clientData/>
  </xdr:twoCellAnchor>
  <xdr:twoCellAnchor>
    <xdr:from>
      <xdr:col>9</xdr:col>
      <xdr:colOff>6350</xdr:colOff>
      <xdr:row>3098</xdr:row>
      <xdr:rowOff>25400</xdr:rowOff>
    </xdr:from>
    <xdr:to>
      <xdr:col>9</xdr:col>
      <xdr:colOff>885190</xdr:colOff>
      <xdr:row>3098</xdr:row>
      <xdr:rowOff>1209040</xdr:rowOff>
    </xdr:to>
    <xdr:pic>
      <xdr:nvPicPr>
        <xdr:cNvPr id="7597" name="Изображение 7596" descr="resizeПП-00118946"/>
        <xdr:cNvPicPr>
          <a:picLocks noChangeAspect="1"/>
        </xdr:cNvPicPr>
      </xdr:nvPicPr>
      <xdr:blipFill>
        <a:blip xmlns:r="http://schemas.openxmlformats.org/officeDocument/2006/relationships" r:embed="rId2313"/>
        <a:stretch>
          <a:fillRect/>
        </a:stretch>
      </xdr:blipFill>
      <xdr:spPr>
        <a:xfrm>
          <a:off x="7235825" y="3032382175"/>
          <a:ext cx="878840" cy="1183640"/>
        </a:xfrm>
        <a:prstGeom prst="rect">
          <a:avLst/>
        </a:prstGeom>
      </xdr:spPr>
    </xdr:pic>
    <xdr:clientData/>
  </xdr:twoCellAnchor>
  <xdr:twoCellAnchor>
    <xdr:from>
      <xdr:col>9</xdr:col>
      <xdr:colOff>6350</xdr:colOff>
      <xdr:row>3100</xdr:row>
      <xdr:rowOff>25400</xdr:rowOff>
    </xdr:from>
    <xdr:to>
      <xdr:col>9</xdr:col>
      <xdr:colOff>885190</xdr:colOff>
      <xdr:row>3100</xdr:row>
      <xdr:rowOff>1209040</xdr:rowOff>
    </xdr:to>
    <xdr:pic>
      <xdr:nvPicPr>
        <xdr:cNvPr id="7598" name="Изображение 7597" descr="resizeПП-00257822"/>
        <xdr:cNvPicPr>
          <a:picLocks noChangeAspect="1"/>
        </xdr:cNvPicPr>
      </xdr:nvPicPr>
      <xdr:blipFill>
        <a:blip xmlns:r="http://schemas.openxmlformats.org/officeDocument/2006/relationships" r:embed="rId2314"/>
        <a:stretch>
          <a:fillRect/>
        </a:stretch>
      </xdr:blipFill>
      <xdr:spPr>
        <a:xfrm>
          <a:off x="7235825" y="3033756950"/>
          <a:ext cx="878840" cy="1183640"/>
        </a:xfrm>
        <a:prstGeom prst="rect">
          <a:avLst/>
        </a:prstGeom>
      </xdr:spPr>
    </xdr:pic>
    <xdr:clientData/>
  </xdr:twoCellAnchor>
  <xdr:twoCellAnchor>
    <xdr:from>
      <xdr:col>9</xdr:col>
      <xdr:colOff>6350</xdr:colOff>
      <xdr:row>3101</xdr:row>
      <xdr:rowOff>25400</xdr:rowOff>
    </xdr:from>
    <xdr:to>
      <xdr:col>9</xdr:col>
      <xdr:colOff>885190</xdr:colOff>
      <xdr:row>3101</xdr:row>
      <xdr:rowOff>1209040</xdr:rowOff>
    </xdr:to>
    <xdr:pic>
      <xdr:nvPicPr>
        <xdr:cNvPr id="7599" name="Изображение 7598" descr="resizeПП-00219340"/>
        <xdr:cNvPicPr>
          <a:picLocks noChangeAspect="1"/>
        </xdr:cNvPicPr>
      </xdr:nvPicPr>
      <xdr:blipFill>
        <a:blip xmlns:r="http://schemas.openxmlformats.org/officeDocument/2006/relationships" r:embed="rId2315"/>
        <a:stretch>
          <a:fillRect/>
        </a:stretch>
      </xdr:blipFill>
      <xdr:spPr>
        <a:xfrm>
          <a:off x="7235825" y="3034979325"/>
          <a:ext cx="878840" cy="1183640"/>
        </a:xfrm>
        <a:prstGeom prst="rect">
          <a:avLst/>
        </a:prstGeom>
      </xdr:spPr>
    </xdr:pic>
    <xdr:clientData/>
  </xdr:twoCellAnchor>
  <xdr:twoCellAnchor>
    <xdr:from>
      <xdr:col>9</xdr:col>
      <xdr:colOff>6350</xdr:colOff>
      <xdr:row>3104</xdr:row>
      <xdr:rowOff>25400</xdr:rowOff>
    </xdr:from>
    <xdr:to>
      <xdr:col>9</xdr:col>
      <xdr:colOff>885190</xdr:colOff>
      <xdr:row>3104</xdr:row>
      <xdr:rowOff>1209040</xdr:rowOff>
    </xdr:to>
    <xdr:pic>
      <xdr:nvPicPr>
        <xdr:cNvPr id="7600" name="Изображение 7599" descr="resizeПП-00234065"/>
        <xdr:cNvPicPr>
          <a:picLocks noChangeAspect="1"/>
        </xdr:cNvPicPr>
      </xdr:nvPicPr>
      <xdr:blipFill>
        <a:blip xmlns:r="http://schemas.openxmlformats.org/officeDocument/2006/relationships" r:embed="rId2316"/>
        <a:stretch>
          <a:fillRect/>
        </a:stretch>
      </xdr:blipFill>
      <xdr:spPr>
        <a:xfrm>
          <a:off x="7235825" y="3036506500"/>
          <a:ext cx="878840" cy="1183640"/>
        </a:xfrm>
        <a:prstGeom prst="rect">
          <a:avLst/>
        </a:prstGeom>
      </xdr:spPr>
    </xdr:pic>
    <xdr:clientData/>
  </xdr:twoCellAnchor>
  <xdr:twoCellAnchor>
    <xdr:from>
      <xdr:col>9</xdr:col>
      <xdr:colOff>6350</xdr:colOff>
      <xdr:row>3105</xdr:row>
      <xdr:rowOff>25400</xdr:rowOff>
    </xdr:from>
    <xdr:to>
      <xdr:col>9</xdr:col>
      <xdr:colOff>885190</xdr:colOff>
      <xdr:row>3105</xdr:row>
      <xdr:rowOff>1209040</xdr:rowOff>
    </xdr:to>
    <xdr:pic>
      <xdr:nvPicPr>
        <xdr:cNvPr id="7601" name="Изображение 7600" descr="resizeПП-00234079"/>
        <xdr:cNvPicPr>
          <a:picLocks noChangeAspect="1"/>
        </xdr:cNvPicPr>
      </xdr:nvPicPr>
      <xdr:blipFill>
        <a:blip xmlns:r="http://schemas.openxmlformats.org/officeDocument/2006/relationships" r:embed="rId2317"/>
        <a:stretch>
          <a:fillRect/>
        </a:stretch>
      </xdr:blipFill>
      <xdr:spPr>
        <a:xfrm>
          <a:off x="7235825" y="3037728875"/>
          <a:ext cx="878840" cy="1183640"/>
        </a:xfrm>
        <a:prstGeom prst="rect">
          <a:avLst/>
        </a:prstGeom>
      </xdr:spPr>
    </xdr:pic>
    <xdr:clientData/>
  </xdr:twoCellAnchor>
  <xdr:twoCellAnchor>
    <xdr:from>
      <xdr:col>9</xdr:col>
      <xdr:colOff>6350</xdr:colOff>
      <xdr:row>3106</xdr:row>
      <xdr:rowOff>25400</xdr:rowOff>
    </xdr:from>
    <xdr:to>
      <xdr:col>9</xdr:col>
      <xdr:colOff>885190</xdr:colOff>
      <xdr:row>3106</xdr:row>
      <xdr:rowOff>1209040</xdr:rowOff>
    </xdr:to>
    <xdr:pic>
      <xdr:nvPicPr>
        <xdr:cNvPr id="7602" name="Изображение 7601" descr="resizeПП-00203623"/>
        <xdr:cNvPicPr>
          <a:picLocks noChangeAspect="1"/>
        </xdr:cNvPicPr>
      </xdr:nvPicPr>
      <xdr:blipFill>
        <a:blip xmlns:r="http://schemas.openxmlformats.org/officeDocument/2006/relationships" r:embed="rId2318"/>
        <a:stretch>
          <a:fillRect/>
        </a:stretch>
      </xdr:blipFill>
      <xdr:spPr>
        <a:xfrm>
          <a:off x="7235825" y="3038951250"/>
          <a:ext cx="878840" cy="1183640"/>
        </a:xfrm>
        <a:prstGeom prst="rect">
          <a:avLst/>
        </a:prstGeom>
      </xdr:spPr>
    </xdr:pic>
    <xdr:clientData/>
  </xdr:twoCellAnchor>
  <xdr:twoCellAnchor>
    <xdr:from>
      <xdr:col>9</xdr:col>
      <xdr:colOff>6350</xdr:colOff>
      <xdr:row>3107</xdr:row>
      <xdr:rowOff>25400</xdr:rowOff>
    </xdr:from>
    <xdr:to>
      <xdr:col>9</xdr:col>
      <xdr:colOff>885190</xdr:colOff>
      <xdr:row>3107</xdr:row>
      <xdr:rowOff>1209040</xdr:rowOff>
    </xdr:to>
    <xdr:pic>
      <xdr:nvPicPr>
        <xdr:cNvPr id="7603" name="Изображение 7602" descr="resizeПП-00203627"/>
        <xdr:cNvPicPr>
          <a:picLocks noChangeAspect="1"/>
        </xdr:cNvPicPr>
      </xdr:nvPicPr>
      <xdr:blipFill>
        <a:blip xmlns:r="http://schemas.openxmlformats.org/officeDocument/2006/relationships" r:embed="rId2319"/>
        <a:stretch>
          <a:fillRect/>
        </a:stretch>
      </xdr:blipFill>
      <xdr:spPr>
        <a:xfrm>
          <a:off x="7235825" y="3040173625"/>
          <a:ext cx="878840" cy="1183640"/>
        </a:xfrm>
        <a:prstGeom prst="rect">
          <a:avLst/>
        </a:prstGeom>
      </xdr:spPr>
    </xdr:pic>
    <xdr:clientData/>
  </xdr:twoCellAnchor>
  <xdr:twoCellAnchor>
    <xdr:from>
      <xdr:col>9</xdr:col>
      <xdr:colOff>6350</xdr:colOff>
      <xdr:row>3108</xdr:row>
      <xdr:rowOff>25400</xdr:rowOff>
    </xdr:from>
    <xdr:to>
      <xdr:col>9</xdr:col>
      <xdr:colOff>885190</xdr:colOff>
      <xdr:row>3108</xdr:row>
      <xdr:rowOff>1209040</xdr:rowOff>
    </xdr:to>
    <xdr:pic>
      <xdr:nvPicPr>
        <xdr:cNvPr id="7604" name="Изображение 7603" descr="resizeПП-00203625"/>
        <xdr:cNvPicPr>
          <a:picLocks noChangeAspect="1"/>
        </xdr:cNvPicPr>
      </xdr:nvPicPr>
      <xdr:blipFill>
        <a:blip xmlns:r="http://schemas.openxmlformats.org/officeDocument/2006/relationships" r:embed="rId2320"/>
        <a:stretch>
          <a:fillRect/>
        </a:stretch>
      </xdr:blipFill>
      <xdr:spPr>
        <a:xfrm>
          <a:off x="7235825" y="3041396000"/>
          <a:ext cx="878840" cy="1183640"/>
        </a:xfrm>
        <a:prstGeom prst="rect">
          <a:avLst/>
        </a:prstGeom>
      </xdr:spPr>
    </xdr:pic>
    <xdr:clientData/>
  </xdr:twoCellAnchor>
  <xdr:twoCellAnchor>
    <xdr:from>
      <xdr:col>9</xdr:col>
      <xdr:colOff>6350</xdr:colOff>
      <xdr:row>3109</xdr:row>
      <xdr:rowOff>25400</xdr:rowOff>
    </xdr:from>
    <xdr:to>
      <xdr:col>9</xdr:col>
      <xdr:colOff>885190</xdr:colOff>
      <xdr:row>3109</xdr:row>
      <xdr:rowOff>1209040</xdr:rowOff>
    </xdr:to>
    <xdr:pic>
      <xdr:nvPicPr>
        <xdr:cNvPr id="7605" name="Изображение 7604" descr="resizeПП-00254891"/>
        <xdr:cNvPicPr>
          <a:picLocks noChangeAspect="1"/>
        </xdr:cNvPicPr>
      </xdr:nvPicPr>
      <xdr:blipFill>
        <a:blip xmlns:r="http://schemas.openxmlformats.org/officeDocument/2006/relationships" r:embed="rId2321"/>
        <a:stretch>
          <a:fillRect/>
        </a:stretch>
      </xdr:blipFill>
      <xdr:spPr>
        <a:xfrm>
          <a:off x="7235825" y="3042618375"/>
          <a:ext cx="878840" cy="1183640"/>
        </a:xfrm>
        <a:prstGeom prst="rect">
          <a:avLst/>
        </a:prstGeom>
      </xdr:spPr>
    </xdr:pic>
    <xdr:clientData/>
  </xdr:twoCellAnchor>
  <xdr:twoCellAnchor>
    <xdr:from>
      <xdr:col>9</xdr:col>
      <xdr:colOff>6350</xdr:colOff>
      <xdr:row>3110</xdr:row>
      <xdr:rowOff>25400</xdr:rowOff>
    </xdr:from>
    <xdr:to>
      <xdr:col>9</xdr:col>
      <xdr:colOff>885190</xdr:colOff>
      <xdr:row>3110</xdr:row>
      <xdr:rowOff>1209040</xdr:rowOff>
    </xdr:to>
    <xdr:pic>
      <xdr:nvPicPr>
        <xdr:cNvPr id="7606" name="Изображение 7605" descr="resizeПП-00254892"/>
        <xdr:cNvPicPr>
          <a:picLocks noChangeAspect="1"/>
        </xdr:cNvPicPr>
      </xdr:nvPicPr>
      <xdr:blipFill>
        <a:blip xmlns:r="http://schemas.openxmlformats.org/officeDocument/2006/relationships" r:embed="rId2322"/>
        <a:stretch>
          <a:fillRect/>
        </a:stretch>
      </xdr:blipFill>
      <xdr:spPr>
        <a:xfrm>
          <a:off x="7235825" y="3043840750"/>
          <a:ext cx="878840" cy="1183640"/>
        </a:xfrm>
        <a:prstGeom prst="rect">
          <a:avLst/>
        </a:prstGeom>
      </xdr:spPr>
    </xdr:pic>
    <xdr:clientData/>
  </xdr:twoCellAnchor>
  <xdr:twoCellAnchor>
    <xdr:from>
      <xdr:col>9</xdr:col>
      <xdr:colOff>6350</xdr:colOff>
      <xdr:row>3111</xdr:row>
      <xdr:rowOff>25400</xdr:rowOff>
    </xdr:from>
    <xdr:to>
      <xdr:col>9</xdr:col>
      <xdr:colOff>885190</xdr:colOff>
      <xdr:row>3111</xdr:row>
      <xdr:rowOff>1209040</xdr:rowOff>
    </xdr:to>
    <xdr:pic>
      <xdr:nvPicPr>
        <xdr:cNvPr id="7607" name="Изображение 7606" descr="resizeПП-00254890"/>
        <xdr:cNvPicPr>
          <a:picLocks noChangeAspect="1"/>
        </xdr:cNvPicPr>
      </xdr:nvPicPr>
      <xdr:blipFill>
        <a:blip xmlns:r="http://schemas.openxmlformats.org/officeDocument/2006/relationships" r:embed="rId2323"/>
        <a:stretch>
          <a:fillRect/>
        </a:stretch>
      </xdr:blipFill>
      <xdr:spPr>
        <a:xfrm>
          <a:off x="7235825" y="3045063125"/>
          <a:ext cx="878840" cy="1183640"/>
        </a:xfrm>
        <a:prstGeom prst="rect">
          <a:avLst/>
        </a:prstGeom>
      </xdr:spPr>
    </xdr:pic>
    <xdr:clientData/>
  </xdr:twoCellAnchor>
  <xdr:twoCellAnchor>
    <xdr:from>
      <xdr:col>9</xdr:col>
      <xdr:colOff>6350</xdr:colOff>
      <xdr:row>3112</xdr:row>
      <xdr:rowOff>25400</xdr:rowOff>
    </xdr:from>
    <xdr:to>
      <xdr:col>9</xdr:col>
      <xdr:colOff>885190</xdr:colOff>
      <xdr:row>3112</xdr:row>
      <xdr:rowOff>1209040</xdr:rowOff>
    </xdr:to>
    <xdr:pic>
      <xdr:nvPicPr>
        <xdr:cNvPr id="7608" name="Изображение 7607" descr="resizeПП-00254888"/>
        <xdr:cNvPicPr>
          <a:picLocks noChangeAspect="1"/>
        </xdr:cNvPicPr>
      </xdr:nvPicPr>
      <xdr:blipFill>
        <a:blip xmlns:r="http://schemas.openxmlformats.org/officeDocument/2006/relationships" r:embed="rId2324"/>
        <a:stretch>
          <a:fillRect/>
        </a:stretch>
      </xdr:blipFill>
      <xdr:spPr>
        <a:xfrm>
          <a:off x="7235825" y="3046285500"/>
          <a:ext cx="878840" cy="1183640"/>
        </a:xfrm>
        <a:prstGeom prst="rect">
          <a:avLst/>
        </a:prstGeom>
      </xdr:spPr>
    </xdr:pic>
    <xdr:clientData/>
  </xdr:twoCellAnchor>
  <xdr:twoCellAnchor>
    <xdr:from>
      <xdr:col>9</xdr:col>
      <xdr:colOff>6350</xdr:colOff>
      <xdr:row>3115</xdr:row>
      <xdr:rowOff>25400</xdr:rowOff>
    </xdr:from>
    <xdr:to>
      <xdr:col>9</xdr:col>
      <xdr:colOff>885190</xdr:colOff>
      <xdr:row>3115</xdr:row>
      <xdr:rowOff>1209040</xdr:rowOff>
    </xdr:to>
    <xdr:pic>
      <xdr:nvPicPr>
        <xdr:cNvPr id="7609" name="Изображение 7608" descr="resizeПП-00248100"/>
        <xdr:cNvPicPr>
          <a:picLocks noChangeAspect="1"/>
        </xdr:cNvPicPr>
      </xdr:nvPicPr>
      <xdr:blipFill>
        <a:blip xmlns:r="http://schemas.openxmlformats.org/officeDocument/2006/relationships" r:embed="rId2325"/>
        <a:stretch>
          <a:fillRect/>
        </a:stretch>
      </xdr:blipFill>
      <xdr:spPr>
        <a:xfrm>
          <a:off x="7235825" y="3047812675"/>
          <a:ext cx="878840" cy="1183640"/>
        </a:xfrm>
        <a:prstGeom prst="rect">
          <a:avLst/>
        </a:prstGeom>
      </xdr:spPr>
    </xdr:pic>
    <xdr:clientData/>
  </xdr:twoCellAnchor>
  <xdr:twoCellAnchor>
    <xdr:from>
      <xdr:col>9</xdr:col>
      <xdr:colOff>6350</xdr:colOff>
      <xdr:row>3117</xdr:row>
      <xdr:rowOff>25400</xdr:rowOff>
    </xdr:from>
    <xdr:to>
      <xdr:col>9</xdr:col>
      <xdr:colOff>885190</xdr:colOff>
      <xdr:row>3117</xdr:row>
      <xdr:rowOff>1209040</xdr:rowOff>
    </xdr:to>
    <xdr:pic>
      <xdr:nvPicPr>
        <xdr:cNvPr id="7610" name="Изображение 7609" descr="resizeПП-00141830"/>
        <xdr:cNvPicPr>
          <a:picLocks noChangeAspect="1"/>
        </xdr:cNvPicPr>
      </xdr:nvPicPr>
      <xdr:blipFill>
        <a:blip xmlns:r="http://schemas.openxmlformats.org/officeDocument/2006/relationships" r:embed="rId2326"/>
        <a:stretch>
          <a:fillRect/>
        </a:stretch>
      </xdr:blipFill>
      <xdr:spPr>
        <a:xfrm>
          <a:off x="7235825" y="3049187450"/>
          <a:ext cx="878840" cy="1183640"/>
        </a:xfrm>
        <a:prstGeom prst="rect">
          <a:avLst/>
        </a:prstGeom>
      </xdr:spPr>
    </xdr:pic>
    <xdr:clientData/>
  </xdr:twoCellAnchor>
  <xdr:twoCellAnchor>
    <xdr:from>
      <xdr:col>9</xdr:col>
      <xdr:colOff>6350</xdr:colOff>
      <xdr:row>3118</xdr:row>
      <xdr:rowOff>25400</xdr:rowOff>
    </xdr:from>
    <xdr:to>
      <xdr:col>9</xdr:col>
      <xdr:colOff>885190</xdr:colOff>
      <xdr:row>3118</xdr:row>
      <xdr:rowOff>1209040</xdr:rowOff>
    </xdr:to>
    <xdr:pic>
      <xdr:nvPicPr>
        <xdr:cNvPr id="7611" name="Изображение 7610" descr="resizeПП-00102658"/>
        <xdr:cNvPicPr>
          <a:picLocks noChangeAspect="1"/>
        </xdr:cNvPicPr>
      </xdr:nvPicPr>
      <xdr:blipFill>
        <a:blip xmlns:r="http://schemas.openxmlformats.org/officeDocument/2006/relationships" r:embed="rId2327"/>
        <a:stretch>
          <a:fillRect/>
        </a:stretch>
      </xdr:blipFill>
      <xdr:spPr>
        <a:xfrm>
          <a:off x="7235825" y="3050409825"/>
          <a:ext cx="878840" cy="1183640"/>
        </a:xfrm>
        <a:prstGeom prst="rect">
          <a:avLst/>
        </a:prstGeom>
      </xdr:spPr>
    </xdr:pic>
    <xdr:clientData/>
  </xdr:twoCellAnchor>
  <xdr:twoCellAnchor>
    <xdr:from>
      <xdr:col>9</xdr:col>
      <xdr:colOff>6350</xdr:colOff>
      <xdr:row>3120</xdr:row>
      <xdr:rowOff>25400</xdr:rowOff>
    </xdr:from>
    <xdr:to>
      <xdr:col>9</xdr:col>
      <xdr:colOff>885190</xdr:colOff>
      <xdr:row>3120</xdr:row>
      <xdr:rowOff>1209040</xdr:rowOff>
    </xdr:to>
    <xdr:pic>
      <xdr:nvPicPr>
        <xdr:cNvPr id="7612" name="Изображение 7611" descr="resizeПП-00244497"/>
        <xdr:cNvPicPr>
          <a:picLocks noChangeAspect="1"/>
        </xdr:cNvPicPr>
      </xdr:nvPicPr>
      <xdr:blipFill>
        <a:blip xmlns:r="http://schemas.openxmlformats.org/officeDocument/2006/relationships" r:embed="rId2328"/>
        <a:stretch>
          <a:fillRect/>
        </a:stretch>
      </xdr:blipFill>
      <xdr:spPr>
        <a:xfrm>
          <a:off x="7235825" y="3051784600"/>
          <a:ext cx="878840" cy="1183640"/>
        </a:xfrm>
        <a:prstGeom prst="rect">
          <a:avLst/>
        </a:prstGeom>
      </xdr:spPr>
    </xdr:pic>
    <xdr:clientData/>
  </xdr:twoCellAnchor>
  <xdr:twoCellAnchor>
    <xdr:from>
      <xdr:col>9</xdr:col>
      <xdr:colOff>6350</xdr:colOff>
      <xdr:row>3121</xdr:row>
      <xdr:rowOff>25400</xdr:rowOff>
    </xdr:from>
    <xdr:to>
      <xdr:col>9</xdr:col>
      <xdr:colOff>885190</xdr:colOff>
      <xdr:row>3121</xdr:row>
      <xdr:rowOff>1209040</xdr:rowOff>
    </xdr:to>
    <xdr:pic>
      <xdr:nvPicPr>
        <xdr:cNvPr id="7613" name="Изображение 7612" descr="resizeПП-00244490"/>
        <xdr:cNvPicPr>
          <a:picLocks noChangeAspect="1"/>
        </xdr:cNvPicPr>
      </xdr:nvPicPr>
      <xdr:blipFill>
        <a:blip xmlns:r="http://schemas.openxmlformats.org/officeDocument/2006/relationships" r:embed="rId2329"/>
        <a:stretch>
          <a:fillRect/>
        </a:stretch>
      </xdr:blipFill>
      <xdr:spPr>
        <a:xfrm>
          <a:off x="7235825" y="3053006975"/>
          <a:ext cx="878840" cy="1183640"/>
        </a:xfrm>
        <a:prstGeom prst="rect">
          <a:avLst/>
        </a:prstGeom>
      </xdr:spPr>
    </xdr:pic>
    <xdr:clientData/>
  </xdr:twoCellAnchor>
  <xdr:twoCellAnchor>
    <xdr:from>
      <xdr:col>9</xdr:col>
      <xdr:colOff>6350</xdr:colOff>
      <xdr:row>3122</xdr:row>
      <xdr:rowOff>25400</xdr:rowOff>
    </xdr:from>
    <xdr:to>
      <xdr:col>9</xdr:col>
      <xdr:colOff>885190</xdr:colOff>
      <xdr:row>3122</xdr:row>
      <xdr:rowOff>1209040</xdr:rowOff>
    </xdr:to>
    <xdr:pic>
      <xdr:nvPicPr>
        <xdr:cNvPr id="7614" name="Изображение 7613" descr="resizeПП-00244487"/>
        <xdr:cNvPicPr>
          <a:picLocks noChangeAspect="1"/>
        </xdr:cNvPicPr>
      </xdr:nvPicPr>
      <xdr:blipFill>
        <a:blip xmlns:r="http://schemas.openxmlformats.org/officeDocument/2006/relationships" r:embed="rId2330"/>
        <a:stretch>
          <a:fillRect/>
        </a:stretch>
      </xdr:blipFill>
      <xdr:spPr>
        <a:xfrm>
          <a:off x="7235825" y="3054229350"/>
          <a:ext cx="878840" cy="1183640"/>
        </a:xfrm>
        <a:prstGeom prst="rect">
          <a:avLst/>
        </a:prstGeom>
      </xdr:spPr>
    </xdr:pic>
    <xdr:clientData/>
  </xdr:twoCellAnchor>
  <xdr:twoCellAnchor>
    <xdr:from>
      <xdr:col>9</xdr:col>
      <xdr:colOff>6350</xdr:colOff>
      <xdr:row>3123</xdr:row>
      <xdr:rowOff>25400</xdr:rowOff>
    </xdr:from>
    <xdr:to>
      <xdr:col>9</xdr:col>
      <xdr:colOff>885190</xdr:colOff>
      <xdr:row>3123</xdr:row>
      <xdr:rowOff>1209040</xdr:rowOff>
    </xdr:to>
    <xdr:pic>
      <xdr:nvPicPr>
        <xdr:cNvPr id="7615" name="Изображение 7614" descr="resizeПП-00207941"/>
        <xdr:cNvPicPr>
          <a:picLocks noChangeAspect="1"/>
        </xdr:cNvPicPr>
      </xdr:nvPicPr>
      <xdr:blipFill>
        <a:blip xmlns:r="http://schemas.openxmlformats.org/officeDocument/2006/relationships" r:embed="rId2331"/>
        <a:stretch>
          <a:fillRect/>
        </a:stretch>
      </xdr:blipFill>
      <xdr:spPr>
        <a:xfrm>
          <a:off x="7235825" y="3055451725"/>
          <a:ext cx="878840" cy="1183640"/>
        </a:xfrm>
        <a:prstGeom prst="rect">
          <a:avLst/>
        </a:prstGeom>
      </xdr:spPr>
    </xdr:pic>
    <xdr:clientData/>
  </xdr:twoCellAnchor>
  <xdr:twoCellAnchor>
    <xdr:from>
      <xdr:col>9</xdr:col>
      <xdr:colOff>6350</xdr:colOff>
      <xdr:row>3124</xdr:row>
      <xdr:rowOff>25400</xdr:rowOff>
    </xdr:from>
    <xdr:to>
      <xdr:col>9</xdr:col>
      <xdr:colOff>885190</xdr:colOff>
      <xdr:row>3124</xdr:row>
      <xdr:rowOff>1209040</xdr:rowOff>
    </xdr:to>
    <xdr:pic>
      <xdr:nvPicPr>
        <xdr:cNvPr id="7616" name="Изображение 7615" descr="resizeПП-00207952"/>
        <xdr:cNvPicPr>
          <a:picLocks noChangeAspect="1"/>
        </xdr:cNvPicPr>
      </xdr:nvPicPr>
      <xdr:blipFill>
        <a:blip xmlns:r="http://schemas.openxmlformats.org/officeDocument/2006/relationships" r:embed="rId2332"/>
        <a:stretch>
          <a:fillRect/>
        </a:stretch>
      </xdr:blipFill>
      <xdr:spPr>
        <a:xfrm>
          <a:off x="7235825" y="3056674100"/>
          <a:ext cx="878840" cy="1183640"/>
        </a:xfrm>
        <a:prstGeom prst="rect">
          <a:avLst/>
        </a:prstGeom>
      </xdr:spPr>
    </xdr:pic>
    <xdr:clientData/>
  </xdr:twoCellAnchor>
  <xdr:twoCellAnchor>
    <xdr:from>
      <xdr:col>9</xdr:col>
      <xdr:colOff>6350</xdr:colOff>
      <xdr:row>3125</xdr:row>
      <xdr:rowOff>25400</xdr:rowOff>
    </xdr:from>
    <xdr:to>
      <xdr:col>9</xdr:col>
      <xdr:colOff>885190</xdr:colOff>
      <xdr:row>3125</xdr:row>
      <xdr:rowOff>1209040</xdr:rowOff>
    </xdr:to>
    <xdr:pic>
      <xdr:nvPicPr>
        <xdr:cNvPr id="7617" name="Изображение 7616" descr="resizeПП-00225693"/>
        <xdr:cNvPicPr>
          <a:picLocks noChangeAspect="1"/>
        </xdr:cNvPicPr>
      </xdr:nvPicPr>
      <xdr:blipFill>
        <a:blip xmlns:r="http://schemas.openxmlformats.org/officeDocument/2006/relationships" r:embed="rId2333"/>
        <a:stretch>
          <a:fillRect/>
        </a:stretch>
      </xdr:blipFill>
      <xdr:spPr>
        <a:xfrm>
          <a:off x="7235825" y="3057896475"/>
          <a:ext cx="878840" cy="1183640"/>
        </a:xfrm>
        <a:prstGeom prst="rect">
          <a:avLst/>
        </a:prstGeom>
      </xdr:spPr>
    </xdr:pic>
    <xdr:clientData/>
  </xdr:twoCellAnchor>
  <xdr:twoCellAnchor>
    <xdr:from>
      <xdr:col>9</xdr:col>
      <xdr:colOff>6350</xdr:colOff>
      <xdr:row>3126</xdr:row>
      <xdr:rowOff>25400</xdr:rowOff>
    </xdr:from>
    <xdr:to>
      <xdr:col>9</xdr:col>
      <xdr:colOff>885190</xdr:colOff>
      <xdr:row>3126</xdr:row>
      <xdr:rowOff>1209040</xdr:rowOff>
    </xdr:to>
    <xdr:pic>
      <xdr:nvPicPr>
        <xdr:cNvPr id="7618" name="Изображение 7617" descr="resizeПП-00225692"/>
        <xdr:cNvPicPr>
          <a:picLocks noChangeAspect="1"/>
        </xdr:cNvPicPr>
      </xdr:nvPicPr>
      <xdr:blipFill>
        <a:blip xmlns:r="http://schemas.openxmlformats.org/officeDocument/2006/relationships" r:embed="rId2334"/>
        <a:stretch>
          <a:fillRect/>
        </a:stretch>
      </xdr:blipFill>
      <xdr:spPr>
        <a:xfrm>
          <a:off x="7235825" y="3059118850"/>
          <a:ext cx="878840" cy="1183640"/>
        </a:xfrm>
        <a:prstGeom prst="rect">
          <a:avLst/>
        </a:prstGeom>
      </xdr:spPr>
    </xdr:pic>
    <xdr:clientData/>
  </xdr:twoCellAnchor>
  <xdr:twoCellAnchor>
    <xdr:from>
      <xdr:col>9</xdr:col>
      <xdr:colOff>6350</xdr:colOff>
      <xdr:row>3127</xdr:row>
      <xdr:rowOff>25400</xdr:rowOff>
    </xdr:from>
    <xdr:to>
      <xdr:col>9</xdr:col>
      <xdr:colOff>885190</xdr:colOff>
      <xdr:row>3127</xdr:row>
      <xdr:rowOff>1209040</xdr:rowOff>
    </xdr:to>
    <xdr:pic>
      <xdr:nvPicPr>
        <xdr:cNvPr id="7619" name="Изображение 7618" descr="resizeПП-00225691"/>
        <xdr:cNvPicPr>
          <a:picLocks noChangeAspect="1"/>
        </xdr:cNvPicPr>
      </xdr:nvPicPr>
      <xdr:blipFill>
        <a:blip xmlns:r="http://schemas.openxmlformats.org/officeDocument/2006/relationships" r:embed="rId2335"/>
        <a:stretch>
          <a:fillRect/>
        </a:stretch>
      </xdr:blipFill>
      <xdr:spPr>
        <a:xfrm>
          <a:off x="7235825" y="3060341225"/>
          <a:ext cx="878840" cy="1183640"/>
        </a:xfrm>
        <a:prstGeom prst="rect">
          <a:avLst/>
        </a:prstGeom>
      </xdr:spPr>
    </xdr:pic>
    <xdr:clientData/>
  </xdr:twoCellAnchor>
  <xdr:twoCellAnchor>
    <xdr:from>
      <xdr:col>9</xdr:col>
      <xdr:colOff>6350</xdr:colOff>
      <xdr:row>3128</xdr:row>
      <xdr:rowOff>25400</xdr:rowOff>
    </xdr:from>
    <xdr:to>
      <xdr:col>9</xdr:col>
      <xdr:colOff>885190</xdr:colOff>
      <xdr:row>3128</xdr:row>
      <xdr:rowOff>1209040</xdr:rowOff>
    </xdr:to>
    <xdr:pic>
      <xdr:nvPicPr>
        <xdr:cNvPr id="7620" name="Изображение 7619" descr="resizeПП-00267358"/>
        <xdr:cNvPicPr>
          <a:picLocks noChangeAspect="1"/>
        </xdr:cNvPicPr>
      </xdr:nvPicPr>
      <xdr:blipFill>
        <a:blip xmlns:r="http://schemas.openxmlformats.org/officeDocument/2006/relationships" r:embed="rId2336"/>
        <a:stretch>
          <a:fillRect/>
        </a:stretch>
      </xdr:blipFill>
      <xdr:spPr>
        <a:xfrm>
          <a:off x="7235825" y="3061563600"/>
          <a:ext cx="878840" cy="1183640"/>
        </a:xfrm>
        <a:prstGeom prst="rect">
          <a:avLst/>
        </a:prstGeom>
      </xdr:spPr>
    </xdr:pic>
    <xdr:clientData/>
  </xdr:twoCellAnchor>
  <xdr:twoCellAnchor>
    <xdr:from>
      <xdr:col>9</xdr:col>
      <xdr:colOff>6350</xdr:colOff>
      <xdr:row>3129</xdr:row>
      <xdr:rowOff>25400</xdr:rowOff>
    </xdr:from>
    <xdr:to>
      <xdr:col>9</xdr:col>
      <xdr:colOff>885190</xdr:colOff>
      <xdr:row>3129</xdr:row>
      <xdr:rowOff>1209040</xdr:rowOff>
    </xdr:to>
    <xdr:pic>
      <xdr:nvPicPr>
        <xdr:cNvPr id="7621" name="Изображение 7620" descr="resizeПП-00207957"/>
        <xdr:cNvPicPr>
          <a:picLocks noChangeAspect="1"/>
        </xdr:cNvPicPr>
      </xdr:nvPicPr>
      <xdr:blipFill>
        <a:blip xmlns:r="http://schemas.openxmlformats.org/officeDocument/2006/relationships" r:embed="rId2337"/>
        <a:stretch>
          <a:fillRect/>
        </a:stretch>
      </xdr:blipFill>
      <xdr:spPr>
        <a:xfrm>
          <a:off x="7235825" y="3062785975"/>
          <a:ext cx="878840" cy="1183640"/>
        </a:xfrm>
        <a:prstGeom prst="rect">
          <a:avLst/>
        </a:prstGeom>
      </xdr:spPr>
    </xdr:pic>
    <xdr:clientData/>
  </xdr:twoCellAnchor>
  <xdr:twoCellAnchor>
    <xdr:from>
      <xdr:col>9</xdr:col>
      <xdr:colOff>6350</xdr:colOff>
      <xdr:row>3130</xdr:row>
      <xdr:rowOff>25400</xdr:rowOff>
    </xdr:from>
    <xdr:to>
      <xdr:col>9</xdr:col>
      <xdr:colOff>885190</xdr:colOff>
      <xdr:row>3130</xdr:row>
      <xdr:rowOff>1209040</xdr:rowOff>
    </xdr:to>
    <xdr:pic>
      <xdr:nvPicPr>
        <xdr:cNvPr id="7622" name="Изображение 7621" descr="resizeПП-00219319"/>
        <xdr:cNvPicPr>
          <a:picLocks noChangeAspect="1"/>
        </xdr:cNvPicPr>
      </xdr:nvPicPr>
      <xdr:blipFill>
        <a:blip xmlns:r="http://schemas.openxmlformats.org/officeDocument/2006/relationships" r:embed="rId2338"/>
        <a:stretch>
          <a:fillRect/>
        </a:stretch>
      </xdr:blipFill>
      <xdr:spPr>
        <a:xfrm>
          <a:off x="7235825" y="3064008350"/>
          <a:ext cx="878840" cy="1183640"/>
        </a:xfrm>
        <a:prstGeom prst="rect">
          <a:avLst/>
        </a:prstGeom>
      </xdr:spPr>
    </xdr:pic>
    <xdr:clientData/>
  </xdr:twoCellAnchor>
  <xdr:twoCellAnchor>
    <xdr:from>
      <xdr:col>9</xdr:col>
      <xdr:colOff>6350</xdr:colOff>
      <xdr:row>3131</xdr:row>
      <xdr:rowOff>25400</xdr:rowOff>
    </xdr:from>
    <xdr:to>
      <xdr:col>9</xdr:col>
      <xdr:colOff>885190</xdr:colOff>
      <xdr:row>3131</xdr:row>
      <xdr:rowOff>1209040</xdr:rowOff>
    </xdr:to>
    <xdr:pic>
      <xdr:nvPicPr>
        <xdr:cNvPr id="7623" name="Изображение 7622" descr="resizeПП-00219324"/>
        <xdr:cNvPicPr>
          <a:picLocks noChangeAspect="1"/>
        </xdr:cNvPicPr>
      </xdr:nvPicPr>
      <xdr:blipFill>
        <a:blip xmlns:r="http://schemas.openxmlformats.org/officeDocument/2006/relationships" r:embed="rId2339"/>
        <a:stretch>
          <a:fillRect/>
        </a:stretch>
      </xdr:blipFill>
      <xdr:spPr>
        <a:xfrm>
          <a:off x="7235825" y="3065230725"/>
          <a:ext cx="878840" cy="1183640"/>
        </a:xfrm>
        <a:prstGeom prst="rect">
          <a:avLst/>
        </a:prstGeom>
      </xdr:spPr>
    </xdr:pic>
    <xdr:clientData/>
  </xdr:twoCellAnchor>
  <xdr:twoCellAnchor>
    <xdr:from>
      <xdr:col>9</xdr:col>
      <xdr:colOff>6350</xdr:colOff>
      <xdr:row>3132</xdr:row>
      <xdr:rowOff>25400</xdr:rowOff>
    </xdr:from>
    <xdr:to>
      <xdr:col>9</xdr:col>
      <xdr:colOff>885190</xdr:colOff>
      <xdr:row>3132</xdr:row>
      <xdr:rowOff>1209040</xdr:rowOff>
    </xdr:to>
    <xdr:pic>
      <xdr:nvPicPr>
        <xdr:cNvPr id="7624" name="Изображение 7623" descr="resizeПП-00207947"/>
        <xdr:cNvPicPr>
          <a:picLocks noChangeAspect="1"/>
        </xdr:cNvPicPr>
      </xdr:nvPicPr>
      <xdr:blipFill>
        <a:blip xmlns:r="http://schemas.openxmlformats.org/officeDocument/2006/relationships" r:embed="rId2340"/>
        <a:stretch>
          <a:fillRect/>
        </a:stretch>
      </xdr:blipFill>
      <xdr:spPr>
        <a:xfrm>
          <a:off x="7235825" y="3066453100"/>
          <a:ext cx="878840" cy="1183640"/>
        </a:xfrm>
        <a:prstGeom prst="rect">
          <a:avLst/>
        </a:prstGeom>
      </xdr:spPr>
    </xdr:pic>
    <xdr:clientData/>
  </xdr:twoCellAnchor>
  <xdr:twoCellAnchor>
    <xdr:from>
      <xdr:col>9</xdr:col>
      <xdr:colOff>6350</xdr:colOff>
      <xdr:row>3133</xdr:row>
      <xdr:rowOff>25400</xdr:rowOff>
    </xdr:from>
    <xdr:to>
      <xdr:col>9</xdr:col>
      <xdr:colOff>885190</xdr:colOff>
      <xdr:row>3133</xdr:row>
      <xdr:rowOff>1209040</xdr:rowOff>
    </xdr:to>
    <xdr:pic>
      <xdr:nvPicPr>
        <xdr:cNvPr id="7625" name="Изображение 7624" descr="resizeПП-00225704"/>
        <xdr:cNvPicPr>
          <a:picLocks noChangeAspect="1"/>
        </xdr:cNvPicPr>
      </xdr:nvPicPr>
      <xdr:blipFill>
        <a:blip xmlns:r="http://schemas.openxmlformats.org/officeDocument/2006/relationships" r:embed="rId2341"/>
        <a:stretch>
          <a:fillRect/>
        </a:stretch>
      </xdr:blipFill>
      <xdr:spPr>
        <a:xfrm>
          <a:off x="7235825" y="3067675475"/>
          <a:ext cx="878840" cy="1183640"/>
        </a:xfrm>
        <a:prstGeom prst="rect">
          <a:avLst/>
        </a:prstGeom>
      </xdr:spPr>
    </xdr:pic>
    <xdr:clientData/>
  </xdr:twoCellAnchor>
  <xdr:twoCellAnchor>
    <xdr:from>
      <xdr:col>9</xdr:col>
      <xdr:colOff>6350</xdr:colOff>
      <xdr:row>3134</xdr:row>
      <xdr:rowOff>25400</xdr:rowOff>
    </xdr:from>
    <xdr:to>
      <xdr:col>9</xdr:col>
      <xdr:colOff>885190</xdr:colOff>
      <xdr:row>3134</xdr:row>
      <xdr:rowOff>1209040</xdr:rowOff>
    </xdr:to>
    <xdr:pic>
      <xdr:nvPicPr>
        <xdr:cNvPr id="7626" name="Изображение 7625" descr="resizeПП-00207950"/>
        <xdr:cNvPicPr>
          <a:picLocks noChangeAspect="1"/>
        </xdr:cNvPicPr>
      </xdr:nvPicPr>
      <xdr:blipFill>
        <a:blip xmlns:r="http://schemas.openxmlformats.org/officeDocument/2006/relationships" r:embed="rId2342"/>
        <a:stretch>
          <a:fillRect/>
        </a:stretch>
      </xdr:blipFill>
      <xdr:spPr>
        <a:xfrm>
          <a:off x="7235825" y="3068897850"/>
          <a:ext cx="878840" cy="1183640"/>
        </a:xfrm>
        <a:prstGeom prst="rect">
          <a:avLst/>
        </a:prstGeom>
      </xdr:spPr>
    </xdr:pic>
    <xdr:clientData/>
  </xdr:twoCellAnchor>
  <xdr:twoCellAnchor>
    <xdr:from>
      <xdr:col>9</xdr:col>
      <xdr:colOff>6350</xdr:colOff>
      <xdr:row>3135</xdr:row>
      <xdr:rowOff>25400</xdr:rowOff>
    </xdr:from>
    <xdr:to>
      <xdr:col>9</xdr:col>
      <xdr:colOff>885190</xdr:colOff>
      <xdr:row>3135</xdr:row>
      <xdr:rowOff>1209040</xdr:rowOff>
    </xdr:to>
    <xdr:pic>
      <xdr:nvPicPr>
        <xdr:cNvPr id="7627" name="Изображение 7626" descr="resizeПП-00140924"/>
        <xdr:cNvPicPr>
          <a:picLocks noChangeAspect="1"/>
        </xdr:cNvPicPr>
      </xdr:nvPicPr>
      <xdr:blipFill>
        <a:blip xmlns:r="http://schemas.openxmlformats.org/officeDocument/2006/relationships" r:embed="rId2343"/>
        <a:stretch>
          <a:fillRect/>
        </a:stretch>
      </xdr:blipFill>
      <xdr:spPr>
        <a:xfrm>
          <a:off x="7235825" y="3070120225"/>
          <a:ext cx="878840" cy="1183640"/>
        </a:xfrm>
        <a:prstGeom prst="rect">
          <a:avLst/>
        </a:prstGeom>
      </xdr:spPr>
    </xdr:pic>
    <xdr:clientData/>
  </xdr:twoCellAnchor>
  <xdr:twoCellAnchor>
    <xdr:from>
      <xdr:col>9</xdr:col>
      <xdr:colOff>6350</xdr:colOff>
      <xdr:row>3136</xdr:row>
      <xdr:rowOff>25400</xdr:rowOff>
    </xdr:from>
    <xdr:to>
      <xdr:col>9</xdr:col>
      <xdr:colOff>885190</xdr:colOff>
      <xdr:row>3136</xdr:row>
      <xdr:rowOff>1209040</xdr:rowOff>
    </xdr:to>
    <xdr:pic>
      <xdr:nvPicPr>
        <xdr:cNvPr id="7628" name="Изображение 7627" descr="resizeПП-00140914"/>
        <xdr:cNvPicPr>
          <a:picLocks noChangeAspect="1"/>
        </xdr:cNvPicPr>
      </xdr:nvPicPr>
      <xdr:blipFill>
        <a:blip xmlns:r="http://schemas.openxmlformats.org/officeDocument/2006/relationships" r:embed="rId2344"/>
        <a:stretch>
          <a:fillRect/>
        </a:stretch>
      </xdr:blipFill>
      <xdr:spPr>
        <a:xfrm>
          <a:off x="7235825" y="3071342600"/>
          <a:ext cx="878840" cy="1183640"/>
        </a:xfrm>
        <a:prstGeom prst="rect">
          <a:avLst/>
        </a:prstGeom>
      </xdr:spPr>
    </xdr:pic>
    <xdr:clientData/>
  </xdr:twoCellAnchor>
  <xdr:twoCellAnchor>
    <xdr:from>
      <xdr:col>9</xdr:col>
      <xdr:colOff>6350</xdr:colOff>
      <xdr:row>3137</xdr:row>
      <xdr:rowOff>25400</xdr:rowOff>
    </xdr:from>
    <xdr:to>
      <xdr:col>9</xdr:col>
      <xdr:colOff>885190</xdr:colOff>
      <xdr:row>3137</xdr:row>
      <xdr:rowOff>1209040</xdr:rowOff>
    </xdr:to>
    <xdr:pic>
      <xdr:nvPicPr>
        <xdr:cNvPr id="7629" name="Изображение 7628" descr="resizeПП-00200289"/>
        <xdr:cNvPicPr>
          <a:picLocks noChangeAspect="1"/>
        </xdr:cNvPicPr>
      </xdr:nvPicPr>
      <xdr:blipFill>
        <a:blip xmlns:r="http://schemas.openxmlformats.org/officeDocument/2006/relationships" r:embed="rId2345"/>
        <a:stretch>
          <a:fillRect/>
        </a:stretch>
      </xdr:blipFill>
      <xdr:spPr>
        <a:xfrm>
          <a:off x="7235825" y="3072564975"/>
          <a:ext cx="878840" cy="1183640"/>
        </a:xfrm>
        <a:prstGeom prst="rect">
          <a:avLst/>
        </a:prstGeom>
      </xdr:spPr>
    </xdr:pic>
    <xdr:clientData/>
  </xdr:twoCellAnchor>
  <xdr:twoCellAnchor>
    <xdr:from>
      <xdr:col>9</xdr:col>
      <xdr:colOff>6350</xdr:colOff>
      <xdr:row>3138</xdr:row>
      <xdr:rowOff>25400</xdr:rowOff>
    </xdr:from>
    <xdr:to>
      <xdr:col>9</xdr:col>
      <xdr:colOff>885190</xdr:colOff>
      <xdr:row>3138</xdr:row>
      <xdr:rowOff>1209040</xdr:rowOff>
    </xdr:to>
    <xdr:pic>
      <xdr:nvPicPr>
        <xdr:cNvPr id="7630" name="Изображение 7629" descr="resizeПП-00247289"/>
        <xdr:cNvPicPr>
          <a:picLocks noChangeAspect="1"/>
        </xdr:cNvPicPr>
      </xdr:nvPicPr>
      <xdr:blipFill>
        <a:blip xmlns:r="http://schemas.openxmlformats.org/officeDocument/2006/relationships" r:embed="rId2346"/>
        <a:stretch>
          <a:fillRect/>
        </a:stretch>
      </xdr:blipFill>
      <xdr:spPr>
        <a:xfrm>
          <a:off x="7235825" y="3073787350"/>
          <a:ext cx="878840" cy="1183640"/>
        </a:xfrm>
        <a:prstGeom prst="rect">
          <a:avLst/>
        </a:prstGeom>
      </xdr:spPr>
    </xdr:pic>
    <xdr:clientData/>
  </xdr:twoCellAnchor>
  <xdr:twoCellAnchor>
    <xdr:from>
      <xdr:col>9</xdr:col>
      <xdr:colOff>6350</xdr:colOff>
      <xdr:row>3140</xdr:row>
      <xdr:rowOff>25400</xdr:rowOff>
    </xdr:from>
    <xdr:to>
      <xdr:col>9</xdr:col>
      <xdr:colOff>885190</xdr:colOff>
      <xdr:row>3140</xdr:row>
      <xdr:rowOff>1209040</xdr:rowOff>
    </xdr:to>
    <xdr:pic>
      <xdr:nvPicPr>
        <xdr:cNvPr id="7631" name="Изображение 7630" descr="resizeПП-00267955"/>
        <xdr:cNvPicPr>
          <a:picLocks noChangeAspect="1"/>
        </xdr:cNvPicPr>
      </xdr:nvPicPr>
      <xdr:blipFill>
        <a:blip xmlns:r="http://schemas.openxmlformats.org/officeDocument/2006/relationships" r:embed="rId2347"/>
        <a:stretch>
          <a:fillRect/>
        </a:stretch>
      </xdr:blipFill>
      <xdr:spPr>
        <a:xfrm>
          <a:off x="7235825" y="3075162125"/>
          <a:ext cx="878840" cy="1183640"/>
        </a:xfrm>
        <a:prstGeom prst="rect">
          <a:avLst/>
        </a:prstGeom>
      </xdr:spPr>
    </xdr:pic>
    <xdr:clientData/>
  </xdr:twoCellAnchor>
  <xdr:twoCellAnchor>
    <xdr:from>
      <xdr:col>9</xdr:col>
      <xdr:colOff>6350</xdr:colOff>
      <xdr:row>3141</xdr:row>
      <xdr:rowOff>25400</xdr:rowOff>
    </xdr:from>
    <xdr:to>
      <xdr:col>9</xdr:col>
      <xdr:colOff>885190</xdr:colOff>
      <xdr:row>3141</xdr:row>
      <xdr:rowOff>1209040</xdr:rowOff>
    </xdr:to>
    <xdr:pic>
      <xdr:nvPicPr>
        <xdr:cNvPr id="7632" name="Изображение 7631" descr="resizeПП-00267957"/>
        <xdr:cNvPicPr>
          <a:picLocks noChangeAspect="1"/>
        </xdr:cNvPicPr>
      </xdr:nvPicPr>
      <xdr:blipFill>
        <a:blip xmlns:r="http://schemas.openxmlformats.org/officeDocument/2006/relationships" r:embed="rId2348"/>
        <a:stretch>
          <a:fillRect/>
        </a:stretch>
      </xdr:blipFill>
      <xdr:spPr>
        <a:xfrm>
          <a:off x="7235825" y="3076384500"/>
          <a:ext cx="878840" cy="1183640"/>
        </a:xfrm>
        <a:prstGeom prst="rect">
          <a:avLst/>
        </a:prstGeom>
      </xdr:spPr>
    </xdr:pic>
    <xdr:clientData/>
  </xdr:twoCellAnchor>
  <xdr:twoCellAnchor>
    <xdr:from>
      <xdr:col>9</xdr:col>
      <xdr:colOff>6350</xdr:colOff>
      <xdr:row>3142</xdr:row>
      <xdr:rowOff>25400</xdr:rowOff>
    </xdr:from>
    <xdr:to>
      <xdr:col>9</xdr:col>
      <xdr:colOff>885190</xdr:colOff>
      <xdr:row>3142</xdr:row>
      <xdr:rowOff>1209040</xdr:rowOff>
    </xdr:to>
    <xdr:pic>
      <xdr:nvPicPr>
        <xdr:cNvPr id="7633" name="Изображение 7632" descr="resizeПП-00267954"/>
        <xdr:cNvPicPr>
          <a:picLocks noChangeAspect="1"/>
        </xdr:cNvPicPr>
      </xdr:nvPicPr>
      <xdr:blipFill>
        <a:blip xmlns:r="http://schemas.openxmlformats.org/officeDocument/2006/relationships" r:embed="rId2349"/>
        <a:stretch>
          <a:fillRect/>
        </a:stretch>
      </xdr:blipFill>
      <xdr:spPr>
        <a:xfrm>
          <a:off x="7235825" y="3077606875"/>
          <a:ext cx="878840" cy="1183640"/>
        </a:xfrm>
        <a:prstGeom prst="rect">
          <a:avLst/>
        </a:prstGeom>
      </xdr:spPr>
    </xdr:pic>
    <xdr:clientData/>
  </xdr:twoCellAnchor>
  <xdr:twoCellAnchor>
    <xdr:from>
      <xdr:col>9</xdr:col>
      <xdr:colOff>6350</xdr:colOff>
      <xdr:row>3144</xdr:row>
      <xdr:rowOff>25400</xdr:rowOff>
    </xdr:from>
    <xdr:to>
      <xdr:col>9</xdr:col>
      <xdr:colOff>885190</xdr:colOff>
      <xdr:row>3144</xdr:row>
      <xdr:rowOff>1209040</xdr:rowOff>
    </xdr:to>
    <xdr:pic>
      <xdr:nvPicPr>
        <xdr:cNvPr id="7634" name="Изображение 7633" descr="resizeПП-00122129"/>
        <xdr:cNvPicPr>
          <a:picLocks noChangeAspect="1"/>
        </xdr:cNvPicPr>
      </xdr:nvPicPr>
      <xdr:blipFill>
        <a:blip xmlns:r="http://schemas.openxmlformats.org/officeDocument/2006/relationships" r:embed="rId2350"/>
        <a:stretch>
          <a:fillRect/>
        </a:stretch>
      </xdr:blipFill>
      <xdr:spPr>
        <a:xfrm>
          <a:off x="7235825" y="3078981650"/>
          <a:ext cx="878840" cy="1183640"/>
        </a:xfrm>
        <a:prstGeom prst="rect">
          <a:avLst/>
        </a:prstGeom>
      </xdr:spPr>
    </xdr:pic>
    <xdr:clientData/>
  </xdr:twoCellAnchor>
  <xdr:twoCellAnchor>
    <xdr:from>
      <xdr:col>9</xdr:col>
      <xdr:colOff>6350</xdr:colOff>
      <xdr:row>3145</xdr:row>
      <xdr:rowOff>25400</xdr:rowOff>
    </xdr:from>
    <xdr:to>
      <xdr:col>9</xdr:col>
      <xdr:colOff>885190</xdr:colOff>
      <xdr:row>3145</xdr:row>
      <xdr:rowOff>1209040</xdr:rowOff>
    </xdr:to>
    <xdr:pic>
      <xdr:nvPicPr>
        <xdr:cNvPr id="7635" name="Изображение 7634" descr="resizeПП-00122130"/>
        <xdr:cNvPicPr>
          <a:picLocks noChangeAspect="1"/>
        </xdr:cNvPicPr>
      </xdr:nvPicPr>
      <xdr:blipFill>
        <a:blip xmlns:r="http://schemas.openxmlformats.org/officeDocument/2006/relationships" r:embed="rId2351"/>
        <a:stretch>
          <a:fillRect/>
        </a:stretch>
      </xdr:blipFill>
      <xdr:spPr>
        <a:xfrm>
          <a:off x="7235825" y="3080204025"/>
          <a:ext cx="878840" cy="1183640"/>
        </a:xfrm>
        <a:prstGeom prst="rect">
          <a:avLst/>
        </a:prstGeom>
      </xdr:spPr>
    </xdr:pic>
    <xdr:clientData/>
  </xdr:twoCellAnchor>
  <xdr:twoCellAnchor>
    <xdr:from>
      <xdr:col>9</xdr:col>
      <xdr:colOff>6350</xdr:colOff>
      <xdr:row>3146</xdr:row>
      <xdr:rowOff>25400</xdr:rowOff>
    </xdr:from>
    <xdr:to>
      <xdr:col>9</xdr:col>
      <xdr:colOff>885190</xdr:colOff>
      <xdr:row>3146</xdr:row>
      <xdr:rowOff>1209040</xdr:rowOff>
    </xdr:to>
    <xdr:pic>
      <xdr:nvPicPr>
        <xdr:cNvPr id="7636" name="Изображение 7635" descr="resizeПП-00182545"/>
        <xdr:cNvPicPr>
          <a:picLocks noChangeAspect="1"/>
        </xdr:cNvPicPr>
      </xdr:nvPicPr>
      <xdr:blipFill>
        <a:blip xmlns:r="http://schemas.openxmlformats.org/officeDocument/2006/relationships" r:embed="rId2352"/>
        <a:stretch>
          <a:fillRect/>
        </a:stretch>
      </xdr:blipFill>
      <xdr:spPr>
        <a:xfrm>
          <a:off x="7235825" y="3081426400"/>
          <a:ext cx="878840" cy="1183640"/>
        </a:xfrm>
        <a:prstGeom prst="rect">
          <a:avLst/>
        </a:prstGeom>
      </xdr:spPr>
    </xdr:pic>
    <xdr:clientData/>
  </xdr:twoCellAnchor>
  <xdr:twoCellAnchor>
    <xdr:from>
      <xdr:col>9</xdr:col>
      <xdr:colOff>6350</xdr:colOff>
      <xdr:row>3147</xdr:row>
      <xdr:rowOff>25400</xdr:rowOff>
    </xdr:from>
    <xdr:to>
      <xdr:col>9</xdr:col>
      <xdr:colOff>885190</xdr:colOff>
      <xdr:row>3147</xdr:row>
      <xdr:rowOff>1209040</xdr:rowOff>
    </xdr:to>
    <xdr:pic>
      <xdr:nvPicPr>
        <xdr:cNvPr id="7637" name="Изображение 7636" descr="resizeПП-00182552"/>
        <xdr:cNvPicPr>
          <a:picLocks noChangeAspect="1"/>
        </xdr:cNvPicPr>
      </xdr:nvPicPr>
      <xdr:blipFill>
        <a:blip xmlns:r="http://schemas.openxmlformats.org/officeDocument/2006/relationships" r:embed="rId2353"/>
        <a:stretch>
          <a:fillRect/>
        </a:stretch>
      </xdr:blipFill>
      <xdr:spPr>
        <a:xfrm>
          <a:off x="7235825" y="3082648775"/>
          <a:ext cx="878840" cy="1183640"/>
        </a:xfrm>
        <a:prstGeom prst="rect">
          <a:avLst/>
        </a:prstGeom>
      </xdr:spPr>
    </xdr:pic>
    <xdr:clientData/>
  </xdr:twoCellAnchor>
  <xdr:twoCellAnchor>
    <xdr:from>
      <xdr:col>9</xdr:col>
      <xdr:colOff>6350</xdr:colOff>
      <xdr:row>3148</xdr:row>
      <xdr:rowOff>25400</xdr:rowOff>
    </xdr:from>
    <xdr:to>
      <xdr:col>9</xdr:col>
      <xdr:colOff>885190</xdr:colOff>
      <xdr:row>3148</xdr:row>
      <xdr:rowOff>1209040</xdr:rowOff>
    </xdr:to>
    <xdr:pic>
      <xdr:nvPicPr>
        <xdr:cNvPr id="7638" name="Изображение 7637" descr="resizeПП-00207424"/>
        <xdr:cNvPicPr>
          <a:picLocks noChangeAspect="1"/>
        </xdr:cNvPicPr>
      </xdr:nvPicPr>
      <xdr:blipFill>
        <a:blip xmlns:r="http://schemas.openxmlformats.org/officeDocument/2006/relationships" r:embed="rId2354"/>
        <a:stretch>
          <a:fillRect/>
        </a:stretch>
      </xdr:blipFill>
      <xdr:spPr>
        <a:xfrm>
          <a:off x="7235825" y="3083871150"/>
          <a:ext cx="878840" cy="1183640"/>
        </a:xfrm>
        <a:prstGeom prst="rect">
          <a:avLst/>
        </a:prstGeom>
      </xdr:spPr>
    </xdr:pic>
    <xdr:clientData/>
  </xdr:twoCellAnchor>
  <xdr:twoCellAnchor>
    <xdr:from>
      <xdr:col>9</xdr:col>
      <xdr:colOff>6350</xdr:colOff>
      <xdr:row>3149</xdr:row>
      <xdr:rowOff>25400</xdr:rowOff>
    </xdr:from>
    <xdr:to>
      <xdr:col>9</xdr:col>
      <xdr:colOff>885190</xdr:colOff>
      <xdr:row>3149</xdr:row>
      <xdr:rowOff>1209040</xdr:rowOff>
    </xdr:to>
    <xdr:pic>
      <xdr:nvPicPr>
        <xdr:cNvPr id="7639" name="Изображение 7638" descr="resizeПП-00207425"/>
        <xdr:cNvPicPr>
          <a:picLocks noChangeAspect="1"/>
        </xdr:cNvPicPr>
      </xdr:nvPicPr>
      <xdr:blipFill>
        <a:blip xmlns:r="http://schemas.openxmlformats.org/officeDocument/2006/relationships" r:embed="rId2355"/>
        <a:stretch>
          <a:fillRect/>
        </a:stretch>
      </xdr:blipFill>
      <xdr:spPr>
        <a:xfrm>
          <a:off x="7235825" y="3085093525"/>
          <a:ext cx="878840" cy="1183640"/>
        </a:xfrm>
        <a:prstGeom prst="rect">
          <a:avLst/>
        </a:prstGeom>
      </xdr:spPr>
    </xdr:pic>
    <xdr:clientData/>
  </xdr:twoCellAnchor>
  <xdr:twoCellAnchor>
    <xdr:from>
      <xdr:col>9</xdr:col>
      <xdr:colOff>6350</xdr:colOff>
      <xdr:row>3150</xdr:row>
      <xdr:rowOff>25400</xdr:rowOff>
    </xdr:from>
    <xdr:to>
      <xdr:col>9</xdr:col>
      <xdr:colOff>885190</xdr:colOff>
      <xdr:row>3150</xdr:row>
      <xdr:rowOff>1209040</xdr:rowOff>
    </xdr:to>
    <xdr:pic>
      <xdr:nvPicPr>
        <xdr:cNvPr id="7640" name="Изображение 7639" descr="resizeПП-00207430"/>
        <xdr:cNvPicPr>
          <a:picLocks noChangeAspect="1"/>
        </xdr:cNvPicPr>
      </xdr:nvPicPr>
      <xdr:blipFill>
        <a:blip xmlns:r="http://schemas.openxmlformats.org/officeDocument/2006/relationships" r:embed="rId2356"/>
        <a:stretch>
          <a:fillRect/>
        </a:stretch>
      </xdr:blipFill>
      <xdr:spPr>
        <a:xfrm>
          <a:off x="7235825" y="3086315900"/>
          <a:ext cx="878840" cy="1183640"/>
        </a:xfrm>
        <a:prstGeom prst="rect">
          <a:avLst/>
        </a:prstGeom>
      </xdr:spPr>
    </xdr:pic>
    <xdr:clientData/>
  </xdr:twoCellAnchor>
  <xdr:twoCellAnchor>
    <xdr:from>
      <xdr:col>9</xdr:col>
      <xdr:colOff>6350</xdr:colOff>
      <xdr:row>3151</xdr:row>
      <xdr:rowOff>25400</xdr:rowOff>
    </xdr:from>
    <xdr:to>
      <xdr:col>9</xdr:col>
      <xdr:colOff>885190</xdr:colOff>
      <xdr:row>3151</xdr:row>
      <xdr:rowOff>1209040</xdr:rowOff>
    </xdr:to>
    <xdr:pic>
      <xdr:nvPicPr>
        <xdr:cNvPr id="7641" name="Изображение 7640" descr="resizeПП-00207434"/>
        <xdr:cNvPicPr>
          <a:picLocks noChangeAspect="1"/>
        </xdr:cNvPicPr>
      </xdr:nvPicPr>
      <xdr:blipFill>
        <a:blip xmlns:r="http://schemas.openxmlformats.org/officeDocument/2006/relationships" r:embed="rId2357"/>
        <a:stretch>
          <a:fillRect/>
        </a:stretch>
      </xdr:blipFill>
      <xdr:spPr>
        <a:xfrm>
          <a:off x="7235825" y="3087538275"/>
          <a:ext cx="878840" cy="1183640"/>
        </a:xfrm>
        <a:prstGeom prst="rect">
          <a:avLst/>
        </a:prstGeom>
      </xdr:spPr>
    </xdr:pic>
    <xdr:clientData/>
  </xdr:twoCellAnchor>
  <xdr:twoCellAnchor>
    <xdr:from>
      <xdr:col>9</xdr:col>
      <xdr:colOff>6350</xdr:colOff>
      <xdr:row>3152</xdr:row>
      <xdr:rowOff>25400</xdr:rowOff>
    </xdr:from>
    <xdr:to>
      <xdr:col>9</xdr:col>
      <xdr:colOff>885190</xdr:colOff>
      <xdr:row>3152</xdr:row>
      <xdr:rowOff>1209040</xdr:rowOff>
    </xdr:to>
    <xdr:pic>
      <xdr:nvPicPr>
        <xdr:cNvPr id="7642" name="Изображение 7641" descr="resizeПП-00207435"/>
        <xdr:cNvPicPr>
          <a:picLocks noChangeAspect="1"/>
        </xdr:cNvPicPr>
      </xdr:nvPicPr>
      <xdr:blipFill>
        <a:blip xmlns:r="http://schemas.openxmlformats.org/officeDocument/2006/relationships" r:embed="rId2358"/>
        <a:stretch>
          <a:fillRect/>
        </a:stretch>
      </xdr:blipFill>
      <xdr:spPr>
        <a:xfrm>
          <a:off x="7235825" y="3088760650"/>
          <a:ext cx="878840" cy="1183640"/>
        </a:xfrm>
        <a:prstGeom prst="rect">
          <a:avLst/>
        </a:prstGeom>
      </xdr:spPr>
    </xdr:pic>
    <xdr:clientData/>
  </xdr:twoCellAnchor>
  <xdr:twoCellAnchor>
    <xdr:from>
      <xdr:col>9</xdr:col>
      <xdr:colOff>6350</xdr:colOff>
      <xdr:row>3153</xdr:row>
      <xdr:rowOff>25400</xdr:rowOff>
    </xdr:from>
    <xdr:to>
      <xdr:col>9</xdr:col>
      <xdr:colOff>885190</xdr:colOff>
      <xdr:row>3153</xdr:row>
      <xdr:rowOff>1209040</xdr:rowOff>
    </xdr:to>
    <xdr:pic>
      <xdr:nvPicPr>
        <xdr:cNvPr id="7643" name="Изображение 7642" descr="resizeПП-00209774"/>
        <xdr:cNvPicPr>
          <a:picLocks noChangeAspect="1"/>
        </xdr:cNvPicPr>
      </xdr:nvPicPr>
      <xdr:blipFill>
        <a:blip xmlns:r="http://schemas.openxmlformats.org/officeDocument/2006/relationships" r:embed="rId2359"/>
        <a:stretch>
          <a:fillRect/>
        </a:stretch>
      </xdr:blipFill>
      <xdr:spPr>
        <a:xfrm>
          <a:off x="7235825" y="3089983025"/>
          <a:ext cx="878840" cy="1183640"/>
        </a:xfrm>
        <a:prstGeom prst="rect">
          <a:avLst/>
        </a:prstGeom>
      </xdr:spPr>
    </xdr:pic>
    <xdr:clientData/>
  </xdr:twoCellAnchor>
  <xdr:twoCellAnchor>
    <xdr:from>
      <xdr:col>9</xdr:col>
      <xdr:colOff>6350</xdr:colOff>
      <xdr:row>3154</xdr:row>
      <xdr:rowOff>25400</xdr:rowOff>
    </xdr:from>
    <xdr:to>
      <xdr:col>9</xdr:col>
      <xdr:colOff>885190</xdr:colOff>
      <xdr:row>3154</xdr:row>
      <xdr:rowOff>1209040</xdr:rowOff>
    </xdr:to>
    <xdr:pic>
      <xdr:nvPicPr>
        <xdr:cNvPr id="7644" name="Изображение 7643" descr="resizeПП-00207422"/>
        <xdr:cNvPicPr>
          <a:picLocks noChangeAspect="1"/>
        </xdr:cNvPicPr>
      </xdr:nvPicPr>
      <xdr:blipFill>
        <a:blip xmlns:r="http://schemas.openxmlformats.org/officeDocument/2006/relationships" r:embed="rId2360"/>
        <a:stretch>
          <a:fillRect/>
        </a:stretch>
      </xdr:blipFill>
      <xdr:spPr>
        <a:xfrm>
          <a:off x="7235825" y="3091205400"/>
          <a:ext cx="878840" cy="1183640"/>
        </a:xfrm>
        <a:prstGeom prst="rect">
          <a:avLst/>
        </a:prstGeom>
      </xdr:spPr>
    </xdr:pic>
    <xdr:clientData/>
  </xdr:twoCellAnchor>
  <xdr:twoCellAnchor>
    <xdr:from>
      <xdr:col>9</xdr:col>
      <xdr:colOff>6350</xdr:colOff>
      <xdr:row>3155</xdr:row>
      <xdr:rowOff>25400</xdr:rowOff>
    </xdr:from>
    <xdr:to>
      <xdr:col>9</xdr:col>
      <xdr:colOff>885190</xdr:colOff>
      <xdr:row>3155</xdr:row>
      <xdr:rowOff>1209040</xdr:rowOff>
    </xdr:to>
    <xdr:pic>
      <xdr:nvPicPr>
        <xdr:cNvPr id="7645" name="Изображение 7644" descr="resizeПП-00209770"/>
        <xdr:cNvPicPr>
          <a:picLocks noChangeAspect="1"/>
        </xdr:cNvPicPr>
      </xdr:nvPicPr>
      <xdr:blipFill>
        <a:blip xmlns:r="http://schemas.openxmlformats.org/officeDocument/2006/relationships" r:embed="rId2361"/>
        <a:stretch>
          <a:fillRect/>
        </a:stretch>
      </xdr:blipFill>
      <xdr:spPr>
        <a:xfrm>
          <a:off x="7235825" y="3092427775"/>
          <a:ext cx="878840" cy="1183640"/>
        </a:xfrm>
        <a:prstGeom prst="rect">
          <a:avLst/>
        </a:prstGeom>
      </xdr:spPr>
    </xdr:pic>
    <xdr:clientData/>
  </xdr:twoCellAnchor>
  <xdr:twoCellAnchor>
    <xdr:from>
      <xdr:col>9</xdr:col>
      <xdr:colOff>6350</xdr:colOff>
      <xdr:row>3157</xdr:row>
      <xdr:rowOff>25400</xdr:rowOff>
    </xdr:from>
    <xdr:to>
      <xdr:col>9</xdr:col>
      <xdr:colOff>885190</xdr:colOff>
      <xdr:row>3157</xdr:row>
      <xdr:rowOff>1209040</xdr:rowOff>
    </xdr:to>
    <xdr:pic>
      <xdr:nvPicPr>
        <xdr:cNvPr id="7646" name="Изображение 7645" descr="resizeПП-00211618"/>
        <xdr:cNvPicPr>
          <a:picLocks noChangeAspect="1"/>
        </xdr:cNvPicPr>
      </xdr:nvPicPr>
      <xdr:blipFill>
        <a:blip xmlns:r="http://schemas.openxmlformats.org/officeDocument/2006/relationships" r:embed="rId2362"/>
        <a:stretch>
          <a:fillRect/>
        </a:stretch>
      </xdr:blipFill>
      <xdr:spPr>
        <a:xfrm>
          <a:off x="7235825" y="3093802550"/>
          <a:ext cx="878840" cy="1183640"/>
        </a:xfrm>
        <a:prstGeom prst="rect">
          <a:avLst/>
        </a:prstGeom>
      </xdr:spPr>
    </xdr:pic>
    <xdr:clientData/>
  </xdr:twoCellAnchor>
  <xdr:twoCellAnchor>
    <xdr:from>
      <xdr:col>9</xdr:col>
      <xdr:colOff>6350</xdr:colOff>
      <xdr:row>3159</xdr:row>
      <xdr:rowOff>25400</xdr:rowOff>
    </xdr:from>
    <xdr:to>
      <xdr:col>9</xdr:col>
      <xdr:colOff>885190</xdr:colOff>
      <xdr:row>3159</xdr:row>
      <xdr:rowOff>1209040</xdr:rowOff>
    </xdr:to>
    <xdr:pic>
      <xdr:nvPicPr>
        <xdr:cNvPr id="7647" name="Изображение 7646" descr="resizeПП-00205044"/>
        <xdr:cNvPicPr>
          <a:picLocks noChangeAspect="1"/>
        </xdr:cNvPicPr>
      </xdr:nvPicPr>
      <xdr:blipFill>
        <a:blip xmlns:r="http://schemas.openxmlformats.org/officeDocument/2006/relationships" r:embed="rId2363"/>
        <a:stretch>
          <a:fillRect/>
        </a:stretch>
      </xdr:blipFill>
      <xdr:spPr>
        <a:xfrm>
          <a:off x="7235825" y="3095177325"/>
          <a:ext cx="878840" cy="1183640"/>
        </a:xfrm>
        <a:prstGeom prst="rect">
          <a:avLst/>
        </a:prstGeom>
      </xdr:spPr>
    </xdr:pic>
    <xdr:clientData/>
  </xdr:twoCellAnchor>
  <xdr:twoCellAnchor>
    <xdr:from>
      <xdr:col>9</xdr:col>
      <xdr:colOff>6350</xdr:colOff>
      <xdr:row>3160</xdr:row>
      <xdr:rowOff>25400</xdr:rowOff>
    </xdr:from>
    <xdr:to>
      <xdr:col>9</xdr:col>
      <xdr:colOff>885190</xdr:colOff>
      <xdr:row>3160</xdr:row>
      <xdr:rowOff>1209040</xdr:rowOff>
    </xdr:to>
    <xdr:pic>
      <xdr:nvPicPr>
        <xdr:cNvPr id="7648" name="Изображение 7647" descr="resizeПП-00234531"/>
        <xdr:cNvPicPr>
          <a:picLocks noChangeAspect="1"/>
        </xdr:cNvPicPr>
      </xdr:nvPicPr>
      <xdr:blipFill>
        <a:blip xmlns:r="http://schemas.openxmlformats.org/officeDocument/2006/relationships" r:embed="rId2364"/>
        <a:stretch>
          <a:fillRect/>
        </a:stretch>
      </xdr:blipFill>
      <xdr:spPr>
        <a:xfrm>
          <a:off x="7235825" y="3096399700"/>
          <a:ext cx="878840" cy="1183640"/>
        </a:xfrm>
        <a:prstGeom prst="rect">
          <a:avLst/>
        </a:prstGeom>
      </xdr:spPr>
    </xdr:pic>
    <xdr:clientData/>
  </xdr:twoCellAnchor>
  <xdr:twoCellAnchor>
    <xdr:from>
      <xdr:col>9</xdr:col>
      <xdr:colOff>6350</xdr:colOff>
      <xdr:row>3161</xdr:row>
      <xdr:rowOff>25400</xdr:rowOff>
    </xdr:from>
    <xdr:to>
      <xdr:col>9</xdr:col>
      <xdr:colOff>885190</xdr:colOff>
      <xdr:row>3161</xdr:row>
      <xdr:rowOff>1209040</xdr:rowOff>
    </xdr:to>
    <xdr:pic>
      <xdr:nvPicPr>
        <xdr:cNvPr id="7649" name="Изображение 7648" descr="resizeПП-00234533"/>
        <xdr:cNvPicPr>
          <a:picLocks noChangeAspect="1"/>
        </xdr:cNvPicPr>
      </xdr:nvPicPr>
      <xdr:blipFill>
        <a:blip xmlns:r="http://schemas.openxmlformats.org/officeDocument/2006/relationships" r:embed="rId2365"/>
        <a:stretch>
          <a:fillRect/>
        </a:stretch>
      </xdr:blipFill>
      <xdr:spPr>
        <a:xfrm>
          <a:off x="7235825" y="3097622075"/>
          <a:ext cx="878840" cy="1183640"/>
        </a:xfrm>
        <a:prstGeom prst="rect">
          <a:avLst/>
        </a:prstGeom>
      </xdr:spPr>
    </xdr:pic>
    <xdr:clientData/>
  </xdr:twoCellAnchor>
  <xdr:twoCellAnchor>
    <xdr:from>
      <xdr:col>9</xdr:col>
      <xdr:colOff>6350</xdr:colOff>
      <xdr:row>3162</xdr:row>
      <xdr:rowOff>25400</xdr:rowOff>
    </xdr:from>
    <xdr:to>
      <xdr:col>9</xdr:col>
      <xdr:colOff>885190</xdr:colOff>
      <xdr:row>3162</xdr:row>
      <xdr:rowOff>1209040</xdr:rowOff>
    </xdr:to>
    <xdr:pic>
      <xdr:nvPicPr>
        <xdr:cNvPr id="7650" name="Изображение 7649" descr="resizeПП-00205040"/>
        <xdr:cNvPicPr>
          <a:picLocks noChangeAspect="1"/>
        </xdr:cNvPicPr>
      </xdr:nvPicPr>
      <xdr:blipFill>
        <a:blip xmlns:r="http://schemas.openxmlformats.org/officeDocument/2006/relationships" r:embed="rId2366"/>
        <a:stretch>
          <a:fillRect/>
        </a:stretch>
      </xdr:blipFill>
      <xdr:spPr>
        <a:xfrm>
          <a:off x="7235825" y="3098844450"/>
          <a:ext cx="878840" cy="1183640"/>
        </a:xfrm>
        <a:prstGeom prst="rect">
          <a:avLst/>
        </a:prstGeom>
      </xdr:spPr>
    </xdr:pic>
    <xdr:clientData/>
  </xdr:twoCellAnchor>
  <xdr:twoCellAnchor>
    <xdr:from>
      <xdr:col>9</xdr:col>
      <xdr:colOff>6350</xdr:colOff>
      <xdr:row>3163</xdr:row>
      <xdr:rowOff>25400</xdr:rowOff>
    </xdr:from>
    <xdr:to>
      <xdr:col>9</xdr:col>
      <xdr:colOff>885190</xdr:colOff>
      <xdr:row>3163</xdr:row>
      <xdr:rowOff>1209040</xdr:rowOff>
    </xdr:to>
    <xdr:pic>
      <xdr:nvPicPr>
        <xdr:cNvPr id="7651" name="Изображение 7650" descr="resizeПП-00205038"/>
        <xdr:cNvPicPr>
          <a:picLocks noChangeAspect="1"/>
        </xdr:cNvPicPr>
      </xdr:nvPicPr>
      <xdr:blipFill>
        <a:blip xmlns:r="http://schemas.openxmlformats.org/officeDocument/2006/relationships" r:embed="rId2367"/>
        <a:stretch>
          <a:fillRect/>
        </a:stretch>
      </xdr:blipFill>
      <xdr:spPr>
        <a:xfrm>
          <a:off x="7235825" y="3100066825"/>
          <a:ext cx="878840" cy="1183640"/>
        </a:xfrm>
        <a:prstGeom prst="rect">
          <a:avLst/>
        </a:prstGeom>
      </xdr:spPr>
    </xdr:pic>
    <xdr:clientData/>
  </xdr:twoCellAnchor>
  <xdr:twoCellAnchor>
    <xdr:from>
      <xdr:col>9</xdr:col>
      <xdr:colOff>6350</xdr:colOff>
      <xdr:row>3164</xdr:row>
      <xdr:rowOff>25400</xdr:rowOff>
    </xdr:from>
    <xdr:to>
      <xdr:col>9</xdr:col>
      <xdr:colOff>885190</xdr:colOff>
      <xdr:row>3164</xdr:row>
      <xdr:rowOff>1209040</xdr:rowOff>
    </xdr:to>
    <xdr:pic>
      <xdr:nvPicPr>
        <xdr:cNvPr id="7652" name="Изображение 7651" descr="resizeПП-00205024"/>
        <xdr:cNvPicPr>
          <a:picLocks noChangeAspect="1"/>
        </xdr:cNvPicPr>
      </xdr:nvPicPr>
      <xdr:blipFill>
        <a:blip xmlns:r="http://schemas.openxmlformats.org/officeDocument/2006/relationships" r:embed="rId2368"/>
        <a:stretch>
          <a:fillRect/>
        </a:stretch>
      </xdr:blipFill>
      <xdr:spPr>
        <a:xfrm>
          <a:off x="7235825" y="3101289200"/>
          <a:ext cx="878840" cy="1183640"/>
        </a:xfrm>
        <a:prstGeom prst="rect">
          <a:avLst/>
        </a:prstGeom>
      </xdr:spPr>
    </xdr:pic>
    <xdr:clientData/>
  </xdr:twoCellAnchor>
  <xdr:twoCellAnchor>
    <xdr:from>
      <xdr:col>9</xdr:col>
      <xdr:colOff>6350</xdr:colOff>
      <xdr:row>3165</xdr:row>
      <xdr:rowOff>25400</xdr:rowOff>
    </xdr:from>
    <xdr:to>
      <xdr:col>9</xdr:col>
      <xdr:colOff>885190</xdr:colOff>
      <xdr:row>3165</xdr:row>
      <xdr:rowOff>1209040</xdr:rowOff>
    </xdr:to>
    <xdr:pic>
      <xdr:nvPicPr>
        <xdr:cNvPr id="7653" name="Изображение 7652" descr="resizeПП-00205021"/>
        <xdr:cNvPicPr>
          <a:picLocks noChangeAspect="1"/>
        </xdr:cNvPicPr>
      </xdr:nvPicPr>
      <xdr:blipFill>
        <a:blip xmlns:r="http://schemas.openxmlformats.org/officeDocument/2006/relationships" r:embed="rId2369"/>
        <a:stretch>
          <a:fillRect/>
        </a:stretch>
      </xdr:blipFill>
      <xdr:spPr>
        <a:xfrm>
          <a:off x="7235825" y="3102511575"/>
          <a:ext cx="878840" cy="1183640"/>
        </a:xfrm>
        <a:prstGeom prst="rect">
          <a:avLst/>
        </a:prstGeom>
      </xdr:spPr>
    </xdr:pic>
    <xdr:clientData/>
  </xdr:twoCellAnchor>
  <xdr:twoCellAnchor>
    <xdr:from>
      <xdr:col>9</xdr:col>
      <xdr:colOff>6350</xdr:colOff>
      <xdr:row>3166</xdr:row>
      <xdr:rowOff>25400</xdr:rowOff>
    </xdr:from>
    <xdr:to>
      <xdr:col>9</xdr:col>
      <xdr:colOff>885190</xdr:colOff>
      <xdr:row>3166</xdr:row>
      <xdr:rowOff>1209040</xdr:rowOff>
    </xdr:to>
    <xdr:pic>
      <xdr:nvPicPr>
        <xdr:cNvPr id="7654" name="Изображение 7653" descr="resizeПП-00226642"/>
        <xdr:cNvPicPr>
          <a:picLocks noChangeAspect="1"/>
        </xdr:cNvPicPr>
      </xdr:nvPicPr>
      <xdr:blipFill>
        <a:blip xmlns:r="http://schemas.openxmlformats.org/officeDocument/2006/relationships" r:embed="rId2370"/>
        <a:stretch>
          <a:fillRect/>
        </a:stretch>
      </xdr:blipFill>
      <xdr:spPr>
        <a:xfrm>
          <a:off x="7235825" y="3103733950"/>
          <a:ext cx="878840" cy="1183640"/>
        </a:xfrm>
        <a:prstGeom prst="rect">
          <a:avLst/>
        </a:prstGeom>
      </xdr:spPr>
    </xdr:pic>
    <xdr:clientData/>
  </xdr:twoCellAnchor>
  <xdr:twoCellAnchor>
    <xdr:from>
      <xdr:col>9</xdr:col>
      <xdr:colOff>6350</xdr:colOff>
      <xdr:row>3167</xdr:row>
      <xdr:rowOff>25400</xdr:rowOff>
    </xdr:from>
    <xdr:to>
      <xdr:col>9</xdr:col>
      <xdr:colOff>885190</xdr:colOff>
      <xdr:row>3167</xdr:row>
      <xdr:rowOff>1209040</xdr:rowOff>
    </xdr:to>
    <xdr:pic>
      <xdr:nvPicPr>
        <xdr:cNvPr id="7655" name="Изображение 7654" descr="resizeПП-00226643"/>
        <xdr:cNvPicPr>
          <a:picLocks noChangeAspect="1"/>
        </xdr:cNvPicPr>
      </xdr:nvPicPr>
      <xdr:blipFill>
        <a:blip xmlns:r="http://schemas.openxmlformats.org/officeDocument/2006/relationships" r:embed="rId2371"/>
        <a:stretch>
          <a:fillRect/>
        </a:stretch>
      </xdr:blipFill>
      <xdr:spPr>
        <a:xfrm>
          <a:off x="7235825" y="3104956325"/>
          <a:ext cx="878840" cy="1183640"/>
        </a:xfrm>
        <a:prstGeom prst="rect">
          <a:avLst/>
        </a:prstGeom>
      </xdr:spPr>
    </xdr:pic>
    <xdr:clientData/>
  </xdr:twoCellAnchor>
  <xdr:twoCellAnchor>
    <xdr:from>
      <xdr:col>9</xdr:col>
      <xdr:colOff>6350</xdr:colOff>
      <xdr:row>3168</xdr:row>
      <xdr:rowOff>25400</xdr:rowOff>
    </xdr:from>
    <xdr:to>
      <xdr:col>9</xdr:col>
      <xdr:colOff>885190</xdr:colOff>
      <xdr:row>3168</xdr:row>
      <xdr:rowOff>1209040</xdr:rowOff>
    </xdr:to>
    <xdr:pic>
      <xdr:nvPicPr>
        <xdr:cNvPr id="7656" name="Изображение 7655" descr="resizeПП-00205030"/>
        <xdr:cNvPicPr>
          <a:picLocks noChangeAspect="1"/>
        </xdr:cNvPicPr>
      </xdr:nvPicPr>
      <xdr:blipFill>
        <a:blip xmlns:r="http://schemas.openxmlformats.org/officeDocument/2006/relationships" r:embed="rId2372"/>
        <a:stretch>
          <a:fillRect/>
        </a:stretch>
      </xdr:blipFill>
      <xdr:spPr>
        <a:xfrm>
          <a:off x="7235825" y="3106178700"/>
          <a:ext cx="878840" cy="1183640"/>
        </a:xfrm>
        <a:prstGeom prst="rect">
          <a:avLst/>
        </a:prstGeom>
      </xdr:spPr>
    </xdr:pic>
    <xdr:clientData/>
  </xdr:twoCellAnchor>
  <xdr:twoCellAnchor>
    <xdr:from>
      <xdr:col>9</xdr:col>
      <xdr:colOff>6350</xdr:colOff>
      <xdr:row>3173</xdr:row>
      <xdr:rowOff>25400</xdr:rowOff>
    </xdr:from>
    <xdr:to>
      <xdr:col>9</xdr:col>
      <xdr:colOff>885190</xdr:colOff>
      <xdr:row>3173</xdr:row>
      <xdr:rowOff>1209040</xdr:rowOff>
    </xdr:to>
    <xdr:pic>
      <xdr:nvPicPr>
        <xdr:cNvPr id="7657" name="Изображение 7656" descr="resizeПП-00216879"/>
        <xdr:cNvPicPr>
          <a:picLocks noChangeAspect="1"/>
        </xdr:cNvPicPr>
      </xdr:nvPicPr>
      <xdr:blipFill>
        <a:blip xmlns:r="http://schemas.openxmlformats.org/officeDocument/2006/relationships" r:embed="rId2373"/>
        <a:stretch>
          <a:fillRect/>
        </a:stretch>
      </xdr:blipFill>
      <xdr:spPr>
        <a:xfrm>
          <a:off x="7235825" y="3108163075"/>
          <a:ext cx="878840" cy="1183640"/>
        </a:xfrm>
        <a:prstGeom prst="rect">
          <a:avLst/>
        </a:prstGeom>
      </xdr:spPr>
    </xdr:pic>
    <xdr:clientData/>
  </xdr:twoCellAnchor>
  <xdr:twoCellAnchor>
    <xdr:from>
      <xdr:col>9</xdr:col>
      <xdr:colOff>6350</xdr:colOff>
      <xdr:row>3175</xdr:row>
      <xdr:rowOff>25400</xdr:rowOff>
    </xdr:from>
    <xdr:to>
      <xdr:col>9</xdr:col>
      <xdr:colOff>885190</xdr:colOff>
      <xdr:row>3175</xdr:row>
      <xdr:rowOff>1209040</xdr:rowOff>
    </xdr:to>
    <xdr:pic>
      <xdr:nvPicPr>
        <xdr:cNvPr id="7658" name="Изображение 7657" descr="resizeПП-00236679"/>
        <xdr:cNvPicPr>
          <a:picLocks noChangeAspect="1"/>
        </xdr:cNvPicPr>
      </xdr:nvPicPr>
      <xdr:blipFill>
        <a:blip xmlns:r="http://schemas.openxmlformats.org/officeDocument/2006/relationships" r:embed="rId2374"/>
        <a:stretch>
          <a:fillRect/>
        </a:stretch>
      </xdr:blipFill>
      <xdr:spPr>
        <a:xfrm>
          <a:off x="7235825" y="3109537850"/>
          <a:ext cx="878840" cy="1183640"/>
        </a:xfrm>
        <a:prstGeom prst="rect">
          <a:avLst/>
        </a:prstGeom>
      </xdr:spPr>
    </xdr:pic>
    <xdr:clientData/>
  </xdr:twoCellAnchor>
  <xdr:twoCellAnchor>
    <xdr:from>
      <xdr:col>9</xdr:col>
      <xdr:colOff>6350</xdr:colOff>
      <xdr:row>3176</xdr:row>
      <xdr:rowOff>25400</xdr:rowOff>
    </xdr:from>
    <xdr:to>
      <xdr:col>9</xdr:col>
      <xdr:colOff>885190</xdr:colOff>
      <xdr:row>3176</xdr:row>
      <xdr:rowOff>1209040</xdr:rowOff>
    </xdr:to>
    <xdr:pic>
      <xdr:nvPicPr>
        <xdr:cNvPr id="7659" name="Изображение 7658" descr="resizeПП-00236672"/>
        <xdr:cNvPicPr>
          <a:picLocks noChangeAspect="1"/>
        </xdr:cNvPicPr>
      </xdr:nvPicPr>
      <xdr:blipFill>
        <a:blip xmlns:r="http://schemas.openxmlformats.org/officeDocument/2006/relationships" r:embed="rId2375"/>
        <a:stretch>
          <a:fillRect/>
        </a:stretch>
      </xdr:blipFill>
      <xdr:spPr>
        <a:xfrm>
          <a:off x="7235825" y="3110760225"/>
          <a:ext cx="878840" cy="1183640"/>
        </a:xfrm>
        <a:prstGeom prst="rect">
          <a:avLst/>
        </a:prstGeom>
      </xdr:spPr>
    </xdr:pic>
    <xdr:clientData/>
  </xdr:twoCellAnchor>
  <xdr:twoCellAnchor>
    <xdr:from>
      <xdr:col>9</xdr:col>
      <xdr:colOff>6350</xdr:colOff>
      <xdr:row>3177</xdr:row>
      <xdr:rowOff>25400</xdr:rowOff>
    </xdr:from>
    <xdr:to>
      <xdr:col>9</xdr:col>
      <xdr:colOff>885190</xdr:colOff>
      <xdr:row>3177</xdr:row>
      <xdr:rowOff>1209040</xdr:rowOff>
    </xdr:to>
    <xdr:pic>
      <xdr:nvPicPr>
        <xdr:cNvPr id="7660" name="Изображение 7659" descr="resizeПП-00236676"/>
        <xdr:cNvPicPr>
          <a:picLocks noChangeAspect="1"/>
        </xdr:cNvPicPr>
      </xdr:nvPicPr>
      <xdr:blipFill>
        <a:blip xmlns:r="http://schemas.openxmlformats.org/officeDocument/2006/relationships" r:embed="rId2376"/>
        <a:stretch>
          <a:fillRect/>
        </a:stretch>
      </xdr:blipFill>
      <xdr:spPr>
        <a:xfrm>
          <a:off x="7235825" y="3111982600"/>
          <a:ext cx="878840" cy="1183640"/>
        </a:xfrm>
        <a:prstGeom prst="rect">
          <a:avLst/>
        </a:prstGeom>
      </xdr:spPr>
    </xdr:pic>
    <xdr:clientData/>
  </xdr:twoCellAnchor>
  <xdr:twoCellAnchor>
    <xdr:from>
      <xdr:col>9</xdr:col>
      <xdr:colOff>6350</xdr:colOff>
      <xdr:row>3178</xdr:row>
      <xdr:rowOff>25400</xdr:rowOff>
    </xdr:from>
    <xdr:to>
      <xdr:col>9</xdr:col>
      <xdr:colOff>885190</xdr:colOff>
      <xdr:row>3178</xdr:row>
      <xdr:rowOff>1209040</xdr:rowOff>
    </xdr:to>
    <xdr:pic>
      <xdr:nvPicPr>
        <xdr:cNvPr id="7661" name="Изображение 7660" descr="resizeПП-00236678"/>
        <xdr:cNvPicPr>
          <a:picLocks noChangeAspect="1"/>
        </xdr:cNvPicPr>
      </xdr:nvPicPr>
      <xdr:blipFill>
        <a:blip xmlns:r="http://schemas.openxmlformats.org/officeDocument/2006/relationships" r:embed="rId2377"/>
        <a:stretch>
          <a:fillRect/>
        </a:stretch>
      </xdr:blipFill>
      <xdr:spPr>
        <a:xfrm>
          <a:off x="7235825" y="3113204975"/>
          <a:ext cx="878840" cy="1183640"/>
        </a:xfrm>
        <a:prstGeom prst="rect">
          <a:avLst/>
        </a:prstGeom>
      </xdr:spPr>
    </xdr:pic>
    <xdr:clientData/>
  </xdr:twoCellAnchor>
  <xdr:twoCellAnchor>
    <xdr:from>
      <xdr:col>9</xdr:col>
      <xdr:colOff>6350</xdr:colOff>
      <xdr:row>3179</xdr:row>
      <xdr:rowOff>25400</xdr:rowOff>
    </xdr:from>
    <xdr:to>
      <xdr:col>9</xdr:col>
      <xdr:colOff>885190</xdr:colOff>
      <xdr:row>3179</xdr:row>
      <xdr:rowOff>1209040</xdr:rowOff>
    </xdr:to>
    <xdr:pic>
      <xdr:nvPicPr>
        <xdr:cNvPr id="7662" name="Изображение 7661" descr="resizeПП-00236671"/>
        <xdr:cNvPicPr>
          <a:picLocks noChangeAspect="1"/>
        </xdr:cNvPicPr>
      </xdr:nvPicPr>
      <xdr:blipFill>
        <a:blip xmlns:r="http://schemas.openxmlformats.org/officeDocument/2006/relationships" r:embed="rId2378"/>
        <a:stretch>
          <a:fillRect/>
        </a:stretch>
      </xdr:blipFill>
      <xdr:spPr>
        <a:xfrm>
          <a:off x="7235825" y="3114427350"/>
          <a:ext cx="878840" cy="1183640"/>
        </a:xfrm>
        <a:prstGeom prst="rect">
          <a:avLst/>
        </a:prstGeom>
      </xdr:spPr>
    </xdr:pic>
    <xdr:clientData/>
  </xdr:twoCellAnchor>
  <xdr:twoCellAnchor>
    <xdr:from>
      <xdr:col>9</xdr:col>
      <xdr:colOff>6350</xdr:colOff>
      <xdr:row>3180</xdr:row>
      <xdr:rowOff>25400</xdr:rowOff>
    </xdr:from>
    <xdr:to>
      <xdr:col>9</xdr:col>
      <xdr:colOff>885190</xdr:colOff>
      <xdr:row>3180</xdr:row>
      <xdr:rowOff>1209040</xdr:rowOff>
    </xdr:to>
    <xdr:pic>
      <xdr:nvPicPr>
        <xdr:cNvPr id="7663" name="Изображение 7662" descr="resizeПП-00236677"/>
        <xdr:cNvPicPr>
          <a:picLocks noChangeAspect="1"/>
        </xdr:cNvPicPr>
      </xdr:nvPicPr>
      <xdr:blipFill>
        <a:blip xmlns:r="http://schemas.openxmlformats.org/officeDocument/2006/relationships" r:embed="rId2379"/>
        <a:stretch>
          <a:fillRect/>
        </a:stretch>
      </xdr:blipFill>
      <xdr:spPr>
        <a:xfrm>
          <a:off x="7235825" y="3115649725"/>
          <a:ext cx="878840" cy="1183640"/>
        </a:xfrm>
        <a:prstGeom prst="rect">
          <a:avLst/>
        </a:prstGeom>
      </xdr:spPr>
    </xdr:pic>
    <xdr:clientData/>
  </xdr:twoCellAnchor>
  <xdr:twoCellAnchor>
    <xdr:from>
      <xdr:col>9</xdr:col>
      <xdr:colOff>6350</xdr:colOff>
      <xdr:row>3181</xdr:row>
      <xdr:rowOff>25400</xdr:rowOff>
    </xdr:from>
    <xdr:to>
      <xdr:col>9</xdr:col>
      <xdr:colOff>885190</xdr:colOff>
      <xdr:row>3181</xdr:row>
      <xdr:rowOff>1209040</xdr:rowOff>
    </xdr:to>
    <xdr:pic>
      <xdr:nvPicPr>
        <xdr:cNvPr id="7664" name="Изображение 7663" descr="resizeПП-00236675"/>
        <xdr:cNvPicPr>
          <a:picLocks noChangeAspect="1"/>
        </xdr:cNvPicPr>
      </xdr:nvPicPr>
      <xdr:blipFill>
        <a:blip xmlns:r="http://schemas.openxmlformats.org/officeDocument/2006/relationships" r:embed="rId2380"/>
        <a:stretch>
          <a:fillRect/>
        </a:stretch>
      </xdr:blipFill>
      <xdr:spPr>
        <a:xfrm>
          <a:off x="7235825" y="3116872100"/>
          <a:ext cx="878840" cy="1183640"/>
        </a:xfrm>
        <a:prstGeom prst="rect">
          <a:avLst/>
        </a:prstGeom>
      </xdr:spPr>
    </xdr:pic>
    <xdr:clientData/>
  </xdr:twoCellAnchor>
  <xdr:twoCellAnchor>
    <xdr:from>
      <xdr:col>9</xdr:col>
      <xdr:colOff>6350</xdr:colOff>
      <xdr:row>3182</xdr:row>
      <xdr:rowOff>25400</xdr:rowOff>
    </xdr:from>
    <xdr:to>
      <xdr:col>9</xdr:col>
      <xdr:colOff>885190</xdr:colOff>
      <xdr:row>3182</xdr:row>
      <xdr:rowOff>1209040</xdr:rowOff>
    </xdr:to>
    <xdr:pic>
      <xdr:nvPicPr>
        <xdr:cNvPr id="7665" name="Изображение 7664" descr="resizeПП-00236669"/>
        <xdr:cNvPicPr>
          <a:picLocks noChangeAspect="1"/>
        </xdr:cNvPicPr>
      </xdr:nvPicPr>
      <xdr:blipFill>
        <a:blip xmlns:r="http://schemas.openxmlformats.org/officeDocument/2006/relationships" r:embed="rId2381"/>
        <a:stretch>
          <a:fillRect/>
        </a:stretch>
      </xdr:blipFill>
      <xdr:spPr>
        <a:xfrm>
          <a:off x="7235825" y="3118094475"/>
          <a:ext cx="878840" cy="1183640"/>
        </a:xfrm>
        <a:prstGeom prst="rect">
          <a:avLst/>
        </a:prstGeom>
      </xdr:spPr>
    </xdr:pic>
    <xdr:clientData/>
  </xdr:twoCellAnchor>
  <xdr:twoCellAnchor>
    <xdr:from>
      <xdr:col>9</xdr:col>
      <xdr:colOff>6350</xdr:colOff>
      <xdr:row>3185</xdr:row>
      <xdr:rowOff>25400</xdr:rowOff>
    </xdr:from>
    <xdr:to>
      <xdr:col>9</xdr:col>
      <xdr:colOff>885190</xdr:colOff>
      <xdr:row>3185</xdr:row>
      <xdr:rowOff>1209040</xdr:rowOff>
    </xdr:to>
    <xdr:pic>
      <xdr:nvPicPr>
        <xdr:cNvPr id="7666" name="Изображение 7665" descr="resizeПП-00216983"/>
        <xdr:cNvPicPr>
          <a:picLocks noChangeAspect="1"/>
        </xdr:cNvPicPr>
      </xdr:nvPicPr>
      <xdr:blipFill>
        <a:blip xmlns:r="http://schemas.openxmlformats.org/officeDocument/2006/relationships" r:embed="rId2382"/>
        <a:stretch>
          <a:fillRect/>
        </a:stretch>
      </xdr:blipFill>
      <xdr:spPr>
        <a:xfrm>
          <a:off x="7235825" y="3119621650"/>
          <a:ext cx="878840" cy="1183640"/>
        </a:xfrm>
        <a:prstGeom prst="rect">
          <a:avLst/>
        </a:prstGeom>
      </xdr:spPr>
    </xdr:pic>
    <xdr:clientData/>
  </xdr:twoCellAnchor>
  <xdr:twoCellAnchor>
    <xdr:from>
      <xdr:col>9</xdr:col>
      <xdr:colOff>6350</xdr:colOff>
      <xdr:row>3186</xdr:row>
      <xdr:rowOff>25400</xdr:rowOff>
    </xdr:from>
    <xdr:to>
      <xdr:col>9</xdr:col>
      <xdr:colOff>885190</xdr:colOff>
      <xdr:row>3186</xdr:row>
      <xdr:rowOff>1209040</xdr:rowOff>
    </xdr:to>
    <xdr:pic>
      <xdr:nvPicPr>
        <xdr:cNvPr id="7667" name="Изображение 7666" descr="resizeПП-00216993"/>
        <xdr:cNvPicPr>
          <a:picLocks noChangeAspect="1"/>
        </xdr:cNvPicPr>
      </xdr:nvPicPr>
      <xdr:blipFill>
        <a:blip xmlns:r="http://schemas.openxmlformats.org/officeDocument/2006/relationships" r:embed="rId2383"/>
        <a:stretch>
          <a:fillRect/>
        </a:stretch>
      </xdr:blipFill>
      <xdr:spPr>
        <a:xfrm>
          <a:off x="7235825" y="3120844025"/>
          <a:ext cx="878840" cy="1183640"/>
        </a:xfrm>
        <a:prstGeom prst="rect">
          <a:avLst/>
        </a:prstGeom>
      </xdr:spPr>
    </xdr:pic>
    <xdr:clientData/>
  </xdr:twoCellAnchor>
  <xdr:twoCellAnchor>
    <xdr:from>
      <xdr:col>9</xdr:col>
      <xdr:colOff>6350</xdr:colOff>
      <xdr:row>3187</xdr:row>
      <xdr:rowOff>25400</xdr:rowOff>
    </xdr:from>
    <xdr:to>
      <xdr:col>9</xdr:col>
      <xdr:colOff>885190</xdr:colOff>
      <xdr:row>3187</xdr:row>
      <xdr:rowOff>1209040</xdr:rowOff>
    </xdr:to>
    <xdr:pic>
      <xdr:nvPicPr>
        <xdr:cNvPr id="7668" name="Изображение 7667" descr="resizeПП-00216985"/>
        <xdr:cNvPicPr>
          <a:picLocks noChangeAspect="1"/>
        </xdr:cNvPicPr>
      </xdr:nvPicPr>
      <xdr:blipFill>
        <a:blip xmlns:r="http://schemas.openxmlformats.org/officeDocument/2006/relationships" r:embed="rId2384"/>
        <a:stretch>
          <a:fillRect/>
        </a:stretch>
      </xdr:blipFill>
      <xdr:spPr>
        <a:xfrm>
          <a:off x="7235825" y="3122066400"/>
          <a:ext cx="878840" cy="1183640"/>
        </a:xfrm>
        <a:prstGeom prst="rect">
          <a:avLst/>
        </a:prstGeom>
      </xdr:spPr>
    </xdr:pic>
    <xdr:clientData/>
  </xdr:twoCellAnchor>
  <xdr:twoCellAnchor>
    <xdr:from>
      <xdr:col>9</xdr:col>
      <xdr:colOff>6350</xdr:colOff>
      <xdr:row>3188</xdr:row>
      <xdr:rowOff>25400</xdr:rowOff>
    </xdr:from>
    <xdr:to>
      <xdr:col>9</xdr:col>
      <xdr:colOff>885190</xdr:colOff>
      <xdr:row>3188</xdr:row>
      <xdr:rowOff>1209040</xdr:rowOff>
    </xdr:to>
    <xdr:pic>
      <xdr:nvPicPr>
        <xdr:cNvPr id="7669" name="Изображение 7668" descr="resizeПП-00217009"/>
        <xdr:cNvPicPr>
          <a:picLocks noChangeAspect="1"/>
        </xdr:cNvPicPr>
      </xdr:nvPicPr>
      <xdr:blipFill>
        <a:blip xmlns:r="http://schemas.openxmlformats.org/officeDocument/2006/relationships" r:embed="rId2385"/>
        <a:stretch>
          <a:fillRect/>
        </a:stretch>
      </xdr:blipFill>
      <xdr:spPr>
        <a:xfrm>
          <a:off x="7235825" y="3123288775"/>
          <a:ext cx="878840" cy="1183640"/>
        </a:xfrm>
        <a:prstGeom prst="rect">
          <a:avLst/>
        </a:prstGeom>
      </xdr:spPr>
    </xdr:pic>
    <xdr:clientData/>
  </xdr:twoCellAnchor>
  <xdr:twoCellAnchor>
    <xdr:from>
      <xdr:col>9</xdr:col>
      <xdr:colOff>6350</xdr:colOff>
      <xdr:row>3191</xdr:row>
      <xdr:rowOff>25400</xdr:rowOff>
    </xdr:from>
    <xdr:to>
      <xdr:col>9</xdr:col>
      <xdr:colOff>885190</xdr:colOff>
      <xdr:row>3191</xdr:row>
      <xdr:rowOff>1209040</xdr:rowOff>
    </xdr:to>
    <xdr:pic>
      <xdr:nvPicPr>
        <xdr:cNvPr id="7670" name="Изображение 7669" descr="resizeПП-00216972"/>
        <xdr:cNvPicPr>
          <a:picLocks noChangeAspect="1"/>
        </xdr:cNvPicPr>
      </xdr:nvPicPr>
      <xdr:blipFill>
        <a:blip xmlns:r="http://schemas.openxmlformats.org/officeDocument/2006/relationships" r:embed="rId2386"/>
        <a:stretch>
          <a:fillRect/>
        </a:stretch>
      </xdr:blipFill>
      <xdr:spPr>
        <a:xfrm>
          <a:off x="7235825" y="3124815950"/>
          <a:ext cx="878840" cy="1183640"/>
        </a:xfrm>
        <a:prstGeom prst="rect">
          <a:avLst/>
        </a:prstGeom>
      </xdr:spPr>
    </xdr:pic>
    <xdr:clientData/>
  </xdr:twoCellAnchor>
  <xdr:twoCellAnchor>
    <xdr:from>
      <xdr:col>9</xdr:col>
      <xdr:colOff>6350</xdr:colOff>
      <xdr:row>3192</xdr:row>
      <xdr:rowOff>25400</xdr:rowOff>
    </xdr:from>
    <xdr:to>
      <xdr:col>9</xdr:col>
      <xdr:colOff>885190</xdr:colOff>
      <xdr:row>3192</xdr:row>
      <xdr:rowOff>1209040</xdr:rowOff>
    </xdr:to>
    <xdr:pic>
      <xdr:nvPicPr>
        <xdr:cNvPr id="7671" name="Изображение 7670" descr="resizeПП-00216966"/>
        <xdr:cNvPicPr>
          <a:picLocks noChangeAspect="1"/>
        </xdr:cNvPicPr>
      </xdr:nvPicPr>
      <xdr:blipFill>
        <a:blip xmlns:r="http://schemas.openxmlformats.org/officeDocument/2006/relationships" r:embed="rId2387"/>
        <a:stretch>
          <a:fillRect/>
        </a:stretch>
      </xdr:blipFill>
      <xdr:spPr>
        <a:xfrm>
          <a:off x="7235825" y="3126038325"/>
          <a:ext cx="878840" cy="1183640"/>
        </a:xfrm>
        <a:prstGeom prst="rect">
          <a:avLst/>
        </a:prstGeom>
      </xdr:spPr>
    </xdr:pic>
    <xdr:clientData/>
  </xdr:twoCellAnchor>
  <xdr:twoCellAnchor>
    <xdr:from>
      <xdr:col>9</xdr:col>
      <xdr:colOff>6350</xdr:colOff>
      <xdr:row>3193</xdr:row>
      <xdr:rowOff>25400</xdr:rowOff>
    </xdr:from>
    <xdr:to>
      <xdr:col>9</xdr:col>
      <xdr:colOff>885190</xdr:colOff>
      <xdr:row>3193</xdr:row>
      <xdr:rowOff>1209040</xdr:rowOff>
    </xdr:to>
    <xdr:pic>
      <xdr:nvPicPr>
        <xdr:cNvPr id="7672" name="Изображение 7671" descr="resizeПП-00216950"/>
        <xdr:cNvPicPr>
          <a:picLocks noChangeAspect="1"/>
        </xdr:cNvPicPr>
      </xdr:nvPicPr>
      <xdr:blipFill>
        <a:blip xmlns:r="http://schemas.openxmlformats.org/officeDocument/2006/relationships" r:embed="rId2388"/>
        <a:stretch>
          <a:fillRect/>
        </a:stretch>
      </xdr:blipFill>
      <xdr:spPr>
        <a:xfrm>
          <a:off x="7235825" y="3127260700"/>
          <a:ext cx="878840" cy="1183640"/>
        </a:xfrm>
        <a:prstGeom prst="rect">
          <a:avLst/>
        </a:prstGeom>
      </xdr:spPr>
    </xdr:pic>
    <xdr:clientData/>
  </xdr:twoCellAnchor>
  <xdr:twoCellAnchor>
    <xdr:from>
      <xdr:col>9</xdr:col>
      <xdr:colOff>6350</xdr:colOff>
      <xdr:row>3194</xdr:row>
      <xdr:rowOff>25400</xdr:rowOff>
    </xdr:from>
    <xdr:to>
      <xdr:col>9</xdr:col>
      <xdr:colOff>885190</xdr:colOff>
      <xdr:row>3194</xdr:row>
      <xdr:rowOff>1209040</xdr:rowOff>
    </xdr:to>
    <xdr:pic>
      <xdr:nvPicPr>
        <xdr:cNvPr id="7673" name="Изображение 7672" descr="resizeПП-00216976"/>
        <xdr:cNvPicPr>
          <a:picLocks noChangeAspect="1"/>
        </xdr:cNvPicPr>
      </xdr:nvPicPr>
      <xdr:blipFill>
        <a:blip xmlns:r="http://schemas.openxmlformats.org/officeDocument/2006/relationships" r:embed="rId2389"/>
        <a:stretch>
          <a:fillRect/>
        </a:stretch>
      </xdr:blipFill>
      <xdr:spPr>
        <a:xfrm>
          <a:off x="7235825" y="3128483075"/>
          <a:ext cx="878840" cy="1183640"/>
        </a:xfrm>
        <a:prstGeom prst="rect">
          <a:avLst/>
        </a:prstGeom>
      </xdr:spPr>
    </xdr:pic>
    <xdr:clientData/>
  </xdr:twoCellAnchor>
  <xdr:twoCellAnchor>
    <xdr:from>
      <xdr:col>9</xdr:col>
      <xdr:colOff>6350</xdr:colOff>
      <xdr:row>3195</xdr:row>
      <xdr:rowOff>25400</xdr:rowOff>
    </xdr:from>
    <xdr:to>
      <xdr:col>9</xdr:col>
      <xdr:colOff>885190</xdr:colOff>
      <xdr:row>3195</xdr:row>
      <xdr:rowOff>1209040</xdr:rowOff>
    </xdr:to>
    <xdr:pic>
      <xdr:nvPicPr>
        <xdr:cNvPr id="7674" name="Изображение 7673" descr="resizeПП-00216975"/>
        <xdr:cNvPicPr>
          <a:picLocks noChangeAspect="1"/>
        </xdr:cNvPicPr>
      </xdr:nvPicPr>
      <xdr:blipFill>
        <a:blip xmlns:r="http://schemas.openxmlformats.org/officeDocument/2006/relationships" r:embed="rId2390"/>
        <a:stretch>
          <a:fillRect/>
        </a:stretch>
      </xdr:blipFill>
      <xdr:spPr>
        <a:xfrm>
          <a:off x="7235825" y="3129705450"/>
          <a:ext cx="878840" cy="1183640"/>
        </a:xfrm>
        <a:prstGeom prst="rect">
          <a:avLst/>
        </a:prstGeom>
      </xdr:spPr>
    </xdr:pic>
    <xdr:clientData/>
  </xdr:twoCellAnchor>
  <xdr:twoCellAnchor>
    <xdr:from>
      <xdr:col>9</xdr:col>
      <xdr:colOff>6350</xdr:colOff>
      <xdr:row>3197</xdr:row>
      <xdr:rowOff>25400</xdr:rowOff>
    </xdr:from>
    <xdr:to>
      <xdr:col>9</xdr:col>
      <xdr:colOff>885190</xdr:colOff>
      <xdr:row>3197</xdr:row>
      <xdr:rowOff>1209040</xdr:rowOff>
    </xdr:to>
    <xdr:pic>
      <xdr:nvPicPr>
        <xdr:cNvPr id="7675" name="Изображение 7674" descr="resizeПП-00216995"/>
        <xdr:cNvPicPr>
          <a:picLocks noChangeAspect="1"/>
        </xdr:cNvPicPr>
      </xdr:nvPicPr>
      <xdr:blipFill>
        <a:blip xmlns:r="http://schemas.openxmlformats.org/officeDocument/2006/relationships" r:embed="rId2391"/>
        <a:stretch>
          <a:fillRect/>
        </a:stretch>
      </xdr:blipFill>
      <xdr:spPr>
        <a:xfrm>
          <a:off x="7235825" y="3131080225"/>
          <a:ext cx="878840" cy="1183640"/>
        </a:xfrm>
        <a:prstGeom prst="rect">
          <a:avLst/>
        </a:prstGeom>
      </xdr:spPr>
    </xdr:pic>
    <xdr:clientData/>
  </xdr:twoCellAnchor>
  <xdr:twoCellAnchor>
    <xdr:from>
      <xdr:col>9</xdr:col>
      <xdr:colOff>6350</xdr:colOff>
      <xdr:row>3198</xdr:row>
      <xdr:rowOff>25400</xdr:rowOff>
    </xdr:from>
    <xdr:to>
      <xdr:col>9</xdr:col>
      <xdr:colOff>885190</xdr:colOff>
      <xdr:row>3198</xdr:row>
      <xdr:rowOff>1209040</xdr:rowOff>
    </xdr:to>
    <xdr:pic>
      <xdr:nvPicPr>
        <xdr:cNvPr id="7676" name="Изображение 7675" descr="resizeПП-00216999"/>
        <xdr:cNvPicPr>
          <a:picLocks noChangeAspect="1"/>
        </xdr:cNvPicPr>
      </xdr:nvPicPr>
      <xdr:blipFill>
        <a:blip xmlns:r="http://schemas.openxmlformats.org/officeDocument/2006/relationships" r:embed="rId2392"/>
        <a:stretch>
          <a:fillRect/>
        </a:stretch>
      </xdr:blipFill>
      <xdr:spPr>
        <a:xfrm>
          <a:off x="7235825" y="3132302600"/>
          <a:ext cx="878840" cy="1183640"/>
        </a:xfrm>
        <a:prstGeom prst="rect">
          <a:avLst/>
        </a:prstGeom>
      </xdr:spPr>
    </xdr:pic>
    <xdr:clientData/>
  </xdr:twoCellAnchor>
  <xdr:twoCellAnchor>
    <xdr:from>
      <xdr:col>9</xdr:col>
      <xdr:colOff>6350</xdr:colOff>
      <xdr:row>3201</xdr:row>
      <xdr:rowOff>25400</xdr:rowOff>
    </xdr:from>
    <xdr:to>
      <xdr:col>9</xdr:col>
      <xdr:colOff>885190</xdr:colOff>
      <xdr:row>3201</xdr:row>
      <xdr:rowOff>1209040</xdr:rowOff>
    </xdr:to>
    <xdr:pic>
      <xdr:nvPicPr>
        <xdr:cNvPr id="7677" name="Изображение 7676" descr="resizeПП-00216896"/>
        <xdr:cNvPicPr>
          <a:picLocks noChangeAspect="1"/>
        </xdr:cNvPicPr>
      </xdr:nvPicPr>
      <xdr:blipFill>
        <a:blip xmlns:r="http://schemas.openxmlformats.org/officeDocument/2006/relationships" r:embed="rId2393"/>
        <a:stretch>
          <a:fillRect/>
        </a:stretch>
      </xdr:blipFill>
      <xdr:spPr>
        <a:xfrm>
          <a:off x="7235825" y="3133829775"/>
          <a:ext cx="878840" cy="1183640"/>
        </a:xfrm>
        <a:prstGeom prst="rect">
          <a:avLst/>
        </a:prstGeom>
      </xdr:spPr>
    </xdr:pic>
    <xdr:clientData/>
  </xdr:twoCellAnchor>
  <xdr:twoCellAnchor>
    <xdr:from>
      <xdr:col>9</xdr:col>
      <xdr:colOff>6350</xdr:colOff>
      <xdr:row>3202</xdr:row>
      <xdr:rowOff>25400</xdr:rowOff>
    </xdr:from>
    <xdr:to>
      <xdr:col>9</xdr:col>
      <xdr:colOff>885190</xdr:colOff>
      <xdr:row>3202</xdr:row>
      <xdr:rowOff>1209040</xdr:rowOff>
    </xdr:to>
    <xdr:pic>
      <xdr:nvPicPr>
        <xdr:cNvPr id="7678" name="Изображение 7677" descr="resizeПП-00216887"/>
        <xdr:cNvPicPr>
          <a:picLocks noChangeAspect="1"/>
        </xdr:cNvPicPr>
      </xdr:nvPicPr>
      <xdr:blipFill>
        <a:blip xmlns:r="http://schemas.openxmlformats.org/officeDocument/2006/relationships" r:embed="rId2394"/>
        <a:stretch>
          <a:fillRect/>
        </a:stretch>
      </xdr:blipFill>
      <xdr:spPr>
        <a:xfrm>
          <a:off x="7235825" y="3135052150"/>
          <a:ext cx="878840" cy="1183640"/>
        </a:xfrm>
        <a:prstGeom prst="rect">
          <a:avLst/>
        </a:prstGeom>
      </xdr:spPr>
    </xdr:pic>
    <xdr:clientData/>
  </xdr:twoCellAnchor>
  <xdr:twoCellAnchor>
    <xdr:from>
      <xdr:col>9</xdr:col>
      <xdr:colOff>6350</xdr:colOff>
      <xdr:row>3203</xdr:row>
      <xdr:rowOff>25400</xdr:rowOff>
    </xdr:from>
    <xdr:to>
      <xdr:col>9</xdr:col>
      <xdr:colOff>885190</xdr:colOff>
      <xdr:row>3203</xdr:row>
      <xdr:rowOff>1209040</xdr:rowOff>
    </xdr:to>
    <xdr:pic>
      <xdr:nvPicPr>
        <xdr:cNvPr id="7679" name="Изображение 7678" descr="resizeПП-00216904"/>
        <xdr:cNvPicPr>
          <a:picLocks noChangeAspect="1"/>
        </xdr:cNvPicPr>
      </xdr:nvPicPr>
      <xdr:blipFill>
        <a:blip xmlns:r="http://schemas.openxmlformats.org/officeDocument/2006/relationships" r:embed="rId2395"/>
        <a:stretch>
          <a:fillRect/>
        </a:stretch>
      </xdr:blipFill>
      <xdr:spPr>
        <a:xfrm>
          <a:off x="7235825" y="3136274525"/>
          <a:ext cx="878840" cy="1183640"/>
        </a:xfrm>
        <a:prstGeom prst="rect">
          <a:avLst/>
        </a:prstGeom>
      </xdr:spPr>
    </xdr:pic>
    <xdr:clientData/>
  </xdr:twoCellAnchor>
  <xdr:twoCellAnchor>
    <xdr:from>
      <xdr:col>9</xdr:col>
      <xdr:colOff>6350</xdr:colOff>
      <xdr:row>3206</xdr:row>
      <xdr:rowOff>25400</xdr:rowOff>
    </xdr:from>
    <xdr:to>
      <xdr:col>9</xdr:col>
      <xdr:colOff>885190</xdr:colOff>
      <xdr:row>3206</xdr:row>
      <xdr:rowOff>1209040</xdr:rowOff>
    </xdr:to>
    <xdr:pic>
      <xdr:nvPicPr>
        <xdr:cNvPr id="7680" name="Изображение 7679" descr="resizeПП-00245822"/>
        <xdr:cNvPicPr>
          <a:picLocks noChangeAspect="1"/>
        </xdr:cNvPicPr>
      </xdr:nvPicPr>
      <xdr:blipFill>
        <a:blip xmlns:r="http://schemas.openxmlformats.org/officeDocument/2006/relationships" r:embed="rId2396"/>
        <a:stretch>
          <a:fillRect/>
        </a:stretch>
      </xdr:blipFill>
      <xdr:spPr>
        <a:xfrm>
          <a:off x="7235825" y="3137801700"/>
          <a:ext cx="878840" cy="1183640"/>
        </a:xfrm>
        <a:prstGeom prst="rect">
          <a:avLst/>
        </a:prstGeom>
      </xdr:spPr>
    </xdr:pic>
    <xdr:clientData/>
  </xdr:twoCellAnchor>
  <xdr:twoCellAnchor>
    <xdr:from>
      <xdr:col>9</xdr:col>
      <xdr:colOff>6350</xdr:colOff>
      <xdr:row>3207</xdr:row>
      <xdr:rowOff>25400</xdr:rowOff>
    </xdr:from>
    <xdr:to>
      <xdr:col>9</xdr:col>
      <xdr:colOff>885190</xdr:colOff>
      <xdr:row>3207</xdr:row>
      <xdr:rowOff>1209040</xdr:rowOff>
    </xdr:to>
    <xdr:pic>
      <xdr:nvPicPr>
        <xdr:cNvPr id="7681" name="Изображение 7680" descr="resizeПП-00245823"/>
        <xdr:cNvPicPr>
          <a:picLocks noChangeAspect="1"/>
        </xdr:cNvPicPr>
      </xdr:nvPicPr>
      <xdr:blipFill>
        <a:blip xmlns:r="http://schemas.openxmlformats.org/officeDocument/2006/relationships" r:embed="rId2397"/>
        <a:stretch>
          <a:fillRect/>
        </a:stretch>
      </xdr:blipFill>
      <xdr:spPr>
        <a:xfrm>
          <a:off x="7235825" y="3139024075"/>
          <a:ext cx="878840" cy="1183640"/>
        </a:xfrm>
        <a:prstGeom prst="rect">
          <a:avLst/>
        </a:prstGeom>
      </xdr:spPr>
    </xdr:pic>
    <xdr:clientData/>
  </xdr:twoCellAnchor>
  <xdr:twoCellAnchor>
    <xdr:from>
      <xdr:col>9</xdr:col>
      <xdr:colOff>6350</xdr:colOff>
      <xdr:row>3209</xdr:row>
      <xdr:rowOff>25400</xdr:rowOff>
    </xdr:from>
    <xdr:to>
      <xdr:col>9</xdr:col>
      <xdr:colOff>885190</xdr:colOff>
      <xdr:row>3209</xdr:row>
      <xdr:rowOff>1209040</xdr:rowOff>
    </xdr:to>
    <xdr:pic>
      <xdr:nvPicPr>
        <xdr:cNvPr id="7682" name="Изображение 7681" descr="resizeПП-00168137"/>
        <xdr:cNvPicPr>
          <a:picLocks noChangeAspect="1"/>
        </xdr:cNvPicPr>
      </xdr:nvPicPr>
      <xdr:blipFill>
        <a:blip xmlns:r="http://schemas.openxmlformats.org/officeDocument/2006/relationships" r:embed="rId2398"/>
        <a:stretch>
          <a:fillRect/>
        </a:stretch>
      </xdr:blipFill>
      <xdr:spPr>
        <a:xfrm>
          <a:off x="7235825" y="3140398850"/>
          <a:ext cx="878840" cy="1183640"/>
        </a:xfrm>
        <a:prstGeom prst="rect">
          <a:avLst/>
        </a:prstGeom>
      </xdr:spPr>
    </xdr:pic>
    <xdr:clientData/>
  </xdr:twoCellAnchor>
  <xdr:twoCellAnchor>
    <xdr:from>
      <xdr:col>9</xdr:col>
      <xdr:colOff>6350</xdr:colOff>
      <xdr:row>3210</xdr:row>
      <xdr:rowOff>25400</xdr:rowOff>
    </xdr:from>
    <xdr:to>
      <xdr:col>9</xdr:col>
      <xdr:colOff>885190</xdr:colOff>
      <xdr:row>3210</xdr:row>
      <xdr:rowOff>1209040</xdr:rowOff>
    </xdr:to>
    <xdr:pic>
      <xdr:nvPicPr>
        <xdr:cNvPr id="7683" name="Изображение 7682" descr="resizeПП-00199344"/>
        <xdr:cNvPicPr>
          <a:picLocks noChangeAspect="1"/>
        </xdr:cNvPicPr>
      </xdr:nvPicPr>
      <xdr:blipFill>
        <a:blip xmlns:r="http://schemas.openxmlformats.org/officeDocument/2006/relationships" r:embed="rId2399"/>
        <a:stretch>
          <a:fillRect/>
        </a:stretch>
      </xdr:blipFill>
      <xdr:spPr>
        <a:xfrm>
          <a:off x="7235825" y="3141621225"/>
          <a:ext cx="878840" cy="1183640"/>
        </a:xfrm>
        <a:prstGeom prst="rect">
          <a:avLst/>
        </a:prstGeom>
      </xdr:spPr>
    </xdr:pic>
    <xdr:clientData/>
  </xdr:twoCellAnchor>
  <xdr:twoCellAnchor>
    <xdr:from>
      <xdr:col>9</xdr:col>
      <xdr:colOff>6350</xdr:colOff>
      <xdr:row>3211</xdr:row>
      <xdr:rowOff>25400</xdr:rowOff>
    </xdr:from>
    <xdr:to>
      <xdr:col>9</xdr:col>
      <xdr:colOff>885190</xdr:colOff>
      <xdr:row>3211</xdr:row>
      <xdr:rowOff>1209040</xdr:rowOff>
    </xdr:to>
    <xdr:pic>
      <xdr:nvPicPr>
        <xdr:cNvPr id="7684" name="Изображение 7683" descr="resizeПП-00199322"/>
        <xdr:cNvPicPr>
          <a:picLocks noChangeAspect="1"/>
        </xdr:cNvPicPr>
      </xdr:nvPicPr>
      <xdr:blipFill>
        <a:blip xmlns:r="http://schemas.openxmlformats.org/officeDocument/2006/relationships" r:embed="rId2400"/>
        <a:stretch>
          <a:fillRect/>
        </a:stretch>
      </xdr:blipFill>
      <xdr:spPr>
        <a:xfrm>
          <a:off x="7235825" y="3142843600"/>
          <a:ext cx="878840" cy="1183640"/>
        </a:xfrm>
        <a:prstGeom prst="rect">
          <a:avLst/>
        </a:prstGeom>
      </xdr:spPr>
    </xdr:pic>
    <xdr:clientData/>
  </xdr:twoCellAnchor>
  <xdr:twoCellAnchor>
    <xdr:from>
      <xdr:col>9</xdr:col>
      <xdr:colOff>6350</xdr:colOff>
      <xdr:row>3212</xdr:row>
      <xdr:rowOff>25400</xdr:rowOff>
    </xdr:from>
    <xdr:to>
      <xdr:col>9</xdr:col>
      <xdr:colOff>885190</xdr:colOff>
      <xdr:row>3212</xdr:row>
      <xdr:rowOff>1209040</xdr:rowOff>
    </xdr:to>
    <xdr:pic>
      <xdr:nvPicPr>
        <xdr:cNvPr id="7685" name="Изображение 7684" descr="resizeПП-00199324"/>
        <xdr:cNvPicPr>
          <a:picLocks noChangeAspect="1"/>
        </xdr:cNvPicPr>
      </xdr:nvPicPr>
      <xdr:blipFill>
        <a:blip xmlns:r="http://schemas.openxmlformats.org/officeDocument/2006/relationships" r:embed="rId2401"/>
        <a:stretch>
          <a:fillRect/>
        </a:stretch>
      </xdr:blipFill>
      <xdr:spPr>
        <a:xfrm>
          <a:off x="7235825" y="3144065975"/>
          <a:ext cx="878840" cy="1183640"/>
        </a:xfrm>
        <a:prstGeom prst="rect">
          <a:avLst/>
        </a:prstGeom>
      </xdr:spPr>
    </xdr:pic>
    <xdr:clientData/>
  </xdr:twoCellAnchor>
  <xdr:twoCellAnchor>
    <xdr:from>
      <xdr:col>9</xdr:col>
      <xdr:colOff>6350</xdr:colOff>
      <xdr:row>3213</xdr:row>
      <xdr:rowOff>25400</xdr:rowOff>
    </xdr:from>
    <xdr:to>
      <xdr:col>9</xdr:col>
      <xdr:colOff>885190</xdr:colOff>
      <xdr:row>3213</xdr:row>
      <xdr:rowOff>1209040</xdr:rowOff>
    </xdr:to>
    <xdr:pic>
      <xdr:nvPicPr>
        <xdr:cNvPr id="7686" name="Изображение 7685" descr="resizeПП-00235844"/>
        <xdr:cNvPicPr>
          <a:picLocks noChangeAspect="1"/>
        </xdr:cNvPicPr>
      </xdr:nvPicPr>
      <xdr:blipFill>
        <a:blip xmlns:r="http://schemas.openxmlformats.org/officeDocument/2006/relationships" r:embed="rId2402"/>
        <a:stretch>
          <a:fillRect/>
        </a:stretch>
      </xdr:blipFill>
      <xdr:spPr>
        <a:xfrm>
          <a:off x="7235825" y="3145288350"/>
          <a:ext cx="878840" cy="1183640"/>
        </a:xfrm>
        <a:prstGeom prst="rect">
          <a:avLst/>
        </a:prstGeom>
      </xdr:spPr>
    </xdr:pic>
    <xdr:clientData/>
  </xdr:twoCellAnchor>
  <xdr:twoCellAnchor>
    <xdr:from>
      <xdr:col>9</xdr:col>
      <xdr:colOff>6350</xdr:colOff>
      <xdr:row>3214</xdr:row>
      <xdr:rowOff>25400</xdr:rowOff>
    </xdr:from>
    <xdr:to>
      <xdr:col>9</xdr:col>
      <xdr:colOff>885190</xdr:colOff>
      <xdr:row>3214</xdr:row>
      <xdr:rowOff>1209040</xdr:rowOff>
    </xdr:to>
    <xdr:pic>
      <xdr:nvPicPr>
        <xdr:cNvPr id="7687" name="Изображение 7686" descr="resizeПП-00235843"/>
        <xdr:cNvPicPr>
          <a:picLocks noChangeAspect="1"/>
        </xdr:cNvPicPr>
      </xdr:nvPicPr>
      <xdr:blipFill>
        <a:blip xmlns:r="http://schemas.openxmlformats.org/officeDocument/2006/relationships" r:embed="rId2403"/>
        <a:stretch>
          <a:fillRect/>
        </a:stretch>
      </xdr:blipFill>
      <xdr:spPr>
        <a:xfrm>
          <a:off x="7235825" y="3146510725"/>
          <a:ext cx="878840" cy="1183640"/>
        </a:xfrm>
        <a:prstGeom prst="rect">
          <a:avLst/>
        </a:prstGeom>
      </xdr:spPr>
    </xdr:pic>
    <xdr:clientData/>
  </xdr:twoCellAnchor>
  <xdr:twoCellAnchor>
    <xdr:from>
      <xdr:col>9</xdr:col>
      <xdr:colOff>6350</xdr:colOff>
      <xdr:row>3215</xdr:row>
      <xdr:rowOff>25400</xdr:rowOff>
    </xdr:from>
    <xdr:to>
      <xdr:col>9</xdr:col>
      <xdr:colOff>885190</xdr:colOff>
      <xdr:row>3215</xdr:row>
      <xdr:rowOff>1209040</xdr:rowOff>
    </xdr:to>
    <xdr:pic>
      <xdr:nvPicPr>
        <xdr:cNvPr id="7688" name="Изображение 7687" descr="resizeПП-00216940"/>
        <xdr:cNvPicPr>
          <a:picLocks noChangeAspect="1"/>
        </xdr:cNvPicPr>
      </xdr:nvPicPr>
      <xdr:blipFill>
        <a:blip xmlns:r="http://schemas.openxmlformats.org/officeDocument/2006/relationships" r:embed="rId2404"/>
        <a:stretch>
          <a:fillRect/>
        </a:stretch>
      </xdr:blipFill>
      <xdr:spPr>
        <a:xfrm>
          <a:off x="7235825" y="3147733100"/>
          <a:ext cx="878840" cy="1183640"/>
        </a:xfrm>
        <a:prstGeom prst="rect">
          <a:avLst/>
        </a:prstGeom>
      </xdr:spPr>
    </xdr:pic>
    <xdr:clientData/>
  </xdr:twoCellAnchor>
  <xdr:twoCellAnchor>
    <xdr:from>
      <xdr:col>9</xdr:col>
      <xdr:colOff>6350</xdr:colOff>
      <xdr:row>3216</xdr:row>
      <xdr:rowOff>25400</xdr:rowOff>
    </xdr:from>
    <xdr:to>
      <xdr:col>9</xdr:col>
      <xdr:colOff>885190</xdr:colOff>
      <xdr:row>3216</xdr:row>
      <xdr:rowOff>1209040</xdr:rowOff>
    </xdr:to>
    <xdr:pic>
      <xdr:nvPicPr>
        <xdr:cNvPr id="7689" name="Изображение 7688" descr="resizeПП-00216938"/>
        <xdr:cNvPicPr>
          <a:picLocks noChangeAspect="1"/>
        </xdr:cNvPicPr>
      </xdr:nvPicPr>
      <xdr:blipFill>
        <a:blip xmlns:r="http://schemas.openxmlformats.org/officeDocument/2006/relationships" r:embed="rId2405"/>
        <a:stretch>
          <a:fillRect/>
        </a:stretch>
      </xdr:blipFill>
      <xdr:spPr>
        <a:xfrm>
          <a:off x="7235825" y="3148955475"/>
          <a:ext cx="878840" cy="1183640"/>
        </a:xfrm>
        <a:prstGeom prst="rect">
          <a:avLst/>
        </a:prstGeom>
      </xdr:spPr>
    </xdr:pic>
    <xdr:clientData/>
  </xdr:twoCellAnchor>
  <xdr:twoCellAnchor>
    <xdr:from>
      <xdr:col>9</xdr:col>
      <xdr:colOff>6350</xdr:colOff>
      <xdr:row>3217</xdr:row>
      <xdr:rowOff>25400</xdr:rowOff>
    </xdr:from>
    <xdr:to>
      <xdr:col>9</xdr:col>
      <xdr:colOff>885190</xdr:colOff>
      <xdr:row>3217</xdr:row>
      <xdr:rowOff>1209040</xdr:rowOff>
    </xdr:to>
    <xdr:pic>
      <xdr:nvPicPr>
        <xdr:cNvPr id="7690" name="Изображение 7689" descr="resizeПП-00216946"/>
        <xdr:cNvPicPr>
          <a:picLocks noChangeAspect="1"/>
        </xdr:cNvPicPr>
      </xdr:nvPicPr>
      <xdr:blipFill>
        <a:blip xmlns:r="http://schemas.openxmlformats.org/officeDocument/2006/relationships" r:embed="rId2406"/>
        <a:stretch>
          <a:fillRect/>
        </a:stretch>
      </xdr:blipFill>
      <xdr:spPr>
        <a:xfrm>
          <a:off x="7235825" y="3150177850"/>
          <a:ext cx="878840" cy="1183640"/>
        </a:xfrm>
        <a:prstGeom prst="rect">
          <a:avLst/>
        </a:prstGeom>
      </xdr:spPr>
    </xdr:pic>
    <xdr:clientData/>
  </xdr:twoCellAnchor>
  <xdr:twoCellAnchor>
    <xdr:from>
      <xdr:col>9</xdr:col>
      <xdr:colOff>6350</xdr:colOff>
      <xdr:row>3218</xdr:row>
      <xdr:rowOff>25400</xdr:rowOff>
    </xdr:from>
    <xdr:to>
      <xdr:col>9</xdr:col>
      <xdr:colOff>885190</xdr:colOff>
      <xdr:row>3218</xdr:row>
      <xdr:rowOff>1209040</xdr:rowOff>
    </xdr:to>
    <xdr:pic>
      <xdr:nvPicPr>
        <xdr:cNvPr id="7691" name="Изображение 7690" descr="resizeПП-00216933"/>
        <xdr:cNvPicPr>
          <a:picLocks noChangeAspect="1"/>
        </xdr:cNvPicPr>
      </xdr:nvPicPr>
      <xdr:blipFill>
        <a:blip xmlns:r="http://schemas.openxmlformats.org/officeDocument/2006/relationships" r:embed="rId2407"/>
        <a:stretch>
          <a:fillRect/>
        </a:stretch>
      </xdr:blipFill>
      <xdr:spPr>
        <a:xfrm>
          <a:off x="7235825" y="3151400225"/>
          <a:ext cx="878840" cy="1183640"/>
        </a:xfrm>
        <a:prstGeom prst="rect">
          <a:avLst/>
        </a:prstGeom>
      </xdr:spPr>
    </xdr:pic>
    <xdr:clientData/>
  </xdr:twoCellAnchor>
  <xdr:twoCellAnchor>
    <xdr:from>
      <xdr:col>9</xdr:col>
      <xdr:colOff>6350</xdr:colOff>
      <xdr:row>3219</xdr:row>
      <xdr:rowOff>25400</xdr:rowOff>
    </xdr:from>
    <xdr:to>
      <xdr:col>9</xdr:col>
      <xdr:colOff>885190</xdr:colOff>
      <xdr:row>3219</xdr:row>
      <xdr:rowOff>1209040</xdr:rowOff>
    </xdr:to>
    <xdr:pic>
      <xdr:nvPicPr>
        <xdr:cNvPr id="7692" name="Изображение 7691" descr="resizeПП-00216934"/>
        <xdr:cNvPicPr>
          <a:picLocks noChangeAspect="1"/>
        </xdr:cNvPicPr>
      </xdr:nvPicPr>
      <xdr:blipFill>
        <a:blip xmlns:r="http://schemas.openxmlformats.org/officeDocument/2006/relationships" r:embed="rId2408"/>
        <a:stretch>
          <a:fillRect/>
        </a:stretch>
      </xdr:blipFill>
      <xdr:spPr>
        <a:xfrm>
          <a:off x="7235825" y="3152622600"/>
          <a:ext cx="878840" cy="1183640"/>
        </a:xfrm>
        <a:prstGeom prst="rect">
          <a:avLst/>
        </a:prstGeom>
      </xdr:spPr>
    </xdr:pic>
    <xdr:clientData/>
  </xdr:twoCellAnchor>
  <xdr:twoCellAnchor>
    <xdr:from>
      <xdr:col>9</xdr:col>
      <xdr:colOff>6350</xdr:colOff>
      <xdr:row>3221</xdr:row>
      <xdr:rowOff>25400</xdr:rowOff>
    </xdr:from>
    <xdr:to>
      <xdr:col>9</xdr:col>
      <xdr:colOff>885190</xdr:colOff>
      <xdr:row>3221</xdr:row>
      <xdr:rowOff>1209040</xdr:rowOff>
    </xdr:to>
    <xdr:pic>
      <xdr:nvPicPr>
        <xdr:cNvPr id="7693" name="Изображение 7692" descr="resizeПП-00245819"/>
        <xdr:cNvPicPr>
          <a:picLocks noChangeAspect="1"/>
        </xdr:cNvPicPr>
      </xdr:nvPicPr>
      <xdr:blipFill>
        <a:blip xmlns:r="http://schemas.openxmlformats.org/officeDocument/2006/relationships" r:embed="rId2409"/>
        <a:stretch>
          <a:fillRect/>
        </a:stretch>
      </xdr:blipFill>
      <xdr:spPr>
        <a:xfrm>
          <a:off x="7235825" y="3153997375"/>
          <a:ext cx="878840" cy="1183640"/>
        </a:xfrm>
        <a:prstGeom prst="rect">
          <a:avLst/>
        </a:prstGeom>
      </xdr:spPr>
    </xdr:pic>
    <xdr:clientData/>
  </xdr:twoCellAnchor>
  <xdr:twoCellAnchor>
    <xdr:from>
      <xdr:col>9</xdr:col>
      <xdr:colOff>6350</xdr:colOff>
      <xdr:row>3222</xdr:row>
      <xdr:rowOff>25400</xdr:rowOff>
    </xdr:from>
    <xdr:to>
      <xdr:col>9</xdr:col>
      <xdr:colOff>885190</xdr:colOff>
      <xdr:row>3222</xdr:row>
      <xdr:rowOff>1209040</xdr:rowOff>
    </xdr:to>
    <xdr:pic>
      <xdr:nvPicPr>
        <xdr:cNvPr id="7694" name="Изображение 7693" descr="resizeПП-00245818"/>
        <xdr:cNvPicPr>
          <a:picLocks noChangeAspect="1"/>
        </xdr:cNvPicPr>
      </xdr:nvPicPr>
      <xdr:blipFill>
        <a:blip xmlns:r="http://schemas.openxmlformats.org/officeDocument/2006/relationships" r:embed="rId2410"/>
        <a:stretch>
          <a:fillRect/>
        </a:stretch>
      </xdr:blipFill>
      <xdr:spPr>
        <a:xfrm>
          <a:off x="7235825" y="3155219750"/>
          <a:ext cx="878840" cy="1183640"/>
        </a:xfrm>
        <a:prstGeom prst="rect">
          <a:avLst/>
        </a:prstGeom>
      </xdr:spPr>
    </xdr:pic>
    <xdr:clientData/>
  </xdr:twoCellAnchor>
  <xdr:twoCellAnchor>
    <xdr:from>
      <xdr:col>9</xdr:col>
      <xdr:colOff>6350</xdr:colOff>
      <xdr:row>3223</xdr:row>
      <xdr:rowOff>25400</xdr:rowOff>
    </xdr:from>
    <xdr:to>
      <xdr:col>9</xdr:col>
      <xdr:colOff>885190</xdr:colOff>
      <xdr:row>3223</xdr:row>
      <xdr:rowOff>1209040</xdr:rowOff>
    </xdr:to>
    <xdr:pic>
      <xdr:nvPicPr>
        <xdr:cNvPr id="7695" name="Изображение 7694" descr="resizeПП-00245820"/>
        <xdr:cNvPicPr>
          <a:picLocks noChangeAspect="1"/>
        </xdr:cNvPicPr>
      </xdr:nvPicPr>
      <xdr:blipFill>
        <a:blip xmlns:r="http://schemas.openxmlformats.org/officeDocument/2006/relationships" r:embed="rId2411"/>
        <a:stretch>
          <a:fillRect/>
        </a:stretch>
      </xdr:blipFill>
      <xdr:spPr>
        <a:xfrm>
          <a:off x="7235825" y="3156442125"/>
          <a:ext cx="878840" cy="1183640"/>
        </a:xfrm>
        <a:prstGeom prst="rect">
          <a:avLst/>
        </a:prstGeom>
      </xdr:spPr>
    </xdr:pic>
    <xdr:clientData/>
  </xdr:twoCellAnchor>
  <xdr:twoCellAnchor>
    <xdr:from>
      <xdr:col>9</xdr:col>
      <xdr:colOff>6350</xdr:colOff>
      <xdr:row>3225</xdr:row>
      <xdr:rowOff>25400</xdr:rowOff>
    </xdr:from>
    <xdr:to>
      <xdr:col>9</xdr:col>
      <xdr:colOff>885190</xdr:colOff>
      <xdr:row>3225</xdr:row>
      <xdr:rowOff>1209040</xdr:rowOff>
    </xdr:to>
    <xdr:pic>
      <xdr:nvPicPr>
        <xdr:cNvPr id="7696" name="Изображение 7695" descr="resizeПП-00217011"/>
        <xdr:cNvPicPr>
          <a:picLocks noChangeAspect="1"/>
        </xdr:cNvPicPr>
      </xdr:nvPicPr>
      <xdr:blipFill>
        <a:blip xmlns:r="http://schemas.openxmlformats.org/officeDocument/2006/relationships" r:embed="rId2412"/>
        <a:stretch>
          <a:fillRect/>
        </a:stretch>
      </xdr:blipFill>
      <xdr:spPr>
        <a:xfrm>
          <a:off x="7235825" y="3157816900"/>
          <a:ext cx="878840" cy="1183640"/>
        </a:xfrm>
        <a:prstGeom prst="rect">
          <a:avLst/>
        </a:prstGeom>
      </xdr:spPr>
    </xdr:pic>
    <xdr:clientData/>
  </xdr:twoCellAnchor>
  <xdr:twoCellAnchor>
    <xdr:from>
      <xdr:col>9</xdr:col>
      <xdr:colOff>6350</xdr:colOff>
      <xdr:row>3226</xdr:row>
      <xdr:rowOff>25400</xdr:rowOff>
    </xdr:from>
    <xdr:to>
      <xdr:col>9</xdr:col>
      <xdr:colOff>885190</xdr:colOff>
      <xdr:row>3226</xdr:row>
      <xdr:rowOff>1209040</xdr:rowOff>
    </xdr:to>
    <xdr:pic>
      <xdr:nvPicPr>
        <xdr:cNvPr id="7697" name="Изображение 7696" descr="resizeПП-00217007"/>
        <xdr:cNvPicPr>
          <a:picLocks noChangeAspect="1"/>
        </xdr:cNvPicPr>
      </xdr:nvPicPr>
      <xdr:blipFill>
        <a:blip xmlns:r="http://schemas.openxmlformats.org/officeDocument/2006/relationships" r:embed="rId2413"/>
        <a:stretch>
          <a:fillRect/>
        </a:stretch>
      </xdr:blipFill>
      <xdr:spPr>
        <a:xfrm>
          <a:off x="7235825" y="3159039275"/>
          <a:ext cx="878840" cy="1183640"/>
        </a:xfrm>
        <a:prstGeom prst="rect">
          <a:avLst/>
        </a:prstGeom>
      </xdr:spPr>
    </xdr:pic>
    <xdr:clientData/>
  </xdr:twoCellAnchor>
  <xdr:twoCellAnchor>
    <xdr:from>
      <xdr:col>9</xdr:col>
      <xdr:colOff>6350</xdr:colOff>
      <xdr:row>3227</xdr:row>
      <xdr:rowOff>25400</xdr:rowOff>
    </xdr:from>
    <xdr:to>
      <xdr:col>9</xdr:col>
      <xdr:colOff>885190</xdr:colOff>
      <xdr:row>3227</xdr:row>
      <xdr:rowOff>1209040</xdr:rowOff>
    </xdr:to>
    <xdr:pic>
      <xdr:nvPicPr>
        <xdr:cNvPr id="7698" name="Изображение 7697" descr="resizeПП-00217006"/>
        <xdr:cNvPicPr>
          <a:picLocks noChangeAspect="1"/>
        </xdr:cNvPicPr>
      </xdr:nvPicPr>
      <xdr:blipFill>
        <a:blip xmlns:r="http://schemas.openxmlformats.org/officeDocument/2006/relationships" r:embed="rId2414"/>
        <a:stretch>
          <a:fillRect/>
        </a:stretch>
      </xdr:blipFill>
      <xdr:spPr>
        <a:xfrm>
          <a:off x="7235825" y="3160261650"/>
          <a:ext cx="878840" cy="1183640"/>
        </a:xfrm>
        <a:prstGeom prst="rect">
          <a:avLst/>
        </a:prstGeom>
      </xdr:spPr>
    </xdr:pic>
    <xdr:clientData/>
  </xdr:twoCellAnchor>
  <xdr:twoCellAnchor>
    <xdr:from>
      <xdr:col>9</xdr:col>
      <xdr:colOff>6350</xdr:colOff>
      <xdr:row>3228</xdr:row>
      <xdr:rowOff>25400</xdr:rowOff>
    </xdr:from>
    <xdr:to>
      <xdr:col>9</xdr:col>
      <xdr:colOff>885190</xdr:colOff>
      <xdr:row>3228</xdr:row>
      <xdr:rowOff>1209040</xdr:rowOff>
    </xdr:to>
    <xdr:pic>
      <xdr:nvPicPr>
        <xdr:cNvPr id="7699" name="Изображение 7698" descr="resizeПП-00217012"/>
        <xdr:cNvPicPr>
          <a:picLocks noChangeAspect="1"/>
        </xdr:cNvPicPr>
      </xdr:nvPicPr>
      <xdr:blipFill>
        <a:blip xmlns:r="http://schemas.openxmlformats.org/officeDocument/2006/relationships" r:embed="rId2415"/>
        <a:stretch>
          <a:fillRect/>
        </a:stretch>
      </xdr:blipFill>
      <xdr:spPr>
        <a:xfrm>
          <a:off x="7235825" y="3161484025"/>
          <a:ext cx="878840" cy="1183640"/>
        </a:xfrm>
        <a:prstGeom prst="rect">
          <a:avLst/>
        </a:prstGeom>
      </xdr:spPr>
    </xdr:pic>
    <xdr:clientData/>
  </xdr:twoCellAnchor>
  <xdr:twoCellAnchor>
    <xdr:from>
      <xdr:col>9</xdr:col>
      <xdr:colOff>6350</xdr:colOff>
      <xdr:row>3230</xdr:row>
      <xdr:rowOff>25400</xdr:rowOff>
    </xdr:from>
    <xdr:to>
      <xdr:col>9</xdr:col>
      <xdr:colOff>885190</xdr:colOff>
      <xdr:row>3230</xdr:row>
      <xdr:rowOff>1209040</xdr:rowOff>
    </xdr:to>
    <xdr:pic>
      <xdr:nvPicPr>
        <xdr:cNvPr id="7700" name="Изображение 7699" descr="resizeПП-00199352"/>
        <xdr:cNvPicPr>
          <a:picLocks noChangeAspect="1"/>
        </xdr:cNvPicPr>
      </xdr:nvPicPr>
      <xdr:blipFill>
        <a:blip xmlns:r="http://schemas.openxmlformats.org/officeDocument/2006/relationships" r:embed="rId2416"/>
        <a:stretch>
          <a:fillRect/>
        </a:stretch>
      </xdr:blipFill>
      <xdr:spPr>
        <a:xfrm>
          <a:off x="7235825" y="3162858800"/>
          <a:ext cx="878840" cy="1183640"/>
        </a:xfrm>
        <a:prstGeom prst="rect">
          <a:avLst/>
        </a:prstGeom>
      </xdr:spPr>
    </xdr:pic>
    <xdr:clientData/>
  </xdr:twoCellAnchor>
  <xdr:twoCellAnchor>
    <xdr:from>
      <xdr:col>9</xdr:col>
      <xdr:colOff>6350</xdr:colOff>
      <xdr:row>3231</xdr:row>
      <xdr:rowOff>25400</xdr:rowOff>
    </xdr:from>
    <xdr:to>
      <xdr:col>9</xdr:col>
      <xdr:colOff>885190</xdr:colOff>
      <xdr:row>3231</xdr:row>
      <xdr:rowOff>1209040</xdr:rowOff>
    </xdr:to>
    <xdr:pic>
      <xdr:nvPicPr>
        <xdr:cNvPr id="7701" name="Изображение 7700" descr="resizeПП-00207873"/>
        <xdr:cNvPicPr>
          <a:picLocks noChangeAspect="1"/>
        </xdr:cNvPicPr>
      </xdr:nvPicPr>
      <xdr:blipFill>
        <a:blip xmlns:r="http://schemas.openxmlformats.org/officeDocument/2006/relationships" r:embed="rId2417"/>
        <a:stretch>
          <a:fillRect/>
        </a:stretch>
      </xdr:blipFill>
      <xdr:spPr>
        <a:xfrm>
          <a:off x="7235825" y="3164081175"/>
          <a:ext cx="878840" cy="1183640"/>
        </a:xfrm>
        <a:prstGeom prst="rect">
          <a:avLst/>
        </a:prstGeom>
      </xdr:spPr>
    </xdr:pic>
    <xdr:clientData/>
  </xdr:twoCellAnchor>
  <xdr:twoCellAnchor>
    <xdr:from>
      <xdr:col>9</xdr:col>
      <xdr:colOff>6350</xdr:colOff>
      <xdr:row>3232</xdr:row>
      <xdr:rowOff>25400</xdr:rowOff>
    </xdr:from>
    <xdr:to>
      <xdr:col>9</xdr:col>
      <xdr:colOff>885190</xdr:colOff>
      <xdr:row>3232</xdr:row>
      <xdr:rowOff>1209040</xdr:rowOff>
    </xdr:to>
    <xdr:pic>
      <xdr:nvPicPr>
        <xdr:cNvPr id="7702" name="Изображение 7701" descr="resizeПП-00207874"/>
        <xdr:cNvPicPr>
          <a:picLocks noChangeAspect="1"/>
        </xdr:cNvPicPr>
      </xdr:nvPicPr>
      <xdr:blipFill>
        <a:blip xmlns:r="http://schemas.openxmlformats.org/officeDocument/2006/relationships" r:embed="rId2418"/>
        <a:stretch>
          <a:fillRect/>
        </a:stretch>
      </xdr:blipFill>
      <xdr:spPr>
        <a:xfrm>
          <a:off x="7235825" y="3165303550"/>
          <a:ext cx="878840" cy="1183640"/>
        </a:xfrm>
        <a:prstGeom prst="rect">
          <a:avLst/>
        </a:prstGeom>
      </xdr:spPr>
    </xdr:pic>
    <xdr:clientData/>
  </xdr:twoCellAnchor>
  <xdr:twoCellAnchor>
    <xdr:from>
      <xdr:col>9</xdr:col>
      <xdr:colOff>6350</xdr:colOff>
      <xdr:row>3233</xdr:row>
      <xdr:rowOff>25400</xdr:rowOff>
    </xdr:from>
    <xdr:to>
      <xdr:col>9</xdr:col>
      <xdr:colOff>885190</xdr:colOff>
      <xdr:row>3233</xdr:row>
      <xdr:rowOff>1209040</xdr:rowOff>
    </xdr:to>
    <xdr:pic>
      <xdr:nvPicPr>
        <xdr:cNvPr id="7703" name="Изображение 7702" descr="resizeПП-00139922"/>
        <xdr:cNvPicPr>
          <a:picLocks noChangeAspect="1"/>
        </xdr:cNvPicPr>
      </xdr:nvPicPr>
      <xdr:blipFill>
        <a:blip xmlns:r="http://schemas.openxmlformats.org/officeDocument/2006/relationships" r:embed="rId2419"/>
        <a:stretch>
          <a:fillRect/>
        </a:stretch>
      </xdr:blipFill>
      <xdr:spPr>
        <a:xfrm>
          <a:off x="7235825" y="3166525925"/>
          <a:ext cx="878840" cy="1183640"/>
        </a:xfrm>
        <a:prstGeom prst="rect">
          <a:avLst/>
        </a:prstGeom>
      </xdr:spPr>
    </xdr:pic>
    <xdr:clientData/>
  </xdr:twoCellAnchor>
  <xdr:twoCellAnchor>
    <xdr:from>
      <xdr:col>9</xdr:col>
      <xdr:colOff>6350</xdr:colOff>
      <xdr:row>3234</xdr:row>
      <xdr:rowOff>25400</xdr:rowOff>
    </xdr:from>
    <xdr:to>
      <xdr:col>9</xdr:col>
      <xdr:colOff>885190</xdr:colOff>
      <xdr:row>3234</xdr:row>
      <xdr:rowOff>1209040</xdr:rowOff>
    </xdr:to>
    <xdr:pic>
      <xdr:nvPicPr>
        <xdr:cNvPr id="7704" name="Изображение 7703" descr="resizeПП-00139921"/>
        <xdr:cNvPicPr>
          <a:picLocks noChangeAspect="1"/>
        </xdr:cNvPicPr>
      </xdr:nvPicPr>
      <xdr:blipFill>
        <a:blip xmlns:r="http://schemas.openxmlformats.org/officeDocument/2006/relationships" r:embed="rId2420"/>
        <a:stretch>
          <a:fillRect/>
        </a:stretch>
      </xdr:blipFill>
      <xdr:spPr>
        <a:xfrm>
          <a:off x="7235825" y="3167748300"/>
          <a:ext cx="878840" cy="1183640"/>
        </a:xfrm>
        <a:prstGeom prst="rect">
          <a:avLst/>
        </a:prstGeom>
      </xdr:spPr>
    </xdr:pic>
    <xdr:clientData/>
  </xdr:twoCellAnchor>
  <xdr:twoCellAnchor>
    <xdr:from>
      <xdr:col>9</xdr:col>
      <xdr:colOff>6350</xdr:colOff>
      <xdr:row>3235</xdr:row>
      <xdr:rowOff>25400</xdr:rowOff>
    </xdr:from>
    <xdr:to>
      <xdr:col>9</xdr:col>
      <xdr:colOff>885190</xdr:colOff>
      <xdr:row>3235</xdr:row>
      <xdr:rowOff>1209040</xdr:rowOff>
    </xdr:to>
    <xdr:pic>
      <xdr:nvPicPr>
        <xdr:cNvPr id="7705" name="Изображение 7704" descr="resizeПП-00185936"/>
        <xdr:cNvPicPr>
          <a:picLocks noChangeAspect="1"/>
        </xdr:cNvPicPr>
      </xdr:nvPicPr>
      <xdr:blipFill>
        <a:blip xmlns:r="http://schemas.openxmlformats.org/officeDocument/2006/relationships" r:embed="rId2421"/>
        <a:stretch>
          <a:fillRect/>
        </a:stretch>
      </xdr:blipFill>
      <xdr:spPr>
        <a:xfrm>
          <a:off x="7235825" y="3168970675"/>
          <a:ext cx="878840" cy="1183640"/>
        </a:xfrm>
        <a:prstGeom prst="rect">
          <a:avLst/>
        </a:prstGeom>
      </xdr:spPr>
    </xdr:pic>
    <xdr:clientData/>
  </xdr:twoCellAnchor>
  <xdr:twoCellAnchor>
    <xdr:from>
      <xdr:col>9</xdr:col>
      <xdr:colOff>6350</xdr:colOff>
      <xdr:row>3236</xdr:row>
      <xdr:rowOff>25400</xdr:rowOff>
    </xdr:from>
    <xdr:to>
      <xdr:col>9</xdr:col>
      <xdr:colOff>885190</xdr:colOff>
      <xdr:row>3236</xdr:row>
      <xdr:rowOff>1209040</xdr:rowOff>
    </xdr:to>
    <xdr:pic>
      <xdr:nvPicPr>
        <xdr:cNvPr id="7706" name="Изображение 7705" descr="resizeПП-00139917"/>
        <xdr:cNvPicPr>
          <a:picLocks noChangeAspect="1"/>
        </xdr:cNvPicPr>
      </xdr:nvPicPr>
      <xdr:blipFill>
        <a:blip xmlns:r="http://schemas.openxmlformats.org/officeDocument/2006/relationships" r:embed="rId2422"/>
        <a:stretch>
          <a:fillRect/>
        </a:stretch>
      </xdr:blipFill>
      <xdr:spPr>
        <a:xfrm>
          <a:off x="7235825" y="3170193050"/>
          <a:ext cx="878840" cy="1183640"/>
        </a:xfrm>
        <a:prstGeom prst="rect">
          <a:avLst/>
        </a:prstGeom>
      </xdr:spPr>
    </xdr:pic>
    <xdr:clientData/>
  </xdr:twoCellAnchor>
  <xdr:twoCellAnchor>
    <xdr:from>
      <xdr:col>9</xdr:col>
      <xdr:colOff>6350</xdr:colOff>
      <xdr:row>3237</xdr:row>
      <xdr:rowOff>25400</xdr:rowOff>
    </xdr:from>
    <xdr:to>
      <xdr:col>9</xdr:col>
      <xdr:colOff>885190</xdr:colOff>
      <xdr:row>3237</xdr:row>
      <xdr:rowOff>1209040</xdr:rowOff>
    </xdr:to>
    <xdr:pic>
      <xdr:nvPicPr>
        <xdr:cNvPr id="7707" name="Изображение 7706" descr="resizeПП-00139918"/>
        <xdr:cNvPicPr>
          <a:picLocks noChangeAspect="1"/>
        </xdr:cNvPicPr>
      </xdr:nvPicPr>
      <xdr:blipFill>
        <a:blip xmlns:r="http://schemas.openxmlformats.org/officeDocument/2006/relationships" r:embed="rId2423"/>
        <a:stretch>
          <a:fillRect/>
        </a:stretch>
      </xdr:blipFill>
      <xdr:spPr>
        <a:xfrm>
          <a:off x="7235825" y="3171415425"/>
          <a:ext cx="878840" cy="1183640"/>
        </a:xfrm>
        <a:prstGeom prst="rect">
          <a:avLst/>
        </a:prstGeom>
      </xdr:spPr>
    </xdr:pic>
    <xdr:clientData/>
  </xdr:twoCellAnchor>
  <xdr:twoCellAnchor>
    <xdr:from>
      <xdr:col>9</xdr:col>
      <xdr:colOff>6350</xdr:colOff>
      <xdr:row>3238</xdr:row>
      <xdr:rowOff>25400</xdr:rowOff>
    </xdr:from>
    <xdr:to>
      <xdr:col>9</xdr:col>
      <xdr:colOff>783590</xdr:colOff>
      <xdr:row>3238</xdr:row>
      <xdr:rowOff>1209040</xdr:rowOff>
    </xdr:to>
    <xdr:pic>
      <xdr:nvPicPr>
        <xdr:cNvPr id="7708" name="Изображение 7707" descr="resizeПП-00207865"/>
        <xdr:cNvPicPr>
          <a:picLocks noChangeAspect="1"/>
        </xdr:cNvPicPr>
      </xdr:nvPicPr>
      <xdr:blipFill>
        <a:blip xmlns:r="http://schemas.openxmlformats.org/officeDocument/2006/relationships" r:embed="rId2424"/>
        <a:stretch>
          <a:fillRect/>
        </a:stretch>
      </xdr:blipFill>
      <xdr:spPr>
        <a:xfrm>
          <a:off x="7235825" y="3172637800"/>
          <a:ext cx="777240" cy="1183640"/>
        </a:xfrm>
        <a:prstGeom prst="rect">
          <a:avLst/>
        </a:prstGeom>
      </xdr:spPr>
    </xdr:pic>
    <xdr:clientData/>
  </xdr:twoCellAnchor>
  <xdr:twoCellAnchor>
    <xdr:from>
      <xdr:col>9</xdr:col>
      <xdr:colOff>6350</xdr:colOff>
      <xdr:row>3239</xdr:row>
      <xdr:rowOff>25400</xdr:rowOff>
    </xdr:from>
    <xdr:to>
      <xdr:col>9</xdr:col>
      <xdr:colOff>885190</xdr:colOff>
      <xdr:row>3239</xdr:row>
      <xdr:rowOff>1209040</xdr:rowOff>
    </xdr:to>
    <xdr:pic>
      <xdr:nvPicPr>
        <xdr:cNvPr id="7709" name="Изображение 7708" descr="resizeПП-00207860"/>
        <xdr:cNvPicPr>
          <a:picLocks noChangeAspect="1"/>
        </xdr:cNvPicPr>
      </xdr:nvPicPr>
      <xdr:blipFill>
        <a:blip xmlns:r="http://schemas.openxmlformats.org/officeDocument/2006/relationships" r:embed="rId2425"/>
        <a:stretch>
          <a:fillRect/>
        </a:stretch>
      </xdr:blipFill>
      <xdr:spPr>
        <a:xfrm>
          <a:off x="7235825" y="3173860175"/>
          <a:ext cx="878840" cy="1183640"/>
        </a:xfrm>
        <a:prstGeom prst="rect">
          <a:avLst/>
        </a:prstGeom>
      </xdr:spPr>
    </xdr:pic>
    <xdr:clientData/>
  </xdr:twoCellAnchor>
  <xdr:twoCellAnchor>
    <xdr:from>
      <xdr:col>9</xdr:col>
      <xdr:colOff>6350</xdr:colOff>
      <xdr:row>3240</xdr:row>
      <xdr:rowOff>25400</xdr:rowOff>
    </xdr:from>
    <xdr:to>
      <xdr:col>9</xdr:col>
      <xdr:colOff>885190</xdr:colOff>
      <xdr:row>3240</xdr:row>
      <xdr:rowOff>1209040</xdr:rowOff>
    </xdr:to>
    <xdr:pic>
      <xdr:nvPicPr>
        <xdr:cNvPr id="7710" name="Изображение 7709" descr="resizeПП-00185946"/>
        <xdr:cNvPicPr>
          <a:picLocks noChangeAspect="1"/>
        </xdr:cNvPicPr>
      </xdr:nvPicPr>
      <xdr:blipFill>
        <a:blip xmlns:r="http://schemas.openxmlformats.org/officeDocument/2006/relationships" r:embed="rId2426"/>
        <a:stretch>
          <a:fillRect/>
        </a:stretch>
      </xdr:blipFill>
      <xdr:spPr>
        <a:xfrm>
          <a:off x="7235825" y="3175082550"/>
          <a:ext cx="878840" cy="1183640"/>
        </a:xfrm>
        <a:prstGeom prst="rect">
          <a:avLst/>
        </a:prstGeom>
      </xdr:spPr>
    </xdr:pic>
    <xdr:clientData/>
  </xdr:twoCellAnchor>
  <xdr:twoCellAnchor>
    <xdr:from>
      <xdr:col>9</xdr:col>
      <xdr:colOff>6350</xdr:colOff>
      <xdr:row>3241</xdr:row>
      <xdr:rowOff>25400</xdr:rowOff>
    </xdr:from>
    <xdr:to>
      <xdr:col>9</xdr:col>
      <xdr:colOff>885190</xdr:colOff>
      <xdr:row>3241</xdr:row>
      <xdr:rowOff>1209040</xdr:rowOff>
    </xdr:to>
    <xdr:pic>
      <xdr:nvPicPr>
        <xdr:cNvPr id="7711" name="Изображение 7710" descr="resizeПП-00185944"/>
        <xdr:cNvPicPr>
          <a:picLocks noChangeAspect="1"/>
        </xdr:cNvPicPr>
      </xdr:nvPicPr>
      <xdr:blipFill>
        <a:blip xmlns:r="http://schemas.openxmlformats.org/officeDocument/2006/relationships" r:embed="rId2427"/>
        <a:stretch>
          <a:fillRect/>
        </a:stretch>
      </xdr:blipFill>
      <xdr:spPr>
        <a:xfrm>
          <a:off x="7235825" y="3176304925"/>
          <a:ext cx="878840" cy="1183640"/>
        </a:xfrm>
        <a:prstGeom prst="rect">
          <a:avLst/>
        </a:prstGeom>
      </xdr:spPr>
    </xdr:pic>
    <xdr:clientData/>
  </xdr:twoCellAnchor>
  <xdr:twoCellAnchor>
    <xdr:from>
      <xdr:col>9</xdr:col>
      <xdr:colOff>6350</xdr:colOff>
      <xdr:row>3242</xdr:row>
      <xdr:rowOff>25400</xdr:rowOff>
    </xdr:from>
    <xdr:to>
      <xdr:col>9</xdr:col>
      <xdr:colOff>885190</xdr:colOff>
      <xdr:row>3242</xdr:row>
      <xdr:rowOff>1209040</xdr:rowOff>
    </xdr:to>
    <xdr:pic>
      <xdr:nvPicPr>
        <xdr:cNvPr id="7712" name="Изображение 7711" descr="resizeПП-00185945"/>
        <xdr:cNvPicPr>
          <a:picLocks noChangeAspect="1"/>
        </xdr:cNvPicPr>
      </xdr:nvPicPr>
      <xdr:blipFill>
        <a:blip xmlns:r="http://schemas.openxmlformats.org/officeDocument/2006/relationships" r:embed="rId2428"/>
        <a:stretch>
          <a:fillRect/>
        </a:stretch>
      </xdr:blipFill>
      <xdr:spPr>
        <a:xfrm>
          <a:off x="7235825" y="3177527300"/>
          <a:ext cx="878840" cy="1183640"/>
        </a:xfrm>
        <a:prstGeom prst="rect">
          <a:avLst/>
        </a:prstGeom>
      </xdr:spPr>
    </xdr:pic>
    <xdr:clientData/>
  </xdr:twoCellAnchor>
  <xdr:twoCellAnchor>
    <xdr:from>
      <xdr:col>9</xdr:col>
      <xdr:colOff>6350</xdr:colOff>
      <xdr:row>3243</xdr:row>
      <xdr:rowOff>25400</xdr:rowOff>
    </xdr:from>
    <xdr:to>
      <xdr:col>9</xdr:col>
      <xdr:colOff>885190</xdr:colOff>
      <xdr:row>3243</xdr:row>
      <xdr:rowOff>1209040</xdr:rowOff>
    </xdr:to>
    <xdr:pic>
      <xdr:nvPicPr>
        <xdr:cNvPr id="7713" name="Изображение 7712" descr="resizeПП-00139919"/>
        <xdr:cNvPicPr>
          <a:picLocks noChangeAspect="1"/>
        </xdr:cNvPicPr>
      </xdr:nvPicPr>
      <xdr:blipFill>
        <a:blip xmlns:r="http://schemas.openxmlformats.org/officeDocument/2006/relationships" r:embed="rId2429"/>
        <a:stretch>
          <a:fillRect/>
        </a:stretch>
      </xdr:blipFill>
      <xdr:spPr>
        <a:xfrm>
          <a:off x="7235825" y="3178749675"/>
          <a:ext cx="878840" cy="1183640"/>
        </a:xfrm>
        <a:prstGeom prst="rect">
          <a:avLst/>
        </a:prstGeom>
      </xdr:spPr>
    </xdr:pic>
    <xdr:clientData/>
  </xdr:twoCellAnchor>
  <xdr:twoCellAnchor>
    <xdr:from>
      <xdr:col>9</xdr:col>
      <xdr:colOff>6350</xdr:colOff>
      <xdr:row>3244</xdr:row>
      <xdr:rowOff>25400</xdr:rowOff>
    </xdr:from>
    <xdr:to>
      <xdr:col>9</xdr:col>
      <xdr:colOff>885190</xdr:colOff>
      <xdr:row>3244</xdr:row>
      <xdr:rowOff>1209040</xdr:rowOff>
    </xdr:to>
    <xdr:pic>
      <xdr:nvPicPr>
        <xdr:cNvPr id="7714" name="Изображение 7713" descr="resizeПП-00207868"/>
        <xdr:cNvPicPr>
          <a:picLocks noChangeAspect="1"/>
        </xdr:cNvPicPr>
      </xdr:nvPicPr>
      <xdr:blipFill>
        <a:blip xmlns:r="http://schemas.openxmlformats.org/officeDocument/2006/relationships" r:embed="rId2430"/>
        <a:stretch>
          <a:fillRect/>
        </a:stretch>
      </xdr:blipFill>
      <xdr:spPr>
        <a:xfrm>
          <a:off x="7235825" y="3179972050"/>
          <a:ext cx="878840" cy="1183640"/>
        </a:xfrm>
        <a:prstGeom prst="rect">
          <a:avLst/>
        </a:prstGeom>
      </xdr:spPr>
    </xdr:pic>
    <xdr:clientData/>
  </xdr:twoCellAnchor>
  <xdr:twoCellAnchor>
    <xdr:from>
      <xdr:col>9</xdr:col>
      <xdr:colOff>6350</xdr:colOff>
      <xdr:row>3245</xdr:row>
      <xdr:rowOff>25400</xdr:rowOff>
    </xdr:from>
    <xdr:to>
      <xdr:col>9</xdr:col>
      <xdr:colOff>885190</xdr:colOff>
      <xdr:row>3245</xdr:row>
      <xdr:rowOff>1209040</xdr:rowOff>
    </xdr:to>
    <xdr:pic>
      <xdr:nvPicPr>
        <xdr:cNvPr id="7715" name="Изображение 7714" descr="resizeПП-00207850"/>
        <xdr:cNvPicPr>
          <a:picLocks noChangeAspect="1"/>
        </xdr:cNvPicPr>
      </xdr:nvPicPr>
      <xdr:blipFill>
        <a:blip xmlns:r="http://schemas.openxmlformats.org/officeDocument/2006/relationships" r:embed="rId2431"/>
        <a:stretch>
          <a:fillRect/>
        </a:stretch>
      </xdr:blipFill>
      <xdr:spPr>
        <a:xfrm>
          <a:off x="7235825" y="3181194425"/>
          <a:ext cx="878840" cy="1183640"/>
        </a:xfrm>
        <a:prstGeom prst="rect">
          <a:avLst/>
        </a:prstGeom>
      </xdr:spPr>
    </xdr:pic>
    <xdr:clientData/>
  </xdr:twoCellAnchor>
  <xdr:twoCellAnchor>
    <xdr:from>
      <xdr:col>9</xdr:col>
      <xdr:colOff>6350</xdr:colOff>
      <xdr:row>3246</xdr:row>
      <xdr:rowOff>25400</xdr:rowOff>
    </xdr:from>
    <xdr:to>
      <xdr:col>9</xdr:col>
      <xdr:colOff>885190</xdr:colOff>
      <xdr:row>3246</xdr:row>
      <xdr:rowOff>1209040</xdr:rowOff>
    </xdr:to>
    <xdr:pic>
      <xdr:nvPicPr>
        <xdr:cNvPr id="7716" name="Изображение 7715" descr="resizeПП-00207879"/>
        <xdr:cNvPicPr>
          <a:picLocks noChangeAspect="1"/>
        </xdr:cNvPicPr>
      </xdr:nvPicPr>
      <xdr:blipFill>
        <a:blip xmlns:r="http://schemas.openxmlformats.org/officeDocument/2006/relationships" r:embed="rId2432"/>
        <a:stretch>
          <a:fillRect/>
        </a:stretch>
      </xdr:blipFill>
      <xdr:spPr>
        <a:xfrm>
          <a:off x="7235825" y="3182416800"/>
          <a:ext cx="878840" cy="1183640"/>
        </a:xfrm>
        <a:prstGeom prst="rect">
          <a:avLst/>
        </a:prstGeom>
      </xdr:spPr>
    </xdr:pic>
    <xdr:clientData/>
  </xdr:twoCellAnchor>
  <xdr:twoCellAnchor>
    <xdr:from>
      <xdr:col>9</xdr:col>
      <xdr:colOff>6350</xdr:colOff>
      <xdr:row>3248</xdr:row>
      <xdr:rowOff>25400</xdr:rowOff>
    </xdr:from>
    <xdr:to>
      <xdr:col>9</xdr:col>
      <xdr:colOff>885190</xdr:colOff>
      <xdr:row>3248</xdr:row>
      <xdr:rowOff>1209040</xdr:rowOff>
    </xdr:to>
    <xdr:pic>
      <xdr:nvPicPr>
        <xdr:cNvPr id="7717" name="Изображение 7716" descr="resizeПП-00199337"/>
        <xdr:cNvPicPr>
          <a:picLocks noChangeAspect="1"/>
        </xdr:cNvPicPr>
      </xdr:nvPicPr>
      <xdr:blipFill>
        <a:blip xmlns:r="http://schemas.openxmlformats.org/officeDocument/2006/relationships" r:embed="rId2433"/>
        <a:stretch>
          <a:fillRect/>
        </a:stretch>
      </xdr:blipFill>
      <xdr:spPr>
        <a:xfrm>
          <a:off x="7235825" y="3183791575"/>
          <a:ext cx="878840" cy="1183640"/>
        </a:xfrm>
        <a:prstGeom prst="rect">
          <a:avLst/>
        </a:prstGeom>
      </xdr:spPr>
    </xdr:pic>
    <xdr:clientData/>
  </xdr:twoCellAnchor>
  <xdr:twoCellAnchor>
    <xdr:from>
      <xdr:col>9</xdr:col>
      <xdr:colOff>6350</xdr:colOff>
      <xdr:row>3250</xdr:row>
      <xdr:rowOff>25400</xdr:rowOff>
    </xdr:from>
    <xdr:to>
      <xdr:col>9</xdr:col>
      <xdr:colOff>885190</xdr:colOff>
      <xdr:row>3250</xdr:row>
      <xdr:rowOff>1209040</xdr:rowOff>
    </xdr:to>
    <xdr:pic>
      <xdr:nvPicPr>
        <xdr:cNvPr id="7718" name="Изображение 7717" descr="resizeПП-00216923"/>
        <xdr:cNvPicPr>
          <a:picLocks noChangeAspect="1"/>
        </xdr:cNvPicPr>
      </xdr:nvPicPr>
      <xdr:blipFill>
        <a:blip xmlns:r="http://schemas.openxmlformats.org/officeDocument/2006/relationships" r:embed="rId2434"/>
        <a:stretch>
          <a:fillRect/>
        </a:stretch>
      </xdr:blipFill>
      <xdr:spPr>
        <a:xfrm>
          <a:off x="7235825" y="3185166350"/>
          <a:ext cx="878840" cy="1183640"/>
        </a:xfrm>
        <a:prstGeom prst="rect">
          <a:avLst/>
        </a:prstGeom>
      </xdr:spPr>
    </xdr:pic>
    <xdr:clientData/>
  </xdr:twoCellAnchor>
  <xdr:twoCellAnchor>
    <xdr:from>
      <xdr:col>9</xdr:col>
      <xdr:colOff>6350</xdr:colOff>
      <xdr:row>3251</xdr:row>
      <xdr:rowOff>25400</xdr:rowOff>
    </xdr:from>
    <xdr:to>
      <xdr:col>9</xdr:col>
      <xdr:colOff>885190</xdr:colOff>
      <xdr:row>3251</xdr:row>
      <xdr:rowOff>1209040</xdr:rowOff>
    </xdr:to>
    <xdr:pic>
      <xdr:nvPicPr>
        <xdr:cNvPr id="7719" name="Изображение 7718" descr="resizeПП-00216925"/>
        <xdr:cNvPicPr>
          <a:picLocks noChangeAspect="1"/>
        </xdr:cNvPicPr>
      </xdr:nvPicPr>
      <xdr:blipFill>
        <a:blip xmlns:r="http://schemas.openxmlformats.org/officeDocument/2006/relationships" r:embed="rId2435"/>
        <a:stretch>
          <a:fillRect/>
        </a:stretch>
      </xdr:blipFill>
      <xdr:spPr>
        <a:xfrm>
          <a:off x="7235825" y="3186388725"/>
          <a:ext cx="878840" cy="1183640"/>
        </a:xfrm>
        <a:prstGeom prst="rect">
          <a:avLst/>
        </a:prstGeom>
      </xdr:spPr>
    </xdr:pic>
    <xdr:clientData/>
  </xdr:twoCellAnchor>
  <xdr:twoCellAnchor>
    <xdr:from>
      <xdr:col>9</xdr:col>
      <xdr:colOff>6350</xdr:colOff>
      <xdr:row>3252</xdr:row>
      <xdr:rowOff>25400</xdr:rowOff>
    </xdr:from>
    <xdr:to>
      <xdr:col>9</xdr:col>
      <xdr:colOff>885190</xdr:colOff>
      <xdr:row>3252</xdr:row>
      <xdr:rowOff>1209040</xdr:rowOff>
    </xdr:to>
    <xdr:pic>
      <xdr:nvPicPr>
        <xdr:cNvPr id="7720" name="Изображение 7719" descr="resizeПП-00216921"/>
        <xdr:cNvPicPr>
          <a:picLocks noChangeAspect="1"/>
        </xdr:cNvPicPr>
      </xdr:nvPicPr>
      <xdr:blipFill>
        <a:blip xmlns:r="http://schemas.openxmlformats.org/officeDocument/2006/relationships" r:embed="rId2436"/>
        <a:stretch>
          <a:fillRect/>
        </a:stretch>
      </xdr:blipFill>
      <xdr:spPr>
        <a:xfrm>
          <a:off x="7235825" y="3187611100"/>
          <a:ext cx="878840" cy="1183640"/>
        </a:xfrm>
        <a:prstGeom prst="rect">
          <a:avLst/>
        </a:prstGeom>
      </xdr:spPr>
    </xdr:pic>
    <xdr:clientData/>
  </xdr:twoCellAnchor>
  <xdr:twoCellAnchor>
    <xdr:from>
      <xdr:col>9</xdr:col>
      <xdr:colOff>6350</xdr:colOff>
      <xdr:row>3255</xdr:row>
      <xdr:rowOff>25400</xdr:rowOff>
    </xdr:from>
    <xdr:to>
      <xdr:col>9</xdr:col>
      <xdr:colOff>885190</xdr:colOff>
      <xdr:row>3255</xdr:row>
      <xdr:rowOff>1209040</xdr:rowOff>
    </xdr:to>
    <xdr:pic>
      <xdr:nvPicPr>
        <xdr:cNvPr id="7721" name="Изображение 7720" descr="resizeПП-00245256"/>
        <xdr:cNvPicPr>
          <a:picLocks noChangeAspect="1"/>
        </xdr:cNvPicPr>
      </xdr:nvPicPr>
      <xdr:blipFill>
        <a:blip xmlns:r="http://schemas.openxmlformats.org/officeDocument/2006/relationships" r:embed="rId2437"/>
        <a:stretch>
          <a:fillRect/>
        </a:stretch>
      </xdr:blipFill>
      <xdr:spPr>
        <a:xfrm>
          <a:off x="7235825" y="3189138275"/>
          <a:ext cx="878840" cy="1183640"/>
        </a:xfrm>
        <a:prstGeom prst="rect">
          <a:avLst/>
        </a:prstGeom>
      </xdr:spPr>
    </xdr:pic>
    <xdr:clientData/>
  </xdr:twoCellAnchor>
  <xdr:twoCellAnchor>
    <xdr:from>
      <xdr:col>9</xdr:col>
      <xdr:colOff>6350</xdr:colOff>
      <xdr:row>3257</xdr:row>
      <xdr:rowOff>25400</xdr:rowOff>
    </xdr:from>
    <xdr:to>
      <xdr:col>9</xdr:col>
      <xdr:colOff>885190</xdr:colOff>
      <xdr:row>3257</xdr:row>
      <xdr:rowOff>1209040</xdr:rowOff>
    </xdr:to>
    <xdr:pic>
      <xdr:nvPicPr>
        <xdr:cNvPr id="7722" name="Изображение 7721" descr="resizeПП-00233984"/>
        <xdr:cNvPicPr>
          <a:picLocks noChangeAspect="1"/>
        </xdr:cNvPicPr>
      </xdr:nvPicPr>
      <xdr:blipFill>
        <a:blip xmlns:r="http://schemas.openxmlformats.org/officeDocument/2006/relationships" r:embed="rId2438"/>
        <a:stretch>
          <a:fillRect/>
        </a:stretch>
      </xdr:blipFill>
      <xdr:spPr>
        <a:xfrm>
          <a:off x="7235825" y="3190513050"/>
          <a:ext cx="878840" cy="1183640"/>
        </a:xfrm>
        <a:prstGeom prst="rect">
          <a:avLst/>
        </a:prstGeom>
      </xdr:spPr>
    </xdr:pic>
    <xdr:clientData/>
  </xdr:twoCellAnchor>
  <xdr:twoCellAnchor>
    <xdr:from>
      <xdr:col>9</xdr:col>
      <xdr:colOff>6350</xdr:colOff>
      <xdr:row>3259</xdr:row>
      <xdr:rowOff>25400</xdr:rowOff>
    </xdr:from>
    <xdr:to>
      <xdr:col>9</xdr:col>
      <xdr:colOff>885190</xdr:colOff>
      <xdr:row>3259</xdr:row>
      <xdr:rowOff>1209040</xdr:rowOff>
    </xdr:to>
    <xdr:pic>
      <xdr:nvPicPr>
        <xdr:cNvPr id="7723" name="Изображение 7722" descr="resizeПП-00209977"/>
        <xdr:cNvPicPr>
          <a:picLocks noChangeAspect="1"/>
        </xdr:cNvPicPr>
      </xdr:nvPicPr>
      <xdr:blipFill>
        <a:blip xmlns:r="http://schemas.openxmlformats.org/officeDocument/2006/relationships" r:embed="rId2439"/>
        <a:stretch>
          <a:fillRect/>
        </a:stretch>
      </xdr:blipFill>
      <xdr:spPr>
        <a:xfrm>
          <a:off x="7235825" y="3191887825"/>
          <a:ext cx="878840" cy="1183640"/>
        </a:xfrm>
        <a:prstGeom prst="rect">
          <a:avLst/>
        </a:prstGeom>
      </xdr:spPr>
    </xdr:pic>
    <xdr:clientData/>
  </xdr:twoCellAnchor>
  <xdr:twoCellAnchor>
    <xdr:from>
      <xdr:col>9</xdr:col>
      <xdr:colOff>6350</xdr:colOff>
      <xdr:row>3261</xdr:row>
      <xdr:rowOff>25400</xdr:rowOff>
    </xdr:from>
    <xdr:to>
      <xdr:col>9</xdr:col>
      <xdr:colOff>885190</xdr:colOff>
      <xdr:row>3261</xdr:row>
      <xdr:rowOff>1209040</xdr:rowOff>
    </xdr:to>
    <xdr:pic>
      <xdr:nvPicPr>
        <xdr:cNvPr id="7724" name="Изображение 7723" descr="resizeПП-00280752"/>
        <xdr:cNvPicPr>
          <a:picLocks noChangeAspect="1"/>
        </xdr:cNvPicPr>
      </xdr:nvPicPr>
      <xdr:blipFill>
        <a:blip xmlns:r="http://schemas.openxmlformats.org/officeDocument/2006/relationships" r:embed="rId2440"/>
        <a:stretch>
          <a:fillRect/>
        </a:stretch>
      </xdr:blipFill>
      <xdr:spPr>
        <a:xfrm>
          <a:off x="7235825" y="3193262600"/>
          <a:ext cx="878840" cy="1183640"/>
        </a:xfrm>
        <a:prstGeom prst="rect">
          <a:avLst/>
        </a:prstGeom>
      </xdr:spPr>
    </xdr:pic>
    <xdr:clientData/>
  </xdr:twoCellAnchor>
  <xdr:twoCellAnchor>
    <xdr:from>
      <xdr:col>9</xdr:col>
      <xdr:colOff>6350</xdr:colOff>
      <xdr:row>3262</xdr:row>
      <xdr:rowOff>25400</xdr:rowOff>
    </xdr:from>
    <xdr:to>
      <xdr:col>9</xdr:col>
      <xdr:colOff>885190</xdr:colOff>
      <xdr:row>3262</xdr:row>
      <xdr:rowOff>1209040</xdr:rowOff>
    </xdr:to>
    <xdr:pic>
      <xdr:nvPicPr>
        <xdr:cNvPr id="7725" name="Изображение 7724" descr="resizeПП-00280758"/>
        <xdr:cNvPicPr>
          <a:picLocks noChangeAspect="1"/>
        </xdr:cNvPicPr>
      </xdr:nvPicPr>
      <xdr:blipFill>
        <a:blip xmlns:r="http://schemas.openxmlformats.org/officeDocument/2006/relationships" r:embed="rId2441"/>
        <a:stretch>
          <a:fillRect/>
        </a:stretch>
      </xdr:blipFill>
      <xdr:spPr>
        <a:xfrm>
          <a:off x="7235825" y="3194484975"/>
          <a:ext cx="878840" cy="1183640"/>
        </a:xfrm>
        <a:prstGeom prst="rect">
          <a:avLst/>
        </a:prstGeom>
      </xdr:spPr>
    </xdr:pic>
    <xdr:clientData/>
  </xdr:twoCellAnchor>
  <xdr:twoCellAnchor>
    <xdr:from>
      <xdr:col>9</xdr:col>
      <xdr:colOff>6350</xdr:colOff>
      <xdr:row>3266</xdr:row>
      <xdr:rowOff>25400</xdr:rowOff>
    </xdr:from>
    <xdr:to>
      <xdr:col>9</xdr:col>
      <xdr:colOff>885190</xdr:colOff>
      <xdr:row>3266</xdr:row>
      <xdr:rowOff>1209040</xdr:rowOff>
    </xdr:to>
    <xdr:pic>
      <xdr:nvPicPr>
        <xdr:cNvPr id="7726" name="Изображение 7725" descr="resizeПП-00215614"/>
        <xdr:cNvPicPr>
          <a:picLocks noChangeAspect="1"/>
        </xdr:cNvPicPr>
      </xdr:nvPicPr>
      <xdr:blipFill>
        <a:blip xmlns:r="http://schemas.openxmlformats.org/officeDocument/2006/relationships" r:embed="rId2442"/>
        <a:stretch>
          <a:fillRect/>
        </a:stretch>
      </xdr:blipFill>
      <xdr:spPr>
        <a:xfrm>
          <a:off x="7235825" y="3196164550"/>
          <a:ext cx="878840" cy="1183640"/>
        </a:xfrm>
        <a:prstGeom prst="rect">
          <a:avLst/>
        </a:prstGeom>
      </xdr:spPr>
    </xdr:pic>
    <xdr:clientData/>
  </xdr:twoCellAnchor>
  <xdr:twoCellAnchor>
    <xdr:from>
      <xdr:col>9</xdr:col>
      <xdr:colOff>6350</xdr:colOff>
      <xdr:row>3267</xdr:row>
      <xdr:rowOff>25400</xdr:rowOff>
    </xdr:from>
    <xdr:to>
      <xdr:col>9</xdr:col>
      <xdr:colOff>885190</xdr:colOff>
      <xdr:row>3267</xdr:row>
      <xdr:rowOff>1209040</xdr:rowOff>
    </xdr:to>
    <xdr:pic>
      <xdr:nvPicPr>
        <xdr:cNvPr id="7727" name="Изображение 7726" descr="resizeПП-00215616"/>
        <xdr:cNvPicPr>
          <a:picLocks noChangeAspect="1"/>
        </xdr:cNvPicPr>
      </xdr:nvPicPr>
      <xdr:blipFill>
        <a:blip xmlns:r="http://schemas.openxmlformats.org/officeDocument/2006/relationships" r:embed="rId2443"/>
        <a:stretch>
          <a:fillRect/>
        </a:stretch>
      </xdr:blipFill>
      <xdr:spPr>
        <a:xfrm>
          <a:off x="7235825" y="3197386925"/>
          <a:ext cx="878840" cy="1183640"/>
        </a:xfrm>
        <a:prstGeom prst="rect">
          <a:avLst/>
        </a:prstGeom>
      </xdr:spPr>
    </xdr:pic>
    <xdr:clientData/>
  </xdr:twoCellAnchor>
  <xdr:twoCellAnchor>
    <xdr:from>
      <xdr:col>9</xdr:col>
      <xdr:colOff>6350</xdr:colOff>
      <xdr:row>3268</xdr:row>
      <xdr:rowOff>25400</xdr:rowOff>
    </xdr:from>
    <xdr:to>
      <xdr:col>9</xdr:col>
      <xdr:colOff>885190</xdr:colOff>
      <xdr:row>3268</xdr:row>
      <xdr:rowOff>1209040</xdr:rowOff>
    </xdr:to>
    <xdr:pic>
      <xdr:nvPicPr>
        <xdr:cNvPr id="7728" name="Изображение 7727" descr="resizeПП-00234932"/>
        <xdr:cNvPicPr>
          <a:picLocks noChangeAspect="1"/>
        </xdr:cNvPicPr>
      </xdr:nvPicPr>
      <xdr:blipFill>
        <a:blip xmlns:r="http://schemas.openxmlformats.org/officeDocument/2006/relationships" r:embed="rId2444"/>
        <a:stretch>
          <a:fillRect/>
        </a:stretch>
      </xdr:blipFill>
      <xdr:spPr>
        <a:xfrm>
          <a:off x="7235825" y="3198609300"/>
          <a:ext cx="878840" cy="1183640"/>
        </a:xfrm>
        <a:prstGeom prst="rect">
          <a:avLst/>
        </a:prstGeom>
      </xdr:spPr>
    </xdr:pic>
    <xdr:clientData/>
  </xdr:twoCellAnchor>
  <xdr:twoCellAnchor>
    <xdr:from>
      <xdr:col>9</xdr:col>
      <xdr:colOff>6350</xdr:colOff>
      <xdr:row>3269</xdr:row>
      <xdr:rowOff>25400</xdr:rowOff>
    </xdr:from>
    <xdr:to>
      <xdr:col>9</xdr:col>
      <xdr:colOff>885190</xdr:colOff>
      <xdr:row>3269</xdr:row>
      <xdr:rowOff>1209040</xdr:rowOff>
    </xdr:to>
    <xdr:pic>
      <xdr:nvPicPr>
        <xdr:cNvPr id="7729" name="Изображение 7728" descr="resizeПП-00234923"/>
        <xdr:cNvPicPr>
          <a:picLocks noChangeAspect="1"/>
        </xdr:cNvPicPr>
      </xdr:nvPicPr>
      <xdr:blipFill>
        <a:blip xmlns:r="http://schemas.openxmlformats.org/officeDocument/2006/relationships" r:embed="rId2445"/>
        <a:stretch>
          <a:fillRect/>
        </a:stretch>
      </xdr:blipFill>
      <xdr:spPr>
        <a:xfrm>
          <a:off x="7235825" y="3199831675"/>
          <a:ext cx="878840" cy="1183640"/>
        </a:xfrm>
        <a:prstGeom prst="rect">
          <a:avLst/>
        </a:prstGeom>
      </xdr:spPr>
    </xdr:pic>
    <xdr:clientData/>
  </xdr:twoCellAnchor>
  <xdr:twoCellAnchor>
    <xdr:from>
      <xdr:col>9</xdr:col>
      <xdr:colOff>6350</xdr:colOff>
      <xdr:row>3270</xdr:row>
      <xdr:rowOff>25400</xdr:rowOff>
    </xdr:from>
    <xdr:to>
      <xdr:col>9</xdr:col>
      <xdr:colOff>885190</xdr:colOff>
      <xdr:row>3270</xdr:row>
      <xdr:rowOff>1209040</xdr:rowOff>
    </xdr:to>
    <xdr:pic>
      <xdr:nvPicPr>
        <xdr:cNvPr id="7730" name="Изображение 7729" descr="resizeПП-00215626"/>
        <xdr:cNvPicPr>
          <a:picLocks noChangeAspect="1"/>
        </xdr:cNvPicPr>
      </xdr:nvPicPr>
      <xdr:blipFill>
        <a:blip xmlns:r="http://schemas.openxmlformats.org/officeDocument/2006/relationships" r:embed="rId2446"/>
        <a:stretch>
          <a:fillRect/>
        </a:stretch>
      </xdr:blipFill>
      <xdr:spPr>
        <a:xfrm>
          <a:off x="7235825" y="3201054050"/>
          <a:ext cx="878840" cy="1183640"/>
        </a:xfrm>
        <a:prstGeom prst="rect">
          <a:avLst/>
        </a:prstGeom>
      </xdr:spPr>
    </xdr:pic>
    <xdr:clientData/>
  </xdr:twoCellAnchor>
  <xdr:twoCellAnchor>
    <xdr:from>
      <xdr:col>9</xdr:col>
      <xdr:colOff>6350</xdr:colOff>
      <xdr:row>3271</xdr:row>
      <xdr:rowOff>25400</xdr:rowOff>
    </xdr:from>
    <xdr:to>
      <xdr:col>9</xdr:col>
      <xdr:colOff>885190</xdr:colOff>
      <xdr:row>3271</xdr:row>
      <xdr:rowOff>1209040</xdr:rowOff>
    </xdr:to>
    <xdr:pic>
      <xdr:nvPicPr>
        <xdr:cNvPr id="7731" name="Изображение 7730" descr="resizeПП-00234928"/>
        <xdr:cNvPicPr>
          <a:picLocks noChangeAspect="1"/>
        </xdr:cNvPicPr>
      </xdr:nvPicPr>
      <xdr:blipFill>
        <a:blip xmlns:r="http://schemas.openxmlformats.org/officeDocument/2006/relationships" r:embed="rId2447"/>
        <a:stretch>
          <a:fillRect/>
        </a:stretch>
      </xdr:blipFill>
      <xdr:spPr>
        <a:xfrm>
          <a:off x="7235825" y="3202276425"/>
          <a:ext cx="878840" cy="1183640"/>
        </a:xfrm>
        <a:prstGeom prst="rect">
          <a:avLst/>
        </a:prstGeom>
      </xdr:spPr>
    </xdr:pic>
    <xdr:clientData/>
  </xdr:twoCellAnchor>
  <xdr:twoCellAnchor>
    <xdr:from>
      <xdr:col>9</xdr:col>
      <xdr:colOff>6350</xdr:colOff>
      <xdr:row>3272</xdr:row>
      <xdr:rowOff>25400</xdr:rowOff>
    </xdr:from>
    <xdr:to>
      <xdr:col>9</xdr:col>
      <xdr:colOff>885190</xdr:colOff>
      <xdr:row>3272</xdr:row>
      <xdr:rowOff>1209040</xdr:rowOff>
    </xdr:to>
    <xdr:pic>
      <xdr:nvPicPr>
        <xdr:cNvPr id="7732" name="Изображение 7731" descr="resizeПП-00215605"/>
        <xdr:cNvPicPr>
          <a:picLocks noChangeAspect="1"/>
        </xdr:cNvPicPr>
      </xdr:nvPicPr>
      <xdr:blipFill>
        <a:blip xmlns:r="http://schemas.openxmlformats.org/officeDocument/2006/relationships" r:embed="rId2448"/>
        <a:stretch>
          <a:fillRect/>
        </a:stretch>
      </xdr:blipFill>
      <xdr:spPr>
        <a:xfrm>
          <a:off x="7235825" y="3203498800"/>
          <a:ext cx="878840" cy="1183640"/>
        </a:xfrm>
        <a:prstGeom prst="rect">
          <a:avLst/>
        </a:prstGeom>
      </xdr:spPr>
    </xdr:pic>
    <xdr:clientData/>
  </xdr:twoCellAnchor>
  <xdr:twoCellAnchor>
    <xdr:from>
      <xdr:col>9</xdr:col>
      <xdr:colOff>6350</xdr:colOff>
      <xdr:row>3273</xdr:row>
      <xdr:rowOff>25400</xdr:rowOff>
    </xdr:from>
    <xdr:to>
      <xdr:col>9</xdr:col>
      <xdr:colOff>885190</xdr:colOff>
      <xdr:row>3273</xdr:row>
      <xdr:rowOff>1209040</xdr:rowOff>
    </xdr:to>
    <xdr:pic>
      <xdr:nvPicPr>
        <xdr:cNvPr id="7733" name="Изображение 7732" descr="resizeПП-00215592"/>
        <xdr:cNvPicPr>
          <a:picLocks noChangeAspect="1"/>
        </xdr:cNvPicPr>
      </xdr:nvPicPr>
      <xdr:blipFill>
        <a:blip xmlns:r="http://schemas.openxmlformats.org/officeDocument/2006/relationships" r:embed="rId2449"/>
        <a:stretch>
          <a:fillRect/>
        </a:stretch>
      </xdr:blipFill>
      <xdr:spPr>
        <a:xfrm>
          <a:off x="7235825" y="3204721175"/>
          <a:ext cx="878840" cy="1183640"/>
        </a:xfrm>
        <a:prstGeom prst="rect">
          <a:avLst/>
        </a:prstGeom>
      </xdr:spPr>
    </xdr:pic>
    <xdr:clientData/>
  </xdr:twoCellAnchor>
  <xdr:twoCellAnchor>
    <xdr:from>
      <xdr:col>9</xdr:col>
      <xdr:colOff>6350</xdr:colOff>
      <xdr:row>3274</xdr:row>
      <xdr:rowOff>25400</xdr:rowOff>
    </xdr:from>
    <xdr:to>
      <xdr:col>9</xdr:col>
      <xdr:colOff>885190</xdr:colOff>
      <xdr:row>3274</xdr:row>
      <xdr:rowOff>1209040</xdr:rowOff>
    </xdr:to>
    <xdr:pic>
      <xdr:nvPicPr>
        <xdr:cNvPr id="7734" name="Изображение 7733" descr="resizeПП-00215593"/>
        <xdr:cNvPicPr>
          <a:picLocks noChangeAspect="1"/>
        </xdr:cNvPicPr>
      </xdr:nvPicPr>
      <xdr:blipFill>
        <a:blip xmlns:r="http://schemas.openxmlformats.org/officeDocument/2006/relationships" r:embed="rId2450"/>
        <a:stretch>
          <a:fillRect/>
        </a:stretch>
      </xdr:blipFill>
      <xdr:spPr>
        <a:xfrm>
          <a:off x="7235825" y="3205943550"/>
          <a:ext cx="878840" cy="1183640"/>
        </a:xfrm>
        <a:prstGeom prst="rect">
          <a:avLst/>
        </a:prstGeom>
      </xdr:spPr>
    </xdr:pic>
    <xdr:clientData/>
  </xdr:twoCellAnchor>
  <xdr:twoCellAnchor>
    <xdr:from>
      <xdr:col>9</xdr:col>
      <xdr:colOff>6350</xdr:colOff>
      <xdr:row>3275</xdr:row>
      <xdr:rowOff>25400</xdr:rowOff>
    </xdr:from>
    <xdr:to>
      <xdr:col>9</xdr:col>
      <xdr:colOff>885190</xdr:colOff>
      <xdr:row>3275</xdr:row>
      <xdr:rowOff>1209040</xdr:rowOff>
    </xdr:to>
    <xdr:pic>
      <xdr:nvPicPr>
        <xdr:cNvPr id="7735" name="Изображение 7734" descr="resizeПП-00215595"/>
        <xdr:cNvPicPr>
          <a:picLocks noChangeAspect="1"/>
        </xdr:cNvPicPr>
      </xdr:nvPicPr>
      <xdr:blipFill>
        <a:blip xmlns:r="http://schemas.openxmlformats.org/officeDocument/2006/relationships" r:embed="rId2451"/>
        <a:stretch>
          <a:fillRect/>
        </a:stretch>
      </xdr:blipFill>
      <xdr:spPr>
        <a:xfrm>
          <a:off x="7235825" y="3207165925"/>
          <a:ext cx="878840" cy="1183640"/>
        </a:xfrm>
        <a:prstGeom prst="rect">
          <a:avLst/>
        </a:prstGeom>
      </xdr:spPr>
    </xdr:pic>
    <xdr:clientData/>
  </xdr:twoCellAnchor>
  <xdr:twoCellAnchor>
    <xdr:from>
      <xdr:col>9</xdr:col>
      <xdr:colOff>6350</xdr:colOff>
      <xdr:row>3277</xdr:row>
      <xdr:rowOff>25400</xdr:rowOff>
    </xdr:from>
    <xdr:to>
      <xdr:col>9</xdr:col>
      <xdr:colOff>885190</xdr:colOff>
      <xdr:row>3277</xdr:row>
      <xdr:rowOff>1209040</xdr:rowOff>
    </xdr:to>
    <xdr:pic>
      <xdr:nvPicPr>
        <xdr:cNvPr id="7736" name="Изображение 7735" descr="resizeПП-00215561"/>
        <xdr:cNvPicPr>
          <a:picLocks noChangeAspect="1"/>
        </xdr:cNvPicPr>
      </xdr:nvPicPr>
      <xdr:blipFill>
        <a:blip xmlns:r="http://schemas.openxmlformats.org/officeDocument/2006/relationships" r:embed="rId2452"/>
        <a:stretch>
          <a:fillRect/>
        </a:stretch>
      </xdr:blipFill>
      <xdr:spPr>
        <a:xfrm>
          <a:off x="7235825" y="3208540700"/>
          <a:ext cx="878840" cy="1183640"/>
        </a:xfrm>
        <a:prstGeom prst="rect">
          <a:avLst/>
        </a:prstGeom>
      </xdr:spPr>
    </xdr:pic>
    <xdr:clientData/>
  </xdr:twoCellAnchor>
  <xdr:twoCellAnchor>
    <xdr:from>
      <xdr:col>9</xdr:col>
      <xdr:colOff>6350</xdr:colOff>
      <xdr:row>3279</xdr:row>
      <xdr:rowOff>25400</xdr:rowOff>
    </xdr:from>
    <xdr:to>
      <xdr:col>9</xdr:col>
      <xdr:colOff>885190</xdr:colOff>
      <xdr:row>3279</xdr:row>
      <xdr:rowOff>1209040</xdr:rowOff>
    </xdr:to>
    <xdr:pic>
      <xdr:nvPicPr>
        <xdr:cNvPr id="7737" name="Изображение 7736" descr="resizeПП-00214496"/>
        <xdr:cNvPicPr>
          <a:picLocks noChangeAspect="1"/>
        </xdr:cNvPicPr>
      </xdr:nvPicPr>
      <xdr:blipFill>
        <a:blip xmlns:r="http://schemas.openxmlformats.org/officeDocument/2006/relationships" r:embed="rId2453"/>
        <a:stretch>
          <a:fillRect/>
        </a:stretch>
      </xdr:blipFill>
      <xdr:spPr>
        <a:xfrm>
          <a:off x="7235825" y="3209915475"/>
          <a:ext cx="878840" cy="1183640"/>
        </a:xfrm>
        <a:prstGeom prst="rect">
          <a:avLst/>
        </a:prstGeom>
      </xdr:spPr>
    </xdr:pic>
    <xdr:clientData/>
  </xdr:twoCellAnchor>
  <xdr:twoCellAnchor>
    <xdr:from>
      <xdr:col>9</xdr:col>
      <xdr:colOff>6350</xdr:colOff>
      <xdr:row>3280</xdr:row>
      <xdr:rowOff>25400</xdr:rowOff>
    </xdr:from>
    <xdr:to>
      <xdr:col>9</xdr:col>
      <xdr:colOff>885190</xdr:colOff>
      <xdr:row>3280</xdr:row>
      <xdr:rowOff>1209040</xdr:rowOff>
    </xdr:to>
    <xdr:pic>
      <xdr:nvPicPr>
        <xdr:cNvPr id="7738" name="Изображение 7737" descr="resizeПП-00214495"/>
        <xdr:cNvPicPr>
          <a:picLocks noChangeAspect="1"/>
        </xdr:cNvPicPr>
      </xdr:nvPicPr>
      <xdr:blipFill>
        <a:blip xmlns:r="http://schemas.openxmlformats.org/officeDocument/2006/relationships" r:embed="rId2454"/>
        <a:stretch>
          <a:fillRect/>
        </a:stretch>
      </xdr:blipFill>
      <xdr:spPr>
        <a:xfrm>
          <a:off x="7235825" y="3211137850"/>
          <a:ext cx="878840" cy="1183640"/>
        </a:xfrm>
        <a:prstGeom prst="rect">
          <a:avLst/>
        </a:prstGeom>
      </xdr:spPr>
    </xdr:pic>
    <xdr:clientData/>
  </xdr:twoCellAnchor>
  <xdr:twoCellAnchor>
    <xdr:from>
      <xdr:col>9</xdr:col>
      <xdr:colOff>6350</xdr:colOff>
      <xdr:row>3281</xdr:row>
      <xdr:rowOff>25400</xdr:rowOff>
    </xdr:from>
    <xdr:to>
      <xdr:col>9</xdr:col>
      <xdr:colOff>885190</xdr:colOff>
      <xdr:row>3281</xdr:row>
      <xdr:rowOff>1209040</xdr:rowOff>
    </xdr:to>
    <xdr:pic>
      <xdr:nvPicPr>
        <xdr:cNvPr id="7739" name="Изображение 7738" descr="resizeПП-00214497"/>
        <xdr:cNvPicPr>
          <a:picLocks noChangeAspect="1"/>
        </xdr:cNvPicPr>
      </xdr:nvPicPr>
      <xdr:blipFill>
        <a:blip xmlns:r="http://schemas.openxmlformats.org/officeDocument/2006/relationships" r:embed="rId2455"/>
        <a:stretch>
          <a:fillRect/>
        </a:stretch>
      </xdr:blipFill>
      <xdr:spPr>
        <a:xfrm>
          <a:off x="7235825" y="3212360225"/>
          <a:ext cx="878840" cy="1183640"/>
        </a:xfrm>
        <a:prstGeom prst="rect">
          <a:avLst/>
        </a:prstGeom>
      </xdr:spPr>
    </xdr:pic>
    <xdr:clientData/>
  </xdr:twoCellAnchor>
  <xdr:twoCellAnchor>
    <xdr:from>
      <xdr:col>9</xdr:col>
      <xdr:colOff>6350</xdr:colOff>
      <xdr:row>3283</xdr:row>
      <xdr:rowOff>25400</xdr:rowOff>
    </xdr:from>
    <xdr:to>
      <xdr:col>9</xdr:col>
      <xdr:colOff>885190</xdr:colOff>
      <xdr:row>3283</xdr:row>
      <xdr:rowOff>1209040</xdr:rowOff>
    </xdr:to>
    <xdr:pic>
      <xdr:nvPicPr>
        <xdr:cNvPr id="7740" name="Изображение 7739" descr="resizeПП-00234540"/>
        <xdr:cNvPicPr>
          <a:picLocks noChangeAspect="1"/>
        </xdr:cNvPicPr>
      </xdr:nvPicPr>
      <xdr:blipFill>
        <a:blip xmlns:r="http://schemas.openxmlformats.org/officeDocument/2006/relationships" r:embed="rId2456"/>
        <a:stretch>
          <a:fillRect/>
        </a:stretch>
      </xdr:blipFill>
      <xdr:spPr>
        <a:xfrm>
          <a:off x="7235825" y="3213735000"/>
          <a:ext cx="878840" cy="1183640"/>
        </a:xfrm>
        <a:prstGeom prst="rect">
          <a:avLst/>
        </a:prstGeom>
      </xdr:spPr>
    </xdr:pic>
    <xdr:clientData/>
  </xdr:twoCellAnchor>
  <xdr:twoCellAnchor>
    <xdr:from>
      <xdr:col>9</xdr:col>
      <xdr:colOff>6350</xdr:colOff>
      <xdr:row>3284</xdr:row>
      <xdr:rowOff>25400</xdr:rowOff>
    </xdr:from>
    <xdr:to>
      <xdr:col>9</xdr:col>
      <xdr:colOff>885190</xdr:colOff>
      <xdr:row>3284</xdr:row>
      <xdr:rowOff>1209040</xdr:rowOff>
    </xdr:to>
    <xdr:pic>
      <xdr:nvPicPr>
        <xdr:cNvPr id="7741" name="Изображение 7740" descr="resizeПП-00210385"/>
        <xdr:cNvPicPr>
          <a:picLocks noChangeAspect="1"/>
        </xdr:cNvPicPr>
      </xdr:nvPicPr>
      <xdr:blipFill>
        <a:blip xmlns:r="http://schemas.openxmlformats.org/officeDocument/2006/relationships" r:embed="rId2457"/>
        <a:stretch>
          <a:fillRect/>
        </a:stretch>
      </xdr:blipFill>
      <xdr:spPr>
        <a:xfrm>
          <a:off x="7235825" y="3214957375"/>
          <a:ext cx="878840" cy="1183640"/>
        </a:xfrm>
        <a:prstGeom prst="rect">
          <a:avLst/>
        </a:prstGeom>
      </xdr:spPr>
    </xdr:pic>
    <xdr:clientData/>
  </xdr:twoCellAnchor>
  <xdr:twoCellAnchor>
    <xdr:from>
      <xdr:col>9</xdr:col>
      <xdr:colOff>6350</xdr:colOff>
      <xdr:row>3285</xdr:row>
      <xdr:rowOff>25400</xdr:rowOff>
    </xdr:from>
    <xdr:to>
      <xdr:col>9</xdr:col>
      <xdr:colOff>885190</xdr:colOff>
      <xdr:row>3285</xdr:row>
      <xdr:rowOff>1209040</xdr:rowOff>
    </xdr:to>
    <xdr:pic>
      <xdr:nvPicPr>
        <xdr:cNvPr id="7742" name="Изображение 7741" descr="resizeПП-00234539"/>
        <xdr:cNvPicPr>
          <a:picLocks noChangeAspect="1"/>
        </xdr:cNvPicPr>
      </xdr:nvPicPr>
      <xdr:blipFill>
        <a:blip xmlns:r="http://schemas.openxmlformats.org/officeDocument/2006/relationships" r:embed="rId2458"/>
        <a:stretch>
          <a:fillRect/>
        </a:stretch>
      </xdr:blipFill>
      <xdr:spPr>
        <a:xfrm>
          <a:off x="7235825" y="3216179750"/>
          <a:ext cx="878840" cy="1183640"/>
        </a:xfrm>
        <a:prstGeom prst="rect">
          <a:avLst/>
        </a:prstGeom>
      </xdr:spPr>
    </xdr:pic>
    <xdr:clientData/>
  </xdr:twoCellAnchor>
  <xdr:twoCellAnchor>
    <xdr:from>
      <xdr:col>9</xdr:col>
      <xdr:colOff>6350</xdr:colOff>
      <xdr:row>3287</xdr:row>
      <xdr:rowOff>25400</xdr:rowOff>
    </xdr:from>
    <xdr:to>
      <xdr:col>9</xdr:col>
      <xdr:colOff>885190</xdr:colOff>
      <xdr:row>3287</xdr:row>
      <xdr:rowOff>1209040</xdr:rowOff>
    </xdr:to>
    <xdr:pic>
      <xdr:nvPicPr>
        <xdr:cNvPr id="7743" name="Изображение 7742" descr="resizeПП-00234288"/>
        <xdr:cNvPicPr>
          <a:picLocks noChangeAspect="1"/>
        </xdr:cNvPicPr>
      </xdr:nvPicPr>
      <xdr:blipFill>
        <a:blip xmlns:r="http://schemas.openxmlformats.org/officeDocument/2006/relationships" r:embed="rId2459"/>
        <a:stretch>
          <a:fillRect/>
        </a:stretch>
      </xdr:blipFill>
      <xdr:spPr>
        <a:xfrm>
          <a:off x="7235825" y="3217554525"/>
          <a:ext cx="878840" cy="1183640"/>
        </a:xfrm>
        <a:prstGeom prst="rect">
          <a:avLst/>
        </a:prstGeom>
      </xdr:spPr>
    </xdr:pic>
    <xdr:clientData/>
  </xdr:twoCellAnchor>
  <xdr:twoCellAnchor>
    <xdr:from>
      <xdr:col>9</xdr:col>
      <xdr:colOff>6350</xdr:colOff>
      <xdr:row>3288</xdr:row>
      <xdr:rowOff>25400</xdr:rowOff>
    </xdr:from>
    <xdr:to>
      <xdr:col>9</xdr:col>
      <xdr:colOff>885190</xdr:colOff>
      <xdr:row>3288</xdr:row>
      <xdr:rowOff>1209040</xdr:rowOff>
    </xdr:to>
    <xdr:pic>
      <xdr:nvPicPr>
        <xdr:cNvPr id="7744" name="Изображение 7743" descr="resizeПП-00234294"/>
        <xdr:cNvPicPr>
          <a:picLocks noChangeAspect="1"/>
        </xdr:cNvPicPr>
      </xdr:nvPicPr>
      <xdr:blipFill>
        <a:blip xmlns:r="http://schemas.openxmlformats.org/officeDocument/2006/relationships" r:embed="rId2460"/>
        <a:stretch>
          <a:fillRect/>
        </a:stretch>
      </xdr:blipFill>
      <xdr:spPr>
        <a:xfrm>
          <a:off x="7235825" y="3218776900"/>
          <a:ext cx="878840" cy="1183640"/>
        </a:xfrm>
        <a:prstGeom prst="rect">
          <a:avLst/>
        </a:prstGeom>
      </xdr:spPr>
    </xdr:pic>
    <xdr:clientData/>
  </xdr:twoCellAnchor>
  <xdr:twoCellAnchor>
    <xdr:from>
      <xdr:col>9</xdr:col>
      <xdr:colOff>6350</xdr:colOff>
      <xdr:row>3290</xdr:row>
      <xdr:rowOff>25400</xdr:rowOff>
    </xdr:from>
    <xdr:to>
      <xdr:col>9</xdr:col>
      <xdr:colOff>885190</xdr:colOff>
      <xdr:row>3290</xdr:row>
      <xdr:rowOff>1209040</xdr:rowOff>
    </xdr:to>
    <xdr:pic>
      <xdr:nvPicPr>
        <xdr:cNvPr id="7745" name="Изображение 7744" descr="resizeПП-00239280"/>
        <xdr:cNvPicPr>
          <a:picLocks noChangeAspect="1"/>
        </xdr:cNvPicPr>
      </xdr:nvPicPr>
      <xdr:blipFill>
        <a:blip xmlns:r="http://schemas.openxmlformats.org/officeDocument/2006/relationships" r:embed="rId2461"/>
        <a:stretch>
          <a:fillRect/>
        </a:stretch>
      </xdr:blipFill>
      <xdr:spPr>
        <a:xfrm>
          <a:off x="7235825" y="3220151675"/>
          <a:ext cx="878840" cy="1183640"/>
        </a:xfrm>
        <a:prstGeom prst="rect">
          <a:avLst/>
        </a:prstGeom>
      </xdr:spPr>
    </xdr:pic>
    <xdr:clientData/>
  </xdr:twoCellAnchor>
  <xdr:twoCellAnchor>
    <xdr:from>
      <xdr:col>9</xdr:col>
      <xdr:colOff>6350</xdr:colOff>
      <xdr:row>3291</xdr:row>
      <xdr:rowOff>25400</xdr:rowOff>
    </xdr:from>
    <xdr:to>
      <xdr:col>9</xdr:col>
      <xdr:colOff>885190</xdr:colOff>
      <xdr:row>3291</xdr:row>
      <xdr:rowOff>1209040</xdr:rowOff>
    </xdr:to>
    <xdr:pic>
      <xdr:nvPicPr>
        <xdr:cNvPr id="7746" name="Изображение 7745" descr="resizeПП-00239279"/>
        <xdr:cNvPicPr>
          <a:picLocks noChangeAspect="1"/>
        </xdr:cNvPicPr>
      </xdr:nvPicPr>
      <xdr:blipFill>
        <a:blip xmlns:r="http://schemas.openxmlformats.org/officeDocument/2006/relationships" r:embed="rId2462"/>
        <a:stretch>
          <a:fillRect/>
        </a:stretch>
      </xdr:blipFill>
      <xdr:spPr>
        <a:xfrm>
          <a:off x="7235825" y="3221374050"/>
          <a:ext cx="878840" cy="1183640"/>
        </a:xfrm>
        <a:prstGeom prst="rect">
          <a:avLst/>
        </a:prstGeom>
      </xdr:spPr>
    </xdr:pic>
    <xdr:clientData/>
  </xdr:twoCellAnchor>
  <xdr:twoCellAnchor>
    <xdr:from>
      <xdr:col>9</xdr:col>
      <xdr:colOff>6350</xdr:colOff>
      <xdr:row>3292</xdr:row>
      <xdr:rowOff>25400</xdr:rowOff>
    </xdr:from>
    <xdr:to>
      <xdr:col>9</xdr:col>
      <xdr:colOff>885190</xdr:colOff>
      <xdr:row>3292</xdr:row>
      <xdr:rowOff>1209040</xdr:rowOff>
    </xdr:to>
    <xdr:pic>
      <xdr:nvPicPr>
        <xdr:cNvPr id="7747" name="Изображение 7746" descr="resizeПП-00239277"/>
        <xdr:cNvPicPr>
          <a:picLocks noChangeAspect="1"/>
        </xdr:cNvPicPr>
      </xdr:nvPicPr>
      <xdr:blipFill>
        <a:blip xmlns:r="http://schemas.openxmlformats.org/officeDocument/2006/relationships" r:embed="rId2463"/>
        <a:stretch>
          <a:fillRect/>
        </a:stretch>
      </xdr:blipFill>
      <xdr:spPr>
        <a:xfrm>
          <a:off x="7235825" y="3222596425"/>
          <a:ext cx="878840" cy="1183640"/>
        </a:xfrm>
        <a:prstGeom prst="rect">
          <a:avLst/>
        </a:prstGeom>
      </xdr:spPr>
    </xdr:pic>
    <xdr:clientData/>
  </xdr:twoCellAnchor>
  <xdr:twoCellAnchor>
    <xdr:from>
      <xdr:col>9</xdr:col>
      <xdr:colOff>6350</xdr:colOff>
      <xdr:row>3293</xdr:row>
      <xdr:rowOff>25400</xdr:rowOff>
    </xdr:from>
    <xdr:to>
      <xdr:col>9</xdr:col>
      <xdr:colOff>885190</xdr:colOff>
      <xdr:row>3293</xdr:row>
      <xdr:rowOff>1209040</xdr:rowOff>
    </xdr:to>
    <xdr:pic>
      <xdr:nvPicPr>
        <xdr:cNvPr id="7748" name="Изображение 7747" descr="resizeПП-00239281"/>
        <xdr:cNvPicPr>
          <a:picLocks noChangeAspect="1"/>
        </xdr:cNvPicPr>
      </xdr:nvPicPr>
      <xdr:blipFill>
        <a:blip xmlns:r="http://schemas.openxmlformats.org/officeDocument/2006/relationships" r:embed="rId2464"/>
        <a:stretch>
          <a:fillRect/>
        </a:stretch>
      </xdr:blipFill>
      <xdr:spPr>
        <a:xfrm>
          <a:off x="7235825" y="3223818800"/>
          <a:ext cx="878840" cy="1183640"/>
        </a:xfrm>
        <a:prstGeom prst="rect">
          <a:avLst/>
        </a:prstGeom>
      </xdr:spPr>
    </xdr:pic>
    <xdr:clientData/>
  </xdr:twoCellAnchor>
  <xdr:twoCellAnchor>
    <xdr:from>
      <xdr:col>9</xdr:col>
      <xdr:colOff>6350</xdr:colOff>
      <xdr:row>3294</xdr:row>
      <xdr:rowOff>25400</xdr:rowOff>
    </xdr:from>
    <xdr:to>
      <xdr:col>9</xdr:col>
      <xdr:colOff>885190</xdr:colOff>
      <xdr:row>3294</xdr:row>
      <xdr:rowOff>1209040</xdr:rowOff>
    </xdr:to>
    <xdr:pic>
      <xdr:nvPicPr>
        <xdr:cNvPr id="7749" name="Изображение 7748" descr="resizeПП-00257358"/>
        <xdr:cNvPicPr>
          <a:picLocks noChangeAspect="1"/>
        </xdr:cNvPicPr>
      </xdr:nvPicPr>
      <xdr:blipFill>
        <a:blip xmlns:r="http://schemas.openxmlformats.org/officeDocument/2006/relationships" r:embed="rId2465"/>
        <a:stretch>
          <a:fillRect/>
        </a:stretch>
      </xdr:blipFill>
      <xdr:spPr>
        <a:xfrm>
          <a:off x="7235825" y="3225041175"/>
          <a:ext cx="878840" cy="1183640"/>
        </a:xfrm>
        <a:prstGeom prst="rect">
          <a:avLst/>
        </a:prstGeom>
      </xdr:spPr>
    </xdr:pic>
    <xdr:clientData/>
  </xdr:twoCellAnchor>
  <xdr:twoCellAnchor>
    <xdr:from>
      <xdr:col>9</xdr:col>
      <xdr:colOff>6350</xdr:colOff>
      <xdr:row>3295</xdr:row>
      <xdr:rowOff>25400</xdr:rowOff>
    </xdr:from>
    <xdr:to>
      <xdr:col>9</xdr:col>
      <xdr:colOff>885190</xdr:colOff>
      <xdr:row>3295</xdr:row>
      <xdr:rowOff>1209040</xdr:rowOff>
    </xdr:to>
    <xdr:pic>
      <xdr:nvPicPr>
        <xdr:cNvPr id="7750" name="Изображение 7749" descr="resizeПП-00257359"/>
        <xdr:cNvPicPr>
          <a:picLocks noChangeAspect="1"/>
        </xdr:cNvPicPr>
      </xdr:nvPicPr>
      <xdr:blipFill>
        <a:blip xmlns:r="http://schemas.openxmlformats.org/officeDocument/2006/relationships" r:embed="rId2466"/>
        <a:stretch>
          <a:fillRect/>
        </a:stretch>
      </xdr:blipFill>
      <xdr:spPr>
        <a:xfrm>
          <a:off x="7235825" y="3226263550"/>
          <a:ext cx="878840" cy="1183640"/>
        </a:xfrm>
        <a:prstGeom prst="rect">
          <a:avLst/>
        </a:prstGeom>
      </xdr:spPr>
    </xdr:pic>
    <xdr:clientData/>
  </xdr:twoCellAnchor>
  <xdr:twoCellAnchor>
    <xdr:from>
      <xdr:col>9</xdr:col>
      <xdr:colOff>6350</xdr:colOff>
      <xdr:row>3296</xdr:row>
      <xdr:rowOff>25400</xdr:rowOff>
    </xdr:from>
    <xdr:to>
      <xdr:col>9</xdr:col>
      <xdr:colOff>885190</xdr:colOff>
      <xdr:row>3296</xdr:row>
      <xdr:rowOff>1209040</xdr:rowOff>
    </xdr:to>
    <xdr:pic>
      <xdr:nvPicPr>
        <xdr:cNvPr id="7751" name="Изображение 7750" descr="resizeПП-00257357"/>
        <xdr:cNvPicPr>
          <a:picLocks noChangeAspect="1"/>
        </xdr:cNvPicPr>
      </xdr:nvPicPr>
      <xdr:blipFill>
        <a:blip xmlns:r="http://schemas.openxmlformats.org/officeDocument/2006/relationships" r:embed="rId2467"/>
        <a:stretch>
          <a:fillRect/>
        </a:stretch>
      </xdr:blipFill>
      <xdr:spPr>
        <a:xfrm>
          <a:off x="7235825" y="3227485925"/>
          <a:ext cx="878840" cy="1183640"/>
        </a:xfrm>
        <a:prstGeom prst="rect">
          <a:avLst/>
        </a:prstGeom>
      </xdr:spPr>
    </xdr:pic>
    <xdr:clientData/>
  </xdr:twoCellAnchor>
  <xdr:twoCellAnchor>
    <xdr:from>
      <xdr:col>9</xdr:col>
      <xdr:colOff>6350</xdr:colOff>
      <xdr:row>3297</xdr:row>
      <xdr:rowOff>25400</xdr:rowOff>
    </xdr:from>
    <xdr:to>
      <xdr:col>9</xdr:col>
      <xdr:colOff>885190</xdr:colOff>
      <xdr:row>3297</xdr:row>
      <xdr:rowOff>1209040</xdr:rowOff>
    </xdr:to>
    <xdr:pic>
      <xdr:nvPicPr>
        <xdr:cNvPr id="7752" name="Изображение 7751" descr="resizeПП-00225451"/>
        <xdr:cNvPicPr>
          <a:picLocks noChangeAspect="1"/>
        </xdr:cNvPicPr>
      </xdr:nvPicPr>
      <xdr:blipFill>
        <a:blip xmlns:r="http://schemas.openxmlformats.org/officeDocument/2006/relationships" r:embed="rId2468"/>
        <a:stretch>
          <a:fillRect/>
        </a:stretch>
      </xdr:blipFill>
      <xdr:spPr>
        <a:xfrm>
          <a:off x="7235825" y="3228708300"/>
          <a:ext cx="878840" cy="1183640"/>
        </a:xfrm>
        <a:prstGeom prst="rect">
          <a:avLst/>
        </a:prstGeom>
      </xdr:spPr>
    </xdr:pic>
    <xdr:clientData/>
  </xdr:twoCellAnchor>
  <xdr:twoCellAnchor>
    <xdr:from>
      <xdr:col>9</xdr:col>
      <xdr:colOff>6350</xdr:colOff>
      <xdr:row>3298</xdr:row>
      <xdr:rowOff>25400</xdr:rowOff>
    </xdr:from>
    <xdr:to>
      <xdr:col>9</xdr:col>
      <xdr:colOff>885190</xdr:colOff>
      <xdr:row>3298</xdr:row>
      <xdr:rowOff>1209040</xdr:rowOff>
    </xdr:to>
    <xdr:pic>
      <xdr:nvPicPr>
        <xdr:cNvPr id="7753" name="Изображение 7752" descr="resizeПП-00225448"/>
        <xdr:cNvPicPr>
          <a:picLocks noChangeAspect="1"/>
        </xdr:cNvPicPr>
      </xdr:nvPicPr>
      <xdr:blipFill>
        <a:blip xmlns:r="http://schemas.openxmlformats.org/officeDocument/2006/relationships" r:embed="rId2469"/>
        <a:stretch>
          <a:fillRect/>
        </a:stretch>
      </xdr:blipFill>
      <xdr:spPr>
        <a:xfrm>
          <a:off x="7235825" y="3229930675"/>
          <a:ext cx="878840" cy="1183640"/>
        </a:xfrm>
        <a:prstGeom prst="rect">
          <a:avLst/>
        </a:prstGeom>
      </xdr:spPr>
    </xdr:pic>
    <xdr:clientData/>
  </xdr:twoCellAnchor>
  <xdr:twoCellAnchor>
    <xdr:from>
      <xdr:col>9</xdr:col>
      <xdr:colOff>6350</xdr:colOff>
      <xdr:row>3299</xdr:row>
      <xdr:rowOff>25400</xdr:rowOff>
    </xdr:from>
    <xdr:to>
      <xdr:col>9</xdr:col>
      <xdr:colOff>885190</xdr:colOff>
      <xdr:row>3299</xdr:row>
      <xdr:rowOff>1209040</xdr:rowOff>
    </xdr:to>
    <xdr:pic>
      <xdr:nvPicPr>
        <xdr:cNvPr id="7754" name="Изображение 7753" descr="resizeПП-00239278"/>
        <xdr:cNvPicPr>
          <a:picLocks noChangeAspect="1"/>
        </xdr:cNvPicPr>
      </xdr:nvPicPr>
      <xdr:blipFill>
        <a:blip xmlns:r="http://schemas.openxmlformats.org/officeDocument/2006/relationships" r:embed="rId2470"/>
        <a:stretch>
          <a:fillRect/>
        </a:stretch>
      </xdr:blipFill>
      <xdr:spPr>
        <a:xfrm>
          <a:off x="7235825" y="3231153050"/>
          <a:ext cx="878840" cy="1183640"/>
        </a:xfrm>
        <a:prstGeom prst="rect">
          <a:avLst/>
        </a:prstGeom>
      </xdr:spPr>
    </xdr:pic>
    <xdr:clientData/>
  </xdr:twoCellAnchor>
  <xdr:twoCellAnchor>
    <xdr:from>
      <xdr:col>9</xdr:col>
      <xdr:colOff>6350</xdr:colOff>
      <xdr:row>3302</xdr:row>
      <xdr:rowOff>25400</xdr:rowOff>
    </xdr:from>
    <xdr:to>
      <xdr:col>9</xdr:col>
      <xdr:colOff>885190</xdr:colOff>
      <xdr:row>3302</xdr:row>
      <xdr:rowOff>1209040</xdr:rowOff>
    </xdr:to>
    <xdr:pic>
      <xdr:nvPicPr>
        <xdr:cNvPr id="7755" name="Изображение 7754" descr="resizeПП-00210396"/>
        <xdr:cNvPicPr>
          <a:picLocks noChangeAspect="1"/>
        </xdr:cNvPicPr>
      </xdr:nvPicPr>
      <xdr:blipFill>
        <a:blip xmlns:r="http://schemas.openxmlformats.org/officeDocument/2006/relationships" r:embed="rId2471"/>
        <a:stretch>
          <a:fillRect/>
        </a:stretch>
      </xdr:blipFill>
      <xdr:spPr>
        <a:xfrm>
          <a:off x="7235825" y="3232680225"/>
          <a:ext cx="878840" cy="1183640"/>
        </a:xfrm>
        <a:prstGeom prst="rect">
          <a:avLst/>
        </a:prstGeom>
      </xdr:spPr>
    </xdr:pic>
    <xdr:clientData/>
  </xdr:twoCellAnchor>
  <xdr:twoCellAnchor>
    <xdr:from>
      <xdr:col>9</xdr:col>
      <xdr:colOff>6350</xdr:colOff>
      <xdr:row>3303</xdr:row>
      <xdr:rowOff>25400</xdr:rowOff>
    </xdr:from>
    <xdr:to>
      <xdr:col>9</xdr:col>
      <xdr:colOff>885190</xdr:colOff>
      <xdr:row>3303</xdr:row>
      <xdr:rowOff>1209040</xdr:rowOff>
    </xdr:to>
    <xdr:pic>
      <xdr:nvPicPr>
        <xdr:cNvPr id="7756" name="Изображение 7755" descr="resizeПП-00210391"/>
        <xdr:cNvPicPr>
          <a:picLocks noChangeAspect="1"/>
        </xdr:cNvPicPr>
      </xdr:nvPicPr>
      <xdr:blipFill>
        <a:blip xmlns:r="http://schemas.openxmlformats.org/officeDocument/2006/relationships" r:embed="rId2472"/>
        <a:stretch>
          <a:fillRect/>
        </a:stretch>
      </xdr:blipFill>
      <xdr:spPr>
        <a:xfrm>
          <a:off x="7235825" y="3233902600"/>
          <a:ext cx="878840" cy="1183640"/>
        </a:xfrm>
        <a:prstGeom prst="rect">
          <a:avLst/>
        </a:prstGeom>
      </xdr:spPr>
    </xdr:pic>
    <xdr:clientData/>
  </xdr:twoCellAnchor>
  <xdr:twoCellAnchor>
    <xdr:from>
      <xdr:col>9</xdr:col>
      <xdr:colOff>6350</xdr:colOff>
      <xdr:row>3304</xdr:row>
      <xdr:rowOff>25400</xdr:rowOff>
    </xdr:from>
    <xdr:to>
      <xdr:col>9</xdr:col>
      <xdr:colOff>885190</xdr:colOff>
      <xdr:row>3304</xdr:row>
      <xdr:rowOff>1209040</xdr:rowOff>
    </xdr:to>
    <xdr:pic>
      <xdr:nvPicPr>
        <xdr:cNvPr id="7757" name="Изображение 7756" descr="resizeПП-00234794"/>
        <xdr:cNvPicPr>
          <a:picLocks noChangeAspect="1"/>
        </xdr:cNvPicPr>
      </xdr:nvPicPr>
      <xdr:blipFill>
        <a:blip xmlns:r="http://schemas.openxmlformats.org/officeDocument/2006/relationships" r:embed="rId2473"/>
        <a:stretch>
          <a:fillRect/>
        </a:stretch>
      </xdr:blipFill>
      <xdr:spPr>
        <a:xfrm>
          <a:off x="7235825" y="3235124975"/>
          <a:ext cx="878840" cy="1183640"/>
        </a:xfrm>
        <a:prstGeom prst="rect">
          <a:avLst/>
        </a:prstGeom>
      </xdr:spPr>
    </xdr:pic>
    <xdr:clientData/>
  </xdr:twoCellAnchor>
  <xdr:twoCellAnchor>
    <xdr:from>
      <xdr:col>9</xdr:col>
      <xdr:colOff>6350</xdr:colOff>
      <xdr:row>3305</xdr:row>
      <xdr:rowOff>25400</xdr:rowOff>
    </xdr:from>
    <xdr:to>
      <xdr:col>9</xdr:col>
      <xdr:colOff>885190</xdr:colOff>
      <xdr:row>3305</xdr:row>
      <xdr:rowOff>1209040</xdr:rowOff>
    </xdr:to>
    <xdr:pic>
      <xdr:nvPicPr>
        <xdr:cNvPr id="7758" name="Изображение 7757" descr="resizeПП-00234796"/>
        <xdr:cNvPicPr>
          <a:picLocks noChangeAspect="1"/>
        </xdr:cNvPicPr>
      </xdr:nvPicPr>
      <xdr:blipFill>
        <a:blip xmlns:r="http://schemas.openxmlformats.org/officeDocument/2006/relationships" r:embed="rId2474"/>
        <a:stretch>
          <a:fillRect/>
        </a:stretch>
      </xdr:blipFill>
      <xdr:spPr>
        <a:xfrm>
          <a:off x="7235825" y="3236347350"/>
          <a:ext cx="878840" cy="1183640"/>
        </a:xfrm>
        <a:prstGeom prst="rect">
          <a:avLst/>
        </a:prstGeom>
      </xdr:spPr>
    </xdr:pic>
    <xdr:clientData/>
  </xdr:twoCellAnchor>
  <xdr:twoCellAnchor>
    <xdr:from>
      <xdr:col>9</xdr:col>
      <xdr:colOff>6350</xdr:colOff>
      <xdr:row>3306</xdr:row>
      <xdr:rowOff>25400</xdr:rowOff>
    </xdr:from>
    <xdr:to>
      <xdr:col>9</xdr:col>
      <xdr:colOff>885190</xdr:colOff>
      <xdr:row>3306</xdr:row>
      <xdr:rowOff>1209040</xdr:rowOff>
    </xdr:to>
    <xdr:pic>
      <xdr:nvPicPr>
        <xdr:cNvPr id="7759" name="Изображение 7758" descr="resizeПП-00200939"/>
        <xdr:cNvPicPr>
          <a:picLocks noChangeAspect="1"/>
        </xdr:cNvPicPr>
      </xdr:nvPicPr>
      <xdr:blipFill>
        <a:blip xmlns:r="http://schemas.openxmlformats.org/officeDocument/2006/relationships" r:embed="rId2475"/>
        <a:stretch>
          <a:fillRect/>
        </a:stretch>
      </xdr:blipFill>
      <xdr:spPr>
        <a:xfrm>
          <a:off x="7235825" y="3237569725"/>
          <a:ext cx="878840" cy="1183640"/>
        </a:xfrm>
        <a:prstGeom prst="rect">
          <a:avLst/>
        </a:prstGeom>
      </xdr:spPr>
    </xdr:pic>
    <xdr:clientData/>
  </xdr:twoCellAnchor>
  <xdr:twoCellAnchor>
    <xdr:from>
      <xdr:col>9</xdr:col>
      <xdr:colOff>6350</xdr:colOff>
      <xdr:row>3307</xdr:row>
      <xdr:rowOff>25400</xdr:rowOff>
    </xdr:from>
    <xdr:to>
      <xdr:col>9</xdr:col>
      <xdr:colOff>885190</xdr:colOff>
      <xdr:row>3307</xdr:row>
      <xdr:rowOff>1209040</xdr:rowOff>
    </xdr:to>
    <xdr:pic>
      <xdr:nvPicPr>
        <xdr:cNvPr id="7760" name="Изображение 7759" descr="resizeПП-00200940"/>
        <xdr:cNvPicPr>
          <a:picLocks noChangeAspect="1"/>
        </xdr:cNvPicPr>
      </xdr:nvPicPr>
      <xdr:blipFill>
        <a:blip xmlns:r="http://schemas.openxmlformats.org/officeDocument/2006/relationships" r:embed="rId2476"/>
        <a:stretch>
          <a:fillRect/>
        </a:stretch>
      </xdr:blipFill>
      <xdr:spPr>
        <a:xfrm>
          <a:off x="7235825" y="3238792100"/>
          <a:ext cx="878840" cy="1183640"/>
        </a:xfrm>
        <a:prstGeom prst="rect">
          <a:avLst/>
        </a:prstGeom>
      </xdr:spPr>
    </xdr:pic>
    <xdr:clientData/>
  </xdr:twoCellAnchor>
  <xdr:twoCellAnchor>
    <xdr:from>
      <xdr:col>9</xdr:col>
      <xdr:colOff>6350</xdr:colOff>
      <xdr:row>3308</xdr:row>
      <xdr:rowOff>25400</xdr:rowOff>
    </xdr:from>
    <xdr:to>
      <xdr:col>9</xdr:col>
      <xdr:colOff>885190</xdr:colOff>
      <xdr:row>3308</xdr:row>
      <xdr:rowOff>1209040</xdr:rowOff>
    </xdr:to>
    <xdr:pic>
      <xdr:nvPicPr>
        <xdr:cNvPr id="7761" name="Изображение 7760" descr="resizeПП-00200943"/>
        <xdr:cNvPicPr>
          <a:picLocks noChangeAspect="1"/>
        </xdr:cNvPicPr>
      </xdr:nvPicPr>
      <xdr:blipFill>
        <a:blip xmlns:r="http://schemas.openxmlformats.org/officeDocument/2006/relationships" r:embed="rId2477"/>
        <a:stretch>
          <a:fillRect/>
        </a:stretch>
      </xdr:blipFill>
      <xdr:spPr>
        <a:xfrm>
          <a:off x="7235825" y="3240014475"/>
          <a:ext cx="878840" cy="1183640"/>
        </a:xfrm>
        <a:prstGeom prst="rect">
          <a:avLst/>
        </a:prstGeom>
      </xdr:spPr>
    </xdr:pic>
    <xdr:clientData/>
  </xdr:twoCellAnchor>
  <xdr:twoCellAnchor>
    <xdr:from>
      <xdr:col>9</xdr:col>
      <xdr:colOff>6350</xdr:colOff>
      <xdr:row>3309</xdr:row>
      <xdr:rowOff>25400</xdr:rowOff>
    </xdr:from>
    <xdr:to>
      <xdr:col>9</xdr:col>
      <xdr:colOff>885190</xdr:colOff>
      <xdr:row>3309</xdr:row>
      <xdr:rowOff>1209040</xdr:rowOff>
    </xdr:to>
    <xdr:pic>
      <xdr:nvPicPr>
        <xdr:cNvPr id="7762" name="Изображение 7761" descr="resizeПП-00200935"/>
        <xdr:cNvPicPr>
          <a:picLocks noChangeAspect="1"/>
        </xdr:cNvPicPr>
      </xdr:nvPicPr>
      <xdr:blipFill>
        <a:blip xmlns:r="http://schemas.openxmlformats.org/officeDocument/2006/relationships" r:embed="rId2478"/>
        <a:stretch>
          <a:fillRect/>
        </a:stretch>
      </xdr:blipFill>
      <xdr:spPr>
        <a:xfrm>
          <a:off x="7235825" y="3241236850"/>
          <a:ext cx="878840" cy="1183640"/>
        </a:xfrm>
        <a:prstGeom prst="rect">
          <a:avLst/>
        </a:prstGeom>
      </xdr:spPr>
    </xdr:pic>
    <xdr:clientData/>
  </xdr:twoCellAnchor>
  <xdr:twoCellAnchor>
    <xdr:from>
      <xdr:col>9</xdr:col>
      <xdr:colOff>6350</xdr:colOff>
      <xdr:row>3310</xdr:row>
      <xdr:rowOff>25400</xdr:rowOff>
    </xdr:from>
    <xdr:to>
      <xdr:col>9</xdr:col>
      <xdr:colOff>885190</xdr:colOff>
      <xdr:row>3310</xdr:row>
      <xdr:rowOff>1209040</xdr:rowOff>
    </xdr:to>
    <xdr:pic>
      <xdr:nvPicPr>
        <xdr:cNvPr id="7763" name="Изображение 7762" descr="resizeПП-00200938"/>
        <xdr:cNvPicPr>
          <a:picLocks noChangeAspect="1"/>
        </xdr:cNvPicPr>
      </xdr:nvPicPr>
      <xdr:blipFill>
        <a:blip xmlns:r="http://schemas.openxmlformats.org/officeDocument/2006/relationships" r:embed="rId2479"/>
        <a:stretch>
          <a:fillRect/>
        </a:stretch>
      </xdr:blipFill>
      <xdr:spPr>
        <a:xfrm>
          <a:off x="7235825" y="3242459225"/>
          <a:ext cx="878840" cy="1183640"/>
        </a:xfrm>
        <a:prstGeom prst="rect">
          <a:avLst/>
        </a:prstGeom>
      </xdr:spPr>
    </xdr:pic>
    <xdr:clientData/>
  </xdr:twoCellAnchor>
  <xdr:twoCellAnchor>
    <xdr:from>
      <xdr:col>9</xdr:col>
      <xdr:colOff>6350</xdr:colOff>
      <xdr:row>3311</xdr:row>
      <xdr:rowOff>25400</xdr:rowOff>
    </xdr:from>
    <xdr:to>
      <xdr:col>9</xdr:col>
      <xdr:colOff>885190</xdr:colOff>
      <xdr:row>3311</xdr:row>
      <xdr:rowOff>1209040</xdr:rowOff>
    </xdr:to>
    <xdr:pic>
      <xdr:nvPicPr>
        <xdr:cNvPr id="7764" name="Изображение 7763" descr="resizeПП-00200936"/>
        <xdr:cNvPicPr>
          <a:picLocks noChangeAspect="1"/>
        </xdr:cNvPicPr>
      </xdr:nvPicPr>
      <xdr:blipFill>
        <a:blip xmlns:r="http://schemas.openxmlformats.org/officeDocument/2006/relationships" r:embed="rId2480"/>
        <a:stretch>
          <a:fillRect/>
        </a:stretch>
      </xdr:blipFill>
      <xdr:spPr>
        <a:xfrm>
          <a:off x="7235825" y="3243681600"/>
          <a:ext cx="878840" cy="1183640"/>
        </a:xfrm>
        <a:prstGeom prst="rect">
          <a:avLst/>
        </a:prstGeom>
      </xdr:spPr>
    </xdr:pic>
    <xdr:clientData/>
  </xdr:twoCellAnchor>
  <xdr:twoCellAnchor>
    <xdr:from>
      <xdr:col>9</xdr:col>
      <xdr:colOff>6350</xdr:colOff>
      <xdr:row>3312</xdr:row>
      <xdr:rowOff>25400</xdr:rowOff>
    </xdr:from>
    <xdr:to>
      <xdr:col>9</xdr:col>
      <xdr:colOff>885190</xdr:colOff>
      <xdr:row>3312</xdr:row>
      <xdr:rowOff>1209040</xdr:rowOff>
    </xdr:to>
    <xdr:pic>
      <xdr:nvPicPr>
        <xdr:cNvPr id="7765" name="Изображение 7764" descr="resizeПП-00254442"/>
        <xdr:cNvPicPr>
          <a:picLocks noChangeAspect="1"/>
        </xdr:cNvPicPr>
      </xdr:nvPicPr>
      <xdr:blipFill>
        <a:blip xmlns:r="http://schemas.openxmlformats.org/officeDocument/2006/relationships" r:embed="rId2481"/>
        <a:stretch>
          <a:fillRect/>
        </a:stretch>
      </xdr:blipFill>
      <xdr:spPr>
        <a:xfrm>
          <a:off x="7235825" y="3244903975"/>
          <a:ext cx="878840" cy="1183640"/>
        </a:xfrm>
        <a:prstGeom prst="rect">
          <a:avLst/>
        </a:prstGeom>
      </xdr:spPr>
    </xdr:pic>
    <xdr:clientData/>
  </xdr:twoCellAnchor>
  <xdr:twoCellAnchor>
    <xdr:from>
      <xdr:col>9</xdr:col>
      <xdr:colOff>6350</xdr:colOff>
      <xdr:row>3314</xdr:row>
      <xdr:rowOff>25400</xdr:rowOff>
    </xdr:from>
    <xdr:to>
      <xdr:col>9</xdr:col>
      <xdr:colOff>885190</xdr:colOff>
      <xdr:row>3314</xdr:row>
      <xdr:rowOff>1209040</xdr:rowOff>
    </xdr:to>
    <xdr:pic>
      <xdr:nvPicPr>
        <xdr:cNvPr id="7766" name="Изображение 7765" descr="resizeПП-00222037"/>
        <xdr:cNvPicPr>
          <a:picLocks noChangeAspect="1"/>
        </xdr:cNvPicPr>
      </xdr:nvPicPr>
      <xdr:blipFill>
        <a:blip xmlns:r="http://schemas.openxmlformats.org/officeDocument/2006/relationships" r:embed="rId2482"/>
        <a:stretch>
          <a:fillRect/>
        </a:stretch>
      </xdr:blipFill>
      <xdr:spPr>
        <a:xfrm>
          <a:off x="7235825" y="3246278750"/>
          <a:ext cx="878840" cy="1183640"/>
        </a:xfrm>
        <a:prstGeom prst="rect">
          <a:avLst/>
        </a:prstGeom>
      </xdr:spPr>
    </xdr:pic>
    <xdr:clientData/>
  </xdr:twoCellAnchor>
  <xdr:twoCellAnchor>
    <xdr:from>
      <xdr:col>9</xdr:col>
      <xdr:colOff>6350</xdr:colOff>
      <xdr:row>3315</xdr:row>
      <xdr:rowOff>25400</xdr:rowOff>
    </xdr:from>
    <xdr:to>
      <xdr:col>9</xdr:col>
      <xdr:colOff>885190</xdr:colOff>
      <xdr:row>3315</xdr:row>
      <xdr:rowOff>1209040</xdr:rowOff>
    </xdr:to>
    <xdr:pic>
      <xdr:nvPicPr>
        <xdr:cNvPr id="7767" name="Изображение 7766" descr="resizeПП-00210557"/>
        <xdr:cNvPicPr>
          <a:picLocks noChangeAspect="1"/>
        </xdr:cNvPicPr>
      </xdr:nvPicPr>
      <xdr:blipFill>
        <a:blip xmlns:r="http://schemas.openxmlformats.org/officeDocument/2006/relationships" r:embed="rId2483"/>
        <a:stretch>
          <a:fillRect/>
        </a:stretch>
      </xdr:blipFill>
      <xdr:spPr>
        <a:xfrm>
          <a:off x="7235825" y="3247501125"/>
          <a:ext cx="878840" cy="1183640"/>
        </a:xfrm>
        <a:prstGeom prst="rect">
          <a:avLst/>
        </a:prstGeom>
      </xdr:spPr>
    </xdr:pic>
    <xdr:clientData/>
  </xdr:twoCellAnchor>
  <xdr:twoCellAnchor>
    <xdr:from>
      <xdr:col>9</xdr:col>
      <xdr:colOff>6350</xdr:colOff>
      <xdr:row>3316</xdr:row>
      <xdr:rowOff>25400</xdr:rowOff>
    </xdr:from>
    <xdr:to>
      <xdr:col>9</xdr:col>
      <xdr:colOff>885190</xdr:colOff>
      <xdr:row>3316</xdr:row>
      <xdr:rowOff>1209040</xdr:rowOff>
    </xdr:to>
    <xdr:pic>
      <xdr:nvPicPr>
        <xdr:cNvPr id="7768" name="Изображение 7767" descr="resizeПП-00216096"/>
        <xdr:cNvPicPr>
          <a:picLocks noChangeAspect="1"/>
        </xdr:cNvPicPr>
      </xdr:nvPicPr>
      <xdr:blipFill>
        <a:blip xmlns:r="http://schemas.openxmlformats.org/officeDocument/2006/relationships" r:embed="rId2484"/>
        <a:stretch>
          <a:fillRect/>
        </a:stretch>
      </xdr:blipFill>
      <xdr:spPr>
        <a:xfrm>
          <a:off x="7235825" y="3248723500"/>
          <a:ext cx="878840" cy="1183640"/>
        </a:xfrm>
        <a:prstGeom prst="rect">
          <a:avLst/>
        </a:prstGeom>
      </xdr:spPr>
    </xdr:pic>
    <xdr:clientData/>
  </xdr:twoCellAnchor>
  <xdr:twoCellAnchor>
    <xdr:from>
      <xdr:col>9</xdr:col>
      <xdr:colOff>6350</xdr:colOff>
      <xdr:row>3317</xdr:row>
      <xdr:rowOff>25400</xdr:rowOff>
    </xdr:from>
    <xdr:to>
      <xdr:col>9</xdr:col>
      <xdr:colOff>885190</xdr:colOff>
      <xdr:row>3317</xdr:row>
      <xdr:rowOff>1209040</xdr:rowOff>
    </xdr:to>
    <xdr:pic>
      <xdr:nvPicPr>
        <xdr:cNvPr id="7769" name="Изображение 7768" descr="resizeПП-00216097"/>
        <xdr:cNvPicPr>
          <a:picLocks noChangeAspect="1"/>
        </xdr:cNvPicPr>
      </xdr:nvPicPr>
      <xdr:blipFill>
        <a:blip xmlns:r="http://schemas.openxmlformats.org/officeDocument/2006/relationships" r:embed="rId2485"/>
        <a:stretch>
          <a:fillRect/>
        </a:stretch>
      </xdr:blipFill>
      <xdr:spPr>
        <a:xfrm>
          <a:off x="7235825" y="3249945875"/>
          <a:ext cx="878840" cy="1183640"/>
        </a:xfrm>
        <a:prstGeom prst="rect">
          <a:avLst/>
        </a:prstGeom>
      </xdr:spPr>
    </xdr:pic>
    <xdr:clientData/>
  </xdr:twoCellAnchor>
  <xdr:twoCellAnchor>
    <xdr:from>
      <xdr:col>9</xdr:col>
      <xdr:colOff>6350</xdr:colOff>
      <xdr:row>3318</xdr:row>
      <xdr:rowOff>25400</xdr:rowOff>
    </xdr:from>
    <xdr:to>
      <xdr:col>9</xdr:col>
      <xdr:colOff>885190</xdr:colOff>
      <xdr:row>3318</xdr:row>
      <xdr:rowOff>1209040</xdr:rowOff>
    </xdr:to>
    <xdr:pic>
      <xdr:nvPicPr>
        <xdr:cNvPr id="7770" name="Изображение 7769" descr="resizeПП-00216089"/>
        <xdr:cNvPicPr>
          <a:picLocks noChangeAspect="1"/>
        </xdr:cNvPicPr>
      </xdr:nvPicPr>
      <xdr:blipFill>
        <a:blip xmlns:r="http://schemas.openxmlformats.org/officeDocument/2006/relationships" r:embed="rId2484"/>
        <a:stretch>
          <a:fillRect/>
        </a:stretch>
      </xdr:blipFill>
      <xdr:spPr>
        <a:xfrm>
          <a:off x="7235825" y="3251168250"/>
          <a:ext cx="878840" cy="1183640"/>
        </a:xfrm>
        <a:prstGeom prst="rect">
          <a:avLst/>
        </a:prstGeom>
      </xdr:spPr>
    </xdr:pic>
    <xdr:clientData/>
  </xdr:twoCellAnchor>
  <xdr:twoCellAnchor>
    <xdr:from>
      <xdr:col>9</xdr:col>
      <xdr:colOff>6350</xdr:colOff>
      <xdr:row>3319</xdr:row>
      <xdr:rowOff>25400</xdr:rowOff>
    </xdr:from>
    <xdr:to>
      <xdr:col>9</xdr:col>
      <xdr:colOff>885190</xdr:colOff>
      <xdr:row>3319</xdr:row>
      <xdr:rowOff>1209040</xdr:rowOff>
    </xdr:to>
    <xdr:pic>
      <xdr:nvPicPr>
        <xdr:cNvPr id="7771" name="Изображение 7770" descr="resizeПП-00216088"/>
        <xdr:cNvPicPr>
          <a:picLocks noChangeAspect="1"/>
        </xdr:cNvPicPr>
      </xdr:nvPicPr>
      <xdr:blipFill>
        <a:blip xmlns:r="http://schemas.openxmlformats.org/officeDocument/2006/relationships" r:embed="rId2486"/>
        <a:stretch>
          <a:fillRect/>
        </a:stretch>
      </xdr:blipFill>
      <xdr:spPr>
        <a:xfrm>
          <a:off x="7235825" y="3252390625"/>
          <a:ext cx="878840" cy="1183640"/>
        </a:xfrm>
        <a:prstGeom prst="rect">
          <a:avLst/>
        </a:prstGeom>
      </xdr:spPr>
    </xdr:pic>
    <xdr:clientData/>
  </xdr:twoCellAnchor>
  <xdr:twoCellAnchor>
    <xdr:from>
      <xdr:col>9</xdr:col>
      <xdr:colOff>6350</xdr:colOff>
      <xdr:row>3320</xdr:row>
      <xdr:rowOff>25400</xdr:rowOff>
    </xdr:from>
    <xdr:to>
      <xdr:col>9</xdr:col>
      <xdr:colOff>885190</xdr:colOff>
      <xdr:row>3320</xdr:row>
      <xdr:rowOff>1209040</xdr:rowOff>
    </xdr:to>
    <xdr:pic>
      <xdr:nvPicPr>
        <xdr:cNvPr id="7772" name="Изображение 7771" descr="resizeПП-00216090"/>
        <xdr:cNvPicPr>
          <a:picLocks noChangeAspect="1"/>
        </xdr:cNvPicPr>
      </xdr:nvPicPr>
      <xdr:blipFill>
        <a:blip xmlns:r="http://schemas.openxmlformats.org/officeDocument/2006/relationships" r:embed="rId2485"/>
        <a:stretch>
          <a:fillRect/>
        </a:stretch>
      </xdr:blipFill>
      <xdr:spPr>
        <a:xfrm>
          <a:off x="7235825" y="3253613000"/>
          <a:ext cx="878840" cy="1183640"/>
        </a:xfrm>
        <a:prstGeom prst="rect">
          <a:avLst/>
        </a:prstGeom>
      </xdr:spPr>
    </xdr:pic>
    <xdr:clientData/>
  </xdr:twoCellAnchor>
  <xdr:twoCellAnchor>
    <xdr:from>
      <xdr:col>9</xdr:col>
      <xdr:colOff>6350</xdr:colOff>
      <xdr:row>3321</xdr:row>
      <xdr:rowOff>25400</xdr:rowOff>
    </xdr:from>
    <xdr:to>
      <xdr:col>9</xdr:col>
      <xdr:colOff>885190</xdr:colOff>
      <xdr:row>3321</xdr:row>
      <xdr:rowOff>1209040</xdr:rowOff>
    </xdr:to>
    <xdr:pic>
      <xdr:nvPicPr>
        <xdr:cNvPr id="7773" name="Изображение 7772" descr="resizeПП-00257905"/>
        <xdr:cNvPicPr>
          <a:picLocks noChangeAspect="1"/>
        </xdr:cNvPicPr>
      </xdr:nvPicPr>
      <xdr:blipFill>
        <a:blip xmlns:r="http://schemas.openxmlformats.org/officeDocument/2006/relationships" r:embed="rId2487"/>
        <a:stretch>
          <a:fillRect/>
        </a:stretch>
      </xdr:blipFill>
      <xdr:spPr>
        <a:xfrm>
          <a:off x="7235825" y="3254835375"/>
          <a:ext cx="878840" cy="1183640"/>
        </a:xfrm>
        <a:prstGeom prst="rect">
          <a:avLst/>
        </a:prstGeom>
      </xdr:spPr>
    </xdr:pic>
    <xdr:clientData/>
  </xdr:twoCellAnchor>
  <xdr:twoCellAnchor>
    <xdr:from>
      <xdr:col>9</xdr:col>
      <xdr:colOff>6350</xdr:colOff>
      <xdr:row>3322</xdr:row>
      <xdr:rowOff>25400</xdr:rowOff>
    </xdr:from>
    <xdr:to>
      <xdr:col>9</xdr:col>
      <xdr:colOff>885190</xdr:colOff>
      <xdr:row>3322</xdr:row>
      <xdr:rowOff>1209040</xdr:rowOff>
    </xdr:to>
    <xdr:pic>
      <xdr:nvPicPr>
        <xdr:cNvPr id="7774" name="Изображение 7773" descr="resizeПП-00216094"/>
        <xdr:cNvPicPr>
          <a:picLocks noChangeAspect="1"/>
        </xdr:cNvPicPr>
      </xdr:nvPicPr>
      <xdr:blipFill>
        <a:blip xmlns:r="http://schemas.openxmlformats.org/officeDocument/2006/relationships" r:embed="rId2488"/>
        <a:stretch>
          <a:fillRect/>
        </a:stretch>
      </xdr:blipFill>
      <xdr:spPr>
        <a:xfrm>
          <a:off x="7235825" y="3256057750"/>
          <a:ext cx="878840" cy="1183640"/>
        </a:xfrm>
        <a:prstGeom prst="rect">
          <a:avLst/>
        </a:prstGeom>
      </xdr:spPr>
    </xdr:pic>
    <xdr:clientData/>
  </xdr:twoCellAnchor>
  <xdr:twoCellAnchor>
    <xdr:from>
      <xdr:col>9</xdr:col>
      <xdr:colOff>6350</xdr:colOff>
      <xdr:row>3323</xdr:row>
      <xdr:rowOff>25400</xdr:rowOff>
    </xdr:from>
    <xdr:to>
      <xdr:col>9</xdr:col>
      <xdr:colOff>885190</xdr:colOff>
      <xdr:row>3323</xdr:row>
      <xdr:rowOff>1209040</xdr:rowOff>
    </xdr:to>
    <xdr:pic>
      <xdr:nvPicPr>
        <xdr:cNvPr id="7775" name="Изображение 7774" descr="resizeПП-00222043"/>
        <xdr:cNvPicPr>
          <a:picLocks noChangeAspect="1"/>
        </xdr:cNvPicPr>
      </xdr:nvPicPr>
      <xdr:blipFill>
        <a:blip xmlns:r="http://schemas.openxmlformats.org/officeDocument/2006/relationships" r:embed="rId2489"/>
        <a:stretch>
          <a:fillRect/>
        </a:stretch>
      </xdr:blipFill>
      <xdr:spPr>
        <a:xfrm>
          <a:off x="7235825" y="3257280125"/>
          <a:ext cx="878840" cy="1183640"/>
        </a:xfrm>
        <a:prstGeom prst="rect">
          <a:avLst/>
        </a:prstGeom>
      </xdr:spPr>
    </xdr:pic>
    <xdr:clientData/>
  </xdr:twoCellAnchor>
  <xdr:twoCellAnchor>
    <xdr:from>
      <xdr:col>9</xdr:col>
      <xdr:colOff>6350</xdr:colOff>
      <xdr:row>3324</xdr:row>
      <xdr:rowOff>25400</xdr:rowOff>
    </xdr:from>
    <xdr:to>
      <xdr:col>9</xdr:col>
      <xdr:colOff>885190</xdr:colOff>
      <xdr:row>3324</xdr:row>
      <xdr:rowOff>1209040</xdr:rowOff>
    </xdr:to>
    <xdr:pic>
      <xdr:nvPicPr>
        <xdr:cNvPr id="7776" name="Изображение 7775" descr="resizeПП-00222038"/>
        <xdr:cNvPicPr>
          <a:picLocks noChangeAspect="1"/>
        </xdr:cNvPicPr>
      </xdr:nvPicPr>
      <xdr:blipFill>
        <a:blip xmlns:r="http://schemas.openxmlformats.org/officeDocument/2006/relationships" r:embed="rId2490"/>
        <a:stretch>
          <a:fillRect/>
        </a:stretch>
      </xdr:blipFill>
      <xdr:spPr>
        <a:xfrm>
          <a:off x="7235825" y="3258502500"/>
          <a:ext cx="878840" cy="1183640"/>
        </a:xfrm>
        <a:prstGeom prst="rect">
          <a:avLst/>
        </a:prstGeom>
      </xdr:spPr>
    </xdr:pic>
    <xdr:clientData/>
  </xdr:twoCellAnchor>
  <xdr:twoCellAnchor>
    <xdr:from>
      <xdr:col>9</xdr:col>
      <xdr:colOff>6350</xdr:colOff>
      <xdr:row>3325</xdr:row>
      <xdr:rowOff>25400</xdr:rowOff>
    </xdr:from>
    <xdr:to>
      <xdr:col>9</xdr:col>
      <xdr:colOff>885190</xdr:colOff>
      <xdr:row>3325</xdr:row>
      <xdr:rowOff>1209040</xdr:rowOff>
    </xdr:to>
    <xdr:pic>
      <xdr:nvPicPr>
        <xdr:cNvPr id="7777" name="Изображение 7776" descr="resizeПП-00222042"/>
        <xdr:cNvPicPr>
          <a:picLocks noChangeAspect="1"/>
        </xdr:cNvPicPr>
      </xdr:nvPicPr>
      <xdr:blipFill>
        <a:blip xmlns:r="http://schemas.openxmlformats.org/officeDocument/2006/relationships" r:embed="rId2491"/>
        <a:stretch>
          <a:fillRect/>
        </a:stretch>
      </xdr:blipFill>
      <xdr:spPr>
        <a:xfrm>
          <a:off x="7235825" y="3259724875"/>
          <a:ext cx="878840" cy="1183640"/>
        </a:xfrm>
        <a:prstGeom prst="rect">
          <a:avLst/>
        </a:prstGeom>
      </xdr:spPr>
    </xdr:pic>
    <xdr:clientData/>
  </xdr:twoCellAnchor>
  <xdr:twoCellAnchor>
    <xdr:from>
      <xdr:col>9</xdr:col>
      <xdr:colOff>6350</xdr:colOff>
      <xdr:row>3326</xdr:row>
      <xdr:rowOff>25400</xdr:rowOff>
    </xdr:from>
    <xdr:to>
      <xdr:col>9</xdr:col>
      <xdr:colOff>885190</xdr:colOff>
      <xdr:row>3326</xdr:row>
      <xdr:rowOff>1209040</xdr:rowOff>
    </xdr:to>
    <xdr:pic>
      <xdr:nvPicPr>
        <xdr:cNvPr id="7778" name="Изображение 7777" descr="resizeПП-00257893"/>
        <xdr:cNvPicPr>
          <a:picLocks noChangeAspect="1"/>
        </xdr:cNvPicPr>
      </xdr:nvPicPr>
      <xdr:blipFill>
        <a:blip xmlns:r="http://schemas.openxmlformats.org/officeDocument/2006/relationships" r:embed="rId2492"/>
        <a:stretch>
          <a:fillRect/>
        </a:stretch>
      </xdr:blipFill>
      <xdr:spPr>
        <a:xfrm>
          <a:off x="7235825" y="3260947250"/>
          <a:ext cx="878840" cy="1183640"/>
        </a:xfrm>
        <a:prstGeom prst="rect">
          <a:avLst/>
        </a:prstGeom>
      </xdr:spPr>
    </xdr:pic>
    <xdr:clientData/>
  </xdr:twoCellAnchor>
  <xdr:twoCellAnchor>
    <xdr:from>
      <xdr:col>9</xdr:col>
      <xdr:colOff>6350</xdr:colOff>
      <xdr:row>3327</xdr:row>
      <xdr:rowOff>25400</xdr:rowOff>
    </xdr:from>
    <xdr:to>
      <xdr:col>9</xdr:col>
      <xdr:colOff>885190</xdr:colOff>
      <xdr:row>3327</xdr:row>
      <xdr:rowOff>1209040</xdr:rowOff>
    </xdr:to>
    <xdr:pic>
      <xdr:nvPicPr>
        <xdr:cNvPr id="7779" name="Изображение 7778" descr="resizeПП-00222013"/>
        <xdr:cNvPicPr>
          <a:picLocks noChangeAspect="1"/>
        </xdr:cNvPicPr>
      </xdr:nvPicPr>
      <xdr:blipFill>
        <a:blip xmlns:r="http://schemas.openxmlformats.org/officeDocument/2006/relationships" r:embed="rId2493"/>
        <a:stretch>
          <a:fillRect/>
        </a:stretch>
      </xdr:blipFill>
      <xdr:spPr>
        <a:xfrm>
          <a:off x="7235825" y="3262169625"/>
          <a:ext cx="878840" cy="1183640"/>
        </a:xfrm>
        <a:prstGeom prst="rect">
          <a:avLst/>
        </a:prstGeom>
      </xdr:spPr>
    </xdr:pic>
    <xdr:clientData/>
  </xdr:twoCellAnchor>
  <xdr:twoCellAnchor>
    <xdr:from>
      <xdr:col>9</xdr:col>
      <xdr:colOff>6350</xdr:colOff>
      <xdr:row>3328</xdr:row>
      <xdr:rowOff>25400</xdr:rowOff>
    </xdr:from>
    <xdr:to>
      <xdr:col>9</xdr:col>
      <xdr:colOff>885190</xdr:colOff>
      <xdr:row>3328</xdr:row>
      <xdr:rowOff>1209040</xdr:rowOff>
    </xdr:to>
    <xdr:pic>
      <xdr:nvPicPr>
        <xdr:cNvPr id="7780" name="Изображение 7779" descr="resizeПП-00222040"/>
        <xdr:cNvPicPr>
          <a:picLocks noChangeAspect="1"/>
        </xdr:cNvPicPr>
      </xdr:nvPicPr>
      <xdr:blipFill>
        <a:blip xmlns:r="http://schemas.openxmlformats.org/officeDocument/2006/relationships" r:embed="rId2494"/>
        <a:stretch>
          <a:fillRect/>
        </a:stretch>
      </xdr:blipFill>
      <xdr:spPr>
        <a:xfrm>
          <a:off x="7235825" y="3263392000"/>
          <a:ext cx="878840" cy="1183640"/>
        </a:xfrm>
        <a:prstGeom prst="rect">
          <a:avLst/>
        </a:prstGeom>
      </xdr:spPr>
    </xdr:pic>
    <xdr:clientData/>
  </xdr:twoCellAnchor>
  <xdr:twoCellAnchor>
    <xdr:from>
      <xdr:col>9</xdr:col>
      <xdr:colOff>6350</xdr:colOff>
      <xdr:row>3329</xdr:row>
      <xdr:rowOff>25400</xdr:rowOff>
    </xdr:from>
    <xdr:to>
      <xdr:col>9</xdr:col>
      <xdr:colOff>885190</xdr:colOff>
      <xdr:row>3329</xdr:row>
      <xdr:rowOff>1209040</xdr:rowOff>
    </xdr:to>
    <xdr:pic>
      <xdr:nvPicPr>
        <xdr:cNvPr id="7781" name="Изображение 7780" descr="resizeПП-00216092"/>
        <xdr:cNvPicPr>
          <a:picLocks noChangeAspect="1"/>
        </xdr:cNvPicPr>
      </xdr:nvPicPr>
      <xdr:blipFill>
        <a:blip xmlns:r="http://schemas.openxmlformats.org/officeDocument/2006/relationships" r:embed="rId2495"/>
        <a:stretch>
          <a:fillRect/>
        </a:stretch>
      </xdr:blipFill>
      <xdr:spPr>
        <a:xfrm>
          <a:off x="7235825" y="3264614375"/>
          <a:ext cx="878840" cy="1183640"/>
        </a:xfrm>
        <a:prstGeom prst="rect">
          <a:avLst/>
        </a:prstGeom>
      </xdr:spPr>
    </xdr:pic>
    <xdr:clientData/>
  </xdr:twoCellAnchor>
  <xdr:twoCellAnchor>
    <xdr:from>
      <xdr:col>9</xdr:col>
      <xdr:colOff>6350</xdr:colOff>
      <xdr:row>3330</xdr:row>
      <xdr:rowOff>25400</xdr:rowOff>
    </xdr:from>
    <xdr:to>
      <xdr:col>9</xdr:col>
      <xdr:colOff>885190</xdr:colOff>
      <xdr:row>3330</xdr:row>
      <xdr:rowOff>1209040</xdr:rowOff>
    </xdr:to>
    <xdr:pic>
      <xdr:nvPicPr>
        <xdr:cNvPr id="7782" name="Изображение 7781" descr="resizeПП-00222041"/>
        <xdr:cNvPicPr>
          <a:picLocks noChangeAspect="1"/>
        </xdr:cNvPicPr>
      </xdr:nvPicPr>
      <xdr:blipFill>
        <a:blip xmlns:r="http://schemas.openxmlformats.org/officeDocument/2006/relationships" r:embed="rId2496"/>
        <a:stretch>
          <a:fillRect/>
        </a:stretch>
      </xdr:blipFill>
      <xdr:spPr>
        <a:xfrm>
          <a:off x="7235825" y="3265836750"/>
          <a:ext cx="878840" cy="1183640"/>
        </a:xfrm>
        <a:prstGeom prst="rect">
          <a:avLst/>
        </a:prstGeom>
      </xdr:spPr>
    </xdr:pic>
    <xdr:clientData/>
  </xdr:twoCellAnchor>
  <xdr:twoCellAnchor>
    <xdr:from>
      <xdr:col>9</xdr:col>
      <xdr:colOff>6350</xdr:colOff>
      <xdr:row>3331</xdr:row>
      <xdr:rowOff>25400</xdr:rowOff>
    </xdr:from>
    <xdr:to>
      <xdr:col>9</xdr:col>
      <xdr:colOff>885190</xdr:colOff>
      <xdr:row>3331</xdr:row>
      <xdr:rowOff>1209040</xdr:rowOff>
    </xdr:to>
    <xdr:pic>
      <xdr:nvPicPr>
        <xdr:cNvPr id="7783" name="Изображение 7782" descr="resizeПП-00257896"/>
        <xdr:cNvPicPr>
          <a:picLocks noChangeAspect="1"/>
        </xdr:cNvPicPr>
      </xdr:nvPicPr>
      <xdr:blipFill>
        <a:blip xmlns:r="http://schemas.openxmlformats.org/officeDocument/2006/relationships" r:embed="rId2497"/>
        <a:stretch>
          <a:fillRect/>
        </a:stretch>
      </xdr:blipFill>
      <xdr:spPr>
        <a:xfrm>
          <a:off x="7235825" y="3267059125"/>
          <a:ext cx="878840" cy="1183640"/>
        </a:xfrm>
        <a:prstGeom prst="rect">
          <a:avLst/>
        </a:prstGeom>
      </xdr:spPr>
    </xdr:pic>
    <xdr:clientData/>
  </xdr:twoCellAnchor>
  <xdr:twoCellAnchor>
    <xdr:from>
      <xdr:col>9</xdr:col>
      <xdr:colOff>6350</xdr:colOff>
      <xdr:row>3332</xdr:row>
      <xdr:rowOff>25400</xdr:rowOff>
    </xdr:from>
    <xdr:to>
      <xdr:col>9</xdr:col>
      <xdr:colOff>885190</xdr:colOff>
      <xdr:row>3332</xdr:row>
      <xdr:rowOff>1209040</xdr:rowOff>
    </xdr:to>
    <xdr:pic>
      <xdr:nvPicPr>
        <xdr:cNvPr id="7784" name="Изображение 7783" descr="resizeПП-00222029"/>
        <xdr:cNvPicPr>
          <a:picLocks noChangeAspect="1"/>
        </xdr:cNvPicPr>
      </xdr:nvPicPr>
      <xdr:blipFill>
        <a:blip xmlns:r="http://schemas.openxmlformats.org/officeDocument/2006/relationships" r:embed="rId2498"/>
        <a:stretch>
          <a:fillRect/>
        </a:stretch>
      </xdr:blipFill>
      <xdr:spPr>
        <a:xfrm>
          <a:off x="7235825" y="3268281500"/>
          <a:ext cx="878840" cy="1183640"/>
        </a:xfrm>
        <a:prstGeom prst="rect">
          <a:avLst/>
        </a:prstGeom>
      </xdr:spPr>
    </xdr:pic>
    <xdr:clientData/>
  </xdr:twoCellAnchor>
  <xdr:twoCellAnchor>
    <xdr:from>
      <xdr:col>9</xdr:col>
      <xdr:colOff>6350</xdr:colOff>
      <xdr:row>3333</xdr:row>
      <xdr:rowOff>25400</xdr:rowOff>
    </xdr:from>
    <xdr:to>
      <xdr:col>9</xdr:col>
      <xdr:colOff>885190</xdr:colOff>
      <xdr:row>3333</xdr:row>
      <xdr:rowOff>1209040</xdr:rowOff>
    </xdr:to>
    <xdr:pic>
      <xdr:nvPicPr>
        <xdr:cNvPr id="7785" name="Изображение 7784" descr="resizeПП-00222014"/>
        <xdr:cNvPicPr>
          <a:picLocks noChangeAspect="1"/>
        </xdr:cNvPicPr>
      </xdr:nvPicPr>
      <xdr:blipFill>
        <a:blip xmlns:r="http://schemas.openxmlformats.org/officeDocument/2006/relationships" r:embed="rId2499"/>
        <a:stretch>
          <a:fillRect/>
        </a:stretch>
      </xdr:blipFill>
      <xdr:spPr>
        <a:xfrm>
          <a:off x="7235825" y="3269503875"/>
          <a:ext cx="878840" cy="1183640"/>
        </a:xfrm>
        <a:prstGeom prst="rect">
          <a:avLst/>
        </a:prstGeom>
      </xdr:spPr>
    </xdr:pic>
    <xdr:clientData/>
  </xdr:twoCellAnchor>
  <xdr:twoCellAnchor>
    <xdr:from>
      <xdr:col>9</xdr:col>
      <xdr:colOff>6350</xdr:colOff>
      <xdr:row>3334</xdr:row>
      <xdr:rowOff>25400</xdr:rowOff>
    </xdr:from>
    <xdr:to>
      <xdr:col>9</xdr:col>
      <xdr:colOff>885190</xdr:colOff>
      <xdr:row>3334</xdr:row>
      <xdr:rowOff>1209040</xdr:rowOff>
    </xdr:to>
    <xdr:pic>
      <xdr:nvPicPr>
        <xdr:cNvPr id="7786" name="Изображение 7785" descr="resizeПП-00222036"/>
        <xdr:cNvPicPr>
          <a:picLocks noChangeAspect="1"/>
        </xdr:cNvPicPr>
      </xdr:nvPicPr>
      <xdr:blipFill>
        <a:blip xmlns:r="http://schemas.openxmlformats.org/officeDocument/2006/relationships" r:embed="rId2500"/>
        <a:stretch>
          <a:fillRect/>
        </a:stretch>
      </xdr:blipFill>
      <xdr:spPr>
        <a:xfrm>
          <a:off x="7235825" y="3270726250"/>
          <a:ext cx="878840" cy="1183640"/>
        </a:xfrm>
        <a:prstGeom prst="rect">
          <a:avLst/>
        </a:prstGeom>
      </xdr:spPr>
    </xdr:pic>
    <xdr:clientData/>
  </xdr:twoCellAnchor>
  <xdr:twoCellAnchor>
    <xdr:from>
      <xdr:col>9</xdr:col>
      <xdr:colOff>6350</xdr:colOff>
      <xdr:row>3335</xdr:row>
      <xdr:rowOff>25400</xdr:rowOff>
    </xdr:from>
    <xdr:to>
      <xdr:col>9</xdr:col>
      <xdr:colOff>885190</xdr:colOff>
      <xdr:row>3335</xdr:row>
      <xdr:rowOff>1209040</xdr:rowOff>
    </xdr:to>
    <xdr:pic>
      <xdr:nvPicPr>
        <xdr:cNvPr id="7787" name="Изображение 7786" descr="resizeПП-00222035"/>
        <xdr:cNvPicPr>
          <a:picLocks noChangeAspect="1"/>
        </xdr:cNvPicPr>
      </xdr:nvPicPr>
      <xdr:blipFill>
        <a:blip xmlns:r="http://schemas.openxmlformats.org/officeDocument/2006/relationships" r:embed="rId2501"/>
        <a:stretch>
          <a:fillRect/>
        </a:stretch>
      </xdr:blipFill>
      <xdr:spPr>
        <a:xfrm>
          <a:off x="7235825" y="3271948625"/>
          <a:ext cx="878840" cy="1183640"/>
        </a:xfrm>
        <a:prstGeom prst="rect">
          <a:avLst/>
        </a:prstGeom>
      </xdr:spPr>
    </xdr:pic>
    <xdr:clientData/>
  </xdr:twoCellAnchor>
  <xdr:twoCellAnchor>
    <xdr:from>
      <xdr:col>9</xdr:col>
      <xdr:colOff>6350</xdr:colOff>
      <xdr:row>3336</xdr:row>
      <xdr:rowOff>25400</xdr:rowOff>
    </xdr:from>
    <xdr:to>
      <xdr:col>9</xdr:col>
      <xdr:colOff>885190</xdr:colOff>
      <xdr:row>3336</xdr:row>
      <xdr:rowOff>1209040</xdr:rowOff>
    </xdr:to>
    <xdr:pic>
      <xdr:nvPicPr>
        <xdr:cNvPr id="7788" name="Изображение 7787" descr="resizeПП-00222032"/>
        <xdr:cNvPicPr>
          <a:picLocks noChangeAspect="1"/>
        </xdr:cNvPicPr>
      </xdr:nvPicPr>
      <xdr:blipFill>
        <a:blip xmlns:r="http://schemas.openxmlformats.org/officeDocument/2006/relationships" r:embed="rId2501"/>
        <a:stretch>
          <a:fillRect/>
        </a:stretch>
      </xdr:blipFill>
      <xdr:spPr>
        <a:xfrm>
          <a:off x="7235825" y="3273171000"/>
          <a:ext cx="878840" cy="1183640"/>
        </a:xfrm>
        <a:prstGeom prst="rect">
          <a:avLst/>
        </a:prstGeom>
      </xdr:spPr>
    </xdr:pic>
    <xdr:clientData/>
  </xdr:twoCellAnchor>
  <xdr:twoCellAnchor>
    <xdr:from>
      <xdr:col>9</xdr:col>
      <xdr:colOff>6350</xdr:colOff>
      <xdr:row>3337</xdr:row>
      <xdr:rowOff>25400</xdr:rowOff>
    </xdr:from>
    <xdr:to>
      <xdr:col>9</xdr:col>
      <xdr:colOff>885190</xdr:colOff>
      <xdr:row>3337</xdr:row>
      <xdr:rowOff>1209040</xdr:rowOff>
    </xdr:to>
    <xdr:pic>
      <xdr:nvPicPr>
        <xdr:cNvPr id="7789" name="Изображение 7788" descr="resizeПП-00257895"/>
        <xdr:cNvPicPr>
          <a:picLocks noChangeAspect="1"/>
        </xdr:cNvPicPr>
      </xdr:nvPicPr>
      <xdr:blipFill>
        <a:blip xmlns:r="http://schemas.openxmlformats.org/officeDocument/2006/relationships" r:embed="rId2502"/>
        <a:stretch>
          <a:fillRect/>
        </a:stretch>
      </xdr:blipFill>
      <xdr:spPr>
        <a:xfrm>
          <a:off x="7235825" y="3274393375"/>
          <a:ext cx="878840" cy="1183640"/>
        </a:xfrm>
        <a:prstGeom prst="rect">
          <a:avLst/>
        </a:prstGeom>
      </xdr:spPr>
    </xdr:pic>
    <xdr:clientData/>
  </xdr:twoCellAnchor>
  <xdr:twoCellAnchor>
    <xdr:from>
      <xdr:col>9</xdr:col>
      <xdr:colOff>6350</xdr:colOff>
      <xdr:row>3338</xdr:row>
      <xdr:rowOff>25400</xdr:rowOff>
    </xdr:from>
    <xdr:to>
      <xdr:col>9</xdr:col>
      <xdr:colOff>885190</xdr:colOff>
      <xdr:row>3338</xdr:row>
      <xdr:rowOff>1209040</xdr:rowOff>
    </xdr:to>
    <xdr:pic>
      <xdr:nvPicPr>
        <xdr:cNvPr id="7790" name="Изображение 7789" descr="resizeПП-00257894"/>
        <xdr:cNvPicPr>
          <a:picLocks noChangeAspect="1"/>
        </xdr:cNvPicPr>
      </xdr:nvPicPr>
      <xdr:blipFill>
        <a:blip xmlns:r="http://schemas.openxmlformats.org/officeDocument/2006/relationships" r:embed="rId2503"/>
        <a:stretch>
          <a:fillRect/>
        </a:stretch>
      </xdr:blipFill>
      <xdr:spPr>
        <a:xfrm>
          <a:off x="7235825" y="3275615750"/>
          <a:ext cx="878840" cy="1183640"/>
        </a:xfrm>
        <a:prstGeom prst="rect">
          <a:avLst/>
        </a:prstGeom>
      </xdr:spPr>
    </xdr:pic>
    <xdr:clientData/>
  </xdr:twoCellAnchor>
  <xdr:twoCellAnchor>
    <xdr:from>
      <xdr:col>9</xdr:col>
      <xdr:colOff>6350</xdr:colOff>
      <xdr:row>3339</xdr:row>
      <xdr:rowOff>25400</xdr:rowOff>
    </xdr:from>
    <xdr:to>
      <xdr:col>9</xdr:col>
      <xdr:colOff>885190</xdr:colOff>
      <xdr:row>3339</xdr:row>
      <xdr:rowOff>1209040</xdr:rowOff>
    </xdr:to>
    <xdr:pic>
      <xdr:nvPicPr>
        <xdr:cNvPr id="7791" name="Изображение 7790" descr="resizeПП-00266920"/>
        <xdr:cNvPicPr>
          <a:picLocks noChangeAspect="1"/>
        </xdr:cNvPicPr>
      </xdr:nvPicPr>
      <xdr:blipFill>
        <a:blip xmlns:r="http://schemas.openxmlformats.org/officeDocument/2006/relationships" r:embed="rId2504"/>
        <a:stretch>
          <a:fillRect/>
        </a:stretch>
      </xdr:blipFill>
      <xdr:spPr>
        <a:xfrm>
          <a:off x="7235825" y="3276838125"/>
          <a:ext cx="878840" cy="1183640"/>
        </a:xfrm>
        <a:prstGeom prst="rect">
          <a:avLst/>
        </a:prstGeom>
      </xdr:spPr>
    </xdr:pic>
    <xdr:clientData/>
  </xdr:twoCellAnchor>
  <xdr:twoCellAnchor>
    <xdr:from>
      <xdr:col>9</xdr:col>
      <xdr:colOff>6350</xdr:colOff>
      <xdr:row>3340</xdr:row>
      <xdr:rowOff>25400</xdr:rowOff>
    </xdr:from>
    <xdr:to>
      <xdr:col>9</xdr:col>
      <xdr:colOff>885190</xdr:colOff>
      <xdr:row>3340</xdr:row>
      <xdr:rowOff>1209040</xdr:rowOff>
    </xdr:to>
    <xdr:pic>
      <xdr:nvPicPr>
        <xdr:cNvPr id="7792" name="Изображение 7791" descr="resizeПП-00266921"/>
        <xdr:cNvPicPr>
          <a:picLocks noChangeAspect="1"/>
        </xdr:cNvPicPr>
      </xdr:nvPicPr>
      <xdr:blipFill>
        <a:blip xmlns:r="http://schemas.openxmlformats.org/officeDocument/2006/relationships" r:embed="rId2505"/>
        <a:stretch>
          <a:fillRect/>
        </a:stretch>
      </xdr:blipFill>
      <xdr:spPr>
        <a:xfrm>
          <a:off x="7235825" y="3278060500"/>
          <a:ext cx="878840" cy="1183640"/>
        </a:xfrm>
        <a:prstGeom prst="rect">
          <a:avLst/>
        </a:prstGeom>
      </xdr:spPr>
    </xdr:pic>
    <xdr:clientData/>
  </xdr:twoCellAnchor>
  <xdr:twoCellAnchor>
    <xdr:from>
      <xdr:col>9</xdr:col>
      <xdr:colOff>6350</xdr:colOff>
      <xdr:row>3341</xdr:row>
      <xdr:rowOff>25400</xdr:rowOff>
    </xdr:from>
    <xdr:to>
      <xdr:col>9</xdr:col>
      <xdr:colOff>885190</xdr:colOff>
      <xdr:row>3341</xdr:row>
      <xdr:rowOff>1209040</xdr:rowOff>
    </xdr:to>
    <xdr:pic>
      <xdr:nvPicPr>
        <xdr:cNvPr id="7793" name="Изображение 7792" descr="resizeПП-00233890"/>
        <xdr:cNvPicPr>
          <a:picLocks noChangeAspect="1"/>
        </xdr:cNvPicPr>
      </xdr:nvPicPr>
      <xdr:blipFill>
        <a:blip xmlns:r="http://schemas.openxmlformats.org/officeDocument/2006/relationships" r:embed="rId2506"/>
        <a:stretch>
          <a:fillRect/>
        </a:stretch>
      </xdr:blipFill>
      <xdr:spPr>
        <a:xfrm>
          <a:off x="7235825" y="3279282875"/>
          <a:ext cx="878840" cy="1183640"/>
        </a:xfrm>
        <a:prstGeom prst="rect">
          <a:avLst/>
        </a:prstGeom>
      </xdr:spPr>
    </xdr:pic>
    <xdr:clientData/>
  </xdr:twoCellAnchor>
  <xdr:twoCellAnchor>
    <xdr:from>
      <xdr:col>9</xdr:col>
      <xdr:colOff>6350</xdr:colOff>
      <xdr:row>3342</xdr:row>
      <xdr:rowOff>25400</xdr:rowOff>
    </xdr:from>
    <xdr:to>
      <xdr:col>9</xdr:col>
      <xdr:colOff>885190</xdr:colOff>
      <xdr:row>3342</xdr:row>
      <xdr:rowOff>1209040</xdr:rowOff>
    </xdr:to>
    <xdr:pic>
      <xdr:nvPicPr>
        <xdr:cNvPr id="7794" name="Изображение 7793" descr="resizeПП-00233889"/>
        <xdr:cNvPicPr>
          <a:picLocks noChangeAspect="1"/>
        </xdr:cNvPicPr>
      </xdr:nvPicPr>
      <xdr:blipFill>
        <a:blip xmlns:r="http://schemas.openxmlformats.org/officeDocument/2006/relationships" r:embed="rId2507"/>
        <a:stretch>
          <a:fillRect/>
        </a:stretch>
      </xdr:blipFill>
      <xdr:spPr>
        <a:xfrm>
          <a:off x="7235825" y="3280505250"/>
          <a:ext cx="878840" cy="1183640"/>
        </a:xfrm>
        <a:prstGeom prst="rect">
          <a:avLst/>
        </a:prstGeom>
      </xdr:spPr>
    </xdr:pic>
    <xdr:clientData/>
  </xdr:twoCellAnchor>
  <xdr:twoCellAnchor>
    <xdr:from>
      <xdr:col>9</xdr:col>
      <xdr:colOff>6350</xdr:colOff>
      <xdr:row>3343</xdr:row>
      <xdr:rowOff>25400</xdr:rowOff>
    </xdr:from>
    <xdr:to>
      <xdr:col>9</xdr:col>
      <xdr:colOff>885190</xdr:colOff>
      <xdr:row>3343</xdr:row>
      <xdr:rowOff>1209040</xdr:rowOff>
    </xdr:to>
    <xdr:pic>
      <xdr:nvPicPr>
        <xdr:cNvPr id="7795" name="Изображение 7794" descr="resizeПП-00233888"/>
        <xdr:cNvPicPr>
          <a:picLocks noChangeAspect="1"/>
        </xdr:cNvPicPr>
      </xdr:nvPicPr>
      <xdr:blipFill>
        <a:blip xmlns:r="http://schemas.openxmlformats.org/officeDocument/2006/relationships" r:embed="rId2508"/>
        <a:stretch>
          <a:fillRect/>
        </a:stretch>
      </xdr:blipFill>
      <xdr:spPr>
        <a:xfrm>
          <a:off x="7235825" y="3281727625"/>
          <a:ext cx="878840" cy="1183640"/>
        </a:xfrm>
        <a:prstGeom prst="rect">
          <a:avLst/>
        </a:prstGeom>
      </xdr:spPr>
    </xdr:pic>
    <xdr:clientData/>
  </xdr:twoCellAnchor>
  <xdr:twoCellAnchor>
    <xdr:from>
      <xdr:col>9</xdr:col>
      <xdr:colOff>6350</xdr:colOff>
      <xdr:row>3344</xdr:row>
      <xdr:rowOff>25400</xdr:rowOff>
    </xdr:from>
    <xdr:to>
      <xdr:col>9</xdr:col>
      <xdr:colOff>885190</xdr:colOff>
      <xdr:row>3344</xdr:row>
      <xdr:rowOff>1209040</xdr:rowOff>
    </xdr:to>
    <xdr:pic>
      <xdr:nvPicPr>
        <xdr:cNvPr id="7796" name="Изображение 7795" descr="resizeПП-00233883"/>
        <xdr:cNvPicPr>
          <a:picLocks noChangeAspect="1"/>
        </xdr:cNvPicPr>
      </xdr:nvPicPr>
      <xdr:blipFill>
        <a:blip xmlns:r="http://schemas.openxmlformats.org/officeDocument/2006/relationships" r:embed="rId2509"/>
        <a:stretch>
          <a:fillRect/>
        </a:stretch>
      </xdr:blipFill>
      <xdr:spPr>
        <a:xfrm>
          <a:off x="7235825" y="3282950000"/>
          <a:ext cx="878840" cy="1183640"/>
        </a:xfrm>
        <a:prstGeom prst="rect">
          <a:avLst/>
        </a:prstGeom>
      </xdr:spPr>
    </xdr:pic>
    <xdr:clientData/>
  </xdr:twoCellAnchor>
  <xdr:twoCellAnchor>
    <xdr:from>
      <xdr:col>9</xdr:col>
      <xdr:colOff>6350</xdr:colOff>
      <xdr:row>3345</xdr:row>
      <xdr:rowOff>25400</xdr:rowOff>
    </xdr:from>
    <xdr:to>
      <xdr:col>9</xdr:col>
      <xdr:colOff>885190</xdr:colOff>
      <xdr:row>3345</xdr:row>
      <xdr:rowOff>1209040</xdr:rowOff>
    </xdr:to>
    <xdr:pic>
      <xdr:nvPicPr>
        <xdr:cNvPr id="7797" name="Изображение 7796" descr="resizeПП-00210561"/>
        <xdr:cNvPicPr>
          <a:picLocks noChangeAspect="1"/>
        </xdr:cNvPicPr>
      </xdr:nvPicPr>
      <xdr:blipFill>
        <a:blip xmlns:r="http://schemas.openxmlformats.org/officeDocument/2006/relationships" r:embed="rId2510"/>
        <a:stretch>
          <a:fillRect/>
        </a:stretch>
      </xdr:blipFill>
      <xdr:spPr>
        <a:xfrm>
          <a:off x="7235825" y="3284172375"/>
          <a:ext cx="878840" cy="1183640"/>
        </a:xfrm>
        <a:prstGeom prst="rect">
          <a:avLst/>
        </a:prstGeom>
      </xdr:spPr>
    </xdr:pic>
    <xdr:clientData/>
  </xdr:twoCellAnchor>
  <xdr:twoCellAnchor>
    <xdr:from>
      <xdr:col>9</xdr:col>
      <xdr:colOff>6350</xdr:colOff>
      <xdr:row>3346</xdr:row>
      <xdr:rowOff>25400</xdr:rowOff>
    </xdr:from>
    <xdr:to>
      <xdr:col>9</xdr:col>
      <xdr:colOff>885190</xdr:colOff>
      <xdr:row>3346</xdr:row>
      <xdr:rowOff>1209040</xdr:rowOff>
    </xdr:to>
    <xdr:pic>
      <xdr:nvPicPr>
        <xdr:cNvPr id="7798" name="Изображение 7797" descr="resizeПП-00210567"/>
        <xdr:cNvPicPr>
          <a:picLocks noChangeAspect="1"/>
        </xdr:cNvPicPr>
      </xdr:nvPicPr>
      <xdr:blipFill>
        <a:blip xmlns:r="http://schemas.openxmlformats.org/officeDocument/2006/relationships" r:embed="rId2511"/>
        <a:stretch>
          <a:fillRect/>
        </a:stretch>
      </xdr:blipFill>
      <xdr:spPr>
        <a:xfrm>
          <a:off x="7235825" y="3285394750"/>
          <a:ext cx="878840" cy="1183640"/>
        </a:xfrm>
        <a:prstGeom prst="rect">
          <a:avLst/>
        </a:prstGeom>
      </xdr:spPr>
    </xdr:pic>
    <xdr:clientData/>
  </xdr:twoCellAnchor>
  <xdr:twoCellAnchor>
    <xdr:from>
      <xdr:col>9</xdr:col>
      <xdr:colOff>6350</xdr:colOff>
      <xdr:row>3347</xdr:row>
      <xdr:rowOff>25400</xdr:rowOff>
    </xdr:from>
    <xdr:to>
      <xdr:col>9</xdr:col>
      <xdr:colOff>885190</xdr:colOff>
      <xdr:row>3347</xdr:row>
      <xdr:rowOff>1209040</xdr:rowOff>
    </xdr:to>
    <xdr:pic>
      <xdr:nvPicPr>
        <xdr:cNvPr id="7799" name="Изображение 7798" descr="resizeПП-00210562"/>
        <xdr:cNvPicPr>
          <a:picLocks noChangeAspect="1"/>
        </xdr:cNvPicPr>
      </xdr:nvPicPr>
      <xdr:blipFill>
        <a:blip xmlns:r="http://schemas.openxmlformats.org/officeDocument/2006/relationships" r:embed="rId2512"/>
        <a:stretch>
          <a:fillRect/>
        </a:stretch>
      </xdr:blipFill>
      <xdr:spPr>
        <a:xfrm>
          <a:off x="7235825" y="3286617125"/>
          <a:ext cx="878840" cy="1183640"/>
        </a:xfrm>
        <a:prstGeom prst="rect">
          <a:avLst/>
        </a:prstGeom>
      </xdr:spPr>
    </xdr:pic>
    <xdr:clientData/>
  </xdr:twoCellAnchor>
  <xdr:twoCellAnchor>
    <xdr:from>
      <xdr:col>9</xdr:col>
      <xdr:colOff>6350</xdr:colOff>
      <xdr:row>3348</xdr:row>
      <xdr:rowOff>25400</xdr:rowOff>
    </xdr:from>
    <xdr:to>
      <xdr:col>9</xdr:col>
      <xdr:colOff>885190</xdr:colOff>
      <xdr:row>3348</xdr:row>
      <xdr:rowOff>1209040</xdr:rowOff>
    </xdr:to>
    <xdr:pic>
      <xdr:nvPicPr>
        <xdr:cNvPr id="7800" name="Изображение 7799" descr="resizeПП-00210566"/>
        <xdr:cNvPicPr>
          <a:picLocks noChangeAspect="1"/>
        </xdr:cNvPicPr>
      </xdr:nvPicPr>
      <xdr:blipFill>
        <a:blip xmlns:r="http://schemas.openxmlformats.org/officeDocument/2006/relationships" r:embed="rId2513"/>
        <a:stretch>
          <a:fillRect/>
        </a:stretch>
      </xdr:blipFill>
      <xdr:spPr>
        <a:xfrm>
          <a:off x="7235825" y="3287839500"/>
          <a:ext cx="878840" cy="1183640"/>
        </a:xfrm>
        <a:prstGeom prst="rect">
          <a:avLst/>
        </a:prstGeom>
      </xdr:spPr>
    </xdr:pic>
    <xdr:clientData/>
  </xdr:twoCellAnchor>
  <xdr:twoCellAnchor>
    <xdr:from>
      <xdr:col>9</xdr:col>
      <xdr:colOff>6350</xdr:colOff>
      <xdr:row>3349</xdr:row>
      <xdr:rowOff>25400</xdr:rowOff>
    </xdr:from>
    <xdr:to>
      <xdr:col>9</xdr:col>
      <xdr:colOff>885190</xdr:colOff>
      <xdr:row>3349</xdr:row>
      <xdr:rowOff>1209040</xdr:rowOff>
    </xdr:to>
    <xdr:pic>
      <xdr:nvPicPr>
        <xdr:cNvPr id="7801" name="Изображение 7800" descr="resizeПП-00266918"/>
        <xdr:cNvPicPr>
          <a:picLocks noChangeAspect="1"/>
        </xdr:cNvPicPr>
      </xdr:nvPicPr>
      <xdr:blipFill>
        <a:blip xmlns:r="http://schemas.openxmlformats.org/officeDocument/2006/relationships" r:embed="rId2514"/>
        <a:stretch>
          <a:fillRect/>
        </a:stretch>
      </xdr:blipFill>
      <xdr:spPr>
        <a:xfrm>
          <a:off x="7235825" y="3289061875"/>
          <a:ext cx="878840" cy="1183640"/>
        </a:xfrm>
        <a:prstGeom prst="rect">
          <a:avLst/>
        </a:prstGeom>
      </xdr:spPr>
    </xdr:pic>
    <xdr:clientData/>
  </xdr:twoCellAnchor>
  <xdr:twoCellAnchor>
    <xdr:from>
      <xdr:col>9</xdr:col>
      <xdr:colOff>6350</xdr:colOff>
      <xdr:row>3350</xdr:row>
      <xdr:rowOff>25400</xdr:rowOff>
    </xdr:from>
    <xdr:to>
      <xdr:col>9</xdr:col>
      <xdr:colOff>885190</xdr:colOff>
      <xdr:row>3350</xdr:row>
      <xdr:rowOff>1209040</xdr:rowOff>
    </xdr:to>
    <xdr:pic>
      <xdr:nvPicPr>
        <xdr:cNvPr id="7802" name="Изображение 7801" descr="resizeПП-00266916"/>
        <xdr:cNvPicPr>
          <a:picLocks noChangeAspect="1"/>
        </xdr:cNvPicPr>
      </xdr:nvPicPr>
      <xdr:blipFill>
        <a:blip xmlns:r="http://schemas.openxmlformats.org/officeDocument/2006/relationships" r:embed="rId2515"/>
        <a:stretch>
          <a:fillRect/>
        </a:stretch>
      </xdr:blipFill>
      <xdr:spPr>
        <a:xfrm>
          <a:off x="7235825" y="3290284250"/>
          <a:ext cx="878840" cy="1183640"/>
        </a:xfrm>
        <a:prstGeom prst="rect">
          <a:avLst/>
        </a:prstGeom>
      </xdr:spPr>
    </xdr:pic>
    <xdr:clientData/>
  </xdr:twoCellAnchor>
  <xdr:twoCellAnchor>
    <xdr:from>
      <xdr:col>9</xdr:col>
      <xdr:colOff>6350</xdr:colOff>
      <xdr:row>3351</xdr:row>
      <xdr:rowOff>25400</xdr:rowOff>
    </xdr:from>
    <xdr:to>
      <xdr:col>9</xdr:col>
      <xdr:colOff>885190</xdr:colOff>
      <xdr:row>3351</xdr:row>
      <xdr:rowOff>1209040</xdr:rowOff>
    </xdr:to>
    <xdr:pic>
      <xdr:nvPicPr>
        <xdr:cNvPr id="7803" name="Изображение 7802" descr="resizeПП-00266917"/>
        <xdr:cNvPicPr>
          <a:picLocks noChangeAspect="1"/>
        </xdr:cNvPicPr>
      </xdr:nvPicPr>
      <xdr:blipFill>
        <a:blip xmlns:r="http://schemas.openxmlformats.org/officeDocument/2006/relationships" r:embed="rId2516"/>
        <a:stretch>
          <a:fillRect/>
        </a:stretch>
      </xdr:blipFill>
      <xdr:spPr>
        <a:xfrm>
          <a:off x="7235825" y="3291506625"/>
          <a:ext cx="878840" cy="1183640"/>
        </a:xfrm>
        <a:prstGeom prst="rect">
          <a:avLst/>
        </a:prstGeom>
      </xdr:spPr>
    </xdr:pic>
    <xdr:clientData/>
  </xdr:twoCellAnchor>
  <xdr:twoCellAnchor>
    <xdr:from>
      <xdr:col>9</xdr:col>
      <xdr:colOff>6350</xdr:colOff>
      <xdr:row>3353</xdr:row>
      <xdr:rowOff>25400</xdr:rowOff>
    </xdr:from>
    <xdr:to>
      <xdr:col>9</xdr:col>
      <xdr:colOff>885190</xdr:colOff>
      <xdr:row>3353</xdr:row>
      <xdr:rowOff>1209040</xdr:rowOff>
    </xdr:to>
    <xdr:pic>
      <xdr:nvPicPr>
        <xdr:cNvPr id="7804" name="Изображение 7803" descr="resizeПП-00249418"/>
        <xdr:cNvPicPr>
          <a:picLocks noChangeAspect="1"/>
        </xdr:cNvPicPr>
      </xdr:nvPicPr>
      <xdr:blipFill>
        <a:blip xmlns:r="http://schemas.openxmlformats.org/officeDocument/2006/relationships" r:embed="rId2517"/>
        <a:stretch>
          <a:fillRect/>
        </a:stretch>
      </xdr:blipFill>
      <xdr:spPr>
        <a:xfrm>
          <a:off x="7235825" y="3292881400"/>
          <a:ext cx="878840" cy="1183640"/>
        </a:xfrm>
        <a:prstGeom prst="rect">
          <a:avLst/>
        </a:prstGeom>
      </xdr:spPr>
    </xdr:pic>
    <xdr:clientData/>
  </xdr:twoCellAnchor>
  <xdr:twoCellAnchor>
    <xdr:from>
      <xdr:col>9</xdr:col>
      <xdr:colOff>6350</xdr:colOff>
      <xdr:row>3354</xdr:row>
      <xdr:rowOff>25400</xdr:rowOff>
    </xdr:from>
    <xdr:to>
      <xdr:col>9</xdr:col>
      <xdr:colOff>885190</xdr:colOff>
      <xdr:row>3354</xdr:row>
      <xdr:rowOff>1209040</xdr:rowOff>
    </xdr:to>
    <xdr:pic>
      <xdr:nvPicPr>
        <xdr:cNvPr id="7805" name="Изображение 7804" descr="resizeПП-00249417"/>
        <xdr:cNvPicPr>
          <a:picLocks noChangeAspect="1"/>
        </xdr:cNvPicPr>
      </xdr:nvPicPr>
      <xdr:blipFill>
        <a:blip xmlns:r="http://schemas.openxmlformats.org/officeDocument/2006/relationships" r:embed="rId2518"/>
        <a:stretch>
          <a:fillRect/>
        </a:stretch>
      </xdr:blipFill>
      <xdr:spPr>
        <a:xfrm>
          <a:off x="7235825" y="3294103775"/>
          <a:ext cx="878840" cy="1183640"/>
        </a:xfrm>
        <a:prstGeom prst="rect">
          <a:avLst/>
        </a:prstGeom>
      </xdr:spPr>
    </xdr:pic>
    <xdr:clientData/>
  </xdr:twoCellAnchor>
  <xdr:twoCellAnchor>
    <xdr:from>
      <xdr:col>9</xdr:col>
      <xdr:colOff>6350</xdr:colOff>
      <xdr:row>3355</xdr:row>
      <xdr:rowOff>25400</xdr:rowOff>
    </xdr:from>
    <xdr:to>
      <xdr:col>9</xdr:col>
      <xdr:colOff>885190</xdr:colOff>
      <xdr:row>3355</xdr:row>
      <xdr:rowOff>1209040</xdr:rowOff>
    </xdr:to>
    <xdr:pic>
      <xdr:nvPicPr>
        <xdr:cNvPr id="7806" name="Изображение 7805" descr="resizeПП-00247630"/>
        <xdr:cNvPicPr>
          <a:picLocks noChangeAspect="1"/>
        </xdr:cNvPicPr>
      </xdr:nvPicPr>
      <xdr:blipFill>
        <a:blip xmlns:r="http://schemas.openxmlformats.org/officeDocument/2006/relationships" r:embed="rId2519"/>
        <a:stretch>
          <a:fillRect/>
        </a:stretch>
      </xdr:blipFill>
      <xdr:spPr>
        <a:xfrm>
          <a:off x="7235825" y="3295326150"/>
          <a:ext cx="878840" cy="1183640"/>
        </a:xfrm>
        <a:prstGeom prst="rect">
          <a:avLst/>
        </a:prstGeom>
      </xdr:spPr>
    </xdr:pic>
    <xdr:clientData/>
  </xdr:twoCellAnchor>
  <xdr:twoCellAnchor>
    <xdr:from>
      <xdr:col>9</xdr:col>
      <xdr:colOff>6350</xdr:colOff>
      <xdr:row>3356</xdr:row>
      <xdr:rowOff>25400</xdr:rowOff>
    </xdr:from>
    <xdr:to>
      <xdr:col>9</xdr:col>
      <xdr:colOff>885190</xdr:colOff>
      <xdr:row>3356</xdr:row>
      <xdr:rowOff>1209040</xdr:rowOff>
    </xdr:to>
    <xdr:pic>
      <xdr:nvPicPr>
        <xdr:cNvPr id="7807" name="Изображение 7806" descr="resizeПП-00247631"/>
        <xdr:cNvPicPr>
          <a:picLocks noChangeAspect="1"/>
        </xdr:cNvPicPr>
      </xdr:nvPicPr>
      <xdr:blipFill>
        <a:blip xmlns:r="http://schemas.openxmlformats.org/officeDocument/2006/relationships" r:embed="rId2520"/>
        <a:stretch>
          <a:fillRect/>
        </a:stretch>
      </xdr:blipFill>
      <xdr:spPr>
        <a:xfrm>
          <a:off x="7235825" y="3296548525"/>
          <a:ext cx="878840" cy="1183640"/>
        </a:xfrm>
        <a:prstGeom prst="rect">
          <a:avLst/>
        </a:prstGeom>
      </xdr:spPr>
    </xdr:pic>
    <xdr:clientData/>
  </xdr:twoCellAnchor>
  <xdr:twoCellAnchor>
    <xdr:from>
      <xdr:col>9</xdr:col>
      <xdr:colOff>6350</xdr:colOff>
      <xdr:row>3357</xdr:row>
      <xdr:rowOff>25400</xdr:rowOff>
    </xdr:from>
    <xdr:to>
      <xdr:col>9</xdr:col>
      <xdr:colOff>885190</xdr:colOff>
      <xdr:row>3357</xdr:row>
      <xdr:rowOff>1209040</xdr:rowOff>
    </xdr:to>
    <xdr:pic>
      <xdr:nvPicPr>
        <xdr:cNvPr id="7808" name="Изображение 7807" descr="resizeПП-00210121"/>
        <xdr:cNvPicPr>
          <a:picLocks noChangeAspect="1"/>
        </xdr:cNvPicPr>
      </xdr:nvPicPr>
      <xdr:blipFill>
        <a:blip xmlns:r="http://schemas.openxmlformats.org/officeDocument/2006/relationships" r:embed="rId2521"/>
        <a:stretch>
          <a:fillRect/>
        </a:stretch>
      </xdr:blipFill>
      <xdr:spPr>
        <a:xfrm>
          <a:off x="7235825" y="3297770900"/>
          <a:ext cx="878840" cy="1183640"/>
        </a:xfrm>
        <a:prstGeom prst="rect">
          <a:avLst/>
        </a:prstGeom>
      </xdr:spPr>
    </xdr:pic>
    <xdr:clientData/>
  </xdr:twoCellAnchor>
  <xdr:twoCellAnchor>
    <xdr:from>
      <xdr:col>9</xdr:col>
      <xdr:colOff>6350</xdr:colOff>
      <xdr:row>3358</xdr:row>
      <xdr:rowOff>25400</xdr:rowOff>
    </xdr:from>
    <xdr:to>
      <xdr:col>9</xdr:col>
      <xdr:colOff>885190</xdr:colOff>
      <xdr:row>3358</xdr:row>
      <xdr:rowOff>1209040</xdr:rowOff>
    </xdr:to>
    <xdr:pic>
      <xdr:nvPicPr>
        <xdr:cNvPr id="7809" name="Изображение 7808" descr="resizeПП-00210126"/>
        <xdr:cNvPicPr>
          <a:picLocks noChangeAspect="1"/>
        </xdr:cNvPicPr>
      </xdr:nvPicPr>
      <xdr:blipFill>
        <a:blip xmlns:r="http://schemas.openxmlformats.org/officeDocument/2006/relationships" r:embed="rId2522"/>
        <a:stretch>
          <a:fillRect/>
        </a:stretch>
      </xdr:blipFill>
      <xdr:spPr>
        <a:xfrm>
          <a:off x="7235825" y="3298993275"/>
          <a:ext cx="878840" cy="1183640"/>
        </a:xfrm>
        <a:prstGeom prst="rect">
          <a:avLst/>
        </a:prstGeom>
      </xdr:spPr>
    </xdr:pic>
    <xdr:clientData/>
  </xdr:twoCellAnchor>
  <xdr:twoCellAnchor>
    <xdr:from>
      <xdr:col>9</xdr:col>
      <xdr:colOff>6350</xdr:colOff>
      <xdr:row>3359</xdr:row>
      <xdr:rowOff>25400</xdr:rowOff>
    </xdr:from>
    <xdr:to>
      <xdr:col>9</xdr:col>
      <xdr:colOff>885190</xdr:colOff>
      <xdr:row>3359</xdr:row>
      <xdr:rowOff>1209040</xdr:rowOff>
    </xdr:to>
    <xdr:pic>
      <xdr:nvPicPr>
        <xdr:cNvPr id="7810" name="Изображение 7809" descr="resizeПП-00210125"/>
        <xdr:cNvPicPr>
          <a:picLocks noChangeAspect="1"/>
        </xdr:cNvPicPr>
      </xdr:nvPicPr>
      <xdr:blipFill>
        <a:blip xmlns:r="http://schemas.openxmlformats.org/officeDocument/2006/relationships" r:embed="rId2523"/>
        <a:stretch>
          <a:fillRect/>
        </a:stretch>
      </xdr:blipFill>
      <xdr:spPr>
        <a:xfrm>
          <a:off x="7235825" y="3300215650"/>
          <a:ext cx="878840" cy="1183640"/>
        </a:xfrm>
        <a:prstGeom prst="rect">
          <a:avLst/>
        </a:prstGeom>
      </xdr:spPr>
    </xdr:pic>
    <xdr:clientData/>
  </xdr:twoCellAnchor>
  <xdr:twoCellAnchor>
    <xdr:from>
      <xdr:col>9</xdr:col>
      <xdr:colOff>6350</xdr:colOff>
      <xdr:row>3360</xdr:row>
      <xdr:rowOff>25400</xdr:rowOff>
    </xdr:from>
    <xdr:to>
      <xdr:col>9</xdr:col>
      <xdr:colOff>885190</xdr:colOff>
      <xdr:row>3360</xdr:row>
      <xdr:rowOff>1209040</xdr:rowOff>
    </xdr:to>
    <xdr:pic>
      <xdr:nvPicPr>
        <xdr:cNvPr id="7811" name="Изображение 7810" descr="resizeПП-00210123"/>
        <xdr:cNvPicPr>
          <a:picLocks noChangeAspect="1"/>
        </xdr:cNvPicPr>
      </xdr:nvPicPr>
      <xdr:blipFill>
        <a:blip xmlns:r="http://schemas.openxmlformats.org/officeDocument/2006/relationships" r:embed="rId2524"/>
        <a:stretch>
          <a:fillRect/>
        </a:stretch>
      </xdr:blipFill>
      <xdr:spPr>
        <a:xfrm>
          <a:off x="7235825" y="3301438025"/>
          <a:ext cx="878840" cy="1183640"/>
        </a:xfrm>
        <a:prstGeom prst="rect">
          <a:avLst/>
        </a:prstGeom>
      </xdr:spPr>
    </xdr:pic>
    <xdr:clientData/>
  </xdr:twoCellAnchor>
  <xdr:twoCellAnchor>
    <xdr:from>
      <xdr:col>9</xdr:col>
      <xdr:colOff>6350</xdr:colOff>
      <xdr:row>3362</xdr:row>
      <xdr:rowOff>25400</xdr:rowOff>
    </xdr:from>
    <xdr:to>
      <xdr:col>9</xdr:col>
      <xdr:colOff>885190</xdr:colOff>
      <xdr:row>3362</xdr:row>
      <xdr:rowOff>1209040</xdr:rowOff>
    </xdr:to>
    <xdr:pic>
      <xdr:nvPicPr>
        <xdr:cNvPr id="7812" name="Изображение 7811" descr="resizeПП-00207421"/>
        <xdr:cNvPicPr>
          <a:picLocks noChangeAspect="1"/>
        </xdr:cNvPicPr>
      </xdr:nvPicPr>
      <xdr:blipFill>
        <a:blip xmlns:r="http://schemas.openxmlformats.org/officeDocument/2006/relationships" r:embed="rId2525"/>
        <a:stretch>
          <a:fillRect/>
        </a:stretch>
      </xdr:blipFill>
      <xdr:spPr>
        <a:xfrm>
          <a:off x="7235825" y="3302812800"/>
          <a:ext cx="878840" cy="1183640"/>
        </a:xfrm>
        <a:prstGeom prst="rect">
          <a:avLst/>
        </a:prstGeom>
      </xdr:spPr>
    </xdr:pic>
    <xdr:clientData/>
  </xdr:twoCellAnchor>
  <xdr:twoCellAnchor>
    <xdr:from>
      <xdr:col>9</xdr:col>
      <xdr:colOff>6350</xdr:colOff>
      <xdr:row>3363</xdr:row>
      <xdr:rowOff>25400</xdr:rowOff>
    </xdr:from>
    <xdr:to>
      <xdr:col>9</xdr:col>
      <xdr:colOff>885190</xdr:colOff>
      <xdr:row>3363</xdr:row>
      <xdr:rowOff>1209040</xdr:rowOff>
    </xdr:to>
    <xdr:pic>
      <xdr:nvPicPr>
        <xdr:cNvPr id="7813" name="Изображение 7812" descr="resizeПП-00207432"/>
        <xdr:cNvPicPr>
          <a:picLocks noChangeAspect="1"/>
        </xdr:cNvPicPr>
      </xdr:nvPicPr>
      <xdr:blipFill>
        <a:blip xmlns:r="http://schemas.openxmlformats.org/officeDocument/2006/relationships" r:embed="rId2526"/>
        <a:stretch>
          <a:fillRect/>
        </a:stretch>
      </xdr:blipFill>
      <xdr:spPr>
        <a:xfrm>
          <a:off x="7235825" y="3304035175"/>
          <a:ext cx="878840" cy="1183640"/>
        </a:xfrm>
        <a:prstGeom prst="rect">
          <a:avLst/>
        </a:prstGeom>
      </xdr:spPr>
    </xdr:pic>
    <xdr:clientData/>
  </xdr:twoCellAnchor>
  <xdr:twoCellAnchor>
    <xdr:from>
      <xdr:col>9</xdr:col>
      <xdr:colOff>6350</xdr:colOff>
      <xdr:row>3364</xdr:row>
      <xdr:rowOff>25400</xdr:rowOff>
    </xdr:from>
    <xdr:to>
      <xdr:col>9</xdr:col>
      <xdr:colOff>885190</xdr:colOff>
      <xdr:row>3364</xdr:row>
      <xdr:rowOff>1209040</xdr:rowOff>
    </xdr:to>
    <xdr:pic>
      <xdr:nvPicPr>
        <xdr:cNvPr id="7814" name="Изображение 7813" descr="resizeПП-00207439"/>
        <xdr:cNvPicPr>
          <a:picLocks noChangeAspect="1"/>
        </xdr:cNvPicPr>
      </xdr:nvPicPr>
      <xdr:blipFill>
        <a:blip xmlns:r="http://schemas.openxmlformats.org/officeDocument/2006/relationships" r:embed="rId2527"/>
        <a:stretch>
          <a:fillRect/>
        </a:stretch>
      </xdr:blipFill>
      <xdr:spPr>
        <a:xfrm>
          <a:off x="7235825" y="3305257550"/>
          <a:ext cx="878840" cy="1183640"/>
        </a:xfrm>
        <a:prstGeom prst="rect">
          <a:avLst/>
        </a:prstGeom>
      </xdr:spPr>
    </xdr:pic>
    <xdr:clientData/>
  </xdr:twoCellAnchor>
  <xdr:twoCellAnchor>
    <xdr:from>
      <xdr:col>9</xdr:col>
      <xdr:colOff>6350</xdr:colOff>
      <xdr:row>3365</xdr:row>
      <xdr:rowOff>25400</xdr:rowOff>
    </xdr:from>
    <xdr:to>
      <xdr:col>9</xdr:col>
      <xdr:colOff>885190</xdr:colOff>
      <xdr:row>3365</xdr:row>
      <xdr:rowOff>1209040</xdr:rowOff>
    </xdr:to>
    <xdr:pic>
      <xdr:nvPicPr>
        <xdr:cNvPr id="7815" name="Изображение 7814" descr="resizeПП-00207444"/>
        <xdr:cNvPicPr>
          <a:picLocks noChangeAspect="1"/>
        </xdr:cNvPicPr>
      </xdr:nvPicPr>
      <xdr:blipFill>
        <a:blip xmlns:r="http://schemas.openxmlformats.org/officeDocument/2006/relationships" r:embed="rId2528"/>
        <a:stretch>
          <a:fillRect/>
        </a:stretch>
      </xdr:blipFill>
      <xdr:spPr>
        <a:xfrm>
          <a:off x="7235825" y="3306479925"/>
          <a:ext cx="878840" cy="1183640"/>
        </a:xfrm>
        <a:prstGeom prst="rect">
          <a:avLst/>
        </a:prstGeom>
      </xdr:spPr>
    </xdr:pic>
    <xdr:clientData/>
  </xdr:twoCellAnchor>
  <xdr:twoCellAnchor>
    <xdr:from>
      <xdr:col>9</xdr:col>
      <xdr:colOff>6350</xdr:colOff>
      <xdr:row>3366</xdr:row>
      <xdr:rowOff>25400</xdr:rowOff>
    </xdr:from>
    <xdr:to>
      <xdr:col>9</xdr:col>
      <xdr:colOff>885190</xdr:colOff>
      <xdr:row>3366</xdr:row>
      <xdr:rowOff>1209040</xdr:rowOff>
    </xdr:to>
    <xdr:pic>
      <xdr:nvPicPr>
        <xdr:cNvPr id="7816" name="Изображение 7815" descr="resizeПП-00207440"/>
        <xdr:cNvPicPr>
          <a:picLocks noChangeAspect="1"/>
        </xdr:cNvPicPr>
      </xdr:nvPicPr>
      <xdr:blipFill>
        <a:blip xmlns:r="http://schemas.openxmlformats.org/officeDocument/2006/relationships" r:embed="rId2529"/>
        <a:stretch>
          <a:fillRect/>
        </a:stretch>
      </xdr:blipFill>
      <xdr:spPr>
        <a:xfrm>
          <a:off x="7235825" y="3307702300"/>
          <a:ext cx="878840" cy="1183640"/>
        </a:xfrm>
        <a:prstGeom prst="rect">
          <a:avLst/>
        </a:prstGeom>
      </xdr:spPr>
    </xdr:pic>
    <xdr:clientData/>
  </xdr:twoCellAnchor>
  <xdr:twoCellAnchor>
    <xdr:from>
      <xdr:col>9</xdr:col>
      <xdr:colOff>6350</xdr:colOff>
      <xdr:row>3367</xdr:row>
      <xdr:rowOff>25400</xdr:rowOff>
    </xdr:from>
    <xdr:to>
      <xdr:col>9</xdr:col>
      <xdr:colOff>885190</xdr:colOff>
      <xdr:row>3367</xdr:row>
      <xdr:rowOff>1209040</xdr:rowOff>
    </xdr:to>
    <xdr:pic>
      <xdr:nvPicPr>
        <xdr:cNvPr id="7817" name="Изображение 7816" descr="resizeПП-00207445"/>
        <xdr:cNvPicPr>
          <a:picLocks noChangeAspect="1"/>
        </xdr:cNvPicPr>
      </xdr:nvPicPr>
      <xdr:blipFill>
        <a:blip xmlns:r="http://schemas.openxmlformats.org/officeDocument/2006/relationships" r:embed="rId2530"/>
        <a:stretch>
          <a:fillRect/>
        </a:stretch>
      </xdr:blipFill>
      <xdr:spPr>
        <a:xfrm>
          <a:off x="7235825" y="3308924675"/>
          <a:ext cx="878840" cy="1183640"/>
        </a:xfrm>
        <a:prstGeom prst="rect">
          <a:avLst/>
        </a:prstGeom>
      </xdr:spPr>
    </xdr:pic>
    <xdr:clientData/>
  </xdr:twoCellAnchor>
  <xdr:twoCellAnchor>
    <xdr:from>
      <xdr:col>9</xdr:col>
      <xdr:colOff>6350</xdr:colOff>
      <xdr:row>3368</xdr:row>
      <xdr:rowOff>25400</xdr:rowOff>
    </xdr:from>
    <xdr:to>
      <xdr:col>9</xdr:col>
      <xdr:colOff>885190</xdr:colOff>
      <xdr:row>3368</xdr:row>
      <xdr:rowOff>1209040</xdr:rowOff>
    </xdr:to>
    <xdr:pic>
      <xdr:nvPicPr>
        <xdr:cNvPr id="7818" name="Изображение 7817" descr="resizeПП-00207419"/>
        <xdr:cNvPicPr>
          <a:picLocks noChangeAspect="1"/>
        </xdr:cNvPicPr>
      </xdr:nvPicPr>
      <xdr:blipFill>
        <a:blip xmlns:r="http://schemas.openxmlformats.org/officeDocument/2006/relationships" r:embed="rId2531"/>
        <a:stretch>
          <a:fillRect/>
        </a:stretch>
      </xdr:blipFill>
      <xdr:spPr>
        <a:xfrm>
          <a:off x="7235825" y="3310147050"/>
          <a:ext cx="878840" cy="1183640"/>
        </a:xfrm>
        <a:prstGeom prst="rect">
          <a:avLst/>
        </a:prstGeom>
      </xdr:spPr>
    </xdr:pic>
    <xdr:clientData/>
  </xdr:twoCellAnchor>
  <xdr:twoCellAnchor>
    <xdr:from>
      <xdr:col>9</xdr:col>
      <xdr:colOff>6350</xdr:colOff>
      <xdr:row>3369</xdr:row>
      <xdr:rowOff>25400</xdr:rowOff>
    </xdr:from>
    <xdr:to>
      <xdr:col>9</xdr:col>
      <xdr:colOff>885190</xdr:colOff>
      <xdr:row>3369</xdr:row>
      <xdr:rowOff>1209040</xdr:rowOff>
    </xdr:to>
    <xdr:pic>
      <xdr:nvPicPr>
        <xdr:cNvPr id="7819" name="Изображение 7818" descr="resizeПП-00207417"/>
        <xdr:cNvPicPr>
          <a:picLocks noChangeAspect="1"/>
        </xdr:cNvPicPr>
      </xdr:nvPicPr>
      <xdr:blipFill>
        <a:blip xmlns:r="http://schemas.openxmlformats.org/officeDocument/2006/relationships" r:embed="rId2532"/>
        <a:stretch>
          <a:fillRect/>
        </a:stretch>
      </xdr:blipFill>
      <xdr:spPr>
        <a:xfrm>
          <a:off x="7235825" y="3311369425"/>
          <a:ext cx="878840" cy="1183640"/>
        </a:xfrm>
        <a:prstGeom prst="rect">
          <a:avLst/>
        </a:prstGeom>
      </xdr:spPr>
    </xdr:pic>
    <xdr:clientData/>
  </xdr:twoCellAnchor>
  <xdr:twoCellAnchor>
    <xdr:from>
      <xdr:col>9</xdr:col>
      <xdr:colOff>6350</xdr:colOff>
      <xdr:row>3370</xdr:row>
      <xdr:rowOff>25400</xdr:rowOff>
    </xdr:from>
    <xdr:to>
      <xdr:col>9</xdr:col>
      <xdr:colOff>885190</xdr:colOff>
      <xdr:row>3370</xdr:row>
      <xdr:rowOff>1209040</xdr:rowOff>
    </xdr:to>
    <xdr:pic>
      <xdr:nvPicPr>
        <xdr:cNvPr id="7820" name="Изображение 7819" descr="resizeПП-00207420"/>
        <xdr:cNvPicPr>
          <a:picLocks noChangeAspect="1"/>
        </xdr:cNvPicPr>
      </xdr:nvPicPr>
      <xdr:blipFill>
        <a:blip xmlns:r="http://schemas.openxmlformats.org/officeDocument/2006/relationships" r:embed="rId2533"/>
        <a:stretch>
          <a:fillRect/>
        </a:stretch>
      </xdr:blipFill>
      <xdr:spPr>
        <a:xfrm>
          <a:off x="7235825" y="3312591800"/>
          <a:ext cx="878840" cy="1183640"/>
        </a:xfrm>
        <a:prstGeom prst="rect">
          <a:avLst/>
        </a:prstGeom>
      </xdr:spPr>
    </xdr:pic>
    <xdr:clientData/>
  </xdr:twoCellAnchor>
  <xdr:twoCellAnchor>
    <xdr:from>
      <xdr:col>9</xdr:col>
      <xdr:colOff>6350</xdr:colOff>
      <xdr:row>3371</xdr:row>
      <xdr:rowOff>25400</xdr:rowOff>
    </xdr:from>
    <xdr:to>
      <xdr:col>9</xdr:col>
      <xdr:colOff>885190</xdr:colOff>
      <xdr:row>3371</xdr:row>
      <xdr:rowOff>1209040</xdr:rowOff>
    </xdr:to>
    <xdr:pic>
      <xdr:nvPicPr>
        <xdr:cNvPr id="7821" name="Изображение 7820" descr="resizeПП-00211372"/>
        <xdr:cNvPicPr>
          <a:picLocks noChangeAspect="1"/>
        </xdr:cNvPicPr>
      </xdr:nvPicPr>
      <xdr:blipFill>
        <a:blip xmlns:r="http://schemas.openxmlformats.org/officeDocument/2006/relationships" r:embed="rId2534"/>
        <a:stretch>
          <a:fillRect/>
        </a:stretch>
      </xdr:blipFill>
      <xdr:spPr>
        <a:xfrm>
          <a:off x="7235825" y="3313814175"/>
          <a:ext cx="878840" cy="1183640"/>
        </a:xfrm>
        <a:prstGeom prst="rect">
          <a:avLst/>
        </a:prstGeom>
      </xdr:spPr>
    </xdr:pic>
    <xdr:clientData/>
  </xdr:twoCellAnchor>
  <xdr:twoCellAnchor>
    <xdr:from>
      <xdr:col>9</xdr:col>
      <xdr:colOff>6350</xdr:colOff>
      <xdr:row>3372</xdr:row>
      <xdr:rowOff>25400</xdr:rowOff>
    </xdr:from>
    <xdr:to>
      <xdr:col>9</xdr:col>
      <xdr:colOff>885190</xdr:colOff>
      <xdr:row>3372</xdr:row>
      <xdr:rowOff>1209040</xdr:rowOff>
    </xdr:to>
    <xdr:pic>
      <xdr:nvPicPr>
        <xdr:cNvPr id="7822" name="Изображение 7821" descr="resizeПП-00211364"/>
        <xdr:cNvPicPr>
          <a:picLocks noChangeAspect="1"/>
        </xdr:cNvPicPr>
      </xdr:nvPicPr>
      <xdr:blipFill>
        <a:blip xmlns:r="http://schemas.openxmlformats.org/officeDocument/2006/relationships" r:embed="rId2535"/>
        <a:stretch>
          <a:fillRect/>
        </a:stretch>
      </xdr:blipFill>
      <xdr:spPr>
        <a:xfrm>
          <a:off x="7235825" y="3315036550"/>
          <a:ext cx="878840" cy="1183640"/>
        </a:xfrm>
        <a:prstGeom prst="rect">
          <a:avLst/>
        </a:prstGeom>
      </xdr:spPr>
    </xdr:pic>
    <xdr:clientData/>
  </xdr:twoCellAnchor>
  <xdr:twoCellAnchor>
    <xdr:from>
      <xdr:col>9</xdr:col>
      <xdr:colOff>6350</xdr:colOff>
      <xdr:row>3376</xdr:row>
      <xdr:rowOff>25400</xdr:rowOff>
    </xdr:from>
    <xdr:to>
      <xdr:col>9</xdr:col>
      <xdr:colOff>885190</xdr:colOff>
      <xdr:row>3376</xdr:row>
      <xdr:rowOff>1209040</xdr:rowOff>
    </xdr:to>
    <xdr:pic>
      <xdr:nvPicPr>
        <xdr:cNvPr id="7823" name="Изображение 7822" descr="resizeПП-00266874"/>
        <xdr:cNvPicPr>
          <a:picLocks noChangeAspect="1"/>
        </xdr:cNvPicPr>
      </xdr:nvPicPr>
      <xdr:blipFill>
        <a:blip xmlns:r="http://schemas.openxmlformats.org/officeDocument/2006/relationships" r:embed="rId2536"/>
        <a:stretch>
          <a:fillRect/>
        </a:stretch>
      </xdr:blipFill>
      <xdr:spPr>
        <a:xfrm>
          <a:off x="7235825" y="3316716125"/>
          <a:ext cx="878840" cy="1183640"/>
        </a:xfrm>
        <a:prstGeom prst="rect">
          <a:avLst/>
        </a:prstGeom>
      </xdr:spPr>
    </xdr:pic>
    <xdr:clientData/>
  </xdr:twoCellAnchor>
  <xdr:twoCellAnchor>
    <xdr:from>
      <xdr:col>9</xdr:col>
      <xdr:colOff>6350</xdr:colOff>
      <xdr:row>3377</xdr:row>
      <xdr:rowOff>25400</xdr:rowOff>
    </xdr:from>
    <xdr:to>
      <xdr:col>9</xdr:col>
      <xdr:colOff>885190</xdr:colOff>
      <xdr:row>3377</xdr:row>
      <xdr:rowOff>1209040</xdr:rowOff>
    </xdr:to>
    <xdr:pic>
      <xdr:nvPicPr>
        <xdr:cNvPr id="7824" name="Изображение 7823" descr="resizeПП-00234459"/>
        <xdr:cNvPicPr>
          <a:picLocks noChangeAspect="1"/>
        </xdr:cNvPicPr>
      </xdr:nvPicPr>
      <xdr:blipFill>
        <a:blip xmlns:r="http://schemas.openxmlformats.org/officeDocument/2006/relationships" r:embed="rId2537"/>
        <a:stretch>
          <a:fillRect/>
        </a:stretch>
      </xdr:blipFill>
      <xdr:spPr>
        <a:xfrm>
          <a:off x="7235825" y="3317938500"/>
          <a:ext cx="878840" cy="1183640"/>
        </a:xfrm>
        <a:prstGeom prst="rect">
          <a:avLst/>
        </a:prstGeom>
      </xdr:spPr>
    </xdr:pic>
    <xdr:clientData/>
  </xdr:twoCellAnchor>
  <xdr:twoCellAnchor>
    <xdr:from>
      <xdr:col>9</xdr:col>
      <xdr:colOff>6350</xdr:colOff>
      <xdr:row>3379</xdr:row>
      <xdr:rowOff>25400</xdr:rowOff>
    </xdr:from>
    <xdr:to>
      <xdr:col>9</xdr:col>
      <xdr:colOff>885190</xdr:colOff>
      <xdr:row>3379</xdr:row>
      <xdr:rowOff>1209040</xdr:rowOff>
    </xdr:to>
    <xdr:pic>
      <xdr:nvPicPr>
        <xdr:cNvPr id="7825" name="Изображение 7824" descr="resizeПП-00266875"/>
        <xdr:cNvPicPr>
          <a:picLocks noChangeAspect="1"/>
        </xdr:cNvPicPr>
      </xdr:nvPicPr>
      <xdr:blipFill>
        <a:blip xmlns:r="http://schemas.openxmlformats.org/officeDocument/2006/relationships" r:embed="rId2538"/>
        <a:stretch>
          <a:fillRect/>
        </a:stretch>
      </xdr:blipFill>
      <xdr:spPr>
        <a:xfrm>
          <a:off x="7235825" y="3319313275"/>
          <a:ext cx="878840" cy="1183640"/>
        </a:xfrm>
        <a:prstGeom prst="rect">
          <a:avLst/>
        </a:prstGeom>
      </xdr:spPr>
    </xdr:pic>
    <xdr:clientData/>
  </xdr:twoCellAnchor>
  <xdr:twoCellAnchor>
    <xdr:from>
      <xdr:col>9</xdr:col>
      <xdr:colOff>6350</xdr:colOff>
      <xdr:row>3380</xdr:row>
      <xdr:rowOff>25400</xdr:rowOff>
    </xdr:from>
    <xdr:to>
      <xdr:col>9</xdr:col>
      <xdr:colOff>885190</xdr:colOff>
      <xdr:row>3380</xdr:row>
      <xdr:rowOff>1209040</xdr:rowOff>
    </xdr:to>
    <xdr:pic>
      <xdr:nvPicPr>
        <xdr:cNvPr id="7826" name="Изображение 7825" descr="resizeПП-00234750"/>
        <xdr:cNvPicPr>
          <a:picLocks noChangeAspect="1"/>
        </xdr:cNvPicPr>
      </xdr:nvPicPr>
      <xdr:blipFill>
        <a:blip xmlns:r="http://schemas.openxmlformats.org/officeDocument/2006/relationships" r:embed="rId2539"/>
        <a:stretch>
          <a:fillRect/>
        </a:stretch>
      </xdr:blipFill>
      <xdr:spPr>
        <a:xfrm>
          <a:off x="7235825" y="3320535650"/>
          <a:ext cx="878840" cy="1183640"/>
        </a:xfrm>
        <a:prstGeom prst="rect">
          <a:avLst/>
        </a:prstGeom>
      </xdr:spPr>
    </xdr:pic>
    <xdr:clientData/>
  </xdr:twoCellAnchor>
  <xdr:twoCellAnchor>
    <xdr:from>
      <xdr:col>9</xdr:col>
      <xdr:colOff>6350</xdr:colOff>
      <xdr:row>3381</xdr:row>
      <xdr:rowOff>25400</xdr:rowOff>
    </xdr:from>
    <xdr:to>
      <xdr:col>9</xdr:col>
      <xdr:colOff>885190</xdr:colOff>
      <xdr:row>3381</xdr:row>
      <xdr:rowOff>1209040</xdr:rowOff>
    </xdr:to>
    <xdr:pic>
      <xdr:nvPicPr>
        <xdr:cNvPr id="7827" name="Изображение 7826" descr="resizeПП-00266883"/>
        <xdr:cNvPicPr>
          <a:picLocks noChangeAspect="1"/>
        </xdr:cNvPicPr>
      </xdr:nvPicPr>
      <xdr:blipFill>
        <a:blip xmlns:r="http://schemas.openxmlformats.org/officeDocument/2006/relationships" r:embed="rId2540"/>
        <a:stretch>
          <a:fillRect/>
        </a:stretch>
      </xdr:blipFill>
      <xdr:spPr>
        <a:xfrm>
          <a:off x="7235825" y="3321758025"/>
          <a:ext cx="878840" cy="1183640"/>
        </a:xfrm>
        <a:prstGeom prst="rect">
          <a:avLst/>
        </a:prstGeom>
      </xdr:spPr>
    </xdr:pic>
    <xdr:clientData/>
  </xdr:twoCellAnchor>
  <xdr:twoCellAnchor>
    <xdr:from>
      <xdr:col>9</xdr:col>
      <xdr:colOff>6350</xdr:colOff>
      <xdr:row>3382</xdr:row>
      <xdr:rowOff>25400</xdr:rowOff>
    </xdr:from>
    <xdr:to>
      <xdr:col>9</xdr:col>
      <xdr:colOff>885190</xdr:colOff>
      <xdr:row>3382</xdr:row>
      <xdr:rowOff>1209040</xdr:rowOff>
    </xdr:to>
    <xdr:pic>
      <xdr:nvPicPr>
        <xdr:cNvPr id="7828" name="Изображение 7827" descr="resizeПП-00234752"/>
        <xdr:cNvPicPr>
          <a:picLocks noChangeAspect="1"/>
        </xdr:cNvPicPr>
      </xdr:nvPicPr>
      <xdr:blipFill>
        <a:blip xmlns:r="http://schemas.openxmlformats.org/officeDocument/2006/relationships" r:embed="rId2541"/>
        <a:stretch>
          <a:fillRect/>
        </a:stretch>
      </xdr:blipFill>
      <xdr:spPr>
        <a:xfrm>
          <a:off x="7235825" y="3322980400"/>
          <a:ext cx="878840" cy="1183640"/>
        </a:xfrm>
        <a:prstGeom prst="rect">
          <a:avLst/>
        </a:prstGeom>
      </xdr:spPr>
    </xdr:pic>
    <xdr:clientData/>
  </xdr:twoCellAnchor>
  <xdr:twoCellAnchor>
    <xdr:from>
      <xdr:col>9</xdr:col>
      <xdr:colOff>6350</xdr:colOff>
      <xdr:row>3383</xdr:row>
      <xdr:rowOff>25400</xdr:rowOff>
    </xdr:from>
    <xdr:to>
      <xdr:col>9</xdr:col>
      <xdr:colOff>885190</xdr:colOff>
      <xdr:row>3383</xdr:row>
      <xdr:rowOff>1209040</xdr:rowOff>
    </xdr:to>
    <xdr:pic>
      <xdr:nvPicPr>
        <xdr:cNvPr id="7829" name="Изображение 7828" descr="resizeПП-00234751"/>
        <xdr:cNvPicPr>
          <a:picLocks noChangeAspect="1"/>
        </xdr:cNvPicPr>
      </xdr:nvPicPr>
      <xdr:blipFill>
        <a:blip xmlns:r="http://schemas.openxmlformats.org/officeDocument/2006/relationships" r:embed="rId2542"/>
        <a:stretch>
          <a:fillRect/>
        </a:stretch>
      </xdr:blipFill>
      <xdr:spPr>
        <a:xfrm>
          <a:off x="7235825" y="3324202775"/>
          <a:ext cx="878840" cy="1183640"/>
        </a:xfrm>
        <a:prstGeom prst="rect">
          <a:avLst/>
        </a:prstGeom>
      </xdr:spPr>
    </xdr:pic>
    <xdr:clientData/>
  </xdr:twoCellAnchor>
  <xdr:twoCellAnchor>
    <xdr:from>
      <xdr:col>9</xdr:col>
      <xdr:colOff>6350</xdr:colOff>
      <xdr:row>3384</xdr:row>
      <xdr:rowOff>25400</xdr:rowOff>
    </xdr:from>
    <xdr:to>
      <xdr:col>9</xdr:col>
      <xdr:colOff>885190</xdr:colOff>
      <xdr:row>3384</xdr:row>
      <xdr:rowOff>1209040</xdr:rowOff>
    </xdr:to>
    <xdr:pic>
      <xdr:nvPicPr>
        <xdr:cNvPr id="7830" name="Изображение 7829" descr="resizeПП-00266879"/>
        <xdr:cNvPicPr>
          <a:picLocks noChangeAspect="1"/>
        </xdr:cNvPicPr>
      </xdr:nvPicPr>
      <xdr:blipFill>
        <a:blip xmlns:r="http://schemas.openxmlformats.org/officeDocument/2006/relationships" r:embed="rId2543"/>
        <a:stretch>
          <a:fillRect/>
        </a:stretch>
      </xdr:blipFill>
      <xdr:spPr>
        <a:xfrm>
          <a:off x="7235825" y="3325425150"/>
          <a:ext cx="878840" cy="1183640"/>
        </a:xfrm>
        <a:prstGeom prst="rect">
          <a:avLst/>
        </a:prstGeom>
      </xdr:spPr>
    </xdr:pic>
    <xdr:clientData/>
  </xdr:twoCellAnchor>
  <xdr:twoCellAnchor>
    <xdr:from>
      <xdr:col>9</xdr:col>
      <xdr:colOff>6350</xdr:colOff>
      <xdr:row>3385</xdr:row>
      <xdr:rowOff>25400</xdr:rowOff>
    </xdr:from>
    <xdr:to>
      <xdr:col>9</xdr:col>
      <xdr:colOff>885190</xdr:colOff>
      <xdr:row>3385</xdr:row>
      <xdr:rowOff>1209040</xdr:rowOff>
    </xdr:to>
    <xdr:pic>
      <xdr:nvPicPr>
        <xdr:cNvPr id="7831" name="Изображение 7830" descr="resizeПП-00266878"/>
        <xdr:cNvPicPr>
          <a:picLocks noChangeAspect="1"/>
        </xdr:cNvPicPr>
      </xdr:nvPicPr>
      <xdr:blipFill>
        <a:blip xmlns:r="http://schemas.openxmlformats.org/officeDocument/2006/relationships" r:embed="rId2544"/>
        <a:stretch>
          <a:fillRect/>
        </a:stretch>
      </xdr:blipFill>
      <xdr:spPr>
        <a:xfrm>
          <a:off x="7235825" y="3326647525"/>
          <a:ext cx="878840" cy="1183640"/>
        </a:xfrm>
        <a:prstGeom prst="rect">
          <a:avLst/>
        </a:prstGeom>
      </xdr:spPr>
    </xdr:pic>
    <xdr:clientData/>
  </xdr:twoCellAnchor>
  <xdr:twoCellAnchor>
    <xdr:from>
      <xdr:col>9</xdr:col>
      <xdr:colOff>6350</xdr:colOff>
      <xdr:row>3386</xdr:row>
      <xdr:rowOff>25400</xdr:rowOff>
    </xdr:from>
    <xdr:to>
      <xdr:col>9</xdr:col>
      <xdr:colOff>885190</xdr:colOff>
      <xdr:row>3386</xdr:row>
      <xdr:rowOff>1209040</xdr:rowOff>
    </xdr:to>
    <xdr:pic>
      <xdr:nvPicPr>
        <xdr:cNvPr id="7832" name="Изображение 7831" descr="resizeПП-00266880"/>
        <xdr:cNvPicPr>
          <a:picLocks noChangeAspect="1"/>
        </xdr:cNvPicPr>
      </xdr:nvPicPr>
      <xdr:blipFill>
        <a:blip xmlns:r="http://schemas.openxmlformats.org/officeDocument/2006/relationships" r:embed="rId2545"/>
        <a:stretch>
          <a:fillRect/>
        </a:stretch>
      </xdr:blipFill>
      <xdr:spPr>
        <a:xfrm>
          <a:off x="7235825" y="3327869900"/>
          <a:ext cx="878840" cy="1183640"/>
        </a:xfrm>
        <a:prstGeom prst="rect">
          <a:avLst/>
        </a:prstGeom>
      </xdr:spPr>
    </xdr:pic>
    <xdr:clientData/>
  </xdr:twoCellAnchor>
  <xdr:twoCellAnchor>
    <xdr:from>
      <xdr:col>9</xdr:col>
      <xdr:colOff>6350</xdr:colOff>
      <xdr:row>3388</xdr:row>
      <xdr:rowOff>25400</xdr:rowOff>
    </xdr:from>
    <xdr:to>
      <xdr:col>9</xdr:col>
      <xdr:colOff>885190</xdr:colOff>
      <xdr:row>3388</xdr:row>
      <xdr:rowOff>1209040</xdr:rowOff>
    </xdr:to>
    <xdr:pic>
      <xdr:nvPicPr>
        <xdr:cNvPr id="7833" name="Изображение 7832" descr="resizeПП-00234502"/>
        <xdr:cNvPicPr>
          <a:picLocks noChangeAspect="1"/>
        </xdr:cNvPicPr>
      </xdr:nvPicPr>
      <xdr:blipFill>
        <a:blip xmlns:r="http://schemas.openxmlformats.org/officeDocument/2006/relationships" r:embed="rId2546"/>
        <a:stretch>
          <a:fillRect/>
        </a:stretch>
      </xdr:blipFill>
      <xdr:spPr>
        <a:xfrm>
          <a:off x="7235825" y="3329244675"/>
          <a:ext cx="878840" cy="1183640"/>
        </a:xfrm>
        <a:prstGeom prst="rect">
          <a:avLst/>
        </a:prstGeom>
      </xdr:spPr>
    </xdr:pic>
    <xdr:clientData/>
  </xdr:twoCellAnchor>
  <xdr:twoCellAnchor>
    <xdr:from>
      <xdr:col>9</xdr:col>
      <xdr:colOff>6350</xdr:colOff>
      <xdr:row>3389</xdr:row>
      <xdr:rowOff>25400</xdr:rowOff>
    </xdr:from>
    <xdr:to>
      <xdr:col>9</xdr:col>
      <xdr:colOff>885190</xdr:colOff>
      <xdr:row>3389</xdr:row>
      <xdr:rowOff>1209040</xdr:rowOff>
    </xdr:to>
    <xdr:pic>
      <xdr:nvPicPr>
        <xdr:cNvPr id="7834" name="Изображение 7833" descr="resizeПП-00234497"/>
        <xdr:cNvPicPr>
          <a:picLocks noChangeAspect="1"/>
        </xdr:cNvPicPr>
      </xdr:nvPicPr>
      <xdr:blipFill>
        <a:blip xmlns:r="http://schemas.openxmlformats.org/officeDocument/2006/relationships" r:embed="rId2547"/>
        <a:stretch>
          <a:fillRect/>
        </a:stretch>
      </xdr:blipFill>
      <xdr:spPr>
        <a:xfrm>
          <a:off x="7235825" y="3330467050"/>
          <a:ext cx="878840" cy="1183640"/>
        </a:xfrm>
        <a:prstGeom prst="rect">
          <a:avLst/>
        </a:prstGeom>
      </xdr:spPr>
    </xdr:pic>
    <xdr:clientData/>
  </xdr:twoCellAnchor>
  <xdr:twoCellAnchor>
    <xdr:from>
      <xdr:col>9</xdr:col>
      <xdr:colOff>6350</xdr:colOff>
      <xdr:row>3390</xdr:row>
      <xdr:rowOff>25400</xdr:rowOff>
    </xdr:from>
    <xdr:to>
      <xdr:col>9</xdr:col>
      <xdr:colOff>885190</xdr:colOff>
      <xdr:row>3390</xdr:row>
      <xdr:rowOff>1209040</xdr:rowOff>
    </xdr:to>
    <xdr:pic>
      <xdr:nvPicPr>
        <xdr:cNvPr id="7835" name="Изображение 7834" descr="resizeПП-00234491"/>
        <xdr:cNvPicPr>
          <a:picLocks noChangeAspect="1"/>
        </xdr:cNvPicPr>
      </xdr:nvPicPr>
      <xdr:blipFill>
        <a:blip xmlns:r="http://schemas.openxmlformats.org/officeDocument/2006/relationships" r:embed="rId2548"/>
        <a:stretch>
          <a:fillRect/>
        </a:stretch>
      </xdr:blipFill>
      <xdr:spPr>
        <a:xfrm>
          <a:off x="7235825" y="3331689425"/>
          <a:ext cx="878840" cy="1183640"/>
        </a:xfrm>
        <a:prstGeom prst="rect">
          <a:avLst/>
        </a:prstGeom>
      </xdr:spPr>
    </xdr:pic>
    <xdr:clientData/>
  </xdr:twoCellAnchor>
  <xdr:twoCellAnchor>
    <xdr:from>
      <xdr:col>9</xdr:col>
      <xdr:colOff>6350</xdr:colOff>
      <xdr:row>3392</xdr:row>
      <xdr:rowOff>25400</xdr:rowOff>
    </xdr:from>
    <xdr:to>
      <xdr:col>9</xdr:col>
      <xdr:colOff>885190</xdr:colOff>
      <xdr:row>3392</xdr:row>
      <xdr:rowOff>1209040</xdr:rowOff>
    </xdr:to>
    <xdr:pic>
      <xdr:nvPicPr>
        <xdr:cNvPr id="7836" name="Изображение 7835" descr="resizeПП-00261942"/>
        <xdr:cNvPicPr>
          <a:picLocks noChangeAspect="1"/>
        </xdr:cNvPicPr>
      </xdr:nvPicPr>
      <xdr:blipFill>
        <a:blip xmlns:r="http://schemas.openxmlformats.org/officeDocument/2006/relationships" r:embed="rId2549"/>
        <a:stretch>
          <a:fillRect/>
        </a:stretch>
      </xdr:blipFill>
      <xdr:spPr>
        <a:xfrm>
          <a:off x="7235825" y="3333064200"/>
          <a:ext cx="878840" cy="1183640"/>
        </a:xfrm>
        <a:prstGeom prst="rect">
          <a:avLst/>
        </a:prstGeom>
      </xdr:spPr>
    </xdr:pic>
    <xdr:clientData/>
  </xdr:twoCellAnchor>
  <xdr:twoCellAnchor>
    <xdr:from>
      <xdr:col>9</xdr:col>
      <xdr:colOff>6350</xdr:colOff>
      <xdr:row>3393</xdr:row>
      <xdr:rowOff>25400</xdr:rowOff>
    </xdr:from>
    <xdr:to>
      <xdr:col>9</xdr:col>
      <xdr:colOff>885190</xdr:colOff>
      <xdr:row>3393</xdr:row>
      <xdr:rowOff>1209040</xdr:rowOff>
    </xdr:to>
    <xdr:pic>
      <xdr:nvPicPr>
        <xdr:cNvPr id="7837" name="Изображение 7836" descr="resizeПП-00261945"/>
        <xdr:cNvPicPr>
          <a:picLocks noChangeAspect="1"/>
        </xdr:cNvPicPr>
      </xdr:nvPicPr>
      <xdr:blipFill>
        <a:blip xmlns:r="http://schemas.openxmlformats.org/officeDocument/2006/relationships" r:embed="rId2550"/>
        <a:stretch>
          <a:fillRect/>
        </a:stretch>
      </xdr:blipFill>
      <xdr:spPr>
        <a:xfrm>
          <a:off x="7235825" y="3334286575"/>
          <a:ext cx="878840" cy="1183640"/>
        </a:xfrm>
        <a:prstGeom prst="rect">
          <a:avLst/>
        </a:prstGeom>
      </xdr:spPr>
    </xdr:pic>
    <xdr:clientData/>
  </xdr:twoCellAnchor>
  <xdr:twoCellAnchor>
    <xdr:from>
      <xdr:col>9</xdr:col>
      <xdr:colOff>6350</xdr:colOff>
      <xdr:row>3394</xdr:row>
      <xdr:rowOff>25400</xdr:rowOff>
    </xdr:from>
    <xdr:to>
      <xdr:col>9</xdr:col>
      <xdr:colOff>885190</xdr:colOff>
      <xdr:row>3394</xdr:row>
      <xdr:rowOff>1209040</xdr:rowOff>
    </xdr:to>
    <xdr:pic>
      <xdr:nvPicPr>
        <xdr:cNvPr id="7838" name="Изображение 7837" descr="resizeПП-00194358"/>
        <xdr:cNvPicPr>
          <a:picLocks noChangeAspect="1"/>
        </xdr:cNvPicPr>
      </xdr:nvPicPr>
      <xdr:blipFill>
        <a:blip xmlns:r="http://schemas.openxmlformats.org/officeDocument/2006/relationships" r:embed="rId2551"/>
        <a:stretch>
          <a:fillRect/>
        </a:stretch>
      </xdr:blipFill>
      <xdr:spPr>
        <a:xfrm>
          <a:off x="7235825" y="3335508950"/>
          <a:ext cx="878840" cy="1183640"/>
        </a:xfrm>
        <a:prstGeom prst="rect">
          <a:avLst/>
        </a:prstGeom>
      </xdr:spPr>
    </xdr:pic>
    <xdr:clientData/>
  </xdr:twoCellAnchor>
  <xdr:twoCellAnchor>
    <xdr:from>
      <xdr:col>9</xdr:col>
      <xdr:colOff>6350</xdr:colOff>
      <xdr:row>3395</xdr:row>
      <xdr:rowOff>25400</xdr:rowOff>
    </xdr:from>
    <xdr:to>
      <xdr:col>9</xdr:col>
      <xdr:colOff>885190</xdr:colOff>
      <xdr:row>3395</xdr:row>
      <xdr:rowOff>1209040</xdr:rowOff>
    </xdr:to>
    <xdr:pic>
      <xdr:nvPicPr>
        <xdr:cNvPr id="7839" name="Изображение 7838" descr="resizeПП-00194367"/>
        <xdr:cNvPicPr>
          <a:picLocks noChangeAspect="1"/>
        </xdr:cNvPicPr>
      </xdr:nvPicPr>
      <xdr:blipFill>
        <a:blip xmlns:r="http://schemas.openxmlformats.org/officeDocument/2006/relationships" r:embed="rId2552"/>
        <a:stretch>
          <a:fillRect/>
        </a:stretch>
      </xdr:blipFill>
      <xdr:spPr>
        <a:xfrm>
          <a:off x="7235825" y="3336731325"/>
          <a:ext cx="878840" cy="1183640"/>
        </a:xfrm>
        <a:prstGeom prst="rect">
          <a:avLst/>
        </a:prstGeom>
      </xdr:spPr>
    </xdr:pic>
    <xdr:clientData/>
  </xdr:twoCellAnchor>
  <xdr:twoCellAnchor>
    <xdr:from>
      <xdr:col>9</xdr:col>
      <xdr:colOff>6350</xdr:colOff>
      <xdr:row>3397</xdr:row>
      <xdr:rowOff>25400</xdr:rowOff>
    </xdr:from>
    <xdr:to>
      <xdr:col>9</xdr:col>
      <xdr:colOff>885190</xdr:colOff>
      <xdr:row>3397</xdr:row>
      <xdr:rowOff>1209040</xdr:rowOff>
    </xdr:to>
    <xdr:pic>
      <xdr:nvPicPr>
        <xdr:cNvPr id="7840" name="Изображение 7839" descr="resizeПП-00234479"/>
        <xdr:cNvPicPr>
          <a:picLocks noChangeAspect="1"/>
        </xdr:cNvPicPr>
      </xdr:nvPicPr>
      <xdr:blipFill>
        <a:blip xmlns:r="http://schemas.openxmlformats.org/officeDocument/2006/relationships" r:embed="rId2553"/>
        <a:stretch>
          <a:fillRect/>
        </a:stretch>
      </xdr:blipFill>
      <xdr:spPr>
        <a:xfrm>
          <a:off x="7235825" y="3338106100"/>
          <a:ext cx="878840" cy="1183640"/>
        </a:xfrm>
        <a:prstGeom prst="rect">
          <a:avLst/>
        </a:prstGeom>
      </xdr:spPr>
    </xdr:pic>
    <xdr:clientData/>
  </xdr:twoCellAnchor>
  <xdr:twoCellAnchor>
    <xdr:from>
      <xdr:col>9</xdr:col>
      <xdr:colOff>6350</xdr:colOff>
      <xdr:row>3398</xdr:row>
      <xdr:rowOff>25400</xdr:rowOff>
    </xdr:from>
    <xdr:to>
      <xdr:col>9</xdr:col>
      <xdr:colOff>885190</xdr:colOff>
      <xdr:row>3398</xdr:row>
      <xdr:rowOff>1209040</xdr:rowOff>
    </xdr:to>
    <xdr:pic>
      <xdr:nvPicPr>
        <xdr:cNvPr id="7841" name="Изображение 7840" descr="resizeПП-00234478"/>
        <xdr:cNvPicPr>
          <a:picLocks noChangeAspect="1"/>
        </xdr:cNvPicPr>
      </xdr:nvPicPr>
      <xdr:blipFill>
        <a:blip xmlns:r="http://schemas.openxmlformats.org/officeDocument/2006/relationships" r:embed="rId2554"/>
        <a:stretch>
          <a:fillRect/>
        </a:stretch>
      </xdr:blipFill>
      <xdr:spPr>
        <a:xfrm>
          <a:off x="7235825" y="3339328475"/>
          <a:ext cx="878840" cy="1183640"/>
        </a:xfrm>
        <a:prstGeom prst="rect">
          <a:avLst/>
        </a:prstGeom>
      </xdr:spPr>
    </xdr:pic>
    <xdr:clientData/>
  </xdr:twoCellAnchor>
  <xdr:twoCellAnchor>
    <xdr:from>
      <xdr:col>9</xdr:col>
      <xdr:colOff>6350</xdr:colOff>
      <xdr:row>3400</xdr:row>
      <xdr:rowOff>25400</xdr:rowOff>
    </xdr:from>
    <xdr:to>
      <xdr:col>9</xdr:col>
      <xdr:colOff>885190</xdr:colOff>
      <xdr:row>3400</xdr:row>
      <xdr:rowOff>1209040</xdr:rowOff>
    </xdr:to>
    <xdr:pic>
      <xdr:nvPicPr>
        <xdr:cNvPr id="7842" name="Изображение 7841" descr="resizeПП-00223009"/>
        <xdr:cNvPicPr>
          <a:picLocks noChangeAspect="1"/>
        </xdr:cNvPicPr>
      </xdr:nvPicPr>
      <xdr:blipFill>
        <a:blip xmlns:r="http://schemas.openxmlformats.org/officeDocument/2006/relationships" r:embed="rId2555"/>
        <a:stretch>
          <a:fillRect/>
        </a:stretch>
      </xdr:blipFill>
      <xdr:spPr>
        <a:xfrm>
          <a:off x="7235825" y="3340703250"/>
          <a:ext cx="878840" cy="1183640"/>
        </a:xfrm>
        <a:prstGeom prst="rect">
          <a:avLst/>
        </a:prstGeom>
      </xdr:spPr>
    </xdr:pic>
    <xdr:clientData/>
  </xdr:twoCellAnchor>
  <xdr:twoCellAnchor>
    <xdr:from>
      <xdr:col>9</xdr:col>
      <xdr:colOff>6350</xdr:colOff>
      <xdr:row>3403</xdr:row>
      <xdr:rowOff>25400</xdr:rowOff>
    </xdr:from>
    <xdr:to>
      <xdr:col>9</xdr:col>
      <xdr:colOff>885190</xdr:colOff>
      <xdr:row>3403</xdr:row>
      <xdr:rowOff>1209040</xdr:rowOff>
    </xdr:to>
    <xdr:pic>
      <xdr:nvPicPr>
        <xdr:cNvPr id="7843" name="Изображение 7842" descr="resizeПП-00199264"/>
        <xdr:cNvPicPr>
          <a:picLocks noChangeAspect="1"/>
        </xdr:cNvPicPr>
      </xdr:nvPicPr>
      <xdr:blipFill>
        <a:blip xmlns:r="http://schemas.openxmlformats.org/officeDocument/2006/relationships" r:embed="rId2556"/>
        <a:stretch>
          <a:fillRect/>
        </a:stretch>
      </xdr:blipFill>
      <xdr:spPr>
        <a:xfrm>
          <a:off x="7235825" y="3342230425"/>
          <a:ext cx="878840" cy="1183640"/>
        </a:xfrm>
        <a:prstGeom prst="rect">
          <a:avLst/>
        </a:prstGeom>
      </xdr:spPr>
    </xdr:pic>
    <xdr:clientData/>
  </xdr:twoCellAnchor>
  <xdr:twoCellAnchor>
    <xdr:from>
      <xdr:col>9</xdr:col>
      <xdr:colOff>6350</xdr:colOff>
      <xdr:row>3404</xdr:row>
      <xdr:rowOff>25400</xdr:rowOff>
    </xdr:from>
    <xdr:to>
      <xdr:col>9</xdr:col>
      <xdr:colOff>885190</xdr:colOff>
      <xdr:row>3404</xdr:row>
      <xdr:rowOff>1209040</xdr:rowOff>
    </xdr:to>
    <xdr:pic>
      <xdr:nvPicPr>
        <xdr:cNvPr id="7844" name="Изображение 7843" descr="resizeПП-00199266"/>
        <xdr:cNvPicPr>
          <a:picLocks noChangeAspect="1"/>
        </xdr:cNvPicPr>
      </xdr:nvPicPr>
      <xdr:blipFill>
        <a:blip xmlns:r="http://schemas.openxmlformats.org/officeDocument/2006/relationships" r:embed="rId2557"/>
        <a:stretch>
          <a:fillRect/>
        </a:stretch>
      </xdr:blipFill>
      <xdr:spPr>
        <a:xfrm>
          <a:off x="7235825" y="3343452800"/>
          <a:ext cx="878840" cy="1183640"/>
        </a:xfrm>
        <a:prstGeom prst="rect">
          <a:avLst/>
        </a:prstGeom>
      </xdr:spPr>
    </xdr:pic>
    <xdr:clientData/>
  </xdr:twoCellAnchor>
  <xdr:twoCellAnchor>
    <xdr:from>
      <xdr:col>9</xdr:col>
      <xdr:colOff>6350</xdr:colOff>
      <xdr:row>3405</xdr:row>
      <xdr:rowOff>25400</xdr:rowOff>
    </xdr:from>
    <xdr:to>
      <xdr:col>9</xdr:col>
      <xdr:colOff>885190</xdr:colOff>
      <xdr:row>3405</xdr:row>
      <xdr:rowOff>1209040</xdr:rowOff>
    </xdr:to>
    <xdr:pic>
      <xdr:nvPicPr>
        <xdr:cNvPr id="7845" name="Изображение 7844" descr="resizeПП-00199286"/>
        <xdr:cNvPicPr>
          <a:picLocks noChangeAspect="1"/>
        </xdr:cNvPicPr>
      </xdr:nvPicPr>
      <xdr:blipFill>
        <a:blip xmlns:r="http://schemas.openxmlformats.org/officeDocument/2006/relationships" r:embed="rId2558"/>
        <a:stretch>
          <a:fillRect/>
        </a:stretch>
      </xdr:blipFill>
      <xdr:spPr>
        <a:xfrm>
          <a:off x="7235825" y="3344675175"/>
          <a:ext cx="878840" cy="1183640"/>
        </a:xfrm>
        <a:prstGeom prst="rect">
          <a:avLst/>
        </a:prstGeom>
      </xdr:spPr>
    </xdr:pic>
    <xdr:clientData/>
  </xdr:twoCellAnchor>
  <xdr:twoCellAnchor>
    <xdr:from>
      <xdr:col>9</xdr:col>
      <xdr:colOff>6350</xdr:colOff>
      <xdr:row>3406</xdr:row>
      <xdr:rowOff>25400</xdr:rowOff>
    </xdr:from>
    <xdr:to>
      <xdr:col>9</xdr:col>
      <xdr:colOff>885190</xdr:colOff>
      <xdr:row>3406</xdr:row>
      <xdr:rowOff>1209040</xdr:rowOff>
    </xdr:to>
    <xdr:pic>
      <xdr:nvPicPr>
        <xdr:cNvPr id="7846" name="Изображение 7845" descr="resizeПП-00199265"/>
        <xdr:cNvPicPr>
          <a:picLocks noChangeAspect="1"/>
        </xdr:cNvPicPr>
      </xdr:nvPicPr>
      <xdr:blipFill>
        <a:blip xmlns:r="http://schemas.openxmlformats.org/officeDocument/2006/relationships" r:embed="rId2556"/>
        <a:stretch>
          <a:fillRect/>
        </a:stretch>
      </xdr:blipFill>
      <xdr:spPr>
        <a:xfrm>
          <a:off x="7235825" y="3345897550"/>
          <a:ext cx="878840" cy="1183640"/>
        </a:xfrm>
        <a:prstGeom prst="rect">
          <a:avLst/>
        </a:prstGeom>
      </xdr:spPr>
    </xdr:pic>
    <xdr:clientData/>
  </xdr:twoCellAnchor>
  <xdr:twoCellAnchor>
    <xdr:from>
      <xdr:col>9</xdr:col>
      <xdr:colOff>6350</xdr:colOff>
      <xdr:row>3408</xdr:row>
      <xdr:rowOff>25400</xdr:rowOff>
    </xdr:from>
    <xdr:to>
      <xdr:col>9</xdr:col>
      <xdr:colOff>885190</xdr:colOff>
      <xdr:row>3408</xdr:row>
      <xdr:rowOff>1209040</xdr:rowOff>
    </xdr:to>
    <xdr:pic>
      <xdr:nvPicPr>
        <xdr:cNvPr id="7847" name="Изображение 7846" descr="resizeПП-00261469"/>
        <xdr:cNvPicPr>
          <a:picLocks noChangeAspect="1"/>
        </xdr:cNvPicPr>
      </xdr:nvPicPr>
      <xdr:blipFill>
        <a:blip xmlns:r="http://schemas.openxmlformats.org/officeDocument/2006/relationships" r:embed="rId2559"/>
        <a:stretch>
          <a:fillRect/>
        </a:stretch>
      </xdr:blipFill>
      <xdr:spPr>
        <a:xfrm>
          <a:off x="7235825" y="3347272325"/>
          <a:ext cx="878840" cy="1183640"/>
        </a:xfrm>
        <a:prstGeom prst="rect">
          <a:avLst/>
        </a:prstGeom>
      </xdr:spPr>
    </xdr:pic>
    <xdr:clientData/>
  </xdr:twoCellAnchor>
  <xdr:twoCellAnchor>
    <xdr:from>
      <xdr:col>9</xdr:col>
      <xdr:colOff>6350</xdr:colOff>
      <xdr:row>3409</xdr:row>
      <xdr:rowOff>25400</xdr:rowOff>
    </xdr:from>
    <xdr:to>
      <xdr:col>9</xdr:col>
      <xdr:colOff>885190</xdr:colOff>
      <xdr:row>3409</xdr:row>
      <xdr:rowOff>1209040</xdr:rowOff>
    </xdr:to>
    <xdr:pic>
      <xdr:nvPicPr>
        <xdr:cNvPr id="7848" name="Изображение 7847" descr="resizeПП-00261475"/>
        <xdr:cNvPicPr>
          <a:picLocks noChangeAspect="1"/>
        </xdr:cNvPicPr>
      </xdr:nvPicPr>
      <xdr:blipFill>
        <a:blip xmlns:r="http://schemas.openxmlformats.org/officeDocument/2006/relationships" r:embed="rId2560"/>
        <a:stretch>
          <a:fillRect/>
        </a:stretch>
      </xdr:blipFill>
      <xdr:spPr>
        <a:xfrm>
          <a:off x="7235825" y="3348494700"/>
          <a:ext cx="878840" cy="1183640"/>
        </a:xfrm>
        <a:prstGeom prst="rect">
          <a:avLst/>
        </a:prstGeom>
      </xdr:spPr>
    </xdr:pic>
    <xdr:clientData/>
  </xdr:twoCellAnchor>
  <xdr:twoCellAnchor>
    <xdr:from>
      <xdr:col>9</xdr:col>
      <xdr:colOff>6350</xdr:colOff>
      <xdr:row>3410</xdr:row>
      <xdr:rowOff>25400</xdr:rowOff>
    </xdr:from>
    <xdr:to>
      <xdr:col>9</xdr:col>
      <xdr:colOff>885190</xdr:colOff>
      <xdr:row>3410</xdr:row>
      <xdr:rowOff>1209040</xdr:rowOff>
    </xdr:to>
    <xdr:pic>
      <xdr:nvPicPr>
        <xdr:cNvPr id="7849" name="Изображение 7848" descr="resizeПП-00260038"/>
        <xdr:cNvPicPr>
          <a:picLocks noChangeAspect="1"/>
        </xdr:cNvPicPr>
      </xdr:nvPicPr>
      <xdr:blipFill>
        <a:blip xmlns:r="http://schemas.openxmlformats.org/officeDocument/2006/relationships" r:embed="rId2561"/>
        <a:stretch>
          <a:fillRect/>
        </a:stretch>
      </xdr:blipFill>
      <xdr:spPr>
        <a:xfrm>
          <a:off x="7235825" y="3349717075"/>
          <a:ext cx="878840" cy="1183640"/>
        </a:xfrm>
        <a:prstGeom prst="rect">
          <a:avLst/>
        </a:prstGeom>
      </xdr:spPr>
    </xdr:pic>
    <xdr:clientData/>
  </xdr:twoCellAnchor>
  <xdr:twoCellAnchor>
    <xdr:from>
      <xdr:col>9</xdr:col>
      <xdr:colOff>6350</xdr:colOff>
      <xdr:row>3411</xdr:row>
      <xdr:rowOff>25400</xdr:rowOff>
    </xdr:from>
    <xdr:to>
      <xdr:col>9</xdr:col>
      <xdr:colOff>885190</xdr:colOff>
      <xdr:row>3411</xdr:row>
      <xdr:rowOff>1209040</xdr:rowOff>
    </xdr:to>
    <xdr:pic>
      <xdr:nvPicPr>
        <xdr:cNvPr id="7850" name="Изображение 7849" descr="resizeПП-00261472"/>
        <xdr:cNvPicPr>
          <a:picLocks noChangeAspect="1"/>
        </xdr:cNvPicPr>
      </xdr:nvPicPr>
      <xdr:blipFill>
        <a:blip xmlns:r="http://schemas.openxmlformats.org/officeDocument/2006/relationships" r:embed="rId2562"/>
        <a:stretch>
          <a:fillRect/>
        </a:stretch>
      </xdr:blipFill>
      <xdr:spPr>
        <a:xfrm>
          <a:off x="7235825" y="3350939450"/>
          <a:ext cx="878840" cy="1183640"/>
        </a:xfrm>
        <a:prstGeom prst="rect">
          <a:avLst/>
        </a:prstGeom>
      </xdr:spPr>
    </xdr:pic>
    <xdr:clientData/>
  </xdr:twoCellAnchor>
  <xdr:twoCellAnchor>
    <xdr:from>
      <xdr:col>9</xdr:col>
      <xdr:colOff>6350</xdr:colOff>
      <xdr:row>3412</xdr:row>
      <xdr:rowOff>25400</xdr:rowOff>
    </xdr:from>
    <xdr:to>
      <xdr:col>9</xdr:col>
      <xdr:colOff>885190</xdr:colOff>
      <xdr:row>3412</xdr:row>
      <xdr:rowOff>1209040</xdr:rowOff>
    </xdr:to>
    <xdr:pic>
      <xdr:nvPicPr>
        <xdr:cNvPr id="7851" name="Изображение 7850" descr="resizeПП-00260049"/>
        <xdr:cNvPicPr>
          <a:picLocks noChangeAspect="1"/>
        </xdr:cNvPicPr>
      </xdr:nvPicPr>
      <xdr:blipFill>
        <a:blip xmlns:r="http://schemas.openxmlformats.org/officeDocument/2006/relationships" r:embed="rId2563"/>
        <a:stretch>
          <a:fillRect/>
        </a:stretch>
      </xdr:blipFill>
      <xdr:spPr>
        <a:xfrm>
          <a:off x="7235825" y="3352161825"/>
          <a:ext cx="878840" cy="1183640"/>
        </a:xfrm>
        <a:prstGeom prst="rect">
          <a:avLst/>
        </a:prstGeom>
      </xdr:spPr>
    </xdr:pic>
    <xdr:clientData/>
  </xdr:twoCellAnchor>
  <xdr:twoCellAnchor>
    <xdr:from>
      <xdr:col>9</xdr:col>
      <xdr:colOff>6350</xdr:colOff>
      <xdr:row>3413</xdr:row>
      <xdr:rowOff>25400</xdr:rowOff>
    </xdr:from>
    <xdr:to>
      <xdr:col>9</xdr:col>
      <xdr:colOff>885190</xdr:colOff>
      <xdr:row>3413</xdr:row>
      <xdr:rowOff>1209040</xdr:rowOff>
    </xdr:to>
    <xdr:pic>
      <xdr:nvPicPr>
        <xdr:cNvPr id="7852" name="Изображение 7851" descr="resizeПП-00260050"/>
        <xdr:cNvPicPr>
          <a:picLocks noChangeAspect="1"/>
        </xdr:cNvPicPr>
      </xdr:nvPicPr>
      <xdr:blipFill>
        <a:blip xmlns:r="http://schemas.openxmlformats.org/officeDocument/2006/relationships" r:embed="rId2564"/>
        <a:stretch>
          <a:fillRect/>
        </a:stretch>
      </xdr:blipFill>
      <xdr:spPr>
        <a:xfrm>
          <a:off x="7235825" y="3353384200"/>
          <a:ext cx="878840" cy="1183640"/>
        </a:xfrm>
        <a:prstGeom prst="rect">
          <a:avLst/>
        </a:prstGeom>
      </xdr:spPr>
    </xdr:pic>
    <xdr:clientData/>
  </xdr:twoCellAnchor>
  <xdr:twoCellAnchor>
    <xdr:from>
      <xdr:col>9</xdr:col>
      <xdr:colOff>6350</xdr:colOff>
      <xdr:row>3414</xdr:row>
      <xdr:rowOff>25400</xdr:rowOff>
    </xdr:from>
    <xdr:to>
      <xdr:col>9</xdr:col>
      <xdr:colOff>885190</xdr:colOff>
      <xdr:row>3414</xdr:row>
      <xdr:rowOff>1209040</xdr:rowOff>
    </xdr:to>
    <xdr:pic>
      <xdr:nvPicPr>
        <xdr:cNvPr id="7853" name="Изображение 7852" descr="resizeПП-00261477"/>
        <xdr:cNvPicPr>
          <a:picLocks noChangeAspect="1"/>
        </xdr:cNvPicPr>
      </xdr:nvPicPr>
      <xdr:blipFill>
        <a:blip xmlns:r="http://schemas.openxmlformats.org/officeDocument/2006/relationships" r:embed="rId2565"/>
        <a:stretch>
          <a:fillRect/>
        </a:stretch>
      </xdr:blipFill>
      <xdr:spPr>
        <a:xfrm>
          <a:off x="7235825" y="3354606575"/>
          <a:ext cx="878840" cy="1183640"/>
        </a:xfrm>
        <a:prstGeom prst="rect">
          <a:avLst/>
        </a:prstGeom>
      </xdr:spPr>
    </xdr:pic>
    <xdr:clientData/>
  </xdr:twoCellAnchor>
  <xdr:twoCellAnchor>
    <xdr:from>
      <xdr:col>9</xdr:col>
      <xdr:colOff>6350</xdr:colOff>
      <xdr:row>3417</xdr:row>
      <xdr:rowOff>25400</xdr:rowOff>
    </xdr:from>
    <xdr:to>
      <xdr:col>9</xdr:col>
      <xdr:colOff>885190</xdr:colOff>
      <xdr:row>3417</xdr:row>
      <xdr:rowOff>1209040</xdr:rowOff>
    </xdr:to>
    <xdr:pic>
      <xdr:nvPicPr>
        <xdr:cNvPr id="7854" name="Изображение 7853" descr="resizeПП-00218946"/>
        <xdr:cNvPicPr>
          <a:picLocks noChangeAspect="1"/>
        </xdr:cNvPicPr>
      </xdr:nvPicPr>
      <xdr:blipFill>
        <a:blip xmlns:r="http://schemas.openxmlformats.org/officeDocument/2006/relationships" r:embed="rId2566"/>
        <a:stretch>
          <a:fillRect/>
        </a:stretch>
      </xdr:blipFill>
      <xdr:spPr>
        <a:xfrm>
          <a:off x="7235825" y="3356133750"/>
          <a:ext cx="878840" cy="1183640"/>
        </a:xfrm>
        <a:prstGeom prst="rect">
          <a:avLst/>
        </a:prstGeom>
      </xdr:spPr>
    </xdr:pic>
    <xdr:clientData/>
  </xdr:twoCellAnchor>
  <xdr:twoCellAnchor>
    <xdr:from>
      <xdr:col>9</xdr:col>
      <xdr:colOff>6350</xdr:colOff>
      <xdr:row>3418</xdr:row>
      <xdr:rowOff>25400</xdr:rowOff>
    </xdr:from>
    <xdr:to>
      <xdr:col>9</xdr:col>
      <xdr:colOff>885190</xdr:colOff>
      <xdr:row>3418</xdr:row>
      <xdr:rowOff>1209040</xdr:rowOff>
    </xdr:to>
    <xdr:pic>
      <xdr:nvPicPr>
        <xdr:cNvPr id="7855" name="Изображение 7854" descr="resizeПП-00218949"/>
        <xdr:cNvPicPr>
          <a:picLocks noChangeAspect="1"/>
        </xdr:cNvPicPr>
      </xdr:nvPicPr>
      <xdr:blipFill>
        <a:blip xmlns:r="http://schemas.openxmlformats.org/officeDocument/2006/relationships" r:embed="rId2567"/>
        <a:stretch>
          <a:fillRect/>
        </a:stretch>
      </xdr:blipFill>
      <xdr:spPr>
        <a:xfrm>
          <a:off x="7235825" y="3357356125"/>
          <a:ext cx="878840" cy="1183640"/>
        </a:xfrm>
        <a:prstGeom prst="rect">
          <a:avLst/>
        </a:prstGeom>
      </xdr:spPr>
    </xdr:pic>
    <xdr:clientData/>
  </xdr:twoCellAnchor>
  <xdr:twoCellAnchor>
    <xdr:from>
      <xdr:col>9</xdr:col>
      <xdr:colOff>6350</xdr:colOff>
      <xdr:row>3420</xdr:row>
      <xdr:rowOff>25400</xdr:rowOff>
    </xdr:from>
    <xdr:to>
      <xdr:col>9</xdr:col>
      <xdr:colOff>885190</xdr:colOff>
      <xdr:row>3420</xdr:row>
      <xdr:rowOff>1209040</xdr:rowOff>
    </xdr:to>
    <xdr:pic>
      <xdr:nvPicPr>
        <xdr:cNvPr id="7856" name="Изображение 7855" descr="resizeПП-00089055"/>
        <xdr:cNvPicPr>
          <a:picLocks noChangeAspect="1"/>
        </xdr:cNvPicPr>
      </xdr:nvPicPr>
      <xdr:blipFill>
        <a:blip xmlns:r="http://schemas.openxmlformats.org/officeDocument/2006/relationships" r:embed="rId2568"/>
        <a:stretch>
          <a:fillRect/>
        </a:stretch>
      </xdr:blipFill>
      <xdr:spPr>
        <a:xfrm>
          <a:off x="7235825" y="3358730900"/>
          <a:ext cx="878840" cy="1183640"/>
        </a:xfrm>
        <a:prstGeom prst="rect">
          <a:avLst/>
        </a:prstGeom>
      </xdr:spPr>
    </xdr:pic>
    <xdr:clientData/>
  </xdr:twoCellAnchor>
  <xdr:twoCellAnchor>
    <xdr:from>
      <xdr:col>9</xdr:col>
      <xdr:colOff>6350</xdr:colOff>
      <xdr:row>3421</xdr:row>
      <xdr:rowOff>25400</xdr:rowOff>
    </xdr:from>
    <xdr:to>
      <xdr:col>9</xdr:col>
      <xdr:colOff>885190</xdr:colOff>
      <xdr:row>3421</xdr:row>
      <xdr:rowOff>1209040</xdr:rowOff>
    </xdr:to>
    <xdr:pic>
      <xdr:nvPicPr>
        <xdr:cNvPr id="7857" name="Изображение 7856" descr="resizeПП-00276920"/>
        <xdr:cNvPicPr>
          <a:picLocks noChangeAspect="1"/>
        </xdr:cNvPicPr>
      </xdr:nvPicPr>
      <xdr:blipFill>
        <a:blip xmlns:r="http://schemas.openxmlformats.org/officeDocument/2006/relationships" r:embed="rId2569"/>
        <a:stretch>
          <a:fillRect/>
        </a:stretch>
      </xdr:blipFill>
      <xdr:spPr>
        <a:xfrm>
          <a:off x="7235825" y="3359953275"/>
          <a:ext cx="878840" cy="1183640"/>
        </a:xfrm>
        <a:prstGeom prst="rect">
          <a:avLst/>
        </a:prstGeom>
      </xdr:spPr>
    </xdr:pic>
    <xdr:clientData/>
  </xdr:twoCellAnchor>
  <xdr:twoCellAnchor>
    <xdr:from>
      <xdr:col>9</xdr:col>
      <xdr:colOff>6350</xdr:colOff>
      <xdr:row>3422</xdr:row>
      <xdr:rowOff>25400</xdr:rowOff>
    </xdr:from>
    <xdr:to>
      <xdr:col>9</xdr:col>
      <xdr:colOff>885190</xdr:colOff>
      <xdr:row>3422</xdr:row>
      <xdr:rowOff>1209040</xdr:rowOff>
    </xdr:to>
    <xdr:pic>
      <xdr:nvPicPr>
        <xdr:cNvPr id="7858" name="Изображение 7857" descr="resizeПП-00274384"/>
        <xdr:cNvPicPr>
          <a:picLocks noChangeAspect="1"/>
        </xdr:cNvPicPr>
      </xdr:nvPicPr>
      <xdr:blipFill>
        <a:blip xmlns:r="http://schemas.openxmlformats.org/officeDocument/2006/relationships" r:embed="rId2570"/>
        <a:stretch>
          <a:fillRect/>
        </a:stretch>
      </xdr:blipFill>
      <xdr:spPr>
        <a:xfrm>
          <a:off x="7235825" y="3361175650"/>
          <a:ext cx="878840" cy="1183640"/>
        </a:xfrm>
        <a:prstGeom prst="rect">
          <a:avLst/>
        </a:prstGeom>
      </xdr:spPr>
    </xdr:pic>
    <xdr:clientData/>
  </xdr:twoCellAnchor>
  <xdr:twoCellAnchor>
    <xdr:from>
      <xdr:col>9</xdr:col>
      <xdr:colOff>6350</xdr:colOff>
      <xdr:row>3423</xdr:row>
      <xdr:rowOff>25400</xdr:rowOff>
    </xdr:from>
    <xdr:to>
      <xdr:col>9</xdr:col>
      <xdr:colOff>885190</xdr:colOff>
      <xdr:row>3423</xdr:row>
      <xdr:rowOff>1209040</xdr:rowOff>
    </xdr:to>
    <xdr:pic>
      <xdr:nvPicPr>
        <xdr:cNvPr id="7859" name="Изображение 7858" descr="resizeПП-00089056"/>
        <xdr:cNvPicPr>
          <a:picLocks noChangeAspect="1"/>
        </xdr:cNvPicPr>
      </xdr:nvPicPr>
      <xdr:blipFill>
        <a:blip xmlns:r="http://schemas.openxmlformats.org/officeDocument/2006/relationships" r:embed="rId2571"/>
        <a:stretch>
          <a:fillRect/>
        </a:stretch>
      </xdr:blipFill>
      <xdr:spPr>
        <a:xfrm>
          <a:off x="7235825" y="3362398025"/>
          <a:ext cx="878840" cy="1183640"/>
        </a:xfrm>
        <a:prstGeom prst="rect">
          <a:avLst/>
        </a:prstGeom>
      </xdr:spPr>
    </xdr:pic>
    <xdr:clientData/>
  </xdr:twoCellAnchor>
  <xdr:twoCellAnchor>
    <xdr:from>
      <xdr:col>9</xdr:col>
      <xdr:colOff>6350</xdr:colOff>
      <xdr:row>3424</xdr:row>
      <xdr:rowOff>25400</xdr:rowOff>
    </xdr:from>
    <xdr:to>
      <xdr:col>9</xdr:col>
      <xdr:colOff>885190</xdr:colOff>
      <xdr:row>3424</xdr:row>
      <xdr:rowOff>1209040</xdr:rowOff>
    </xdr:to>
    <xdr:pic>
      <xdr:nvPicPr>
        <xdr:cNvPr id="7860" name="Изображение 7859" descr="resizeПП-00276919"/>
        <xdr:cNvPicPr>
          <a:picLocks noChangeAspect="1"/>
        </xdr:cNvPicPr>
      </xdr:nvPicPr>
      <xdr:blipFill>
        <a:blip xmlns:r="http://schemas.openxmlformats.org/officeDocument/2006/relationships" r:embed="rId2572"/>
        <a:stretch>
          <a:fillRect/>
        </a:stretch>
      </xdr:blipFill>
      <xdr:spPr>
        <a:xfrm>
          <a:off x="7235825" y="3363620400"/>
          <a:ext cx="878840" cy="1183640"/>
        </a:xfrm>
        <a:prstGeom prst="rect">
          <a:avLst/>
        </a:prstGeom>
      </xdr:spPr>
    </xdr:pic>
    <xdr:clientData/>
  </xdr:twoCellAnchor>
  <xdr:twoCellAnchor>
    <xdr:from>
      <xdr:col>9</xdr:col>
      <xdr:colOff>6350</xdr:colOff>
      <xdr:row>3427</xdr:row>
      <xdr:rowOff>25400</xdr:rowOff>
    </xdr:from>
    <xdr:to>
      <xdr:col>9</xdr:col>
      <xdr:colOff>885190</xdr:colOff>
      <xdr:row>3427</xdr:row>
      <xdr:rowOff>1209040</xdr:rowOff>
    </xdr:to>
    <xdr:pic>
      <xdr:nvPicPr>
        <xdr:cNvPr id="7861" name="Изображение 7860" descr="resizeПП-00210524"/>
        <xdr:cNvPicPr>
          <a:picLocks noChangeAspect="1"/>
        </xdr:cNvPicPr>
      </xdr:nvPicPr>
      <xdr:blipFill>
        <a:blip xmlns:r="http://schemas.openxmlformats.org/officeDocument/2006/relationships" r:embed="rId2573"/>
        <a:stretch>
          <a:fillRect/>
        </a:stretch>
      </xdr:blipFill>
      <xdr:spPr>
        <a:xfrm>
          <a:off x="7235825" y="3365147575"/>
          <a:ext cx="878840" cy="1183640"/>
        </a:xfrm>
        <a:prstGeom prst="rect">
          <a:avLst/>
        </a:prstGeom>
      </xdr:spPr>
    </xdr:pic>
    <xdr:clientData/>
  </xdr:twoCellAnchor>
  <xdr:twoCellAnchor>
    <xdr:from>
      <xdr:col>9</xdr:col>
      <xdr:colOff>6350</xdr:colOff>
      <xdr:row>3428</xdr:row>
      <xdr:rowOff>25400</xdr:rowOff>
    </xdr:from>
    <xdr:to>
      <xdr:col>9</xdr:col>
      <xdr:colOff>885190</xdr:colOff>
      <xdr:row>3428</xdr:row>
      <xdr:rowOff>1209040</xdr:rowOff>
    </xdr:to>
    <xdr:pic>
      <xdr:nvPicPr>
        <xdr:cNvPr id="7862" name="Изображение 7861" descr="resizeПП-00210527"/>
        <xdr:cNvPicPr>
          <a:picLocks noChangeAspect="1"/>
        </xdr:cNvPicPr>
      </xdr:nvPicPr>
      <xdr:blipFill>
        <a:blip xmlns:r="http://schemas.openxmlformats.org/officeDocument/2006/relationships" r:embed="rId2574"/>
        <a:stretch>
          <a:fillRect/>
        </a:stretch>
      </xdr:blipFill>
      <xdr:spPr>
        <a:xfrm>
          <a:off x="7235825" y="3366369950"/>
          <a:ext cx="878840" cy="1183640"/>
        </a:xfrm>
        <a:prstGeom prst="rect">
          <a:avLst/>
        </a:prstGeom>
      </xdr:spPr>
    </xdr:pic>
    <xdr:clientData/>
  </xdr:twoCellAnchor>
  <xdr:twoCellAnchor>
    <xdr:from>
      <xdr:col>9</xdr:col>
      <xdr:colOff>6350</xdr:colOff>
      <xdr:row>3430</xdr:row>
      <xdr:rowOff>25400</xdr:rowOff>
    </xdr:from>
    <xdr:to>
      <xdr:col>9</xdr:col>
      <xdr:colOff>885190</xdr:colOff>
      <xdr:row>3430</xdr:row>
      <xdr:rowOff>1209040</xdr:rowOff>
    </xdr:to>
    <xdr:pic>
      <xdr:nvPicPr>
        <xdr:cNvPr id="7863" name="Изображение 7862" descr="resizeПП-00219026"/>
        <xdr:cNvPicPr>
          <a:picLocks noChangeAspect="1"/>
        </xdr:cNvPicPr>
      </xdr:nvPicPr>
      <xdr:blipFill>
        <a:blip xmlns:r="http://schemas.openxmlformats.org/officeDocument/2006/relationships" r:embed="rId2575"/>
        <a:stretch>
          <a:fillRect/>
        </a:stretch>
      </xdr:blipFill>
      <xdr:spPr>
        <a:xfrm>
          <a:off x="7235825" y="3367744725"/>
          <a:ext cx="878840" cy="1183640"/>
        </a:xfrm>
        <a:prstGeom prst="rect">
          <a:avLst/>
        </a:prstGeom>
      </xdr:spPr>
    </xdr:pic>
    <xdr:clientData/>
  </xdr:twoCellAnchor>
  <xdr:twoCellAnchor>
    <xdr:from>
      <xdr:col>9</xdr:col>
      <xdr:colOff>6350</xdr:colOff>
      <xdr:row>3431</xdr:row>
      <xdr:rowOff>25400</xdr:rowOff>
    </xdr:from>
    <xdr:to>
      <xdr:col>9</xdr:col>
      <xdr:colOff>885190</xdr:colOff>
      <xdr:row>3431</xdr:row>
      <xdr:rowOff>1209040</xdr:rowOff>
    </xdr:to>
    <xdr:pic>
      <xdr:nvPicPr>
        <xdr:cNvPr id="7864" name="Изображение 7863" descr="resizeПП-00219025"/>
        <xdr:cNvPicPr>
          <a:picLocks noChangeAspect="1"/>
        </xdr:cNvPicPr>
      </xdr:nvPicPr>
      <xdr:blipFill>
        <a:blip xmlns:r="http://schemas.openxmlformats.org/officeDocument/2006/relationships" r:embed="rId2576"/>
        <a:stretch>
          <a:fillRect/>
        </a:stretch>
      </xdr:blipFill>
      <xdr:spPr>
        <a:xfrm>
          <a:off x="7235825" y="3368967100"/>
          <a:ext cx="878840" cy="1183640"/>
        </a:xfrm>
        <a:prstGeom prst="rect">
          <a:avLst/>
        </a:prstGeom>
      </xdr:spPr>
    </xdr:pic>
    <xdr:clientData/>
  </xdr:twoCellAnchor>
  <xdr:twoCellAnchor>
    <xdr:from>
      <xdr:col>9</xdr:col>
      <xdr:colOff>6350</xdr:colOff>
      <xdr:row>3432</xdr:row>
      <xdr:rowOff>25400</xdr:rowOff>
    </xdr:from>
    <xdr:to>
      <xdr:col>9</xdr:col>
      <xdr:colOff>885190</xdr:colOff>
      <xdr:row>3432</xdr:row>
      <xdr:rowOff>1209040</xdr:rowOff>
    </xdr:to>
    <xdr:pic>
      <xdr:nvPicPr>
        <xdr:cNvPr id="7865" name="Изображение 7864" descr="resizeПП-00219040"/>
        <xdr:cNvPicPr>
          <a:picLocks noChangeAspect="1"/>
        </xdr:cNvPicPr>
      </xdr:nvPicPr>
      <xdr:blipFill>
        <a:blip xmlns:r="http://schemas.openxmlformats.org/officeDocument/2006/relationships" r:embed="rId2577"/>
        <a:stretch>
          <a:fillRect/>
        </a:stretch>
      </xdr:blipFill>
      <xdr:spPr>
        <a:xfrm>
          <a:off x="7235825" y="3370189475"/>
          <a:ext cx="878840" cy="1183640"/>
        </a:xfrm>
        <a:prstGeom prst="rect">
          <a:avLst/>
        </a:prstGeom>
      </xdr:spPr>
    </xdr:pic>
    <xdr:clientData/>
  </xdr:twoCellAnchor>
  <xdr:twoCellAnchor>
    <xdr:from>
      <xdr:col>9</xdr:col>
      <xdr:colOff>6350</xdr:colOff>
      <xdr:row>3433</xdr:row>
      <xdr:rowOff>25400</xdr:rowOff>
    </xdr:from>
    <xdr:to>
      <xdr:col>9</xdr:col>
      <xdr:colOff>885190</xdr:colOff>
      <xdr:row>3433</xdr:row>
      <xdr:rowOff>1209040</xdr:rowOff>
    </xdr:to>
    <xdr:pic>
      <xdr:nvPicPr>
        <xdr:cNvPr id="7866" name="Изображение 7865" descr="resizeПП-00219041"/>
        <xdr:cNvPicPr>
          <a:picLocks noChangeAspect="1"/>
        </xdr:cNvPicPr>
      </xdr:nvPicPr>
      <xdr:blipFill>
        <a:blip xmlns:r="http://schemas.openxmlformats.org/officeDocument/2006/relationships" r:embed="rId2578"/>
        <a:stretch>
          <a:fillRect/>
        </a:stretch>
      </xdr:blipFill>
      <xdr:spPr>
        <a:xfrm>
          <a:off x="7235825" y="3371411850"/>
          <a:ext cx="878840" cy="1183640"/>
        </a:xfrm>
        <a:prstGeom prst="rect">
          <a:avLst/>
        </a:prstGeom>
      </xdr:spPr>
    </xdr:pic>
    <xdr:clientData/>
  </xdr:twoCellAnchor>
  <xdr:twoCellAnchor>
    <xdr:from>
      <xdr:col>9</xdr:col>
      <xdr:colOff>6350</xdr:colOff>
      <xdr:row>3434</xdr:row>
      <xdr:rowOff>25400</xdr:rowOff>
    </xdr:from>
    <xdr:to>
      <xdr:col>9</xdr:col>
      <xdr:colOff>885190</xdr:colOff>
      <xdr:row>3434</xdr:row>
      <xdr:rowOff>1209040</xdr:rowOff>
    </xdr:to>
    <xdr:pic>
      <xdr:nvPicPr>
        <xdr:cNvPr id="7867" name="Изображение 7866" descr="resizeПП-00219023"/>
        <xdr:cNvPicPr>
          <a:picLocks noChangeAspect="1"/>
        </xdr:cNvPicPr>
      </xdr:nvPicPr>
      <xdr:blipFill>
        <a:blip xmlns:r="http://schemas.openxmlformats.org/officeDocument/2006/relationships" r:embed="rId2579"/>
        <a:stretch>
          <a:fillRect/>
        </a:stretch>
      </xdr:blipFill>
      <xdr:spPr>
        <a:xfrm>
          <a:off x="7235825" y="3372634225"/>
          <a:ext cx="878840" cy="1183640"/>
        </a:xfrm>
        <a:prstGeom prst="rect">
          <a:avLst/>
        </a:prstGeom>
      </xdr:spPr>
    </xdr:pic>
    <xdr:clientData/>
  </xdr:twoCellAnchor>
  <xdr:twoCellAnchor>
    <xdr:from>
      <xdr:col>9</xdr:col>
      <xdr:colOff>6350</xdr:colOff>
      <xdr:row>3435</xdr:row>
      <xdr:rowOff>25400</xdr:rowOff>
    </xdr:from>
    <xdr:to>
      <xdr:col>9</xdr:col>
      <xdr:colOff>885190</xdr:colOff>
      <xdr:row>3435</xdr:row>
      <xdr:rowOff>1209040</xdr:rowOff>
    </xdr:to>
    <xdr:pic>
      <xdr:nvPicPr>
        <xdr:cNvPr id="7868" name="Изображение 7867" descr="resizeПП-00219019"/>
        <xdr:cNvPicPr>
          <a:picLocks noChangeAspect="1"/>
        </xdr:cNvPicPr>
      </xdr:nvPicPr>
      <xdr:blipFill>
        <a:blip xmlns:r="http://schemas.openxmlformats.org/officeDocument/2006/relationships" r:embed="rId2580"/>
        <a:stretch>
          <a:fillRect/>
        </a:stretch>
      </xdr:blipFill>
      <xdr:spPr>
        <a:xfrm>
          <a:off x="7235825" y="3373856600"/>
          <a:ext cx="878840" cy="1183640"/>
        </a:xfrm>
        <a:prstGeom prst="rect">
          <a:avLst/>
        </a:prstGeom>
      </xdr:spPr>
    </xdr:pic>
    <xdr:clientData/>
  </xdr:twoCellAnchor>
  <xdr:twoCellAnchor>
    <xdr:from>
      <xdr:col>9</xdr:col>
      <xdr:colOff>6350</xdr:colOff>
      <xdr:row>3436</xdr:row>
      <xdr:rowOff>25400</xdr:rowOff>
    </xdr:from>
    <xdr:to>
      <xdr:col>9</xdr:col>
      <xdr:colOff>885190</xdr:colOff>
      <xdr:row>3436</xdr:row>
      <xdr:rowOff>1209040</xdr:rowOff>
    </xdr:to>
    <xdr:pic>
      <xdr:nvPicPr>
        <xdr:cNvPr id="7869" name="Изображение 7868" descr="resizeПП-00219029"/>
        <xdr:cNvPicPr>
          <a:picLocks noChangeAspect="1"/>
        </xdr:cNvPicPr>
      </xdr:nvPicPr>
      <xdr:blipFill>
        <a:blip xmlns:r="http://schemas.openxmlformats.org/officeDocument/2006/relationships" r:embed="rId2581"/>
        <a:stretch>
          <a:fillRect/>
        </a:stretch>
      </xdr:blipFill>
      <xdr:spPr>
        <a:xfrm>
          <a:off x="7235825" y="3375078975"/>
          <a:ext cx="878840" cy="1183640"/>
        </a:xfrm>
        <a:prstGeom prst="rect">
          <a:avLst/>
        </a:prstGeom>
      </xdr:spPr>
    </xdr:pic>
    <xdr:clientData/>
  </xdr:twoCellAnchor>
  <xdr:twoCellAnchor>
    <xdr:from>
      <xdr:col>9</xdr:col>
      <xdr:colOff>6350</xdr:colOff>
      <xdr:row>3437</xdr:row>
      <xdr:rowOff>25400</xdr:rowOff>
    </xdr:from>
    <xdr:to>
      <xdr:col>9</xdr:col>
      <xdr:colOff>885190</xdr:colOff>
      <xdr:row>3437</xdr:row>
      <xdr:rowOff>1209040</xdr:rowOff>
    </xdr:to>
    <xdr:pic>
      <xdr:nvPicPr>
        <xdr:cNvPr id="7870" name="Изображение 7869" descr="resizeПП-00219039"/>
        <xdr:cNvPicPr>
          <a:picLocks noChangeAspect="1"/>
        </xdr:cNvPicPr>
      </xdr:nvPicPr>
      <xdr:blipFill>
        <a:blip xmlns:r="http://schemas.openxmlformats.org/officeDocument/2006/relationships" r:embed="rId2582"/>
        <a:stretch>
          <a:fillRect/>
        </a:stretch>
      </xdr:blipFill>
      <xdr:spPr>
        <a:xfrm>
          <a:off x="7235825" y="3376301350"/>
          <a:ext cx="878840" cy="1183640"/>
        </a:xfrm>
        <a:prstGeom prst="rect">
          <a:avLst/>
        </a:prstGeom>
      </xdr:spPr>
    </xdr:pic>
    <xdr:clientData/>
  </xdr:twoCellAnchor>
  <xdr:twoCellAnchor>
    <xdr:from>
      <xdr:col>9</xdr:col>
      <xdr:colOff>6350</xdr:colOff>
      <xdr:row>3439</xdr:row>
      <xdr:rowOff>25400</xdr:rowOff>
    </xdr:from>
    <xdr:to>
      <xdr:col>9</xdr:col>
      <xdr:colOff>885190</xdr:colOff>
      <xdr:row>3439</xdr:row>
      <xdr:rowOff>1209040</xdr:rowOff>
    </xdr:to>
    <xdr:pic>
      <xdr:nvPicPr>
        <xdr:cNvPr id="7871" name="Изображение 7870" descr="resizeПП-00076616"/>
        <xdr:cNvPicPr>
          <a:picLocks noChangeAspect="1"/>
        </xdr:cNvPicPr>
      </xdr:nvPicPr>
      <xdr:blipFill>
        <a:blip xmlns:r="http://schemas.openxmlformats.org/officeDocument/2006/relationships" r:embed="rId2583"/>
        <a:stretch>
          <a:fillRect/>
        </a:stretch>
      </xdr:blipFill>
      <xdr:spPr>
        <a:xfrm>
          <a:off x="7235825" y="3377676125"/>
          <a:ext cx="878840" cy="1183640"/>
        </a:xfrm>
        <a:prstGeom prst="rect">
          <a:avLst/>
        </a:prstGeom>
      </xdr:spPr>
    </xdr:pic>
    <xdr:clientData/>
  </xdr:twoCellAnchor>
  <xdr:twoCellAnchor>
    <xdr:from>
      <xdr:col>9</xdr:col>
      <xdr:colOff>6350</xdr:colOff>
      <xdr:row>3442</xdr:row>
      <xdr:rowOff>25400</xdr:rowOff>
    </xdr:from>
    <xdr:to>
      <xdr:col>9</xdr:col>
      <xdr:colOff>885190</xdr:colOff>
      <xdr:row>3442</xdr:row>
      <xdr:rowOff>1209040</xdr:rowOff>
    </xdr:to>
    <xdr:pic>
      <xdr:nvPicPr>
        <xdr:cNvPr id="7872" name="Изображение 7871" descr="resizeПП-00211412"/>
        <xdr:cNvPicPr>
          <a:picLocks noChangeAspect="1"/>
        </xdr:cNvPicPr>
      </xdr:nvPicPr>
      <xdr:blipFill>
        <a:blip xmlns:r="http://schemas.openxmlformats.org/officeDocument/2006/relationships" r:embed="rId2584"/>
        <a:stretch>
          <a:fillRect/>
        </a:stretch>
      </xdr:blipFill>
      <xdr:spPr>
        <a:xfrm>
          <a:off x="7235825" y="3379203300"/>
          <a:ext cx="878840" cy="1183640"/>
        </a:xfrm>
        <a:prstGeom prst="rect">
          <a:avLst/>
        </a:prstGeom>
      </xdr:spPr>
    </xdr:pic>
    <xdr:clientData/>
  </xdr:twoCellAnchor>
  <xdr:twoCellAnchor>
    <xdr:from>
      <xdr:col>9</xdr:col>
      <xdr:colOff>6350</xdr:colOff>
      <xdr:row>3443</xdr:row>
      <xdr:rowOff>25400</xdr:rowOff>
    </xdr:from>
    <xdr:to>
      <xdr:col>9</xdr:col>
      <xdr:colOff>885190</xdr:colOff>
      <xdr:row>3443</xdr:row>
      <xdr:rowOff>1209040</xdr:rowOff>
    </xdr:to>
    <xdr:pic>
      <xdr:nvPicPr>
        <xdr:cNvPr id="7873" name="Изображение 7872" descr="resizeПП-00211413"/>
        <xdr:cNvPicPr>
          <a:picLocks noChangeAspect="1"/>
        </xdr:cNvPicPr>
      </xdr:nvPicPr>
      <xdr:blipFill>
        <a:blip xmlns:r="http://schemas.openxmlformats.org/officeDocument/2006/relationships" r:embed="rId2585"/>
        <a:stretch>
          <a:fillRect/>
        </a:stretch>
      </xdr:blipFill>
      <xdr:spPr>
        <a:xfrm>
          <a:off x="7235825" y="3380425675"/>
          <a:ext cx="878840" cy="1183640"/>
        </a:xfrm>
        <a:prstGeom prst="rect">
          <a:avLst/>
        </a:prstGeom>
      </xdr:spPr>
    </xdr:pic>
    <xdr:clientData/>
  </xdr:twoCellAnchor>
  <xdr:twoCellAnchor>
    <xdr:from>
      <xdr:col>9</xdr:col>
      <xdr:colOff>6350</xdr:colOff>
      <xdr:row>3444</xdr:row>
      <xdr:rowOff>25400</xdr:rowOff>
    </xdr:from>
    <xdr:to>
      <xdr:col>9</xdr:col>
      <xdr:colOff>885190</xdr:colOff>
      <xdr:row>3444</xdr:row>
      <xdr:rowOff>1209040</xdr:rowOff>
    </xdr:to>
    <xdr:pic>
      <xdr:nvPicPr>
        <xdr:cNvPr id="7874" name="Изображение 7873" descr="resizeПП-00211419"/>
        <xdr:cNvPicPr>
          <a:picLocks noChangeAspect="1"/>
        </xdr:cNvPicPr>
      </xdr:nvPicPr>
      <xdr:blipFill>
        <a:blip xmlns:r="http://schemas.openxmlformats.org/officeDocument/2006/relationships" r:embed="rId2586"/>
        <a:stretch>
          <a:fillRect/>
        </a:stretch>
      </xdr:blipFill>
      <xdr:spPr>
        <a:xfrm>
          <a:off x="7235825" y="3381648050"/>
          <a:ext cx="878840" cy="1183640"/>
        </a:xfrm>
        <a:prstGeom prst="rect">
          <a:avLst/>
        </a:prstGeom>
      </xdr:spPr>
    </xdr:pic>
    <xdr:clientData/>
  </xdr:twoCellAnchor>
  <xdr:twoCellAnchor>
    <xdr:from>
      <xdr:col>9</xdr:col>
      <xdr:colOff>6350</xdr:colOff>
      <xdr:row>3445</xdr:row>
      <xdr:rowOff>25400</xdr:rowOff>
    </xdr:from>
    <xdr:to>
      <xdr:col>9</xdr:col>
      <xdr:colOff>885190</xdr:colOff>
      <xdr:row>3445</xdr:row>
      <xdr:rowOff>1209040</xdr:rowOff>
    </xdr:to>
    <xdr:pic>
      <xdr:nvPicPr>
        <xdr:cNvPr id="7875" name="Изображение 7874" descr="resizeПП-00211457"/>
        <xdr:cNvPicPr>
          <a:picLocks noChangeAspect="1"/>
        </xdr:cNvPicPr>
      </xdr:nvPicPr>
      <xdr:blipFill>
        <a:blip xmlns:r="http://schemas.openxmlformats.org/officeDocument/2006/relationships" r:embed="rId2587"/>
        <a:stretch>
          <a:fillRect/>
        </a:stretch>
      </xdr:blipFill>
      <xdr:spPr>
        <a:xfrm>
          <a:off x="7235825" y="3382870425"/>
          <a:ext cx="878840" cy="1183640"/>
        </a:xfrm>
        <a:prstGeom prst="rect">
          <a:avLst/>
        </a:prstGeom>
      </xdr:spPr>
    </xdr:pic>
    <xdr:clientData/>
  </xdr:twoCellAnchor>
  <xdr:twoCellAnchor>
    <xdr:from>
      <xdr:col>9</xdr:col>
      <xdr:colOff>6350</xdr:colOff>
      <xdr:row>3446</xdr:row>
      <xdr:rowOff>25400</xdr:rowOff>
    </xdr:from>
    <xdr:to>
      <xdr:col>9</xdr:col>
      <xdr:colOff>885190</xdr:colOff>
      <xdr:row>3446</xdr:row>
      <xdr:rowOff>1209040</xdr:rowOff>
    </xdr:to>
    <xdr:pic>
      <xdr:nvPicPr>
        <xdr:cNvPr id="7876" name="Изображение 7875" descr="resizeПП-00211455"/>
        <xdr:cNvPicPr>
          <a:picLocks noChangeAspect="1"/>
        </xdr:cNvPicPr>
      </xdr:nvPicPr>
      <xdr:blipFill>
        <a:blip xmlns:r="http://schemas.openxmlformats.org/officeDocument/2006/relationships" r:embed="rId2588"/>
        <a:stretch>
          <a:fillRect/>
        </a:stretch>
      </xdr:blipFill>
      <xdr:spPr>
        <a:xfrm>
          <a:off x="7235825" y="3384092800"/>
          <a:ext cx="878840" cy="1183640"/>
        </a:xfrm>
        <a:prstGeom prst="rect">
          <a:avLst/>
        </a:prstGeom>
      </xdr:spPr>
    </xdr:pic>
    <xdr:clientData/>
  </xdr:twoCellAnchor>
  <xdr:twoCellAnchor>
    <xdr:from>
      <xdr:col>9</xdr:col>
      <xdr:colOff>6350</xdr:colOff>
      <xdr:row>3447</xdr:row>
      <xdr:rowOff>25400</xdr:rowOff>
    </xdr:from>
    <xdr:to>
      <xdr:col>9</xdr:col>
      <xdr:colOff>885190</xdr:colOff>
      <xdr:row>3447</xdr:row>
      <xdr:rowOff>1209040</xdr:rowOff>
    </xdr:to>
    <xdr:pic>
      <xdr:nvPicPr>
        <xdr:cNvPr id="7877" name="Изображение 7876" descr="resizeПП-00211456"/>
        <xdr:cNvPicPr>
          <a:picLocks noChangeAspect="1"/>
        </xdr:cNvPicPr>
      </xdr:nvPicPr>
      <xdr:blipFill>
        <a:blip xmlns:r="http://schemas.openxmlformats.org/officeDocument/2006/relationships" r:embed="rId2587"/>
        <a:stretch>
          <a:fillRect/>
        </a:stretch>
      </xdr:blipFill>
      <xdr:spPr>
        <a:xfrm>
          <a:off x="7235825" y="3385315175"/>
          <a:ext cx="878840" cy="1183640"/>
        </a:xfrm>
        <a:prstGeom prst="rect">
          <a:avLst/>
        </a:prstGeom>
      </xdr:spPr>
    </xdr:pic>
    <xdr:clientData/>
  </xdr:twoCellAnchor>
  <xdr:twoCellAnchor>
    <xdr:from>
      <xdr:col>9</xdr:col>
      <xdr:colOff>6350</xdr:colOff>
      <xdr:row>3448</xdr:row>
      <xdr:rowOff>25400</xdr:rowOff>
    </xdr:from>
    <xdr:to>
      <xdr:col>9</xdr:col>
      <xdr:colOff>885190</xdr:colOff>
      <xdr:row>3448</xdr:row>
      <xdr:rowOff>1209040</xdr:rowOff>
    </xdr:to>
    <xdr:pic>
      <xdr:nvPicPr>
        <xdr:cNvPr id="7878" name="Изображение 7877" descr="resizeПП-00211444"/>
        <xdr:cNvPicPr>
          <a:picLocks noChangeAspect="1"/>
        </xdr:cNvPicPr>
      </xdr:nvPicPr>
      <xdr:blipFill>
        <a:blip xmlns:r="http://schemas.openxmlformats.org/officeDocument/2006/relationships" r:embed="rId2589"/>
        <a:stretch>
          <a:fillRect/>
        </a:stretch>
      </xdr:blipFill>
      <xdr:spPr>
        <a:xfrm>
          <a:off x="7235825" y="3386537550"/>
          <a:ext cx="878840" cy="1183640"/>
        </a:xfrm>
        <a:prstGeom prst="rect">
          <a:avLst/>
        </a:prstGeom>
      </xdr:spPr>
    </xdr:pic>
    <xdr:clientData/>
  </xdr:twoCellAnchor>
  <xdr:twoCellAnchor>
    <xdr:from>
      <xdr:col>9</xdr:col>
      <xdr:colOff>6350</xdr:colOff>
      <xdr:row>3449</xdr:row>
      <xdr:rowOff>25400</xdr:rowOff>
    </xdr:from>
    <xdr:to>
      <xdr:col>9</xdr:col>
      <xdr:colOff>885190</xdr:colOff>
      <xdr:row>3449</xdr:row>
      <xdr:rowOff>1209040</xdr:rowOff>
    </xdr:to>
    <xdr:pic>
      <xdr:nvPicPr>
        <xdr:cNvPr id="7879" name="Изображение 7878" descr="resizeПП-00211450"/>
        <xdr:cNvPicPr>
          <a:picLocks noChangeAspect="1"/>
        </xdr:cNvPicPr>
      </xdr:nvPicPr>
      <xdr:blipFill>
        <a:blip xmlns:r="http://schemas.openxmlformats.org/officeDocument/2006/relationships" r:embed="rId2590"/>
        <a:stretch>
          <a:fillRect/>
        </a:stretch>
      </xdr:blipFill>
      <xdr:spPr>
        <a:xfrm>
          <a:off x="7235825" y="3387759925"/>
          <a:ext cx="878840" cy="1183640"/>
        </a:xfrm>
        <a:prstGeom prst="rect">
          <a:avLst/>
        </a:prstGeom>
      </xdr:spPr>
    </xdr:pic>
    <xdr:clientData/>
  </xdr:twoCellAnchor>
  <xdr:twoCellAnchor>
    <xdr:from>
      <xdr:col>9</xdr:col>
      <xdr:colOff>6350</xdr:colOff>
      <xdr:row>3450</xdr:row>
      <xdr:rowOff>25400</xdr:rowOff>
    </xdr:from>
    <xdr:to>
      <xdr:col>9</xdr:col>
      <xdr:colOff>885190</xdr:colOff>
      <xdr:row>3450</xdr:row>
      <xdr:rowOff>1209040</xdr:rowOff>
    </xdr:to>
    <xdr:pic>
      <xdr:nvPicPr>
        <xdr:cNvPr id="7880" name="Изображение 7879" descr="resizeПП-00211446"/>
        <xdr:cNvPicPr>
          <a:picLocks noChangeAspect="1"/>
        </xdr:cNvPicPr>
      </xdr:nvPicPr>
      <xdr:blipFill>
        <a:blip xmlns:r="http://schemas.openxmlformats.org/officeDocument/2006/relationships" r:embed="rId2591"/>
        <a:stretch>
          <a:fillRect/>
        </a:stretch>
      </xdr:blipFill>
      <xdr:spPr>
        <a:xfrm>
          <a:off x="7235825" y="3388982300"/>
          <a:ext cx="878840" cy="1183640"/>
        </a:xfrm>
        <a:prstGeom prst="rect">
          <a:avLst/>
        </a:prstGeom>
      </xdr:spPr>
    </xdr:pic>
    <xdr:clientData/>
  </xdr:twoCellAnchor>
  <xdr:twoCellAnchor>
    <xdr:from>
      <xdr:col>9</xdr:col>
      <xdr:colOff>6350</xdr:colOff>
      <xdr:row>3451</xdr:row>
      <xdr:rowOff>25400</xdr:rowOff>
    </xdr:from>
    <xdr:to>
      <xdr:col>9</xdr:col>
      <xdr:colOff>885190</xdr:colOff>
      <xdr:row>3451</xdr:row>
      <xdr:rowOff>1209040</xdr:rowOff>
    </xdr:to>
    <xdr:pic>
      <xdr:nvPicPr>
        <xdr:cNvPr id="7881" name="Изображение 7880" descr="resizeПП-00211451"/>
        <xdr:cNvPicPr>
          <a:picLocks noChangeAspect="1"/>
        </xdr:cNvPicPr>
      </xdr:nvPicPr>
      <xdr:blipFill>
        <a:blip xmlns:r="http://schemas.openxmlformats.org/officeDocument/2006/relationships" r:embed="rId2592"/>
        <a:stretch>
          <a:fillRect/>
        </a:stretch>
      </xdr:blipFill>
      <xdr:spPr>
        <a:xfrm>
          <a:off x="7235825" y="3390204675"/>
          <a:ext cx="878840" cy="1183640"/>
        </a:xfrm>
        <a:prstGeom prst="rect">
          <a:avLst/>
        </a:prstGeom>
      </xdr:spPr>
    </xdr:pic>
    <xdr:clientData/>
  </xdr:twoCellAnchor>
  <xdr:twoCellAnchor>
    <xdr:from>
      <xdr:col>9</xdr:col>
      <xdr:colOff>6350</xdr:colOff>
      <xdr:row>3452</xdr:row>
      <xdr:rowOff>25400</xdr:rowOff>
    </xdr:from>
    <xdr:to>
      <xdr:col>9</xdr:col>
      <xdr:colOff>885190</xdr:colOff>
      <xdr:row>3452</xdr:row>
      <xdr:rowOff>1209040</xdr:rowOff>
    </xdr:to>
    <xdr:pic>
      <xdr:nvPicPr>
        <xdr:cNvPr id="7882" name="Изображение 7881" descr="resizeПП-00211448"/>
        <xdr:cNvPicPr>
          <a:picLocks noChangeAspect="1"/>
        </xdr:cNvPicPr>
      </xdr:nvPicPr>
      <xdr:blipFill>
        <a:blip xmlns:r="http://schemas.openxmlformats.org/officeDocument/2006/relationships" r:embed="rId2593"/>
        <a:stretch>
          <a:fillRect/>
        </a:stretch>
      </xdr:blipFill>
      <xdr:spPr>
        <a:xfrm>
          <a:off x="7235825" y="3391427050"/>
          <a:ext cx="878840" cy="1183640"/>
        </a:xfrm>
        <a:prstGeom prst="rect">
          <a:avLst/>
        </a:prstGeom>
      </xdr:spPr>
    </xdr:pic>
    <xdr:clientData/>
  </xdr:twoCellAnchor>
  <xdr:twoCellAnchor>
    <xdr:from>
      <xdr:col>9</xdr:col>
      <xdr:colOff>6350</xdr:colOff>
      <xdr:row>3453</xdr:row>
      <xdr:rowOff>25400</xdr:rowOff>
    </xdr:from>
    <xdr:to>
      <xdr:col>9</xdr:col>
      <xdr:colOff>885190</xdr:colOff>
      <xdr:row>3453</xdr:row>
      <xdr:rowOff>1209040</xdr:rowOff>
    </xdr:to>
    <xdr:pic>
      <xdr:nvPicPr>
        <xdr:cNvPr id="7883" name="Изображение 7882" descr="resizeПП-00211411"/>
        <xdr:cNvPicPr>
          <a:picLocks noChangeAspect="1"/>
        </xdr:cNvPicPr>
      </xdr:nvPicPr>
      <xdr:blipFill>
        <a:blip xmlns:r="http://schemas.openxmlformats.org/officeDocument/2006/relationships" r:embed="rId2594"/>
        <a:stretch>
          <a:fillRect/>
        </a:stretch>
      </xdr:blipFill>
      <xdr:spPr>
        <a:xfrm>
          <a:off x="7235825" y="3392649425"/>
          <a:ext cx="878840" cy="1183640"/>
        </a:xfrm>
        <a:prstGeom prst="rect">
          <a:avLst/>
        </a:prstGeom>
      </xdr:spPr>
    </xdr:pic>
    <xdr:clientData/>
  </xdr:twoCellAnchor>
  <xdr:twoCellAnchor>
    <xdr:from>
      <xdr:col>9</xdr:col>
      <xdr:colOff>6350</xdr:colOff>
      <xdr:row>3454</xdr:row>
      <xdr:rowOff>25400</xdr:rowOff>
    </xdr:from>
    <xdr:to>
      <xdr:col>9</xdr:col>
      <xdr:colOff>885190</xdr:colOff>
      <xdr:row>3454</xdr:row>
      <xdr:rowOff>1209040</xdr:rowOff>
    </xdr:to>
    <xdr:pic>
      <xdr:nvPicPr>
        <xdr:cNvPr id="7884" name="Изображение 7883" descr="resizeПП-00211460"/>
        <xdr:cNvPicPr>
          <a:picLocks noChangeAspect="1"/>
        </xdr:cNvPicPr>
      </xdr:nvPicPr>
      <xdr:blipFill>
        <a:blip xmlns:r="http://schemas.openxmlformats.org/officeDocument/2006/relationships" r:embed="rId2595"/>
        <a:stretch>
          <a:fillRect/>
        </a:stretch>
      </xdr:blipFill>
      <xdr:spPr>
        <a:xfrm>
          <a:off x="7235825" y="3393871800"/>
          <a:ext cx="878840" cy="1183640"/>
        </a:xfrm>
        <a:prstGeom prst="rect">
          <a:avLst/>
        </a:prstGeom>
      </xdr:spPr>
    </xdr:pic>
    <xdr:clientData/>
  </xdr:twoCellAnchor>
  <xdr:twoCellAnchor>
    <xdr:from>
      <xdr:col>9</xdr:col>
      <xdr:colOff>6350</xdr:colOff>
      <xdr:row>3455</xdr:row>
      <xdr:rowOff>25400</xdr:rowOff>
    </xdr:from>
    <xdr:to>
      <xdr:col>9</xdr:col>
      <xdr:colOff>885190</xdr:colOff>
      <xdr:row>3455</xdr:row>
      <xdr:rowOff>1209040</xdr:rowOff>
    </xdr:to>
    <xdr:pic>
      <xdr:nvPicPr>
        <xdr:cNvPr id="7885" name="Изображение 7884" descr="resizeПП-00211415"/>
        <xdr:cNvPicPr>
          <a:picLocks noChangeAspect="1"/>
        </xdr:cNvPicPr>
      </xdr:nvPicPr>
      <xdr:blipFill>
        <a:blip xmlns:r="http://schemas.openxmlformats.org/officeDocument/2006/relationships" r:embed="rId2596"/>
        <a:stretch>
          <a:fillRect/>
        </a:stretch>
      </xdr:blipFill>
      <xdr:spPr>
        <a:xfrm>
          <a:off x="7235825" y="3395094175"/>
          <a:ext cx="878840" cy="1183640"/>
        </a:xfrm>
        <a:prstGeom prst="rect">
          <a:avLst/>
        </a:prstGeom>
      </xdr:spPr>
    </xdr:pic>
    <xdr:clientData/>
  </xdr:twoCellAnchor>
  <xdr:twoCellAnchor>
    <xdr:from>
      <xdr:col>9</xdr:col>
      <xdr:colOff>6350</xdr:colOff>
      <xdr:row>3456</xdr:row>
      <xdr:rowOff>25400</xdr:rowOff>
    </xdr:from>
    <xdr:to>
      <xdr:col>9</xdr:col>
      <xdr:colOff>885190</xdr:colOff>
      <xdr:row>3456</xdr:row>
      <xdr:rowOff>1209040</xdr:rowOff>
    </xdr:to>
    <xdr:pic>
      <xdr:nvPicPr>
        <xdr:cNvPr id="7886" name="Изображение 7885" descr="resizeПП-00211458"/>
        <xdr:cNvPicPr>
          <a:picLocks noChangeAspect="1"/>
        </xdr:cNvPicPr>
      </xdr:nvPicPr>
      <xdr:blipFill>
        <a:blip xmlns:r="http://schemas.openxmlformats.org/officeDocument/2006/relationships" r:embed="rId2597"/>
        <a:stretch>
          <a:fillRect/>
        </a:stretch>
      </xdr:blipFill>
      <xdr:spPr>
        <a:xfrm>
          <a:off x="7235825" y="3396316550"/>
          <a:ext cx="878840" cy="1183640"/>
        </a:xfrm>
        <a:prstGeom prst="rect">
          <a:avLst/>
        </a:prstGeom>
      </xdr:spPr>
    </xdr:pic>
    <xdr:clientData/>
  </xdr:twoCellAnchor>
  <xdr:twoCellAnchor>
    <xdr:from>
      <xdr:col>9</xdr:col>
      <xdr:colOff>6350</xdr:colOff>
      <xdr:row>3457</xdr:row>
      <xdr:rowOff>25400</xdr:rowOff>
    </xdr:from>
    <xdr:to>
      <xdr:col>9</xdr:col>
      <xdr:colOff>885190</xdr:colOff>
      <xdr:row>3457</xdr:row>
      <xdr:rowOff>1209040</xdr:rowOff>
    </xdr:to>
    <xdr:pic>
      <xdr:nvPicPr>
        <xdr:cNvPr id="7887" name="Изображение 7886" descr="resizeПП-00211459"/>
        <xdr:cNvPicPr>
          <a:picLocks noChangeAspect="1"/>
        </xdr:cNvPicPr>
      </xdr:nvPicPr>
      <xdr:blipFill>
        <a:blip xmlns:r="http://schemas.openxmlformats.org/officeDocument/2006/relationships" r:embed="rId2598"/>
        <a:stretch>
          <a:fillRect/>
        </a:stretch>
      </xdr:blipFill>
      <xdr:spPr>
        <a:xfrm>
          <a:off x="7235825" y="3397538925"/>
          <a:ext cx="878840" cy="1183640"/>
        </a:xfrm>
        <a:prstGeom prst="rect">
          <a:avLst/>
        </a:prstGeom>
      </xdr:spPr>
    </xdr:pic>
    <xdr:clientData/>
  </xdr:twoCellAnchor>
  <xdr:twoCellAnchor>
    <xdr:from>
      <xdr:col>9</xdr:col>
      <xdr:colOff>6350</xdr:colOff>
      <xdr:row>3459</xdr:row>
      <xdr:rowOff>25400</xdr:rowOff>
    </xdr:from>
    <xdr:to>
      <xdr:col>9</xdr:col>
      <xdr:colOff>885190</xdr:colOff>
      <xdr:row>3459</xdr:row>
      <xdr:rowOff>1209040</xdr:rowOff>
    </xdr:to>
    <xdr:pic>
      <xdr:nvPicPr>
        <xdr:cNvPr id="7888" name="Изображение 7887" descr="resizeПП-00222268"/>
        <xdr:cNvPicPr>
          <a:picLocks noChangeAspect="1"/>
        </xdr:cNvPicPr>
      </xdr:nvPicPr>
      <xdr:blipFill>
        <a:blip xmlns:r="http://schemas.openxmlformats.org/officeDocument/2006/relationships" r:embed="rId2599"/>
        <a:stretch>
          <a:fillRect/>
        </a:stretch>
      </xdr:blipFill>
      <xdr:spPr>
        <a:xfrm>
          <a:off x="7235825" y="3398913700"/>
          <a:ext cx="878840" cy="1183640"/>
        </a:xfrm>
        <a:prstGeom prst="rect">
          <a:avLst/>
        </a:prstGeom>
      </xdr:spPr>
    </xdr:pic>
    <xdr:clientData/>
  </xdr:twoCellAnchor>
  <xdr:twoCellAnchor>
    <xdr:from>
      <xdr:col>9</xdr:col>
      <xdr:colOff>6350</xdr:colOff>
      <xdr:row>3460</xdr:row>
      <xdr:rowOff>25400</xdr:rowOff>
    </xdr:from>
    <xdr:to>
      <xdr:col>9</xdr:col>
      <xdr:colOff>885190</xdr:colOff>
      <xdr:row>3460</xdr:row>
      <xdr:rowOff>1209040</xdr:rowOff>
    </xdr:to>
    <xdr:pic>
      <xdr:nvPicPr>
        <xdr:cNvPr id="7889" name="Изображение 7888" descr="resizeПП-00222278"/>
        <xdr:cNvPicPr>
          <a:picLocks noChangeAspect="1"/>
        </xdr:cNvPicPr>
      </xdr:nvPicPr>
      <xdr:blipFill>
        <a:blip xmlns:r="http://schemas.openxmlformats.org/officeDocument/2006/relationships" r:embed="rId2600"/>
        <a:stretch>
          <a:fillRect/>
        </a:stretch>
      </xdr:blipFill>
      <xdr:spPr>
        <a:xfrm>
          <a:off x="7235825" y="3400136075"/>
          <a:ext cx="878840" cy="1183640"/>
        </a:xfrm>
        <a:prstGeom prst="rect">
          <a:avLst/>
        </a:prstGeom>
      </xdr:spPr>
    </xdr:pic>
    <xdr:clientData/>
  </xdr:twoCellAnchor>
  <xdr:twoCellAnchor>
    <xdr:from>
      <xdr:col>9</xdr:col>
      <xdr:colOff>6350</xdr:colOff>
      <xdr:row>3462</xdr:row>
      <xdr:rowOff>25400</xdr:rowOff>
    </xdr:from>
    <xdr:to>
      <xdr:col>9</xdr:col>
      <xdr:colOff>885190</xdr:colOff>
      <xdr:row>3462</xdr:row>
      <xdr:rowOff>1209040</xdr:rowOff>
    </xdr:to>
    <xdr:pic>
      <xdr:nvPicPr>
        <xdr:cNvPr id="7890" name="Изображение 7889" descr="resizeПП-00234599"/>
        <xdr:cNvPicPr>
          <a:picLocks noChangeAspect="1"/>
        </xdr:cNvPicPr>
      </xdr:nvPicPr>
      <xdr:blipFill>
        <a:blip xmlns:r="http://schemas.openxmlformats.org/officeDocument/2006/relationships" r:embed="rId2601"/>
        <a:stretch>
          <a:fillRect/>
        </a:stretch>
      </xdr:blipFill>
      <xdr:spPr>
        <a:xfrm>
          <a:off x="7235825" y="3401510850"/>
          <a:ext cx="878840" cy="1183640"/>
        </a:xfrm>
        <a:prstGeom prst="rect">
          <a:avLst/>
        </a:prstGeom>
      </xdr:spPr>
    </xdr:pic>
    <xdr:clientData/>
  </xdr:twoCellAnchor>
  <xdr:twoCellAnchor>
    <xdr:from>
      <xdr:col>9</xdr:col>
      <xdr:colOff>6350</xdr:colOff>
      <xdr:row>3463</xdr:row>
      <xdr:rowOff>25400</xdr:rowOff>
    </xdr:from>
    <xdr:to>
      <xdr:col>9</xdr:col>
      <xdr:colOff>885190</xdr:colOff>
      <xdr:row>3463</xdr:row>
      <xdr:rowOff>1209040</xdr:rowOff>
    </xdr:to>
    <xdr:pic>
      <xdr:nvPicPr>
        <xdr:cNvPr id="7891" name="Изображение 7890" descr="resizeПП-00234589"/>
        <xdr:cNvPicPr>
          <a:picLocks noChangeAspect="1"/>
        </xdr:cNvPicPr>
      </xdr:nvPicPr>
      <xdr:blipFill>
        <a:blip xmlns:r="http://schemas.openxmlformats.org/officeDocument/2006/relationships" r:embed="rId2602"/>
        <a:stretch>
          <a:fillRect/>
        </a:stretch>
      </xdr:blipFill>
      <xdr:spPr>
        <a:xfrm>
          <a:off x="7235825" y="3402733225"/>
          <a:ext cx="878840" cy="1183640"/>
        </a:xfrm>
        <a:prstGeom prst="rect">
          <a:avLst/>
        </a:prstGeom>
      </xdr:spPr>
    </xdr:pic>
    <xdr:clientData/>
  </xdr:twoCellAnchor>
  <xdr:twoCellAnchor>
    <xdr:from>
      <xdr:col>9</xdr:col>
      <xdr:colOff>6350</xdr:colOff>
      <xdr:row>3464</xdr:row>
      <xdr:rowOff>25400</xdr:rowOff>
    </xdr:from>
    <xdr:to>
      <xdr:col>9</xdr:col>
      <xdr:colOff>885190</xdr:colOff>
      <xdr:row>3464</xdr:row>
      <xdr:rowOff>1209040</xdr:rowOff>
    </xdr:to>
    <xdr:pic>
      <xdr:nvPicPr>
        <xdr:cNvPr id="7892" name="Изображение 7891" descr="resizeПП-00234587"/>
        <xdr:cNvPicPr>
          <a:picLocks noChangeAspect="1"/>
        </xdr:cNvPicPr>
      </xdr:nvPicPr>
      <xdr:blipFill>
        <a:blip xmlns:r="http://schemas.openxmlformats.org/officeDocument/2006/relationships" r:embed="rId2603"/>
        <a:stretch>
          <a:fillRect/>
        </a:stretch>
      </xdr:blipFill>
      <xdr:spPr>
        <a:xfrm>
          <a:off x="7235825" y="3403955600"/>
          <a:ext cx="878840" cy="1183640"/>
        </a:xfrm>
        <a:prstGeom prst="rect">
          <a:avLst/>
        </a:prstGeom>
      </xdr:spPr>
    </xdr:pic>
    <xdr:clientData/>
  </xdr:twoCellAnchor>
  <xdr:twoCellAnchor>
    <xdr:from>
      <xdr:col>9</xdr:col>
      <xdr:colOff>6350</xdr:colOff>
      <xdr:row>3465</xdr:row>
      <xdr:rowOff>25400</xdr:rowOff>
    </xdr:from>
    <xdr:to>
      <xdr:col>9</xdr:col>
      <xdr:colOff>885190</xdr:colOff>
      <xdr:row>3465</xdr:row>
      <xdr:rowOff>1209040</xdr:rowOff>
    </xdr:to>
    <xdr:pic>
      <xdr:nvPicPr>
        <xdr:cNvPr id="7893" name="Изображение 7892" descr="resizeПП-00234602"/>
        <xdr:cNvPicPr>
          <a:picLocks noChangeAspect="1"/>
        </xdr:cNvPicPr>
      </xdr:nvPicPr>
      <xdr:blipFill>
        <a:blip xmlns:r="http://schemas.openxmlformats.org/officeDocument/2006/relationships" r:embed="rId2604"/>
        <a:stretch>
          <a:fillRect/>
        </a:stretch>
      </xdr:blipFill>
      <xdr:spPr>
        <a:xfrm>
          <a:off x="7235825" y="3405177975"/>
          <a:ext cx="878840" cy="1183640"/>
        </a:xfrm>
        <a:prstGeom prst="rect">
          <a:avLst/>
        </a:prstGeom>
      </xdr:spPr>
    </xdr:pic>
    <xdr:clientData/>
  </xdr:twoCellAnchor>
  <xdr:twoCellAnchor>
    <xdr:from>
      <xdr:col>9</xdr:col>
      <xdr:colOff>6350</xdr:colOff>
      <xdr:row>3466</xdr:row>
      <xdr:rowOff>25400</xdr:rowOff>
    </xdr:from>
    <xdr:to>
      <xdr:col>9</xdr:col>
      <xdr:colOff>885190</xdr:colOff>
      <xdr:row>3466</xdr:row>
      <xdr:rowOff>1209040</xdr:rowOff>
    </xdr:to>
    <xdr:pic>
      <xdr:nvPicPr>
        <xdr:cNvPr id="7894" name="Изображение 7893" descr="resizeПП-00234596"/>
        <xdr:cNvPicPr>
          <a:picLocks noChangeAspect="1"/>
        </xdr:cNvPicPr>
      </xdr:nvPicPr>
      <xdr:blipFill>
        <a:blip xmlns:r="http://schemas.openxmlformats.org/officeDocument/2006/relationships" r:embed="rId2605"/>
        <a:stretch>
          <a:fillRect/>
        </a:stretch>
      </xdr:blipFill>
      <xdr:spPr>
        <a:xfrm>
          <a:off x="7235825" y="3406400350"/>
          <a:ext cx="878840" cy="1183640"/>
        </a:xfrm>
        <a:prstGeom prst="rect">
          <a:avLst/>
        </a:prstGeom>
      </xdr:spPr>
    </xdr:pic>
    <xdr:clientData/>
  </xdr:twoCellAnchor>
  <xdr:twoCellAnchor>
    <xdr:from>
      <xdr:col>9</xdr:col>
      <xdr:colOff>6350</xdr:colOff>
      <xdr:row>3469</xdr:row>
      <xdr:rowOff>25400</xdr:rowOff>
    </xdr:from>
    <xdr:to>
      <xdr:col>9</xdr:col>
      <xdr:colOff>885190</xdr:colOff>
      <xdr:row>3469</xdr:row>
      <xdr:rowOff>1209040</xdr:rowOff>
    </xdr:to>
    <xdr:pic>
      <xdr:nvPicPr>
        <xdr:cNvPr id="7895" name="Изображение 7894" descr="resizeПП-00212646"/>
        <xdr:cNvPicPr>
          <a:picLocks noChangeAspect="1"/>
        </xdr:cNvPicPr>
      </xdr:nvPicPr>
      <xdr:blipFill>
        <a:blip xmlns:r="http://schemas.openxmlformats.org/officeDocument/2006/relationships" r:embed="rId2606"/>
        <a:stretch>
          <a:fillRect/>
        </a:stretch>
      </xdr:blipFill>
      <xdr:spPr>
        <a:xfrm>
          <a:off x="7235825" y="3407927525"/>
          <a:ext cx="878840" cy="1183640"/>
        </a:xfrm>
        <a:prstGeom prst="rect">
          <a:avLst/>
        </a:prstGeom>
      </xdr:spPr>
    </xdr:pic>
    <xdr:clientData/>
  </xdr:twoCellAnchor>
  <xdr:twoCellAnchor>
    <xdr:from>
      <xdr:col>9</xdr:col>
      <xdr:colOff>6350</xdr:colOff>
      <xdr:row>3471</xdr:row>
      <xdr:rowOff>25400</xdr:rowOff>
    </xdr:from>
    <xdr:to>
      <xdr:col>9</xdr:col>
      <xdr:colOff>885190</xdr:colOff>
      <xdr:row>3471</xdr:row>
      <xdr:rowOff>1209040</xdr:rowOff>
    </xdr:to>
    <xdr:pic>
      <xdr:nvPicPr>
        <xdr:cNvPr id="7896" name="Изображение 7895" descr="resizeПП-00234391"/>
        <xdr:cNvPicPr>
          <a:picLocks noChangeAspect="1"/>
        </xdr:cNvPicPr>
      </xdr:nvPicPr>
      <xdr:blipFill>
        <a:blip xmlns:r="http://schemas.openxmlformats.org/officeDocument/2006/relationships" r:embed="rId2607"/>
        <a:stretch>
          <a:fillRect/>
        </a:stretch>
      </xdr:blipFill>
      <xdr:spPr>
        <a:xfrm>
          <a:off x="7235825" y="3409302300"/>
          <a:ext cx="878840" cy="1183640"/>
        </a:xfrm>
        <a:prstGeom prst="rect">
          <a:avLst/>
        </a:prstGeom>
      </xdr:spPr>
    </xdr:pic>
    <xdr:clientData/>
  </xdr:twoCellAnchor>
  <xdr:twoCellAnchor>
    <xdr:from>
      <xdr:col>9</xdr:col>
      <xdr:colOff>6350</xdr:colOff>
      <xdr:row>3472</xdr:row>
      <xdr:rowOff>25400</xdr:rowOff>
    </xdr:from>
    <xdr:to>
      <xdr:col>9</xdr:col>
      <xdr:colOff>885190</xdr:colOff>
      <xdr:row>3472</xdr:row>
      <xdr:rowOff>1209040</xdr:rowOff>
    </xdr:to>
    <xdr:pic>
      <xdr:nvPicPr>
        <xdr:cNvPr id="7897" name="Изображение 7896" descr="resizeПП-00234382"/>
        <xdr:cNvPicPr>
          <a:picLocks noChangeAspect="1"/>
        </xdr:cNvPicPr>
      </xdr:nvPicPr>
      <xdr:blipFill>
        <a:blip xmlns:r="http://schemas.openxmlformats.org/officeDocument/2006/relationships" r:embed="rId2608"/>
        <a:stretch>
          <a:fillRect/>
        </a:stretch>
      </xdr:blipFill>
      <xdr:spPr>
        <a:xfrm>
          <a:off x="7235825" y="3410524675"/>
          <a:ext cx="878840" cy="1183640"/>
        </a:xfrm>
        <a:prstGeom prst="rect">
          <a:avLst/>
        </a:prstGeom>
      </xdr:spPr>
    </xdr:pic>
    <xdr:clientData/>
  </xdr:twoCellAnchor>
  <xdr:twoCellAnchor>
    <xdr:from>
      <xdr:col>9</xdr:col>
      <xdr:colOff>6350</xdr:colOff>
      <xdr:row>3473</xdr:row>
      <xdr:rowOff>25400</xdr:rowOff>
    </xdr:from>
    <xdr:to>
      <xdr:col>9</xdr:col>
      <xdr:colOff>885190</xdr:colOff>
      <xdr:row>3473</xdr:row>
      <xdr:rowOff>1209040</xdr:rowOff>
    </xdr:to>
    <xdr:pic>
      <xdr:nvPicPr>
        <xdr:cNvPr id="7898" name="Изображение 7897" descr="resizeПП-00234383"/>
        <xdr:cNvPicPr>
          <a:picLocks noChangeAspect="1"/>
        </xdr:cNvPicPr>
      </xdr:nvPicPr>
      <xdr:blipFill>
        <a:blip xmlns:r="http://schemas.openxmlformats.org/officeDocument/2006/relationships" r:embed="rId2609"/>
        <a:stretch>
          <a:fillRect/>
        </a:stretch>
      </xdr:blipFill>
      <xdr:spPr>
        <a:xfrm>
          <a:off x="7235825" y="3411747050"/>
          <a:ext cx="878840" cy="1183640"/>
        </a:xfrm>
        <a:prstGeom prst="rect">
          <a:avLst/>
        </a:prstGeom>
      </xdr:spPr>
    </xdr:pic>
    <xdr:clientData/>
  </xdr:twoCellAnchor>
  <xdr:twoCellAnchor>
    <xdr:from>
      <xdr:col>9</xdr:col>
      <xdr:colOff>6350</xdr:colOff>
      <xdr:row>3474</xdr:row>
      <xdr:rowOff>25400</xdr:rowOff>
    </xdr:from>
    <xdr:to>
      <xdr:col>9</xdr:col>
      <xdr:colOff>885190</xdr:colOff>
      <xdr:row>3474</xdr:row>
      <xdr:rowOff>1209040</xdr:rowOff>
    </xdr:to>
    <xdr:pic>
      <xdr:nvPicPr>
        <xdr:cNvPr id="7899" name="Изображение 7898" descr="resizeПП-00248799"/>
        <xdr:cNvPicPr>
          <a:picLocks noChangeAspect="1"/>
        </xdr:cNvPicPr>
      </xdr:nvPicPr>
      <xdr:blipFill>
        <a:blip xmlns:r="http://schemas.openxmlformats.org/officeDocument/2006/relationships" r:embed="rId2610"/>
        <a:stretch>
          <a:fillRect/>
        </a:stretch>
      </xdr:blipFill>
      <xdr:spPr>
        <a:xfrm>
          <a:off x="7235825" y="3412969425"/>
          <a:ext cx="878840" cy="1183640"/>
        </a:xfrm>
        <a:prstGeom prst="rect">
          <a:avLst/>
        </a:prstGeom>
      </xdr:spPr>
    </xdr:pic>
    <xdr:clientData/>
  </xdr:twoCellAnchor>
  <xdr:twoCellAnchor>
    <xdr:from>
      <xdr:col>9</xdr:col>
      <xdr:colOff>6350</xdr:colOff>
      <xdr:row>3475</xdr:row>
      <xdr:rowOff>25400</xdr:rowOff>
    </xdr:from>
    <xdr:to>
      <xdr:col>9</xdr:col>
      <xdr:colOff>885190</xdr:colOff>
      <xdr:row>3475</xdr:row>
      <xdr:rowOff>1209040</xdr:rowOff>
    </xdr:to>
    <xdr:pic>
      <xdr:nvPicPr>
        <xdr:cNvPr id="7900" name="Изображение 7899" descr="resizeПП-00248796"/>
        <xdr:cNvPicPr>
          <a:picLocks noChangeAspect="1"/>
        </xdr:cNvPicPr>
      </xdr:nvPicPr>
      <xdr:blipFill>
        <a:blip xmlns:r="http://schemas.openxmlformats.org/officeDocument/2006/relationships" r:embed="rId2611"/>
        <a:stretch>
          <a:fillRect/>
        </a:stretch>
      </xdr:blipFill>
      <xdr:spPr>
        <a:xfrm>
          <a:off x="7235825" y="3414191800"/>
          <a:ext cx="878840" cy="1183640"/>
        </a:xfrm>
        <a:prstGeom prst="rect">
          <a:avLst/>
        </a:prstGeom>
      </xdr:spPr>
    </xdr:pic>
    <xdr:clientData/>
  </xdr:twoCellAnchor>
  <xdr:twoCellAnchor>
    <xdr:from>
      <xdr:col>9</xdr:col>
      <xdr:colOff>6350</xdr:colOff>
      <xdr:row>3476</xdr:row>
      <xdr:rowOff>25400</xdr:rowOff>
    </xdr:from>
    <xdr:to>
      <xdr:col>9</xdr:col>
      <xdr:colOff>885190</xdr:colOff>
      <xdr:row>3476</xdr:row>
      <xdr:rowOff>1209040</xdr:rowOff>
    </xdr:to>
    <xdr:pic>
      <xdr:nvPicPr>
        <xdr:cNvPr id="7901" name="Изображение 7900" descr="resizeПП-00223763"/>
        <xdr:cNvPicPr>
          <a:picLocks noChangeAspect="1"/>
        </xdr:cNvPicPr>
      </xdr:nvPicPr>
      <xdr:blipFill>
        <a:blip xmlns:r="http://schemas.openxmlformats.org/officeDocument/2006/relationships" r:embed="rId2612"/>
        <a:stretch>
          <a:fillRect/>
        </a:stretch>
      </xdr:blipFill>
      <xdr:spPr>
        <a:xfrm>
          <a:off x="7235825" y="3415414175"/>
          <a:ext cx="878840" cy="1183640"/>
        </a:xfrm>
        <a:prstGeom prst="rect">
          <a:avLst/>
        </a:prstGeom>
      </xdr:spPr>
    </xdr:pic>
    <xdr:clientData/>
  </xdr:twoCellAnchor>
  <xdr:twoCellAnchor>
    <xdr:from>
      <xdr:col>9</xdr:col>
      <xdr:colOff>6350</xdr:colOff>
      <xdr:row>3477</xdr:row>
      <xdr:rowOff>25400</xdr:rowOff>
    </xdr:from>
    <xdr:to>
      <xdr:col>9</xdr:col>
      <xdr:colOff>885190</xdr:colOff>
      <xdr:row>3477</xdr:row>
      <xdr:rowOff>1209040</xdr:rowOff>
    </xdr:to>
    <xdr:pic>
      <xdr:nvPicPr>
        <xdr:cNvPr id="7902" name="Изображение 7901" descr="resizeПП-00223751"/>
        <xdr:cNvPicPr>
          <a:picLocks noChangeAspect="1"/>
        </xdr:cNvPicPr>
      </xdr:nvPicPr>
      <xdr:blipFill>
        <a:blip xmlns:r="http://schemas.openxmlformats.org/officeDocument/2006/relationships" r:embed="rId2613"/>
        <a:stretch>
          <a:fillRect/>
        </a:stretch>
      </xdr:blipFill>
      <xdr:spPr>
        <a:xfrm>
          <a:off x="7235825" y="3416636550"/>
          <a:ext cx="878840" cy="1183640"/>
        </a:xfrm>
        <a:prstGeom prst="rect">
          <a:avLst/>
        </a:prstGeom>
      </xdr:spPr>
    </xdr:pic>
    <xdr:clientData/>
  </xdr:twoCellAnchor>
  <xdr:twoCellAnchor>
    <xdr:from>
      <xdr:col>9</xdr:col>
      <xdr:colOff>6350</xdr:colOff>
      <xdr:row>3478</xdr:row>
      <xdr:rowOff>25400</xdr:rowOff>
    </xdr:from>
    <xdr:to>
      <xdr:col>9</xdr:col>
      <xdr:colOff>885190</xdr:colOff>
      <xdr:row>3478</xdr:row>
      <xdr:rowOff>1209040</xdr:rowOff>
    </xdr:to>
    <xdr:pic>
      <xdr:nvPicPr>
        <xdr:cNvPr id="7903" name="Изображение 7902" descr="resizeПП-00223753"/>
        <xdr:cNvPicPr>
          <a:picLocks noChangeAspect="1"/>
        </xdr:cNvPicPr>
      </xdr:nvPicPr>
      <xdr:blipFill>
        <a:blip xmlns:r="http://schemas.openxmlformats.org/officeDocument/2006/relationships" r:embed="rId2614"/>
        <a:stretch>
          <a:fillRect/>
        </a:stretch>
      </xdr:blipFill>
      <xdr:spPr>
        <a:xfrm>
          <a:off x="7235825" y="3417858925"/>
          <a:ext cx="878840" cy="1183640"/>
        </a:xfrm>
        <a:prstGeom prst="rect">
          <a:avLst/>
        </a:prstGeom>
      </xdr:spPr>
    </xdr:pic>
    <xdr:clientData/>
  </xdr:twoCellAnchor>
  <xdr:twoCellAnchor>
    <xdr:from>
      <xdr:col>9</xdr:col>
      <xdr:colOff>6350</xdr:colOff>
      <xdr:row>3479</xdr:row>
      <xdr:rowOff>25400</xdr:rowOff>
    </xdr:from>
    <xdr:to>
      <xdr:col>9</xdr:col>
      <xdr:colOff>885190</xdr:colOff>
      <xdr:row>3479</xdr:row>
      <xdr:rowOff>1209040</xdr:rowOff>
    </xdr:to>
    <xdr:pic>
      <xdr:nvPicPr>
        <xdr:cNvPr id="7904" name="Изображение 7903" descr="resizeПП-00223758"/>
        <xdr:cNvPicPr>
          <a:picLocks noChangeAspect="1"/>
        </xdr:cNvPicPr>
      </xdr:nvPicPr>
      <xdr:blipFill>
        <a:blip xmlns:r="http://schemas.openxmlformats.org/officeDocument/2006/relationships" r:embed="rId2615"/>
        <a:stretch>
          <a:fillRect/>
        </a:stretch>
      </xdr:blipFill>
      <xdr:spPr>
        <a:xfrm>
          <a:off x="7235825" y="3419081300"/>
          <a:ext cx="878840" cy="1183640"/>
        </a:xfrm>
        <a:prstGeom prst="rect">
          <a:avLst/>
        </a:prstGeom>
      </xdr:spPr>
    </xdr:pic>
    <xdr:clientData/>
  </xdr:twoCellAnchor>
  <xdr:twoCellAnchor>
    <xdr:from>
      <xdr:col>9</xdr:col>
      <xdr:colOff>6350</xdr:colOff>
      <xdr:row>3480</xdr:row>
      <xdr:rowOff>25400</xdr:rowOff>
    </xdr:from>
    <xdr:to>
      <xdr:col>9</xdr:col>
      <xdr:colOff>885190</xdr:colOff>
      <xdr:row>3480</xdr:row>
      <xdr:rowOff>1209040</xdr:rowOff>
    </xdr:to>
    <xdr:pic>
      <xdr:nvPicPr>
        <xdr:cNvPr id="7905" name="Изображение 7904" descr="resizeПП-00223755"/>
        <xdr:cNvPicPr>
          <a:picLocks noChangeAspect="1"/>
        </xdr:cNvPicPr>
      </xdr:nvPicPr>
      <xdr:blipFill>
        <a:blip xmlns:r="http://schemas.openxmlformats.org/officeDocument/2006/relationships" r:embed="rId2616"/>
        <a:stretch>
          <a:fillRect/>
        </a:stretch>
      </xdr:blipFill>
      <xdr:spPr>
        <a:xfrm>
          <a:off x="7235825" y="3420303675"/>
          <a:ext cx="878840" cy="1183640"/>
        </a:xfrm>
        <a:prstGeom prst="rect">
          <a:avLst/>
        </a:prstGeom>
      </xdr:spPr>
    </xdr:pic>
    <xdr:clientData/>
  </xdr:twoCellAnchor>
  <xdr:twoCellAnchor>
    <xdr:from>
      <xdr:col>9</xdr:col>
      <xdr:colOff>6350</xdr:colOff>
      <xdr:row>3481</xdr:row>
      <xdr:rowOff>25400</xdr:rowOff>
    </xdr:from>
    <xdr:to>
      <xdr:col>9</xdr:col>
      <xdr:colOff>885190</xdr:colOff>
      <xdr:row>3481</xdr:row>
      <xdr:rowOff>1209040</xdr:rowOff>
    </xdr:to>
    <xdr:pic>
      <xdr:nvPicPr>
        <xdr:cNvPr id="7906" name="Изображение 7905" descr="resizeПП-00212654"/>
        <xdr:cNvPicPr>
          <a:picLocks noChangeAspect="1"/>
        </xdr:cNvPicPr>
      </xdr:nvPicPr>
      <xdr:blipFill>
        <a:blip xmlns:r="http://schemas.openxmlformats.org/officeDocument/2006/relationships" r:embed="rId2617"/>
        <a:stretch>
          <a:fillRect/>
        </a:stretch>
      </xdr:blipFill>
      <xdr:spPr>
        <a:xfrm>
          <a:off x="7235825" y="3421526050"/>
          <a:ext cx="878840" cy="1183640"/>
        </a:xfrm>
        <a:prstGeom prst="rect">
          <a:avLst/>
        </a:prstGeom>
      </xdr:spPr>
    </xdr:pic>
    <xdr:clientData/>
  </xdr:twoCellAnchor>
  <xdr:twoCellAnchor>
    <xdr:from>
      <xdr:col>9</xdr:col>
      <xdr:colOff>6350</xdr:colOff>
      <xdr:row>3482</xdr:row>
      <xdr:rowOff>25400</xdr:rowOff>
    </xdr:from>
    <xdr:to>
      <xdr:col>9</xdr:col>
      <xdr:colOff>885190</xdr:colOff>
      <xdr:row>3482</xdr:row>
      <xdr:rowOff>1209040</xdr:rowOff>
    </xdr:to>
    <xdr:pic>
      <xdr:nvPicPr>
        <xdr:cNvPr id="7907" name="Изображение 7906" descr="resizeПП-00212655"/>
        <xdr:cNvPicPr>
          <a:picLocks noChangeAspect="1"/>
        </xdr:cNvPicPr>
      </xdr:nvPicPr>
      <xdr:blipFill>
        <a:blip xmlns:r="http://schemas.openxmlformats.org/officeDocument/2006/relationships" r:embed="rId2618"/>
        <a:stretch>
          <a:fillRect/>
        </a:stretch>
      </xdr:blipFill>
      <xdr:spPr>
        <a:xfrm>
          <a:off x="7235825" y="3422748425"/>
          <a:ext cx="878840" cy="1183640"/>
        </a:xfrm>
        <a:prstGeom prst="rect">
          <a:avLst/>
        </a:prstGeom>
      </xdr:spPr>
    </xdr:pic>
    <xdr:clientData/>
  </xdr:twoCellAnchor>
  <xdr:twoCellAnchor>
    <xdr:from>
      <xdr:col>9</xdr:col>
      <xdr:colOff>6350</xdr:colOff>
      <xdr:row>3483</xdr:row>
      <xdr:rowOff>25400</xdr:rowOff>
    </xdr:from>
    <xdr:to>
      <xdr:col>9</xdr:col>
      <xdr:colOff>885190</xdr:colOff>
      <xdr:row>3483</xdr:row>
      <xdr:rowOff>1209040</xdr:rowOff>
    </xdr:to>
    <xdr:pic>
      <xdr:nvPicPr>
        <xdr:cNvPr id="7908" name="Изображение 7907" descr="resizeПП-00212653"/>
        <xdr:cNvPicPr>
          <a:picLocks noChangeAspect="1"/>
        </xdr:cNvPicPr>
      </xdr:nvPicPr>
      <xdr:blipFill>
        <a:blip xmlns:r="http://schemas.openxmlformats.org/officeDocument/2006/relationships" r:embed="rId2619"/>
        <a:stretch>
          <a:fillRect/>
        </a:stretch>
      </xdr:blipFill>
      <xdr:spPr>
        <a:xfrm>
          <a:off x="7235825" y="3423970800"/>
          <a:ext cx="878840" cy="1183640"/>
        </a:xfrm>
        <a:prstGeom prst="rect">
          <a:avLst/>
        </a:prstGeom>
      </xdr:spPr>
    </xdr:pic>
    <xdr:clientData/>
  </xdr:twoCellAnchor>
  <xdr:twoCellAnchor>
    <xdr:from>
      <xdr:col>9</xdr:col>
      <xdr:colOff>6350</xdr:colOff>
      <xdr:row>3484</xdr:row>
      <xdr:rowOff>25400</xdr:rowOff>
    </xdr:from>
    <xdr:to>
      <xdr:col>9</xdr:col>
      <xdr:colOff>885190</xdr:colOff>
      <xdr:row>3484</xdr:row>
      <xdr:rowOff>1209040</xdr:rowOff>
    </xdr:to>
    <xdr:pic>
      <xdr:nvPicPr>
        <xdr:cNvPr id="7909" name="Изображение 7908" descr="resizeПП-00212658"/>
        <xdr:cNvPicPr>
          <a:picLocks noChangeAspect="1"/>
        </xdr:cNvPicPr>
      </xdr:nvPicPr>
      <xdr:blipFill>
        <a:blip xmlns:r="http://schemas.openxmlformats.org/officeDocument/2006/relationships" r:embed="rId2620"/>
        <a:stretch>
          <a:fillRect/>
        </a:stretch>
      </xdr:blipFill>
      <xdr:spPr>
        <a:xfrm>
          <a:off x="7235825" y="3425193175"/>
          <a:ext cx="878840" cy="1183640"/>
        </a:xfrm>
        <a:prstGeom prst="rect">
          <a:avLst/>
        </a:prstGeom>
      </xdr:spPr>
    </xdr:pic>
    <xdr:clientData/>
  </xdr:twoCellAnchor>
  <xdr:twoCellAnchor>
    <xdr:from>
      <xdr:col>9</xdr:col>
      <xdr:colOff>6350</xdr:colOff>
      <xdr:row>3485</xdr:row>
      <xdr:rowOff>25400</xdr:rowOff>
    </xdr:from>
    <xdr:to>
      <xdr:col>9</xdr:col>
      <xdr:colOff>885190</xdr:colOff>
      <xdr:row>3485</xdr:row>
      <xdr:rowOff>1209040</xdr:rowOff>
    </xdr:to>
    <xdr:pic>
      <xdr:nvPicPr>
        <xdr:cNvPr id="7910" name="Изображение 7909" descr="resizeПП-00212661"/>
        <xdr:cNvPicPr>
          <a:picLocks noChangeAspect="1"/>
        </xdr:cNvPicPr>
      </xdr:nvPicPr>
      <xdr:blipFill>
        <a:blip xmlns:r="http://schemas.openxmlformats.org/officeDocument/2006/relationships" r:embed="rId2621"/>
        <a:stretch>
          <a:fillRect/>
        </a:stretch>
      </xdr:blipFill>
      <xdr:spPr>
        <a:xfrm>
          <a:off x="7235825" y="3426415550"/>
          <a:ext cx="878840" cy="1183640"/>
        </a:xfrm>
        <a:prstGeom prst="rect">
          <a:avLst/>
        </a:prstGeom>
      </xdr:spPr>
    </xdr:pic>
    <xdr:clientData/>
  </xdr:twoCellAnchor>
  <xdr:twoCellAnchor>
    <xdr:from>
      <xdr:col>9</xdr:col>
      <xdr:colOff>6350</xdr:colOff>
      <xdr:row>3487</xdr:row>
      <xdr:rowOff>25400</xdr:rowOff>
    </xdr:from>
    <xdr:to>
      <xdr:col>9</xdr:col>
      <xdr:colOff>885190</xdr:colOff>
      <xdr:row>3487</xdr:row>
      <xdr:rowOff>1209040</xdr:rowOff>
    </xdr:to>
    <xdr:pic>
      <xdr:nvPicPr>
        <xdr:cNvPr id="7911" name="Изображение 7910" descr="resizeПП-00248735"/>
        <xdr:cNvPicPr>
          <a:picLocks noChangeAspect="1"/>
        </xdr:cNvPicPr>
      </xdr:nvPicPr>
      <xdr:blipFill>
        <a:blip xmlns:r="http://schemas.openxmlformats.org/officeDocument/2006/relationships" r:embed="rId2622"/>
        <a:stretch>
          <a:fillRect/>
        </a:stretch>
      </xdr:blipFill>
      <xdr:spPr>
        <a:xfrm>
          <a:off x="7235825" y="3427790325"/>
          <a:ext cx="878840" cy="1183640"/>
        </a:xfrm>
        <a:prstGeom prst="rect">
          <a:avLst/>
        </a:prstGeom>
      </xdr:spPr>
    </xdr:pic>
    <xdr:clientData/>
  </xdr:twoCellAnchor>
  <xdr:twoCellAnchor>
    <xdr:from>
      <xdr:col>9</xdr:col>
      <xdr:colOff>6350</xdr:colOff>
      <xdr:row>3489</xdr:row>
      <xdr:rowOff>25400</xdr:rowOff>
    </xdr:from>
    <xdr:to>
      <xdr:col>9</xdr:col>
      <xdr:colOff>885190</xdr:colOff>
      <xdr:row>3489</xdr:row>
      <xdr:rowOff>1209040</xdr:rowOff>
    </xdr:to>
    <xdr:pic>
      <xdr:nvPicPr>
        <xdr:cNvPr id="7912" name="Изображение 7911" descr="resizeПП-00234422"/>
        <xdr:cNvPicPr>
          <a:picLocks noChangeAspect="1"/>
        </xdr:cNvPicPr>
      </xdr:nvPicPr>
      <xdr:blipFill>
        <a:blip xmlns:r="http://schemas.openxmlformats.org/officeDocument/2006/relationships" r:embed="rId2623"/>
        <a:stretch>
          <a:fillRect/>
        </a:stretch>
      </xdr:blipFill>
      <xdr:spPr>
        <a:xfrm>
          <a:off x="7235825" y="3429165100"/>
          <a:ext cx="878840" cy="1183640"/>
        </a:xfrm>
        <a:prstGeom prst="rect">
          <a:avLst/>
        </a:prstGeom>
      </xdr:spPr>
    </xdr:pic>
    <xdr:clientData/>
  </xdr:twoCellAnchor>
  <xdr:twoCellAnchor>
    <xdr:from>
      <xdr:col>9</xdr:col>
      <xdr:colOff>6350</xdr:colOff>
      <xdr:row>3490</xdr:row>
      <xdr:rowOff>25400</xdr:rowOff>
    </xdr:from>
    <xdr:to>
      <xdr:col>9</xdr:col>
      <xdr:colOff>885190</xdr:colOff>
      <xdr:row>3490</xdr:row>
      <xdr:rowOff>1209040</xdr:rowOff>
    </xdr:to>
    <xdr:pic>
      <xdr:nvPicPr>
        <xdr:cNvPr id="7913" name="Изображение 7912" descr="resizeПП-00234398"/>
        <xdr:cNvPicPr>
          <a:picLocks noChangeAspect="1"/>
        </xdr:cNvPicPr>
      </xdr:nvPicPr>
      <xdr:blipFill>
        <a:blip xmlns:r="http://schemas.openxmlformats.org/officeDocument/2006/relationships" r:embed="rId2624"/>
        <a:stretch>
          <a:fillRect/>
        </a:stretch>
      </xdr:blipFill>
      <xdr:spPr>
        <a:xfrm>
          <a:off x="7235825" y="3430387475"/>
          <a:ext cx="878840" cy="1183640"/>
        </a:xfrm>
        <a:prstGeom prst="rect">
          <a:avLst/>
        </a:prstGeom>
      </xdr:spPr>
    </xdr:pic>
    <xdr:clientData/>
  </xdr:twoCellAnchor>
  <xdr:twoCellAnchor>
    <xdr:from>
      <xdr:col>9</xdr:col>
      <xdr:colOff>6350</xdr:colOff>
      <xdr:row>3492</xdr:row>
      <xdr:rowOff>25400</xdr:rowOff>
    </xdr:from>
    <xdr:to>
      <xdr:col>9</xdr:col>
      <xdr:colOff>885190</xdr:colOff>
      <xdr:row>3492</xdr:row>
      <xdr:rowOff>1209040</xdr:rowOff>
    </xdr:to>
    <xdr:pic>
      <xdr:nvPicPr>
        <xdr:cNvPr id="7914" name="Изображение 7913" descr="resizeПП-00248787"/>
        <xdr:cNvPicPr>
          <a:picLocks noChangeAspect="1"/>
        </xdr:cNvPicPr>
      </xdr:nvPicPr>
      <xdr:blipFill>
        <a:blip xmlns:r="http://schemas.openxmlformats.org/officeDocument/2006/relationships" r:embed="rId2625"/>
        <a:stretch>
          <a:fillRect/>
        </a:stretch>
      </xdr:blipFill>
      <xdr:spPr>
        <a:xfrm>
          <a:off x="7235825" y="3431762250"/>
          <a:ext cx="878840" cy="1183640"/>
        </a:xfrm>
        <a:prstGeom prst="rect">
          <a:avLst/>
        </a:prstGeom>
      </xdr:spPr>
    </xdr:pic>
    <xdr:clientData/>
  </xdr:twoCellAnchor>
  <xdr:twoCellAnchor>
    <xdr:from>
      <xdr:col>9</xdr:col>
      <xdr:colOff>6350</xdr:colOff>
      <xdr:row>3494</xdr:row>
      <xdr:rowOff>25400</xdr:rowOff>
    </xdr:from>
    <xdr:to>
      <xdr:col>9</xdr:col>
      <xdr:colOff>885190</xdr:colOff>
      <xdr:row>3494</xdr:row>
      <xdr:rowOff>1209040</xdr:rowOff>
    </xdr:to>
    <xdr:pic>
      <xdr:nvPicPr>
        <xdr:cNvPr id="7915" name="Изображение 7914" descr="resizeПП-00234418"/>
        <xdr:cNvPicPr>
          <a:picLocks noChangeAspect="1"/>
        </xdr:cNvPicPr>
      </xdr:nvPicPr>
      <xdr:blipFill>
        <a:blip xmlns:r="http://schemas.openxmlformats.org/officeDocument/2006/relationships" r:embed="rId2626"/>
        <a:stretch>
          <a:fillRect/>
        </a:stretch>
      </xdr:blipFill>
      <xdr:spPr>
        <a:xfrm>
          <a:off x="7235825" y="3433137025"/>
          <a:ext cx="878840" cy="1183640"/>
        </a:xfrm>
        <a:prstGeom prst="rect">
          <a:avLst/>
        </a:prstGeom>
      </xdr:spPr>
    </xdr:pic>
    <xdr:clientData/>
  </xdr:twoCellAnchor>
  <xdr:twoCellAnchor>
    <xdr:from>
      <xdr:col>9</xdr:col>
      <xdr:colOff>6350</xdr:colOff>
      <xdr:row>3496</xdr:row>
      <xdr:rowOff>25400</xdr:rowOff>
    </xdr:from>
    <xdr:to>
      <xdr:col>9</xdr:col>
      <xdr:colOff>885190</xdr:colOff>
      <xdr:row>3496</xdr:row>
      <xdr:rowOff>1209040</xdr:rowOff>
    </xdr:to>
    <xdr:pic>
      <xdr:nvPicPr>
        <xdr:cNvPr id="7916" name="Изображение 7915" descr="resizeПП-00212638"/>
        <xdr:cNvPicPr>
          <a:picLocks noChangeAspect="1"/>
        </xdr:cNvPicPr>
      </xdr:nvPicPr>
      <xdr:blipFill>
        <a:blip xmlns:r="http://schemas.openxmlformats.org/officeDocument/2006/relationships" r:embed="rId2627"/>
        <a:stretch>
          <a:fillRect/>
        </a:stretch>
      </xdr:blipFill>
      <xdr:spPr>
        <a:xfrm>
          <a:off x="7235825" y="3434511800"/>
          <a:ext cx="878840" cy="1183640"/>
        </a:xfrm>
        <a:prstGeom prst="rect">
          <a:avLst/>
        </a:prstGeom>
      </xdr:spPr>
    </xdr:pic>
    <xdr:clientData/>
  </xdr:twoCellAnchor>
  <xdr:twoCellAnchor>
    <xdr:from>
      <xdr:col>9</xdr:col>
      <xdr:colOff>6350</xdr:colOff>
      <xdr:row>3498</xdr:row>
      <xdr:rowOff>25400</xdr:rowOff>
    </xdr:from>
    <xdr:to>
      <xdr:col>9</xdr:col>
      <xdr:colOff>885190</xdr:colOff>
      <xdr:row>3498</xdr:row>
      <xdr:rowOff>1209040</xdr:rowOff>
    </xdr:to>
    <xdr:pic>
      <xdr:nvPicPr>
        <xdr:cNvPr id="7917" name="Изображение 7916" descr="resizeПП-00248718"/>
        <xdr:cNvPicPr>
          <a:picLocks noChangeAspect="1"/>
        </xdr:cNvPicPr>
      </xdr:nvPicPr>
      <xdr:blipFill>
        <a:blip xmlns:r="http://schemas.openxmlformats.org/officeDocument/2006/relationships" r:embed="rId2628"/>
        <a:stretch>
          <a:fillRect/>
        </a:stretch>
      </xdr:blipFill>
      <xdr:spPr>
        <a:xfrm>
          <a:off x="7235825" y="3435886575"/>
          <a:ext cx="878840" cy="1183640"/>
        </a:xfrm>
        <a:prstGeom prst="rect">
          <a:avLst/>
        </a:prstGeom>
      </xdr:spPr>
    </xdr:pic>
    <xdr:clientData/>
  </xdr:twoCellAnchor>
  <xdr:twoCellAnchor>
    <xdr:from>
      <xdr:col>9</xdr:col>
      <xdr:colOff>6350</xdr:colOff>
      <xdr:row>3499</xdr:row>
      <xdr:rowOff>25400</xdr:rowOff>
    </xdr:from>
    <xdr:to>
      <xdr:col>9</xdr:col>
      <xdr:colOff>885190</xdr:colOff>
      <xdr:row>3499</xdr:row>
      <xdr:rowOff>1209040</xdr:rowOff>
    </xdr:to>
    <xdr:pic>
      <xdr:nvPicPr>
        <xdr:cNvPr id="7918" name="Изображение 7917" descr="resizeПП-00248720"/>
        <xdr:cNvPicPr>
          <a:picLocks noChangeAspect="1"/>
        </xdr:cNvPicPr>
      </xdr:nvPicPr>
      <xdr:blipFill>
        <a:blip xmlns:r="http://schemas.openxmlformats.org/officeDocument/2006/relationships" r:embed="rId2629"/>
        <a:stretch>
          <a:fillRect/>
        </a:stretch>
      </xdr:blipFill>
      <xdr:spPr>
        <a:xfrm>
          <a:off x="7235825" y="3437108950"/>
          <a:ext cx="878840" cy="1183640"/>
        </a:xfrm>
        <a:prstGeom prst="rect">
          <a:avLst/>
        </a:prstGeom>
      </xdr:spPr>
    </xdr:pic>
    <xdr:clientData/>
  </xdr:twoCellAnchor>
  <xdr:twoCellAnchor>
    <xdr:from>
      <xdr:col>9</xdr:col>
      <xdr:colOff>6350</xdr:colOff>
      <xdr:row>3501</xdr:row>
      <xdr:rowOff>25400</xdr:rowOff>
    </xdr:from>
    <xdr:to>
      <xdr:col>9</xdr:col>
      <xdr:colOff>885190</xdr:colOff>
      <xdr:row>3501</xdr:row>
      <xdr:rowOff>1209040</xdr:rowOff>
    </xdr:to>
    <xdr:pic>
      <xdr:nvPicPr>
        <xdr:cNvPr id="7919" name="Изображение 7918" descr="resizeПП-00234416"/>
        <xdr:cNvPicPr>
          <a:picLocks noChangeAspect="1"/>
        </xdr:cNvPicPr>
      </xdr:nvPicPr>
      <xdr:blipFill>
        <a:blip xmlns:r="http://schemas.openxmlformats.org/officeDocument/2006/relationships" r:embed="rId2630"/>
        <a:stretch>
          <a:fillRect/>
        </a:stretch>
      </xdr:blipFill>
      <xdr:spPr>
        <a:xfrm>
          <a:off x="7235825" y="3438483725"/>
          <a:ext cx="878840" cy="1183640"/>
        </a:xfrm>
        <a:prstGeom prst="rect">
          <a:avLst/>
        </a:prstGeom>
      </xdr:spPr>
    </xdr:pic>
    <xdr:clientData/>
  </xdr:twoCellAnchor>
  <xdr:twoCellAnchor>
    <xdr:from>
      <xdr:col>9</xdr:col>
      <xdr:colOff>6350</xdr:colOff>
      <xdr:row>3504</xdr:row>
      <xdr:rowOff>25400</xdr:rowOff>
    </xdr:from>
    <xdr:to>
      <xdr:col>9</xdr:col>
      <xdr:colOff>885190</xdr:colOff>
      <xdr:row>3504</xdr:row>
      <xdr:rowOff>1209040</xdr:rowOff>
    </xdr:to>
    <xdr:pic>
      <xdr:nvPicPr>
        <xdr:cNvPr id="7920" name="Изображение 7919" descr="resizeПП-00220081"/>
        <xdr:cNvPicPr>
          <a:picLocks noChangeAspect="1"/>
        </xdr:cNvPicPr>
      </xdr:nvPicPr>
      <xdr:blipFill>
        <a:blip xmlns:r="http://schemas.openxmlformats.org/officeDocument/2006/relationships" r:embed="rId2631"/>
        <a:stretch>
          <a:fillRect/>
        </a:stretch>
      </xdr:blipFill>
      <xdr:spPr>
        <a:xfrm>
          <a:off x="7235825" y="3440010900"/>
          <a:ext cx="878840" cy="1183640"/>
        </a:xfrm>
        <a:prstGeom prst="rect">
          <a:avLst/>
        </a:prstGeom>
      </xdr:spPr>
    </xdr:pic>
    <xdr:clientData/>
  </xdr:twoCellAnchor>
  <xdr:twoCellAnchor>
    <xdr:from>
      <xdr:col>9</xdr:col>
      <xdr:colOff>6350</xdr:colOff>
      <xdr:row>3505</xdr:row>
      <xdr:rowOff>25400</xdr:rowOff>
    </xdr:from>
    <xdr:to>
      <xdr:col>9</xdr:col>
      <xdr:colOff>885190</xdr:colOff>
      <xdr:row>3505</xdr:row>
      <xdr:rowOff>1209040</xdr:rowOff>
    </xdr:to>
    <xdr:pic>
      <xdr:nvPicPr>
        <xdr:cNvPr id="7921" name="Изображение 7920" descr="resizeПП-00220082"/>
        <xdr:cNvPicPr>
          <a:picLocks noChangeAspect="1"/>
        </xdr:cNvPicPr>
      </xdr:nvPicPr>
      <xdr:blipFill>
        <a:blip xmlns:r="http://schemas.openxmlformats.org/officeDocument/2006/relationships" r:embed="rId2632"/>
        <a:stretch>
          <a:fillRect/>
        </a:stretch>
      </xdr:blipFill>
      <xdr:spPr>
        <a:xfrm>
          <a:off x="7235825" y="3441233275"/>
          <a:ext cx="878840" cy="1183640"/>
        </a:xfrm>
        <a:prstGeom prst="rect">
          <a:avLst/>
        </a:prstGeom>
      </xdr:spPr>
    </xdr:pic>
    <xdr:clientData/>
  </xdr:twoCellAnchor>
  <xdr:twoCellAnchor>
    <xdr:from>
      <xdr:col>9</xdr:col>
      <xdr:colOff>6350</xdr:colOff>
      <xdr:row>3506</xdr:row>
      <xdr:rowOff>25400</xdr:rowOff>
    </xdr:from>
    <xdr:to>
      <xdr:col>9</xdr:col>
      <xdr:colOff>885190</xdr:colOff>
      <xdr:row>3506</xdr:row>
      <xdr:rowOff>1209040</xdr:rowOff>
    </xdr:to>
    <xdr:pic>
      <xdr:nvPicPr>
        <xdr:cNvPr id="7922" name="Изображение 7921" descr="resizeПП-00178767"/>
        <xdr:cNvPicPr>
          <a:picLocks noChangeAspect="1"/>
        </xdr:cNvPicPr>
      </xdr:nvPicPr>
      <xdr:blipFill>
        <a:blip xmlns:r="http://schemas.openxmlformats.org/officeDocument/2006/relationships" r:embed="rId2633"/>
        <a:stretch>
          <a:fillRect/>
        </a:stretch>
      </xdr:blipFill>
      <xdr:spPr>
        <a:xfrm>
          <a:off x="7235825" y="3442455650"/>
          <a:ext cx="878840" cy="1183640"/>
        </a:xfrm>
        <a:prstGeom prst="rect">
          <a:avLst/>
        </a:prstGeom>
      </xdr:spPr>
    </xdr:pic>
    <xdr:clientData/>
  </xdr:twoCellAnchor>
  <xdr:twoCellAnchor>
    <xdr:from>
      <xdr:col>9</xdr:col>
      <xdr:colOff>6350</xdr:colOff>
      <xdr:row>3507</xdr:row>
      <xdr:rowOff>25400</xdr:rowOff>
    </xdr:from>
    <xdr:to>
      <xdr:col>9</xdr:col>
      <xdr:colOff>885190</xdr:colOff>
      <xdr:row>3507</xdr:row>
      <xdr:rowOff>1209040</xdr:rowOff>
    </xdr:to>
    <xdr:pic>
      <xdr:nvPicPr>
        <xdr:cNvPr id="7923" name="Изображение 7922" descr="resizeПП-00178897"/>
        <xdr:cNvPicPr>
          <a:picLocks noChangeAspect="1"/>
        </xdr:cNvPicPr>
      </xdr:nvPicPr>
      <xdr:blipFill>
        <a:blip xmlns:r="http://schemas.openxmlformats.org/officeDocument/2006/relationships" r:embed="rId2634"/>
        <a:stretch>
          <a:fillRect/>
        </a:stretch>
      </xdr:blipFill>
      <xdr:spPr>
        <a:xfrm>
          <a:off x="7235825" y="3443678025"/>
          <a:ext cx="878840" cy="1183640"/>
        </a:xfrm>
        <a:prstGeom prst="rect">
          <a:avLst/>
        </a:prstGeom>
      </xdr:spPr>
    </xdr:pic>
    <xdr:clientData/>
  </xdr:twoCellAnchor>
  <xdr:twoCellAnchor>
    <xdr:from>
      <xdr:col>9</xdr:col>
      <xdr:colOff>6350</xdr:colOff>
      <xdr:row>3508</xdr:row>
      <xdr:rowOff>25400</xdr:rowOff>
    </xdr:from>
    <xdr:to>
      <xdr:col>9</xdr:col>
      <xdr:colOff>885190</xdr:colOff>
      <xdr:row>3508</xdr:row>
      <xdr:rowOff>1209040</xdr:rowOff>
    </xdr:to>
    <xdr:pic>
      <xdr:nvPicPr>
        <xdr:cNvPr id="7924" name="Изображение 7923" descr="resizeПП-00189501"/>
        <xdr:cNvPicPr>
          <a:picLocks noChangeAspect="1"/>
        </xdr:cNvPicPr>
      </xdr:nvPicPr>
      <xdr:blipFill>
        <a:blip xmlns:r="http://schemas.openxmlformats.org/officeDocument/2006/relationships" r:embed="rId2635"/>
        <a:stretch>
          <a:fillRect/>
        </a:stretch>
      </xdr:blipFill>
      <xdr:spPr>
        <a:xfrm>
          <a:off x="7235825" y="3444900400"/>
          <a:ext cx="878840" cy="1183640"/>
        </a:xfrm>
        <a:prstGeom prst="rect">
          <a:avLst/>
        </a:prstGeom>
      </xdr:spPr>
    </xdr:pic>
    <xdr:clientData/>
  </xdr:twoCellAnchor>
  <xdr:twoCellAnchor>
    <xdr:from>
      <xdr:col>9</xdr:col>
      <xdr:colOff>6350</xdr:colOff>
      <xdr:row>3509</xdr:row>
      <xdr:rowOff>25400</xdr:rowOff>
    </xdr:from>
    <xdr:to>
      <xdr:col>9</xdr:col>
      <xdr:colOff>885190</xdr:colOff>
      <xdr:row>3509</xdr:row>
      <xdr:rowOff>1209040</xdr:rowOff>
    </xdr:to>
    <xdr:pic>
      <xdr:nvPicPr>
        <xdr:cNvPr id="7925" name="Изображение 7924" descr="resizeПП-00189502"/>
        <xdr:cNvPicPr>
          <a:picLocks noChangeAspect="1"/>
        </xdr:cNvPicPr>
      </xdr:nvPicPr>
      <xdr:blipFill>
        <a:blip xmlns:r="http://schemas.openxmlformats.org/officeDocument/2006/relationships" r:embed="rId2636"/>
        <a:stretch>
          <a:fillRect/>
        </a:stretch>
      </xdr:blipFill>
      <xdr:spPr>
        <a:xfrm>
          <a:off x="7235825" y="3446122775"/>
          <a:ext cx="878840" cy="1183640"/>
        </a:xfrm>
        <a:prstGeom prst="rect">
          <a:avLst/>
        </a:prstGeom>
      </xdr:spPr>
    </xdr:pic>
    <xdr:clientData/>
  </xdr:twoCellAnchor>
  <xdr:twoCellAnchor>
    <xdr:from>
      <xdr:col>9</xdr:col>
      <xdr:colOff>6350</xdr:colOff>
      <xdr:row>3512</xdr:row>
      <xdr:rowOff>25400</xdr:rowOff>
    </xdr:from>
    <xdr:to>
      <xdr:col>9</xdr:col>
      <xdr:colOff>885190</xdr:colOff>
      <xdr:row>3512</xdr:row>
      <xdr:rowOff>1209040</xdr:rowOff>
    </xdr:to>
    <xdr:pic>
      <xdr:nvPicPr>
        <xdr:cNvPr id="7926" name="Изображение 7925" descr="resizeПП-00185540"/>
        <xdr:cNvPicPr>
          <a:picLocks noChangeAspect="1"/>
        </xdr:cNvPicPr>
      </xdr:nvPicPr>
      <xdr:blipFill>
        <a:blip xmlns:r="http://schemas.openxmlformats.org/officeDocument/2006/relationships" r:embed="rId2637"/>
        <a:stretch>
          <a:fillRect/>
        </a:stretch>
      </xdr:blipFill>
      <xdr:spPr>
        <a:xfrm>
          <a:off x="7235825" y="3447649950"/>
          <a:ext cx="878840" cy="1183640"/>
        </a:xfrm>
        <a:prstGeom prst="rect">
          <a:avLst/>
        </a:prstGeom>
      </xdr:spPr>
    </xdr:pic>
    <xdr:clientData/>
  </xdr:twoCellAnchor>
  <xdr:twoCellAnchor>
    <xdr:from>
      <xdr:col>9</xdr:col>
      <xdr:colOff>6350</xdr:colOff>
      <xdr:row>3513</xdr:row>
      <xdr:rowOff>25400</xdr:rowOff>
    </xdr:from>
    <xdr:to>
      <xdr:col>9</xdr:col>
      <xdr:colOff>885190</xdr:colOff>
      <xdr:row>3513</xdr:row>
      <xdr:rowOff>1209040</xdr:rowOff>
    </xdr:to>
    <xdr:pic>
      <xdr:nvPicPr>
        <xdr:cNvPr id="7927" name="Изображение 7926" descr="resizeПП-00186939"/>
        <xdr:cNvPicPr>
          <a:picLocks noChangeAspect="1"/>
        </xdr:cNvPicPr>
      </xdr:nvPicPr>
      <xdr:blipFill>
        <a:blip xmlns:r="http://schemas.openxmlformats.org/officeDocument/2006/relationships" r:embed="rId2638"/>
        <a:stretch>
          <a:fillRect/>
        </a:stretch>
      </xdr:blipFill>
      <xdr:spPr>
        <a:xfrm>
          <a:off x="7235825" y="3448872325"/>
          <a:ext cx="878840" cy="1183640"/>
        </a:xfrm>
        <a:prstGeom prst="rect">
          <a:avLst/>
        </a:prstGeom>
      </xdr:spPr>
    </xdr:pic>
    <xdr:clientData/>
  </xdr:twoCellAnchor>
  <xdr:twoCellAnchor>
    <xdr:from>
      <xdr:col>9</xdr:col>
      <xdr:colOff>6350</xdr:colOff>
      <xdr:row>3514</xdr:row>
      <xdr:rowOff>25400</xdr:rowOff>
    </xdr:from>
    <xdr:to>
      <xdr:col>9</xdr:col>
      <xdr:colOff>885190</xdr:colOff>
      <xdr:row>3514</xdr:row>
      <xdr:rowOff>1209040</xdr:rowOff>
    </xdr:to>
    <xdr:pic>
      <xdr:nvPicPr>
        <xdr:cNvPr id="7928" name="Изображение 7927" descr="resizeПП-00183280"/>
        <xdr:cNvPicPr>
          <a:picLocks noChangeAspect="1"/>
        </xdr:cNvPicPr>
      </xdr:nvPicPr>
      <xdr:blipFill>
        <a:blip xmlns:r="http://schemas.openxmlformats.org/officeDocument/2006/relationships" r:embed="rId2639"/>
        <a:stretch>
          <a:fillRect/>
        </a:stretch>
      </xdr:blipFill>
      <xdr:spPr>
        <a:xfrm>
          <a:off x="7235825" y="3450094700"/>
          <a:ext cx="878840" cy="1183640"/>
        </a:xfrm>
        <a:prstGeom prst="rect">
          <a:avLst/>
        </a:prstGeom>
      </xdr:spPr>
    </xdr:pic>
    <xdr:clientData/>
  </xdr:twoCellAnchor>
  <xdr:twoCellAnchor>
    <xdr:from>
      <xdr:col>9</xdr:col>
      <xdr:colOff>6350</xdr:colOff>
      <xdr:row>3515</xdr:row>
      <xdr:rowOff>25400</xdr:rowOff>
    </xdr:from>
    <xdr:to>
      <xdr:col>9</xdr:col>
      <xdr:colOff>885190</xdr:colOff>
      <xdr:row>3515</xdr:row>
      <xdr:rowOff>1209040</xdr:rowOff>
    </xdr:to>
    <xdr:pic>
      <xdr:nvPicPr>
        <xdr:cNvPr id="7929" name="Изображение 7928" descr="resizeПП-00183281"/>
        <xdr:cNvPicPr>
          <a:picLocks noChangeAspect="1"/>
        </xdr:cNvPicPr>
      </xdr:nvPicPr>
      <xdr:blipFill>
        <a:blip xmlns:r="http://schemas.openxmlformats.org/officeDocument/2006/relationships" r:embed="rId2640"/>
        <a:stretch>
          <a:fillRect/>
        </a:stretch>
      </xdr:blipFill>
      <xdr:spPr>
        <a:xfrm>
          <a:off x="7235825" y="3451317075"/>
          <a:ext cx="878840" cy="1183640"/>
        </a:xfrm>
        <a:prstGeom prst="rect">
          <a:avLst/>
        </a:prstGeom>
      </xdr:spPr>
    </xdr:pic>
    <xdr:clientData/>
  </xdr:twoCellAnchor>
  <xdr:twoCellAnchor>
    <xdr:from>
      <xdr:col>9</xdr:col>
      <xdr:colOff>6350</xdr:colOff>
      <xdr:row>3516</xdr:row>
      <xdr:rowOff>25400</xdr:rowOff>
    </xdr:from>
    <xdr:to>
      <xdr:col>9</xdr:col>
      <xdr:colOff>885190</xdr:colOff>
      <xdr:row>3516</xdr:row>
      <xdr:rowOff>1209040</xdr:rowOff>
    </xdr:to>
    <xdr:pic>
      <xdr:nvPicPr>
        <xdr:cNvPr id="7930" name="Изображение 7929" descr="resizeПП-00210915"/>
        <xdr:cNvPicPr>
          <a:picLocks noChangeAspect="1"/>
        </xdr:cNvPicPr>
      </xdr:nvPicPr>
      <xdr:blipFill>
        <a:blip xmlns:r="http://schemas.openxmlformats.org/officeDocument/2006/relationships" r:embed="rId2641"/>
        <a:stretch>
          <a:fillRect/>
        </a:stretch>
      </xdr:blipFill>
      <xdr:spPr>
        <a:xfrm>
          <a:off x="7235825" y="3452539450"/>
          <a:ext cx="878840" cy="1183640"/>
        </a:xfrm>
        <a:prstGeom prst="rect">
          <a:avLst/>
        </a:prstGeom>
      </xdr:spPr>
    </xdr:pic>
    <xdr:clientData/>
  </xdr:twoCellAnchor>
  <xdr:twoCellAnchor>
    <xdr:from>
      <xdr:col>9</xdr:col>
      <xdr:colOff>6350</xdr:colOff>
      <xdr:row>3517</xdr:row>
      <xdr:rowOff>25400</xdr:rowOff>
    </xdr:from>
    <xdr:to>
      <xdr:col>9</xdr:col>
      <xdr:colOff>885190</xdr:colOff>
      <xdr:row>3517</xdr:row>
      <xdr:rowOff>1209040</xdr:rowOff>
    </xdr:to>
    <xdr:pic>
      <xdr:nvPicPr>
        <xdr:cNvPr id="7931" name="Изображение 7930" descr="resizeПП-00237038"/>
        <xdr:cNvPicPr>
          <a:picLocks noChangeAspect="1"/>
        </xdr:cNvPicPr>
      </xdr:nvPicPr>
      <xdr:blipFill>
        <a:blip xmlns:r="http://schemas.openxmlformats.org/officeDocument/2006/relationships" r:embed="rId2642"/>
        <a:stretch>
          <a:fillRect/>
        </a:stretch>
      </xdr:blipFill>
      <xdr:spPr>
        <a:xfrm>
          <a:off x="7235825" y="3453761825"/>
          <a:ext cx="878840" cy="1183640"/>
        </a:xfrm>
        <a:prstGeom prst="rect">
          <a:avLst/>
        </a:prstGeom>
      </xdr:spPr>
    </xdr:pic>
    <xdr:clientData/>
  </xdr:twoCellAnchor>
  <xdr:twoCellAnchor>
    <xdr:from>
      <xdr:col>9</xdr:col>
      <xdr:colOff>6350</xdr:colOff>
      <xdr:row>3518</xdr:row>
      <xdr:rowOff>25400</xdr:rowOff>
    </xdr:from>
    <xdr:to>
      <xdr:col>9</xdr:col>
      <xdr:colOff>885190</xdr:colOff>
      <xdr:row>3518</xdr:row>
      <xdr:rowOff>1209040</xdr:rowOff>
    </xdr:to>
    <xdr:pic>
      <xdr:nvPicPr>
        <xdr:cNvPr id="7932" name="Изображение 7931" descr="resizeПП-00204325"/>
        <xdr:cNvPicPr>
          <a:picLocks noChangeAspect="1"/>
        </xdr:cNvPicPr>
      </xdr:nvPicPr>
      <xdr:blipFill>
        <a:blip xmlns:r="http://schemas.openxmlformats.org/officeDocument/2006/relationships" r:embed="rId2643"/>
        <a:stretch>
          <a:fillRect/>
        </a:stretch>
      </xdr:blipFill>
      <xdr:spPr>
        <a:xfrm>
          <a:off x="7235825" y="3454984200"/>
          <a:ext cx="878840" cy="1183640"/>
        </a:xfrm>
        <a:prstGeom prst="rect">
          <a:avLst/>
        </a:prstGeom>
      </xdr:spPr>
    </xdr:pic>
    <xdr:clientData/>
  </xdr:twoCellAnchor>
  <xdr:twoCellAnchor>
    <xdr:from>
      <xdr:col>9</xdr:col>
      <xdr:colOff>6350</xdr:colOff>
      <xdr:row>3519</xdr:row>
      <xdr:rowOff>25400</xdr:rowOff>
    </xdr:from>
    <xdr:to>
      <xdr:col>9</xdr:col>
      <xdr:colOff>885190</xdr:colOff>
      <xdr:row>3519</xdr:row>
      <xdr:rowOff>1209040</xdr:rowOff>
    </xdr:to>
    <xdr:pic>
      <xdr:nvPicPr>
        <xdr:cNvPr id="7933" name="Изображение 7932" descr="resizeПП-00204323"/>
        <xdr:cNvPicPr>
          <a:picLocks noChangeAspect="1"/>
        </xdr:cNvPicPr>
      </xdr:nvPicPr>
      <xdr:blipFill>
        <a:blip xmlns:r="http://schemas.openxmlformats.org/officeDocument/2006/relationships" r:embed="rId2644"/>
        <a:stretch>
          <a:fillRect/>
        </a:stretch>
      </xdr:blipFill>
      <xdr:spPr>
        <a:xfrm>
          <a:off x="7235825" y="3456206575"/>
          <a:ext cx="878840" cy="1183640"/>
        </a:xfrm>
        <a:prstGeom prst="rect">
          <a:avLst/>
        </a:prstGeom>
      </xdr:spPr>
    </xdr:pic>
    <xdr:clientData/>
  </xdr:twoCellAnchor>
  <xdr:twoCellAnchor>
    <xdr:from>
      <xdr:col>9</xdr:col>
      <xdr:colOff>6350</xdr:colOff>
      <xdr:row>3520</xdr:row>
      <xdr:rowOff>25400</xdr:rowOff>
    </xdr:from>
    <xdr:to>
      <xdr:col>9</xdr:col>
      <xdr:colOff>885190</xdr:colOff>
      <xdr:row>3520</xdr:row>
      <xdr:rowOff>1209040</xdr:rowOff>
    </xdr:to>
    <xdr:pic>
      <xdr:nvPicPr>
        <xdr:cNvPr id="7934" name="Изображение 7933" descr="resizeПП-00237037"/>
        <xdr:cNvPicPr>
          <a:picLocks noChangeAspect="1"/>
        </xdr:cNvPicPr>
      </xdr:nvPicPr>
      <xdr:blipFill>
        <a:blip xmlns:r="http://schemas.openxmlformats.org/officeDocument/2006/relationships" r:embed="rId2645"/>
        <a:stretch>
          <a:fillRect/>
        </a:stretch>
      </xdr:blipFill>
      <xdr:spPr>
        <a:xfrm>
          <a:off x="7235825" y="3457428950"/>
          <a:ext cx="878840" cy="1183640"/>
        </a:xfrm>
        <a:prstGeom prst="rect">
          <a:avLst/>
        </a:prstGeom>
      </xdr:spPr>
    </xdr:pic>
    <xdr:clientData/>
  </xdr:twoCellAnchor>
  <xdr:twoCellAnchor>
    <xdr:from>
      <xdr:col>9</xdr:col>
      <xdr:colOff>6350</xdr:colOff>
      <xdr:row>3521</xdr:row>
      <xdr:rowOff>25400</xdr:rowOff>
    </xdr:from>
    <xdr:to>
      <xdr:col>9</xdr:col>
      <xdr:colOff>885190</xdr:colOff>
      <xdr:row>3521</xdr:row>
      <xdr:rowOff>1209040</xdr:rowOff>
    </xdr:to>
    <xdr:pic>
      <xdr:nvPicPr>
        <xdr:cNvPr id="7935" name="Изображение 7934" descr="resizeПП-00204316"/>
        <xdr:cNvPicPr>
          <a:picLocks noChangeAspect="1"/>
        </xdr:cNvPicPr>
      </xdr:nvPicPr>
      <xdr:blipFill>
        <a:blip xmlns:r="http://schemas.openxmlformats.org/officeDocument/2006/relationships" r:embed="rId2646"/>
        <a:stretch>
          <a:fillRect/>
        </a:stretch>
      </xdr:blipFill>
      <xdr:spPr>
        <a:xfrm>
          <a:off x="7235825" y="3458651325"/>
          <a:ext cx="878840" cy="1183640"/>
        </a:xfrm>
        <a:prstGeom prst="rect">
          <a:avLst/>
        </a:prstGeom>
      </xdr:spPr>
    </xdr:pic>
    <xdr:clientData/>
  </xdr:twoCellAnchor>
  <xdr:twoCellAnchor>
    <xdr:from>
      <xdr:col>9</xdr:col>
      <xdr:colOff>6350</xdr:colOff>
      <xdr:row>3522</xdr:row>
      <xdr:rowOff>25400</xdr:rowOff>
    </xdr:from>
    <xdr:to>
      <xdr:col>9</xdr:col>
      <xdr:colOff>885190</xdr:colOff>
      <xdr:row>3522</xdr:row>
      <xdr:rowOff>1209040</xdr:rowOff>
    </xdr:to>
    <xdr:pic>
      <xdr:nvPicPr>
        <xdr:cNvPr id="7936" name="Изображение 7935" descr="resizeПП-00182117"/>
        <xdr:cNvPicPr>
          <a:picLocks noChangeAspect="1"/>
        </xdr:cNvPicPr>
      </xdr:nvPicPr>
      <xdr:blipFill>
        <a:blip xmlns:r="http://schemas.openxmlformats.org/officeDocument/2006/relationships" r:embed="rId2647"/>
        <a:stretch>
          <a:fillRect/>
        </a:stretch>
      </xdr:blipFill>
      <xdr:spPr>
        <a:xfrm>
          <a:off x="7235825" y="3459873700"/>
          <a:ext cx="878840" cy="1183640"/>
        </a:xfrm>
        <a:prstGeom prst="rect">
          <a:avLst/>
        </a:prstGeom>
      </xdr:spPr>
    </xdr:pic>
    <xdr:clientData/>
  </xdr:twoCellAnchor>
  <xdr:twoCellAnchor>
    <xdr:from>
      <xdr:col>9</xdr:col>
      <xdr:colOff>6350</xdr:colOff>
      <xdr:row>3523</xdr:row>
      <xdr:rowOff>25400</xdr:rowOff>
    </xdr:from>
    <xdr:to>
      <xdr:col>9</xdr:col>
      <xdr:colOff>885190</xdr:colOff>
      <xdr:row>3523</xdr:row>
      <xdr:rowOff>1209040</xdr:rowOff>
    </xdr:to>
    <xdr:pic>
      <xdr:nvPicPr>
        <xdr:cNvPr id="7937" name="Изображение 7936" descr="resizeПП-00182115"/>
        <xdr:cNvPicPr>
          <a:picLocks noChangeAspect="1"/>
        </xdr:cNvPicPr>
      </xdr:nvPicPr>
      <xdr:blipFill>
        <a:blip xmlns:r="http://schemas.openxmlformats.org/officeDocument/2006/relationships" r:embed="rId2648"/>
        <a:stretch>
          <a:fillRect/>
        </a:stretch>
      </xdr:blipFill>
      <xdr:spPr>
        <a:xfrm>
          <a:off x="7235825" y="3461096075"/>
          <a:ext cx="878840" cy="1183640"/>
        </a:xfrm>
        <a:prstGeom prst="rect">
          <a:avLst/>
        </a:prstGeom>
      </xdr:spPr>
    </xdr:pic>
    <xdr:clientData/>
  </xdr:twoCellAnchor>
  <xdr:twoCellAnchor>
    <xdr:from>
      <xdr:col>9</xdr:col>
      <xdr:colOff>6350</xdr:colOff>
      <xdr:row>3524</xdr:row>
      <xdr:rowOff>25400</xdr:rowOff>
    </xdr:from>
    <xdr:to>
      <xdr:col>9</xdr:col>
      <xdr:colOff>885190</xdr:colOff>
      <xdr:row>3524</xdr:row>
      <xdr:rowOff>1209040</xdr:rowOff>
    </xdr:to>
    <xdr:pic>
      <xdr:nvPicPr>
        <xdr:cNvPr id="7938" name="Изображение 7937" descr="resizeПП-00192305"/>
        <xdr:cNvPicPr>
          <a:picLocks noChangeAspect="1"/>
        </xdr:cNvPicPr>
      </xdr:nvPicPr>
      <xdr:blipFill>
        <a:blip xmlns:r="http://schemas.openxmlformats.org/officeDocument/2006/relationships" r:embed="rId2649"/>
        <a:stretch>
          <a:fillRect/>
        </a:stretch>
      </xdr:blipFill>
      <xdr:spPr>
        <a:xfrm>
          <a:off x="7235825" y="3462318450"/>
          <a:ext cx="878840" cy="1183640"/>
        </a:xfrm>
        <a:prstGeom prst="rect">
          <a:avLst/>
        </a:prstGeom>
      </xdr:spPr>
    </xdr:pic>
    <xdr:clientData/>
  </xdr:twoCellAnchor>
  <xdr:twoCellAnchor>
    <xdr:from>
      <xdr:col>9</xdr:col>
      <xdr:colOff>6350</xdr:colOff>
      <xdr:row>3525</xdr:row>
      <xdr:rowOff>25400</xdr:rowOff>
    </xdr:from>
    <xdr:to>
      <xdr:col>9</xdr:col>
      <xdr:colOff>885190</xdr:colOff>
      <xdr:row>3525</xdr:row>
      <xdr:rowOff>1209040</xdr:rowOff>
    </xdr:to>
    <xdr:pic>
      <xdr:nvPicPr>
        <xdr:cNvPr id="7939" name="Изображение 7938" descr="resizeПП-00194188"/>
        <xdr:cNvPicPr>
          <a:picLocks noChangeAspect="1"/>
        </xdr:cNvPicPr>
      </xdr:nvPicPr>
      <xdr:blipFill>
        <a:blip xmlns:r="http://schemas.openxmlformats.org/officeDocument/2006/relationships" r:embed="rId2650"/>
        <a:stretch>
          <a:fillRect/>
        </a:stretch>
      </xdr:blipFill>
      <xdr:spPr>
        <a:xfrm>
          <a:off x="7235825" y="3463540825"/>
          <a:ext cx="878840" cy="1183640"/>
        </a:xfrm>
        <a:prstGeom prst="rect">
          <a:avLst/>
        </a:prstGeom>
      </xdr:spPr>
    </xdr:pic>
    <xdr:clientData/>
  </xdr:twoCellAnchor>
  <xdr:twoCellAnchor>
    <xdr:from>
      <xdr:col>9</xdr:col>
      <xdr:colOff>6350</xdr:colOff>
      <xdr:row>3527</xdr:row>
      <xdr:rowOff>25400</xdr:rowOff>
    </xdr:from>
    <xdr:to>
      <xdr:col>9</xdr:col>
      <xdr:colOff>885190</xdr:colOff>
      <xdr:row>3527</xdr:row>
      <xdr:rowOff>1209040</xdr:rowOff>
    </xdr:to>
    <xdr:pic>
      <xdr:nvPicPr>
        <xdr:cNvPr id="7940" name="Изображение 7939" descr="resizeПП-00098324"/>
        <xdr:cNvPicPr>
          <a:picLocks noChangeAspect="1"/>
        </xdr:cNvPicPr>
      </xdr:nvPicPr>
      <xdr:blipFill>
        <a:blip xmlns:r="http://schemas.openxmlformats.org/officeDocument/2006/relationships" r:embed="rId2651"/>
        <a:stretch>
          <a:fillRect/>
        </a:stretch>
      </xdr:blipFill>
      <xdr:spPr>
        <a:xfrm>
          <a:off x="7235825" y="3464915600"/>
          <a:ext cx="878840" cy="1183640"/>
        </a:xfrm>
        <a:prstGeom prst="rect">
          <a:avLst/>
        </a:prstGeom>
      </xdr:spPr>
    </xdr:pic>
    <xdr:clientData/>
  </xdr:twoCellAnchor>
  <xdr:twoCellAnchor>
    <xdr:from>
      <xdr:col>9</xdr:col>
      <xdr:colOff>6350</xdr:colOff>
      <xdr:row>3528</xdr:row>
      <xdr:rowOff>25400</xdr:rowOff>
    </xdr:from>
    <xdr:to>
      <xdr:col>9</xdr:col>
      <xdr:colOff>885190</xdr:colOff>
      <xdr:row>3528</xdr:row>
      <xdr:rowOff>1209040</xdr:rowOff>
    </xdr:to>
    <xdr:pic>
      <xdr:nvPicPr>
        <xdr:cNvPr id="7941" name="Изображение 7940" descr="resizeПП-00097172"/>
        <xdr:cNvPicPr>
          <a:picLocks noChangeAspect="1"/>
        </xdr:cNvPicPr>
      </xdr:nvPicPr>
      <xdr:blipFill>
        <a:blip xmlns:r="http://schemas.openxmlformats.org/officeDocument/2006/relationships" r:embed="rId2652"/>
        <a:stretch>
          <a:fillRect/>
        </a:stretch>
      </xdr:blipFill>
      <xdr:spPr>
        <a:xfrm>
          <a:off x="7235825" y="3466137975"/>
          <a:ext cx="878840" cy="1183640"/>
        </a:xfrm>
        <a:prstGeom prst="rect">
          <a:avLst/>
        </a:prstGeom>
      </xdr:spPr>
    </xdr:pic>
    <xdr:clientData/>
  </xdr:twoCellAnchor>
  <xdr:twoCellAnchor>
    <xdr:from>
      <xdr:col>9</xdr:col>
      <xdr:colOff>6350</xdr:colOff>
      <xdr:row>3530</xdr:row>
      <xdr:rowOff>25400</xdr:rowOff>
    </xdr:from>
    <xdr:to>
      <xdr:col>9</xdr:col>
      <xdr:colOff>885190</xdr:colOff>
      <xdr:row>3530</xdr:row>
      <xdr:rowOff>1209040</xdr:rowOff>
    </xdr:to>
    <xdr:pic>
      <xdr:nvPicPr>
        <xdr:cNvPr id="7942" name="Изображение 7941" descr="resizeПП-00218490"/>
        <xdr:cNvPicPr>
          <a:picLocks noChangeAspect="1"/>
        </xdr:cNvPicPr>
      </xdr:nvPicPr>
      <xdr:blipFill>
        <a:blip xmlns:r="http://schemas.openxmlformats.org/officeDocument/2006/relationships" r:embed="rId2653"/>
        <a:stretch>
          <a:fillRect/>
        </a:stretch>
      </xdr:blipFill>
      <xdr:spPr>
        <a:xfrm>
          <a:off x="7235825" y="3467512750"/>
          <a:ext cx="878840" cy="1183640"/>
        </a:xfrm>
        <a:prstGeom prst="rect">
          <a:avLst/>
        </a:prstGeom>
      </xdr:spPr>
    </xdr:pic>
    <xdr:clientData/>
  </xdr:twoCellAnchor>
  <xdr:twoCellAnchor>
    <xdr:from>
      <xdr:col>9</xdr:col>
      <xdr:colOff>6350</xdr:colOff>
      <xdr:row>3531</xdr:row>
      <xdr:rowOff>25400</xdr:rowOff>
    </xdr:from>
    <xdr:to>
      <xdr:col>9</xdr:col>
      <xdr:colOff>885190</xdr:colOff>
      <xdr:row>3531</xdr:row>
      <xdr:rowOff>1209040</xdr:rowOff>
    </xdr:to>
    <xdr:pic>
      <xdr:nvPicPr>
        <xdr:cNvPr id="7943" name="Изображение 7942" descr="resizeПП-00211217"/>
        <xdr:cNvPicPr>
          <a:picLocks noChangeAspect="1"/>
        </xdr:cNvPicPr>
      </xdr:nvPicPr>
      <xdr:blipFill>
        <a:blip xmlns:r="http://schemas.openxmlformats.org/officeDocument/2006/relationships" r:embed="rId2654"/>
        <a:stretch>
          <a:fillRect/>
        </a:stretch>
      </xdr:blipFill>
      <xdr:spPr>
        <a:xfrm>
          <a:off x="7235825" y="3468735125"/>
          <a:ext cx="878840" cy="1183640"/>
        </a:xfrm>
        <a:prstGeom prst="rect">
          <a:avLst/>
        </a:prstGeom>
      </xdr:spPr>
    </xdr:pic>
    <xdr:clientData/>
  </xdr:twoCellAnchor>
  <xdr:twoCellAnchor>
    <xdr:from>
      <xdr:col>9</xdr:col>
      <xdr:colOff>6350</xdr:colOff>
      <xdr:row>3532</xdr:row>
      <xdr:rowOff>25400</xdr:rowOff>
    </xdr:from>
    <xdr:to>
      <xdr:col>9</xdr:col>
      <xdr:colOff>885190</xdr:colOff>
      <xdr:row>3532</xdr:row>
      <xdr:rowOff>1209040</xdr:rowOff>
    </xdr:to>
    <xdr:pic>
      <xdr:nvPicPr>
        <xdr:cNvPr id="7944" name="Изображение 7943" descr="resizeПП-00211216"/>
        <xdr:cNvPicPr>
          <a:picLocks noChangeAspect="1"/>
        </xdr:cNvPicPr>
      </xdr:nvPicPr>
      <xdr:blipFill>
        <a:blip xmlns:r="http://schemas.openxmlformats.org/officeDocument/2006/relationships" r:embed="rId2655"/>
        <a:stretch>
          <a:fillRect/>
        </a:stretch>
      </xdr:blipFill>
      <xdr:spPr>
        <a:xfrm>
          <a:off x="7235825" y="3469957500"/>
          <a:ext cx="878840" cy="1183640"/>
        </a:xfrm>
        <a:prstGeom prst="rect">
          <a:avLst/>
        </a:prstGeom>
      </xdr:spPr>
    </xdr:pic>
    <xdr:clientData/>
  </xdr:twoCellAnchor>
  <xdr:twoCellAnchor>
    <xdr:from>
      <xdr:col>9</xdr:col>
      <xdr:colOff>6350</xdr:colOff>
      <xdr:row>3534</xdr:row>
      <xdr:rowOff>25400</xdr:rowOff>
    </xdr:from>
    <xdr:to>
      <xdr:col>9</xdr:col>
      <xdr:colOff>885190</xdr:colOff>
      <xdr:row>3534</xdr:row>
      <xdr:rowOff>1209040</xdr:rowOff>
    </xdr:to>
    <xdr:pic>
      <xdr:nvPicPr>
        <xdr:cNvPr id="7945" name="Изображение 7944" descr="resizeПП-00200042"/>
        <xdr:cNvPicPr>
          <a:picLocks noChangeAspect="1"/>
        </xdr:cNvPicPr>
      </xdr:nvPicPr>
      <xdr:blipFill>
        <a:blip xmlns:r="http://schemas.openxmlformats.org/officeDocument/2006/relationships" r:embed="rId2656"/>
        <a:stretch>
          <a:fillRect/>
        </a:stretch>
      </xdr:blipFill>
      <xdr:spPr>
        <a:xfrm>
          <a:off x="7235825" y="3471332275"/>
          <a:ext cx="878840" cy="1183640"/>
        </a:xfrm>
        <a:prstGeom prst="rect">
          <a:avLst/>
        </a:prstGeom>
      </xdr:spPr>
    </xdr:pic>
    <xdr:clientData/>
  </xdr:twoCellAnchor>
  <xdr:twoCellAnchor>
    <xdr:from>
      <xdr:col>9</xdr:col>
      <xdr:colOff>6350</xdr:colOff>
      <xdr:row>3535</xdr:row>
      <xdr:rowOff>25400</xdr:rowOff>
    </xdr:from>
    <xdr:to>
      <xdr:col>9</xdr:col>
      <xdr:colOff>885190</xdr:colOff>
      <xdr:row>3535</xdr:row>
      <xdr:rowOff>1209040</xdr:rowOff>
    </xdr:to>
    <xdr:pic>
      <xdr:nvPicPr>
        <xdr:cNvPr id="7946" name="Изображение 7945" descr="resizeПП-00200041"/>
        <xdr:cNvPicPr>
          <a:picLocks noChangeAspect="1"/>
        </xdr:cNvPicPr>
      </xdr:nvPicPr>
      <xdr:blipFill>
        <a:blip xmlns:r="http://schemas.openxmlformats.org/officeDocument/2006/relationships" r:embed="rId2657"/>
        <a:stretch>
          <a:fillRect/>
        </a:stretch>
      </xdr:blipFill>
      <xdr:spPr>
        <a:xfrm>
          <a:off x="7235825" y="3472554650"/>
          <a:ext cx="878840" cy="1183640"/>
        </a:xfrm>
        <a:prstGeom prst="rect">
          <a:avLst/>
        </a:prstGeom>
      </xdr:spPr>
    </xdr:pic>
    <xdr:clientData/>
  </xdr:twoCellAnchor>
  <xdr:twoCellAnchor>
    <xdr:from>
      <xdr:col>9</xdr:col>
      <xdr:colOff>6350</xdr:colOff>
      <xdr:row>3536</xdr:row>
      <xdr:rowOff>25400</xdr:rowOff>
    </xdr:from>
    <xdr:to>
      <xdr:col>9</xdr:col>
      <xdr:colOff>885190</xdr:colOff>
      <xdr:row>3536</xdr:row>
      <xdr:rowOff>1209040</xdr:rowOff>
    </xdr:to>
    <xdr:pic>
      <xdr:nvPicPr>
        <xdr:cNvPr id="7947" name="Изображение 7946" descr="resizeПП-00200040"/>
        <xdr:cNvPicPr>
          <a:picLocks noChangeAspect="1"/>
        </xdr:cNvPicPr>
      </xdr:nvPicPr>
      <xdr:blipFill>
        <a:blip xmlns:r="http://schemas.openxmlformats.org/officeDocument/2006/relationships" r:embed="rId2658"/>
        <a:stretch>
          <a:fillRect/>
        </a:stretch>
      </xdr:blipFill>
      <xdr:spPr>
        <a:xfrm>
          <a:off x="7235825" y="3473777025"/>
          <a:ext cx="878840" cy="1183640"/>
        </a:xfrm>
        <a:prstGeom prst="rect">
          <a:avLst/>
        </a:prstGeom>
      </xdr:spPr>
    </xdr:pic>
    <xdr:clientData/>
  </xdr:twoCellAnchor>
  <xdr:twoCellAnchor>
    <xdr:from>
      <xdr:col>9</xdr:col>
      <xdr:colOff>6350</xdr:colOff>
      <xdr:row>3537</xdr:row>
      <xdr:rowOff>25400</xdr:rowOff>
    </xdr:from>
    <xdr:to>
      <xdr:col>9</xdr:col>
      <xdr:colOff>885190</xdr:colOff>
      <xdr:row>3537</xdr:row>
      <xdr:rowOff>1209040</xdr:rowOff>
    </xdr:to>
    <xdr:pic>
      <xdr:nvPicPr>
        <xdr:cNvPr id="7948" name="Изображение 7947" descr="resizeПП-00225103"/>
        <xdr:cNvPicPr>
          <a:picLocks noChangeAspect="1"/>
        </xdr:cNvPicPr>
      </xdr:nvPicPr>
      <xdr:blipFill>
        <a:blip xmlns:r="http://schemas.openxmlformats.org/officeDocument/2006/relationships" r:embed="rId2659"/>
        <a:stretch>
          <a:fillRect/>
        </a:stretch>
      </xdr:blipFill>
      <xdr:spPr>
        <a:xfrm>
          <a:off x="7235825" y="3474999400"/>
          <a:ext cx="878840" cy="1183640"/>
        </a:xfrm>
        <a:prstGeom prst="rect">
          <a:avLst/>
        </a:prstGeom>
      </xdr:spPr>
    </xdr:pic>
    <xdr:clientData/>
  </xdr:twoCellAnchor>
  <xdr:twoCellAnchor>
    <xdr:from>
      <xdr:col>9</xdr:col>
      <xdr:colOff>6350</xdr:colOff>
      <xdr:row>3538</xdr:row>
      <xdr:rowOff>25400</xdr:rowOff>
    </xdr:from>
    <xdr:to>
      <xdr:col>9</xdr:col>
      <xdr:colOff>885190</xdr:colOff>
      <xdr:row>3538</xdr:row>
      <xdr:rowOff>1209040</xdr:rowOff>
    </xdr:to>
    <xdr:pic>
      <xdr:nvPicPr>
        <xdr:cNvPr id="7949" name="Изображение 7948" descr="resizeПП-00277471"/>
        <xdr:cNvPicPr>
          <a:picLocks noChangeAspect="1"/>
        </xdr:cNvPicPr>
      </xdr:nvPicPr>
      <xdr:blipFill>
        <a:blip xmlns:r="http://schemas.openxmlformats.org/officeDocument/2006/relationships" r:embed="rId2660"/>
        <a:stretch>
          <a:fillRect/>
        </a:stretch>
      </xdr:blipFill>
      <xdr:spPr>
        <a:xfrm>
          <a:off x="7235825" y="3476221775"/>
          <a:ext cx="878840" cy="1183640"/>
        </a:xfrm>
        <a:prstGeom prst="rect">
          <a:avLst/>
        </a:prstGeom>
      </xdr:spPr>
    </xdr:pic>
    <xdr:clientData/>
  </xdr:twoCellAnchor>
  <xdr:twoCellAnchor>
    <xdr:from>
      <xdr:col>9</xdr:col>
      <xdr:colOff>6350</xdr:colOff>
      <xdr:row>3541</xdr:row>
      <xdr:rowOff>25400</xdr:rowOff>
    </xdr:from>
    <xdr:to>
      <xdr:col>9</xdr:col>
      <xdr:colOff>885190</xdr:colOff>
      <xdr:row>3541</xdr:row>
      <xdr:rowOff>1209040</xdr:rowOff>
    </xdr:to>
    <xdr:pic>
      <xdr:nvPicPr>
        <xdr:cNvPr id="7950" name="Изображение 7949" descr="resizeПП-00221341"/>
        <xdr:cNvPicPr>
          <a:picLocks noChangeAspect="1"/>
        </xdr:cNvPicPr>
      </xdr:nvPicPr>
      <xdr:blipFill>
        <a:blip xmlns:r="http://schemas.openxmlformats.org/officeDocument/2006/relationships" r:embed="rId2661"/>
        <a:stretch>
          <a:fillRect/>
        </a:stretch>
      </xdr:blipFill>
      <xdr:spPr>
        <a:xfrm>
          <a:off x="7235825" y="3477748950"/>
          <a:ext cx="878840" cy="1183640"/>
        </a:xfrm>
        <a:prstGeom prst="rect">
          <a:avLst/>
        </a:prstGeom>
      </xdr:spPr>
    </xdr:pic>
    <xdr:clientData/>
  </xdr:twoCellAnchor>
  <xdr:twoCellAnchor>
    <xdr:from>
      <xdr:col>9</xdr:col>
      <xdr:colOff>6350</xdr:colOff>
      <xdr:row>3542</xdr:row>
      <xdr:rowOff>25400</xdr:rowOff>
    </xdr:from>
    <xdr:to>
      <xdr:col>9</xdr:col>
      <xdr:colOff>885190</xdr:colOff>
      <xdr:row>3542</xdr:row>
      <xdr:rowOff>1209040</xdr:rowOff>
    </xdr:to>
    <xdr:pic>
      <xdr:nvPicPr>
        <xdr:cNvPr id="7951" name="Изображение 7950" descr="resizeПП-00248934"/>
        <xdr:cNvPicPr>
          <a:picLocks noChangeAspect="1"/>
        </xdr:cNvPicPr>
      </xdr:nvPicPr>
      <xdr:blipFill>
        <a:blip xmlns:r="http://schemas.openxmlformats.org/officeDocument/2006/relationships" r:embed="rId2662"/>
        <a:stretch>
          <a:fillRect/>
        </a:stretch>
      </xdr:blipFill>
      <xdr:spPr>
        <a:xfrm>
          <a:off x="7235825" y="3478971325"/>
          <a:ext cx="878840" cy="1183640"/>
        </a:xfrm>
        <a:prstGeom prst="rect">
          <a:avLst/>
        </a:prstGeom>
      </xdr:spPr>
    </xdr:pic>
    <xdr:clientData/>
  </xdr:twoCellAnchor>
  <xdr:twoCellAnchor>
    <xdr:from>
      <xdr:col>9</xdr:col>
      <xdr:colOff>6350</xdr:colOff>
      <xdr:row>3543</xdr:row>
      <xdr:rowOff>25400</xdr:rowOff>
    </xdr:from>
    <xdr:to>
      <xdr:col>9</xdr:col>
      <xdr:colOff>885190</xdr:colOff>
      <xdr:row>3543</xdr:row>
      <xdr:rowOff>1209040</xdr:rowOff>
    </xdr:to>
    <xdr:pic>
      <xdr:nvPicPr>
        <xdr:cNvPr id="7952" name="Изображение 7951" descr="resizeПП-00248933"/>
        <xdr:cNvPicPr>
          <a:picLocks noChangeAspect="1"/>
        </xdr:cNvPicPr>
      </xdr:nvPicPr>
      <xdr:blipFill>
        <a:blip xmlns:r="http://schemas.openxmlformats.org/officeDocument/2006/relationships" r:embed="rId2663"/>
        <a:stretch>
          <a:fillRect/>
        </a:stretch>
      </xdr:blipFill>
      <xdr:spPr>
        <a:xfrm>
          <a:off x="7235825" y="3480193700"/>
          <a:ext cx="878840" cy="1183640"/>
        </a:xfrm>
        <a:prstGeom prst="rect">
          <a:avLst/>
        </a:prstGeom>
      </xdr:spPr>
    </xdr:pic>
    <xdr:clientData/>
  </xdr:twoCellAnchor>
  <xdr:twoCellAnchor>
    <xdr:from>
      <xdr:col>9</xdr:col>
      <xdr:colOff>6350</xdr:colOff>
      <xdr:row>3544</xdr:row>
      <xdr:rowOff>25400</xdr:rowOff>
    </xdr:from>
    <xdr:to>
      <xdr:col>9</xdr:col>
      <xdr:colOff>885190</xdr:colOff>
      <xdr:row>3544</xdr:row>
      <xdr:rowOff>1209040</xdr:rowOff>
    </xdr:to>
    <xdr:pic>
      <xdr:nvPicPr>
        <xdr:cNvPr id="7953" name="Изображение 7952" descr="resizeПП-00248935"/>
        <xdr:cNvPicPr>
          <a:picLocks noChangeAspect="1"/>
        </xdr:cNvPicPr>
      </xdr:nvPicPr>
      <xdr:blipFill>
        <a:blip xmlns:r="http://schemas.openxmlformats.org/officeDocument/2006/relationships" r:embed="rId2664"/>
        <a:stretch>
          <a:fillRect/>
        </a:stretch>
      </xdr:blipFill>
      <xdr:spPr>
        <a:xfrm>
          <a:off x="7235825" y="3481416075"/>
          <a:ext cx="878840" cy="1183640"/>
        </a:xfrm>
        <a:prstGeom prst="rect">
          <a:avLst/>
        </a:prstGeom>
      </xdr:spPr>
    </xdr:pic>
    <xdr:clientData/>
  </xdr:twoCellAnchor>
  <xdr:twoCellAnchor>
    <xdr:from>
      <xdr:col>9</xdr:col>
      <xdr:colOff>6350</xdr:colOff>
      <xdr:row>3546</xdr:row>
      <xdr:rowOff>25400</xdr:rowOff>
    </xdr:from>
    <xdr:to>
      <xdr:col>9</xdr:col>
      <xdr:colOff>885190</xdr:colOff>
      <xdr:row>3546</xdr:row>
      <xdr:rowOff>1209040</xdr:rowOff>
    </xdr:to>
    <xdr:pic>
      <xdr:nvPicPr>
        <xdr:cNvPr id="7954" name="Изображение 7953" descr="resizeПП-00218985"/>
        <xdr:cNvPicPr>
          <a:picLocks noChangeAspect="1"/>
        </xdr:cNvPicPr>
      </xdr:nvPicPr>
      <xdr:blipFill>
        <a:blip xmlns:r="http://schemas.openxmlformats.org/officeDocument/2006/relationships" r:embed="rId2665"/>
        <a:stretch>
          <a:fillRect/>
        </a:stretch>
      </xdr:blipFill>
      <xdr:spPr>
        <a:xfrm>
          <a:off x="7235825" y="3482790850"/>
          <a:ext cx="878840" cy="1183640"/>
        </a:xfrm>
        <a:prstGeom prst="rect">
          <a:avLst/>
        </a:prstGeom>
      </xdr:spPr>
    </xdr:pic>
    <xdr:clientData/>
  </xdr:twoCellAnchor>
  <xdr:twoCellAnchor>
    <xdr:from>
      <xdr:col>9</xdr:col>
      <xdr:colOff>6350</xdr:colOff>
      <xdr:row>3547</xdr:row>
      <xdr:rowOff>25400</xdr:rowOff>
    </xdr:from>
    <xdr:to>
      <xdr:col>9</xdr:col>
      <xdr:colOff>885190</xdr:colOff>
      <xdr:row>3547</xdr:row>
      <xdr:rowOff>1209040</xdr:rowOff>
    </xdr:to>
    <xdr:pic>
      <xdr:nvPicPr>
        <xdr:cNvPr id="7955" name="Изображение 7954" descr="resizeПП-00218984"/>
        <xdr:cNvPicPr>
          <a:picLocks noChangeAspect="1"/>
        </xdr:cNvPicPr>
      </xdr:nvPicPr>
      <xdr:blipFill>
        <a:blip xmlns:r="http://schemas.openxmlformats.org/officeDocument/2006/relationships" r:embed="rId2666"/>
        <a:stretch>
          <a:fillRect/>
        </a:stretch>
      </xdr:blipFill>
      <xdr:spPr>
        <a:xfrm>
          <a:off x="7235825" y="3484013225"/>
          <a:ext cx="878840" cy="1183640"/>
        </a:xfrm>
        <a:prstGeom prst="rect">
          <a:avLst/>
        </a:prstGeom>
      </xdr:spPr>
    </xdr:pic>
    <xdr:clientData/>
  </xdr:twoCellAnchor>
  <xdr:twoCellAnchor>
    <xdr:from>
      <xdr:col>9</xdr:col>
      <xdr:colOff>6350</xdr:colOff>
      <xdr:row>3548</xdr:row>
      <xdr:rowOff>25400</xdr:rowOff>
    </xdr:from>
    <xdr:to>
      <xdr:col>9</xdr:col>
      <xdr:colOff>885190</xdr:colOff>
      <xdr:row>3548</xdr:row>
      <xdr:rowOff>1209040</xdr:rowOff>
    </xdr:to>
    <xdr:pic>
      <xdr:nvPicPr>
        <xdr:cNvPr id="7956" name="Изображение 7955" descr="resizeПП-00218991"/>
        <xdr:cNvPicPr>
          <a:picLocks noChangeAspect="1"/>
        </xdr:cNvPicPr>
      </xdr:nvPicPr>
      <xdr:blipFill>
        <a:blip xmlns:r="http://schemas.openxmlformats.org/officeDocument/2006/relationships" r:embed="rId2667"/>
        <a:stretch>
          <a:fillRect/>
        </a:stretch>
      </xdr:blipFill>
      <xdr:spPr>
        <a:xfrm>
          <a:off x="7235825" y="3485235600"/>
          <a:ext cx="878840" cy="1183640"/>
        </a:xfrm>
        <a:prstGeom prst="rect">
          <a:avLst/>
        </a:prstGeom>
      </xdr:spPr>
    </xdr:pic>
    <xdr:clientData/>
  </xdr:twoCellAnchor>
  <xdr:twoCellAnchor>
    <xdr:from>
      <xdr:col>9</xdr:col>
      <xdr:colOff>6350</xdr:colOff>
      <xdr:row>3550</xdr:row>
      <xdr:rowOff>25400</xdr:rowOff>
    </xdr:from>
    <xdr:to>
      <xdr:col>9</xdr:col>
      <xdr:colOff>885190</xdr:colOff>
      <xdr:row>3550</xdr:row>
      <xdr:rowOff>1209040</xdr:rowOff>
    </xdr:to>
    <xdr:pic>
      <xdr:nvPicPr>
        <xdr:cNvPr id="7957" name="Изображение 7956" descr="resizeПП-00218982"/>
        <xdr:cNvPicPr>
          <a:picLocks noChangeAspect="1"/>
        </xdr:cNvPicPr>
      </xdr:nvPicPr>
      <xdr:blipFill>
        <a:blip xmlns:r="http://schemas.openxmlformats.org/officeDocument/2006/relationships" r:embed="rId2668"/>
        <a:stretch>
          <a:fillRect/>
        </a:stretch>
      </xdr:blipFill>
      <xdr:spPr>
        <a:xfrm>
          <a:off x="7235825" y="3486610375"/>
          <a:ext cx="878840" cy="1183640"/>
        </a:xfrm>
        <a:prstGeom prst="rect">
          <a:avLst/>
        </a:prstGeom>
      </xdr:spPr>
    </xdr:pic>
    <xdr:clientData/>
  </xdr:twoCellAnchor>
  <xdr:twoCellAnchor>
    <xdr:from>
      <xdr:col>9</xdr:col>
      <xdr:colOff>6350</xdr:colOff>
      <xdr:row>3551</xdr:row>
      <xdr:rowOff>25400</xdr:rowOff>
    </xdr:from>
    <xdr:to>
      <xdr:col>9</xdr:col>
      <xdr:colOff>885190</xdr:colOff>
      <xdr:row>3551</xdr:row>
      <xdr:rowOff>1209040</xdr:rowOff>
    </xdr:to>
    <xdr:pic>
      <xdr:nvPicPr>
        <xdr:cNvPr id="7958" name="Изображение 7957" descr="resizeПП-00218977"/>
        <xdr:cNvPicPr>
          <a:picLocks noChangeAspect="1"/>
        </xdr:cNvPicPr>
      </xdr:nvPicPr>
      <xdr:blipFill>
        <a:blip xmlns:r="http://schemas.openxmlformats.org/officeDocument/2006/relationships" r:embed="rId2669"/>
        <a:stretch>
          <a:fillRect/>
        </a:stretch>
      </xdr:blipFill>
      <xdr:spPr>
        <a:xfrm>
          <a:off x="7235825" y="3487832750"/>
          <a:ext cx="878840" cy="1183640"/>
        </a:xfrm>
        <a:prstGeom prst="rect">
          <a:avLst/>
        </a:prstGeom>
      </xdr:spPr>
    </xdr:pic>
    <xdr:clientData/>
  </xdr:twoCellAnchor>
  <xdr:twoCellAnchor>
    <xdr:from>
      <xdr:col>9</xdr:col>
      <xdr:colOff>6350</xdr:colOff>
      <xdr:row>3552</xdr:row>
      <xdr:rowOff>25400</xdr:rowOff>
    </xdr:from>
    <xdr:to>
      <xdr:col>9</xdr:col>
      <xdr:colOff>885190</xdr:colOff>
      <xdr:row>3552</xdr:row>
      <xdr:rowOff>1209040</xdr:rowOff>
    </xdr:to>
    <xdr:pic>
      <xdr:nvPicPr>
        <xdr:cNvPr id="7959" name="Изображение 7958" descr="resizeПП-00218975"/>
        <xdr:cNvPicPr>
          <a:picLocks noChangeAspect="1"/>
        </xdr:cNvPicPr>
      </xdr:nvPicPr>
      <xdr:blipFill>
        <a:blip xmlns:r="http://schemas.openxmlformats.org/officeDocument/2006/relationships" r:embed="rId2670"/>
        <a:stretch>
          <a:fillRect/>
        </a:stretch>
      </xdr:blipFill>
      <xdr:spPr>
        <a:xfrm>
          <a:off x="7235825" y="3489055125"/>
          <a:ext cx="878840" cy="1183640"/>
        </a:xfrm>
        <a:prstGeom prst="rect">
          <a:avLst/>
        </a:prstGeom>
      </xdr:spPr>
    </xdr:pic>
    <xdr:clientData/>
  </xdr:twoCellAnchor>
  <xdr:twoCellAnchor>
    <xdr:from>
      <xdr:col>9</xdr:col>
      <xdr:colOff>6350</xdr:colOff>
      <xdr:row>3553</xdr:row>
      <xdr:rowOff>25400</xdr:rowOff>
    </xdr:from>
    <xdr:to>
      <xdr:col>9</xdr:col>
      <xdr:colOff>885190</xdr:colOff>
      <xdr:row>3553</xdr:row>
      <xdr:rowOff>1209040</xdr:rowOff>
    </xdr:to>
    <xdr:pic>
      <xdr:nvPicPr>
        <xdr:cNvPr id="7960" name="Изображение 7959" descr="resizeПП-00218979"/>
        <xdr:cNvPicPr>
          <a:picLocks noChangeAspect="1"/>
        </xdr:cNvPicPr>
      </xdr:nvPicPr>
      <xdr:blipFill>
        <a:blip xmlns:r="http://schemas.openxmlformats.org/officeDocument/2006/relationships" r:embed="rId2671"/>
        <a:stretch>
          <a:fillRect/>
        </a:stretch>
      </xdr:blipFill>
      <xdr:spPr>
        <a:xfrm>
          <a:off x="7235825" y="3490277500"/>
          <a:ext cx="878840" cy="1183640"/>
        </a:xfrm>
        <a:prstGeom prst="rect">
          <a:avLst/>
        </a:prstGeom>
      </xdr:spPr>
    </xdr:pic>
    <xdr:clientData/>
  </xdr:twoCellAnchor>
  <xdr:twoCellAnchor>
    <xdr:from>
      <xdr:col>9</xdr:col>
      <xdr:colOff>6350</xdr:colOff>
      <xdr:row>3554</xdr:row>
      <xdr:rowOff>25400</xdr:rowOff>
    </xdr:from>
    <xdr:to>
      <xdr:col>9</xdr:col>
      <xdr:colOff>885190</xdr:colOff>
      <xdr:row>3554</xdr:row>
      <xdr:rowOff>1209040</xdr:rowOff>
    </xdr:to>
    <xdr:pic>
      <xdr:nvPicPr>
        <xdr:cNvPr id="7961" name="Изображение 7960" descr="resizeПП-00218981"/>
        <xdr:cNvPicPr>
          <a:picLocks noChangeAspect="1"/>
        </xdr:cNvPicPr>
      </xdr:nvPicPr>
      <xdr:blipFill>
        <a:blip xmlns:r="http://schemas.openxmlformats.org/officeDocument/2006/relationships" r:embed="rId2672"/>
        <a:stretch>
          <a:fillRect/>
        </a:stretch>
      </xdr:blipFill>
      <xdr:spPr>
        <a:xfrm>
          <a:off x="7235825" y="3491499875"/>
          <a:ext cx="878840" cy="1183640"/>
        </a:xfrm>
        <a:prstGeom prst="rect">
          <a:avLst/>
        </a:prstGeom>
      </xdr:spPr>
    </xdr:pic>
    <xdr:clientData/>
  </xdr:twoCellAnchor>
  <xdr:twoCellAnchor>
    <xdr:from>
      <xdr:col>9</xdr:col>
      <xdr:colOff>6350</xdr:colOff>
      <xdr:row>3556</xdr:row>
      <xdr:rowOff>25400</xdr:rowOff>
    </xdr:from>
    <xdr:to>
      <xdr:col>9</xdr:col>
      <xdr:colOff>885190</xdr:colOff>
      <xdr:row>3556</xdr:row>
      <xdr:rowOff>1209040</xdr:rowOff>
    </xdr:to>
    <xdr:pic>
      <xdr:nvPicPr>
        <xdr:cNvPr id="7962" name="Изображение 7961" descr="resizeПП-00254758"/>
        <xdr:cNvPicPr>
          <a:picLocks noChangeAspect="1"/>
        </xdr:cNvPicPr>
      </xdr:nvPicPr>
      <xdr:blipFill>
        <a:blip xmlns:r="http://schemas.openxmlformats.org/officeDocument/2006/relationships" r:embed="rId2673"/>
        <a:stretch>
          <a:fillRect/>
        </a:stretch>
      </xdr:blipFill>
      <xdr:spPr>
        <a:xfrm>
          <a:off x="7235825" y="3492874650"/>
          <a:ext cx="878840" cy="1183640"/>
        </a:xfrm>
        <a:prstGeom prst="rect">
          <a:avLst/>
        </a:prstGeom>
      </xdr:spPr>
    </xdr:pic>
    <xdr:clientData/>
  </xdr:twoCellAnchor>
  <xdr:twoCellAnchor>
    <xdr:from>
      <xdr:col>9</xdr:col>
      <xdr:colOff>6350</xdr:colOff>
      <xdr:row>3557</xdr:row>
      <xdr:rowOff>25400</xdr:rowOff>
    </xdr:from>
    <xdr:to>
      <xdr:col>9</xdr:col>
      <xdr:colOff>885190</xdr:colOff>
      <xdr:row>3557</xdr:row>
      <xdr:rowOff>1209040</xdr:rowOff>
    </xdr:to>
    <xdr:pic>
      <xdr:nvPicPr>
        <xdr:cNvPr id="7963" name="Изображение 7962" descr="resizeПП-00221333"/>
        <xdr:cNvPicPr>
          <a:picLocks noChangeAspect="1"/>
        </xdr:cNvPicPr>
      </xdr:nvPicPr>
      <xdr:blipFill>
        <a:blip xmlns:r="http://schemas.openxmlformats.org/officeDocument/2006/relationships" r:embed="rId2674"/>
        <a:stretch>
          <a:fillRect/>
        </a:stretch>
      </xdr:blipFill>
      <xdr:spPr>
        <a:xfrm>
          <a:off x="7235825" y="3494097025"/>
          <a:ext cx="878840" cy="1183640"/>
        </a:xfrm>
        <a:prstGeom prst="rect">
          <a:avLst/>
        </a:prstGeom>
      </xdr:spPr>
    </xdr:pic>
    <xdr:clientData/>
  </xdr:twoCellAnchor>
  <xdr:twoCellAnchor>
    <xdr:from>
      <xdr:col>9</xdr:col>
      <xdr:colOff>6350</xdr:colOff>
      <xdr:row>3559</xdr:row>
      <xdr:rowOff>25400</xdr:rowOff>
    </xdr:from>
    <xdr:to>
      <xdr:col>9</xdr:col>
      <xdr:colOff>885190</xdr:colOff>
      <xdr:row>3559</xdr:row>
      <xdr:rowOff>1209040</xdr:rowOff>
    </xdr:to>
    <xdr:pic>
      <xdr:nvPicPr>
        <xdr:cNvPr id="7964" name="Изображение 7963" descr="resizeПП-00222381"/>
        <xdr:cNvPicPr>
          <a:picLocks noChangeAspect="1"/>
        </xdr:cNvPicPr>
      </xdr:nvPicPr>
      <xdr:blipFill>
        <a:blip xmlns:r="http://schemas.openxmlformats.org/officeDocument/2006/relationships" r:embed="rId2675"/>
        <a:stretch>
          <a:fillRect/>
        </a:stretch>
      </xdr:blipFill>
      <xdr:spPr>
        <a:xfrm>
          <a:off x="7235825" y="3495471800"/>
          <a:ext cx="878840" cy="1183640"/>
        </a:xfrm>
        <a:prstGeom prst="rect">
          <a:avLst/>
        </a:prstGeom>
      </xdr:spPr>
    </xdr:pic>
    <xdr:clientData/>
  </xdr:twoCellAnchor>
  <xdr:twoCellAnchor>
    <xdr:from>
      <xdr:col>9</xdr:col>
      <xdr:colOff>6350</xdr:colOff>
      <xdr:row>3565</xdr:row>
      <xdr:rowOff>25400</xdr:rowOff>
    </xdr:from>
    <xdr:to>
      <xdr:col>9</xdr:col>
      <xdr:colOff>885190</xdr:colOff>
      <xdr:row>3565</xdr:row>
      <xdr:rowOff>1209040</xdr:rowOff>
    </xdr:to>
    <xdr:pic>
      <xdr:nvPicPr>
        <xdr:cNvPr id="7965" name="Изображение 7964" descr="resizeПП-00084277"/>
        <xdr:cNvPicPr>
          <a:picLocks noChangeAspect="1"/>
        </xdr:cNvPicPr>
      </xdr:nvPicPr>
      <xdr:blipFill>
        <a:blip xmlns:r="http://schemas.openxmlformats.org/officeDocument/2006/relationships" r:embed="rId2676"/>
        <a:stretch>
          <a:fillRect/>
        </a:stretch>
      </xdr:blipFill>
      <xdr:spPr>
        <a:xfrm>
          <a:off x="7235825" y="3497506975"/>
          <a:ext cx="878840" cy="1183640"/>
        </a:xfrm>
        <a:prstGeom prst="rect">
          <a:avLst/>
        </a:prstGeom>
      </xdr:spPr>
    </xdr:pic>
    <xdr:clientData/>
  </xdr:twoCellAnchor>
  <xdr:twoCellAnchor>
    <xdr:from>
      <xdr:col>9</xdr:col>
      <xdr:colOff>6350</xdr:colOff>
      <xdr:row>3566</xdr:row>
      <xdr:rowOff>25400</xdr:rowOff>
    </xdr:from>
    <xdr:to>
      <xdr:col>9</xdr:col>
      <xdr:colOff>885190</xdr:colOff>
      <xdr:row>3566</xdr:row>
      <xdr:rowOff>1209040</xdr:rowOff>
    </xdr:to>
    <xdr:pic>
      <xdr:nvPicPr>
        <xdr:cNvPr id="7966" name="Изображение 7965" descr="resizeПП-00084277"/>
        <xdr:cNvPicPr>
          <a:picLocks noChangeAspect="1"/>
        </xdr:cNvPicPr>
      </xdr:nvPicPr>
      <xdr:blipFill>
        <a:blip xmlns:r="http://schemas.openxmlformats.org/officeDocument/2006/relationships" r:embed="rId2676"/>
        <a:stretch>
          <a:fillRect/>
        </a:stretch>
      </xdr:blipFill>
      <xdr:spPr>
        <a:xfrm>
          <a:off x="7235825" y="3498729350"/>
          <a:ext cx="878840" cy="1183640"/>
        </a:xfrm>
        <a:prstGeom prst="rect">
          <a:avLst/>
        </a:prstGeom>
      </xdr:spPr>
    </xdr:pic>
    <xdr:clientData/>
  </xdr:twoCellAnchor>
  <xdr:twoCellAnchor>
    <xdr:from>
      <xdr:col>9</xdr:col>
      <xdr:colOff>6350</xdr:colOff>
      <xdr:row>3568</xdr:row>
      <xdr:rowOff>25400</xdr:rowOff>
    </xdr:from>
    <xdr:to>
      <xdr:col>9</xdr:col>
      <xdr:colOff>885190</xdr:colOff>
      <xdr:row>3568</xdr:row>
      <xdr:rowOff>1209040</xdr:rowOff>
    </xdr:to>
    <xdr:pic>
      <xdr:nvPicPr>
        <xdr:cNvPr id="7967" name="Изображение 7966" descr="resizeПП-00084279"/>
        <xdr:cNvPicPr>
          <a:picLocks noChangeAspect="1"/>
        </xdr:cNvPicPr>
      </xdr:nvPicPr>
      <xdr:blipFill>
        <a:blip xmlns:r="http://schemas.openxmlformats.org/officeDocument/2006/relationships" r:embed="rId2676"/>
        <a:stretch>
          <a:fillRect/>
        </a:stretch>
      </xdr:blipFill>
      <xdr:spPr>
        <a:xfrm>
          <a:off x="7235825" y="3500104125"/>
          <a:ext cx="878840" cy="1183640"/>
        </a:xfrm>
        <a:prstGeom prst="rect">
          <a:avLst/>
        </a:prstGeom>
      </xdr:spPr>
    </xdr:pic>
    <xdr:clientData/>
  </xdr:twoCellAnchor>
  <xdr:twoCellAnchor>
    <xdr:from>
      <xdr:col>9</xdr:col>
      <xdr:colOff>6350</xdr:colOff>
      <xdr:row>3569</xdr:row>
      <xdr:rowOff>25400</xdr:rowOff>
    </xdr:from>
    <xdr:to>
      <xdr:col>9</xdr:col>
      <xdr:colOff>885190</xdr:colOff>
      <xdr:row>3569</xdr:row>
      <xdr:rowOff>1209040</xdr:rowOff>
    </xdr:to>
    <xdr:pic>
      <xdr:nvPicPr>
        <xdr:cNvPr id="7968" name="Изображение 7967" descr="resizeПП-00084279"/>
        <xdr:cNvPicPr>
          <a:picLocks noChangeAspect="1"/>
        </xdr:cNvPicPr>
      </xdr:nvPicPr>
      <xdr:blipFill>
        <a:blip xmlns:r="http://schemas.openxmlformats.org/officeDocument/2006/relationships" r:embed="rId2676"/>
        <a:stretch>
          <a:fillRect/>
        </a:stretch>
      </xdr:blipFill>
      <xdr:spPr>
        <a:xfrm>
          <a:off x="7235825" y="3501326500"/>
          <a:ext cx="878840" cy="1183640"/>
        </a:xfrm>
        <a:prstGeom prst="rect">
          <a:avLst/>
        </a:prstGeom>
      </xdr:spPr>
    </xdr:pic>
    <xdr:clientData/>
  </xdr:twoCellAnchor>
  <xdr:twoCellAnchor>
    <xdr:from>
      <xdr:col>9</xdr:col>
      <xdr:colOff>6350</xdr:colOff>
      <xdr:row>3571</xdr:row>
      <xdr:rowOff>25400</xdr:rowOff>
    </xdr:from>
    <xdr:to>
      <xdr:col>9</xdr:col>
      <xdr:colOff>885190</xdr:colOff>
      <xdr:row>3571</xdr:row>
      <xdr:rowOff>1209040</xdr:rowOff>
    </xdr:to>
    <xdr:pic>
      <xdr:nvPicPr>
        <xdr:cNvPr id="7969" name="Изображение 7968" descr="resizeПП-00084281"/>
        <xdr:cNvPicPr>
          <a:picLocks noChangeAspect="1"/>
        </xdr:cNvPicPr>
      </xdr:nvPicPr>
      <xdr:blipFill>
        <a:blip xmlns:r="http://schemas.openxmlformats.org/officeDocument/2006/relationships" r:embed="rId2676"/>
        <a:stretch>
          <a:fillRect/>
        </a:stretch>
      </xdr:blipFill>
      <xdr:spPr>
        <a:xfrm>
          <a:off x="7235825" y="3502701275"/>
          <a:ext cx="878840" cy="1183640"/>
        </a:xfrm>
        <a:prstGeom prst="rect">
          <a:avLst/>
        </a:prstGeom>
      </xdr:spPr>
    </xdr:pic>
    <xdr:clientData/>
  </xdr:twoCellAnchor>
  <xdr:twoCellAnchor>
    <xdr:from>
      <xdr:col>9</xdr:col>
      <xdr:colOff>6350</xdr:colOff>
      <xdr:row>3572</xdr:row>
      <xdr:rowOff>25400</xdr:rowOff>
    </xdr:from>
    <xdr:to>
      <xdr:col>9</xdr:col>
      <xdr:colOff>885190</xdr:colOff>
      <xdr:row>3572</xdr:row>
      <xdr:rowOff>1209040</xdr:rowOff>
    </xdr:to>
    <xdr:pic>
      <xdr:nvPicPr>
        <xdr:cNvPr id="7970" name="Изображение 7969" descr="resizeПП-00084281"/>
        <xdr:cNvPicPr>
          <a:picLocks noChangeAspect="1"/>
        </xdr:cNvPicPr>
      </xdr:nvPicPr>
      <xdr:blipFill>
        <a:blip xmlns:r="http://schemas.openxmlformats.org/officeDocument/2006/relationships" r:embed="rId2676"/>
        <a:stretch>
          <a:fillRect/>
        </a:stretch>
      </xdr:blipFill>
      <xdr:spPr>
        <a:xfrm>
          <a:off x="7235825" y="3503923650"/>
          <a:ext cx="878840" cy="1183640"/>
        </a:xfrm>
        <a:prstGeom prst="rect">
          <a:avLst/>
        </a:prstGeom>
      </xdr:spPr>
    </xdr:pic>
    <xdr:clientData/>
  </xdr:twoCellAnchor>
  <xdr:twoCellAnchor>
    <xdr:from>
      <xdr:col>9</xdr:col>
      <xdr:colOff>6350</xdr:colOff>
      <xdr:row>3576</xdr:row>
      <xdr:rowOff>25400</xdr:rowOff>
    </xdr:from>
    <xdr:to>
      <xdr:col>9</xdr:col>
      <xdr:colOff>885190</xdr:colOff>
      <xdr:row>3576</xdr:row>
      <xdr:rowOff>1209040</xdr:rowOff>
    </xdr:to>
    <xdr:pic>
      <xdr:nvPicPr>
        <xdr:cNvPr id="7971" name="Изображение 7970" descr="resizeПП-00272506"/>
        <xdr:cNvPicPr>
          <a:picLocks noChangeAspect="1"/>
        </xdr:cNvPicPr>
      </xdr:nvPicPr>
      <xdr:blipFill>
        <a:blip xmlns:r="http://schemas.openxmlformats.org/officeDocument/2006/relationships" r:embed="rId2677"/>
        <a:stretch>
          <a:fillRect/>
        </a:stretch>
      </xdr:blipFill>
      <xdr:spPr>
        <a:xfrm>
          <a:off x="7235825" y="3505603225"/>
          <a:ext cx="878840" cy="1183640"/>
        </a:xfrm>
        <a:prstGeom prst="rect">
          <a:avLst/>
        </a:prstGeom>
      </xdr:spPr>
    </xdr:pic>
    <xdr:clientData/>
  </xdr:twoCellAnchor>
  <xdr:twoCellAnchor>
    <xdr:from>
      <xdr:col>9</xdr:col>
      <xdr:colOff>6350</xdr:colOff>
      <xdr:row>3577</xdr:row>
      <xdr:rowOff>25400</xdr:rowOff>
    </xdr:from>
    <xdr:to>
      <xdr:col>9</xdr:col>
      <xdr:colOff>885190</xdr:colOff>
      <xdr:row>3577</xdr:row>
      <xdr:rowOff>1209040</xdr:rowOff>
    </xdr:to>
    <xdr:pic>
      <xdr:nvPicPr>
        <xdr:cNvPr id="7972" name="Изображение 7971" descr="resizeПП-00272511"/>
        <xdr:cNvPicPr>
          <a:picLocks noChangeAspect="1"/>
        </xdr:cNvPicPr>
      </xdr:nvPicPr>
      <xdr:blipFill>
        <a:blip xmlns:r="http://schemas.openxmlformats.org/officeDocument/2006/relationships" r:embed="rId2678"/>
        <a:stretch>
          <a:fillRect/>
        </a:stretch>
      </xdr:blipFill>
      <xdr:spPr>
        <a:xfrm>
          <a:off x="7235825" y="3506825600"/>
          <a:ext cx="878840" cy="1183640"/>
        </a:xfrm>
        <a:prstGeom prst="rect">
          <a:avLst/>
        </a:prstGeom>
      </xdr:spPr>
    </xdr:pic>
    <xdr:clientData/>
  </xdr:twoCellAnchor>
  <xdr:twoCellAnchor>
    <xdr:from>
      <xdr:col>9</xdr:col>
      <xdr:colOff>6350</xdr:colOff>
      <xdr:row>3578</xdr:row>
      <xdr:rowOff>25400</xdr:rowOff>
    </xdr:from>
    <xdr:to>
      <xdr:col>9</xdr:col>
      <xdr:colOff>885190</xdr:colOff>
      <xdr:row>3578</xdr:row>
      <xdr:rowOff>1209040</xdr:rowOff>
    </xdr:to>
    <xdr:pic>
      <xdr:nvPicPr>
        <xdr:cNvPr id="7973" name="Изображение 7972" descr="resizeПП-00265716"/>
        <xdr:cNvPicPr>
          <a:picLocks noChangeAspect="1"/>
        </xdr:cNvPicPr>
      </xdr:nvPicPr>
      <xdr:blipFill>
        <a:blip xmlns:r="http://schemas.openxmlformats.org/officeDocument/2006/relationships" r:embed="rId2679"/>
        <a:stretch>
          <a:fillRect/>
        </a:stretch>
      </xdr:blipFill>
      <xdr:spPr>
        <a:xfrm>
          <a:off x="7235825" y="3508047975"/>
          <a:ext cx="878840" cy="1183640"/>
        </a:xfrm>
        <a:prstGeom prst="rect">
          <a:avLst/>
        </a:prstGeom>
      </xdr:spPr>
    </xdr:pic>
    <xdr:clientData/>
  </xdr:twoCellAnchor>
  <xdr:twoCellAnchor>
    <xdr:from>
      <xdr:col>9</xdr:col>
      <xdr:colOff>6350</xdr:colOff>
      <xdr:row>3579</xdr:row>
      <xdr:rowOff>25400</xdr:rowOff>
    </xdr:from>
    <xdr:to>
      <xdr:col>9</xdr:col>
      <xdr:colOff>885190</xdr:colOff>
      <xdr:row>3579</xdr:row>
      <xdr:rowOff>1209040</xdr:rowOff>
    </xdr:to>
    <xdr:pic>
      <xdr:nvPicPr>
        <xdr:cNvPr id="7974" name="Изображение 7973" descr="resizeПП-00272502"/>
        <xdr:cNvPicPr>
          <a:picLocks noChangeAspect="1"/>
        </xdr:cNvPicPr>
      </xdr:nvPicPr>
      <xdr:blipFill>
        <a:blip xmlns:r="http://schemas.openxmlformats.org/officeDocument/2006/relationships" r:embed="rId2680"/>
        <a:stretch>
          <a:fillRect/>
        </a:stretch>
      </xdr:blipFill>
      <xdr:spPr>
        <a:xfrm>
          <a:off x="7235825" y="3509270350"/>
          <a:ext cx="878840" cy="1183640"/>
        </a:xfrm>
        <a:prstGeom prst="rect">
          <a:avLst/>
        </a:prstGeom>
      </xdr:spPr>
    </xdr:pic>
    <xdr:clientData/>
  </xdr:twoCellAnchor>
  <xdr:twoCellAnchor>
    <xdr:from>
      <xdr:col>9</xdr:col>
      <xdr:colOff>6350</xdr:colOff>
      <xdr:row>3580</xdr:row>
      <xdr:rowOff>25400</xdr:rowOff>
    </xdr:from>
    <xdr:to>
      <xdr:col>9</xdr:col>
      <xdr:colOff>885190</xdr:colOff>
      <xdr:row>3580</xdr:row>
      <xdr:rowOff>1209040</xdr:rowOff>
    </xdr:to>
    <xdr:pic>
      <xdr:nvPicPr>
        <xdr:cNvPr id="7975" name="Изображение 7974" descr="resizeПП-00272497"/>
        <xdr:cNvPicPr>
          <a:picLocks noChangeAspect="1"/>
        </xdr:cNvPicPr>
      </xdr:nvPicPr>
      <xdr:blipFill>
        <a:blip xmlns:r="http://schemas.openxmlformats.org/officeDocument/2006/relationships" r:embed="rId2681"/>
        <a:stretch>
          <a:fillRect/>
        </a:stretch>
      </xdr:blipFill>
      <xdr:spPr>
        <a:xfrm>
          <a:off x="7235825" y="3510492725"/>
          <a:ext cx="878840" cy="1183640"/>
        </a:xfrm>
        <a:prstGeom prst="rect">
          <a:avLst/>
        </a:prstGeom>
      </xdr:spPr>
    </xdr:pic>
    <xdr:clientData/>
  </xdr:twoCellAnchor>
  <xdr:twoCellAnchor>
    <xdr:from>
      <xdr:col>9</xdr:col>
      <xdr:colOff>6350</xdr:colOff>
      <xdr:row>3581</xdr:row>
      <xdr:rowOff>25400</xdr:rowOff>
    </xdr:from>
    <xdr:to>
      <xdr:col>9</xdr:col>
      <xdr:colOff>885190</xdr:colOff>
      <xdr:row>3581</xdr:row>
      <xdr:rowOff>1209040</xdr:rowOff>
    </xdr:to>
    <xdr:pic>
      <xdr:nvPicPr>
        <xdr:cNvPr id="7976" name="Изображение 7975" descr="resizeПП-00272500"/>
        <xdr:cNvPicPr>
          <a:picLocks noChangeAspect="1"/>
        </xdr:cNvPicPr>
      </xdr:nvPicPr>
      <xdr:blipFill>
        <a:blip xmlns:r="http://schemas.openxmlformats.org/officeDocument/2006/relationships" r:embed="rId2682"/>
        <a:stretch>
          <a:fillRect/>
        </a:stretch>
      </xdr:blipFill>
      <xdr:spPr>
        <a:xfrm>
          <a:off x="7235825" y="3511715100"/>
          <a:ext cx="878840" cy="1183640"/>
        </a:xfrm>
        <a:prstGeom prst="rect">
          <a:avLst/>
        </a:prstGeom>
      </xdr:spPr>
    </xdr:pic>
    <xdr:clientData/>
  </xdr:twoCellAnchor>
  <xdr:twoCellAnchor>
    <xdr:from>
      <xdr:col>9</xdr:col>
      <xdr:colOff>6350</xdr:colOff>
      <xdr:row>3582</xdr:row>
      <xdr:rowOff>25400</xdr:rowOff>
    </xdr:from>
    <xdr:to>
      <xdr:col>9</xdr:col>
      <xdr:colOff>885190</xdr:colOff>
      <xdr:row>3582</xdr:row>
      <xdr:rowOff>1209040</xdr:rowOff>
    </xdr:to>
    <xdr:pic>
      <xdr:nvPicPr>
        <xdr:cNvPr id="7977" name="Изображение 7976" descr="resizeПП-00263210"/>
        <xdr:cNvPicPr>
          <a:picLocks noChangeAspect="1"/>
        </xdr:cNvPicPr>
      </xdr:nvPicPr>
      <xdr:blipFill>
        <a:blip xmlns:r="http://schemas.openxmlformats.org/officeDocument/2006/relationships" r:embed="rId2683"/>
        <a:stretch>
          <a:fillRect/>
        </a:stretch>
      </xdr:blipFill>
      <xdr:spPr>
        <a:xfrm>
          <a:off x="7235825" y="3512937475"/>
          <a:ext cx="878840" cy="1183640"/>
        </a:xfrm>
        <a:prstGeom prst="rect">
          <a:avLst/>
        </a:prstGeom>
      </xdr:spPr>
    </xdr:pic>
    <xdr:clientData/>
  </xdr:twoCellAnchor>
  <xdr:twoCellAnchor>
    <xdr:from>
      <xdr:col>9</xdr:col>
      <xdr:colOff>6350</xdr:colOff>
      <xdr:row>3583</xdr:row>
      <xdr:rowOff>25400</xdr:rowOff>
    </xdr:from>
    <xdr:to>
      <xdr:col>9</xdr:col>
      <xdr:colOff>885190</xdr:colOff>
      <xdr:row>3583</xdr:row>
      <xdr:rowOff>1209040</xdr:rowOff>
    </xdr:to>
    <xdr:pic>
      <xdr:nvPicPr>
        <xdr:cNvPr id="7978" name="Изображение 7977" descr="resizeПП-00263207"/>
        <xdr:cNvPicPr>
          <a:picLocks noChangeAspect="1"/>
        </xdr:cNvPicPr>
      </xdr:nvPicPr>
      <xdr:blipFill>
        <a:blip xmlns:r="http://schemas.openxmlformats.org/officeDocument/2006/relationships" r:embed="rId2684"/>
        <a:stretch>
          <a:fillRect/>
        </a:stretch>
      </xdr:blipFill>
      <xdr:spPr>
        <a:xfrm>
          <a:off x="7235825" y="3514159850"/>
          <a:ext cx="878840" cy="1183640"/>
        </a:xfrm>
        <a:prstGeom prst="rect">
          <a:avLst/>
        </a:prstGeom>
      </xdr:spPr>
    </xdr:pic>
    <xdr:clientData/>
  </xdr:twoCellAnchor>
  <xdr:twoCellAnchor>
    <xdr:from>
      <xdr:col>9</xdr:col>
      <xdr:colOff>6350</xdr:colOff>
      <xdr:row>3584</xdr:row>
      <xdr:rowOff>25400</xdr:rowOff>
    </xdr:from>
    <xdr:to>
      <xdr:col>9</xdr:col>
      <xdr:colOff>885190</xdr:colOff>
      <xdr:row>3584</xdr:row>
      <xdr:rowOff>1209040</xdr:rowOff>
    </xdr:to>
    <xdr:pic>
      <xdr:nvPicPr>
        <xdr:cNvPr id="7979" name="Изображение 7978" descr="resizeПП-00265717"/>
        <xdr:cNvPicPr>
          <a:picLocks noChangeAspect="1"/>
        </xdr:cNvPicPr>
      </xdr:nvPicPr>
      <xdr:blipFill>
        <a:blip xmlns:r="http://schemas.openxmlformats.org/officeDocument/2006/relationships" r:embed="rId2685"/>
        <a:stretch>
          <a:fillRect/>
        </a:stretch>
      </xdr:blipFill>
      <xdr:spPr>
        <a:xfrm>
          <a:off x="7235825" y="3515382225"/>
          <a:ext cx="878840" cy="1183640"/>
        </a:xfrm>
        <a:prstGeom prst="rect">
          <a:avLst/>
        </a:prstGeom>
      </xdr:spPr>
    </xdr:pic>
    <xdr:clientData/>
  </xdr:twoCellAnchor>
  <xdr:twoCellAnchor>
    <xdr:from>
      <xdr:col>9</xdr:col>
      <xdr:colOff>6350</xdr:colOff>
      <xdr:row>3585</xdr:row>
      <xdr:rowOff>25400</xdr:rowOff>
    </xdr:from>
    <xdr:to>
      <xdr:col>9</xdr:col>
      <xdr:colOff>885190</xdr:colOff>
      <xdr:row>3585</xdr:row>
      <xdr:rowOff>1209040</xdr:rowOff>
    </xdr:to>
    <xdr:pic>
      <xdr:nvPicPr>
        <xdr:cNvPr id="7980" name="Изображение 7979" descr="resizeПП-00272504"/>
        <xdr:cNvPicPr>
          <a:picLocks noChangeAspect="1"/>
        </xdr:cNvPicPr>
      </xdr:nvPicPr>
      <xdr:blipFill>
        <a:blip xmlns:r="http://schemas.openxmlformats.org/officeDocument/2006/relationships" r:embed="rId2686"/>
        <a:stretch>
          <a:fillRect/>
        </a:stretch>
      </xdr:blipFill>
      <xdr:spPr>
        <a:xfrm>
          <a:off x="7235825" y="3516604600"/>
          <a:ext cx="878840" cy="1183640"/>
        </a:xfrm>
        <a:prstGeom prst="rect">
          <a:avLst/>
        </a:prstGeom>
      </xdr:spPr>
    </xdr:pic>
    <xdr:clientData/>
  </xdr:twoCellAnchor>
  <xdr:twoCellAnchor>
    <xdr:from>
      <xdr:col>9</xdr:col>
      <xdr:colOff>6350</xdr:colOff>
      <xdr:row>3586</xdr:row>
      <xdr:rowOff>25400</xdr:rowOff>
    </xdr:from>
    <xdr:to>
      <xdr:col>9</xdr:col>
      <xdr:colOff>885190</xdr:colOff>
      <xdr:row>3586</xdr:row>
      <xdr:rowOff>1209040</xdr:rowOff>
    </xdr:to>
    <xdr:pic>
      <xdr:nvPicPr>
        <xdr:cNvPr id="7981" name="Изображение 7980" descr="resizeПП-00263209"/>
        <xdr:cNvPicPr>
          <a:picLocks noChangeAspect="1"/>
        </xdr:cNvPicPr>
      </xdr:nvPicPr>
      <xdr:blipFill>
        <a:blip xmlns:r="http://schemas.openxmlformats.org/officeDocument/2006/relationships" r:embed="rId2687"/>
        <a:stretch>
          <a:fillRect/>
        </a:stretch>
      </xdr:blipFill>
      <xdr:spPr>
        <a:xfrm>
          <a:off x="7235825" y="3517826975"/>
          <a:ext cx="878840" cy="1183640"/>
        </a:xfrm>
        <a:prstGeom prst="rect">
          <a:avLst/>
        </a:prstGeom>
      </xdr:spPr>
    </xdr:pic>
    <xdr:clientData/>
  </xdr:twoCellAnchor>
  <xdr:twoCellAnchor>
    <xdr:from>
      <xdr:col>9</xdr:col>
      <xdr:colOff>6350</xdr:colOff>
      <xdr:row>3587</xdr:row>
      <xdr:rowOff>25400</xdr:rowOff>
    </xdr:from>
    <xdr:to>
      <xdr:col>9</xdr:col>
      <xdr:colOff>885190</xdr:colOff>
      <xdr:row>3587</xdr:row>
      <xdr:rowOff>1209040</xdr:rowOff>
    </xdr:to>
    <xdr:pic>
      <xdr:nvPicPr>
        <xdr:cNvPr id="7982" name="Изображение 7981" descr="resizeПП-00263200"/>
        <xdr:cNvPicPr>
          <a:picLocks noChangeAspect="1"/>
        </xdr:cNvPicPr>
      </xdr:nvPicPr>
      <xdr:blipFill>
        <a:blip xmlns:r="http://schemas.openxmlformats.org/officeDocument/2006/relationships" r:embed="rId2688"/>
        <a:stretch>
          <a:fillRect/>
        </a:stretch>
      </xdr:blipFill>
      <xdr:spPr>
        <a:xfrm>
          <a:off x="7235825" y="3519049350"/>
          <a:ext cx="878840" cy="1183640"/>
        </a:xfrm>
        <a:prstGeom prst="rect">
          <a:avLst/>
        </a:prstGeom>
      </xdr:spPr>
    </xdr:pic>
    <xdr:clientData/>
  </xdr:twoCellAnchor>
  <xdr:twoCellAnchor>
    <xdr:from>
      <xdr:col>9</xdr:col>
      <xdr:colOff>6350</xdr:colOff>
      <xdr:row>3588</xdr:row>
      <xdr:rowOff>25400</xdr:rowOff>
    </xdr:from>
    <xdr:to>
      <xdr:col>9</xdr:col>
      <xdr:colOff>885190</xdr:colOff>
      <xdr:row>3588</xdr:row>
      <xdr:rowOff>1209040</xdr:rowOff>
    </xdr:to>
    <xdr:pic>
      <xdr:nvPicPr>
        <xdr:cNvPr id="7983" name="Изображение 7982" descr="resizeПП-00263208"/>
        <xdr:cNvPicPr>
          <a:picLocks noChangeAspect="1"/>
        </xdr:cNvPicPr>
      </xdr:nvPicPr>
      <xdr:blipFill>
        <a:blip xmlns:r="http://schemas.openxmlformats.org/officeDocument/2006/relationships" r:embed="rId2689"/>
        <a:stretch>
          <a:fillRect/>
        </a:stretch>
      </xdr:blipFill>
      <xdr:spPr>
        <a:xfrm>
          <a:off x="7235825" y="3520271725"/>
          <a:ext cx="878840" cy="1183640"/>
        </a:xfrm>
        <a:prstGeom prst="rect">
          <a:avLst/>
        </a:prstGeom>
      </xdr:spPr>
    </xdr:pic>
    <xdr:clientData/>
  </xdr:twoCellAnchor>
  <xdr:twoCellAnchor>
    <xdr:from>
      <xdr:col>9</xdr:col>
      <xdr:colOff>6350</xdr:colOff>
      <xdr:row>3590</xdr:row>
      <xdr:rowOff>25400</xdr:rowOff>
    </xdr:from>
    <xdr:to>
      <xdr:col>9</xdr:col>
      <xdr:colOff>885190</xdr:colOff>
      <xdr:row>3590</xdr:row>
      <xdr:rowOff>1209040</xdr:rowOff>
    </xdr:to>
    <xdr:pic>
      <xdr:nvPicPr>
        <xdr:cNvPr id="7984" name="Изображение 7983" descr="resizeПП-00272514"/>
        <xdr:cNvPicPr>
          <a:picLocks noChangeAspect="1"/>
        </xdr:cNvPicPr>
      </xdr:nvPicPr>
      <xdr:blipFill>
        <a:blip xmlns:r="http://schemas.openxmlformats.org/officeDocument/2006/relationships" r:embed="rId2690"/>
        <a:stretch>
          <a:fillRect/>
        </a:stretch>
      </xdr:blipFill>
      <xdr:spPr>
        <a:xfrm>
          <a:off x="7235825" y="3521646500"/>
          <a:ext cx="878840" cy="1183640"/>
        </a:xfrm>
        <a:prstGeom prst="rect">
          <a:avLst/>
        </a:prstGeom>
      </xdr:spPr>
    </xdr:pic>
    <xdr:clientData/>
  </xdr:twoCellAnchor>
  <xdr:twoCellAnchor>
    <xdr:from>
      <xdr:col>9</xdr:col>
      <xdr:colOff>6350</xdr:colOff>
      <xdr:row>3591</xdr:row>
      <xdr:rowOff>25400</xdr:rowOff>
    </xdr:from>
    <xdr:to>
      <xdr:col>9</xdr:col>
      <xdr:colOff>885190</xdr:colOff>
      <xdr:row>3591</xdr:row>
      <xdr:rowOff>1209040</xdr:rowOff>
    </xdr:to>
    <xdr:pic>
      <xdr:nvPicPr>
        <xdr:cNvPr id="7985" name="Изображение 7984" descr="resizeПП-00272517"/>
        <xdr:cNvPicPr>
          <a:picLocks noChangeAspect="1"/>
        </xdr:cNvPicPr>
      </xdr:nvPicPr>
      <xdr:blipFill>
        <a:blip xmlns:r="http://schemas.openxmlformats.org/officeDocument/2006/relationships" r:embed="rId2691"/>
        <a:stretch>
          <a:fillRect/>
        </a:stretch>
      </xdr:blipFill>
      <xdr:spPr>
        <a:xfrm>
          <a:off x="7235825" y="3522868875"/>
          <a:ext cx="878840" cy="1183640"/>
        </a:xfrm>
        <a:prstGeom prst="rect">
          <a:avLst/>
        </a:prstGeom>
      </xdr:spPr>
    </xdr:pic>
    <xdr:clientData/>
  </xdr:twoCellAnchor>
  <xdr:twoCellAnchor>
    <xdr:from>
      <xdr:col>9</xdr:col>
      <xdr:colOff>6350</xdr:colOff>
      <xdr:row>3592</xdr:row>
      <xdr:rowOff>25400</xdr:rowOff>
    </xdr:from>
    <xdr:to>
      <xdr:col>9</xdr:col>
      <xdr:colOff>885190</xdr:colOff>
      <xdr:row>3592</xdr:row>
      <xdr:rowOff>1209040</xdr:rowOff>
    </xdr:to>
    <xdr:pic>
      <xdr:nvPicPr>
        <xdr:cNvPr id="7986" name="Изображение 7985" descr="resizeПП-00272513"/>
        <xdr:cNvPicPr>
          <a:picLocks noChangeAspect="1"/>
        </xdr:cNvPicPr>
      </xdr:nvPicPr>
      <xdr:blipFill>
        <a:blip xmlns:r="http://schemas.openxmlformats.org/officeDocument/2006/relationships" r:embed="rId2692"/>
        <a:stretch>
          <a:fillRect/>
        </a:stretch>
      </xdr:blipFill>
      <xdr:spPr>
        <a:xfrm>
          <a:off x="7235825" y="3524091250"/>
          <a:ext cx="878840" cy="1183640"/>
        </a:xfrm>
        <a:prstGeom prst="rect">
          <a:avLst/>
        </a:prstGeom>
      </xdr:spPr>
    </xdr:pic>
    <xdr:clientData/>
  </xdr:twoCellAnchor>
  <xdr:twoCellAnchor>
    <xdr:from>
      <xdr:col>9</xdr:col>
      <xdr:colOff>6350</xdr:colOff>
      <xdr:row>3593</xdr:row>
      <xdr:rowOff>25400</xdr:rowOff>
    </xdr:from>
    <xdr:to>
      <xdr:col>9</xdr:col>
      <xdr:colOff>885190</xdr:colOff>
      <xdr:row>3593</xdr:row>
      <xdr:rowOff>1209040</xdr:rowOff>
    </xdr:to>
    <xdr:pic>
      <xdr:nvPicPr>
        <xdr:cNvPr id="7987" name="Изображение 7986" descr="resizeПП-00263513"/>
        <xdr:cNvPicPr>
          <a:picLocks noChangeAspect="1"/>
        </xdr:cNvPicPr>
      </xdr:nvPicPr>
      <xdr:blipFill>
        <a:blip xmlns:r="http://schemas.openxmlformats.org/officeDocument/2006/relationships" r:embed="rId2693"/>
        <a:stretch>
          <a:fillRect/>
        </a:stretch>
      </xdr:blipFill>
      <xdr:spPr>
        <a:xfrm>
          <a:off x="7235825" y="3525313625"/>
          <a:ext cx="878840" cy="1183640"/>
        </a:xfrm>
        <a:prstGeom prst="rect">
          <a:avLst/>
        </a:prstGeom>
      </xdr:spPr>
    </xdr:pic>
    <xdr:clientData/>
  </xdr:twoCellAnchor>
  <xdr:twoCellAnchor>
    <xdr:from>
      <xdr:col>9</xdr:col>
      <xdr:colOff>6350</xdr:colOff>
      <xdr:row>3594</xdr:row>
      <xdr:rowOff>25400</xdr:rowOff>
    </xdr:from>
    <xdr:to>
      <xdr:col>9</xdr:col>
      <xdr:colOff>885190</xdr:colOff>
      <xdr:row>3594</xdr:row>
      <xdr:rowOff>1209040</xdr:rowOff>
    </xdr:to>
    <xdr:pic>
      <xdr:nvPicPr>
        <xdr:cNvPr id="7988" name="Изображение 7987" descr="resizeПП-00263517"/>
        <xdr:cNvPicPr>
          <a:picLocks noChangeAspect="1"/>
        </xdr:cNvPicPr>
      </xdr:nvPicPr>
      <xdr:blipFill>
        <a:blip xmlns:r="http://schemas.openxmlformats.org/officeDocument/2006/relationships" r:embed="rId2694"/>
        <a:stretch>
          <a:fillRect/>
        </a:stretch>
      </xdr:blipFill>
      <xdr:spPr>
        <a:xfrm>
          <a:off x="7235825" y="3526536000"/>
          <a:ext cx="878840" cy="1183640"/>
        </a:xfrm>
        <a:prstGeom prst="rect">
          <a:avLst/>
        </a:prstGeom>
      </xdr:spPr>
    </xdr:pic>
    <xdr:clientData/>
  </xdr:twoCellAnchor>
  <xdr:twoCellAnchor>
    <xdr:from>
      <xdr:col>9</xdr:col>
      <xdr:colOff>6350</xdr:colOff>
      <xdr:row>3595</xdr:row>
      <xdr:rowOff>25400</xdr:rowOff>
    </xdr:from>
    <xdr:to>
      <xdr:col>9</xdr:col>
      <xdr:colOff>885190</xdr:colOff>
      <xdr:row>3595</xdr:row>
      <xdr:rowOff>1209040</xdr:rowOff>
    </xdr:to>
    <xdr:pic>
      <xdr:nvPicPr>
        <xdr:cNvPr id="7989" name="Изображение 7988" descr="resizeПП-00263519"/>
        <xdr:cNvPicPr>
          <a:picLocks noChangeAspect="1"/>
        </xdr:cNvPicPr>
      </xdr:nvPicPr>
      <xdr:blipFill>
        <a:blip xmlns:r="http://schemas.openxmlformats.org/officeDocument/2006/relationships" r:embed="rId2695"/>
        <a:stretch>
          <a:fillRect/>
        </a:stretch>
      </xdr:blipFill>
      <xdr:spPr>
        <a:xfrm>
          <a:off x="7235825" y="3527758375"/>
          <a:ext cx="878840" cy="1183640"/>
        </a:xfrm>
        <a:prstGeom prst="rect">
          <a:avLst/>
        </a:prstGeom>
      </xdr:spPr>
    </xdr:pic>
    <xdr:clientData/>
  </xdr:twoCellAnchor>
  <xdr:twoCellAnchor>
    <xdr:from>
      <xdr:col>9</xdr:col>
      <xdr:colOff>6350</xdr:colOff>
      <xdr:row>3596</xdr:row>
      <xdr:rowOff>25400</xdr:rowOff>
    </xdr:from>
    <xdr:to>
      <xdr:col>9</xdr:col>
      <xdr:colOff>885190</xdr:colOff>
      <xdr:row>3596</xdr:row>
      <xdr:rowOff>1209040</xdr:rowOff>
    </xdr:to>
    <xdr:pic>
      <xdr:nvPicPr>
        <xdr:cNvPr id="7990" name="Изображение 7989" descr="resizeПП-00263518"/>
        <xdr:cNvPicPr>
          <a:picLocks noChangeAspect="1"/>
        </xdr:cNvPicPr>
      </xdr:nvPicPr>
      <xdr:blipFill>
        <a:blip xmlns:r="http://schemas.openxmlformats.org/officeDocument/2006/relationships" r:embed="rId2696"/>
        <a:stretch>
          <a:fillRect/>
        </a:stretch>
      </xdr:blipFill>
      <xdr:spPr>
        <a:xfrm>
          <a:off x="7235825" y="3528980750"/>
          <a:ext cx="878840" cy="1183640"/>
        </a:xfrm>
        <a:prstGeom prst="rect">
          <a:avLst/>
        </a:prstGeom>
      </xdr:spPr>
    </xdr:pic>
    <xdr:clientData/>
  </xdr:twoCellAnchor>
  <xdr:twoCellAnchor>
    <xdr:from>
      <xdr:col>9</xdr:col>
      <xdr:colOff>6350</xdr:colOff>
      <xdr:row>3597</xdr:row>
      <xdr:rowOff>25400</xdr:rowOff>
    </xdr:from>
    <xdr:to>
      <xdr:col>9</xdr:col>
      <xdr:colOff>885190</xdr:colOff>
      <xdr:row>3597</xdr:row>
      <xdr:rowOff>1209040</xdr:rowOff>
    </xdr:to>
    <xdr:pic>
      <xdr:nvPicPr>
        <xdr:cNvPr id="7991" name="Изображение 7990" descr="resizeПП-00263515"/>
        <xdr:cNvPicPr>
          <a:picLocks noChangeAspect="1"/>
        </xdr:cNvPicPr>
      </xdr:nvPicPr>
      <xdr:blipFill>
        <a:blip xmlns:r="http://schemas.openxmlformats.org/officeDocument/2006/relationships" r:embed="rId2697"/>
        <a:stretch>
          <a:fillRect/>
        </a:stretch>
      </xdr:blipFill>
      <xdr:spPr>
        <a:xfrm>
          <a:off x="7235825" y="3530203125"/>
          <a:ext cx="878840" cy="1183640"/>
        </a:xfrm>
        <a:prstGeom prst="rect">
          <a:avLst/>
        </a:prstGeom>
      </xdr:spPr>
    </xdr:pic>
    <xdr:clientData/>
  </xdr:twoCellAnchor>
  <xdr:twoCellAnchor>
    <xdr:from>
      <xdr:col>9</xdr:col>
      <xdr:colOff>6350</xdr:colOff>
      <xdr:row>3598</xdr:row>
      <xdr:rowOff>25400</xdr:rowOff>
    </xdr:from>
    <xdr:to>
      <xdr:col>9</xdr:col>
      <xdr:colOff>885190</xdr:colOff>
      <xdr:row>3598</xdr:row>
      <xdr:rowOff>1209040</xdr:rowOff>
    </xdr:to>
    <xdr:pic>
      <xdr:nvPicPr>
        <xdr:cNvPr id="7992" name="Изображение 7991" descr="resizeПП-00263514"/>
        <xdr:cNvPicPr>
          <a:picLocks noChangeAspect="1"/>
        </xdr:cNvPicPr>
      </xdr:nvPicPr>
      <xdr:blipFill>
        <a:blip xmlns:r="http://schemas.openxmlformats.org/officeDocument/2006/relationships" r:embed="rId2698"/>
        <a:stretch>
          <a:fillRect/>
        </a:stretch>
      </xdr:blipFill>
      <xdr:spPr>
        <a:xfrm>
          <a:off x="7235825" y="3531425500"/>
          <a:ext cx="878840" cy="1183640"/>
        </a:xfrm>
        <a:prstGeom prst="rect">
          <a:avLst/>
        </a:prstGeom>
      </xdr:spPr>
    </xdr:pic>
    <xdr:clientData/>
  </xdr:twoCellAnchor>
  <xdr:twoCellAnchor>
    <xdr:from>
      <xdr:col>9</xdr:col>
      <xdr:colOff>6350</xdr:colOff>
      <xdr:row>3599</xdr:row>
      <xdr:rowOff>25400</xdr:rowOff>
    </xdr:from>
    <xdr:to>
      <xdr:col>9</xdr:col>
      <xdr:colOff>885190</xdr:colOff>
      <xdr:row>3599</xdr:row>
      <xdr:rowOff>1209040</xdr:rowOff>
    </xdr:to>
    <xdr:pic>
      <xdr:nvPicPr>
        <xdr:cNvPr id="7993" name="Изображение 7992" descr="resizeПП-00263512"/>
        <xdr:cNvPicPr>
          <a:picLocks noChangeAspect="1"/>
        </xdr:cNvPicPr>
      </xdr:nvPicPr>
      <xdr:blipFill>
        <a:blip xmlns:r="http://schemas.openxmlformats.org/officeDocument/2006/relationships" r:embed="rId2699"/>
        <a:stretch>
          <a:fillRect/>
        </a:stretch>
      </xdr:blipFill>
      <xdr:spPr>
        <a:xfrm>
          <a:off x="7235825" y="3532647875"/>
          <a:ext cx="878840" cy="1183640"/>
        </a:xfrm>
        <a:prstGeom prst="rect">
          <a:avLst/>
        </a:prstGeom>
      </xdr:spPr>
    </xdr:pic>
    <xdr:clientData/>
  </xdr:twoCellAnchor>
  <xdr:twoCellAnchor>
    <xdr:from>
      <xdr:col>9</xdr:col>
      <xdr:colOff>6350</xdr:colOff>
      <xdr:row>3600</xdr:row>
      <xdr:rowOff>25400</xdr:rowOff>
    </xdr:from>
    <xdr:to>
      <xdr:col>9</xdr:col>
      <xdr:colOff>885190</xdr:colOff>
      <xdr:row>3600</xdr:row>
      <xdr:rowOff>1209040</xdr:rowOff>
    </xdr:to>
    <xdr:pic>
      <xdr:nvPicPr>
        <xdr:cNvPr id="7994" name="Изображение 7993" descr="resizeПП-00272516"/>
        <xdr:cNvPicPr>
          <a:picLocks noChangeAspect="1"/>
        </xdr:cNvPicPr>
      </xdr:nvPicPr>
      <xdr:blipFill>
        <a:blip xmlns:r="http://schemas.openxmlformats.org/officeDocument/2006/relationships" r:embed="rId2700"/>
        <a:stretch>
          <a:fillRect/>
        </a:stretch>
      </xdr:blipFill>
      <xdr:spPr>
        <a:xfrm>
          <a:off x="7235825" y="3533870250"/>
          <a:ext cx="878840" cy="1183640"/>
        </a:xfrm>
        <a:prstGeom prst="rect">
          <a:avLst/>
        </a:prstGeom>
      </xdr:spPr>
    </xdr:pic>
    <xdr:clientData/>
  </xdr:twoCellAnchor>
  <xdr:twoCellAnchor>
    <xdr:from>
      <xdr:col>9</xdr:col>
      <xdr:colOff>6350</xdr:colOff>
      <xdr:row>3601</xdr:row>
      <xdr:rowOff>25400</xdr:rowOff>
    </xdr:from>
    <xdr:to>
      <xdr:col>9</xdr:col>
      <xdr:colOff>885190</xdr:colOff>
      <xdr:row>3601</xdr:row>
      <xdr:rowOff>1209040</xdr:rowOff>
    </xdr:to>
    <xdr:pic>
      <xdr:nvPicPr>
        <xdr:cNvPr id="7995" name="Изображение 7994" descr="resizeПП-00272512"/>
        <xdr:cNvPicPr>
          <a:picLocks noChangeAspect="1"/>
        </xdr:cNvPicPr>
      </xdr:nvPicPr>
      <xdr:blipFill>
        <a:blip xmlns:r="http://schemas.openxmlformats.org/officeDocument/2006/relationships" r:embed="rId2701"/>
        <a:stretch>
          <a:fillRect/>
        </a:stretch>
      </xdr:blipFill>
      <xdr:spPr>
        <a:xfrm>
          <a:off x="7235825" y="3535092625"/>
          <a:ext cx="878840" cy="1183640"/>
        </a:xfrm>
        <a:prstGeom prst="rect">
          <a:avLst/>
        </a:prstGeom>
      </xdr:spPr>
    </xdr:pic>
    <xdr:clientData/>
  </xdr:twoCellAnchor>
  <xdr:twoCellAnchor>
    <xdr:from>
      <xdr:col>9</xdr:col>
      <xdr:colOff>6350</xdr:colOff>
      <xdr:row>3604</xdr:row>
      <xdr:rowOff>25400</xdr:rowOff>
    </xdr:from>
    <xdr:to>
      <xdr:col>9</xdr:col>
      <xdr:colOff>885190</xdr:colOff>
      <xdr:row>3604</xdr:row>
      <xdr:rowOff>1209040</xdr:rowOff>
    </xdr:to>
    <xdr:pic>
      <xdr:nvPicPr>
        <xdr:cNvPr id="7996" name="Изображение 7995" descr="resizeПП-00265712"/>
        <xdr:cNvPicPr>
          <a:picLocks noChangeAspect="1"/>
        </xdr:cNvPicPr>
      </xdr:nvPicPr>
      <xdr:blipFill>
        <a:blip xmlns:r="http://schemas.openxmlformats.org/officeDocument/2006/relationships" r:embed="rId2702"/>
        <a:stretch>
          <a:fillRect/>
        </a:stretch>
      </xdr:blipFill>
      <xdr:spPr>
        <a:xfrm>
          <a:off x="7235825" y="3536619800"/>
          <a:ext cx="878840" cy="1183640"/>
        </a:xfrm>
        <a:prstGeom prst="rect">
          <a:avLst/>
        </a:prstGeom>
      </xdr:spPr>
    </xdr:pic>
    <xdr:clientData/>
  </xdr:twoCellAnchor>
  <xdr:twoCellAnchor>
    <xdr:from>
      <xdr:col>9</xdr:col>
      <xdr:colOff>6350</xdr:colOff>
      <xdr:row>3605</xdr:row>
      <xdr:rowOff>25400</xdr:rowOff>
    </xdr:from>
    <xdr:to>
      <xdr:col>9</xdr:col>
      <xdr:colOff>885190</xdr:colOff>
      <xdr:row>3605</xdr:row>
      <xdr:rowOff>1209040</xdr:rowOff>
    </xdr:to>
    <xdr:pic>
      <xdr:nvPicPr>
        <xdr:cNvPr id="7997" name="Изображение 7996" descr="resizeПП-00265715"/>
        <xdr:cNvPicPr>
          <a:picLocks noChangeAspect="1"/>
        </xdr:cNvPicPr>
      </xdr:nvPicPr>
      <xdr:blipFill>
        <a:blip xmlns:r="http://schemas.openxmlformats.org/officeDocument/2006/relationships" r:embed="rId2703"/>
        <a:stretch>
          <a:fillRect/>
        </a:stretch>
      </xdr:blipFill>
      <xdr:spPr>
        <a:xfrm>
          <a:off x="7235825" y="3537842175"/>
          <a:ext cx="878840" cy="1183640"/>
        </a:xfrm>
        <a:prstGeom prst="rect">
          <a:avLst/>
        </a:prstGeom>
      </xdr:spPr>
    </xdr:pic>
    <xdr:clientData/>
  </xdr:twoCellAnchor>
  <xdr:twoCellAnchor>
    <xdr:from>
      <xdr:col>9</xdr:col>
      <xdr:colOff>6350</xdr:colOff>
      <xdr:row>3606</xdr:row>
      <xdr:rowOff>25400</xdr:rowOff>
    </xdr:from>
    <xdr:to>
      <xdr:col>9</xdr:col>
      <xdr:colOff>885190</xdr:colOff>
      <xdr:row>3606</xdr:row>
      <xdr:rowOff>1209040</xdr:rowOff>
    </xdr:to>
    <xdr:pic>
      <xdr:nvPicPr>
        <xdr:cNvPr id="7998" name="Изображение 7997" descr="resizeПП-00265713"/>
        <xdr:cNvPicPr>
          <a:picLocks noChangeAspect="1"/>
        </xdr:cNvPicPr>
      </xdr:nvPicPr>
      <xdr:blipFill>
        <a:blip xmlns:r="http://schemas.openxmlformats.org/officeDocument/2006/relationships" r:embed="rId2704"/>
        <a:stretch>
          <a:fillRect/>
        </a:stretch>
      </xdr:blipFill>
      <xdr:spPr>
        <a:xfrm>
          <a:off x="7235825" y="3539064550"/>
          <a:ext cx="878840" cy="1183640"/>
        </a:xfrm>
        <a:prstGeom prst="rect">
          <a:avLst/>
        </a:prstGeom>
      </xdr:spPr>
    </xdr:pic>
    <xdr:clientData/>
  </xdr:twoCellAnchor>
  <xdr:twoCellAnchor>
    <xdr:from>
      <xdr:col>9</xdr:col>
      <xdr:colOff>6350</xdr:colOff>
      <xdr:row>3607</xdr:row>
      <xdr:rowOff>25400</xdr:rowOff>
    </xdr:from>
    <xdr:to>
      <xdr:col>9</xdr:col>
      <xdr:colOff>885190</xdr:colOff>
      <xdr:row>3607</xdr:row>
      <xdr:rowOff>1209040</xdr:rowOff>
    </xdr:to>
    <xdr:pic>
      <xdr:nvPicPr>
        <xdr:cNvPr id="7999" name="Изображение 7998" descr="resizeПП-00265714"/>
        <xdr:cNvPicPr>
          <a:picLocks noChangeAspect="1"/>
        </xdr:cNvPicPr>
      </xdr:nvPicPr>
      <xdr:blipFill>
        <a:blip xmlns:r="http://schemas.openxmlformats.org/officeDocument/2006/relationships" r:embed="rId2705"/>
        <a:stretch>
          <a:fillRect/>
        </a:stretch>
      </xdr:blipFill>
      <xdr:spPr>
        <a:xfrm>
          <a:off x="7235825" y="3540286925"/>
          <a:ext cx="878840" cy="1183640"/>
        </a:xfrm>
        <a:prstGeom prst="rect">
          <a:avLst/>
        </a:prstGeom>
      </xdr:spPr>
    </xdr:pic>
    <xdr:clientData/>
  </xdr:twoCellAnchor>
  <xdr:twoCellAnchor>
    <xdr:from>
      <xdr:col>9</xdr:col>
      <xdr:colOff>6350</xdr:colOff>
      <xdr:row>3608</xdr:row>
      <xdr:rowOff>25400</xdr:rowOff>
    </xdr:from>
    <xdr:to>
      <xdr:col>9</xdr:col>
      <xdr:colOff>885190</xdr:colOff>
      <xdr:row>3608</xdr:row>
      <xdr:rowOff>1209040</xdr:rowOff>
    </xdr:to>
    <xdr:pic>
      <xdr:nvPicPr>
        <xdr:cNvPr id="8000" name="Изображение 7999" descr="resizeПП-00263507"/>
        <xdr:cNvPicPr>
          <a:picLocks noChangeAspect="1"/>
        </xdr:cNvPicPr>
      </xdr:nvPicPr>
      <xdr:blipFill>
        <a:blip xmlns:r="http://schemas.openxmlformats.org/officeDocument/2006/relationships" r:embed="rId2706"/>
        <a:stretch>
          <a:fillRect/>
        </a:stretch>
      </xdr:blipFill>
      <xdr:spPr>
        <a:xfrm>
          <a:off x="7235825" y="3541509300"/>
          <a:ext cx="878840" cy="1183640"/>
        </a:xfrm>
        <a:prstGeom prst="rect">
          <a:avLst/>
        </a:prstGeom>
      </xdr:spPr>
    </xdr:pic>
    <xdr:clientData/>
  </xdr:twoCellAnchor>
  <xdr:twoCellAnchor>
    <xdr:from>
      <xdr:col>9</xdr:col>
      <xdr:colOff>6350</xdr:colOff>
      <xdr:row>3609</xdr:row>
      <xdr:rowOff>25400</xdr:rowOff>
    </xdr:from>
    <xdr:to>
      <xdr:col>9</xdr:col>
      <xdr:colOff>885190</xdr:colOff>
      <xdr:row>3609</xdr:row>
      <xdr:rowOff>1209040</xdr:rowOff>
    </xdr:to>
    <xdr:pic>
      <xdr:nvPicPr>
        <xdr:cNvPr id="8001" name="Изображение 8000" descr="resizeПП-00263508"/>
        <xdr:cNvPicPr>
          <a:picLocks noChangeAspect="1"/>
        </xdr:cNvPicPr>
      </xdr:nvPicPr>
      <xdr:blipFill>
        <a:blip xmlns:r="http://schemas.openxmlformats.org/officeDocument/2006/relationships" r:embed="rId2707"/>
        <a:stretch>
          <a:fillRect/>
        </a:stretch>
      </xdr:blipFill>
      <xdr:spPr>
        <a:xfrm>
          <a:off x="7235825" y="3542731675"/>
          <a:ext cx="878840" cy="1183640"/>
        </a:xfrm>
        <a:prstGeom prst="rect">
          <a:avLst/>
        </a:prstGeom>
      </xdr:spPr>
    </xdr:pic>
    <xdr:clientData/>
  </xdr:twoCellAnchor>
  <xdr:twoCellAnchor>
    <xdr:from>
      <xdr:col>9</xdr:col>
      <xdr:colOff>6350</xdr:colOff>
      <xdr:row>3610</xdr:row>
      <xdr:rowOff>25400</xdr:rowOff>
    </xdr:from>
    <xdr:to>
      <xdr:col>9</xdr:col>
      <xdr:colOff>885190</xdr:colOff>
      <xdr:row>3610</xdr:row>
      <xdr:rowOff>1209040</xdr:rowOff>
    </xdr:to>
    <xdr:pic>
      <xdr:nvPicPr>
        <xdr:cNvPr id="8002" name="Изображение 8001" descr="resizeПП-00263505"/>
        <xdr:cNvPicPr>
          <a:picLocks noChangeAspect="1"/>
        </xdr:cNvPicPr>
      </xdr:nvPicPr>
      <xdr:blipFill>
        <a:blip xmlns:r="http://schemas.openxmlformats.org/officeDocument/2006/relationships" r:embed="rId2708"/>
        <a:stretch>
          <a:fillRect/>
        </a:stretch>
      </xdr:blipFill>
      <xdr:spPr>
        <a:xfrm>
          <a:off x="7235825" y="3543954050"/>
          <a:ext cx="878840" cy="1183640"/>
        </a:xfrm>
        <a:prstGeom prst="rect">
          <a:avLst/>
        </a:prstGeom>
      </xdr:spPr>
    </xdr:pic>
    <xdr:clientData/>
  </xdr:twoCellAnchor>
  <xdr:twoCellAnchor>
    <xdr:from>
      <xdr:col>9</xdr:col>
      <xdr:colOff>6350</xdr:colOff>
      <xdr:row>3611</xdr:row>
      <xdr:rowOff>25400</xdr:rowOff>
    </xdr:from>
    <xdr:to>
      <xdr:col>9</xdr:col>
      <xdr:colOff>885190</xdr:colOff>
      <xdr:row>3611</xdr:row>
      <xdr:rowOff>1209040</xdr:rowOff>
    </xdr:to>
    <xdr:pic>
      <xdr:nvPicPr>
        <xdr:cNvPr id="8003" name="Изображение 8002" descr="resizeПП-00263504"/>
        <xdr:cNvPicPr>
          <a:picLocks noChangeAspect="1"/>
        </xdr:cNvPicPr>
      </xdr:nvPicPr>
      <xdr:blipFill>
        <a:blip xmlns:r="http://schemas.openxmlformats.org/officeDocument/2006/relationships" r:embed="rId2709"/>
        <a:stretch>
          <a:fillRect/>
        </a:stretch>
      </xdr:blipFill>
      <xdr:spPr>
        <a:xfrm>
          <a:off x="7235825" y="3545176425"/>
          <a:ext cx="878840" cy="1183640"/>
        </a:xfrm>
        <a:prstGeom prst="rect">
          <a:avLst/>
        </a:prstGeom>
      </xdr:spPr>
    </xdr:pic>
    <xdr:clientData/>
  </xdr:twoCellAnchor>
  <xdr:twoCellAnchor>
    <xdr:from>
      <xdr:col>9</xdr:col>
      <xdr:colOff>6350</xdr:colOff>
      <xdr:row>3612</xdr:row>
      <xdr:rowOff>25400</xdr:rowOff>
    </xdr:from>
    <xdr:to>
      <xdr:col>9</xdr:col>
      <xdr:colOff>885190</xdr:colOff>
      <xdr:row>3612</xdr:row>
      <xdr:rowOff>1209040</xdr:rowOff>
    </xdr:to>
    <xdr:pic>
      <xdr:nvPicPr>
        <xdr:cNvPr id="8004" name="Изображение 8003" descr="resizeПП-00263510"/>
        <xdr:cNvPicPr>
          <a:picLocks noChangeAspect="1"/>
        </xdr:cNvPicPr>
      </xdr:nvPicPr>
      <xdr:blipFill>
        <a:blip xmlns:r="http://schemas.openxmlformats.org/officeDocument/2006/relationships" r:embed="rId2710"/>
        <a:stretch>
          <a:fillRect/>
        </a:stretch>
      </xdr:blipFill>
      <xdr:spPr>
        <a:xfrm>
          <a:off x="7235825" y="3546398800"/>
          <a:ext cx="878840" cy="1183640"/>
        </a:xfrm>
        <a:prstGeom prst="rect">
          <a:avLst/>
        </a:prstGeom>
      </xdr:spPr>
    </xdr:pic>
    <xdr:clientData/>
  </xdr:twoCellAnchor>
  <xdr:twoCellAnchor>
    <xdr:from>
      <xdr:col>9</xdr:col>
      <xdr:colOff>6350</xdr:colOff>
      <xdr:row>3613</xdr:row>
      <xdr:rowOff>25400</xdr:rowOff>
    </xdr:from>
    <xdr:to>
      <xdr:col>9</xdr:col>
      <xdr:colOff>885190</xdr:colOff>
      <xdr:row>3613</xdr:row>
      <xdr:rowOff>1209040</xdr:rowOff>
    </xdr:to>
    <xdr:pic>
      <xdr:nvPicPr>
        <xdr:cNvPr id="8005" name="Изображение 8004" descr="resizeПП-00263511"/>
        <xdr:cNvPicPr>
          <a:picLocks noChangeAspect="1"/>
        </xdr:cNvPicPr>
      </xdr:nvPicPr>
      <xdr:blipFill>
        <a:blip xmlns:r="http://schemas.openxmlformats.org/officeDocument/2006/relationships" r:embed="rId2711"/>
        <a:stretch>
          <a:fillRect/>
        </a:stretch>
      </xdr:blipFill>
      <xdr:spPr>
        <a:xfrm>
          <a:off x="7235825" y="3547621175"/>
          <a:ext cx="878840" cy="1183640"/>
        </a:xfrm>
        <a:prstGeom prst="rect">
          <a:avLst/>
        </a:prstGeom>
      </xdr:spPr>
    </xdr:pic>
    <xdr:clientData/>
  </xdr:twoCellAnchor>
  <xdr:twoCellAnchor>
    <xdr:from>
      <xdr:col>9</xdr:col>
      <xdr:colOff>6350</xdr:colOff>
      <xdr:row>3614</xdr:row>
      <xdr:rowOff>25400</xdr:rowOff>
    </xdr:from>
    <xdr:to>
      <xdr:col>9</xdr:col>
      <xdr:colOff>885190</xdr:colOff>
      <xdr:row>3614</xdr:row>
      <xdr:rowOff>1209040</xdr:rowOff>
    </xdr:to>
    <xdr:pic>
      <xdr:nvPicPr>
        <xdr:cNvPr id="8006" name="Изображение 8005" descr="resizeПП-00263509"/>
        <xdr:cNvPicPr>
          <a:picLocks noChangeAspect="1"/>
        </xdr:cNvPicPr>
      </xdr:nvPicPr>
      <xdr:blipFill>
        <a:blip xmlns:r="http://schemas.openxmlformats.org/officeDocument/2006/relationships" r:embed="rId2712"/>
        <a:stretch>
          <a:fillRect/>
        </a:stretch>
      </xdr:blipFill>
      <xdr:spPr>
        <a:xfrm>
          <a:off x="7235825" y="3548843550"/>
          <a:ext cx="878840" cy="1183640"/>
        </a:xfrm>
        <a:prstGeom prst="rect">
          <a:avLst/>
        </a:prstGeom>
      </xdr:spPr>
    </xdr:pic>
    <xdr:clientData/>
  </xdr:twoCellAnchor>
  <xdr:twoCellAnchor>
    <xdr:from>
      <xdr:col>9</xdr:col>
      <xdr:colOff>6350</xdr:colOff>
      <xdr:row>3615</xdr:row>
      <xdr:rowOff>25400</xdr:rowOff>
    </xdr:from>
    <xdr:to>
      <xdr:col>9</xdr:col>
      <xdr:colOff>885190</xdr:colOff>
      <xdr:row>3615</xdr:row>
      <xdr:rowOff>1209040</xdr:rowOff>
    </xdr:to>
    <xdr:pic>
      <xdr:nvPicPr>
        <xdr:cNvPr id="8007" name="Изображение 8006" descr="resizeПП-00263506"/>
        <xdr:cNvPicPr>
          <a:picLocks noChangeAspect="1"/>
        </xdr:cNvPicPr>
      </xdr:nvPicPr>
      <xdr:blipFill>
        <a:blip xmlns:r="http://schemas.openxmlformats.org/officeDocument/2006/relationships" r:embed="rId2713"/>
        <a:stretch>
          <a:fillRect/>
        </a:stretch>
      </xdr:blipFill>
      <xdr:spPr>
        <a:xfrm>
          <a:off x="7235825" y="3550065925"/>
          <a:ext cx="878840" cy="1183640"/>
        </a:xfrm>
        <a:prstGeom prst="rect">
          <a:avLst/>
        </a:prstGeom>
      </xdr:spPr>
    </xdr:pic>
    <xdr:clientData/>
  </xdr:twoCellAnchor>
  <xdr:twoCellAnchor>
    <xdr:from>
      <xdr:col>9</xdr:col>
      <xdr:colOff>6350</xdr:colOff>
      <xdr:row>3616</xdr:row>
      <xdr:rowOff>25400</xdr:rowOff>
    </xdr:from>
    <xdr:to>
      <xdr:col>9</xdr:col>
      <xdr:colOff>885190</xdr:colOff>
      <xdr:row>3616</xdr:row>
      <xdr:rowOff>1209040</xdr:rowOff>
    </xdr:to>
    <xdr:pic>
      <xdr:nvPicPr>
        <xdr:cNvPr id="8008" name="Изображение 8007" descr="resizeПП-00272521"/>
        <xdr:cNvPicPr>
          <a:picLocks noChangeAspect="1"/>
        </xdr:cNvPicPr>
      </xdr:nvPicPr>
      <xdr:blipFill>
        <a:blip xmlns:r="http://schemas.openxmlformats.org/officeDocument/2006/relationships" r:embed="rId2714"/>
        <a:stretch>
          <a:fillRect/>
        </a:stretch>
      </xdr:blipFill>
      <xdr:spPr>
        <a:xfrm>
          <a:off x="7235825" y="3551288300"/>
          <a:ext cx="878840" cy="1183640"/>
        </a:xfrm>
        <a:prstGeom prst="rect">
          <a:avLst/>
        </a:prstGeom>
      </xdr:spPr>
    </xdr:pic>
    <xdr:clientData/>
  </xdr:twoCellAnchor>
  <xdr:twoCellAnchor>
    <xdr:from>
      <xdr:col>9</xdr:col>
      <xdr:colOff>6350</xdr:colOff>
      <xdr:row>3617</xdr:row>
      <xdr:rowOff>25400</xdr:rowOff>
    </xdr:from>
    <xdr:to>
      <xdr:col>9</xdr:col>
      <xdr:colOff>885190</xdr:colOff>
      <xdr:row>3617</xdr:row>
      <xdr:rowOff>1209040</xdr:rowOff>
    </xdr:to>
    <xdr:pic>
      <xdr:nvPicPr>
        <xdr:cNvPr id="8009" name="Изображение 8008" descr="resizeПП-00272518"/>
        <xdr:cNvPicPr>
          <a:picLocks noChangeAspect="1"/>
        </xdr:cNvPicPr>
      </xdr:nvPicPr>
      <xdr:blipFill>
        <a:blip xmlns:r="http://schemas.openxmlformats.org/officeDocument/2006/relationships" r:embed="rId2715"/>
        <a:stretch>
          <a:fillRect/>
        </a:stretch>
      </xdr:blipFill>
      <xdr:spPr>
        <a:xfrm>
          <a:off x="7235825" y="3552510675"/>
          <a:ext cx="878840" cy="1183640"/>
        </a:xfrm>
        <a:prstGeom prst="rect">
          <a:avLst/>
        </a:prstGeom>
      </xdr:spPr>
    </xdr:pic>
    <xdr:clientData/>
  </xdr:twoCellAnchor>
  <xdr:twoCellAnchor>
    <xdr:from>
      <xdr:col>9</xdr:col>
      <xdr:colOff>6350</xdr:colOff>
      <xdr:row>3618</xdr:row>
      <xdr:rowOff>25400</xdr:rowOff>
    </xdr:from>
    <xdr:to>
      <xdr:col>9</xdr:col>
      <xdr:colOff>885190</xdr:colOff>
      <xdr:row>3618</xdr:row>
      <xdr:rowOff>1209040</xdr:rowOff>
    </xdr:to>
    <xdr:pic>
      <xdr:nvPicPr>
        <xdr:cNvPr id="8010" name="Изображение 8009" descr="resizeПП-00272520"/>
        <xdr:cNvPicPr>
          <a:picLocks noChangeAspect="1"/>
        </xdr:cNvPicPr>
      </xdr:nvPicPr>
      <xdr:blipFill>
        <a:blip xmlns:r="http://schemas.openxmlformats.org/officeDocument/2006/relationships" r:embed="rId2716"/>
        <a:stretch>
          <a:fillRect/>
        </a:stretch>
      </xdr:blipFill>
      <xdr:spPr>
        <a:xfrm>
          <a:off x="7235825" y="3553733050"/>
          <a:ext cx="878840" cy="1183640"/>
        </a:xfrm>
        <a:prstGeom prst="rect">
          <a:avLst/>
        </a:prstGeom>
      </xdr:spPr>
    </xdr:pic>
    <xdr:clientData/>
  </xdr:twoCellAnchor>
  <xdr:twoCellAnchor>
    <xdr:from>
      <xdr:col>9</xdr:col>
      <xdr:colOff>6350</xdr:colOff>
      <xdr:row>3619</xdr:row>
      <xdr:rowOff>25400</xdr:rowOff>
    </xdr:from>
    <xdr:to>
      <xdr:col>9</xdr:col>
      <xdr:colOff>885190</xdr:colOff>
      <xdr:row>3619</xdr:row>
      <xdr:rowOff>1209040</xdr:rowOff>
    </xdr:to>
    <xdr:pic>
      <xdr:nvPicPr>
        <xdr:cNvPr id="8011" name="Изображение 8010" descr="resizeПП-00272522"/>
        <xdr:cNvPicPr>
          <a:picLocks noChangeAspect="1"/>
        </xdr:cNvPicPr>
      </xdr:nvPicPr>
      <xdr:blipFill>
        <a:blip xmlns:r="http://schemas.openxmlformats.org/officeDocument/2006/relationships" r:embed="rId2717"/>
        <a:stretch>
          <a:fillRect/>
        </a:stretch>
      </xdr:blipFill>
      <xdr:spPr>
        <a:xfrm>
          <a:off x="7235825" y="3554955425"/>
          <a:ext cx="878840" cy="1183640"/>
        </a:xfrm>
        <a:prstGeom prst="rect">
          <a:avLst/>
        </a:prstGeom>
      </xdr:spPr>
    </xdr:pic>
    <xdr:clientData/>
  </xdr:twoCellAnchor>
  <xdr:twoCellAnchor>
    <xdr:from>
      <xdr:col>9</xdr:col>
      <xdr:colOff>6350</xdr:colOff>
      <xdr:row>3620</xdr:row>
      <xdr:rowOff>25400</xdr:rowOff>
    </xdr:from>
    <xdr:to>
      <xdr:col>9</xdr:col>
      <xdr:colOff>885190</xdr:colOff>
      <xdr:row>3620</xdr:row>
      <xdr:rowOff>1209040</xdr:rowOff>
    </xdr:to>
    <xdr:pic>
      <xdr:nvPicPr>
        <xdr:cNvPr id="8012" name="Изображение 8011" descr="resizeПП-00272523"/>
        <xdr:cNvPicPr>
          <a:picLocks noChangeAspect="1"/>
        </xdr:cNvPicPr>
      </xdr:nvPicPr>
      <xdr:blipFill>
        <a:blip xmlns:r="http://schemas.openxmlformats.org/officeDocument/2006/relationships" r:embed="rId2718"/>
        <a:stretch>
          <a:fillRect/>
        </a:stretch>
      </xdr:blipFill>
      <xdr:spPr>
        <a:xfrm>
          <a:off x="7235825" y="3556177800"/>
          <a:ext cx="878840" cy="1183640"/>
        </a:xfrm>
        <a:prstGeom prst="rect">
          <a:avLst/>
        </a:prstGeom>
      </xdr:spPr>
    </xdr:pic>
    <xdr:clientData/>
  </xdr:twoCellAnchor>
  <xdr:twoCellAnchor>
    <xdr:from>
      <xdr:col>9</xdr:col>
      <xdr:colOff>6350</xdr:colOff>
      <xdr:row>3621</xdr:row>
      <xdr:rowOff>25400</xdr:rowOff>
    </xdr:from>
    <xdr:to>
      <xdr:col>9</xdr:col>
      <xdr:colOff>885190</xdr:colOff>
      <xdr:row>3621</xdr:row>
      <xdr:rowOff>1209040</xdr:rowOff>
    </xdr:to>
    <xdr:pic>
      <xdr:nvPicPr>
        <xdr:cNvPr id="8013" name="Изображение 8012" descr="resizeПП-00272519"/>
        <xdr:cNvPicPr>
          <a:picLocks noChangeAspect="1"/>
        </xdr:cNvPicPr>
      </xdr:nvPicPr>
      <xdr:blipFill>
        <a:blip xmlns:r="http://schemas.openxmlformats.org/officeDocument/2006/relationships" r:embed="rId2719"/>
        <a:stretch>
          <a:fillRect/>
        </a:stretch>
      </xdr:blipFill>
      <xdr:spPr>
        <a:xfrm>
          <a:off x="7235825" y="3557400175"/>
          <a:ext cx="878840" cy="1183640"/>
        </a:xfrm>
        <a:prstGeom prst="rect">
          <a:avLst/>
        </a:prstGeom>
      </xdr:spPr>
    </xdr:pic>
    <xdr:clientData/>
  </xdr:twoCellAnchor>
  <xdr:twoCellAnchor>
    <xdr:from>
      <xdr:col>9</xdr:col>
      <xdr:colOff>6350</xdr:colOff>
      <xdr:row>3622</xdr:row>
      <xdr:rowOff>25400</xdr:rowOff>
    </xdr:from>
    <xdr:to>
      <xdr:col>9</xdr:col>
      <xdr:colOff>885190</xdr:colOff>
      <xdr:row>3622</xdr:row>
      <xdr:rowOff>1209040</xdr:rowOff>
    </xdr:to>
    <xdr:pic>
      <xdr:nvPicPr>
        <xdr:cNvPr id="8014" name="Изображение 8013" descr="resizeПП-00272524"/>
        <xdr:cNvPicPr>
          <a:picLocks noChangeAspect="1"/>
        </xdr:cNvPicPr>
      </xdr:nvPicPr>
      <xdr:blipFill>
        <a:blip xmlns:r="http://schemas.openxmlformats.org/officeDocument/2006/relationships" r:embed="rId2720"/>
        <a:stretch>
          <a:fillRect/>
        </a:stretch>
      </xdr:blipFill>
      <xdr:spPr>
        <a:xfrm>
          <a:off x="7235825" y="3558622550"/>
          <a:ext cx="878840" cy="1183640"/>
        </a:xfrm>
        <a:prstGeom prst="rect">
          <a:avLst/>
        </a:prstGeom>
      </xdr:spPr>
    </xdr:pic>
    <xdr:clientData/>
  </xdr:twoCellAnchor>
  <xdr:twoCellAnchor>
    <xdr:from>
      <xdr:col>9</xdr:col>
      <xdr:colOff>6350</xdr:colOff>
      <xdr:row>3624</xdr:row>
      <xdr:rowOff>25400</xdr:rowOff>
    </xdr:from>
    <xdr:to>
      <xdr:col>9</xdr:col>
      <xdr:colOff>885190</xdr:colOff>
      <xdr:row>3624</xdr:row>
      <xdr:rowOff>1209040</xdr:rowOff>
    </xdr:to>
    <xdr:pic>
      <xdr:nvPicPr>
        <xdr:cNvPr id="8015" name="Изображение 8014" descr="resizeПП-00226704"/>
        <xdr:cNvPicPr>
          <a:picLocks noChangeAspect="1"/>
        </xdr:cNvPicPr>
      </xdr:nvPicPr>
      <xdr:blipFill>
        <a:blip xmlns:r="http://schemas.openxmlformats.org/officeDocument/2006/relationships" r:embed="rId2721"/>
        <a:stretch>
          <a:fillRect/>
        </a:stretch>
      </xdr:blipFill>
      <xdr:spPr>
        <a:xfrm>
          <a:off x="7235825" y="3559997325"/>
          <a:ext cx="878840" cy="1183640"/>
        </a:xfrm>
        <a:prstGeom prst="rect">
          <a:avLst/>
        </a:prstGeom>
      </xdr:spPr>
    </xdr:pic>
    <xdr:clientData/>
  </xdr:twoCellAnchor>
  <xdr:twoCellAnchor>
    <xdr:from>
      <xdr:col>9</xdr:col>
      <xdr:colOff>6350</xdr:colOff>
      <xdr:row>3625</xdr:row>
      <xdr:rowOff>25400</xdr:rowOff>
    </xdr:from>
    <xdr:to>
      <xdr:col>9</xdr:col>
      <xdr:colOff>885190</xdr:colOff>
      <xdr:row>3625</xdr:row>
      <xdr:rowOff>1209040</xdr:rowOff>
    </xdr:to>
    <xdr:pic>
      <xdr:nvPicPr>
        <xdr:cNvPr id="8016" name="Изображение 8015" descr="resizeПП-00226706"/>
        <xdr:cNvPicPr>
          <a:picLocks noChangeAspect="1"/>
        </xdr:cNvPicPr>
      </xdr:nvPicPr>
      <xdr:blipFill>
        <a:blip xmlns:r="http://schemas.openxmlformats.org/officeDocument/2006/relationships" r:embed="rId2722"/>
        <a:stretch>
          <a:fillRect/>
        </a:stretch>
      </xdr:blipFill>
      <xdr:spPr>
        <a:xfrm>
          <a:off x="7235825" y="3561219700"/>
          <a:ext cx="878840" cy="1183640"/>
        </a:xfrm>
        <a:prstGeom prst="rect">
          <a:avLst/>
        </a:prstGeom>
      </xdr:spPr>
    </xdr:pic>
    <xdr:clientData/>
  </xdr:twoCellAnchor>
  <xdr:twoCellAnchor>
    <xdr:from>
      <xdr:col>9</xdr:col>
      <xdr:colOff>6350</xdr:colOff>
      <xdr:row>3628</xdr:row>
      <xdr:rowOff>25400</xdr:rowOff>
    </xdr:from>
    <xdr:to>
      <xdr:col>9</xdr:col>
      <xdr:colOff>885190</xdr:colOff>
      <xdr:row>3628</xdr:row>
      <xdr:rowOff>1209040</xdr:rowOff>
    </xdr:to>
    <xdr:pic>
      <xdr:nvPicPr>
        <xdr:cNvPr id="8017" name="Изображение 8016" descr="resizeПП-00265726"/>
        <xdr:cNvPicPr>
          <a:picLocks noChangeAspect="1"/>
        </xdr:cNvPicPr>
      </xdr:nvPicPr>
      <xdr:blipFill>
        <a:blip xmlns:r="http://schemas.openxmlformats.org/officeDocument/2006/relationships" r:embed="rId2723"/>
        <a:stretch>
          <a:fillRect/>
        </a:stretch>
      </xdr:blipFill>
      <xdr:spPr>
        <a:xfrm>
          <a:off x="7235825" y="3562746875"/>
          <a:ext cx="878840" cy="1183640"/>
        </a:xfrm>
        <a:prstGeom prst="rect">
          <a:avLst/>
        </a:prstGeom>
      </xdr:spPr>
    </xdr:pic>
    <xdr:clientData/>
  </xdr:twoCellAnchor>
  <xdr:twoCellAnchor>
    <xdr:from>
      <xdr:col>9</xdr:col>
      <xdr:colOff>6350</xdr:colOff>
      <xdr:row>3629</xdr:row>
      <xdr:rowOff>25400</xdr:rowOff>
    </xdr:from>
    <xdr:to>
      <xdr:col>9</xdr:col>
      <xdr:colOff>885190</xdr:colOff>
      <xdr:row>3629</xdr:row>
      <xdr:rowOff>1209040</xdr:rowOff>
    </xdr:to>
    <xdr:pic>
      <xdr:nvPicPr>
        <xdr:cNvPr id="8018" name="Изображение 8017" descr="resizeПП-00265724"/>
        <xdr:cNvPicPr>
          <a:picLocks noChangeAspect="1"/>
        </xdr:cNvPicPr>
      </xdr:nvPicPr>
      <xdr:blipFill>
        <a:blip xmlns:r="http://schemas.openxmlformats.org/officeDocument/2006/relationships" r:embed="rId2724"/>
        <a:stretch>
          <a:fillRect/>
        </a:stretch>
      </xdr:blipFill>
      <xdr:spPr>
        <a:xfrm>
          <a:off x="7235825" y="3563969250"/>
          <a:ext cx="878840" cy="1183640"/>
        </a:xfrm>
        <a:prstGeom prst="rect">
          <a:avLst/>
        </a:prstGeom>
      </xdr:spPr>
    </xdr:pic>
    <xdr:clientData/>
  </xdr:twoCellAnchor>
  <xdr:twoCellAnchor>
    <xdr:from>
      <xdr:col>9</xdr:col>
      <xdr:colOff>6350</xdr:colOff>
      <xdr:row>3630</xdr:row>
      <xdr:rowOff>25400</xdr:rowOff>
    </xdr:from>
    <xdr:to>
      <xdr:col>9</xdr:col>
      <xdr:colOff>885190</xdr:colOff>
      <xdr:row>3630</xdr:row>
      <xdr:rowOff>1209040</xdr:rowOff>
    </xdr:to>
    <xdr:pic>
      <xdr:nvPicPr>
        <xdr:cNvPr id="8019" name="Изображение 8018" descr="resizeПП-00265723"/>
        <xdr:cNvPicPr>
          <a:picLocks noChangeAspect="1"/>
        </xdr:cNvPicPr>
      </xdr:nvPicPr>
      <xdr:blipFill>
        <a:blip xmlns:r="http://schemas.openxmlformats.org/officeDocument/2006/relationships" r:embed="rId2725"/>
        <a:stretch>
          <a:fillRect/>
        </a:stretch>
      </xdr:blipFill>
      <xdr:spPr>
        <a:xfrm>
          <a:off x="7235825" y="3565191625"/>
          <a:ext cx="878840" cy="1183640"/>
        </a:xfrm>
        <a:prstGeom prst="rect">
          <a:avLst/>
        </a:prstGeom>
      </xdr:spPr>
    </xdr:pic>
    <xdr:clientData/>
  </xdr:twoCellAnchor>
  <xdr:twoCellAnchor>
    <xdr:from>
      <xdr:col>9</xdr:col>
      <xdr:colOff>6350</xdr:colOff>
      <xdr:row>3631</xdr:row>
      <xdr:rowOff>25400</xdr:rowOff>
    </xdr:from>
    <xdr:to>
      <xdr:col>9</xdr:col>
      <xdr:colOff>885190</xdr:colOff>
      <xdr:row>3631</xdr:row>
      <xdr:rowOff>1209040</xdr:rowOff>
    </xdr:to>
    <xdr:pic>
      <xdr:nvPicPr>
        <xdr:cNvPr id="8020" name="Изображение 8019" descr="resizeПП-00263521"/>
        <xdr:cNvPicPr>
          <a:picLocks noChangeAspect="1"/>
        </xdr:cNvPicPr>
      </xdr:nvPicPr>
      <xdr:blipFill>
        <a:blip xmlns:r="http://schemas.openxmlformats.org/officeDocument/2006/relationships" r:embed="rId2726"/>
        <a:stretch>
          <a:fillRect/>
        </a:stretch>
      </xdr:blipFill>
      <xdr:spPr>
        <a:xfrm>
          <a:off x="7235825" y="3566414000"/>
          <a:ext cx="878840" cy="1183640"/>
        </a:xfrm>
        <a:prstGeom prst="rect">
          <a:avLst/>
        </a:prstGeom>
      </xdr:spPr>
    </xdr:pic>
    <xdr:clientData/>
  </xdr:twoCellAnchor>
  <xdr:twoCellAnchor>
    <xdr:from>
      <xdr:col>9</xdr:col>
      <xdr:colOff>6350</xdr:colOff>
      <xdr:row>3632</xdr:row>
      <xdr:rowOff>25400</xdr:rowOff>
    </xdr:from>
    <xdr:to>
      <xdr:col>9</xdr:col>
      <xdr:colOff>885190</xdr:colOff>
      <xdr:row>3632</xdr:row>
      <xdr:rowOff>1209040</xdr:rowOff>
    </xdr:to>
    <xdr:pic>
      <xdr:nvPicPr>
        <xdr:cNvPr id="8021" name="Изображение 8020" descr="resizeПП-00263524"/>
        <xdr:cNvPicPr>
          <a:picLocks noChangeAspect="1"/>
        </xdr:cNvPicPr>
      </xdr:nvPicPr>
      <xdr:blipFill>
        <a:blip xmlns:r="http://schemas.openxmlformats.org/officeDocument/2006/relationships" r:embed="rId2727"/>
        <a:stretch>
          <a:fillRect/>
        </a:stretch>
      </xdr:blipFill>
      <xdr:spPr>
        <a:xfrm>
          <a:off x="7235825" y="3567636375"/>
          <a:ext cx="878840" cy="1183640"/>
        </a:xfrm>
        <a:prstGeom prst="rect">
          <a:avLst/>
        </a:prstGeom>
      </xdr:spPr>
    </xdr:pic>
    <xdr:clientData/>
  </xdr:twoCellAnchor>
  <xdr:twoCellAnchor>
    <xdr:from>
      <xdr:col>9</xdr:col>
      <xdr:colOff>6350</xdr:colOff>
      <xdr:row>3633</xdr:row>
      <xdr:rowOff>25400</xdr:rowOff>
    </xdr:from>
    <xdr:to>
      <xdr:col>9</xdr:col>
      <xdr:colOff>885190</xdr:colOff>
      <xdr:row>3633</xdr:row>
      <xdr:rowOff>1209040</xdr:rowOff>
    </xdr:to>
    <xdr:pic>
      <xdr:nvPicPr>
        <xdr:cNvPr id="8022" name="Изображение 8021" descr="resizeПП-00263520"/>
        <xdr:cNvPicPr>
          <a:picLocks noChangeAspect="1"/>
        </xdr:cNvPicPr>
      </xdr:nvPicPr>
      <xdr:blipFill>
        <a:blip xmlns:r="http://schemas.openxmlformats.org/officeDocument/2006/relationships" r:embed="rId2728"/>
        <a:stretch>
          <a:fillRect/>
        </a:stretch>
      </xdr:blipFill>
      <xdr:spPr>
        <a:xfrm>
          <a:off x="7235825" y="3568858750"/>
          <a:ext cx="878840" cy="1183640"/>
        </a:xfrm>
        <a:prstGeom prst="rect">
          <a:avLst/>
        </a:prstGeom>
      </xdr:spPr>
    </xdr:pic>
    <xdr:clientData/>
  </xdr:twoCellAnchor>
  <xdr:twoCellAnchor>
    <xdr:from>
      <xdr:col>9</xdr:col>
      <xdr:colOff>6350</xdr:colOff>
      <xdr:row>3634</xdr:row>
      <xdr:rowOff>25400</xdr:rowOff>
    </xdr:from>
    <xdr:to>
      <xdr:col>9</xdr:col>
      <xdr:colOff>885190</xdr:colOff>
      <xdr:row>3634</xdr:row>
      <xdr:rowOff>1209040</xdr:rowOff>
    </xdr:to>
    <xdr:pic>
      <xdr:nvPicPr>
        <xdr:cNvPr id="8023" name="Изображение 8022" descr="resizeПП-00263525"/>
        <xdr:cNvPicPr>
          <a:picLocks noChangeAspect="1"/>
        </xdr:cNvPicPr>
      </xdr:nvPicPr>
      <xdr:blipFill>
        <a:blip xmlns:r="http://schemas.openxmlformats.org/officeDocument/2006/relationships" r:embed="rId2729"/>
        <a:stretch>
          <a:fillRect/>
        </a:stretch>
      </xdr:blipFill>
      <xdr:spPr>
        <a:xfrm>
          <a:off x="7235825" y="3570081125"/>
          <a:ext cx="878840" cy="1183640"/>
        </a:xfrm>
        <a:prstGeom prst="rect">
          <a:avLst/>
        </a:prstGeom>
      </xdr:spPr>
    </xdr:pic>
    <xdr:clientData/>
  </xdr:twoCellAnchor>
  <xdr:twoCellAnchor>
    <xdr:from>
      <xdr:col>9</xdr:col>
      <xdr:colOff>6350</xdr:colOff>
      <xdr:row>3635</xdr:row>
      <xdr:rowOff>25400</xdr:rowOff>
    </xdr:from>
    <xdr:to>
      <xdr:col>9</xdr:col>
      <xdr:colOff>885190</xdr:colOff>
      <xdr:row>3635</xdr:row>
      <xdr:rowOff>1209040</xdr:rowOff>
    </xdr:to>
    <xdr:pic>
      <xdr:nvPicPr>
        <xdr:cNvPr id="8024" name="Изображение 8023" descr="resizeПП-00263522"/>
        <xdr:cNvPicPr>
          <a:picLocks noChangeAspect="1"/>
        </xdr:cNvPicPr>
      </xdr:nvPicPr>
      <xdr:blipFill>
        <a:blip xmlns:r="http://schemas.openxmlformats.org/officeDocument/2006/relationships" r:embed="rId2730"/>
        <a:stretch>
          <a:fillRect/>
        </a:stretch>
      </xdr:blipFill>
      <xdr:spPr>
        <a:xfrm>
          <a:off x="7235825" y="3571303500"/>
          <a:ext cx="878840" cy="1183640"/>
        </a:xfrm>
        <a:prstGeom prst="rect">
          <a:avLst/>
        </a:prstGeom>
      </xdr:spPr>
    </xdr:pic>
    <xdr:clientData/>
  </xdr:twoCellAnchor>
  <xdr:twoCellAnchor>
    <xdr:from>
      <xdr:col>9</xdr:col>
      <xdr:colOff>6350</xdr:colOff>
      <xdr:row>3636</xdr:row>
      <xdr:rowOff>25400</xdr:rowOff>
    </xdr:from>
    <xdr:to>
      <xdr:col>9</xdr:col>
      <xdr:colOff>885190</xdr:colOff>
      <xdr:row>3636</xdr:row>
      <xdr:rowOff>1209040</xdr:rowOff>
    </xdr:to>
    <xdr:pic>
      <xdr:nvPicPr>
        <xdr:cNvPr id="8025" name="Изображение 8024" descr="resizeПП-00265727"/>
        <xdr:cNvPicPr>
          <a:picLocks noChangeAspect="1"/>
        </xdr:cNvPicPr>
      </xdr:nvPicPr>
      <xdr:blipFill>
        <a:blip xmlns:r="http://schemas.openxmlformats.org/officeDocument/2006/relationships" r:embed="rId2731"/>
        <a:stretch>
          <a:fillRect/>
        </a:stretch>
      </xdr:blipFill>
      <xdr:spPr>
        <a:xfrm>
          <a:off x="7235825" y="3572525875"/>
          <a:ext cx="878840" cy="1183640"/>
        </a:xfrm>
        <a:prstGeom prst="rect">
          <a:avLst/>
        </a:prstGeom>
      </xdr:spPr>
    </xdr:pic>
    <xdr:clientData/>
  </xdr:twoCellAnchor>
  <xdr:twoCellAnchor>
    <xdr:from>
      <xdr:col>9</xdr:col>
      <xdr:colOff>6350</xdr:colOff>
      <xdr:row>3637</xdr:row>
      <xdr:rowOff>25400</xdr:rowOff>
    </xdr:from>
    <xdr:to>
      <xdr:col>9</xdr:col>
      <xdr:colOff>885190</xdr:colOff>
      <xdr:row>3637</xdr:row>
      <xdr:rowOff>1209040</xdr:rowOff>
    </xdr:to>
    <xdr:pic>
      <xdr:nvPicPr>
        <xdr:cNvPr id="8026" name="Изображение 8025" descr="resizeПП-00263523"/>
        <xdr:cNvPicPr>
          <a:picLocks noChangeAspect="1"/>
        </xdr:cNvPicPr>
      </xdr:nvPicPr>
      <xdr:blipFill>
        <a:blip xmlns:r="http://schemas.openxmlformats.org/officeDocument/2006/relationships" r:embed="rId2732"/>
        <a:stretch>
          <a:fillRect/>
        </a:stretch>
      </xdr:blipFill>
      <xdr:spPr>
        <a:xfrm>
          <a:off x="7235825" y="3573748250"/>
          <a:ext cx="878840" cy="1183640"/>
        </a:xfrm>
        <a:prstGeom prst="rect">
          <a:avLst/>
        </a:prstGeom>
      </xdr:spPr>
    </xdr:pic>
    <xdr:clientData/>
  </xdr:twoCellAnchor>
  <xdr:twoCellAnchor>
    <xdr:from>
      <xdr:col>9</xdr:col>
      <xdr:colOff>6350</xdr:colOff>
      <xdr:row>3638</xdr:row>
      <xdr:rowOff>25400</xdr:rowOff>
    </xdr:from>
    <xdr:to>
      <xdr:col>9</xdr:col>
      <xdr:colOff>885190</xdr:colOff>
      <xdr:row>3638</xdr:row>
      <xdr:rowOff>1209040</xdr:rowOff>
    </xdr:to>
    <xdr:pic>
      <xdr:nvPicPr>
        <xdr:cNvPr id="8027" name="Изображение 8026" descr="resizeПП-00265725"/>
        <xdr:cNvPicPr>
          <a:picLocks noChangeAspect="1"/>
        </xdr:cNvPicPr>
      </xdr:nvPicPr>
      <xdr:blipFill>
        <a:blip xmlns:r="http://schemas.openxmlformats.org/officeDocument/2006/relationships" r:embed="rId2733"/>
        <a:stretch>
          <a:fillRect/>
        </a:stretch>
      </xdr:blipFill>
      <xdr:spPr>
        <a:xfrm>
          <a:off x="7235825" y="3574970625"/>
          <a:ext cx="878840" cy="1183640"/>
        </a:xfrm>
        <a:prstGeom prst="rect">
          <a:avLst/>
        </a:prstGeom>
      </xdr:spPr>
    </xdr:pic>
    <xdr:clientData/>
  </xdr:twoCellAnchor>
  <xdr:twoCellAnchor>
    <xdr:from>
      <xdr:col>9</xdr:col>
      <xdr:colOff>6350</xdr:colOff>
      <xdr:row>3639</xdr:row>
      <xdr:rowOff>25400</xdr:rowOff>
    </xdr:from>
    <xdr:to>
      <xdr:col>9</xdr:col>
      <xdr:colOff>885190</xdr:colOff>
      <xdr:row>3639</xdr:row>
      <xdr:rowOff>1209040</xdr:rowOff>
    </xdr:to>
    <xdr:pic>
      <xdr:nvPicPr>
        <xdr:cNvPr id="8028" name="Изображение 8027" descr="resizeПП-00272490"/>
        <xdr:cNvPicPr>
          <a:picLocks noChangeAspect="1"/>
        </xdr:cNvPicPr>
      </xdr:nvPicPr>
      <xdr:blipFill>
        <a:blip xmlns:r="http://schemas.openxmlformats.org/officeDocument/2006/relationships" r:embed="rId2734"/>
        <a:stretch>
          <a:fillRect/>
        </a:stretch>
      </xdr:blipFill>
      <xdr:spPr>
        <a:xfrm>
          <a:off x="7235825" y="3576193000"/>
          <a:ext cx="878840" cy="1183640"/>
        </a:xfrm>
        <a:prstGeom prst="rect">
          <a:avLst/>
        </a:prstGeom>
      </xdr:spPr>
    </xdr:pic>
    <xdr:clientData/>
  </xdr:twoCellAnchor>
  <xdr:twoCellAnchor>
    <xdr:from>
      <xdr:col>9</xdr:col>
      <xdr:colOff>6350</xdr:colOff>
      <xdr:row>3640</xdr:row>
      <xdr:rowOff>25400</xdr:rowOff>
    </xdr:from>
    <xdr:to>
      <xdr:col>9</xdr:col>
      <xdr:colOff>885190</xdr:colOff>
      <xdr:row>3640</xdr:row>
      <xdr:rowOff>1209040</xdr:rowOff>
    </xdr:to>
    <xdr:pic>
      <xdr:nvPicPr>
        <xdr:cNvPr id="8029" name="Изображение 8028" descr="resizeПП-00272480"/>
        <xdr:cNvPicPr>
          <a:picLocks noChangeAspect="1"/>
        </xdr:cNvPicPr>
      </xdr:nvPicPr>
      <xdr:blipFill>
        <a:blip xmlns:r="http://schemas.openxmlformats.org/officeDocument/2006/relationships" r:embed="rId2735"/>
        <a:stretch>
          <a:fillRect/>
        </a:stretch>
      </xdr:blipFill>
      <xdr:spPr>
        <a:xfrm>
          <a:off x="7235825" y="3577415375"/>
          <a:ext cx="878840" cy="1183640"/>
        </a:xfrm>
        <a:prstGeom prst="rect">
          <a:avLst/>
        </a:prstGeom>
      </xdr:spPr>
    </xdr:pic>
    <xdr:clientData/>
  </xdr:twoCellAnchor>
  <xdr:twoCellAnchor>
    <xdr:from>
      <xdr:col>9</xdr:col>
      <xdr:colOff>6350</xdr:colOff>
      <xdr:row>3641</xdr:row>
      <xdr:rowOff>25400</xdr:rowOff>
    </xdr:from>
    <xdr:to>
      <xdr:col>9</xdr:col>
      <xdr:colOff>885190</xdr:colOff>
      <xdr:row>3641</xdr:row>
      <xdr:rowOff>1209040</xdr:rowOff>
    </xdr:to>
    <xdr:pic>
      <xdr:nvPicPr>
        <xdr:cNvPr id="8030" name="Изображение 8029" descr="resizeПП-00272478"/>
        <xdr:cNvPicPr>
          <a:picLocks noChangeAspect="1"/>
        </xdr:cNvPicPr>
      </xdr:nvPicPr>
      <xdr:blipFill>
        <a:blip xmlns:r="http://schemas.openxmlformats.org/officeDocument/2006/relationships" r:embed="rId2736"/>
        <a:stretch>
          <a:fillRect/>
        </a:stretch>
      </xdr:blipFill>
      <xdr:spPr>
        <a:xfrm>
          <a:off x="7235825" y="3578637750"/>
          <a:ext cx="878840" cy="1183640"/>
        </a:xfrm>
        <a:prstGeom prst="rect">
          <a:avLst/>
        </a:prstGeom>
      </xdr:spPr>
    </xdr:pic>
    <xdr:clientData/>
  </xdr:twoCellAnchor>
  <xdr:twoCellAnchor>
    <xdr:from>
      <xdr:col>9</xdr:col>
      <xdr:colOff>6350</xdr:colOff>
      <xdr:row>3642</xdr:row>
      <xdr:rowOff>25400</xdr:rowOff>
    </xdr:from>
    <xdr:to>
      <xdr:col>9</xdr:col>
      <xdr:colOff>885190</xdr:colOff>
      <xdr:row>3642</xdr:row>
      <xdr:rowOff>1209040</xdr:rowOff>
    </xdr:to>
    <xdr:pic>
      <xdr:nvPicPr>
        <xdr:cNvPr id="8031" name="Изображение 8030" descr="resizeПП-00272488"/>
        <xdr:cNvPicPr>
          <a:picLocks noChangeAspect="1"/>
        </xdr:cNvPicPr>
      </xdr:nvPicPr>
      <xdr:blipFill>
        <a:blip xmlns:r="http://schemas.openxmlformats.org/officeDocument/2006/relationships" r:embed="rId2737"/>
        <a:stretch>
          <a:fillRect/>
        </a:stretch>
      </xdr:blipFill>
      <xdr:spPr>
        <a:xfrm>
          <a:off x="7235825" y="3579860125"/>
          <a:ext cx="878840" cy="1183640"/>
        </a:xfrm>
        <a:prstGeom prst="rect">
          <a:avLst/>
        </a:prstGeom>
      </xdr:spPr>
    </xdr:pic>
    <xdr:clientData/>
  </xdr:twoCellAnchor>
  <xdr:twoCellAnchor>
    <xdr:from>
      <xdr:col>9</xdr:col>
      <xdr:colOff>6350</xdr:colOff>
      <xdr:row>3643</xdr:row>
      <xdr:rowOff>25400</xdr:rowOff>
    </xdr:from>
    <xdr:to>
      <xdr:col>9</xdr:col>
      <xdr:colOff>885190</xdr:colOff>
      <xdr:row>3643</xdr:row>
      <xdr:rowOff>1209040</xdr:rowOff>
    </xdr:to>
    <xdr:pic>
      <xdr:nvPicPr>
        <xdr:cNvPr id="8032" name="Изображение 8031" descr="resizeПП-00272486"/>
        <xdr:cNvPicPr>
          <a:picLocks noChangeAspect="1"/>
        </xdr:cNvPicPr>
      </xdr:nvPicPr>
      <xdr:blipFill>
        <a:blip xmlns:r="http://schemas.openxmlformats.org/officeDocument/2006/relationships" r:embed="rId2738"/>
        <a:stretch>
          <a:fillRect/>
        </a:stretch>
      </xdr:blipFill>
      <xdr:spPr>
        <a:xfrm>
          <a:off x="7235825" y="3581082500"/>
          <a:ext cx="878840" cy="1183640"/>
        </a:xfrm>
        <a:prstGeom prst="rect">
          <a:avLst/>
        </a:prstGeom>
      </xdr:spPr>
    </xdr:pic>
    <xdr:clientData/>
  </xdr:twoCellAnchor>
  <xdr:twoCellAnchor>
    <xdr:from>
      <xdr:col>9</xdr:col>
      <xdr:colOff>6350</xdr:colOff>
      <xdr:row>3644</xdr:row>
      <xdr:rowOff>25400</xdr:rowOff>
    </xdr:from>
    <xdr:to>
      <xdr:col>9</xdr:col>
      <xdr:colOff>885190</xdr:colOff>
      <xdr:row>3644</xdr:row>
      <xdr:rowOff>1209040</xdr:rowOff>
    </xdr:to>
    <xdr:pic>
      <xdr:nvPicPr>
        <xdr:cNvPr id="8033" name="Изображение 8032" descr="resizeПП-00272495"/>
        <xdr:cNvPicPr>
          <a:picLocks noChangeAspect="1"/>
        </xdr:cNvPicPr>
      </xdr:nvPicPr>
      <xdr:blipFill>
        <a:blip xmlns:r="http://schemas.openxmlformats.org/officeDocument/2006/relationships" r:embed="rId2739"/>
        <a:stretch>
          <a:fillRect/>
        </a:stretch>
      </xdr:blipFill>
      <xdr:spPr>
        <a:xfrm>
          <a:off x="7235825" y="3582304875"/>
          <a:ext cx="878840" cy="1183640"/>
        </a:xfrm>
        <a:prstGeom prst="rect">
          <a:avLst/>
        </a:prstGeom>
      </xdr:spPr>
    </xdr:pic>
    <xdr:clientData/>
  </xdr:twoCellAnchor>
  <xdr:twoCellAnchor>
    <xdr:from>
      <xdr:col>9</xdr:col>
      <xdr:colOff>6350</xdr:colOff>
      <xdr:row>3645</xdr:row>
      <xdr:rowOff>25400</xdr:rowOff>
    </xdr:from>
    <xdr:to>
      <xdr:col>9</xdr:col>
      <xdr:colOff>885190</xdr:colOff>
      <xdr:row>3645</xdr:row>
      <xdr:rowOff>1209040</xdr:rowOff>
    </xdr:to>
    <xdr:pic>
      <xdr:nvPicPr>
        <xdr:cNvPr id="8034" name="Изображение 8033" descr="resizeПП-00272484"/>
        <xdr:cNvPicPr>
          <a:picLocks noChangeAspect="1"/>
        </xdr:cNvPicPr>
      </xdr:nvPicPr>
      <xdr:blipFill>
        <a:blip xmlns:r="http://schemas.openxmlformats.org/officeDocument/2006/relationships" r:embed="rId2740"/>
        <a:stretch>
          <a:fillRect/>
        </a:stretch>
      </xdr:blipFill>
      <xdr:spPr>
        <a:xfrm>
          <a:off x="7235825" y="3583527250"/>
          <a:ext cx="878840" cy="1183640"/>
        </a:xfrm>
        <a:prstGeom prst="rect">
          <a:avLst/>
        </a:prstGeom>
      </xdr:spPr>
    </xdr:pic>
    <xdr:clientData/>
  </xdr:twoCellAnchor>
  <xdr:twoCellAnchor>
    <xdr:from>
      <xdr:col>9</xdr:col>
      <xdr:colOff>6350</xdr:colOff>
      <xdr:row>3646</xdr:row>
      <xdr:rowOff>25400</xdr:rowOff>
    </xdr:from>
    <xdr:to>
      <xdr:col>9</xdr:col>
      <xdr:colOff>885190</xdr:colOff>
      <xdr:row>3646</xdr:row>
      <xdr:rowOff>1209040</xdr:rowOff>
    </xdr:to>
    <xdr:pic>
      <xdr:nvPicPr>
        <xdr:cNvPr id="8035" name="Изображение 8034" descr="resizeПП-00272481"/>
        <xdr:cNvPicPr>
          <a:picLocks noChangeAspect="1"/>
        </xdr:cNvPicPr>
      </xdr:nvPicPr>
      <xdr:blipFill>
        <a:blip xmlns:r="http://schemas.openxmlformats.org/officeDocument/2006/relationships" r:embed="rId2741"/>
        <a:stretch>
          <a:fillRect/>
        </a:stretch>
      </xdr:blipFill>
      <xdr:spPr>
        <a:xfrm>
          <a:off x="7235825" y="3584749625"/>
          <a:ext cx="878840" cy="1183640"/>
        </a:xfrm>
        <a:prstGeom prst="rect">
          <a:avLst/>
        </a:prstGeom>
      </xdr:spPr>
    </xdr:pic>
    <xdr:clientData/>
  </xdr:twoCellAnchor>
  <xdr:twoCellAnchor>
    <xdr:from>
      <xdr:col>9</xdr:col>
      <xdr:colOff>6350</xdr:colOff>
      <xdr:row>3647</xdr:row>
      <xdr:rowOff>25400</xdr:rowOff>
    </xdr:from>
    <xdr:to>
      <xdr:col>9</xdr:col>
      <xdr:colOff>885190</xdr:colOff>
      <xdr:row>3647</xdr:row>
      <xdr:rowOff>1209040</xdr:rowOff>
    </xdr:to>
    <xdr:pic>
      <xdr:nvPicPr>
        <xdr:cNvPr id="8036" name="Изображение 8035" descr="resizeПП-00272487"/>
        <xdr:cNvPicPr>
          <a:picLocks noChangeAspect="1"/>
        </xdr:cNvPicPr>
      </xdr:nvPicPr>
      <xdr:blipFill>
        <a:blip xmlns:r="http://schemas.openxmlformats.org/officeDocument/2006/relationships" r:embed="rId2742"/>
        <a:stretch>
          <a:fillRect/>
        </a:stretch>
      </xdr:blipFill>
      <xdr:spPr>
        <a:xfrm>
          <a:off x="7235825" y="3585972000"/>
          <a:ext cx="878840" cy="1183640"/>
        </a:xfrm>
        <a:prstGeom prst="rect">
          <a:avLst/>
        </a:prstGeom>
      </xdr:spPr>
    </xdr:pic>
    <xdr:clientData/>
  </xdr:twoCellAnchor>
  <xdr:twoCellAnchor>
    <xdr:from>
      <xdr:col>9</xdr:col>
      <xdr:colOff>6350</xdr:colOff>
      <xdr:row>3648</xdr:row>
      <xdr:rowOff>25400</xdr:rowOff>
    </xdr:from>
    <xdr:to>
      <xdr:col>9</xdr:col>
      <xdr:colOff>885190</xdr:colOff>
      <xdr:row>3648</xdr:row>
      <xdr:rowOff>1209040</xdr:rowOff>
    </xdr:to>
    <xdr:pic>
      <xdr:nvPicPr>
        <xdr:cNvPr id="8037" name="Изображение 8036" descr="resizeПП-00272470"/>
        <xdr:cNvPicPr>
          <a:picLocks noChangeAspect="1"/>
        </xdr:cNvPicPr>
      </xdr:nvPicPr>
      <xdr:blipFill>
        <a:blip xmlns:r="http://schemas.openxmlformats.org/officeDocument/2006/relationships" r:embed="rId2743"/>
        <a:stretch>
          <a:fillRect/>
        </a:stretch>
      </xdr:blipFill>
      <xdr:spPr>
        <a:xfrm>
          <a:off x="7235825" y="3587194375"/>
          <a:ext cx="878840" cy="1183640"/>
        </a:xfrm>
        <a:prstGeom prst="rect">
          <a:avLst/>
        </a:prstGeom>
      </xdr:spPr>
    </xdr:pic>
    <xdr:clientData/>
  </xdr:twoCellAnchor>
  <xdr:twoCellAnchor>
    <xdr:from>
      <xdr:col>9</xdr:col>
      <xdr:colOff>6350</xdr:colOff>
      <xdr:row>3649</xdr:row>
      <xdr:rowOff>25400</xdr:rowOff>
    </xdr:from>
    <xdr:to>
      <xdr:col>9</xdr:col>
      <xdr:colOff>885190</xdr:colOff>
      <xdr:row>3649</xdr:row>
      <xdr:rowOff>1209040</xdr:rowOff>
    </xdr:to>
    <xdr:pic>
      <xdr:nvPicPr>
        <xdr:cNvPr id="8038" name="Изображение 8037" descr="resizeПП-00272483"/>
        <xdr:cNvPicPr>
          <a:picLocks noChangeAspect="1"/>
        </xdr:cNvPicPr>
      </xdr:nvPicPr>
      <xdr:blipFill>
        <a:blip xmlns:r="http://schemas.openxmlformats.org/officeDocument/2006/relationships" r:embed="rId2744"/>
        <a:stretch>
          <a:fillRect/>
        </a:stretch>
      </xdr:blipFill>
      <xdr:spPr>
        <a:xfrm>
          <a:off x="7235825" y="3588416750"/>
          <a:ext cx="878840" cy="1183640"/>
        </a:xfrm>
        <a:prstGeom prst="rect">
          <a:avLst/>
        </a:prstGeom>
      </xdr:spPr>
    </xdr:pic>
    <xdr:clientData/>
  </xdr:twoCellAnchor>
  <xdr:twoCellAnchor>
    <xdr:from>
      <xdr:col>9</xdr:col>
      <xdr:colOff>6350</xdr:colOff>
      <xdr:row>3650</xdr:row>
      <xdr:rowOff>25400</xdr:rowOff>
    </xdr:from>
    <xdr:to>
      <xdr:col>9</xdr:col>
      <xdr:colOff>885190</xdr:colOff>
      <xdr:row>3650</xdr:row>
      <xdr:rowOff>1209040</xdr:rowOff>
    </xdr:to>
    <xdr:pic>
      <xdr:nvPicPr>
        <xdr:cNvPr id="8039" name="Изображение 8038" descr="resizeПП-00272493"/>
        <xdr:cNvPicPr>
          <a:picLocks noChangeAspect="1"/>
        </xdr:cNvPicPr>
      </xdr:nvPicPr>
      <xdr:blipFill>
        <a:blip xmlns:r="http://schemas.openxmlformats.org/officeDocument/2006/relationships" r:embed="rId2745"/>
        <a:stretch>
          <a:fillRect/>
        </a:stretch>
      </xdr:blipFill>
      <xdr:spPr>
        <a:xfrm>
          <a:off x="7235825" y="3589639125"/>
          <a:ext cx="878840" cy="1183640"/>
        </a:xfrm>
        <a:prstGeom prst="rect">
          <a:avLst/>
        </a:prstGeom>
      </xdr:spPr>
    </xdr:pic>
    <xdr:clientData/>
  </xdr:twoCellAnchor>
  <xdr:twoCellAnchor>
    <xdr:from>
      <xdr:col>9</xdr:col>
      <xdr:colOff>6350</xdr:colOff>
      <xdr:row>3651</xdr:row>
      <xdr:rowOff>25400</xdr:rowOff>
    </xdr:from>
    <xdr:to>
      <xdr:col>9</xdr:col>
      <xdr:colOff>885190</xdr:colOff>
      <xdr:row>3651</xdr:row>
      <xdr:rowOff>1209040</xdr:rowOff>
    </xdr:to>
    <xdr:pic>
      <xdr:nvPicPr>
        <xdr:cNvPr id="8040" name="Изображение 8039" descr="resizeПП-00243281"/>
        <xdr:cNvPicPr>
          <a:picLocks noChangeAspect="1"/>
        </xdr:cNvPicPr>
      </xdr:nvPicPr>
      <xdr:blipFill>
        <a:blip xmlns:r="http://schemas.openxmlformats.org/officeDocument/2006/relationships" r:embed="rId2746"/>
        <a:stretch>
          <a:fillRect/>
        </a:stretch>
      </xdr:blipFill>
      <xdr:spPr>
        <a:xfrm>
          <a:off x="7235825" y="3590861500"/>
          <a:ext cx="878840" cy="1183640"/>
        </a:xfrm>
        <a:prstGeom prst="rect">
          <a:avLst/>
        </a:prstGeom>
      </xdr:spPr>
    </xdr:pic>
    <xdr:clientData/>
  </xdr:twoCellAnchor>
  <xdr:twoCellAnchor>
    <xdr:from>
      <xdr:col>9</xdr:col>
      <xdr:colOff>6350</xdr:colOff>
      <xdr:row>3652</xdr:row>
      <xdr:rowOff>25400</xdr:rowOff>
    </xdr:from>
    <xdr:to>
      <xdr:col>9</xdr:col>
      <xdr:colOff>885190</xdr:colOff>
      <xdr:row>3652</xdr:row>
      <xdr:rowOff>1209040</xdr:rowOff>
    </xdr:to>
    <xdr:pic>
      <xdr:nvPicPr>
        <xdr:cNvPr id="8041" name="Изображение 8040" descr="resizeПП-00243284"/>
        <xdr:cNvPicPr>
          <a:picLocks noChangeAspect="1"/>
        </xdr:cNvPicPr>
      </xdr:nvPicPr>
      <xdr:blipFill>
        <a:blip xmlns:r="http://schemas.openxmlformats.org/officeDocument/2006/relationships" r:embed="rId2747"/>
        <a:stretch>
          <a:fillRect/>
        </a:stretch>
      </xdr:blipFill>
      <xdr:spPr>
        <a:xfrm>
          <a:off x="7235825" y="3592083875"/>
          <a:ext cx="878840" cy="1183640"/>
        </a:xfrm>
        <a:prstGeom prst="rect">
          <a:avLst/>
        </a:prstGeom>
      </xdr:spPr>
    </xdr:pic>
    <xdr:clientData/>
  </xdr:twoCellAnchor>
  <xdr:twoCellAnchor>
    <xdr:from>
      <xdr:col>9</xdr:col>
      <xdr:colOff>6350</xdr:colOff>
      <xdr:row>3653</xdr:row>
      <xdr:rowOff>25400</xdr:rowOff>
    </xdr:from>
    <xdr:to>
      <xdr:col>9</xdr:col>
      <xdr:colOff>885190</xdr:colOff>
      <xdr:row>3653</xdr:row>
      <xdr:rowOff>1209040</xdr:rowOff>
    </xdr:to>
    <xdr:pic>
      <xdr:nvPicPr>
        <xdr:cNvPr id="8042" name="Изображение 8041" descr="resizeПП-00243290"/>
        <xdr:cNvPicPr>
          <a:picLocks noChangeAspect="1"/>
        </xdr:cNvPicPr>
      </xdr:nvPicPr>
      <xdr:blipFill>
        <a:blip xmlns:r="http://schemas.openxmlformats.org/officeDocument/2006/relationships" r:embed="rId2748"/>
        <a:stretch>
          <a:fillRect/>
        </a:stretch>
      </xdr:blipFill>
      <xdr:spPr>
        <a:xfrm>
          <a:off x="7235825" y="3593306250"/>
          <a:ext cx="878840" cy="1183640"/>
        </a:xfrm>
        <a:prstGeom prst="rect">
          <a:avLst/>
        </a:prstGeom>
      </xdr:spPr>
    </xdr:pic>
    <xdr:clientData/>
  </xdr:twoCellAnchor>
  <xdr:twoCellAnchor>
    <xdr:from>
      <xdr:col>9</xdr:col>
      <xdr:colOff>6350</xdr:colOff>
      <xdr:row>3654</xdr:row>
      <xdr:rowOff>25400</xdr:rowOff>
    </xdr:from>
    <xdr:to>
      <xdr:col>9</xdr:col>
      <xdr:colOff>885190</xdr:colOff>
      <xdr:row>3654</xdr:row>
      <xdr:rowOff>1209040</xdr:rowOff>
    </xdr:to>
    <xdr:pic>
      <xdr:nvPicPr>
        <xdr:cNvPr id="8043" name="Изображение 8042" descr="resizeПП-00243285"/>
        <xdr:cNvPicPr>
          <a:picLocks noChangeAspect="1"/>
        </xdr:cNvPicPr>
      </xdr:nvPicPr>
      <xdr:blipFill>
        <a:blip xmlns:r="http://schemas.openxmlformats.org/officeDocument/2006/relationships" r:embed="rId2749"/>
        <a:stretch>
          <a:fillRect/>
        </a:stretch>
      </xdr:blipFill>
      <xdr:spPr>
        <a:xfrm>
          <a:off x="7235825" y="3594528625"/>
          <a:ext cx="878840" cy="1183640"/>
        </a:xfrm>
        <a:prstGeom prst="rect">
          <a:avLst/>
        </a:prstGeom>
      </xdr:spPr>
    </xdr:pic>
    <xdr:clientData/>
  </xdr:twoCellAnchor>
  <xdr:twoCellAnchor>
    <xdr:from>
      <xdr:col>9</xdr:col>
      <xdr:colOff>6350</xdr:colOff>
      <xdr:row>3655</xdr:row>
      <xdr:rowOff>25400</xdr:rowOff>
    </xdr:from>
    <xdr:to>
      <xdr:col>9</xdr:col>
      <xdr:colOff>885190</xdr:colOff>
      <xdr:row>3655</xdr:row>
      <xdr:rowOff>1209040</xdr:rowOff>
    </xdr:to>
    <xdr:pic>
      <xdr:nvPicPr>
        <xdr:cNvPr id="8044" name="Изображение 8043" descr="resizeПП-00243289"/>
        <xdr:cNvPicPr>
          <a:picLocks noChangeAspect="1"/>
        </xdr:cNvPicPr>
      </xdr:nvPicPr>
      <xdr:blipFill>
        <a:blip xmlns:r="http://schemas.openxmlformats.org/officeDocument/2006/relationships" r:embed="rId2750"/>
        <a:stretch>
          <a:fillRect/>
        </a:stretch>
      </xdr:blipFill>
      <xdr:spPr>
        <a:xfrm>
          <a:off x="7235825" y="3595751000"/>
          <a:ext cx="878840" cy="1183640"/>
        </a:xfrm>
        <a:prstGeom prst="rect">
          <a:avLst/>
        </a:prstGeom>
      </xdr:spPr>
    </xdr:pic>
    <xdr:clientData/>
  </xdr:twoCellAnchor>
  <xdr:twoCellAnchor>
    <xdr:from>
      <xdr:col>9</xdr:col>
      <xdr:colOff>6350</xdr:colOff>
      <xdr:row>3656</xdr:row>
      <xdr:rowOff>25400</xdr:rowOff>
    </xdr:from>
    <xdr:to>
      <xdr:col>9</xdr:col>
      <xdr:colOff>885190</xdr:colOff>
      <xdr:row>3656</xdr:row>
      <xdr:rowOff>1209040</xdr:rowOff>
    </xdr:to>
    <xdr:pic>
      <xdr:nvPicPr>
        <xdr:cNvPr id="8045" name="Изображение 8044" descr="resizeПП-00243288"/>
        <xdr:cNvPicPr>
          <a:picLocks noChangeAspect="1"/>
        </xdr:cNvPicPr>
      </xdr:nvPicPr>
      <xdr:blipFill>
        <a:blip xmlns:r="http://schemas.openxmlformats.org/officeDocument/2006/relationships" r:embed="rId2751"/>
        <a:stretch>
          <a:fillRect/>
        </a:stretch>
      </xdr:blipFill>
      <xdr:spPr>
        <a:xfrm>
          <a:off x="7235825" y="3596973375"/>
          <a:ext cx="878840" cy="1183640"/>
        </a:xfrm>
        <a:prstGeom prst="rect">
          <a:avLst/>
        </a:prstGeom>
      </xdr:spPr>
    </xdr:pic>
    <xdr:clientData/>
  </xdr:twoCellAnchor>
  <xdr:twoCellAnchor>
    <xdr:from>
      <xdr:col>9</xdr:col>
      <xdr:colOff>6350</xdr:colOff>
      <xdr:row>3657</xdr:row>
      <xdr:rowOff>25400</xdr:rowOff>
    </xdr:from>
    <xdr:to>
      <xdr:col>9</xdr:col>
      <xdr:colOff>885190</xdr:colOff>
      <xdr:row>3657</xdr:row>
      <xdr:rowOff>1209040</xdr:rowOff>
    </xdr:to>
    <xdr:pic>
      <xdr:nvPicPr>
        <xdr:cNvPr id="8046" name="Изображение 8045" descr="resizeПП-00243287"/>
        <xdr:cNvPicPr>
          <a:picLocks noChangeAspect="1"/>
        </xdr:cNvPicPr>
      </xdr:nvPicPr>
      <xdr:blipFill>
        <a:blip xmlns:r="http://schemas.openxmlformats.org/officeDocument/2006/relationships" r:embed="rId2752"/>
        <a:stretch>
          <a:fillRect/>
        </a:stretch>
      </xdr:blipFill>
      <xdr:spPr>
        <a:xfrm>
          <a:off x="7235825" y="3598195750"/>
          <a:ext cx="878840" cy="1183640"/>
        </a:xfrm>
        <a:prstGeom prst="rect">
          <a:avLst/>
        </a:prstGeom>
      </xdr:spPr>
    </xdr:pic>
    <xdr:clientData/>
  </xdr:twoCellAnchor>
  <xdr:twoCellAnchor>
    <xdr:from>
      <xdr:col>9</xdr:col>
      <xdr:colOff>6350</xdr:colOff>
      <xdr:row>3658</xdr:row>
      <xdr:rowOff>25400</xdr:rowOff>
    </xdr:from>
    <xdr:to>
      <xdr:col>9</xdr:col>
      <xdr:colOff>885190</xdr:colOff>
      <xdr:row>3658</xdr:row>
      <xdr:rowOff>1209040</xdr:rowOff>
    </xdr:to>
    <xdr:pic>
      <xdr:nvPicPr>
        <xdr:cNvPr id="8047" name="Изображение 8046" descr="resizeПП-00243291"/>
        <xdr:cNvPicPr>
          <a:picLocks noChangeAspect="1"/>
        </xdr:cNvPicPr>
      </xdr:nvPicPr>
      <xdr:blipFill>
        <a:blip xmlns:r="http://schemas.openxmlformats.org/officeDocument/2006/relationships" r:embed="rId2753"/>
        <a:stretch>
          <a:fillRect/>
        </a:stretch>
      </xdr:blipFill>
      <xdr:spPr>
        <a:xfrm>
          <a:off x="7235825" y="3599418125"/>
          <a:ext cx="878840" cy="1183640"/>
        </a:xfrm>
        <a:prstGeom prst="rect">
          <a:avLst/>
        </a:prstGeom>
      </xdr:spPr>
    </xdr:pic>
    <xdr:clientData/>
  </xdr:twoCellAnchor>
  <xdr:twoCellAnchor>
    <xdr:from>
      <xdr:col>9</xdr:col>
      <xdr:colOff>6350</xdr:colOff>
      <xdr:row>3659</xdr:row>
      <xdr:rowOff>25400</xdr:rowOff>
    </xdr:from>
    <xdr:to>
      <xdr:col>9</xdr:col>
      <xdr:colOff>885190</xdr:colOff>
      <xdr:row>3659</xdr:row>
      <xdr:rowOff>1209040</xdr:rowOff>
    </xdr:to>
    <xdr:pic>
      <xdr:nvPicPr>
        <xdr:cNvPr id="8048" name="Изображение 8047" descr="resizeПП-00243292"/>
        <xdr:cNvPicPr>
          <a:picLocks noChangeAspect="1"/>
        </xdr:cNvPicPr>
      </xdr:nvPicPr>
      <xdr:blipFill>
        <a:blip xmlns:r="http://schemas.openxmlformats.org/officeDocument/2006/relationships" r:embed="rId2754"/>
        <a:stretch>
          <a:fillRect/>
        </a:stretch>
      </xdr:blipFill>
      <xdr:spPr>
        <a:xfrm>
          <a:off x="7235825" y="3600640500"/>
          <a:ext cx="878840" cy="1183640"/>
        </a:xfrm>
        <a:prstGeom prst="rect">
          <a:avLst/>
        </a:prstGeom>
      </xdr:spPr>
    </xdr:pic>
    <xdr:clientData/>
  </xdr:twoCellAnchor>
  <xdr:twoCellAnchor>
    <xdr:from>
      <xdr:col>9</xdr:col>
      <xdr:colOff>6350</xdr:colOff>
      <xdr:row>3660</xdr:row>
      <xdr:rowOff>25400</xdr:rowOff>
    </xdr:from>
    <xdr:to>
      <xdr:col>9</xdr:col>
      <xdr:colOff>885190</xdr:colOff>
      <xdr:row>3660</xdr:row>
      <xdr:rowOff>1209040</xdr:rowOff>
    </xdr:to>
    <xdr:pic>
      <xdr:nvPicPr>
        <xdr:cNvPr id="8049" name="Изображение 8048" descr="resizeПП-00243294"/>
        <xdr:cNvPicPr>
          <a:picLocks noChangeAspect="1"/>
        </xdr:cNvPicPr>
      </xdr:nvPicPr>
      <xdr:blipFill>
        <a:blip xmlns:r="http://schemas.openxmlformats.org/officeDocument/2006/relationships" r:embed="rId2755"/>
        <a:stretch>
          <a:fillRect/>
        </a:stretch>
      </xdr:blipFill>
      <xdr:spPr>
        <a:xfrm>
          <a:off x="7235825" y="3601862875"/>
          <a:ext cx="878840" cy="1183640"/>
        </a:xfrm>
        <a:prstGeom prst="rect">
          <a:avLst/>
        </a:prstGeom>
      </xdr:spPr>
    </xdr:pic>
    <xdr:clientData/>
  </xdr:twoCellAnchor>
  <xdr:twoCellAnchor>
    <xdr:from>
      <xdr:col>9</xdr:col>
      <xdr:colOff>6350</xdr:colOff>
      <xdr:row>3663</xdr:row>
      <xdr:rowOff>25400</xdr:rowOff>
    </xdr:from>
    <xdr:to>
      <xdr:col>9</xdr:col>
      <xdr:colOff>885190</xdr:colOff>
      <xdr:row>3663</xdr:row>
      <xdr:rowOff>1209040</xdr:rowOff>
    </xdr:to>
    <xdr:pic>
      <xdr:nvPicPr>
        <xdr:cNvPr id="8050" name="Изображение 8049" descr="resizeПП-00236088"/>
        <xdr:cNvPicPr>
          <a:picLocks noChangeAspect="1"/>
        </xdr:cNvPicPr>
      </xdr:nvPicPr>
      <xdr:blipFill>
        <a:blip xmlns:r="http://schemas.openxmlformats.org/officeDocument/2006/relationships" r:embed="rId2756"/>
        <a:stretch>
          <a:fillRect/>
        </a:stretch>
      </xdr:blipFill>
      <xdr:spPr>
        <a:xfrm>
          <a:off x="7235825" y="3603390050"/>
          <a:ext cx="878840" cy="1183640"/>
        </a:xfrm>
        <a:prstGeom prst="rect">
          <a:avLst/>
        </a:prstGeom>
      </xdr:spPr>
    </xdr:pic>
    <xdr:clientData/>
  </xdr:twoCellAnchor>
  <xdr:twoCellAnchor>
    <xdr:from>
      <xdr:col>9</xdr:col>
      <xdr:colOff>6350</xdr:colOff>
      <xdr:row>3664</xdr:row>
      <xdr:rowOff>25400</xdr:rowOff>
    </xdr:from>
    <xdr:to>
      <xdr:col>9</xdr:col>
      <xdr:colOff>885190</xdr:colOff>
      <xdr:row>3664</xdr:row>
      <xdr:rowOff>1209040</xdr:rowOff>
    </xdr:to>
    <xdr:pic>
      <xdr:nvPicPr>
        <xdr:cNvPr id="8051" name="Изображение 8050" descr="resizeПП-00261749"/>
        <xdr:cNvPicPr>
          <a:picLocks noChangeAspect="1"/>
        </xdr:cNvPicPr>
      </xdr:nvPicPr>
      <xdr:blipFill>
        <a:blip xmlns:r="http://schemas.openxmlformats.org/officeDocument/2006/relationships" r:embed="rId2757"/>
        <a:stretch>
          <a:fillRect/>
        </a:stretch>
      </xdr:blipFill>
      <xdr:spPr>
        <a:xfrm>
          <a:off x="7235825" y="3604612425"/>
          <a:ext cx="878840" cy="1183640"/>
        </a:xfrm>
        <a:prstGeom prst="rect">
          <a:avLst/>
        </a:prstGeom>
      </xdr:spPr>
    </xdr:pic>
    <xdr:clientData/>
  </xdr:twoCellAnchor>
  <xdr:twoCellAnchor>
    <xdr:from>
      <xdr:col>9</xdr:col>
      <xdr:colOff>6350</xdr:colOff>
      <xdr:row>3665</xdr:row>
      <xdr:rowOff>25400</xdr:rowOff>
    </xdr:from>
    <xdr:to>
      <xdr:col>9</xdr:col>
      <xdr:colOff>885190</xdr:colOff>
      <xdr:row>3665</xdr:row>
      <xdr:rowOff>1209040</xdr:rowOff>
    </xdr:to>
    <xdr:pic>
      <xdr:nvPicPr>
        <xdr:cNvPr id="8052" name="Изображение 8051" descr="resizeПП-00261756"/>
        <xdr:cNvPicPr>
          <a:picLocks noChangeAspect="1"/>
        </xdr:cNvPicPr>
      </xdr:nvPicPr>
      <xdr:blipFill>
        <a:blip xmlns:r="http://schemas.openxmlformats.org/officeDocument/2006/relationships" r:embed="rId2758"/>
        <a:stretch>
          <a:fillRect/>
        </a:stretch>
      </xdr:blipFill>
      <xdr:spPr>
        <a:xfrm>
          <a:off x="7235825" y="3605834800"/>
          <a:ext cx="878840" cy="1183640"/>
        </a:xfrm>
        <a:prstGeom prst="rect">
          <a:avLst/>
        </a:prstGeom>
      </xdr:spPr>
    </xdr:pic>
    <xdr:clientData/>
  </xdr:twoCellAnchor>
  <xdr:twoCellAnchor>
    <xdr:from>
      <xdr:col>9</xdr:col>
      <xdr:colOff>6350</xdr:colOff>
      <xdr:row>3666</xdr:row>
      <xdr:rowOff>25400</xdr:rowOff>
    </xdr:from>
    <xdr:to>
      <xdr:col>9</xdr:col>
      <xdr:colOff>885190</xdr:colOff>
      <xdr:row>3666</xdr:row>
      <xdr:rowOff>1209040</xdr:rowOff>
    </xdr:to>
    <xdr:pic>
      <xdr:nvPicPr>
        <xdr:cNvPr id="8053" name="Изображение 8052" descr="resizeПП-00261748"/>
        <xdr:cNvPicPr>
          <a:picLocks noChangeAspect="1"/>
        </xdr:cNvPicPr>
      </xdr:nvPicPr>
      <xdr:blipFill>
        <a:blip xmlns:r="http://schemas.openxmlformats.org/officeDocument/2006/relationships" r:embed="rId2759"/>
        <a:stretch>
          <a:fillRect/>
        </a:stretch>
      </xdr:blipFill>
      <xdr:spPr>
        <a:xfrm>
          <a:off x="7235825" y="3607057175"/>
          <a:ext cx="878840" cy="1183640"/>
        </a:xfrm>
        <a:prstGeom prst="rect">
          <a:avLst/>
        </a:prstGeom>
      </xdr:spPr>
    </xdr:pic>
    <xdr:clientData/>
  </xdr:twoCellAnchor>
  <xdr:twoCellAnchor>
    <xdr:from>
      <xdr:col>9</xdr:col>
      <xdr:colOff>6350</xdr:colOff>
      <xdr:row>3667</xdr:row>
      <xdr:rowOff>25400</xdr:rowOff>
    </xdr:from>
    <xdr:to>
      <xdr:col>9</xdr:col>
      <xdr:colOff>885190</xdr:colOff>
      <xdr:row>3667</xdr:row>
      <xdr:rowOff>1209040</xdr:rowOff>
    </xdr:to>
    <xdr:pic>
      <xdr:nvPicPr>
        <xdr:cNvPr id="8054" name="Изображение 8053" descr="resizeПП-00261759"/>
        <xdr:cNvPicPr>
          <a:picLocks noChangeAspect="1"/>
        </xdr:cNvPicPr>
      </xdr:nvPicPr>
      <xdr:blipFill>
        <a:blip xmlns:r="http://schemas.openxmlformats.org/officeDocument/2006/relationships" r:embed="rId2760"/>
        <a:stretch>
          <a:fillRect/>
        </a:stretch>
      </xdr:blipFill>
      <xdr:spPr>
        <a:xfrm>
          <a:off x="7235825" y="3608279550"/>
          <a:ext cx="878840" cy="1183640"/>
        </a:xfrm>
        <a:prstGeom prst="rect">
          <a:avLst/>
        </a:prstGeom>
      </xdr:spPr>
    </xdr:pic>
    <xdr:clientData/>
  </xdr:twoCellAnchor>
  <xdr:twoCellAnchor>
    <xdr:from>
      <xdr:col>9</xdr:col>
      <xdr:colOff>6350</xdr:colOff>
      <xdr:row>3668</xdr:row>
      <xdr:rowOff>25400</xdr:rowOff>
    </xdr:from>
    <xdr:to>
      <xdr:col>9</xdr:col>
      <xdr:colOff>885190</xdr:colOff>
      <xdr:row>3668</xdr:row>
      <xdr:rowOff>1209040</xdr:rowOff>
    </xdr:to>
    <xdr:pic>
      <xdr:nvPicPr>
        <xdr:cNvPr id="8055" name="Изображение 8054" descr="resizeПП-00261760"/>
        <xdr:cNvPicPr>
          <a:picLocks noChangeAspect="1"/>
        </xdr:cNvPicPr>
      </xdr:nvPicPr>
      <xdr:blipFill>
        <a:blip xmlns:r="http://schemas.openxmlformats.org/officeDocument/2006/relationships" r:embed="rId2761"/>
        <a:stretch>
          <a:fillRect/>
        </a:stretch>
      </xdr:blipFill>
      <xdr:spPr>
        <a:xfrm>
          <a:off x="7235825" y="3609501925"/>
          <a:ext cx="878840" cy="1183640"/>
        </a:xfrm>
        <a:prstGeom prst="rect">
          <a:avLst/>
        </a:prstGeom>
      </xdr:spPr>
    </xdr:pic>
    <xdr:clientData/>
  </xdr:twoCellAnchor>
  <xdr:twoCellAnchor>
    <xdr:from>
      <xdr:col>9</xdr:col>
      <xdr:colOff>6350</xdr:colOff>
      <xdr:row>3669</xdr:row>
      <xdr:rowOff>25400</xdr:rowOff>
    </xdr:from>
    <xdr:to>
      <xdr:col>9</xdr:col>
      <xdr:colOff>885190</xdr:colOff>
      <xdr:row>3669</xdr:row>
      <xdr:rowOff>1209040</xdr:rowOff>
    </xdr:to>
    <xdr:pic>
      <xdr:nvPicPr>
        <xdr:cNvPr id="8056" name="Изображение 8055" descr="resizeПП-00261763"/>
        <xdr:cNvPicPr>
          <a:picLocks noChangeAspect="1"/>
        </xdr:cNvPicPr>
      </xdr:nvPicPr>
      <xdr:blipFill>
        <a:blip xmlns:r="http://schemas.openxmlformats.org/officeDocument/2006/relationships" r:embed="rId2762"/>
        <a:stretch>
          <a:fillRect/>
        </a:stretch>
      </xdr:blipFill>
      <xdr:spPr>
        <a:xfrm>
          <a:off x="7235825" y="3610724300"/>
          <a:ext cx="878840" cy="1183640"/>
        </a:xfrm>
        <a:prstGeom prst="rect">
          <a:avLst/>
        </a:prstGeom>
      </xdr:spPr>
    </xdr:pic>
    <xdr:clientData/>
  </xdr:twoCellAnchor>
  <xdr:twoCellAnchor>
    <xdr:from>
      <xdr:col>9</xdr:col>
      <xdr:colOff>6350</xdr:colOff>
      <xdr:row>3670</xdr:row>
      <xdr:rowOff>25400</xdr:rowOff>
    </xdr:from>
    <xdr:to>
      <xdr:col>9</xdr:col>
      <xdr:colOff>885190</xdr:colOff>
      <xdr:row>3670</xdr:row>
      <xdr:rowOff>1209040</xdr:rowOff>
    </xdr:to>
    <xdr:pic>
      <xdr:nvPicPr>
        <xdr:cNvPr id="8057" name="Изображение 8056" descr="resizeПП-00261762"/>
        <xdr:cNvPicPr>
          <a:picLocks noChangeAspect="1"/>
        </xdr:cNvPicPr>
      </xdr:nvPicPr>
      <xdr:blipFill>
        <a:blip xmlns:r="http://schemas.openxmlformats.org/officeDocument/2006/relationships" r:embed="rId2763"/>
        <a:stretch>
          <a:fillRect/>
        </a:stretch>
      </xdr:blipFill>
      <xdr:spPr>
        <a:xfrm>
          <a:off x="7235825" y="3611946675"/>
          <a:ext cx="878840" cy="1183640"/>
        </a:xfrm>
        <a:prstGeom prst="rect">
          <a:avLst/>
        </a:prstGeom>
      </xdr:spPr>
    </xdr:pic>
    <xdr:clientData/>
  </xdr:twoCellAnchor>
  <xdr:twoCellAnchor>
    <xdr:from>
      <xdr:col>9</xdr:col>
      <xdr:colOff>6350</xdr:colOff>
      <xdr:row>3671</xdr:row>
      <xdr:rowOff>25400</xdr:rowOff>
    </xdr:from>
    <xdr:to>
      <xdr:col>9</xdr:col>
      <xdr:colOff>885190</xdr:colOff>
      <xdr:row>3671</xdr:row>
      <xdr:rowOff>1209040</xdr:rowOff>
    </xdr:to>
    <xdr:pic>
      <xdr:nvPicPr>
        <xdr:cNvPr id="8058" name="Изображение 8057" descr="resizeПП-00261765"/>
        <xdr:cNvPicPr>
          <a:picLocks noChangeAspect="1"/>
        </xdr:cNvPicPr>
      </xdr:nvPicPr>
      <xdr:blipFill>
        <a:blip xmlns:r="http://schemas.openxmlformats.org/officeDocument/2006/relationships" r:embed="rId2764"/>
        <a:stretch>
          <a:fillRect/>
        </a:stretch>
      </xdr:blipFill>
      <xdr:spPr>
        <a:xfrm>
          <a:off x="7235825" y="3613169050"/>
          <a:ext cx="878840" cy="1183640"/>
        </a:xfrm>
        <a:prstGeom prst="rect">
          <a:avLst/>
        </a:prstGeom>
      </xdr:spPr>
    </xdr:pic>
    <xdr:clientData/>
  </xdr:twoCellAnchor>
  <xdr:twoCellAnchor>
    <xdr:from>
      <xdr:col>9</xdr:col>
      <xdr:colOff>6350</xdr:colOff>
      <xdr:row>3672</xdr:row>
      <xdr:rowOff>25400</xdr:rowOff>
    </xdr:from>
    <xdr:to>
      <xdr:col>9</xdr:col>
      <xdr:colOff>885190</xdr:colOff>
      <xdr:row>3672</xdr:row>
      <xdr:rowOff>1209040</xdr:rowOff>
    </xdr:to>
    <xdr:pic>
      <xdr:nvPicPr>
        <xdr:cNvPr id="8059" name="Изображение 8058" descr="resizeПП-00261764"/>
        <xdr:cNvPicPr>
          <a:picLocks noChangeAspect="1"/>
        </xdr:cNvPicPr>
      </xdr:nvPicPr>
      <xdr:blipFill>
        <a:blip xmlns:r="http://schemas.openxmlformats.org/officeDocument/2006/relationships" r:embed="rId2765"/>
        <a:stretch>
          <a:fillRect/>
        </a:stretch>
      </xdr:blipFill>
      <xdr:spPr>
        <a:xfrm>
          <a:off x="7235825" y="3614391425"/>
          <a:ext cx="878840" cy="1183640"/>
        </a:xfrm>
        <a:prstGeom prst="rect">
          <a:avLst/>
        </a:prstGeom>
      </xdr:spPr>
    </xdr:pic>
    <xdr:clientData/>
  </xdr:twoCellAnchor>
  <xdr:twoCellAnchor>
    <xdr:from>
      <xdr:col>9</xdr:col>
      <xdr:colOff>6350</xdr:colOff>
      <xdr:row>3673</xdr:row>
      <xdr:rowOff>25400</xdr:rowOff>
    </xdr:from>
    <xdr:to>
      <xdr:col>9</xdr:col>
      <xdr:colOff>885190</xdr:colOff>
      <xdr:row>3673</xdr:row>
      <xdr:rowOff>1209040</xdr:rowOff>
    </xdr:to>
    <xdr:pic>
      <xdr:nvPicPr>
        <xdr:cNvPr id="8060" name="Изображение 8059" descr="resizeПП-00261690"/>
        <xdr:cNvPicPr>
          <a:picLocks noChangeAspect="1"/>
        </xdr:cNvPicPr>
      </xdr:nvPicPr>
      <xdr:blipFill>
        <a:blip xmlns:r="http://schemas.openxmlformats.org/officeDocument/2006/relationships" r:embed="rId2766"/>
        <a:stretch>
          <a:fillRect/>
        </a:stretch>
      </xdr:blipFill>
      <xdr:spPr>
        <a:xfrm>
          <a:off x="7235825" y="3615613800"/>
          <a:ext cx="878840" cy="1183640"/>
        </a:xfrm>
        <a:prstGeom prst="rect">
          <a:avLst/>
        </a:prstGeom>
      </xdr:spPr>
    </xdr:pic>
    <xdr:clientData/>
  </xdr:twoCellAnchor>
  <xdr:twoCellAnchor>
    <xdr:from>
      <xdr:col>9</xdr:col>
      <xdr:colOff>6350</xdr:colOff>
      <xdr:row>3674</xdr:row>
      <xdr:rowOff>25400</xdr:rowOff>
    </xdr:from>
    <xdr:to>
      <xdr:col>9</xdr:col>
      <xdr:colOff>885190</xdr:colOff>
      <xdr:row>3674</xdr:row>
      <xdr:rowOff>1209040</xdr:rowOff>
    </xdr:to>
    <xdr:pic>
      <xdr:nvPicPr>
        <xdr:cNvPr id="8061" name="Изображение 8060" descr="resizeПП-00261691"/>
        <xdr:cNvPicPr>
          <a:picLocks noChangeAspect="1"/>
        </xdr:cNvPicPr>
      </xdr:nvPicPr>
      <xdr:blipFill>
        <a:blip xmlns:r="http://schemas.openxmlformats.org/officeDocument/2006/relationships" r:embed="rId2767"/>
        <a:stretch>
          <a:fillRect/>
        </a:stretch>
      </xdr:blipFill>
      <xdr:spPr>
        <a:xfrm>
          <a:off x="7235825" y="3616836175"/>
          <a:ext cx="878840" cy="1183640"/>
        </a:xfrm>
        <a:prstGeom prst="rect">
          <a:avLst/>
        </a:prstGeom>
      </xdr:spPr>
    </xdr:pic>
    <xdr:clientData/>
  </xdr:twoCellAnchor>
  <xdr:twoCellAnchor>
    <xdr:from>
      <xdr:col>9</xdr:col>
      <xdr:colOff>6350</xdr:colOff>
      <xdr:row>3675</xdr:row>
      <xdr:rowOff>25400</xdr:rowOff>
    </xdr:from>
    <xdr:to>
      <xdr:col>9</xdr:col>
      <xdr:colOff>885190</xdr:colOff>
      <xdr:row>3675</xdr:row>
      <xdr:rowOff>1209040</xdr:rowOff>
    </xdr:to>
    <xdr:pic>
      <xdr:nvPicPr>
        <xdr:cNvPr id="8062" name="Изображение 8061" descr="resizeПП-00261696"/>
        <xdr:cNvPicPr>
          <a:picLocks noChangeAspect="1"/>
        </xdr:cNvPicPr>
      </xdr:nvPicPr>
      <xdr:blipFill>
        <a:blip xmlns:r="http://schemas.openxmlformats.org/officeDocument/2006/relationships" r:embed="rId2768"/>
        <a:stretch>
          <a:fillRect/>
        </a:stretch>
      </xdr:blipFill>
      <xdr:spPr>
        <a:xfrm>
          <a:off x="7235825" y="3618058550"/>
          <a:ext cx="878840" cy="1183640"/>
        </a:xfrm>
        <a:prstGeom prst="rect">
          <a:avLst/>
        </a:prstGeom>
      </xdr:spPr>
    </xdr:pic>
    <xdr:clientData/>
  </xdr:twoCellAnchor>
  <xdr:twoCellAnchor>
    <xdr:from>
      <xdr:col>9</xdr:col>
      <xdr:colOff>6350</xdr:colOff>
      <xdr:row>3676</xdr:row>
      <xdr:rowOff>25400</xdr:rowOff>
    </xdr:from>
    <xdr:to>
      <xdr:col>9</xdr:col>
      <xdr:colOff>885190</xdr:colOff>
      <xdr:row>3676</xdr:row>
      <xdr:rowOff>1209040</xdr:rowOff>
    </xdr:to>
    <xdr:pic>
      <xdr:nvPicPr>
        <xdr:cNvPr id="8063" name="Изображение 8062" descr="resizeПП-00261692"/>
        <xdr:cNvPicPr>
          <a:picLocks noChangeAspect="1"/>
        </xdr:cNvPicPr>
      </xdr:nvPicPr>
      <xdr:blipFill>
        <a:blip xmlns:r="http://schemas.openxmlformats.org/officeDocument/2006/relationships" r:embed="rId2769"/>
        <a:stretch>
          <a:fillRect/>
        </a:stretch>
      </xdr:blipFill>
      <xdr:spPr>
        <a:xfrm>
          <a:off x="7235825" y="3619280925"/>
          <a:ext cx="878840" cy="1183640"/>
        </a:xfrm>
        <a:prstGeom prst="rect">
          <a:avLst/>
        </a:prstGeom>
      </xdr:spPr>
    </xdr:pic>
    <xdr:clientData/>
  </xdr:twoCellAnchor>
  <xdr:twoCellAnchor>
    <xdr:from>
      <xdr:col>9</xdr:col>
      <xdr:colOff>6350</xdr:colOff>
      <xdr:row>3677</xdr:row>
      <xdr:rowOff>25400</xdr:rowOff>
    </xdr:from>
    <xdr:to>
      <xdr:col>9</xdr:col>
      <xdr:colOff>885190</xdr:colOff>
      <xdr:row>3677</xdr:row>
      <xdr:rowOff>1209040</xdr:rowOff>
    </xdr:to>
    <xdr:pic>
      <xdr:nvPicPr>
        <xdr:cNvPr id="8064" name="Изображение 8063" descr="resizeПП-00261688"/>
        <xdr:cNvPicPr>
          <a:picLocks noChangeAspect="1"/>
        </xdr:cNvPicPr>
      </xdr:nvPicPr>
      <xdr:blipFill>
        <a:blip xmlns:r="http://schemas.openxmlformats.org/officeDocument/2006/relationships" r:embed="rId2770"/>
        <a:stretch>
          <a:fillRect/>
        </a:stretch>
      </xdr:blipFill>
      <xdr:spPr>
        <a:xfrm>
          <a:off x="7235825" y="3620503300"/>
          <a:ext cx="878840" cy="1183640"/>
        </a:xfrm>
        <a:prstGeom prst="rect">
          <a:avLst/>
        </a:prstGeom>
      </xdr:spPr>
    </xdr:pic>
    <xdr:clientData/>
  </xdr:twoCellAnchor>
  <xdr:twoCellAnchor>
    <xdr:from>
      <xdr:col>9</xdr:col>
      <xdr:colOff>6350</xdr:colOff>
      <xdr:row>3678</xdr:row>
      <xdr:rowOff>25400</xdr:rowOff>
    </xdr:from>
    <xdr:to>
      <xdr:col>9</xdr:col>
      <xdr:colOff>885190</xdr:colOff>
      <xdr:row>3678</xdr:row>
      <xdr:rowOff>1209040</xdr:rowOff>
    </xdr:to>
    <xdr:pic>
      <xdr:nvPicPr>
        <xdr:cNvPr id="8065" name="Изображение 8064" descr="resizeПП-00261695"/>
        <xdr:cNvPicPr>
          <a:picLocks noChangeAspect="1"/>
        </xdr:cNvPicPr>
      </xdr:nvPicPr>
      <xdr:blipFill>
        <a:blip xmlns:r="http://schemas.openxmlformats.org/officeDocument/2006/relationships" r:embed="rId2771"/>
        <a:stretch>
          <a:fillRect/>
        </a:stretch>
      </xdr:blipFill>
      <xdr:spPr>
        <a:xfrm>
          <a:off x="7235825" y="3621725675"/>
          <a:ext cx="878840" cy="1183640"/>
        </a:xfrm>
        <a:prstGeom prst="rect">
          <a:avLst/>
        </a:prstGeom>
      </xdr:spPr>
    </xdr:pic>
    <xdr:clientData/>
  </xdr:twoCellAnchor>
  <xdr:twoCellAnchor>
    <xdr:from>
      <xdr:col>9</xdr:col>
      <xdr:colOff>6350</xdr:colOff>
      <xdr:row>3679</xdr:row>
      <xdr:rowOff>25400</xdr:rowOff>
    </xdr:from>
    <xdr:to>
      <xdr:col>9</xdr:col>
      <xdr:colOff>885190</xdr:colOff>
      <xdr:row>3679</xdr:row>
      <xdr:rowOff>1209040</xdr:rowOff>
    </xdr:to>
    <xdr:pic>
      <xdr:nvPicPr>
        <xdr:cNvPr id="8066" name="Изображение 8065" descr="resizeПП-00236093"/>
        <xdr:cNvPicPr>
          <a:picLocks noChangeAspect="1"/>
        </xdr:cNvPicPr>
      </xdr:nvPicPr>
      <xdr:blipFill>
        <a:blip xmlns:r="http://schemas.openxmlformats.org/officeDocument/2006/relationships" r:embed="rId2772"/>
        <a:stretch>
          <a:fillRect/>
        </a:stretch>
      </xdr:blipFill>
      <xdr:spPr>
        <a:xfrm>
          <a:off x="7235825" y="3622948050"/>
          <a:ext cx="878840" cy="1183640"/>
        </a:xfrm>
        <a:prstGeom prst="rect">
          <a:avLst/>
        </a:prstGeom>
      </xdr:spPr>
    </xdr:pic>
    <xdr:clientData/>
  </xdr:twoCellAnchor>
  <xdr:twoCellAnchor>
    <xdr:from>
      <xdr:col>9</xdr:col>
      <xdr:colOff>6350</xdr:colOff>
      <xdr:row>3680</xdr:row>
      <xdr:rowOff>25400</xdr:rowOff>
    </xdr:from>
    <xdr:to>
      <xdr:col>9</xdr:col>
      <xdr:colOff>885190</xdr:colOff>
      <xdr:row>3680</xdr:row>
      <xdr:rowOff>1209040</xdr:rowOff>
    </xdr:to>
    <xdr:pic>
      <xdr:nvPicPr>
        <xdr:cNvPr id="8067" name="Изображение 8066" descr="resizeПП-00236085"/>
        <xdr:cNvPicPr>
          <a:picLocks noChangeAspect="1"/>
        </xdr:cNvPicPr>
      </xdr:nvPicPr>
      <xdr:blipFill>
        <a:blip xmlns:r="http://schemas.openxmlformats.org/officeDocument/2006/relationships" r:embed="rId2773"/>
        <a:stretch>
          <a:fillRect/>
        </a:stretch>
      </xdr:blipFill>
      <xdr:spPr>
        <a:xfrm>
          <a:off x="7235825" y="3624170425"/>
          <a:ext cx="878840" cy="1183640"/>
        </a:xfrm>
        <a:prstGeom prst="rect">
          <a:avLst/>
        </a:prstGeom>
      </xdr:spPr>
    </xdr:pic>
    <xdr:clientData/>
  </xdr:twoCellAnchor>
  <xdr:twoCellAnchor>
    <xdr:from>
      <xdr:col>9</xdr:col>
      <xdr:colOff>6350</xdr:colOff>
      <xdr:row>3681</xdr:row>
      <xdr:rowOff>25400</xdr:rowOff>
    </xdr:from>
    <xdr:to>
      <xdr:col>9</xdr:col>
      <xdr:colOff>885190</xdr:colOff>
      <xdr:row>3681</xdr:row>
      <xdr:rowOff>1209040</xdr:rowOff>
    </xdr:to>
    <xdr:pic>
      <xdr:nvPicPr>
        <xdr:cNvPr id="8068" name="Изображение 8067" descr="resizeПП-00236091"/>
        <xdr:cNvPicPr>
          <a:picLocks noChangeAspect="1"/>
        </xdr:cNvPicPr>
      </xdr:nvPicPr>
      <xdr:blipFill>
        <a:blip xmlns:r="http://schemas.openxmlformats.org/officeDocument/2006/relationships" r:embed="rId2774"/>
        <a:stretch>
          <a:fillRect/>
        </a:stretch>
      </xdr:blipFill>
      <xdr:spPr>
        <a:xfrm>
          <a:off x="7235825" y="3625392800"/>
          <a:ext cx="878840" cy="1183640"/>
        </a:xfrm>
        <a:prstGeom prst="rect">
          <a:avLst/>
        </a:prstGeom>
      </xdr:spPr>
    </xdr:pic>
    <xdr:clientData/>
  </xdr:twoCellAnchor>
  <xdr:twoCellAnchor>
    <xdr:from>
      <xdr:col>9</xdr:col>
      <xdr:colOff>6350</xdr:colOff>
      <xdr:row>3682</xdr:row>
      <xdr:rowOff>25400</xdr:rowOff>
    </xdr:from>
    <xdr:to>
      <xdr:col>9</xdr:col>
      <xdr:colOff>885190</xdr:colOff>
      <xdr:row>3682</xdr:row>
      <xdr:rowOff>1209040</xdr:rowOff>
    </xdr:to>
    <xdr:pic>
      <xdr:nvPicPr>
        <xdr:cNvPr id="8069" name="Изображение 8068" descr="resizeПП-00236092"/>
        <xdr:cNvPicPr>
          <a:picLocks noChangeAspect="1"/>
        </xdr:cNvPicPr>
      </xdr:nvPicPr>
      <xdr:blipFill>
        <a:blip xmlns:r="http://schemas.openxmlformats.org/officeDocument/2006/relationships" r:embed="rId2775"/>
        <a:stretch>
          <a:fillRect/>
        </a:stretch>
      </xdr:blipFill>
      <xdr:spPr>
        <a:xfrm>
          <a:off x="7235825" y="3626615175"/>
          <a:ext cx="878840" cy="1183640"/>
        </a:xfrm>
        <a:prstGeom prst="rect">
          <a:avLst/>
        </a:prstGeom>
      </xdr:spPr>
    </xdr:pic>
    <xdr:clientData/>
  </xdr:twoCellAnchor>
  <xdr:twoCellAnchor>
    <xdr:from>
      <xdr:col>9</xdr:col>
      <xdr:colOff>6350</xdr:colOff>
      <xdr:row>3683</xdr:row>
      <xdr:rowOff>25400</xdr:rowOff>
    </xdr:from>
    <xdr:to>
      <xdr:col>9</xdr:col>
      <xdr:colOff>885190</xdr:colOff>
      <xdr:row>3683</xdr:row>
      <xdr:rowOff>1209040</xdr:rowOff>
    </xdr:to>
    <xdr:pic>
      <xdr:nvPicPr>
        <xdr:cNvPr id="8070" name="Изображение 8069" descr="resizeПП-00252749"/>
        <xdr:cNvPicPr>
          <a:picLocks noChangeAspect="1"/>
        </xdr:cNvPicPr>
      </xdr:nvPicPr>
      <xdr:blipFill>
        <a:blip xmlns:r="http://schemas.openxmlformats.org/officeDocument/2006/relationships" r:embed="rId2776"/>
        <a:stretch>
          <a:fillRect/>
        </a:stretch>
      </xdr:blipFill>
      <xdr:spPr>
        <a:xfrm>
          <a:off x="7235825" y="3627837550"/>
          <a:ext cx="878840" cy="1183640"/>
        </a:xfrm>
        <a:prstGeom prst="rect">
          <a:avLst/>
        </a:prstGeom>
      </xdr:spPr>
    </xdr:pic>
    <xdr:clientData/>
  </xdr:twoCellAnchor>
  <xdr:twoCellAnchor>
    <xdr:from>
      <xdr:col>9</xdr:col>
      <xdr:colOff>6350</xdr:colOff>
      <xdr:row>3684</xdr:row>
      <xdr:rowOff>25400</xdr:rowOff>
    </xdr:from>
    <xdr:to>
      <xdr:col>9</xdr:col>
      <xdr:colOff>885190</xdr:colOff>
      <xdr:row>3684</xdr:row>
      <xdr:rowOff>1209040</xdr:rowOff>
    </xdr:to>
    <xdr:pic>
      <xdr:nvPicPr>
        <xdr:cNvPr id="8071" name="Изображение 8070" descr="resizeПП-00252744"/>
        <xdr:cNvPicPr>
          <a:picLocks noChangeAspect="1"/>
        </xdr:cNvPicPr>
      </xdr:nvPicPr>
      <xdr:blipFill>
        <a:blip xmlns:r="http://schemas.openxmlformats.org/officeDocument/2006/relationships" r:embed="rId2777"/>
        <a:stretch>
          <a:fillRect/>
        </a:stretch>
      </xdr:blipFill>
      <xdr:spPr>
        <a:xfrm>
          <a:off x="7235825" y="3629059925"/>
          <a:ext cx="878840" cy="1183640"/>
        </a:xfrm>
        <a:prstGeom prst="rect">
          <a:avLst/>
        </a:prstGeom>
      </xdr:spPr>
    </xdr:pic>
    <xdr:clientData/>
  </xdr:twoCellAnchor>
  <xdr:twoCellAnchor>
    <xdr:from>
      <xdr:col>9</xdr:col>
      <xdr:colOff>6350</xdr:colOff>
      <xdr:row>3685</xdr:row>
      <xdr:rowOff>25400</xdr:rowOff>
    </xdr:from>
    <xdr:to>
      <xdr:col>9</xdr:col>
      <xdr:colOff>885190</xdr:colOff>
      <xdr:row>3685</xdr:row>
      <xdr:rowOff>1209040</xdr:rowOff>
    </xdr:to>
    <xdr:pic>
      <xdr:nvPicPr>
        <xdr:cNvPr id="8072" name="Изображение 8071" descr="resizeПП-00252745"/>
        <xdr:cNvPicPr>
          <a:picLocks noChangeAspect="1"/>
        </xdr:cNvPicPr>
      </xdr:nvPicPr>
      <xdr:blipFill>
        <a:blip xmlns:r="http://schemas.openxmlformats.org/officeDocument/2006/relationships" r:embed="rId2778"/>
        <a:stretch>
          <a:fillRect/>
        </a:stretch>
      </xdr:blipFill>
      <xdr:spPr>
        <a:xfrm>
          <a:off x="7235825" y="3630282300"/>
          <a:ext cx="878840" cy="1183640"/>
        </a:xfrm>
        <a:prstGeom prst="rect">
          <a:avLst/>
        </a:prstGeom>
      </xdr:spPr>
    </xdr:pic>
    <xdr:clientData/>
  </xdr:twoCellAnchor>
  <xdr:twoCellAnchor>
    <xdr:from>
      <xdr:col>9</xdr:col>
      <xdr:colOff>6350</xdr:colOff>
      <xdr:row>3686</xdr:row>
      <xdr:rowOff>25400</xdr:rowOff>
    </xdr:from>
    <xdr:to>
      <xdr:col>9</xdr:col>
      <xdr:colOff>885190</xdr:colOff>
      <xdr:row>3686</xdr:row>
      <xdr:rowOff>1209040</xdr:rowOff>
    </xdr:to>
    <xdr:pic>
      <xdr:nvPicPr>
        <xdr:cNvPr id="8073" name="Изображение 8072" descr="resizeПП-00252748"/>
        <xdr:cNvPicPr>
          <a:picLocks noChangeAspect="1"/>
        </xdr:cNvPicPr>
      </xdr:nvPicPr>
      <xdr:blipFill>
        <a:blip xmlns:r="http://schemas.openxmlformats.org/officeDocument/2006/relationships" r:embed="rId2779"/>
        <a:stretch>
          <a:fillRect/>
        </a:stretch>
      </xdr:blipFill>
      <xdr:spPr>
        <a:xfrm>
          <a:off x="7235825" y="3631504675"/>
          <a:ext cx="878840" cy="1183640"/>
        </a:xfrm>
        <a:prstGeom prst="rect">
          <a:avLst/>
        </a:prstGeom>
      </xdr:spPr>
    </xdr:pic>
    <xdr:clientData/>
  </xdr:twoCellAnchor>
  <xdr:twoCellAnchor>
    <xdr:from>
      <xdr:col>9</xdr:col>
      <xdr:colOff>6350</xdr:colOff>
      <xdr:row>3687</xdr:row>
      <xdr:rowOff>25400</xdr:rowOff>
    </xdr:from>
    <xdr:to>
      <xdr:col>9</xdr:col>
      <xdr:colOff>885190</xdr:colOff>
      <xdr:row>3687</xdr:row>
      <xdr:rowOff>1209040</xdr:rowOff>
    </xdr:to>
    <xdr:pic>
      <xdr:nvPicPr>
        <xdr:cNvPr id="8074" name="Изображение 8073" descr="resizeПП-00252746"/>
        <xdr:cNvPicPr>
          <a:picLocks noChangeAspect="1"/>
        </xdr:cNvPicPr>
      </xdr:nvPicPr>
      <xdr:blipFill>
        <a:blip xmlns:r="http://schemas.openxmlformats.org/officeDocument/2006/relationships" r:embed="rId2780"/>
        <a:stretch>
          <a:fillRect/>
        </a:stretch>
      </xdr:blipFill>
      <xdr:spPr>
        <a:xfrm>
          <a:off x="7235825" y="3632727050"/>
          <a:ext cx="878840" cy="1183640"/>
        </a:xfrm>
        <a:prstGeom prst="rect">
          <a:avLst/>
        </a:prstGeom>
      </xdr:spPr>
    </xdr:pic>
    <xdr:clientData/>
  </xdr:twoCellAnchor>
  <xdr:twoCellAnchor>
    <xdr:from>
      <xdr:col>9</xdr:col>
      <xdr:colOff>6350</xdr:colOff>
      <xdr:row>3688</xdr:row>
      <xdr:rowOff>25400</xdr:rowOff>
    </xdr:from>
    <xdr:to>
      <xdr:col>9</xdr:col>
      <xdr:colOff>885190</xdr:colOff>
      <xdr:row>3688</xdr:row>
      <xdr:rowOff>1209040</xdr:rowOff>
    </xdr:to>
    <xdr:pic>
      <xdr:nvPicPr>
        <xdr:cNvPr id="8075" name="Изображение 8074" descr="resizeПП-00252747"/>
        <xdr:cNvPicPr>
          <a:picLocks noChangeAspect="1"/>
        </xdr:cNvPicPr>
      </xdr:nvPicPr>
      <xdr:blipFill>
        <a:blip xmlns:r="http://schemas.openxmlformats.org/officeDocument/2006/relationships" r:embed="rId2781"/>
        <a:stretch>
          <a:fillRect/>
        </a:stretch>
      </xdr:blipFill>
      <xdr:spPr>
        <a:xfrm>
          <a:off x="7235825" y="3633949425"/>
          <a:ext cx="878840" cy="1183640"/>
        </a:xfrm>
        <a:prstGeom prst="rect">
          <a:avLst/>
        </a:prstGeom>
      </xdr:spPr>
    </xdr:pic>
    <xdr:clientData/>
  </xdr:twoCellAnchor>
  <xdr:twoCellAnchor>
    <xdr:from>
      <xdr:col>9</xdr:col>
      <xdr:colOff>6350</xdr:colOff>
      <xdr:row>3689</xdr:row>
      <xdr:rowOff>25400</xdr:rowOff>
    </xdr:from>
    <xdr:to>
      <xdr:col>9</xdr:col>
      <xdr:colOff>885190</xdr:colOff>
      <xdr:row>3689</xdr:row>
      <xdr:rowOff>1209040</xdr:rowOff>
    </xdr:to>
    <xdr:pic>
      <xdr:nvPicPr>
        <xdr:cNvPr id="8076" name="Изображение 8075" descr="resizeПП-00252750"/>
        <xdr:cNvPicPr>
          <a:picLocks noChangeAspect="1"/>
        </xdr:cNvPicPr>
      </xdr:nvPicPr>
      <xdr:blipFill>
        <a:blip xmlns:r="http://schemas.openxmlformats.org/officeDocument/2006/relationships" r:embed="rId2782"/>
        <a:stretch>
          <a:fillRect/>
        </a:stretch>
      </xdr:blipFill>
      <xdr:spPr>
        <a:xfrm>
          <a:off x="7235825" y="3635171800"/>
          <a:ext cx="878840" cy="1183640"/>
        </a:xfrm>
        <a:prstGeom prst="rect">
          <a:avLst/>
        </a:prstGeom>
      </xdr:spPr>
    </xdr:pic>
    <xdr:clientData/>
  </xdr:twoCellAnchor>
  <xdr:twoCellAnchor>
    <xdr:from>
      <xdr:col>9</xdr:col>
      <xdr:colOff>6350</xdr:colOff>
      <xdr:row>3690</xdr:row>
      <xdr:rowOff>25400</xdr:rowOff>
    </xdr:from>
    <xdr:to>
      <xdr:col>9</xdr:col>
      <xdr:colOff>885190</xdr:colOff>
      <xdr:row>3690</xdr:row>
      <xdr:rowOff>1209040</xdr:rowOff>
    </xdr:to>
    <xdr:pic>
      <xdr:nvPicPr>
        <xdr:cNvPr id="8077" name="Изображение 8076" descr="resizeПП-00229620"/>
        <xdr:cNvPicPr>
          <a:picLocks noChangeAspect="1"/>
        </xdr:cNvPicPr>
      </xdr:nvPicPr>
      <xdr:blipFill>
        <a:blip xmlns:r="http://schemas.openxmlformats.org/officeDocument/2006/relationships" r:embed="rId2783"/>
        <a:stretch>
          <a:fillRect/>
        </a:stretch>
      </xdr:blipFill>
      <xdr:spPr>
        <a:xfrm>
          <a:off x="7235825" y="3636394175"/>
          <a:ext cx="878840" cy="1183640"/>
        </a:xfrm>
        <a:prstGeom prst="rect">
          <a:avLst/>
        </a:prstGeom>
      </xdr:spPr>
    </xdr:pic>
    <xdr:clientData/>
  </xdr:twoCellAnchor>
  <xdr:twoCellAnchor>
    <xdr:from>
      <xdr:col>9</xdr:col>
      <xdr:colOff>6350</xdr:colOff>
      <xdr:row>3691</xdr:row>
      <xdr:rowOff>25400</xdr:rowOff>
    </xdr:from>
    <xdr:to>
      <xdr:col>9</xdr:col>
      <xdr:colOff>885190</xdr:colOff>
      <xdr:row>3691</xdr:row>
      <xdr:rowOff>1209040</xdr:rowOff>
    </xdr:to>
    <xdr:pic>
      <xdr:nvPicPr>
        <xdr:cNvPr id="8078" name="Изображение 8077" descr="resizeПП-00234003"/>
        <xdr:cNvPicPr>
          <a:picLocks noChangeAspect="1"/>
        </xdr:cNvPicPr>
      </xdr:nvPicPr>
      <xdr:blipFill>
        <a:blip xmlns:r="http://schemas.openxmlformats.org/officeDocument/2006/relationships" r:embed="rId2784"/>
        <a:stretch>
          <a:fillRect/>
        </a:stretch>
      </xdr:blipFill>
      <xdr:spPr>
        <a:xfrm>
          <a:off x="7235825" y="3637616550"/>
          <a:ext cx="878840" cy="1183640"/>
        </a:xfrm>
        <a:prstGeom prst="rect">
          <a:avLst/>
        </a:prstGeom>
      </xdr:spPr>
    </xdr:pic>
    <xdr:clientData/>
  </xdr:twoCellAnchor>
  <xdr:twoCellAnchor>
    <xdr:from>
      <xdr:col>9</xdr:col>
      <xdr:colOff>6350</xdr:colOff>
      <xdr:row>3692</xdr:row>
      <xdr:rowOff>25400</xdr:rowOff>
    </xdr:from>
    <xdr:to>
      <xdr:col>9</xdr:col>
      <xdr:colOff>885190</xdr:colOff>
      <xdr:row>3692</xdr:row>
      <xdr:rowOff>1209040</xdr:rowOff>
    </xdr:to>
    <xdr:pic>
      <xdr:nvPicPr>
        <xdr:cNvPr id="8079" name="Изображение 8078" descr="resizeПП-00229625"/>
        <xdr:cNvPicPr>
          <a:picLocks noChangeAspect="1"/>
        </xdr:cNvPicPr>
      </xdr:nvPicPr>
      <xdr:blipFill>
        <a:blip xmlns:r="http://schemas.openxmlformats.org/officeDocument/2006/relationships" r:embed="rId2785"/>
        <a:stretch>
          <a:fillRect/>
        </a:stretch>
      </xdr:blipFill>
      <xdr:spPr>
        <a:xfrm>
          <a:off x="7235825" y="3638838925"/>
          <a:ext cx="878840" cy="1183640"/>
        </a:xfrm>
        <a:prstGeom prst="rect">
          <a:avLst/>
        </a:prstGeom>
      </xdr:spPr>
    </xdr:pic>
    <xdr:clientData/>
  </xdr:twoCellAnchor>
  <xdr:twoCellAnchor>
    <xdr:from>
      <xdr:col>9</xdr:col>
      <xdr:colOff>6350</xdr:colOff>
      <xdr:row>3694</xdr:row>
      <xdr:rowOff>25400</xdr:rowOff>
    </xdr:from>
    <xdr:to>
      <xdr:col>9</xdr:col>
      <xdr:colOff>885190</xdr:colOff>
      <xdr:row>3694</xdr:row>
      <xdr:rowOff>1209040</xdr:rowOff>
    </xdr:to>
    <xdr:pic>
      <xdr:nvPicPr>
        <xdr:cNvPr id="8080" name="Изображение 8079" descr="resizeПП-00261800"/>
        <xdr:cNvPicPr>
          <a:picLocks noChangeAspect="1"/>
        </xdr:cNvPicPr>
      </xdr:nvPicPr>
      <xdr:blipFill>
        <a:blip xmlns:r="http://schemas.openxmlformats.org/officeDocument/2006/relationships" r:embed="rId2786"/>
        <a:stretch>
          <a:fillRect/>
        </a:stretch>
      </xdr:blipFill>
      <xdr:spPr>
        <a:xfrm>
          <a:off x="7235825" y="3640213700"/>
          <a:ext cx="878840" cy="1183640"/>
        </a:xfrm>
        <a:prstGeom prst="rect">
          <a:avLst/>
        </a:prstGeom>
      </xdr:spPr>
    </xdr:pic>
    <xdr:clientData/>
  </xdr:twoCellAnchor>
  <xdr:twoCellAnchor>
    <xdr:from>
      <xdr:col>9</xdr:col>
      <xdr:colOff>6350</xdr:colOff>
      <xdr:row>3695</xdr:row>
      <xdr:rowOff>25400</xdr:rowOff>
    </xdr:from>
    <xdr:to>
      <xdr:col>9</xdr:col>
      <xdr:colOff>885190</xdr:colOff>
      <xdr:row>3695</xdr:row>
      <xdr:rowOff>1209040</xdr:rowOff>
    </xdr:to>
    <xdr:pic>
      <xdr:nvPicPr>
        <xdr:cNvPr id="8081" name="Изображение 8080" descr="resizeПП-00261801"/>
        <xdr:cNvPicPr>
          <a:picLocks noChangeAspect="1"/>
        </xdr:cNvPicPr>
      </xdr:nvPicPr>
      <xdr:blipFill>
        <a:blip xmlns:r="http://schemas.openxmlformats.org/officeDocument/2006/relationships" r:embed="rId2787"/>
        <a:stretch>
          <a:fillRect/>
        </a:stretch>
      </xdr:blipFill>
      <xdr:spPr>
        <a:xfrm>
          <a:off x="7235825" y="3641436075"/>
          <a:ext cx="878840" cy="1183640"/>
        </a:xfrm>
        <a:prstGeom prst="rect">
          <a:avLst/>
        </a:prstGeom>
      </xdr:spPr>
    </xdr:pic>
    <xdr:clientData/>
  </xdr:twoCellAnchor>
  <xdr:twoCellAnchor>
    <xdr:from>
      <xdr:col>9</xdr:col>
      <xdr:colOff>6350</xdr:colOff>
      <xdr:row>3696</xdr:row>
      <xdr:rowOff>25400</xdr:rowOff>
    </xdr:from>
    <xdr:to>
      <xdr:col>9</xdr:col>
      <xdr:colOff>885190</xdr:colOff>
      <xdr:row>3696</xdr:row>
      <xdr:rowOff>1209040</xdr:rowOff>
    </xdr:to>
    <xdr:pic>
      <xdr:nvPicPr>
        <xdr:cNvPr id="8082" name="Изображение 8081" descr="resizeПП-00261802"/>
        <xdr:cNvPicPr>
          <a:picLocks noChangeAspect="1"/>
        </xdr:cNvPicPr>
      </xdr:nvPicPr>
      <xdr:blipFill>
        <a:blip xmlns:r="http://schemas.openxmlformats.org/officeDocument/2006/relationships" r:embed="rId2788"/>
        <a:stretch>
          <a:fillRect/>
        </a:stretch>
      </xdr:blipFill>
      <xdr:spPr>
        <a:xfrm>
          <a:off x="7235825" y="3642658450"/>
          <a:ext cx="878840" cy="1183640"/>
        </a:xfrm>
        <a:prstGeom prst="rect">
          <a:avLst/>
        </a:prstGeom>
      </xdr:spPr>
    </xdr:pic>
    <xdr:clientData/>
  </xdr:twoCellAnchor>
  <xdr:twoCellAnchor>
    <xdr:from>
      <xdr:col>9</xdr:col>
      <xdr:colOff>6350</xdr:colOff>
      <xdr:row>3699</xdr:row>
      <xdr:rowOff>25400</xdr:rowOff>
    </xdr:from>
    <xdr:to>
      <xdr:col>9</xdr:col>
      <xdr:colOff>885190</xdr:colOff>
      <xdr:row>3699</xdr:row>
      <xdr:rowOff>1209040</xdr:rowOff>
    </xdr:to>
    <xdr:pic>
      <xdr:nvPicPr>
        <xdr:cNvPr id="8083" name="Изображение 8082" descr="resizeПП-00236215"/>
        <xdr:cNvPicPr>
          <a:picLocks noChangeAspect="1"/>
        </xdr:cNvPicPr>
      </xdr:nvPicPr>
      <xdr:blipFill>
        <a:blip xmlns:r="http://schemas.openxmlformats.org/officeDocument/2006/relationships" r:embed="rId2789"/>
        <a:stretch>
          <a:fillRect/>
        </a:stretch>
      </xdr:blipFill>
      <xdr:spPr>
        <a:xfrm>
          <a:off x="7235825" y="3644185625"/>
          <a:ext cx="878840" cy="1183640"/>
        </a:xfrm>
        <a:prstGeom prst="rect">
          <a:avLst/>
        </a:prstGeom>
      </xdr:spPr>
    </xdr:pic>
    <xdr:clientData/>
  </xdr:twoCellAnchor>
  <xdr:twoCellAnchor>
    <xdr:from>
      <xdr:col>9</xdr:col>
      <xdr:colOff>6350</xdr:colOff>
      <xdr:row>3700</xdr:row>
      <xdr:rowOff>25400</xdr:rowOff>
    </xdr:from>
    <xdr:to>
      <xdr:col>9</xdr:col>
      <xdr:colOff>885190</xdr:colOff>
      <xdr:row>3700</xdr:row>
      <xdr:rowOff>1209040</xdr:rowOff>
    </xdr:to>
    <xdr:pic>
      <xdr:nvPicPr>
        <xdr:cNvPr id="8084" name="Изображение 8083" descr="resizeПП-00236216"/>
        <xdr:cNvPicPr>
          <a:picLocks noChangeAspect="1"/>
        </xdr:cNvPicPr>
      </xdr:nvPicPr>
      <xdr:blipFill>
        <a:blip xmlns:r="http://schemas.openxmlformats.org/officeDocument/2006/relationships" r:embed="rId2790"/>
        <a:stretch>
          <a:fillRect/>
        </a:stretch>
      </xdr:blipFill>
      <xdr:spPr>
        <a:xfrm>
          <a:off x="7235825" y="3645408000"/>
          <a:ext cx="878840" cy="1183640"/>
        </a:xfrm>
        <a:prstGeom prst="rect">
          <a:avLst/>
        </a:prstGeom>
      </xdr:spPr>
    </xdr:pic>
    <xdr:clientData/>
  </xdr:twoCellAnchor>
  <xdr:twoCellAnchor>
    <xdr:from>
      <xdr:col>9</xdr:col>
      <xdr:colOff>6350</xdr:colOff>
      <xdr:row>3703</xdr:row>
      <xdr:rowOff>25400</xdr:rowOff>
    </xdr:from>
    <xdr:to>
      <xdr:col>9</xdr:col>
      <xdr:colOff>885190</xdr:colOff>
      <xdr:row>3703</xdr:row>
      <xdr:rowOff>1209040</xdr:rowOff>
    </xdr:to>
    <xdr:pic>
      <xdr:nvPicPr>
        <xdr:cNvPr id="8085" name="Изображение 8084" descr="resizeПП-00261807"/>
        <xdr:cNvPicPr>
          <a:picLocks noChangeAspect="1"/>
        </xdr:cNvPicPr>
      </xdr:nvPicPr>
      <xdr:blipFill>
        <a:blip xmlns:r="http://schemas.openxmlformats.org/officeDocument/2006/relationships" r:embed="rId2791"/>
        <a:stretch>
          <a:fillRect/>
        </a:stretch>
      </xdr:blipFill>
      <xdr:spPr>
        <a:xfrm>
          <a:off x="7235825" y="3646935175"/>
          <a:ext cx="878840" cy="1183640"/>
        </a:xfrm>
        <a:prstGeom prst="rect">
          <a:avLst/>
        </a:prstGeom>
      </xdr:spPr>
    </xdr:pic>
    <xdr:clientData/>
  </xdr:twoCellAnchor>
  <xdr:twoCellAnchor>
    <xdr:from>
      <xdr:col>9</xdr:col>
      <xdr:colOff>6350</xdr:colOff>
      <xdr:row>3705</xdr:row>
      <xdr:rowOff>25400</xdr:rowOff>
    </xdr:from>
    <xdr:to>
      <xdr:col>9</xdr:col>
      <xdr:colOff>885190</xdr:colOff>
      <xdr:row>3705</xdr:row>
      <xdr:rowOff>1209040</xdr:rowOff>
    </xdr:to>
    <xdr:pic>
      <xdr:nvPicPr>
        <xdr:cNvPr id="8086" name="Изображение 8085" descr="resizeПП-00237636"/>
        <xdr:cNvPicPr>
          <a:picLocks noChangeAspect="1"/>
        </xdr:cNvPicPr>
      </xdr:nvPicPr>
      <xdr:blipFill>
        <a:blip xmlns:r="http://schemas.openxmlformats.org/officeDocument/2006/relationships" r:embed="rId2792"/>
        <a:stretch>
          <a:fillRect/>
        </a:stretch>
      </xdr:blipFill>
      <xdr:spPr>
        <a:xfrm>
          <a:off x="7235825" y="3648309950"/>
          <a:ext cx="878840" cy="1183640"/>
        </a:xfrm>
        <a:prstGeom prst="rect">
          <a:avLst/>
        </a:prstGeom>
      </xdr:spPr>
    </xdr:pic>
    <xdr:clientData/>
  </xdr:twoCellAnchor>
  <xdr:twoCellAnchor>
    <xdr:from>
      <xdr:col>9</xdr:col>
      <xdr:colOff>6350</xdr:colOff>
      <xdr:row>3706</xdr:row>
      <xdr:rowOff>25400</xdr:rowOff>
    </xdr:from>
    <xdr:to>
      <xdr:col>9</xdr:col>
      <xdr:colOff>885190</xdr:colOff>
      <xdr:row>3706</xdr:row>
      <xdr:rowOff>1209040</xdr:rowOff>
    </xdr:to>
    <xdr:pic>
      <xdr:nvPicPr>
        <xdr:cNvPr id="8087" name="Изображение 8086" descr="resizeПП-00237642"/>
        <xdr:cNvPicPr>
          <a:picLocks noChangeAspect="1"/>
        </xdr:cNvPicPr>
      </xdr:nvPicPr>
      <xdr:blipFill>
        <a:blip xmlns:r="http://schemas.openxmlformats.org/officeDocument/2006/relationships" r:embed="rId2793"/>
        <a:stretch>
          <a:fillRect/>
        </a:stretch>
      </xdr:blipFill>
      <xdr:spPr>
        <a:xfrm>
          <a:off x="7235825" y="3649532325"/>
          <a:ext cx="878840" cy="1183640"/>
        </a:xfrm>
        <a:prstGeom prst="rect">
          <a:avLst/>
        </a:prstGeom>
      </xdr:spPr>
    </xdr:pic>
    <xdr:clientData/>
  </xdr:twoCellAnchor>
  <xdr:twoCellAnchor>
    <xdr:from>
      <xdr:col>9</xdr:col>
      <xdr:colOff>6350</xdr:colOff>
      <xdr:row>3707</xdr:row>
      <xdr:rowOff>25400</xdr:rowOff>
    </xdr:from>
    <xdr:to>
      <xdr:col>9</xdr:col>
      <xdr:colOff>885190</xdr:colOff>
      <xdr:row>3707</xdr:row>
      <xdr:rowOff>1209040</xdr:rowOff>
    </xdr:to>
    <xdr:pic>
      <xdr:nvPicPr>
        <xdr:cNvPr id="8088" name="Изображение 8087" descr="resizeПП-00237639"/>
        <xdr:cNvPicPr>
          <a:picLocks noChangeAspect="1"/>
        </xdr:cNvPicPr>
      </xdr:nvPicPr>
      <xdr:blipFill>
        <a:blip xmlns:r="http://schemas.openxmlformats.org/officeDocument/2006/relationships" r:embed="rId2794"/>
        <a:stretch>
          <a:fillRect/>
        </a:stretch>
      </xdr:blipFill>
      <xdr:spPr>
        <a:xfrm>
          <a:off x="7235825" y="3650754700"/>
          <a:ext cx="878840" cy="1183640"/>
        </a:xfrm>
        <a:prstGeom prst="rect">
          <a:avLst/>
        </a:prstGeom>
      </xdr:spPr>
    </xdr:pic>
    <xdr:clientData/>
  </xdr:twoCellAnchor>
  <xdr:twoCellAnchor>
    <xdr:from>
      <xdr:col>9</xdr:col>
      <xdr:colOff>6350</xdr:colOff>
      <xdr:row>3708</xdr:row>
      <xdr:rowOff>25400</xdr:rowOff>
    </xdr:from>
    <xdr:to>
      <xdr:col>9</xdr:col>
      <xdr:colOff>885190</xdr:colOff>
      <xdr:row>3708</xdr:row>
      <xdr:rowOff>1209040</xdr:rowOff>
    </xdr:to>
    <xdr:pic>
      <xdr:nvPicPr>
        <xdr:cNvPr id="8089" name="Изображение 8088" descr="resizeПП-00261808"/>
        <xdr:cNvPicPr>
          <a:picLocks noChangeAspect="1"/>
        </xdr:cNvPicPr>
      </xdr:nvPicPr>
      <xdr:blipFill>
        <a:blip xmlns:r="http://schemas.openxmlformats.org/officeDocument/2006/relationships" r:embed="rId2795"/>
        <a:stretch>
          <a:fillRect/>
        </a:stretch>
      </xdr:blipFill>
      <xdr:spPr>
        <a:xfrm>
          <a:off x="7235825" y="3651977075"/>
          <a:ext cx="878840" cy="1183640"/>
        </a:xfrm>
        <a:prstGeom prst="rect">
          <a:avLst/>
        </a:prstGeom>
      </xdr:spPr>
    </xdr:pic>
    <xdr:clientData/>
  </xdr:twoCellAnchor>
  <xdr:twoCellAnchor>
    <xdr:from>
      <xdr:col>9</xdr:col>
      <xdr:colOff>6350</xdr:colOff>
      <xdr:row>3709</xdr:row>
      <xdr:rowOff>25400</xdr:rowOff>
    </xdr:from>
    <xdr:to>
      <xdr:col>9</xdr:col>
      <xdr:colOff>885190</xdr:colOff>
      <xdr:row>3709</xdr:row>
      <xdr:rowOff>1209040</xdr:rowOff>
    </xdr:to>
    <xdr:pic>
      <xdr:nvPicPr>
        <xdr:cNvPr id="8090" name="Изображение 8089" descr="resizeПП-00229641"/>
        <xdr:cNvPicPr>
          <a:picLocks noChangeAspect="1"/>
        </xdr:cNvPicPr>
      </xdr:nvPicPr>
      <xdr:blipFill>
        <a:blip xmlns:r="http://schemas.openxmlformats.org/officeDocument/2006/relationships" r:embed="rId2796"/>
        <a:stretch>
          <a:fillRect/>
        </a:stretch>
      </xdr:blipFill>
      <xdr:spPr>
        <a:xfrm>
          <a:off x="7235825" y="3653199450"/>
          <a:ext cx="878840" cy="1183640"/>
        </a:xfrm>
        <a:prstGeom prst="rect">
          <a:avLst/>
        </a:prstGeom>
      </xdr:spPr>
    </xdr:pic>
    <xdr:clientData/>
  </xdr:twoCellAnchor>
  <xdr:twoCellAnchor>
    <xdr:from>
      <xdr:col>9</xdr:col>
      <xdr:colOff>6350</xdr:colOff>
      <xdr:row>3710</xdr:row>
      <xdr:rowOff>25400</xdr:rowOff>
    </xdr:from>
    <xdr:to>
      <xdr:col>9</xdr:col>
      <xdr:colOff>885190</xdr:colOff>
      <xdr:row>3710</xdr:row>
      <xdr:rowOff>1209040</xdr:rowOff>
    </xdr:to>
    <xdr:pic>
      <xdr:nvPicPr>
        <xdr:cNvPr id="8091" name="Изображение 8090" descr="resizeПП-00229642"/>
        <xdr:cNvPicPr>
          <a:picLocks noChangeAspect="1"/>
        </xdr:cNvPicPr>
      </xdr:nvPicPr>
      <xdr:blipFill>
        <a:blip xmlns:r="http://schemas.openxmlformats.org/officeDocument/2006/relationships" r:embed="rId2797"/>
        <a:stretch>
          <a:fillRect/>
        </a:stretch>
      </xdr:blipFill>
      <xdr:spPr>
        <a:xfrm>
          <a:off x="7235825" y="3654421825"/>
          <a:ext cx="878840" cy="1183640"/>
        </a:xfrm>
        <a:prstGeom prst="rect">
          <a:avLst/>
        </a:prstGeom>
      </xdr:spPr>
    </xdr:pic>
    <xdr:clientData/>
  </xdr:twoCellAnchor>
  <xdr:twoCellAnchor>
    <xdr:from>
      <xdr:col>9</xdr:col>
      <xdr:colOff>6350</xdr:colOff>
      <xdr:row>3711</xdr:row>
      <xdr:rowOff>25400</xdr:rowOff>
    </xdr:from>
    <xdr:to>
      <xdr:col>9</xdr:col>
      <xdr:colOff>885190</xdr:colOff>
      <xdr:row>3711</xdr:row>
      <xdr:rowOff>1209040</xdr:rowOff>
    </xdr:to>
    <xdr:pic>
      <xdr:nvPicPr>
        <xdr:cNvPr id="8092" name="Изображение 8091" descr="resizeПП-00229635"/>
        <xdr:cNvPicPr>
          <a:picLocks noChangeAspect="1"/>
        </xdr:cNvPicPr>
      </xdr:nvPicPr>
      <xdr:blipFill>
        <a:blip xmlns:r="http://schemas.openxmlformats.org/officeDocument/2006/relationships" r:embed="rId2798"/>
        <a:stretch>
          <a:fillRect/>
        </a:stretch>
      </xdr:blipFill>
      <xdr:spPr>
        <a:xfrm>
          <a:off x="7235825" y="3655644200"/>
          <a:ext cx="878840" cy="1183640"/>
        </a:xfrm>
        <a:prstGeom prst="rect">
          <a:avLst/>
        </a:prstGeom>
      </xdr:spPr>
    </xdr:pic>
    <xdr:clientData/>
  </xdr:twoCellAnchor>
  <xdr:twoCellAnchor>
    <xdr:from>
      <xdr:col>9</xdr:col>
      <xdr:colOff>6350</xdr:colOff>
      <xdr:row>3712</xdr:row>
      <xdr:rowOff>25400</xdr:rowOff>
    </xdr:from>
    <xdr:to>
      <xdr:col>9</xdr:col>
      <xdr:colOff>885190</xdr:colOff>
      <xdr:row>3712</xdr:row>
      <xdr:rowOff>1209040</xdr:rowOff>
    </xdr:to>
    <xdr:pic>
      <xdr:nvPicPr>
        <xdr:cNvPr id="8093" name="Изображение 8092" descr="resizeПП-00237634"/>
        <xdr:cNvPicPr>
          <a:picLocks noChangeAspect="1"/>
        </xdr:cNvPicPr>
      </xdr:nvPicPr>
      <xdr:blipFill>
        <a:blip xmlns:r="http://schemas.openxmlformats.org/officeDocument/2006/relationships" r:embed="rId2799"/>
        <a:stretch>
          <a:fillRect/>
        </a:stretch>
      </xdr:blipFill>
      <xdr:spPr>
        <a:xfrm>
          <a:off x="7235825" y="3656866575"/>
          <a:ext cx="878840" cy="1183640"/>
        </a:xfrm>
        <a:prstGeom prst="rect">
          <a:avLst/>
        </a:prstGeom>
      </xdr:spPr>
    </xdr:pic>
    <xdr:clientData/>
  </xdr:twoCellAnchor>
  <xdr:twoCellAnchor>
    <xdr:from>
      <xdr:col>9</xdr:col>
      <xdr:colOff>6350</xdr:colOff>
      <xdr:row>3716</xdr:row>
      <xdr:rowOff>25400</xdr:rowOff>
    </xdr:from>
    <xdr:to>
      <xdr:col>9</xdr:col>
      <xdr:colOff>885190</xdr:colOff>
      <xdr:row>3716</xdr:row>
      <xdr:rowOff>1209040</xdr:rowOff>
    </xdr:to>
    <xdr:pic>
      <xdr:nvPicPr>
        <xdr:cNvPr id="8094" name="Изображение 8093" descr="resizeПП-00261778"/>
        <xdr:cNvPicPr>
          <a:picLocks noChangeAspect="1"/>
        </xdr:cNvPicPr>
      </xdr:nvPicPr>
      <xdr:blipFill>
        <a:blip xmlns:r="http://schemas.openxmlformats.org/officeDocument/2006/relationships" r:embed="rId2800"/>
        <a:stretch>
          <a:fillRect/>
        </a:stretch>
      </xdr:blipFill>
      <xdr:spPr>
        <a:xfrm>
          <a:off x="7235825" y="3658546150"/>
          <a:ext cx="878840" cy="1183640"/>
        </a:xfrm>
        <a:prstGeom prst="rect">
          <a:avLst/>
        </a:prstGeom>
      </xdr:spPr>
    </xdr:pic>
    <xdr:clientData/>
  </xdr:twoCellAnchor>
  <xdr:twoCellAnchor>
    <xdr:from>
      <xdr:col>9</xdr:col>
      <xdr:colOff>6350</xdr:colOff>
      <xdr:row>3717</xdr:row>
      <xdr:rowOff>25400</xdr:rowOff>
    </xdr:from>
    <xdr:to>
      <xdr:col>9</xdr:col>
      <xdr:colOff>885190</xdr:colOff>
      <xdr:row>3717</xdr:row>
      <xdr:rowOff>1209040</xdr:rowOff>
    </xdr:to>
    <xdr:pic>
      <xdr:nvPicPr>
        <xdr:cNvPr id="8095" name="Изображение 8094" descr="resizeПП-00261779"/>
        <xdr:cNvPicPr>
          <a:picLocks noChangeAspect="1"/>
        </xdr:cNvPicPr>
      </xdr:nvPicPr>
      <xdr:blipFill>
        <a:blip xmlns:r="http://schemas.openxmlformats.org/officeDocument/2006/relationships" r:embed="rId2801"/>
        <a:stretch>
          <a:fillRect/>
        </a:stretch>
      </xdr:blipFill>
      <xdr:spPr>
        <a:xfrm>
          <a:off x="7235825" y="3659768525"/>
          <a:ext cx="878840" cy="1183640"/>
        </a:xfrm>
        <a:prstGeom prst="rect">
          <a:avLst/>
        </a:prstGeom>
      </xdr:spPr>
    </xdr:pic>
    <xdr:clientData/>
  </xdr:twoCellAnchor>
  <xdr:twoCellAnchor>
    <xdr:from>
      <xdr:col>9</xdr:col>
      <xdr:colOff>6350</xdr:colOff>
      <xdr:row>3718</xdr:row>
      <xdr:rowOff>25400</xdr:rowOff>
    </xdr:from>
    <xdr:to>
      <xdr:col>9</xdr:col>
      <xdr:colOff>885190</xdr:colOff>
      <xdr:row>3718</xdr:row>
      <xdr:rowOff>1209040</xdr:rowOff>
    </xdr:to>
    <xdr:pic>
      <xdr:nvPicPr>
        <xdr:cNvPr id="8096" name="Изображение 8095" descr="resizeПП-00261780"/>
        <xdr:cNvPicPr>
          <a:picLocks noChangeAspect="1"/>
        </xdr:cNvPicPr>
      </xdr:nvPicPr>
      <xdr:blipFill>
        <a:blip xmlns:r="http://schemas.openxmlformats.org/officeDocument/2006/relationships" r:embed="rId2802"/>
        <a:stretch>
          <a:fillRect/>
        </a:stretch>
      </xdr:blipFill>
      <xdr:spPr>
        <a:xfrm>
          <a:off x="7235825" y="3660990900"/>
          <a:ext cx="878840" cy="1183640"/>
        </a:xfrm>
        <a:prstGeom prst="rect">
          <a:avLst/>
        </a:prstGeom>
      </xdr:spPr>
    </xdr:pic>
    <xdr:clientData/>
  </xdr:twoCellAnchor>
  <xdr:twoCellAnchor>
    <xdr:from>
      <xdr:col>9</xdr:col>
      <xdr:colOff>6350</xdr:colOff>
      <xdr:row>3720</xdr:row>
      <xdr:rowOff>25400</xdr:rowOff>
    </xdr:from>
    <xdr:to>
      <xdr:col>9</xdr:col>
      <xdr:colOff>885190</xdr:colOff>
      <xdr:row>3720</xdr:row>
      <xdr:rowOff>1209040</xdr:rowOff>
    </xdr:to>
    <xdr:pic>
      <xdr:nvPicPr>
        <xdr:cNvPr id="8097" name="Изображение 8096" descr="resizeПП-00236106"/>
        <xdr:cNvPicPr>
          <a:picLocks noChangeAspect="1"/>
        </xdr:cNvPicPr>
      </xdr:nvPicPr>
      <xdr:blipFill>
        <a:blip xmlns:r="http://schemas.openxmlformats.org/officeDocument/2006/relationships" r:embed="rId2803"/>
        <a:stretch>
          <a:fillRect/>
        </a:stretch>
      </xdr:blipFill>
      <xdr:spPr>
        <a:xfrm>
          <a:off x="7235825" y="3662365675"/>
          <a:ext cx="878840" cy="1183640"/>
        </a:xfrm>
        <a:prstGeom prst="rect">
          <a:avLst/>
        </a:prstGeom>
      </xdr:spPr>
    </xdr:pic>
    <xdr:clientData/>
  </xdr:twoCellAnchor>
  <xdr:twoCellAnchor>
    <xdr:from>
      <xdr:col>9</xdr:col>
      <xdr:colOff>6350</xdr:colOff>
      <xdr:row>3721</xdr:row>
      <xdr:rowOff>25400</xdr:rowOff>
    </xdr:from>
    <xdr:to>
      <xdr:col>9</xdr:col>
      <xdr:colOff>885190</xdr:colOff>
      <xdr:row>3721</xdr:row>
      <xdr:rowOff>1209040</xdr:rowOff>
    </xdr:to>
    <xdr:pic>
      <xdr:nvPicPr>
        <xdr:cNvPr id="8098" name="Изображение 8097" descr="resizeПП-00262847"/>
        <xdr:cNvPicPr>
          <a:picLocks noChangeAspect="1"/>
        </xdr:cNvPicPr>
      </xdr:nvPicPr>
      <xdr:blipFill>
        <a:blip xmlns:r="http://schemas.openxmlformats.org/officeDocument/2006/relationships" r:embed="rId2804"/>
        <a:stretch>
          <a:fillRect/>
        </a:stretch>
      </xdr:blipFill>
      <xdr:spPr>
        <a:xfrm>
          <a:off x="7235825" y="3663588050"/>
          <a:ext cx="878840" cy="1183640"/>
        </a:xfrm>
        <a:prstGeom prst="rect">
          <a:avLst/>
        </a:prstGeom>
      </xdr:spPr>
    </xdr:pic>
    <xdr:clientData/>
  </xdr:twoCellAnchor>
  <xdr:twoCellAnchor>
    <xdr:from>
      <xdr:col>9</xdr:col>
      <xdr:colOff>6350</xdr:colOff>
      <xdr:row>3722</xdr:row>
      <xdr:rowOff>25400</xdr:rowOff>
    </xdr:from>
    <xdr:to>
      <xdr:col>9</xdr:col>
      <xdr:colOff>885190</xdr:colOff>
      <xdr:row>3722</xdr:row>
      <xdr:rowOff>1209040</xdr:rowOff>
    </xdr:to>
    <xdr:pic>
      <xdr:nvPicPr>
        <xdr:cNvPr id="8099" name="Изображение 8098" descr="resizeПП-00262852"/>
        <xdr:cNvPicPr>
          <a:picLocks noChangeAspect="1"/>
        </xdr:cNvPicPr>
      </xdr:nvPicPr>
      <xdr:blipFill>
        <a:blip xmlns:r="http://schemas.openxmlformats.org/officeDocument/2006/relationships" r:embed="rId2805"/>
        <a:stretch>
          <a:fillRect/>
        </a:stretch>
      </xdr:blipFill>
      <xdr:spPr>
        <a:xfrm>
          <a:off x="7235825" y="3664810425"/>
          <a:ext cx="878840" cy="1183640"/>
        </a:xfrm>
        <a:prstGeom prst="rect">
          <a:avLst/>
        </a:prstGeom>
      </xdr:spPr>
    </xdr:pic>
    <xdr:clientData/>
  </xdr:twoCellAnchor>
  <xdr:twoCellAnchor>
    <xdr:from>
      <xdr:col>9</xdr:col>
      <xdr:colOff>6350</xdr:colOff>
      <xdr:row>3723</xdr:row>
      <xdr:rowOff>25400</xdr:rowOff>
    </xdr:from>
    <xdr:to>
      <xdr:col>9</xdr:col>
      <xdr:colOff>885190</xdr:colOff>
      <xdr:row>3723</xdr:row>
      <xdr:rowOff>1209040</xdr:rowOff>
    </xdr:to>
    <xdr:pic>
      <xdr:nvPicPr>
        <xdr:cNvPr id="8100" name="Изображение 8099" descr="resizeПП-00236109"/>
        <xdr:cNvPicPr>
          <a:picLocks noChangeAspect="1"/>
        </xdr:cNvPicPr>
      </xdr:nvPicPr>
      <xdr:blipFill>
        <a:blip xmlns:r="http://schemas.openxmlformats.org/officeDocument/2006/relationships" r:embed="rId2806"/>
        <a:stretch>
          <a:fillRect/>
        </a:stretch>
      </xdr:blipFill>
      <xdr:spPr>
        <a:xfrm>
          <a:off x="7235825" y="3666032800"/>
          <a:ext cx="878840" cy="1183640"/>
        </a:xfrm>
        <a:prstGeom prst="rect">
          <a:avLst/>
        </a:prstGeom>
      </xdr:spPr>
    </xdr:pic>
    <xdr:clientData/>
  </xdr:twoCellAnchor>
  <xdr:twoCellAnchor>
    <xdr:from>
      <xdr:col>9</xdr:col>
      <xdr:colOff>6350</xdr:colOff>
      <xdr:row>3724</xdr:row>
      <xdr:rowOff>25400</xdr:rowOff>
    </xdr:from>
    <xdr:to>
      <xdr:col>9</xdr:col>
      <xdr:colOff>885190</xdr:colOff>
      <xdr:row>3724</xdr:row>
      <xdr:rowOff>1209040</xdr:rowOff>
    </xdr:to>
    <xdr:pic>
      <xdr:nvPicPr>
        <xdr:cNvPr id="8101" name="Изображение 8100" descr="resizeПП-00236104"/>
        <xdr:cNvPicPr>
          <a:picLocks noChangeAspect="1"/>
        </xdr:cNvPicPr>
      </xdr:nvPicPr>
      <xdr:blipFill>
        <a:blip xmlns:r="http://schemas.openxmlformats.org/officeDocument/2006/relationships" r:embed="rId2807"/>
        <a:stretch>
          <a:fillRect/>
        </a:stretch>
      </xdr:blipFill>
      <xdr:spPr>
        <a:xfrm>
          <a:off x="7235825" y="3667255175"/>
          <a:ext cx="878840" cy="1183640"/>
        </a:xfrm>
        <a:prstGeom prst="rect">
          <a:avLst/>
        </a:prstGeom>
      </xdr:spPr>
    </xdr:pic>
    <xdr:clientData/>
  </xdr:twoCellAnchor>
  <xdr:twoCellAnchor>
    <xdr:from>
      <xdr:col>9</xdr:col>
      <xdr:colOff>6350</xdr:colOff>
      <xdr:row>3725</xdr:row>
      <xdr:rowOff>25400</xdr:rowOff>
    </xdr:from>
    <xdr:to>
      <xdr:col>9</xdr:col>
      <xdr:colOff>885190</xdr:colOff>
      <xdr:row>3725</xdr:row>
      <xdr:rowOff>1209040</xdr:rowOff>
    </xdr:to>
    <xdr:pic>
      <xdr:nvPicPr>
        <xdr:cNvPr id="8102" name="Изображение 8101" descr="resizeПП-00262845"/>
        <xdr:cNvPicPr>
          <a:picLocks noChangeAspect="1"/>
        </xdr:cNvPicPr>
      </xdr:nvPicPr>
      <xdr:blipFill>
        <a:blip xmlns:r="http://schemas.openxmlformats.org/officeDocument/2006/relationships" r:embed="rId2808"/>
        <a:stretch>
          <a:fillRect/>
        </a:stretch>
      </xdr:blipFill>
      <xdr:spPr>
        <a:xfrm>
          <a:off x="7235825" y="3668477550"/>
          <a:ext cx="878840" cy="1183640"/>
        </a:xfrm>
        <a:prstGeom prst="rect">
          <a:avLst/>
        </a:prstGeom>
      </xdr:spPr>
    </xdr:pic>
    <xdr:clientData/>
  </xdr:twoCellAnchor>
  <xdr:twoCellAnchor>
    <xdr:from>
      <xdr:col>9</xdr:col>
      <xdr:colOff>6350</xdr:colOff>
      <xdr:row>3726</xdr:row>
      <xdr:rowOff>25400</xdr:rowOff>
    </xdr:from>
    <xdr:to>
      <xdr:col>9</xdr:col>
      <xdr:colOff>885190</xdr:colOff>
      <xdr:row>3726</xdr:row>
      <xdr:rowOff>1209040</xdr:rowOff>
    </xdr:to>
    <xdr:pic>
      <xdr:nvPicPr>
        <xdr:cNvPr id="8103" name="Изображение 8102" descr="resizeПП-00236105"/>
        <xdr:cNvPicPr>
          <a:picLocks noChangeAspect="1"/>
        </xdr:cNvPicPr>
      </xdr:nvPicPr>
      <xdr:blipFill>
        <a:blip xmlns:r="http://schemas.openxmlformats.org/officeDocument/2006/relationships" r:embed="rId2809"/>
        <a:stretch>
          <a:fillRect/>
        </a:stretch>
      </xdr:blipFill>
      <xdr:spPr>
        <a:xfrm>
          <a:off x="7235825" y="3669699925"/>
          <a:ext cx="878840" cy="1183640"/>
        </a:xfrm>
        <a:prstGeom prst="rect">
          <a:avLst/>
        </a:prstGeom>
      </xdr:spPr>
    </xdr:pic>
    <xdr:clientData/>
  </xdr:twoCellAnchor>
  <xdr:twoCellAnchor>
    <xdr:from>
      <xdr:col>9</xdr:col>
      <xdr:colOff>6350</xdr:colOff>
      <xdr:row>3727</xdr:row>
      <xdr:rowOff>25400</xdr:rowOff>
    </xdr:from>
    <xdr:to>
      <xdr:col>9</xdr:col>
      <xdr:colOff>885190</xdr:colOff>
      <xdr:row>3727</xdr:row>
      <xdr:rowOff>1209040</xdr:rowOff>
    </xdr:to>
    <xdr:pic>
      <xdr:nvPicPr>
        <xdr:cNvPr id="8104" name="Изображение 8103" descr="resizeПП-00262854"/>
        <xdr:cNvPicPr>
          <a:picLocks noChangeAspect="1"/>
        </xdr:cNvPicPr>
      </xdr:nvPicPr>
      <xdr:blipFill>
        <a:blip xmlns:r="http://schemas.openxmlformats.org/officeDocument/2006/relationships" r:embed="rId2810"/>
        <a:stretch>
          <a:fillRect/>
        </a:stretch>
      </xdr:blipFill>
      <xdr:spPr>
        <a:xfrm>
          <a:off x="7235825" y="3670922300"/>
          <a:ext cx="878840" cy="1183640"/>
        </a:xfrm>
        <a:prstGeom prst="rect">
          <a:avLst/>
        </a:prstGeom>
      </xdr:spPr>
    </xdr:pic>
    <xdr:clientData/>
  </xdr:twoCellAnchor>
  <xdr:twoCellAnchor>
    <xdr:from>
      <xdr:col>9</xdr:col>
      <xdr:colOff>6350</xdr:colOff>
      <xdr:row>3728</xdr:row>
      <xdr:rowOff>25400</xdr:rowOff>
    </xdr:from>
    <xdr:to>
      <xdr:col>9</xdr:col>
      <xdr:colOff>885190</xdr:colOff>
      <xdr:row>3728</xdr:row>
      <xdr:rowOff>1209040</xdr:rowOff>
    </xdr:to>
    <xdr:pic>
      <xdr:nvPicPr>
        <xdr:cNvPr id="8105" name="Изображение 8104" descr="resizeПП-00262849"/>
        <xdr:cNvPicPr>
          <a:picLocks noChangeAspect="1"/>
        </xdr:cNvPicPr>
      </xdr:nvPicPr>
      <xdr:blipFill>
        <a:blip xmlns:r="http://schemas.openxmlformats.org/officeDocument/2006/relationships" r:embed="rId2811"/>
        <a:stretch>
          <a:fillRect/>
        </a:stretch>
      </xdr:blipFill>
      <xdr:spPr>
        <a:xfrm>
          <a:off x="7235825" y="3672144675"/>
          <a:ext cx="878840" cy="1183640"/>
        </a:xfrm>
        <a:prstGeom prst="rect">
          <a:avLst/>
        </a:prstGeom>
      </xdr:spPr>
    </xdr:pic>
    <xdr:clientData/>
  </xdr:twoCellAnchor>
  <xdr:twoCellAnchor>
    <xdr:from>
      <xdr:col>9</xdr:col>
      <xdr:colOff>6350</xdr:colOff>
      <xdr:row>3729</xdr:row>
      <xdr:rowOff>25400</xdr:rowOff>
    </xdr:from>
    <xdr:to>
      <xdr:col>9</xdr:col>
      <xdr:colOff>885190</xdr:colOff>
      <xdr:row>3729</xdr:row>
      <xdr:rowOff>1209040</xdr:rowOff>
    </xdr:to>
    <xdr:pic>
      <xdr:nvPicPr>
        <xdr:cNvPr id="8106" name="Изображение 8105" descr="resizeПП-00262855"/>
        <xdr:cNvPicPr>
          <a:picLocks noChangeAspect="1"/>
        </xdr:cNvPicPr>
      </xdr:nvPicPr>
      <xdr:blipFill>
        <a:blip xmlns:r="http://schemas.openxmlformats.org/officeDocument/2006/relationships" r:embed="rId2812"/>
        <a:stretch>
          <a:fillRect/>
        </a:stretch>
      </xdr:blipFill>
      <xdr:spPr>
        <a:xfrm>
          <a:off x="7235825" y="3673367050"/>
          <a:ext cx="878840" cy="1183640"/>
        </a:xfrm>
        <a:prstGeom prst="rect">
          <a:avLst/>
        </a:prstGeom>
      </xdr:spPr>
    </xdr:pic>
    <xdr:clientData/>
  </xdr:twoCellAnchor>
  <xdr:twoCellAnchor>
    <xdr:from>
      <xdr:col>9</xdr:col>
      <xdr:colOff>6350</xdr:colOff>
      <xdr:row>3730</xdr:row>
      <xdr:rowOff>25400</xdr:rowOff>
    </xdr:from>
    <xdr:to>
      <xdr:col>9</xdr:col>
      <xdr:colOff>885190</xdr:colOff>
      <xdr:row>3730</xdr:row>
      <xdr:rowOff>1209040</xdr:rowOff>
    </xdr:to>
    <xdr:pic>
      <xdr:nvPicPr>
        <xdr:cNvPr id="8107" name="Изображение 8106" descr="resizeПП-00262848"/>
        <xdr:cNvPicPr>
          <a:picLocks noChangeAspect="1"/>
        </xdr:cNvPicPr>
      </xdr:nvPicPr>
      <xdr:blipFill>
        <a:blip xmlns:r="http://schemas.openxmlformats.org/officeDocument/2006/relationships" r:embed="rId2813"/>
        <a:stretch>
          <a:fillRect/>
        </a:stretch>
      </xdr:blipFill>
      <xdr:spPr>
        <a:xfrm>
          <a:off x="7235825" y="3674589425"/>
          <a:ext cx="878840" cy="1183640"/>
        </a:xfrm>
        <a:prstGeom prst="rect">
          <a:avLst/>
        </a:prstGeom>
      </xdr:spPr>
    </xdr:pic>
    <xdr:clientData/>
  </xdr:twoCellAnchor>
  <xdr:twoCellAnchor>
    <xdr:from>
      <xdr:col>9</xdr:col>
      <xdr:colOff>6350</xdr:colOff>
      <xdr:row>3731</xdr:row>
      <xdr:rowOff>25400</xdr:rowOff>
    </xdr:from>
    <xdr:to>
      <xdr:col>9</xdr:col>
      <xdr:colOff>885190</xdr:colOff>
      <xdr:row>3731</xdr:row>
      <xdr:rowOff>1209040</xdr:rowOff>
    </xdr:to>
    <xdr:pic>
      <xdr:nvPicPr>
        <xdr:cNvPr id="8108" name="Изображение 8107" descr="resizeПП-00262850"/>
        <xdr:cNvPicPr>
          <a:picLocks noChangeAspect="1"/>
        </xdr:cNvPicPr>
      </xdr:nvPicPr>
      <xdr:blipFill>
        <a:blip xmlns:r="http://schemas.openxmlformats.org/officeDocument/2006/relationships" r:embed="rId2814"/>
        <a:stretch>
          <a:fillRect/>
        </a:stretch>
      </xdr:blipFill>
      <xdr:spPr>
        <a:xfrm>
          <a:off x="7235825" y="3675811800"/>
          <a:ext cx="878840" cy="1183640"/>
        </a:xfrm>
        <a:prstGeom prst="rect">
          <a:avLst/>
        </a:prstGeom>
      </xdr:spPr>
    </xdr:pic>
    <xdr:clientData/>
  </xdr:twoCellAnchor>
  <xdr:twoCellAnchor>
    <xdr:from>
      <xdr:col>9</xdr:col>
      <xdr:colOff>6350</xdr:colOff>
      <xdr:row>3732</xdr:row>
      <xdr:rowOff>25400</xdr:rowOff>
    </xdr:from>
    <xdr:to>
      <xdr:col>9</xdr:col>
      <xdr:colOff>885190</xdr:colOff>
      <xdr:row>3732</xdr:row>
      <xdr:rowOff>1209040</xdr:rowOff>
    </xdr:to>
    <xdr:pic>
      <xdr:nvPicPr>
        <xdr:cNvPr id="8109" name="Изображение 8108" descr="resizeПП-00262851"/>
        <xdr:cNvPicPr>
          <a:picLocks noChangeAspect="1"/>
        </xdr:cNvPicPr>
      </xdr:nvPicPr>
      <xdr:blipFill>
        <a:blip xmlns:r="http://schemas.openxmlformats.org/officeDocument/2006/relationships" r:embed="rId2815"/>
        <a:stretch>
          <a:fillRect/>
        </a:stretch>
      </xdr:blipFill>
      <xdr:spPr>
        <a:xfrm>
          <a:off x="7235825" y="3677034175"/>
          <a:ext cx="878840" cy="1183640"/>
        </a:xfrm>
        <a:prstGeom prst="rect">
          <a:avLst/>
        </a:prstGeom>
      </xdr:spPr>
    </xdr:pic>
    <xdr:clientData/>
  </xdr:twoCellAnchor>
  <xdr:twoCellAnchor>
    <xdr:from>
      <xdr:col>9</xdr:col>
      <xdr:colOff>6350</xdr:colOff>
      <xdr:row>3733</xdr:row>
      <xdr:rowOff>25400</xdr:rowOff>
    </xdr:from>
    <xdr:to>
      <xdr:col>9</xdr:col>
      <xdr:colOff>885190</xdr:colOff>
      <xdr:row>3733</xdr:row>
      <xdr:rowOff>1209040</xdr:rowOff>
    </xdr:to>
    <xdr:pic>
      <xdr:nvPicPr>
        <xdr:cNvPr id="8110" name="Изображение 8109" descr="resizeПП-00262857"/>
        <xdr:cNvPicPr>
          <a:picLocks noChangeAspect="1"/>
        </xdr:cNvPicPr>
      </xdr:nvPicPr>
      <xdr:blipFill>
        <a:blip xmlns:r="http://schemas.openxmlformats.org/officeDocument/2006/relationships" r:embed="rId2816"/>
        <a:stretch>
          <a:fillRect/>
        </a:stretch>
      </xdr:blipFill>
      <xdr:spPr>
        <a:xfrm>
          <a:off x="7235825" y="3678256550"/>
          <a:ext cx="878840" cy="1183640"/>
        </a:xfrm>
        <a:prstGeom prst="rect">
          <a:avLst/>
        </a:prstGeom>
      </xdr:spPr>
    </xdr:pic>
    <xdr:clientData/>
  </xdr:twoCellAnchor>
  <xdr:twoCellAnchor>
    <xdr:from>
      <xdr:col>9</xdr:col>
      <xdr:colOff>6350</xdr:colOff>
      <xdr:row>3734</xdr:row>
      <xdr:rowOff>25400</xdr:rowOff>
    </xdr:from>
    <xdr:to>
      <xdr:col>9</xdr:col>
      <xdr:colOff>885190</xdr:colOff>
      <xdr:row>3734</xdr:row>
      <xdr:rowOff>1209040</xdr:rowOff>
    </xdr:to>
    <xdr:pic>
      <xdr:nvPicPr>
        <xdr:cNvPr id="8111" name="Изображение 8110" descr="resizeПП-00262846"/>
        <xdr:cNvPicPr>
          <a:picLocks noChangeAspect="1"/>
        </xdr:cNvPicPr>
      </xdr:nvPicPr>
      <xdr:blipFill>
        <a:blip xmlns:r="http://schemas.openxmlformats.org/officeDocument/2006/relationships" r:embed="rId2817"/>
        <a:stretch>
          <a:fillRect/>
        </a:stretch>
      </xdr:blipFill>
      <xdr:spPr>
        <a:xfrm>
          <a:off x="7235825" y="3679478925"/>
          <a:ext cx="878840" cy="1183640"/>
        </a:xfrm>
        <a:prstGeom prst="rect">
          <a:avLst/>
        </a:prstGeom>
      </xdr:spPr>
    </xdr:pic>
    <xdr:clientData/>
  </xdr:twoCellAnchor>
  <xdr:twoCellAnchor>
    <xdr:from>
      <xdr:col>9</xdr:col>
      <xdr:colOff>6350</xdr:colOff>
      <xdr:row>3735</xdr:row>
      <xdr:rowOff>25400</xdr:rowOff>
    </xdr:from>
    <xdr:to>
      <xdr:col>9</xdr:col>
      <xdr:colOff>885190</xdr:colOff>
      <xdr:row>3735</xdr:row>
      <xdr:rowOff>1209040</xdr:rowOff>
    </xdr:to>
    <xdr:pic>
      <xdr:nvPicPr>
        <xdr:cNvPr id="8112" name="Изображение 8111" descr="resizeПП-00262856"/>
        <xdr:cNvPicPr>
          <a:picLocks noChangeAspect="1"/>
        </xdr:cNvPicPr>
      </xdr:nvPicPr>
      <xdr:blipFill>
        <a:blip xmlns:r="http://schemas.openxmlformats.org/officeDocument/2006/relationships" r:embed="rId2818"/>
        <a:stretch>
          <a:fillRect/>
        </a:stretch>
      </xdr:blipFill>
      <xdr:spPr>
        <a:xfrm>
          <a:off x="7235825" y="3680701300"/>
          <a:ext cx="878840" cy="1183640"/>
        </a:xfrm>
        <a:prstGeom prst="rect">
          <a:avLst/>
        </a:prstGeom>
      </xdr:spPr>
    </xdr:pic>
    <xdr:clientData/>
  </xdr:twoCellAnchor>
  <xdr:twoCellAnchor>
    <xdr:from>
      <xdr:col>9</xdr:col>
      <xdr:colOff>6350</xdr:colOff>
      <xdr:row>3736</xdr:row>
      <xdr:rowOff>25400</xdr:rowOff>
    </xdr:from>
    <xdr:to>
      <xdr:col>9</xdr:col>
      <xdr:colOff>885190</xdr:colOff>
      <xdr:row>3736</xdr:row>
      <xdr:rowOff>1209040</xdr:rowOff>
    </xdr:to>
    <xdr:pic>
      <xdr:nvPicPr>
        <xdr:cNvPr id="8113" name="Изображение 8112" descr="resizeПП-00252755"/>
        <xdr:cNvPicPr>
          <a:picLocks noChangeAspect="1"/>
        </xdr:cNvPicPr>
      </xdr:nvPicPr>
      <xdr:blipFill>
        <a:blip xmlns:r="http://schemas.openxmlformats.org/officeDocument/2006/relationships" r:embed="rId2819"/>
        <a:stretch>
          <a:fillRect/>
        </a:stretch>
      </xdr:blipFill>
      <xdr:spPr>
        <a:xfrm>
          <a:off x="7235825" y="3681923675"/>
          <a:ext cx="878840" cy="1183640"/>
        </a:xfrm>
        <a:prstGeom prst="rect">
          <a:avLst/>
        </a:prstGeom>
      </xdr:spPr>
    </xdr:pic>
    <xdr:clientData/>
  </xdr:twoCellAnchor>
  <xdr:twoCellAnchor>
    <xdr:from>
      <xdr:col>9</xdr:col>
      <xdr:colOff>6350</xdr:colOff>
      <xdr:row>3737</xdr:row>
      <xdr:rowOff>25400</xdr:rowOff>
    </xdr:from>
    <xdr:to>
      <xdr:col>9</xdr:col>
      <xdr:colOff>885190</xdr:colOff>
      <xdr:row>3737</xdr:row>
      <xdr:rowOff>1209040</xdr:rowOff>
    </xdr:to>
    <xdr:pic>
      <xdr:nvPicPr>
        <xdr:cNvPr id="8114" name="Изображение 8113" descr="resizeПП-00252758"/>
        <xdr:cNvPicPr>
          <a:picLocks noChangeAspect="1"/>
        </xdr:cNvPicPr>
      </xdr:nvPicPr>
      <xdr:blipFill>
        <a:blip xmlns:r="http://schemas.openxmlformats.org/officeDocument/2006/relationships" r:embed="rId2820"/>
        <a:stretch>
          <a:fillRect/>
        </a:stretch>
      </xdr:blipFill>
      <xdr:spPr>
        <a:xfrm>
          <a:off x="7235825" y="3683146050"/>
          <a:ext cx="878840" cy="1183640"/>
        </a:xfrm>
        <a:prstGeom prst="rect">
          <a:avLst/>
        </a:prstGeom>
      </xdr:spPr>
    </xdr:pic>
    <xdr:clientData/>
  </xdr:twoCellAnchor>
  <xdr:twoCellAnchor>
    <xdr:from>
      <xdr:col>9</xdr:col>
      <xdr:colOff>6350</xdr:colOff>
      <xdr:row>3738</xdr:row>
      <xdr:rowOff>25400</xdr:rowOff>
    </xdr:from>
    <xdr:to>
      <xdr:col>9</xdr:col>
      <xdr:colOff>885190</xdr:colOff>
      <xdr:row>3738</xdr:row>
      <xdr:rowOff>1209040</xdr:rowOff>
    </xdr:to>
    <xdr:pic>
      <xdr:nvPicPr>
        <xdr:cNvPr id="8115" name="Изображение 8114" descr="resizeПП-00252757"/>
        <xdr:cNvPicPr>
          <a:picLocks noChangeAspect="1"/>
        </xdr:cNvPicPr>
      </xdr:nvPicPr>
      <xdr:blipFill>
        <a:blip xmlns:r="http://schemas.openxmlformats.org/officeDocument/2006/relationships" r:embed="rId2821"/>
        <a:stretch>
          <a:fillRect/>
        </a:stretch>
      </xdr:blipFill>
      <xdr:spPr>
        <a:xfrm>
          <a:off x="7235825" y="3684368425"/>
          <a:ext cx="878840" cy="1183640"/>
        </a:xfrm>
        <a:prstGeom prst="rect">
          <a:avLst/>
        </a:prstGeom>
      </xdr:spPr>
    </xdr:pic>
    <xdr:clientData/>
  </xdr:twoCellAnchor>
  <xdr:twoCellAnchor>
    <xdr:from>
      <xdr:col>9</xdr:col>
      <xdr:colOff>6350</xdr:colOff>
      <xdr:row>3739</xdr:row>
      <xdr:rowOff>25400</xdr:rowOff>
    </xdr:from>
    <xdr:to>
      <xdr:col>9</xdr:col>
      <xdr:colOff>885190</xdr:colOff>
      <xdr:row>3739</xdr:row>
      <xdr:rowOff>1209040</xdr:rowOff>
    </xdr:to>
    <xdr:pic>
      <xdr:nvPicPr>
        <xdr:cNvPr id="8116" name="Изображение 8115" descr="resizeПП-00262862"/>
        <xdr:cNvPicPr>
          <a:picLocks noChangeAspect="1"/>
        </xdr:cNvPicPr>
      </xdr:nvPicPr>
      <xdr:blipFill>
        <a:blip xmlns:r="http://schemas.openxmlformats.org/officeDocument/2006/relationships" r:embed="rId2822"/>
        <a:stretch>
          <a:fillRect/>
        </a:stretch>
      </xdr:blipFill>
      <xdr:spPr>
        <a:xfrm>
          <a:off x="7235825" y="3685590800"/>
          <a:ext cx="878840" cy="1183640"/>
        </a:xfrm>
        <a:prstGeom prst="rect">
          <a:avLst/>
        </a:prstGeom>
      </xdr:spPr>
    </xdr:pic>
    <xdr:clientData/>
  </xdr:twoCellAnchor>
  <xdr:twoCellAnchor>
    <xdr:from>
      <xdr:col>9</xdr:col>
      <xdr:colOff>6350</xdr:colOff>
      <xdr:row>3742</xdr:row>
      <xdr:rowOff>25400</xdr:rowOff>
    </xdr:from>
    <xdr:to>
      <xdr:col>9</xdr:col>
      <xdr:colOff>885190</xdr:colOff>
      <xdr:row>3742</xdr:row>
      <xdr:rowOff>1209040</xdr:rowOff>
    </xdr:to>
    <xdr:pic>
      <xdr:nvPicPr>
        <xdr:cNvPr id="8117" name="Изображение 8116" descr="resizeПП-00237678"/>
        <xdr:cNvPicPr>
          <a:picLocks noChangeAspect="1"/>
        </xdr:cNvPicPr>
      </xdr:nvPicPr>
      <xdr:blipFill>
        <a:blip xmlns:r="http://schemas.openxmlformats.org/officeDocument/2006/relationships" r:embed="rId2823"/>
        <a:stretch>
          <a:fillRect/>
        </a:stretch>
      </xdr:blipFill>
      <xdr:spPr>
        <a:xfrm>
          <a:off x="7235825" y="3687117975"/>
          <a:ext cx="878840" cy="1183640"/>
        </a:xfrm>
        <a:prstGeom prst="rect">
          <a:avLst/>
        </a:prstGeom>
      </xdr:spPr>
    </xdr:pic>
    <xdr:clientData/>
  </xdr:twoCellAnchor>
  <xdr:twoCellAnchor>
    <xdr:from>
      <xdr:col>9</xdr:col>
      <xdr:colOff>6350</xdr:colOff>
      <xdr:row>3743</xdr:row>
      <xdr:rowOff>25400</xdr:rowOff>
    </xdr:from>
    <xdr:to>
      <xdr:col>9</xdr:col>
      <xdr:colOff>885190</xdr:colOff>
      <xdr:row>3743</xdr:row>
      <xdr:rowOff>1209040</xdr:rowOff>
    </xdr:to>
    <xdr:pic>
      <xdr:nvPicPr>
        <xdr:cNvPr id="8118" name="Изображение 8117" descr="resizeПП-00237676"/>
        <xdr:cNvPicPr>
          <a:picLocks noChangeAspect="1"/>
        </xdr:cNvPicPr>
      </xdr:nvPicPr>
      <xdr:blipFill>
        <a:blip xmlns:r="http://schemas.openxmlformats.org/officeDocument/2006/relationships" r:embed="rId2824"/>
        <a:stretch>
          <a:fillRect/>
        </a:stretch>
      </xdr:blipFill>
      <xdr:spPr>
        <a:xfrm>
          <a:off x="7235825" y="3688340350"/>
          <a:ext cx="878840" cy="1183640"/>
        </a:xfrm>
        <a:prstGeom prst="rect">
          <a:avLst/>
        </a:prstGeom>
      </xdr:spPr>
    </xdr:pic>
    <xdr:clientData/>
  </xdr:twoCellAnchor>
  <xdr:twoCellAnchor>
    <xdr:from>
      <xdr:col>9</xdr:col>
      <xdr:colOff>6350</xdr:colOff>
      <xdr:row>3747</xdr:row>
      <xdr:rowOff>25400</xdr:rowOff>
    </xdr:from>
    <xdr:to>
      <xdr:col>9</xdr:col>
      <xdr:colOff>885190</xdr:colOff>
      <xdr:row>3747</xdr:row>
      <xdr:rowOff>1209040</xdr:rowOff>
    </xdr:to>
    <xdr:pic>
      <xdr:nvPicPr>
        <xdr:cNvPr id="8119" name="Изображение 8118" descr="resizeПП-00220222"/>
        <xdr:cNvPicPr>
          <a:picLocks noChangeAspect="1"/>
        </xdr:cNvPicPr>
      </xdr:nvPicPr>
      <xdr:blipFill>
        <a:blip xmlns:r="http://schemas.openxmlformats.org/officeDocument/2006/relationships" r:embed="rId2825"/>
        <a:stretch>
          <a:fillRect/>
        </a:stretch>
      </xdr:blipFill>
      <xdr:spPr>
        <a:xfrm>
          <a:off x="7235825" y="3690019925"/>
          <a:ext cx="878840" cy="1183640"/>
        </a:xfrm>
        <a:prstGeom prst="rect">
          <a:avLst/>
        </a:prstGeom>
      </xdr:spPr>
    </xdr:pic>
    <xdr:clientData/>
  </xdr:twoCellAnchor>
  <xdr:twoCellAnchor>
    <xdr:from>
      <xdr:col>9</xdr:col>
      <xdr:colOff>6350</xdr:colOff>
      <xdr:row>3748</xdr:row>
      <xdr:rowOff>25400</xdr:rowOff>
    </xdr:from>
    <xdr:to>
      <xdr:col>9</xdr:col>
      <xdr:colOff>885190</xdr:colOff>
      <xdr:row>3748</xdr:row>
      <xdr:rowOff>1209040</xdr:rowOff>
    </xdr:to>
    <xdr:pic>
      <xdr:nvPicPr>
        <xdr:cNvPr id="8120" name="Изображение 8119" descr="resizeПП-00258152"/>
        <xdr:cNvPicPr>
          <a:picLocks noChangeAspect="1"/>
        </xdr:cNvPicPr>
      </xdr:nvPicPr>
      <xdr:blipFill>
        <a:blip xmlns:r="http://schemas.openxmlformats.org/officeDocument/2006/relationships" r:embed="rId2826"/>
        <a:stretch>
          <a:fillRect/>
        </a:stretch>
      </xdr:blipFill>
      <xdr:spPr>
        <a:xfrm>
          <a:off x="7235825" y="3691242300"/>
          <a:ext cx="878840" cy="1183640"/>
        </a:xfrm>
        <a:prstGeom prst="rect">
          <a:avLst/>
        </a:prstGeom>
      </xdr:spPr>
    </xdr:pic>
    <xdr:clientData/>
  </xdr:twoCellAnchor>
  <xdr:twoCellAnchor>
    <xdr:from>
      <xdr:col>9</xdr:col>
      <xdr:colOff>6350</xdr:colOff>
      <xdr:row>3749</xdr:row>
      <xdr:rowOff>25400</xdr:rowOff>
    </xdr:from>
    <xdr:to>
      <xdr:col>9</xdr:col>
      <xdr:colOff>885190</xdr:colOff>
      <xdr:row>3749</xdr:row>
      <xdr:rowOff>1209040</xdr:rowOff>
    </xdr:to>
    <xdr:pic>
      <xdr:nvPicPr>
        <xdr:cNvPr id="8121" name="Изображение 8120" descr="resizeПП-00258150"/>
        <xdr:cNvPicPr>
          <a:picLocks noChangeAspect="1"/>
        </xdr:cNvPicPr>
      </xdr:nvPicPr>
      <xdr:blipFill>
        <a:blip xmlns:r="http://schemas.openxmlformats.org/officeDocument/2006/relationships" r:embed="rId2827"/>
        <a:stretch>
          <a:fillRect/>
        </a:stretch>
      </xdr:blipFill>
      <xdr:spPr>
        <a:xfrm>
          <a:off x="7235825" y="3692464675"/>
          <a:ext cx="878840" cy="1183640"/>
        </a:xfrm>
        <a:prstGeom prst="rect">
          <a:avLst/>
        </a:prstGeom>
      </xdr:spPr>
    </xdr:pic>
    <xdr:clientData/>
  </xdr:twoCellAnchor>
  <xdr:twoCellAnchor>
    <xdr:from>
      <xdr:col>9</xdr:col>
      <xdr:colOff>6350</xdr:colOff>
      <xdr:row>3750</xdr:row>
      <xdr:rowOff>25400</xdr:rowOff>
    </xdr:from>
    <xdr:to>
      <xdr:col>9</xdr:col>
      <xdr:colOff>885190</xdr:colOff>
      <xdr:row>3750</xdr:row>
      <xdr:rowOff>1209040</xdr:rowOff>
    </xdr:to>
    <xdr:pic>
      <xdr:nvPicPr>
        <xdr:cNvPr id="8122" name="Изображение 8121" descr="resizeПП-00258151"/>
        <xdr:cNvPicPr>
          <a:picLocks noChangeAspect="1"/>
        </xdr:cNvPicPr>
      </xdr:nvPicPr>
      <xdr:blipFill>
        <a:blip xmlns:r="http://schemas.openxmlformats.org/officeDocument/2006/relationships" r:embed="rId2828"/>
        <a:stretch>
          <a:fillRect/>
        </a:stretch>
      </xdr:blipFill>
      <xdr:spPr>
        <a:xfrm>
          <a:off x="7235825" y="3693687050"/>
          <a:ext cx="878840" cy="1183640"/>
        </a:xfrm>
        <a:prstGeom prst="rect">
          <a:avLst/>
        </a:prstGeom>
      </xdr:spPr>
    </xdr:pic>
    <xdr:clientData/>
  </xdr:twoCellAnchor>
  <xdr:twoCellAnchor>
    <xdr:from>
      <xdr:col>9</xdr:col>
      <xdr:colOff>6350</xdr:colOff>
      <xdr:row>3751</xdr:row>
      <xdr:rowOff>25400</xdr:rowOff>
    </xdr:from>
    <xdr:to>
      <xdr:col>9</xdr:col>
      <xdr:colOff>885190</xdr:colOff>
      <xdr:row>3751</xdr:row>
      <xdr:rowOff>1209040</xdr:rowOff>
    </xdr:to>
    <xdr:pic>
      <xdr:nvPicPr>
        <xdr:cNvPr id="8123" name="Изображение 8122" descr="resizeПП-00258149"/>
        <xdr:cNvPicPr>
          <a:picLocks noChangeAspect="1"/>
        </xdr:cNvPicPr>
      </xdr:nvPicPr>
      <xdr:blipFill>
        <a:blip xmlns:r="http://schemas.openxmlformats.org/officeDocument/2006/relationships" r:embed="rId2829"/>
        <a:stretch>
          <a:fillRect/>
        </a:stretch>
      </xdr:blipFill>
      <xdr:spPr>
        <a:xfrm>
          <a:off x="7235825" y="3694909425"/>
          <a:ext cx="878840" cy="1183640"/>
        </a:xfrm>
        <a:prstGeom prst="rect">
          <a:avLst/>
        </a:prstGeom>
      </xdr:spPr>
    </xdr:pic>
    <xdr:clientData/>
  </xdr:twoCellAnchor>
  <xdr:twoCellAnchor>
    <xdr:from>
      <xdr:col>9</xdr:col>
      <xdr:colOff>6350</xdr:colOff>
      <xdr:row>3752</xdr:row>
      <xdr:rowOff>25400</xdr:rowOff>
    </xdr:from>
    <xdr:to>
      <xdr:col>9</xdr:col>
      <xdr:colOff>885190</xdr:colOff>
      <xdr:row>3752</xdr:row>
      <xdr:rowOff>1209040</xdr:rowOff>
    </xdr:to>
    <xdr:pic>
      <xdr:nvPicPr>
        <xdr:cNvPr id="8124" name="Изображение 8123" descr="resizeПП-00252761"/>
        <xdr:cNvPicPr>
          <a:picLocks noChangeAspect="1"/>
        </xdr:cNvPicPr>
      </xdr:nvPicPr>
      <xdr:blipFill>
        <a:blip xmlns:r="http://schemas.openxmlformats.org/officeDocument/2006/relationships" r:embed="rId2830"/>
        <a:stretch>
          <a:fillRect/>
        </a:stretch>
      </xdr:blipFill>
      <xdr:spPr>
        <a:xfrm>
          <a:off x="7235825" y="3696131800"/>
          <a:ext cx="878840" cy="1183640"/>
        </a:xfrm>
        <a:prstGeom prst="rect">
          <a:avLst/>
        </a:prstGeom>
      </xdr:spPr>
    </xdr:pic>
    <xdr:clientData/>
  </xdr:twoCellAnchor>
  <xdr:twoCellAnchor>
    <xdr:from>
      <xdr:col>9</xdr:col>
      <xdr:colOff>6350</xdr:colOff>
      <xdr:row>3753</xdr:row>
      <xdr:rowOff>25400</xdr:rowOff>
    </xdr:from>
    <xdr:to>
      <xdr:col>9</xdr:col>
      <xdr:colOff>885190</xdr:colOff>
      <xdr:row>3753</xdr:row>
      <xdr:rowOff>1209040</xdr:rowOff>
    </xdr:to>
    <xdr:pic>
      <xdr:nvPicPr>
        <xdr:cNvPr id="8125" name="Изображение 8124" descr="resizeПП-00252762"/>
        <xdr:cNvPicPr>
          <a:picLocks noChangeAspect="1"/>
        </xdr:cNvPicPr>
      </xdr:nvPicPr>
      <xdr:blipFill>
        <a:blip xmlns:r="http://schemas.openxmlformats.org/officeDocument/2006/relationships" r:embed="rId2831"/>
        <a:stretch>
          <a:fillRect/>
        </a:stretch>
      </xdr:blipFill>
      <xdr:spPr>
        <a:xfrm>
          <a:off x="7235825" y="3697354175"/>
          <a:ext cx="878840" cy="1183640"/>
        </a:xfrm>
        <a:prstGeom prst="rect">
          <a:avLst/>
        </a:prstGeom>
      </xdr:spPr>
    </xdr:pic>
    <xdr:clientData/>
  </xdr:twoCellAnchor>
  <xdr:twoCellAnchor>
    <xdr:from>
      <xdr:col>9</xdr:col>
      <xdr:colOff>6350</xdr:colOff>
      <xdr:row>3754</xdr:row>
      <xdr:rowOff>25400</xdr:rowOff>
    </xdr:from>
    <xdr:to>
      <xdr:col>9</xdr:col>
      <xdr:colOff>885190</xdr:colOff>
      <xdr:row>3754</xdr:row>
      <xdr:rowOff>1209040</xdr:rowOff>
    </xdr:to>
    <xdr:pic>
      <xdr:nvPicPr>
        <xdr:cNvPr id="8126" name="Изображение 8125" descr="resizeПП-00252823"/>
        <xdr:cNvPicPr>
          <a:picLocks noChangeAspect="1"/>
        </xdr:cNvPicPr>
      </xdr:nvPicPr>
      <xdr:blipFill>
        <a:blip xmlns:r="http://schemas.openxmlformats.org/officeDocument/2006/relationships" r:embed="rId2832"/>
        <a:stretch>
          <a:fillRect/>
        </a:stretch>
      </xdr:blipFill>
      <xdr:spPr>
        <a:xfrm>
          <a:off x="7235825" y="3698576550"/>
          <a:ext cx="878840" cy="1183640"/>
        </a:xfrm>
        <a:prstGeom prst="rect">
          <a:avLst/>
        </a:prstGeom>
      </xdr:spPr>
    </xdr:pic>
    <xdr:clientData/>
  </xdr:twoCellAnchor>
  <xdr:twoCellAnchor>
    <xdr:from>
      <xdr:col>9</xdr:col>
      <xdr:colOff>6350</xdr:colOff>
      <xdr:row>3755</xdr:row>
      <xdr:rowOff>25400</xdr:rowOff>
    </xdr:from>
    <xdr:to>
      <xdr:col>9</xdr:col>
      <xdr:colOff>885190</xdr:colOff>
      <xdr:row>3755</xdr:row>
      <xdr:rowOff>1209040</xdr:rowOff>
    </xdr:to>
    <xdr:pic>
      <xdr:nvPicPr>
        <xdr:cNvPr id="8127" name="Изображение 8126" descr="resizeПП-00220210"/>
        <xdr:cNvPicPr>
          <a:picLocks noChangeAspect="1"/>
        </xdr:cNvPicPr>
      </xdr:nvPicPr>
      <xdr:blipFill>
        <a:blip xmlns:r="http://schemas.openxmlformats.org/officeDocument/2006/relationships" r:embed="rId2833"/>
        <a:stretch>
          <a:fillRect/>
        </a:stretch>
      </xdr:blipFill>
      <xdr:spPr>
        <a:xfrm>
          <a:off x="7235825" y="3699798925"/>
          <a:ext cx="878840" cy="1183640"/>
        </a:xfrm>
        <a:prstGeom prst="rect">
          <a:avLst/>
        </a:prstGeom>
      </xdr:spPr>
    </xdr:pic>
    <xdr:clientData/>
  </xdr:twoCellAnchor>
  <xdr:twoCellAnchor>
    <xdr:from>
      <xdr:col>9</xdr:col>
      <xdr:colOff>6350</xdr:colOff>
      <xdr:row>3756</xdr:row>
      <xdr:rowOff>25400</xdr:rowOff>
    </xdr:from>
    <xdr:to>
      <xdr:col>9</xdr:col>
      <xdr:colOff>885190</xdr:colOff>
      <xdr:row>3756</xdr:row>
      <xdr:rowOff>1209040</xdr:rowOff>
    </xdr:to>
    <xdr:pic>
      <xdr:nvPicPr>
        <xdr:cNvPr id="8128" name="Изображение 8127" descr="resizeПП-00222154"/>
        <xdr:cNvPicPr>
          <a:picLocks noChangeAspect="1"/>
        </xdr:cNvPicPr>
      </xdr:nvPicPr>
      <xdr:blipFill>
        <a:blip xmlns:r="http://schemas.openxmlformats.org/officeDocument/2006/relationships" r:embed="rId2834"/>
        <a:stretch>
          <a:fillRect/>
        </a:stretch>
      </xdr:blipFill>
      <xdr:spPr>
        <a:xfrm>
          <a:off x="7235825" y="3701021300"/>
          <a:ext cx="878840" cy="1183640"/>
        </a:xfrm>
        <a:prstGeom prst="rect">
          <a:avLst/>
        </a:prstGeom>
      </xdr:spPr>
    </xdr:pic>
    <xdr:clientData/>
  </xdr:twoCellAnchor>
  <xdr:twoCellAnchor>
    <xdr:from>
      <xdr:col>9</xdr:col>
      <xdr:colOff>6350</xdr:colOff>
      <xdr:row>3757</xdr:row>
      <xdr:rowOff>25400</xdr:rowOff>
    </xdr:from>
    <xdr:to>
      <xdr:col>9</xdr:col>
      <xdr:colOff>885190</xdr:colOff>
      <xdr:row>3757</xdr:row>
      <xdr:rowOff>1209040</xdr:rowOff>
    </xdr:to>
    <xdr:pic>
      <xdr:nvPicPr>
        <xdr:cNvPr id="8129" name="Изображение 8128" descr="resizeПП-00221691"/>
        <xdr:cNvPicPr>
          <a:picLocks noChangeAspect="1"/>
        </xdr:cNvPicPr>
      </xdr:nvPicPr>
      <xdr:blipFill>
        <a:blip xmlns:r="http://schemas.openxmlformats.org/officeDocument/2006/relationships" r:embed="rId2835"/>
        <a:stretch>
          <a:fillRect/>
        </a:stretch>
      </xdr:blipFill>
      <xdr:spPr>
        <a:xfrm>
          <a:off x="7235825" y="3702243675"/>
          <a:ext cx="878840" cy="1183640"/>
        </a:xfrm>
        <a:prstGeom prst="rect">
          <a:avLst/>
        </a:prstGeom>
      </xdr:spPr>
    </xdr:pic>
    <xdr:clientData/>
  </xdr:twoCellAnchor>
  <xdr:twoCellAnchor>
    <xdr:from>
      <xdr:col>9</xdr:col>
      <xdr:colOff>6350</xdr:colOff>
      <xdr:row>3758</xdr:row>
      <xdr:rowOff>25400</xdr:rowOff>
    </xdr:from>
    <xdr:to>
      <xdr:col>9</xdr:col>
      <xdr:colOff>885190</xdr:colOff>
      <xdr:row>3758</xdr:row>
      <xdr:rowOff>1209040</xdr:rowOff>
    </xdr:to>
    <xdr:pic>
      <xdr:nvPicPr>
        <xdr:cNvPr id="8130" name="Изображение 8129" descr="resizeПП-00221696"/>
        <xdr:cNvPicPr>
          <a:picLocks noChangeAspect="1"/>
        </xdr:cNvPicPr>
      </xdr:nvPicPr>
      <xdr:blipFill>
        <a:blip xmlns:r="http://schemas.openxmlformats.org/officeDocument/2006/relationships" r:embed="rId2836"/>
        <a:stretch>
          <a:fillRect/>
        </a:stretch>
      </xdr:blipFill>
      <xdr:spPr>
        <a:xfrm>
          <a:off x="7235825" y="3703466050"/>
          <a:ext cx="878840" cy="1183640"/>
        </a:xfrm>
        <a:prstGeom prst="rect">
          <a:avLst/>
        </a:prstGeom>
      </xdr:spPr>
    </xdr:pic>
    <xdr:clientData/>
  </xdr:twoCellAnchor>
  <xdr:twoCellAnchor>
    <xdr:from>
      <xdr:col>9</xdr:col>
      <xdr:colOff>6350</xdr:colOff>
      <xdr:row>3759</xdr:row>
      <xdr:rowOff>25400</xdr:rowOff>
    </xdr:from>
    <xdr:to>
      <xdr:col>9</xdr:col>
      <xdr:colOff>885190</xdr:colOff>
      <xdr:row>3759</xdr:row>
      <xdr:rowOff>1209040</xdr:rowOff>
    </xdr:to>
    <xdr:pic>
      <xdr:nvPicPr>
        <xdr:cNvPr id="8131" name="Изображение 8130" descr="resizeПП-00221692"/>
        <xdr:cNvPicPr>
          <a:picLocks noChangeAspect="1"/>
        </xdr:cNvPicPr>
      </xdr:nvPicPr>
      <xdr:blipFill>
        <a:blip xmlns:r="http://schemas.openxmlformats.org/officeDocument/2006/relationships" r:embed="rId2837"/>
        <a:stretch>
          <a:fillRect/>
        </a:stretch>
      </xdr:blipFill>
      <xdr:spPr>
        <a:xfrm>
          <a:off x="7235825" y="3704688425"/>
          <a:ext cx="878840" cy="1183640"/>
        </a:xfrm>
        <a:prstGeom prst="rect">
          <a:avLst/>
        </a:prstGeom>
      </xdr:spPr>
    </xdr:pic>
    <xdr:clientData/>
  </xdr:twoCellAnchor>
  <xdr:twoCellAnchor>
    <xdr:from>
      <xdr:col>9</xdr:col>
      <xdr:colOff>6350</xdr:colOff>
      <xdr:row>3760</xdr:row>
      <xdr:rowOff>25400</xdr:rowOff>
    </xdr:from>
    <xdr:to>
      <xdr:col>9</xdr:col>
      <xdr:colOff>885190</xdr:colOff>
      <xdr:row>3760</xdr:row>
      <xdr:rowOff>1209040</xdr:rowOff>
    </xdr:to>
    <xdr:pic>
      <xdr:nvPicPr>
        <xdr:cNvPr id="8132" name="Изображение 8131" descr="resizeПП-00234142"/>
        <xdr:cNvPicPr>
          <a:picLocks noChangeAspect="1"/>
        </xdr:cNvPicPr>
      </xdr:nvPicPr>
      <xdr:blipFill>
        <a:blip xmlns:r="http://schemas.openxmlformats.org/officeDocument/2006/relationships" r:embed="rId2838"/>
        <a:stretch>
          <a:fillRect/>
        </a:stretch>
      </xdr:blipFill>
      <xdr:spPr>
        <a:xfrm>
          <a:off x="7235825" y="3705910800"/>
          <a:ext cx="878840" cy="1183640"/>
        </a:xfrm>
        <a:prstGeom prst="rect">
          <a:avLst/>
        </a:prstGeom>
      </xdr:spPr>
    </xdr:pic>
    <xdr:clientData/>
  </xdr:twoCellAnchor>
  <xdr:twoCellAnchor>
    <xdr:from>
      <xdr:col>9</xdr:col>
      <xdr:colOff>6350</xdr:colOff>
      <xdr:row>3762</xdr:row>
      <xdr:rowOff>25400</xdr:rowOff>
    </xdr:from>
    <xdr:to>
      <xdr:col>9</xdr:col>
      <xdr:colOff>885190</xdr:colOff>
      <xdr:row>3762</xdr:row>
      <xdr:rowOff>1209040</xdr:rowOff>
    </xdr:to>
    <xdr:pic>
      <xdr:nvPicPr>
        <xdr:cNvPr id="8133" name="Изображение 8132" descr="resizeПП-00252776"/>
        <xdr:cNvPicPr>
          <a:picLocks noChangeAspect="1"/>
        </xdr:cNvPicPr>
      </xdr:nvPicPr>
      <xdr:blipFill>
        <a:blip xmlns:r="http://schemas.openxmlformats.org/officeDocument/2006/relationships" r:embed="rId2839"/>
        <a:stretch>
          <a:fillRect/>
        </a:stretch>
      </xdr:blipFill>
      <xdr:spPr>
        <a:xfrm>
          <a:off x="7235825" y="3707285575"/>
          <a:ext cx="878840" cy="1183640"/>
        </a:xfrm>
        <a:prstGeom prst="rect">
          <a:avLst/>
        </a:prstGeom>
      </xdr:spPr>
    </xdr:pic>
    <xdr:clientData/>
  </xdr:twoCellAnchor>
  <xdr:twoCellAnchor>
    <xdr:from>
      <xdr:col>9</xdr:col>
      <xdr:colOff>6350</xdr:colOff>
      <xdr:row>3763</xdr:row>
      <xdr:rowOff>25400</xdr:rowOff>
    </xdr:from>
    <xdr:to>
      <xdr:col>9</xdr:col>
      <xdr:colOff>885190</xdr:colOff>
      <xdr:row>3763</xdr:row>
      <xdr:rowOff>1209040</xdr:rowOff>
    </xdr:to>
    <xdr:pic>
      <xdr:nvPicPr>
        <xdr:cNvPr id="8134" name="Изображение 8133" descr="resizeПП-00252775"/>
        <xdr:cNvPicPr>
          <a:picLocks noChangeAspect="1"/>
        </xdr:cNvPicPr>
      </xdr:nvPicPr>
      <xdr:blipFill>
        <a:blip xmlns:r="http://schemas.openxmlformats.org/officeDocument/2006/relationships" r:embed="rId2840"/>
        <a:stretch>
          <a:fillRect/>
        </a:stretch>
      </xdr:blipFill>
      <xdr:spPr>
        <a:xfrm>
          <a:off x="7235825" y="3708507950"/>
          <a:ext cx="878840" cy="1183640"/>
        </a:xfrm>
        <a:prstGeom prst="rect">
          <a:avLst/>
        </a:prstGeom>
      </xdr:spPr>
    </xdr:pic>
    <xdr:clientData/>
  </xdr:twoCellAnchor>
  <xdr:twoCellAnchor>
    <xdr:from>
      <xdr:col>9</xdr:col>
      <xdr:colOff>6350</xdr:colOff>
      <xdr:row>3764</xdr:row>
      <xdr:rowOff>25400</xdr:rowOff>
    </xdr:from>
    <xdr:to>
      <xdr:col>9</xdr:col>
      <xdr:colOff>885190</xdr:colOff>
      <xdr:row>3764</xdr:row>
      <xdr:rowOff>1209040</xdr:rowOff>
    </xdr:to>
    <xdr:pic>
      <xdr:nvPicPr>
        <xdr:cNvPr id="8135" name="Изображение 8134" descr="resizeПП-00258126"/>
        <xdr:cNvPicPr>
          <a:picLocks noChangeAspect="1"/>
        </xdr:cNvPicPr>
      </xdr:nvPicPr>
      <xdr:blipFill>
        <a:blip xmlns:r="http://schemas.openxmlformats.org/officeDocument/2006/relationships" r:embed="rId2841"/>
        <a:stretch>
          <a:fillRect/>
        </a:stretch>
      </xdr:blipFill>
      <xdr:spPr>
        <a:xfrm>
          <a:off x="7235825" y="3709730325"/>
          <a:ext cx="878840" cy="1183640"/>
        </a:xfrm>
        <a:prstGeom prst="rect">
          <a:avLst/>
        </a:prstGeom>
      </xdr:spPr>
    </xdr:pic>
    <xdr:clientData/>
  </xdr:twoCellAnchor>
  <xdr:twoCellAnchor>
    <xdr:from>
      <xdr:col>9</xdr:col>
      <xdr:colOff>6350</xdr:colOff>
      <xdr:row>3765</xdr:row>
      <xdr:rowOff>25400</xdr:rowOff>
    </xdr:from>
    <xdr:to>
      <xdr:col>9</xdr:col>
      <xdr:colOff>885190</xdr:colOff>
      <xdr:row>3765</xdr:row>
      <xdr:rowOff>1209040</xdr:rowOff>
    </xdr:to>
    <xdr:pic>
      <xdr:nvPicPr>
        <xdr:cNvPr id="8136" name="Изображение 8135" descr="resizeПП-00258125"/>
        <xdr:cNvPicPr>
          <a:picLocks noChangeAspect="1"/>
        </xdr:cNvPicPr>
      </xdr:nvPicPr>
      <xdr:blipFill>
        <a:blip xmlns:r="http://schemas.openxmlformats.org/officeDocument/2006/relationships" r:embed="rId2842"/>
        <a:stretch>
          <a:fillRect/>
        </a:stretch>
      </xdr:blipFill>
      <xdr:spPr>
        <a:xfrm>
          <a:off x="7235825" y="3710952700"/>
          <a:ext cx="878840" cy="1183640"/>
        </a:xfrm>
        <a:prstGeom prst="rect">
          <a:avLst/>
        </a:prstGeom>
      </xdr:spPr>
    </xdr:pic>
    <xdr:clientData/>
  </xdr:twoCellAnchor>
  <xdr:twoCellAnchor>
    <xdr:from>
      <xdr:col>9</xdr:col>
      <xdr:colOff>6350</xdr:colOff>
      <xdr:row>3766</xdr:row>
      <xdr:rowOff>25400</xdr:rowOff>
    </xdr:from>
    <xdr:to>
      <xdr:col>9</xdr:col>
      <xdr:colOff>885190</xdr:colOff>
      <xdr:row>3766</xdr:row>
      <xdr:rowOff>1209040</xdr:rowOff>
    </xdr:to>
    <xdr:pic>
      <xdr:nvPicPr>
        <xdr:cNvPr id="8137" name="Изображение 8136" descr="resizeПП-00258122"/>
        <xdr:cNvPicPr>
          <a:picLocks noChangeAspect="1"/>
        </xdr:cNvPicPr>
      </xdr:nvPicPr>
      <xdr:blipFill>
        <a:blip xmlns:r="http://schemas.openxmlformats.org/officeDocument/2006/relationships" r:embed="rId2843"/>
        <a:stretch>
          <a:fillRect/>
        </a:stretch>
      </xdr:blipFill>
      <xdr:spPr>
        <a:xfrm>
          <a:off x="7235825" y="3712175075"/>
          <a:ext cx="878840" cy="1183640"/>
        </a:xfrm>
        <a:prstGeom prst="rect">
          <a:avLst/>
        </a:prstGeom>
      </xdr:spPr>
    </xdr:pic>
    <xdr:clientData/>
  </xdr:twoCellAnchor>
  <xdr:twoCellAnchor>
    <xdr:from>
      <xdr:col>9</xdr:col>
      <xdr:colOff>6350</xdr:colOff>
      <xdr:row>3767</xdr:row>
      <xdr:rowOff>25400</xdr:rowOff>
    </xdr:from>
    <xdr:to>
      <xdr:col>9</xdr:col>
      <xdr:colOff>885190</xdr:colOff>
      <xdr:row>3767</xdr:row>
      <xdr:rowOff>1209040</xdr:rowOff>
    </xdr:to>
    <xdr:pic>
      <xdr:nvPicPr>
        <xdr:cNvPr id="8138" name="Изображение 8137" descr="resizeПП-00258124"/>
        <xdr:cNvPicPr>
          <a:picLocks noChangeAspect="1"/>
        </xdr:cNvPicPr>
      </xdr:nvPicPr>
      <xdr:blipFill>
        <a:blip xmlns:r="http://schemas.openxmlformats.org/officeDocument/2006/relationships" r:embed="rId2844"/>
        <a:stretch>
          <a:fillRect/>
        </a:stretch>
      </xdr:blipFill>
      <xdr:spPr>
        <a:xfrm>
          <a:off x="7235825" y="3713397450"/>
          <a:ext cx="878840" cy="1183640"/>
        </a:xfrm>
        <a:prstGeom prst="rect">
          <a:avLst/>
        </a:prstGeom>
      </xdr:spPr>
    </xdr:pic>
    <xdr:clientData/>
  </xdr:twoCellAnchor>
  <xdr:twoCellAnchor>
    <xdr:from>
      <xdr:col>9</xdr:col>
      <xdr:colOff>6350</xdr:colOff>
      <xdr:row>3768</xdr:row>
      <xdr:rowOff>25400</xdr:rowOff>
    </xdr:from>
    <xdr:to>
      <xdr:col>9</xdr:col>
      <xdr:colOff>885190</xdr:colOff>
      <xdr:row>3768</xdr:row>
      <xdr:rowOff>1209040</xdr:rowOff>
    </xdr:to>
    <xdr:pic>
      <xdr:nvPicPr>
        <xdr:cNvPr id="8139" name="Изображение 8138" descr="resizeПП-00234140"/>
        <xdr:cNvPicPr>
          <a:picLocks noChangeAspect="1"/>
        </xdr:cNvPicPr>
      </xdr:nvPicPr>
      <xdr:blipFill>
        <a:blip xmlns:r="http://schemas.openxmlformats.org/officeDocument/2006/relationships" r:embed="rId2845"/>
        <a:stretch>
          <a:fillRect/>
        </a:stretch>
      </xdr:blipFill>
      <xdr:spPr>
        <a:xfrm>
          <a:off x="7235825" y="3714619825"/>
          <a:ext cx="878840" cy="1183640"/>
        </a:xfrm>
        <a:prstGeom prst="rect">
          <a:avLst/>
        </a:prstGeom>
      </xdr:spPr>
    </xdr:pic>
    <xdr:clientData/>
  </xdr:twoCellAnchor>
  <xdr:twoCellAnchor>
    <xdr:from>
      <xdr:col>9</xdr:col>
      <xdr:colOff>6350</xdr:colOff>
      <xdr:row>3769</xdr:row>
      <xdr:rowOff>25400</xdr:rowOff>
    </xdr:from>
    <xdr:to>
      <xdr:col>9</xdr:col>
      <xdr:colOff>885190</xdr:colOff>
      <xdr:row>3769</xdr:row>
      <xdr:rowOff>1209040</xdr:rowOff>
    </xdr:to>
    <xdr:pic>
      <xdr:nvPicPr>
        <xdr:cNvPr id="8140" name="Изображение 8139" descr="resizeПП-00234144"/>
        <xdr:cNvPicPr>
          <a:picLocks noChangeAspect="1"/>
        </xdr:cNvPicPr>
      </xdr:nvPicPr>
      <xdr:blipFill>
        <a:blip xmlns:r="http://schemas.openxmlformats.org/officeDocument/2006/relationships" r:embed="rId2846"/>
        <a:stretch>
          <a:fillRect/>
        </a:stretch>
      </xdr:blipFill>
      <xdr:spPr>
        <a:xfrm>
          <a:off x="7235825" y="3715842200"/>
          <a:ext cx="878840" cy="1183640"/>
        </a:xfrm>
        <a:prstGeom prst="rect">
          <a:avLst/>
        </a:prstGeom>
      </xdr:spPr>
    </xdr:pic>
    <xdr:clientData/>
  </xdr:twoCellAnchor>
  <xdr:twoCellAnchor>
    <xdr:from>
      <xdr:col>9</xdr:col>
      <xdr:colOff>6350</xdr:colOff>
      <xdr:row>3770</xdr:row>
      <xdr:rowOff>25400</xdr:rowOff>
    </xdr:from>
    <xdr:to>
      <xdr:col>9</xdr:col>
      <xdr:colOff>885190</xdr:colOff>
      <xdr:row>3770</xdr:row>
      <xdr:rowOff>1209040</xdr:rowOff>
    </xdr:to>
    <xdr:pic>
      <xdr:nvPicPr>
        <xdr:cNvPr id="8141" name="Изображение 8140" descr="resizeПП-00261782"/>
        <xdr:cNvPicPr>
          <a:picLocks noChangeAspect="1"/>
        </xdr:cNvPicPr>
      </xdr:nvPicPr>
      <xdr:blipFill>
        <a:blip xmlns:r="http://schemas.openxmlformats.org/officeDocument/2006/relationships" r:embed="rId2800"/>
        <a:stretch>
          <a:fillRect/>
        </a:stretch>
      </xdr:blipFill>
      <xdr:spPr>
        <a:xfrm>
          <a:off x="7235825" y="3717064575"/>
          <a:ext cx="878840" cy="1183640"/>
        </a:xfrm>
        <a:prstGeom prst="rect">
          <a:avLst/>
        </a:prstGeom>
      </xdr:spPr>
    </xdr:pic>
    <xdr:clientData/>
  </xdr:twoCellAnchor>
  <xdr:twoCellAnchor>
    <xdr:from>
      <xdr:col>9</xdr:col>
      <xdr:colOff>6350</xdr:colOff>
      <xdr:row>3771</xdr:row>
      <xdr:rowOff>25400</xdr:rowOff>
    </xdr:from>
    <xdr:to>
      <xdr:col>9</xdr:col>
      <xdr:colOff>885190</xdr:colOff>
      <xdr:row>3771</xdr:row>
      <xdr:rowOff>1209040</xdr:rowOff>
    </xdr:to>
    <xdr:pic>
      <xdr:nvPicPr>
        <xdr:cNvPr id="8142" name="Изображение 8141" descr="resizeПП-00261783"/>
        <xdr:cNvPicPr>
          <a:picLocks noChangeAspect="1"/>
        </xdr:cNvPicPr>
      </xdr:nvPicPr>
      <xdr:blipFill>
        <a:blip xmlns:r="http://schemas.openxmlformats.org/officeDocument/2006/relationships" r:embed="rId2801"/>
        <a:stretch>
          <a:fillRect/>
        </a:stretch>
      </xdr:blipFill>
      <xdr:spPr>
        <a:xfrm>
          <a:off x="7235825" y="3718286950"/>
          <a:ext cx="878840" cy="1183640"/>
        </a:xfrm>
        <a:prstGeom prst="rect">
          <a:avLst/>
        </a:prstGeom>
      </xdr:spPr>
    </xdr:pic>
    <xdr:clientData/>
  </xdr:twoCellAnchor>
  <xdr:twoCellAnchor>
    <xdr:from>
      <xdr:col>9</xdr:col>
      <xdr:colOff>6350</xdr:colOff>
      <xdr:row>3772</xdr:row>
      <xdr:rowOff>25400</xdr:rowOff>
    </xdr:from>
    <xdr:to>
      <xdr:col>9</xdr:col>
      <xdr:colOff>885190</xdr:colOff>
      <xdr:row>3772</xdr:row>
      <xdr:rowOff>1209040</xdr:rowOff>
    </xdr:to>
    <xdr:pic>
      <xdr:nvPicPr>
        <xdr:cNvPr id="8143" name="Изображение 8142" descr="resizeПП-00261787"/>
        <xdr:cNvPicPr>
          <a:picLocks noChangeAspect="1"/>
        </xdr:cNvPicPr>
      </xdr:nvPicPr>
      <xdr:blipFill>
        <a:blip xmlns:r="http://schemas.openxmlformats.org/officeDocument/2006/relationships" r:embed="rId2847"/>
        <a:stretch>
          <a:fillRect/>
        </a:stretch>
      </xdr:blipFill>
      <xdr:spPr>
        <a:xfrm>
          <a:off x="7235825" y="3719509325"/>
          <a:ext cx="878840" cy="1183640"/>
        </a:xfrm>
        <a:prstGeom prst="rect">
          <a:avLst/>
        </a:prstGeom>
      </xdr:spPr>
    </xdr:pic>
    <xdr:clientData/>
  </xdr:twoCellAnchor>
  <xdr:twoCellAnchor>
    <xdr:from>
      <xdr:col>9</xdr:col>
      <xdr:colOff>6350</xdr:colOff>
      <xdr:row>3773</xdr:row>
      <xdr:rowOff>25400</xdr:rowOff>
    </xdr:from>
    <xdr:to>
      <xdr:col>9</xdr:col>
      <xdr:colOff>885190</xdr:colOff>
      <xdr:row>3773</xdr:row>
      <xdr:rowOff>1209040</xdr:rowOff>
    </xdr:to>
    <xdr:pic>
      <xdr:nvPicPr>
        <xdr:cNvPr id="8144" name="Изображение 8143" descr="resizeПП-00261785"/>
        <xdr:cNvPicPr>
          <a:picLocks noChangeAspect="1"/>
        </xdr:cNvPicPr>
      </xdr:nvPicPr>
      <xdr:blipFill>
        <a:blip xmlns:r="http://schemas.openxmlformats.org/officeDocument/2006/relationships" r:embed="rId2802"/>
        <a:stretch>
          <a:fillRect/>
        </a:stretch>
      </xdr:blipFill>
      <xdr:spPr>
        <a:xfrm>
          <a:off x="7235825" y="3720731700"/>
          <a:ext cx="878840" cy="1183640"/>
        </a:xfrm>
        <a:prstGeom prst="rect">
          <a:avLst/>
        </a:prstGeom>
      </xdr:spPr>
    </xdr:pic>
    <xdr:clientData/>
  </xdr:twoCellAnchor>
  <xdr:twoCellAnchor>
    <xdr:from>
      <xdr:col>9</xdr:col>
      <xdr:colOff>6350</xdr:colOff>
      <xdr:row>3775</xdr:row>
      <xdr:rowOff>25400</xdr:rowOff>
    </xdr:from>
    <xdr:to>
      <xdr:col>9</xdr:col>
      <xdr:colOff>885190</xdr:colOff>
      <xdr:row>3775</xdr:row>
      <xdr:rowOff>1209040</xdr:rowOff>
    </xdr:to>
    <xdr:pic>
      <xdr:nvPicPr>
        <xdr:cNvPr id="8145" name="Изображение 8144" descr="resizeПП-00246381"/>
        <xdr:cNvPicPr>
          <a:picLocks noChangeAspect="1"/>
        </xdr:cNvPicPr>
      </xdr:nvPicPr>
      <xdr:blipFill>
        <a:blip xmlns:r="http://schemas.openxmlformats.org/officeDocument/2006/relationships" r:embed="rId2848"/>
        <a:stretch>
          <a:fillRect/>
        </a:stretch>
      </xdr:blipFill>
      <xdr:spPr>
        <a:xfrm>
          <a:off x="7235825" y="3722106475"/>
          <a:ext cx="878840" cy="1183640"/>
        </a:xfrm>
        <a:prstGeom prst="rect">
          <a:avLst/>
        </a:prstGeom>
      </xdr:spPr>
    </xdr:pic>
    <xdr:clientData/>
  </xdr:twoCellAnchor>
  <xdr:twoCellAnchor>
    <xdr:from>
      <xdr:col>9</xdr:col>
      <xdr:colOff>6350</xdr:colOff>
      <xdr:row>3776</xdr:row>
      <xdr:rowOff>25400</xdr:rowOff>
    </xdr:from>
    <xdr:to>
      <xdr:col>9</xdr:col>
      <xdr:colOff>885190</xdr:colOff>
      <xdr:row>3776</xdr:row>
      <xdr:rowOff>1209040</xdr:rowOff>
    </xdr:to>
    <xdr:pic>
      <xdr:nvPicPr>
        <xdr:cNvPr id="8146" name="Изображение 8145" descr="resizeПП-00246380"/>
        <xdr:cNvPicPr>
          <a:picLocks noChangeAspect="1"/>
        </xdr:cNvPicPr>
      </xdr:nvPicPr>
      <xdr:blipFill>
        <a:blip xmlns:r="http://schemas.openxmlformats.org/officeDocument/2006/relationships" r:embed="rId2849"/>
        <a:stretch>
          <a:fillRect/>
        </a:stretch>
      </xdr:blipFill>
      <xdr:spPr>
        <a:xfrm>
          <a:off x="7235825" y="3723328850"/>
          <a:ext cx="878840" cy="1183640"/>
        </a:xfrm>
        <a:prstGeom prst="rect">
          <a:avLst/>
        </a:prstGeom>
      </xdr:spPr>
    </xdr:pic>
    <xdr:clientData/>
  </xdr:twoCellAnchor>
  <xdr:twoCellAnchor>
    <xdr:from>
      <xdr:col>9</xdr:col>
      <xdr:colOff>6350</xdr:colOff>
      <xdr:row>3777</xdr:row>
      <xdr:rowOff>25400</xdr:rowOff>
    </xdr:from>
    <xdr:to>
      <xdr:col>9</xdr:col>
      <xdr:colOff>885190</xdr:colOff>
      <xdr:row>3777</xdr:row>
      <xdr:rowOff>1209040</xdr:rowOff>
    </xdr:to>
    <xdr:pic>
      <xdr:nvPicPr>
        <xdr:cNvPr id="8147" name="Изображение 8146" descr="resizeПП-00246382"/>
        <xdr:cNvPicPr>
          <a:picLocks noChangeAspect="1"/>
        </xdr:cNvPicPr>
      </xdr:nvPicPr>
      <xdr:blipFill>
        <a:blip xmlns:r="http://schemas.openxmlformats.org/officeDocument/2006/relationships" r:embed="rId2850"/>
        <a:stretch>
          <a:fillRect/>
        </a:stretch>
      </xdr:blipFill>
      <xdr:spPr>
        <a:xfrm>
          <a:off x="7235825" y="3724551225"/>
          <a:ext cx="878840" cy="1183640"/>
        </a:xfrm>
        <a:prstGeom prst="rect">
          <a:avLst/>
        </a:prstGeom>
      </xdr:spPr>
    </xdr:pic>
    <xdr:clientData/>
  </xdr:twoCellAnchor>
  <xdr:twoCellAnchor>
    <xdr:from>
      <xdr:col>9</xdr:col>
      <xdr:colOff>6350</xdr:colOff>
      <xdr:row>3778</xdr:row>
      <xdr:rowOff>25400</xdr:rowOff>
    </xdr:from>
    <xdr:to>
      <xdr:col>9</xdr:col>
      <xdr:colOff>885190</xdr:colOff>
      <xdr:row>3778</xdr:row>
      <xdr:rowOff>1209040</xdr:rowOff>
    </xdr:to>
    <xdr:pic>
      <xdr:nvPicPr>
        <xdr:cNvPr id="8148" name="Изображение 8147" descr="resizeПП-00222203"/>
        <xdr:cNvPicPr>
          <a:picLocks noChangeAspect="1"/>
        </xdr:cNvPicPr>
      </xdr:nvPicPr>
      <xdr:blipFill>
        <a:blip xmlns:r="http://schemas.openxmlformats.org/officeDocument/2006/relationships" r:embed="rId2851"/>
        <a:stretch>
          <a:fillRect/>
        </a:stretch>
      </xdr:blipFill>
      <xdr:spPr>
        <a:xfrm>
          <a:off x="7235825" y="3725773600"/>
          <a:ext cx="878840" cy="1183640"/>
        </a:xfrm>
        <a:prstGeom prst="rect">
          <a:avLst/>
        </a:prstGeom>
      </xdr:spPr>
    </xdr:pic>
    <xdr:clientData/>
  </xdr:twoCellAnchor>
  <xdr:twoCellAnchor>
    <xdr:from>
      <xdr:col>9</xdr:col>
      <xdr:colOff>6350</xdr:colOff>
      <xdr:row>3779</xdr:row>
      <xdr:rowOff>25400</xdr:rowOff>
    </xdr:from>
    <xdr:to>
      <xdr:col>9</xdr:col>
      <xdr:colOff>885190</xdr:colOff>
      <xdr:row>3779</xdr:row>
      <xdr:rowOff>1209040</xdr:rowOff>
    </xdr:to>
    <xdr:pic>
      <xdr:nvPicPr>
        <xdr:cNvPr id="8149" name="Изображение 8148" descr="resizeПП-00252768"/>
        <xdr:cNvPicPr>
          <a:picLocks noChangeAspect="1"/>
        </xdr:cNvPicPr>
      </xdr:nvPicPr>
      <xdr:blipFill>
        <a:blip xmlns:r="http://schemas.openxmlformats.org/officeDocument/2006/relationships" r:embed="rId2852"/>
        <a:stretch>
          <a:fillRect/>
        </a:stretch>
      </xdr:blipFill>
      <xdr:spPr>
        <a:xfrm>
          <a:off x="7235825" y="3726995975"/>
          <a:ext cx="878840" cy="1183640"/>
        </a:xfrm>
        <a:prstGeom prst="rect">
          <a:avLst/>
        </a:prstGeom>
      </xdr:spPr>
    </xdr:pic>
    <xdr:clientData/>
  </xdr:twoCellAnchor>
  <xdr:twoCellAnchor>
    <xdr:from>
      <xdr:col>9</xdr:col>
      <xdr:colOff>6350</xdr:colOff>
      <xdr:row>3780</xdr:row>
      <xdr:rowOff>25400</xdr:rowOff>
    </xdr:from>
    <xdr:to>
      <xdr:col>9</xdr:col>
      <xdr:colOff>885190</xdr:colOff>
      <xdr:row>3780</xdr:row>
      <xdr:rowOff>1209040</xdr:rowOff>
    </xdr:to>
    <xdr:pic>
      <xdr:nvPicPr>
        <xdr:cNvPr id="8150" name="Изображение 8149" descr="resizeПП-00252766"/>
        <xdr:cNvPicPr>
          <a:picLocks noChangeAspect="1"/>
        </xdr:cNvPicPr>
      </xdr:nvPicPr>
      <xdr:blipFill>
        <a:blip xmlns:r="http://schemas.openxmlformats.org/officeDocument/2006/relationships" r:embed="rId2853"/>
        <a:stretch>
          <a:fillRect/>
        </a:stretch>
      </xdr:blipFill>
      <xdr:spPr>
        <a:xfrm>
          <a:off x="7235825" y="3728218350"/>
          <a:ext cx="878840" cy="1183640"/>
        </a:xfrm>
        <a:prstGeom prst="rect">
          <a:avLst/>
        </a:prstGeom>
      </xdr:spPr>
    </xdr:pic>
    <xdr:clientData/>
  </xdr:twoCellAnchor>
  <xdr:twoCellAnchor>
    <xdr:from>
      <xdr:col>9</xdr:col>
      <xdr:colOff>6350</xdr:colOff>
      <xdr:row>3781</xdr:row>
      <xdr:rowOff>25400</xdr:rowOff>
    </xdr:from>
    <xdr:to>
      <xdr:col>9</xdr:col>
      <xdr:colOff>885190</xdr:colOff>
      <xdr:row>3781</xdr:row>
      <xdr:rowOff>1209040</xdr:rowOff>
    </xdr:to>
    <xdr:pic>
      <xdr:nvPicPr>
        <xdr:cNvPr id="8151" name="Изображение 8150" descr="resizeПП-00234187"/>
        <xdr:cNvPicPr>
          <a:picLocks noChangeAspect="1"/>
        </xdr:cNvPicPr>
      </xdr:nvPicPr>
      <xdr:blipFill>
        <a:blip xmlns:r="http://schemas.openxmlformats.org/officeDocument/2006/relationships" r:embed="rId2854"/>
        <a:stretch>
          <a:fillRect/>
        </a:stretch>
      </xdr:blipFill>
      <xdr:spPr>
        <a:xfrm>
          <a:off x="7235825" y="3729440725"/>
          <a:ext cx="878840" cy="1183640"/>
        </a:xfrm>
        <a:prstGeom prst="rect">
          <a:avLst/>
        </a:prstGeom>
      </xdr:spPr>
    </xdr:pic>
    <xdr:clientData/>
  </xdr:twoCellAnchor>
  <xdr:twoCellAnchor>
    <xdr:from>
      <xdr:col>9</xdr:col>
      <xdr:colOff>6350</xdr:colOff>
      <xdr:row>3782</xdr:row>
      <xdr:rowOff>25400</xdr:rowOff>
    </xdr:from>
    <xdr:to>
      <xdr:col>9</xdr:col>
      <xdr:colOff>885190</xdr:colOff>
      <xdr:row>3782</xdr:row>
      <xdr:rowOff>1209040</xdr:rowOff>
    </xdr:to>
    <xdr:pic>
      <xdr:nvPicPr>
        <xdr:cNvPr id="8152" name="Изображение 8151" descr="resizeПП-00234190"/>
        <xdr:cNvPicPr>
          <a:picLocks noChangeAspect="1"/>
        </xdr:cNvPicPr>
      </xdr:nvPicPr>
      <xdr:blipFill>
        <a:blip xmlns:r="http://schemas.openxmlformats.org/officeDocument/2006/relationships" r:embed="rId2855"/>
        <a:stretch>
          <a:fillRect/>
        </a:stretch>
      </xdr:blipFill>
      <xdr:spPr>
        <a:xfrm>
          <a:off x="7235825" y="3730663100"/>
          <a:ext cx="878840" cy="1183640"/>
        </a:xfrm>
        <a:prstGeom prst="rect">
          <a:avLst/>
        </a:prstGeom>
      </xdr:spPr>
    </xdr:pic>
    <xdr:clientData/>
  </xdr:twoCellAnchor>
  <xdr:twoCellAnchor>
    <xdr:from>
      <xdr:col>9</xdr:col>
      <xdr:colOff>6350</xdr:colOff>
      <xdr:row>3783</xdr:row>
      <xdr:rowOff>25400</xdr:rowOff>
    </xdr:from>
    <xdr:to>
      <xdr:col>9</xdr:col>
      <xdr:colOff>885190</xdr:colOff>
      <xdr:row>3783</xdr:row>
      <xdr:rowOff>1209040</xdr:rowOff>
    </xdr:to>
    <xdr:pic>
      <xdr:nvPicPr>
        <xdr:cNvPr id="8153" name="Изображение 8152" descr="resizeПП-00234186"/>
        <xdr:cNvPicPr>
          <a:picLocks noChangeAspect="1"/>
        </xdr:cNvPicPr>
      </xdr:nvPicPr>
      <xdr:blipFill>
        <a:blip xmlns:r="http://schemas.openxmlformats.org/officeDocument/2006/relationships" r:embed="rId2856"/>
        <a:stretch>
          <a:fillRect/>
        </a:stretch>
      </xdr:blipFill>
      <xdr:spPr>
        <a:xfrm>
          <a:off x="7235825" y="3731885475"/>
          <a:ext cx="878840" cy="1183640"/>
        </a:xfrm>
        <a:prstGeom prst="rect">
          <a:avLst/>
        </a:prstGeom>
      </xdr:spPr>
    </xdr:pic>
    <xdr:clientData/>
  </xdr:twoCellAnchor>
  <xdr:twoCellAnchor>
    <xdr:from>
      <xdr:col>9</xdr:col>
      <xdr:colOff>6350</xdr:colOff>
      <xdr:row>3784</xdr:row>
      <xdr:rowOff>25400</xdr:rowOff>
    </xdr:from>
    <xdr:to>
      <xdr:col>9</xdr:col>
      <xdr:colOff>885190</xdr:colOff>
      <xdr:row>3784</xdr:row>
      <xdr:rowOff>1209040</xdr:rowOff>
    </xdr:to>
    <xdr:pic>
      <xdr:nvPicPr>
        <xdr:cNvPr id="8154" name="Изображение 8153" descr="resizeПП-00211261"/>
        <xdr:cNvPicPr>
          <a:picLocks noChangeAspect="1"/>
        </xdr:cNvPicPr>
      </xdr:nvPicPr>
      <xdr:blipFill>
        <a:blip xmlns:r="http://schemas.openxmlformats.org/officeDocument/2006/relationships" r:embed="rId2857"/>
        <a:stretch>
          <a:fillRect/>
        </a:stretch>
      </xdr:blipFill>
      <xdr:spPr>
        <a:xfrm>
          <a:off x="7235825" y="3733107850"/>
          <a:ext cx="878840" cy="1183640"/>
        </a:xfrm>
        <a:prstGeom prst="rect">
          <a:avLst/>
        </a:prstGeom>
      </xdr:spPr>
    </xdr:pic>
    <xdr:clientData/>
  </xdr:twoCellAnchor>
  <xdr:twoCellAnchor>
    <xdr:from>
      <xdr:col>9</xdr:col>
      <xdr:colOff>6350</xdr:colOff>
      <xdr:row>3786</xdr:row>
      <xdr:rowOff>25400</xdr:rowOff>
    </xdr:from>
    <xdr:to>
      <xdr:col>9</xdr:col>
      <xdr:colOff>885190</xdr:colOff>
      <xdr:row>3786</xdr:row>
      <xdr:rowOff>1209040</xdr:rowOff>
    </xdr:to>
    <xdr:pic>
      <xdr:nvPicPr>
        <xdr:cNvPr id="8155" name="Изображение 8154" descr="resizeПП-00220176"/>
        <xdr:cNvPicPr>
          <a:picLocks noChangeAspect="1"/>
        </xdr:cNvPicPr>
      </xdr:nvPicPr>
      <xdr:blipFill>
        <a:blip xmlns:r="http://schemas.openxmlformats.org/officeDocument/2006/relationships" r:embed="rId2858"/>
        <a:stretch>
          <a:fillRect/>
        </a:stretch>
      </xdr:blipFill>
      <xdr:spPr>
        <a:xfrm>
          <a:off x="7235825" y="3734482625"/>
          <a:ext cx="878840" cy="1183640"/>
        </a:xfrm>
        <a:prstGeom prst="rect">
          <a:avLst/>
        </a:prstGeom>
      </xdr:spPr>
    </xdr:pic>
    <xdr:clientData/>
  </xdr:twoCellAnchor>
  <xdr:twoCellAnchor>
    <xdr:from>
      <xdr:col>9</xdr:col>
      <xdr:colOff>6350</xdr:colOff>
      <xdr:row>3787</xdr:row>
      <xdr:rowOff>25400</xdr:rowOff>
    </xdr:from>
    <xdr:to>
      <xdr:col>9</xdr:col>
      <xdr:colOff>885190</xdr:colOff>
      <xdr:row>3787</xdr:row>
      <xdr:rowOff>1209040</xdr:rowOff>
    </xdr:to>
    <xdr:pic>
      <xdr:nvPicPr>
        <xdr:cNvPr id="8156" name="Изображение 8155" descr="resizeПП-00220178"/>
        <xdr:cNvPicPr>
          <a:picLocks noChangeAspect="1"/>
        </xdr:cNvPicPr>
      </xdr:nvPicPr>
      <xdr:blipFill>
        <a:blip xmlns:r="http://schemas.openxmlformats.org/officeDocument/2006/relationships" r:embed="rId2859"/>
        <a:stretch>
          <a:fillRect/>
        </a:stretch>
      </xdr:blipFill>
      <xdr:spPr>
        <a:xfrm>
          <a:off x="7235825" y="3735705000"/>
          <a:ext cx="878840" cy="1183640"/>
        </a:xfrm>
        <a:prstGeom prst="rect">
          <a:avLst/>
        </a:prstGeom>
      </xdr:spPr>
    </xdr:pic>
    <xdr:clientData/>
  </xdr:twoCellAnchor>
  <xdr:twoCellAnchor>
    <xdr:from>
      <xdr:col>9</xdr:col>
      <xdr:colOff>6350</xdr:colOff>
      <xdr:row>3788</xdr:row>
      <xdr:rowOff>25400</xdr:rowOff>
    </xdr:from>
    <xdr:to>
      <xdr:col>9</xdr:col>
      <xdr:colOff>885190</xdr:colOff>
      <xdr:row>3788</xdr:row>
      <xdr:rowOff>1209040</xdr:rowOff>
    </xdr:to>
    <xdr:pic>
      <xdr:nvPicPr>
        <xdr:cNvPr id="8157" name="Изображение 8156" descr="resizeПП-00221703"/>
        <xdr:cNvPicPr>
          <a:picLocks noChangeAspect="1"/>
        </xdr:cNvPicPr>
      </xdr:nvPicPr>
      <xdr:blipFill>
        <a:blip xmlns:r="http://schemas.openxmlformats.org/officeDocument/2006/relationships" r:embed="rId2860"/>
        <a:stretch>
          <a:fillRect/>
        </a:stretch>
      </xdr:blipFill>
      <xdr:spPr>
        <a:xfrm>
          <a:off x="7235825" y="3736927375"/>
          <a:ext cx="878840" cy="1183640"/>
        </a:xfrm>
        <a:prstGeom prst="rect">
          <a:avLst/>
        </a:prstGeom>
      </xdr:spPr>
    </xdr:pic>
    <xdr:clientData/>
  </xdr:twoCellAnchor>
  <xdr:twoCellAnchor>
    <xdr:from>
      <xdr:col>9</xdr:col>
      <xdr:colOff>6350</xdr:colOff>
      <xdr:row>3789</xdr:row>
      <xdr:rowOff>25400</xdr:rowOff>
    </xdr:from>
    <xdr:to>
      <xdr:col>9</xdr:col>
      <xdr:colOff>885190</xdr:colOff>
      <xdr:row>3789</xdr:row>
      <xdr:rowOff>1209040</xdr:rowOff>
    </xdr:to>
    <xdr:pic>
      <xdr:nvPicPr>
        <xdr:cNvPr id="8158" name="Изображение 8157" descr="resizeПП-00221701"/>
        <xdr:cNvPicPr>
          <a:picLocks noChangeAspect="1"/>
        </xdr:cNvPicPr>
      </xdr:nvPicPr>
      <xdr:blipFill>
        <a:blip xmlns:r="http://schemas.openxmlformats.org/officeDocument/2006/relationships" r:embed="rId2861"/>
        <a:stretch>
          <a:fillRect/>
        </a:stretch>
      </xdr:blipFill>
      <xdr:spPr>
        <a:xfrm>
          <a:off x="7235825" y="3738149750"/>
          <a:ext cx="878840" cy="1183640"/>
        </a:xfrm>
        <a:prstGeom prst="rect">
          <a:avLst/>
        </a:prstGeom>
      </xdr:spPr>
    </xdr:pic>
    <xdr:clientData/>
  </xdr:twoCellAnchor>
  <xdr:twoCellAnchor>
    <xdr:from>
      <xdr:col>9</xdr:col>
      <xdr:colOff>6350</xdr:colOff>
      <xdr:row>3790</xdr:row>
      <xdr:rowOff>25400</xdr:rowOff>
    </xdr:from>
    <xdr:to>
      <xdr:col>9</xdr:col>
      <xdr:colOff>885190</xdr:colOff>
      <xdr:row>3790</xdr:row>
      <xdr:rowOff>1209040</xdr:rowOff>
    </xdr:to>
    <xdr:pic>
      <xdr:nvPicPr>
        <xdr:cNvPr id="8159" name="Изображение 8158" descr="resizeПП-00221702"/>
        <xdr:cNvPicPr>
          <a:picLocks noChangeAspect="1"/>
        </xdr:cNvPicPr>
      </xdr:nvPicPr>
      <xdr:blipFill>
        <a:blip xmlns:r="http://schemas.openxmlformats.org/officeDocument/2006/relationships" r:embed="rId2862"/>
        <a:stretch>
          <a:fillRect/>
        </a:stretch>
      </xdr:blipFill>
      <xdr:spPr>
        <a:xfrm>
          <a:off x="7235825" y="3739372125"/>
          <a:ext cx="878840" cy="1183640"/>
        </a:xfrm>
        <a:prstGeom prst="rect">
          <a:avLst/>
        </a:prstGeom>
      </xdr:spPr>
    </xdr:pic>
    <xdr:clientData/>
  </xdr:twoCellAnchor>
  <xdr:twoCellAnchor>
    <xdr:from>
      <xdr:col>9</xdr:col>
      <xdr:colOff>6350</xdr:colOff>
      <xdr:row>3791</xdr:row>
      <xdr:rowOff>25400</xdr:rowOff>
    </xdr:from>
    <xdr:to>
      <xdr:col>9</xdr:col>
      <xdr:colOff>885190</xdr:colOff>
      <xdr:row>3791</xdr:row>
      <xdr:rowOff>1209040</xdr:rowOff>
    </xdr:to>
    <xdr:pic>
      <xdr:nvPicPr>
        <xdr:cNvPr id="8160" name="Изображение 8159" descr="resizeПП-00221698"/>
        <xdr:cNvPicPr>
          <a:picLocks noChangeAspect="1"/>
        </xdr:cNvPicPr>
      </xdr:nvPicPr>
      <xdr:blipFill>
        <a:blip xmlns:r="http://schemas.openxmlformats.org/officeDocument/2006/relationships" r:embed="rId2863"/>
        <a:stretch>
          <a:fillRect/>
        </a:stretch>
      </xdr:blipFill>
      <xdr:spPr>
        <a:xfrm>
          <a:off x="7235825" y="3740594500"/>
          <a:ext cx="878840" cy="1183640"/>
        </a:xfrm>
        <a:prstGeom prst="rect">
          <a:avLst/>
        </a:prstGeom>
      </xdr:spPr>
    </xdr:pic>
    <xdr:clientData/>
  </xdr:twoCellAnchor>
  <xdr:twoCellAnchor>
    <xdr:from>
      <xdr:col>9</xdr:col>
      <xdr:colOff>6350</xdr:colOff>
      <xdr:row>3792</xdr:row>
      <xdr:rowOff>25400</xdr:rowOff>
    </xdr:from>
    <xdr:to>
      <xdr:col>9</xdr:col>
      <xdr:colOff>885190</xdr:colOff>
      <xdr:row>3792</xdr:row>
      <xdr:rowOff>1209040</xdr:rowOff>
    </xdr:to>
    <xdr:pic>
      <xdr:nvPicPr>
        <xdr:cNvPr id="8161" name="Изображение 8160" descr="resizeПП-00234158"/>
        <xdr:cNvPicPr>
          <a:picLocks noChangeAspect="1"/>
        </xdr:cNvPicPr>
      </xdr:nvPicPr>
      <xdr:blipFill>
        <a:blip xmlns:r="http://schemas.openxmlformats.org/officeDocument/2006/relationships" r:embed="rId2864"/>
        <a:stretch>
          <a:fillRect/>
        </a:stretch>
      </xdr:blipFill>
      <xdr:spPr>
        <a:xfrm>
          <a:off x="7235825" y="3741816875"/>
          <a:ext cx="878840" cy="1183640"/>
        </a:xfrm>
        <a:prstGeom prst="rect">
          <a:avLst/>
        </a:prstGeom>
      </xdr:spPr>
    </xdr:pic>
    <xdr:clientData/>
  </xdr:twoCellAnchor>
  <xdr:twoCellAnchor>
    <xdr:from>
      <xdr:col>9</xdr:col>
      <xdr:colOff>6350</xdr:colOff>
      <xdr:row>3793</xdr:row>
      <xdr:rowOff>25400</xdr:rowOff>
    </xdr:from>
    <xdr:to>
      <xdr:col>9</xdr:col>
      <xdr:colOff>885190</xdr:colOff>
      <xdr:row>3793</xdr:row>
      <xdr:rowOff>1209040</xdr:rowOff>
    </xdr:to>
    <xdr:pic>
      <xdr:nvPicPr>
        <xdr:cNvPr id="8162" name="Изображение 8161" descr="resizeПП-00234163"/>
        <xdr:cNvPicPr>
          <a:picLocks noChangeAspect="1"/>
        </xdr:cNvPicPr>
      </xdr:nvPicPr>
      <xdr:blipFill>
        <a:blip xmlns:r="http://schemas.openxmlformats.org/officeDocument/2006/relationships" r:embed="rId2865"/>
        <a:stretch>
          <a:fillRect/>
        </a:stretch>
      </xdr:blipFill>
      <xdr:spPr>
        <a:xfrm>
          <a:off x="7235825" y="3743039250"/>
          <a:ext cx="878840" cy="1183640"/>
        </a:xfrm>
        <a:prstGeom prst="rect">
          <a:avLst/>
        </a:prstGeom>
      </xdr:spPr>
    </xdr:pic>
    <xdr:clientData/>
  </xdr:twoCellAnchor>
  <xdr:twoCellAnchor>
    <xdr:from>
      <xdr:col>9</xdr:col>
      <xdr:colOff>6350</xdr:colOff>
      <xdr:row>3794</xdr:row>
      <xdr:rowOff>25400</xdr:rowOff>
    </xdr:from>
    <xdr:to>
      <xdr:col>9</xdr:col>
      <xdr:colOff>885190</xdr:colOff>
      <xdr:row>3794</xdr:row>
      <xdr:rowOff>1209040</xdr:rowOff>
    </xdr:to>
    <xdr:pic>
      <xdr:nvPicPr>
        <xdr:cNvPr id="8163" name="Изображение 8162" descr="resizeПП-00234176"/>
        <xdr:cNvPicPr>
          <a:picLocks noChangeAspect="1"/>
        </xdr:cNvPicPr>
      </xdr:nvPicPr>
      <xdr:blipFill>
        <a:blip xmlns:r="http://schemas.openxmlformats.org/officeDocument/2006/relationships" r:embed="rId2866"/>
        <a:stretch>
          <a:fillRect/>
        </a:stretch>
      </xdr:blipFill>
      <xdr:spPr>
        <a:xfrm>
          <a:off x="7235825" y="3744261625"/>
          <a:ext cx="878840" cy="1183640"/>
        </a:xfrm>
        <a:prstGeom prst="rect">
          <a:avLst/>
        </a:prstGeom>
      </xdr:spPr>
    </xdr:pic>
    <xdr:clientData/>
  </xdr:twoCellAnchor>
  <xdr:twoCellAnchor>
    <xdr:from>
      <xdr:col>9</xdr:col>
      <xdr:colOff>6350</xdr:colOff>
      <xdr:row>3795</xdr:row>
      <xdr:rowOff>25400</xdr:rowOff>
    </xdr:from>
    <xdr:to>
      <xdr:col>9</xdr:col>
      <xdr:colOff>885190</xdr:colOff>
      <xdr:row>3795</xdr:row>
      <xdr:rowOff>1209040</xdr:rowOff>
    </xdr:to>
    <xdr:pic>
      <xdr:nvPicPr>
        <xdr:cNvPr id="8164" name="Изображение 8163" descr="resizeПП-00234173"/>
        <xdr:cNvPicPr>
          <a:picLocks noChangeAspect="1"/>
        </xdr:cNvPicPr>
      </xdr:nvPicPr>
      <xdr:blipFill>
        <a:blip xmlns:r="http://schemas.openxmlformats.org/officeDocument/2006/relationships" r:embed="rId2867"/>
        <a:stretch>
          <a:fillRect/>
        </a:stretch>
      </xdr:blipFill>
      <xdr:spPr>
        <a:xfrm>
          <a:off x="7235825" y="3745484000"/>
          <a:ext cx="878840" cy="1183640"/>
        </a:xfrm>
        <a:prstGeom prst="rect">
          <a:avLst/>
        </a:prstGeom>
      </xdr:spPr>
    </xdr:pic>
    <xdr:clientData/>
  </xdr:twoCellAnchor>
  <xdr:twoCellAnchor>
    <xdr:from>
      <xdr:col>9</xdr:col>
      <xdr:colOff>6350</xdr:colOff>
      <xdr:row>3796</xdr:row>
      <xdr:rowOff>25400</xdr:rowOff>
    </xdr:from>
    <xdr:to>
      <xdr:col>9</xdr:col>
      <xdr:colOff>885190</xdr:colOff>
      <xdr:row>3796</xdr:row>
      <xdr:rowOff>1209040</xdr:rowOff>
    </xdr:to>
    <xdr:pic>
      <xdr:nvPicPr>
        <xdr:cNvPr id="8165" name="Изображение 8164" descr="resizeПП-00234181"/>
        <xdr:cNvPicPr>
          <a:picLocks noChangeAspect="1"/>
        </xdr:cNvPicPr>
      </xdr:nvPicPr>
      <xdr:blipFill>
        <a:blip xmlns:r="http://schemas.openxmlformats.org/officeDocument/2006/relationships" r:embed="rId2868"/>
        <a:stretch>
          <a:fillRect/>
        </a:stretch>
      </xdr:blipFill>
      <xdr:spPr>
        <a:xfrm>
          <a:off x="7235825" y="3746706375"/>
          <a:ext cx="878840" cy="1183640"/>
        </a:xfrm>
        <a:prstGeom prst="rect">
          <a:avLst/>
        </a:prstGeom>
      </xdr:spPr>
    </xdr:pic>
    <xdr:clientData/>
  </xdr:twoCellAnchor>
  <xdr:twoCellAnchor>
    <xdr:from>
      <xdr:col>9</xdr:col>
      <xdr:colOff>6350</xdr:colOff>
      <xdr:row>3797</xdr:row>
      <xdr:rowOff>25400</xdr:rowOff>
    </xdr:from>
    <xdr:to>
      <xdr:col>9</xdr:col>
      <xdr:colOff>885190</xdr:colOff>
      <xdr:row>3797</xdr:row>
      <xdr:rowOff>1209040</xdr:rowOff>
    </xdr:to>
    <xdr:pic>
      <xdr:nvPicPr>
        <xdr:cNvPr id="8166" name="Изображение 8165" descr="resizeПП-00234172"/>
        <xdr:cNvPicPr>
          <a:picLocks noChangeAspect="1"/>
        </xdr:cNvPicPr>
      </xdr:nvPicPr>
      <xdr:blipFill>
        <a:blip xmlns:r="http://schemas.openxmlformats.org/officeDocument/2006/relationships" r:embed="rId2869"/>
        <a:stretch>
          <a:fillRect/>
        </a:stretch>
      </xdr:blipFill>
      <xdr:spPr>
        <a:xfrm>
          <a:off x="7235825" y="3747928750"/>
          <a:ext cx="878840" cy="1183640"/>
        </a:xfrm>
        <a:prstGeom prst="rect">
          <a:avLst/>
        </a:prstGeom>
      </xdr:spPr>
    </xdr:pic>
    <xdr:clientData/>
  </xdr:twoCellAnchor>
  <xdr:twoCellAnchor>
    <xdr:from>
      <xdr:col>9</xdr:col>
      <xdr:colOff>6350</xdr:colOff>
      <xdr:row>3798</xdr:row>
      <xdr:rowOff>25400</xdr:rowOff>
    </xdr:from>
    <xdr:to>
      <xdr:col>9</xdr:col>
      <xdr:colOff>885190</xdr:colOff>
      <xdr:row>3798</xdr:row>
      <xdr:rowOff>1209040</xdr:rowOff>
    </xdr:to>
    <xdr:pic>
      <xdr:nvPicPr>
        <xdr:cNvPr id="8167" name="Изображение 8166" descr="resizeПП-00234183"/>
        <xdr:cNvPicPr>
          <a:picLocks noChangeAspect="1"/>
        </xdr:cNvPicPr>
      </xdr:nvPicPr>
      <xdr:blipFill>
        <a:blip xmlns:r="http://schemas.openxmlformats.org/officeDocument/2006/relationships" r:embed="rId2870"/>
        <a:stretch>
          <a:fillRect/>
        </a:stretch>
      </xdr:blipFill>
      <xdr:spPr>
        <a:xfrm>
          <a:off x="7235825" y="3749151125"/>
          <a:ext cx="878840" cy="1183640"/>
        </a:xfrm>
        <a:prstGeom prst="rect">
          <a:avLst/>
        </a:prstGeom>
      </xdr:spPr>
    </xdr:pic>
    <xdr:clientData/>
  </xdr:twoCellAnchor>
  <xdr:twoCellAnchor>
    <xdr:from>
      <xdr:col>9</xdr:col>
      <xdr:colOff>6350</xdr:colOff>
      <xdr:row>3799</xdr:row>
      <xdr:rowOff>25400</xdr:rowOff>
    </xdr:from>
    <xdr:to>
      <xdr:col>9</xdr:col>
      <xdr:colOff>885190</xdr:colOff>
      <xdr:row>3799</xdr:row>
      <xdr:rowOff>1209040</xdr:rowOff>
    </xdr:to>
    <xdr:pic>
      <xdr:nvPicPr>
        <xdr:cNvPr id="8168" name="Изображение 8167" descr="resizeПП-00234184"/>
        <xdr:cNvPicPr>
          <a:picLocks noChangeAspect="1"/>
        </xdr:cNvPicPr>
      </xdr:nvPicPr>
      <xdr:blipFill>
        <a:blip xmlns:r="http://schemas.openxmlformats.org/officeDocument/2006/relationships" r:embed="rId2871"/>
        <a:stretch>
          <a:fillRect/>
        </a:stretch>
      </xdr:blipFill>
      <xdr:spPr>
        <a:xfrm>
          <a:off x="7235825" y="3750373500"/>
          <a:ext cx="878840" cy="1183640"/>
        </a:xfrm>
        <a:prstGeom prst="rect">
          <a:avLst/>
        </a:prstGeom>
      </xdr:spPr>
    </xdr:pic>
    <xdr:clientData/>
  </xdr:twoCellAnchor>
  <xdr:twoCellAnchor>
    <xdr:from>
      <xdr:col>9</xdr:col>
      <xdr:colOff>6350</xdr:colOff>
      <xdr:row>3800</xdr:row>
      <xdr:rowOff>25400</xdr:rowOff>
    </xdr:from>
    <xdr:to>
      <xdr:col>9</xdr:col>
      <xdr:colOff>885190</xdr:colOff>
      <xdr:row>3800</xdr:row>
      <xdr:rowOff>1209040</xdr:rowOff>
    </xdr:to>
    <xdr:pic>
      <xdr:nvPicPr>
        <xdr:cNvPr id="8169" name="Изображение 8168" descr="resizeПП-00234185"/>
        <xdr:cNvPicPr>
          <a:picLocks noChangeAspect="1"/>
        </xdr:cNvPicPr>
      </xdr:nvPicPr>
      <xdr:blipFill>
        <a:blip xmlns:r="http://schemas.openxmlformats.org/officeDocument/2006/relationships" r:embed="rId2872"/>
        <a:stretch>
          <a:fillRect/>
        </a:stretch>
      </xdr:blipFill>
      <xdr:spPr>
        <a:xfrm>
          <a:off x="7235825" y="3751595875"/>
          <a:ext cx="878840" cy="1183640"/>
        </a:xfrm>
        <a:prstGeom prst="rect">
          <a:avLst/>
        </a:prstGeom>
      </xdr:spPr>
    </xdr:pic>
    <xdr:clientData/>
  </xdr:twoCellAnchor>
  <xdr:twoCellAnchor>
    <xdr:from>
      <xdr:col>9</xdr:col>
      <xdr:colOff>6350</xdr:colOff>
      <xdr:row>3801</xdr:row>
      <xdr:rowOff>25400</xdr:rowOff>
    </xdr:from>
    <xdr:to>
      <xdr:col>9</xdr:col>
      <xdr:colOff>885190</xdr:colOff>
      <xdr:row>3801</xdr:row>
      <xdr:rowOff>1209040</xdr:rowOff>
    </xdr:to>
    <xdr:pic>
      <xdr:nvPicPr>
        <xdr:cNvPr id="8170" name="Изображение 8169" descr="resizeПП-00234180"/>
        <xdr:cNvPicPr>
          <a:picLocks noChangeAspect="1"/>
        </xdr:cNvPicPr>
      </xdr:nvPicPr>
      <xdr:blipFill>
        <a:blip xmlns:r="http://schemas.openxmlformats.org/officeDocument/2006/relationships" r:embed="rId2873"/>
        <a:stretch>
          <a:fillRect/>
        </a:stretch>
      </xdr:blipFill>
      <xdr:spPr>
        <a:xfrm>
          <a:off x="7235825" y="3752818250"/>
          <a:ext cx="878840" cy="1183640"/>
        </a:xfrm>
        <a:prstGeom prst="rect">
          <a:avLst/>
        </a:prstGeom>
      </xdr:spPr>
    </xdr:pic>
    <xdr:clientData/>
  </xdr:twoCellAnchor>
  <xdr:twoCellAnchor>
    <xdr:from>
      <xdr:col>9</xdr:col>
      <xdr:colOff>6350</xdr:colOff>
      <xdr:row>3802</xdr:row>
      <xdr:rowOff>25400</xdr:rowOff>
    </xdr:from>
    <xdr:to>
      <xdr:col>9</xdr:col>
      <xdr:colOff>885190</xdr:colOff>
      <xdr:row>3802</xdr:row>
      <xdr:rowOff>1209040</xdr:rowOff>
    </xdr:to>
    <xdr:pic>
      <xdr:nvPicPr>
        <xdr:cNvPr id="8171" name="Изображение 8170" descr="resizeПП-00234161"/>
        <xdr:cNvPicPr>
          <a:picLocks noChangeAspect="1"/>
        </xdr:cNvPicPr>
      </xdr:nvPicPr>
      <xdr:blipFill>
        <a:blip xmlns:r="http://schemas.openxmlformats.org/officeDocument/2006/relationships" r:embed="rId2874"/>
        <a:stretch>
          <a:fillRect/>
        </a:stretch>
      </xdr:blipFill>
      <xdr:spPr>
        <a:xfrm>
          <a:off x="7235825" y="3754040625"/>
          <a:ext cx="878840" cy="1183640"/>
        </a:xfrm>
        <a:prstGeom prst="rect">
          <a:avLst/>
        </a:prstGeom>
      </xdr:spPr>
    </xdr:pic>
    <xdr:clientData/>
  </xdr:twoCellAnchor>
  <xdr:twoCellAnchor>
    <xdr:from>
      <xdr:col>9</xdr:col>
      <xdr:colOff>6350</xdr:colOff>
      <xdr:row>3803</xdr:row>
      <xdr:rowOff>25400</xdr:rowOff>
    </xdr:from>
    <xdr:to>
      <xdr:col>9</xdr:col>
      <xdr:colOff>885190</xdr:colOff>
      <xdr:row>3803</xdr:row>
      <xdr:rowOff>1209040</xdr:rowOff>
    </xdr:to>
    <xdr:pic>
      <xdr:nvPicPr>
        <xdr:cNvPr id="8172" name="Изображение 8171" descr="resizeПП-00234177"/>
        <xdr:cNvPicPr>
          <a:picLocks noChangeAspect="1"/>
        </xdr:cNvPicPr>
      </xdr:nvPicPr>
      <xdr:blipFill>
        <a:blip xmlns:r="http://schemas.openxmlformats.org/officeDocument/2006/relationships" r:embed="rId2875"/>
        <a:stretch>
          <a:fillRect/>
        </a:stretch>
      </xdr:blipFill>
      <xdr:spPr>
        <a:xfrm>
          <a:off x="7235825" y="3755263000"/>
          <a:ext cx="878840" cy="1183640"/>
        </a:xfrm>
        <a:prstGeom prst="rect">
          <a:avLst/>
        </a:prstGeom>
      </xdr:spPr>
    </xdr:pic>
    <xdr:clientData/>
  </xdr:twoCellAnchor>
  <xdr:twoCellAnchor>
    <xdr:from>
      <xdr:col>9</xdr:col>
      <xdr:colOff>6350</xdr:colOff>
      <xdr:row>3804</xdr:row>
      <xdr:rowOff>25400</xdr:rowOff>
    </xdr:from>
    <xdr:to>
      <xdr:col>9</xdr:col>
      <xdr:colOff>885190</xdr:colOff>
      <xdr:row>3804</xdr:row>
      <xdr:rowOff>1209040</xdr:rowOff>
    </xdr:to>
    <xdr:pic>
      <xdr:nvPicPr>
        <xdr:cNvPr id="8173" name="Изображение 8172" descr="resizeПП-00234170"/>
        <xdr:cNvPicPr>
          <a:picLocks noChangeAspect="1"/>
        </xdr:cNvPicPr>
      </xdr:nvPicPr>
      <xdr:blipFill>
        <a:blip xmlns:r="http://schemas.openxmlformats.org/officeDocument/2006/relationships" r:embed="rId2876"/>
        <a:stretch>
          <a:fillRect/>
        </a:stretch>
      </xdr:blipFill>
      <xdr:spPr>
        <a:xfrm>
          <a:off x="7235825" y="3756485375"/>
          <a:ext cx="878840" cy="1183640"/>
        </a:xfrm>
        <a:prstGeom prst="rect">
          <a:avLst/>
        </a:prstGeom>
      </xdr:spPr>
    </xdr:pic>
    <xdr:clientData/>
  </xdr:twoCellAnchor>
  <xdr:twoCellAnchor>
    <xdr:from>
      <xdr:col>9</xdr:col>
      <xdr:colOff>6350</xdr:colOff>
      <xdr:row>3805</xdr:row>
      <xdr:rowOff>25400</xdr:rowOff>
    </xdr:from>
    <xdr:to>
      <xdr:col>9</xdr:col>
      <xdr:colOff>885190</xdr:colOff>
      <xdr:row>3805</xdr:row>
      <xdr:rowOff>1209040</xdr:rowOff>
    </xdr:to>
    <xdr:pic>
      <xdr:nvPicPr>
        <xdr:cNvPr id="8174" name="Изображение 8173" descr="resizeПП-00234178"/>
        <xdr:cNvPicPr>
          <a:picLocks noChangeAspect="1"/>
        </xdr:cNvPicPr>
      </xdr:nvPicPr>
      <xdr:blipFill>
        <a:blip xmlns:r="http://schemas.openxmlformats.org/officeDocument/2006/relationships" r:embed="rId2877"/>
        <a:stretch>
          <a:fillRect/>
        </a:stretch>
      </xdr:blipFill>
      <xdr:spPr>
        <a:xfrm>
          <a:off x="7235825" y="3757707750"/>
          <a:ext cx="878840" cy="1183640"/>
        </a:xfrm>
        <a:prstGeom prst="rect">
          <a:avLst/>
        </a:prstGeom>
      </xdr:spPr>
    </xdr:pic>
    <xdr:clientData/>
  </xdr:twoCellAnchor>
  <xdr:twoCellAnchor>
    <xdr:from>
      <xdr:col>9</xdr:col>
      <xdr:colOff>6350</xdr:colOff>
      <xdr:row>3806</xdr:row>
      <xdr:rowOff>25400</xdr:rowOff>
    </xdr:from>
    <xdr:to>
      <xdr:col>9</xdr:col>
      <xdr:colOff>885190</xdr:colOff>
      <xdr:row>3806</xdr:row>
      <xdr:rowOff>1209040</xdr:rowOff>
    </xdr:to>
    <xdr:pic>
      <xdr:nvPicPr>
        <xdr:cNvPr id="8175" name="Изображение 8174" descr="resizeПП-00234179"/>
        <xdr:cNvPicPr>
          <a:picLocks noChangeAspect="1"/>
        </xdr:cNvPicPr>
      </xdr:nvPicPr>
      <xdr:blipFill>
        <a:blip xmlns:r="http://schemas.openxmlformats.org/officeDocument/2006/relationships" r:embed="rId2878"/>
        <a:stretch>
          <a:fillRect/>
        </a:stretch>
      </xdr:blipFill>
      <xdr:spPr>
        <a:xfrm>
          <a:off x="7235825" y="3758930125"/>
          <a:ext cx="878840" cy="1183640"/>
        </a:xfrm>
        <a:prstGeom prst="rect">
          <a:avLst/>
        </a:prstGeom>
      </xdr:spPr>
    </xdr:pic>
    <xdr:clientData/>
  </xdr:twoCellAnchor>
  <xdr:twoCellAnchor>
    <xdr:from>
      <xdr:col>9</xdr:col>
      <xdr:colOff>6350</xdr:colOff>
      <xdr:row>3807</xdr:row>
      <xdr:rowOff>25400</xdr:rowOff>
    </xdr:from>
    <xdr:to>
      <xdr:col>9</xdr:col>
      <xdr:colOff>885190</xdr:colOff>
      <xdr:row>3807</xdr:row>
      <xdr:rowOff>1209040</xdr:rowOff>
    </xdr:to>
    <xdr:pic>
      <xdr:nvPicPr>
        <xdr:cNvPr id="8176" name="Изображение 8175" descr="resizeПП-00234168"/>
        <xdr:cNvPicPr>
          <a:picLocks noChangeAspect="1"/>
        </xdr:cNvPicPr>
      </xdr:nvPicPr>
      <xdr:blipFill>
        <a:blip xmlns:r="http://schemas.openxmlformats.org/officeDocument/2006/relationships" r:embed="rId2879"/>
        <a:stretch>
          <a:fillRect/>
        </a:stretch>
      </xdr:blipFill>
      <xdr:spPr>
        <a:xfrm>
          <a:off x="7235825" y="3760152500"/>
          <a:ext cx="878840" cy="1183640"/>
        </a:xfrm>
        <a:prstGeom prst="rect">
          <a:avLst/>
        </a:prstGeom>
      </xdr:spPr>
    </xdr:pic>
    <xdr:clientData/>
  </xdr:twoCellAnchor>
  <xdr:twoCellAnchor>
    <xdr:from>
      <xdr:col>9</xdr:col>
      <xdr:colOff>6350</xdr:colOff>
      <xdr:row>3808</xdr:row>
      <xdr:rowOff>25400</xdr:rowOff>
    </xdr:from>
    <xdr:to>
      <xdr:col>9</xdr:col>
      <xdr:colOff>885190</xdr:colOff>
      <xdr:row>3808</xdr:row>
      <xdr:rowOff>1209040</xdr:rowOff>
    </xdr:to>
    <xdr:pic>
      <xdr:nvPicPr>
        <xdr:cNvPr id="8177" name="Изображение 8176" descr="resizeПП-00234171"/>
        <xdr:cNvPicPr>
          <a:picLocks noChangeAspect="1"/>
        </xdr:cNvPicPr>
      </xdr:nvPicPr>
      <xdr:blipFill>
        <a:blip xmlns:r="http://schemas.openxmlformats.org/officeDocument/2006/relationships" r:embed="rId2880"/>
        <a:stretch>
          <a:fillRect/>
        </a:stretch>
      </xdr:blipFill>
      <xdr:spPr>
        <a:xfrm>
          <a:off x="7235825" y="3761374875"/>
          <a:ext cx="878840" cy="1183640"/>
        </a:xfrm>
        <a:prstGeom prst="rect">
          <a:avLst/>
        </a:prstGeom>
      </xdr:spPr>
    </xdr:pic>
    <xdr:clientData/>
  </xdr:twoCellAnchor>
  <xdr:twoCellAnchor>
    <xdr:from>
      <xdr:col>9</xdr:col>
      <xdr:colOff>6350</xdr:colOff>
      <xdr:row>3809</xdr:row>
      <xdr:rowOff>25400</xdr:rowOff>
    </xdr:from>
    <xdr:to>
      <xdr:col>9</xdr:col>
      <xdr:colOff>885190</xdr:colOff>
      <xdr:row>3809</xdr:row>
      <xdr:rowOff>1209040</xdr:rowOff>
    </xdr:to>
    <xdr:pic>
      <xdr:nvPicPr>
        <xdr:cNvPr id="8178" name="Изображение 8177" descr="resizeПП-00234159"/>
        <xdr:cNvPicPr>
          <a:picLocks noChangeAspect="1"/>
        </xdr:cNvPicPr>
      </xdr:nvPicPr>
      <xdr:blipFill>
        <a:blip xmlns:r="http://schemas.openxmlformats.org/officeDocument/2006/relationships" r:embed="rId2881"/>
        <a:stretch>
          <a:fillRect/>
        </a:stretch>
      </xdr:blipFill>
      <xdr:spPr>
        <a:xfrm>
          <a:off x="7235825" y="3762597250"/>
          <a:ext cx="878840" cy="1183640"/>
        </a:xfrm>
        <a:prstGeom prst="rect">
          <a:avLst/>
        </a:prstGeom>
      </xdr:spPr>
    </xdr:pic>
    <xdr:clientData/>
  </xdr:twoCellAnchor>
  <xdr:twoCellAnchor>
    <xdr:from>
      <xdr:col>9</xdr:col>
      <xdr:colOff>6350</xdr:colOff>
      <xdr:row>3810</xdr:row>
      <xdr:rowOff>25400</xdr:rowOff>
    </xdr:from>
    <xdr:to>
      <xdr:col>9</xdr:col>
      <xdr:colOff>885190</xdr:colOff>
      <xdr:row>3810</xdr:row>
      <xdr:rowOff>1209040</xdr:rowOff>
    </xdr:to>
    <xdr:pic>
      <xdr:nvPicPr>
        <xdr:cNvPr id="8179" name="Изображение 8178" descr="resizeПП-00247111"/>
        <xdr:cNvPicPr>
          <a:picLocks noChangeAspect="1"/>
        </xdr:cNvPicPr>
      </xdr:nvPicPr>
      <xdr:blipFill>
        <a:blip xmlns:r="http://schemas.openxmlformats.org/officeDocument/2006/relationships" r:embed="rId2882"/>
        <a:stretch>
          <a:fillRect/>
        </a:stretch>
      </xdr:blipFill>
      <xdr:spPr>
        <a:xfrm>
          <a:off x="7235825" y="3763819625"/>
          <a:ext cx="878840" cy="1183640"/>
        </a:xfrm>
        <a:prstGeom prst="rect">
          <a:avLst/>
        </a:prstGeom>
      </xdr:spPr>
    </xdr:pic>
    <xdr:clientData/>
  </xdr:twoCellAnchor>
  <xdr:twoCellAnchor>
    <xdr:from>
      <xdr:col>9</xdr:col>
      <xdr:colOff>6350</xdr:colOff>
      <xdr:row>3811</xdr:row>
      <xdr:rowOff>25400</xdr:rowOff>
    </xdr:from>
    <xdr:to>
      <xdr:col>9</xdr:col>
      <xdr:colOff>885190</xdr:colOff>
      <xdr:row>3811</xdr:row>
      <xdr:rowOff>1209040</xdr:rowOff>
    </xdr:to>
    <xdr:pic>
      <xdr:nvPicPr>
        <xdr:cNvPr id="8180" name="Изображение 8179" descr="resizeПП-00247113"/>
        <xdr:cNvPicPr>
          <a:picLocks noChangeAspect="1"/>
        </xdr:cNvPicPr>
      </xdr:nvPicPr>
      <xdr:blipFill>
        <a:blip xmlns:r="http://schemas.openxmlformats.org/officeDocument/2006/relationships" r:embed="rId2883"/>
        <a:stretch>
          <a:fillRect/>
        </a:stretch>
      </xdr:blipFill>
      <xdr:spPr>
        <a:xfrm>
          <a:off x="7235825" y="3765042000"/>
          <a:ext cx="878840" cy="1183640"/>
        </a:xfrm>
        <a:prstGeom prst="rect">
          <a:avLst/>
        </a:prstGeom>
      </xdr:spPr>
    </xdr:pic>
    <xdr:clientData/>
  </xdr:twoCellAnchor>
  <xdr:twoCellAnchor>
    <xdr:from>
      <xdr:col>9</xdr:col>
      <xdr:colOff>6350</xdr:colOff>
      <xdr:row>3812</xdr:row>
      <xdr:rowOff>25400</xdr:rowOff>
    </xdr:from>
    <xdr:to>
      <xdr:col>9</xdr:col>
      <xdr:colOff>885190</xdr:colOff>
      <xdr:row>3812</xdr:row>
      <xdr:rowOff>1209040</xdr:rowOff>
    </xdr:to>
    <xdr:pic>
      <xdr:nvPicPr>
        <xdr:cNvPr id="8181" name="Изображение 8180" descr="resizeПП-00247110"/>
        <xdr:cNvPicPr>
          <a:picLocks noChangeAspect="1"/>
        </xdr:cNvPicPr>
      </xdr:nvPicPr>
      <xdr:blipFill>
        <a:blip xmlns:r="http://schemas.openxmlformats.org/officeDocument/2006/relationships" r:embed="rId2884"/>
        <a:stretch>
          <a:fillRect/>
        </a:stretch>
      </xdr:blipFill>
      <xdr:spPr>
        <a:xfrm>
          <a:off x="7235825" y="3766264375"/>
          <a:ext cx="878840" cy="1183640"/>
        </a:xfrm>
        <a:prstGeom prst="rect">
          <a:avLst/>
        </a:prstGeom>
      </xdr:spPr>
    </xdr:pic>
    <xdr:clientData/>
  </xdr:twoCellAnchor>
  <xdr:twoCellAnchor>
    <xdr:from>
      <xdr:col>9</xdr:col>
      <xdr:colOff>6350</xdr:colOff>
      <xdr:row>3815</xdr:row>
      <xdr:rowOff>25400</xdr:rowOff>
    </xdr:from>
    <xdr:to>
      <xdr:col>9</xdr:col>
      <xdr:colOff>885190</xdr:colOff>
      <xdr:row>3815</xdr:row>
      <xdr:rowOff>1209040</xdr:rowOff>
    </xdr:to>
    <xdr:pic>
      <xdr:nvPicPr>
        <xdr:cNvPr id="8182" name="Изображение 8181" descr="resizeПП-00264067"/>
        <xdr:cNvPicPr>
          <a:picLocks noChangeAspect="1"/>
        </xdr:cNvPicPr>
      </xdr:nvPicPr>
      <xdr:blipFill>
        <a:blip xmlns:r="http://schemas.openxmlformats.org/officeDocument/2006/relationships" r:embed="rId2885"/>
        <a:stretch>
          <a:fillRect/>
        </a:stretch>
      </xdr:blipFill>
      <xdr:spPr>
        <a:xfrm>
          <a:off x="7235825" y="3767791550"/>
          <a:ext cx="878840" cy="1183640"/>
        </a:xfrm>
        <a:prstGeom prst="rect">
          <a:avLst/>
        </a:prstGeom>
      </xdr:spPr>
    </xdr:pic>
    <xdr:clientData/>
  </xdr:twoCellAnchor>
  <xdr:twoCellAnchor>
    <xdr:from>
      <xdr:col>9</xdr:col>
      <xdr:colOff>6350</xdr:colOff>
      <xdr:row>3816</xdr:row>
      <xdr:rowOff>25400</xdr:rowOff>
    </xdr:from>
    <xdr:to>
      <xdr:col>9</xdr:col>
      <xdr:colOff>885190</xdr:colOff>
      <xdr:row>3816</xdr:row>
      <xdr:rowOff>1209040</xdr:rowOff>
    </xdr:to>
    <xdr:pic>
      <xdr:nvPicPr>
        <xdr:cNvPr id="8183" name="Изображение 8182" descr="resizeПП-00261766"/>
        <xdr:cNvPicPr>
          <a:picLocks noChangeAspect="1"/>
        </xdr:cNvPicPr>
      </xdr:nvPicPr>
      <xdr:blipFill>
        <a:blip xmlns:r="http://schemas.openxmlformats.org/officeDocument/2006/relationships" r:embed="rId2762"/>
        <a:stretch>
          <a:fillRect/>
        </a:stretch>
      </xdr:blipFill>
      <xdr:spPr>
        <a:xfrm>
          <a:off x="7235825" y="3769013925"/>
          <a:ext cx="878840" cy="1183640"/>
        </a:xfrm>
        <a:prstGeom prst="rect">
          <a:avLst/>
        </a:prstGeom>
      </xdr:spPr>
    </xdr:pic>
    <xdr:clientData/>
  </xdr:twoCellAnchor>
  <xdr:twoCellAnchor>
    <xdr:from>
      <xdr:col>9</xdr:col>
      <xdr:colOff>6350</xdr:colOff>
      <xdr:row>3817</xdr:row>
      <xdr:rowOff>25400</xdr:rowOff>
    </xdr:from>
    <xdr:to>
      <xdr:col>9</xdr:col>
      <xdr:colOff>885190</xdr:colOff>
      <xdr:row>3817</xdr:row>
      <xdr:rowOff>1209040</xdr:rowOff>
    </xdr:to>
    <xdr:pic>
      <xdr:nvPicPr>
        <xdr:cNvPr id="8184" name="Изображение 8183" descr="resizeПП-00261820"/>
        <xdr:cNvPicPr>
          <a:picLocks noChangeAspect="1"/>
        </xdr:cNvPicPr>
      </xdr:nvPicPr>
      <xdr:blipFill>
        <a:blip xmlns:r="http://schemas.openxmlformats.org/officeDocument/2006/relationships" r:embed="rId1408"/>
        <a:stretch>
          <a:fillRect/>
        </a:stretch>
      </xdr:blipFill>
      <xdr:spPr>
        <a:xfrm>
          <a:off x="7235825" y="3770236300"/>
          <a:ext cx="878840" cy="1183640"/>
        </a:xfrm>
        <a:prstGeom prst="rect">
          <a:avLst/>
        </a:prstGeom>
      </xdr:spPr>
    </xdr:pic>
    <xdr:clientData/>
  </xdr:twoCellAnchor>
  <xdr:twoCellAnchor>
    <xdr:from>
      <xdr:col>9</xdr:col>
      <xdr:colOff>6350</xdr:colOff>
      <xdr:row>3818</xdr:row>
      <xdr:rowOff>25400</xdr:rowOff>
    </xdr:from>
    <xdr:to>
      <xdr:col>9</xdr:col>
      <xdr:colOff>885190</xdr:colOff>
      <xdr:row>3818</xdr:row>
      <xdr:rowOff>1209040</xdr:rowOff>
    </xdr:to>
    <xdr:pic>
      <xdr:nvPicPr>
        <xdr:cNvPr id="8185" name="Изображение 8184" descr="resizeПП-00261809"/>
        <xdr:cNvPicPr>
          <a:picLocks noChangeAspect="1"/>
        </xdr:cNvPicPr>
      </xdr:nvPicPr>
      <xdr:blipFill>
        <a:blip xmlns:r="http://schemas.openxmlformats.org/officeDocument/2006/relationships" r:embed="rId1407"/>
        <a:stretch>
          <a:fillRect/>
        </a:stretch>
      </xdr:blipFill>
      <xdr:spPr>
        <a:xfrm>
          <a:off x="7235825" y="3771458675"/>
          <a:ext cx="878840" cy="1183640"/>
        </a:xfrm>
        <a:prstGeom prst="rect">
          <a:avLst/>
        </a:prstGeom>
      </xdr:spPr>
    </xdr:pic>
    <xdr:clientData/>
  </xdr:twoCellAnchor>
  <xdr:twoCellAnchor>
    <xdr:from>
      <xdr:col>9</xdr:col>
      <xdr:colOff>6350</xdr:colOff>
      <xdr:row>3819</xdr:row>
      <xdr:rowOff>25400</xdr:rowOff>
    </xdr:from>
    <xdr:to>
      <xdr:col>9</xdr:col>
      <xdr:colOff>885190</xdr:colOff>
      <xdr:row>3819</xdr:row>
      <xdr:rowOff>1209040</xdr:rowOff>
    </xdr:to>
    <xdr:pic>
      <xdr:nvPicPr>
        <xdr:cNvPr id="8186" name="Изображение 8185" descr="resizeПП-00261810"/>
        <xdr:cNvPicPr>
          <a:picLocks noChangeAspect="1"/>
        </xdr:cNvPicPr>
      </xdr:nvPicPr>
      <xdr:blipFill>
        <a:blip xmlns:r="http://schemas.openxmlformats.org/officeDocument/2006/relationships" r:embed="rId2791"/>
        <a:stretch>
          <a:fillRect/>
        </a:stretch>
      </xdr:blipFill>
      <xdr:spPr>
        <a:xfrm>
          <a:off x="7235825" y="3772681050"/>
          <a:ext cx="878840" cy="1183640"/>
        </a:xfrm>
        <a:prstGeom prst="rect">
          <a:avLst/>
        </a:prstGeom>
      </xdr:spPr>
    </xdr:pic>
    <xdr:clientData/>
  </xdr:twoCellAnchor>
  <xdr:twoCellAnchor>
    <xdr:from>
      <xdr:col>9</xdr:col>
      <xdr:colOff>6350</xdr:colOff>
      <xdr:row>3820</xdr:row>
      <xdr:rowOff>25400</xdr:rowOff>
    </xdr:from>
    <xdr:to>
      <xdr:col>9</xdr:col>
      <xdr:colOff>885190</xdr:colOff>
      <xdr:row>3820</xdr:row>
      <xdr:rowOff>1209040</xdr:rowOff>
    </xdr:to>
    <xdr:pic>
      <xdr:nvPicPr>
        <xdr:cNvPr id="8187" name="Изображение 8186" descr="resizeПП-00261822"/>
        <xdr:cNvPicPr>
          <a:picLocks noChangeAspect="1"/>
        </xdr:cNvPicPr>
      </xdr:nvPicPr>
      <xdr:blipFill>
        <a:blip xmlns:r="http://schemas.openxmlformats.org/officeDocument/2006/relationships" r:embed="rId1409"/>
        <a:stretch>
          <a:fillRect/>
        </a:stretch>
      </xdr:blipFill>
      <xdr:spPr>
        <a:xfrm>
          <a:off x="7235825" y="3773903425"/>
          <a:ext cx="878840" cy="1183640"/>
        </a:xfrm>
        <a:prstGeom prst="rect">
          <a:avLst/>
        </a:prstGeom>
      </xdr:spPr>
    </xdr:pic>
    <xdr:clientData/>
  </xdr:twoCellAnchor>
  <xdr:twoCellAnchor>
    <xdr:from>
      <xdr:col>9</xdr:col>
      <xdr:colOff>6350</xdr:colOff>
      <xdr:row>3821</xdr:row>
      <xdr:rowOff>25400</xdr:rowOff>
    </xdr:from>
    <xdr:to>
      <xdr:col>9</xdr:col>
      <xdr:colOff>885190</xdr:colOff>
      <xdr:row>3821</xdr:row>
      <xdr:rowOff>1209040</xdr:rowOff>
    </xdr:to>
    <xdr:pic>
      <xdr:nvPicPr>
        <xdr:cNvPr id="8188" name="Изображение 8187" descr="resizeПП-00261758"/>
        <xdr:cNvPicPr>
          <a:picLocks noChangeAspect="1"/>
        </xdr:cNvPicPr>
      </xdr:nvPicPr>
      <xdr:blipFill>
        <a:blip xmlns:r="http://schemas.openxmlformats.org/officeDocument/2006/relationships" r:embed="rId2758"/>
        <a:stretch>
          <a:fillRect/>
        </a:stretch>
      </xdr:blipFill>
      <xdr:spPr>
        <a:xfrm>
          <a:off x="7235825" y="3775125800"/>
          <a:ext cx="878840" cy="1183640"/>
        </a:xfrm>
        <a:prstGeom prst="rect">
          <a:avLst/>
        </a:prstGeom>
      </xdr:spPr>
    </xdr:pic>
    <xdr:clientData/>
  </xdr:twoCellAnchor>
  <xdr:twoCellAnchor>
    <xdr:from>
      <xdr:col>9</xdr:col>
      <xdr:colOff>6350</xdr:colOff>
      <xdr:row>3822</xdr:row>
      <xdr:rowOff>25400</xdr:rowOff>
    </xdr:from>
    <xdr:to>
      <xdr:col>9</xdr:col>
      <xdr:colOff>885190</xdr:colOff>
      <xdr:row>3822</xdr:row>
      <xdr:rowOff>1209040</xdr:rowOff>
    </xdr:to>
    <xdr:pic>
      <xdr:nvPicPr>
        <xdr:cNvPr id="8189" name="Изображение 8188" descr="resizeПП-00261819"/>
        <xdr:cNvPicPr>
          <a:picLocks noChangeAspect="1"/>
        </xdr:cNvPicPr>
      </xdr:nvPicPr>
      <xdr:blipFill>
        <a:blip xmlns:r="http://schemas.openxmlformats.org/officeDocument/2006/relationships" r:embed="rId2886"/>
        <a:stretch>
          <a:fillRect/>
        </a:stretch>
      </xdr:blipFill>
      <xdr:spPr>
        <a:xfrm>
          <a:off x="7235825" y="3776348175"/>
          <a:ext cx="878840" cy="1183640"/>
        </a:xfrm>
        <a:prstGeom prst="rect">
          <a:avLst/>
        </a:prstGeom>
      </xdr:spPr>
    </xdr:pic>
    <xdr:clientData/>
  </xdr:twoCellAnchor>
  <xdr:twoCellAnchor>
    <xdr:from>
      <xdr:col>9</xdr:col>
      <xdr:colOff>6350</xdr:colOff>
      <xdr:row>3823</xdr:row>
      <xdr:rowOff>25400</xdr:rowOff>
    </xdr:from>
    <xdr:to>
      <xdr:col>9</xdr:col>
      <xdr:colOff>885190</xdr:colOff>
      <xdr:row>3823</xdr:row>
      <xdr:rowOff>1209040</xdr:rowOff>
    </xdr:to>
    <xdr:pic>
      <xdr:nvPicPr>
        <xdr:cNvPr id="8190" name="Изображение 8189" descr="resizeПП-00261812"/>
        <xdr:cNvPicPr>
          <a:picLocks noChangeAspect="1"/>
        </xdr:cNvPicPr>
      </xdr:nvPicPr>
      <xdr:blipFill>
        <a:blip xmlns:r="http://schemas.openxmlformats.org/officeDocument/2006/relationships" r:embed="rId2887"/>
        <a:stretch>
          <a:fillRect/>
        </a:stretch>
      </xdr:blipFill>
      <xdr:spPr>
        <a:xfrm>
          <a:off x="7235825" y="3777570550"/>
          <a:ext cx="878840" cy="1183640"/>
        </a:xfrm>
        <a:prstGeom prst="rect">
          <a:avLst/>
        </a:prstGeom>
      </xdr:spPr>
    </xdr:pic>
    <xdr:clientData/>
  </xdr:twoCellAnchor>
  <xdr:twoCellAnchor>
    <xdr:from>
      <xdr:col>9</xdr:col>
      <xdr:colOff>6350</xdr:colOff>
      <xdr:row>3824</xdr:row>
      <xdr:rowOff>25400</xdr:rowOff>
    </xdr:from>
    <xdr:to>
      <xdr:col>9</xdr:col>
      <xdr:colOff>885190</xdr:colOff>
      <xdr:row>3824</xdr:row>
      <xdr:rowOff>1209040</xdr:rowOff>
    </xdr:to>
    <xdr:pic>
      <xdr:nvPicPr>
        <xdr:cNvPr id="8191" name="Изображение 8190" descr="resizeПП-00261767"/>
        <xdr:cNvPicPr>
          <a:picLocks noChangeAspect="1"/>
        </xdr:cNvPicPr>
      </xdr:nvPicPr>
      <xdr:blipFill>
        <a:blip xmlns:r="http://schemas.openxmlformats.org/officeDocument/2006/relationships" r:embed="rId2765"/>
        <a:stretch>
          <a:fillRect/>
        </a:stretch>
      </xdr:blipFill>
      <xdr:spPr>
        <a:xfrm>
          <a:off x="7235825" y="3778792925"/>
          <a:ext cx="878840" cy="1183640"/>
        </a:xfrm>
        <a:prstGeom prst="rect">
          <a:avLst/>
        </a:prstGeom>
      </xdr:spPr>
    </xdr:pic>
    <xdr:clientData/>
  </xdr:twoCellAnchor>
  <xdr:twoCellAnchor>
    <xdr:from>
      <xdr:col>9</xdr:col>
      <xdr:colOff>6350</xdr:colOff>
      <xdr:row>3825</xdr:row>
      <xdr:rowOff>25400</xdr:rowOff>
    </xdr:from>
    <xdr:to>
      <xdr:col>9</xdr:col>
      <xdr:colOff>885190</xdr:colOff>
      <xdr:row>3825</xdr:row>
      <xdr:rowOff>1209040</xdr:rowOff>
    </xdr:to>
    <xdr:pic>
      <xdr:nvPicPr>
        <xdr:cNvPr id="8192" name="Изображение 8191" descr="resizeПП-00261761"/>
        <xdr:cNvPicPr>
          <a:picLocks noChangeAspect="1"/>
        </xdr:cNvPicPr>
      </xdr:nvPicPr>
      <xdr:blipFill>
        <a:blip xmlns:r="http://schemas.openxmlformats.org/officeDocument/2006/relationships" r:embed="rId2761"/>
        <a:stretch>
          <a:fillRect/>
        </a:stretch>
      </xdr:blipFill>
      <xdr:spPr>
        <a:xfrm>
          <a:off x="7235825" y="3780015300"/>
          <a:ext cx="878840" cy="1183640"/>
        </a:xfrm>
        <a:prstGeom prst="rect">
          <a:avLst/>
        </a:prstGeom>
      </xdr:spPr>
    </xdr:pic>
    <xdr:clientData/>
  </xdr:twoCellAnchor>
  <xdr:twoCellAnchor>
    <xdr:from>
      <xdr:col>9</xdr:col>
      <xdr:colOff>6350</xdr:colOff>
      <xdr:row>3826</xdr:row>
      <xdr:rowOff>25400</xdr:rowOff>
    </xdr:from>
    <xdr:to>
      <xdr:col>9</xdr:col>
      <xdr:colOff>885190</xdr:colOff>
      <xdr:row>3826</xdr:row>
      <xdr:rowOff>1209040</xdr:rowOff>
    </xdr:to>
    <xdr:pic>
      <xdr:nvPicPr>
        <xdr:cNvPr id="8193" name="Изображение 8192" descr="resizeПП-00261751"/>
        <xdr:cNvPicPr>
          <a:picLocks noChangeAspect="1"/>
        </xdr:cNvPicPr>
      </xdr:nvPicPr>
      <xdr:blipFill>
        <a:blip xmlns:r="http://schemas.openxmlformats.org/officeDocument/2006/relationships" r:embed="rId2888"/>
        <a:stretch>
          <a:fillRect/>
        </a:stretch>
      </xdr:blipFill>
      <xdr:spPr>
        <a:xfrm>
          <a:off x="7235825" y="3781237675"/>
          <a:ext cx="878840" cy="1183640"/>
        </a:xfrm>
        <a:prstGeom prst="rect">
          <a:avLst/>
        </a:prstGeom>
      </xdr:spPr>
    </xdr:pic>
    <xdr:clientData/>
  </xdr:twoCellAnchor>
  <xdr:twoCellAnchor>
    <xdr:from>
      <xdr:col>9</xdr:col>
      <xdr:colOff>6350</xdr:colOff>
      <xdr:row>3827</xdr:row>
      <xdr:rowOff>25400</xdr:rowOff>
    </xdr:from>
    <xdr:to>
      <xdr:col>9</xdr:col>
      <xdr:colOff>885190</xdr:colOff>
      <xdr:row>3827</xdr:row>
      <xdr:rowOff>1209040</xdr:rowOff>
    </xdr:to>
    <xdr:pic>
      <xdr:nvPicPr>
        <xdr:cNvPr id="8194" name="Изображение 8193" descr="resizeПП-00261757"/>
        <xdr:cNvPicPr>
          <a:picLocks noChangeAspect="1"/>
        </xdr:cNvPicPr>
      </xdr:nvPicPr>
      <xdr:blipFill>
        <a:blip xmlns:r="http://schemas.openxmlformats.org/officeDocument/2006/relationships" r:embed="rId2889"/>
        <a:stretch>
          <a:fillRect/>
        </a:stretch>
      </xdr:blipFill>
      <xdr:spPr>
        <a:xfrm>
          <a:off x="7235825" y="3782460050"/>
          <a:ext cx="878840" cy="1183640"/>
        </a:xfrm>
        <a:prstGeom prst="rect">
          <a:avLst/>
        </a:prstGeom>
      </xdr:spPr>
    </xdr:pic>
    <xdr:clientData/>
  </xdr:twoCellAnchor>
  <xdr:twoCellAnchor>
    <xdr:from>
      <xdr:col>9</xdr:col>
      <xdr:colOff>6350</xdr:colOff>
      <xdr:row>3828</xdr:row>
      <xdr:rowOff>25400</xdr:rowOff>
    </xdr:from>
    <xdr:to>
      <xdr:col>9</xdr:col>
      <xdr:colOff>885190</xdr:colOff>
      <xdr:row>3828</xdr:row>
      <xdr:rowOff>1209040</xdr:rowOff>
    </xdr:to>
    <xdr:pic>
      <xdr:nvPicPr>
        <xdr:cNvPr id="8195" name="Изображение 8194" descr="resizeПП-00261818"/>
        <xdr:cNvPicPr>
          <a:picLocks noChangeAspect="1"/>
        </xdr:cNvPicPr>
      </xdr:nvPicPr>
      <xdr:blipFill>
        <a:blip xmlns:r="http://schemas.openxmlformats.org/officeDocument/2006/relationships" r:embed="rId2890"/>
        <a:stretch>
          <a:fillRect/>
        </a:stretch>
      </xdr:blipFill>
      <xdr:spPr>
        <a:xfrm>
          <a:off x="7235825" y="3783682425"/>
          <a:ext cx="878840" cy="1183640"/>
        </a:xfrm>
        <a:prstGeom prst="rect">
          <a:avLst/>
        </a:prstGeom>
      </xdr:spPr>
    </xdr:pic>
    <xdr:clientData/>
  </xdr:twoCellAnchor>
  <xdr:twoCellAnchor>
    <xdr:from>
      <xdr:col>9</xdr:col>
      <xdr:colOff>6350</xdr:colOff>
      <xdr:row>3829</xdr:row>
      <xdr:rowOff>25400</xdr:rowOff>
    </xdr:from>
    <xdr:to>
      <xdr:col>9</xdr:col>
      <xdr:colOff>885190</xdr:colOff>
      <xdr:row>3829</xdr:row>
      <xdr:rowOff>1209040</xdr:rowOff>
    </xdr:to>
    <xdr:pic>
      <xdr:nvPicPr>
        <xdr:cNvPr id="8196" name="Изображение 8195" descr="resizeПП-00261750"/>
        <xdr:cNvPicPr>
          <a:picLocks noChangeAspect="1"/>
        </xdr:cNvPicPr>
      </xdr:nvPicPr>
      <xdr:blipFill>
        <a:blip xmlns:r="http://schemas.openxmlformats.org/officeDocument/2006/relationships" r:embed="rId2891"/>
        <a:stretch>
          <a:fillRect/>
        </a:stretch>
      </xdr:blipFill>
      <xdr:spPr>
        <a:xfrm>
          <a:off x="7235825" y="3784904800"/>
          <a:ext cx="878840" cy="1183640"/>
        </a:xfrm>
        <a:prstGeom prst="rect">
          <a:avLst/>
        </a:prstGeom>
      </xdr:spPr>
    </xdr:pic>
    <xdr:clientData/>
  </xdr:twoCellAnchor>
  <xdr:twoCellAnchor>
    <xdr:from>
      <xdr:col>9</xdr:col>
      <xdr:colOff>6350</xdr:colOff>
      <xdr:row>3830</xdr:row>
      <xdr:rowOff>25400</xdr:rowOff>
    </xdr:from>
    <xdr:to>
      <xdr:col>9</xdr:col>
      <xdr:colOff>885190</xdr:colOff>
      <xdr:row>3830</xdr:row>
      <xdr:rowOff>1209040</xdr:rowOff>
    </xdr:to>
    <xdr:pic>
      <xdr:nvPicPr>
        <xdr:cNvPr id="8197" name="Изображение 8196" descr="resizeПП-00236117"/>
        <xdr:cNvPicPr>
          <a:picLocks noChangeAspect="1"/>
        </xdr:cNvPicPr>
      </xdr:nvPicPr>
      <xdr:blipFill>
        <a:blip xmlns:r="http://schemas.openxmlformats.org/officeDocument/2006/relationships" r:embed="rId2892"/>
        <a:stretch>
          <a:fillRect/>
        </a:stretch>
      </xdr:blipFill>
      <xdr:spPr>
        <a:xfrm>
          <a:off x="7235825" y="3786127175"/>
          <a:ext cx="878840" cy="1183640"/>
        </a:xfrm>
        <a:prstGeom prst="rect">
          <a:avLst/>
        </a:prstGeom>
      </xdr:spPr>
    </xdr:pic>
    <xdr:clientData/>
  </xdr:twoCellAnchor>
  <xdr:twoCellAnchor>
    <xdr:from>
      <xdr:col>9</xdr:col>
      <xdr:colOff>6350</xdr:colOff>
      <xdr:row>3831</xdr:row>
      <xdr:rowOff>25400</xdr:rowOff>
    </xdr:from>
    <xdr:to>
      <xdr:col>9</xdr:col>
      <xdr:colOff>885190</xdr:colOff>
      <xdr:row>3831</xdr:row>
      <xdr:rowOff>1209040</xdr:rowOff>
    </xdr:to>
    <xdr:pic>
      <xdr:nvPicPr>
        <xdr:cNvPr id="8198" name="Изображение 8197" descr="resizeПП-00236136"/>
        <xdr:cNvPicPr>
          <a:picLocks noChangeAspect="1"/>
        </xdr:cNvPicPr>
      </xdr:nvPicPr>
      <xdr:blipFill>
        <a:blip xmlns:r="http://schemas.openxmlformats.org/officeDocument/2006/relationships" r:embed="rId2893"/>
        <a:stretch>
          <a:fillRect/>
        </a:stretch>
      </xdr:blipFill>
      <xdr:spPr>
        <a:xfrm>
          <a:off x="7235825" y="3787349550"/>
          <a:ext cx="878840" cy="1183640"/>
        </a:xfrm>
        <a:prstGeom prst="rect">
          <a:avLst/>
        </a:prstGeom>
      </xdr:spPr>
    </xdr:pic>
    <xdr:clientData/>
  </xdr:twoCellAnchor>
  <xdr:twoCellAnchor>
    <xdr:from>
      <xdr:col>9</xdr:col>
      <xdr:colOff>6350</xdr:colOff>
      <xdr:row>3832</xdr:row>
      <xdr:rowOff>25400</xdr:rowOff>
    </xdr:from>
    <xdr:to>
      <xdr:col>9</xdr:col>
      <xdr:colOff>885190</xdr:colOff>
      <xdr:row>3832</xdr:row>
      <xdr:rowOff>1209040</xdr:rowOff>
    </xdr:to>
    <xdr:pic>
      <xdr:nvPicPr>
        <xdr:cNvPr id="8199" name="Изображение 8198" descr="resizeПП-00265744"/>
        <xdr:cNvPicPr>
          <a:picLocks noChangeAspect="1"/>
        </xdr:cNvPicPr>
      </xdr:nvPicPr>
      <xdr:blipFill>
        <a:blip xmlns:r="http://schemas.openxmlformats.org/officeDocument/2006/relationships" r:embed="rId2894"/>
        <a:stretch>
          <a:fillRect/>
        </a:stretch>
      </xdr:blipFill>
      <xdr:spPr>
        <a:xfrm>
          <a:off x="7235825" y="3788571925"/>
          <a:ext cx="878840" cy="1183640"/>
        </a:xfrm>
        <a:prstGeom prst="rect">
          <a:avLst/>
        </a:prstGeom>
      </xdr:spPr>
    </xdr:pic>
    <xdr:clientData/>
  </xdr:twoCellAnchor>
  <xdr:twoCellAnchor>
    <xdr:from>
      <xdr:col>9</xdr:col>
      <xdr:colOff>6350</xdr:colOff>
      <xdr:row>3833</xdr:row>
      <xdr:rowOff>25400</xdr:rowOff>
    </xdr:from>
    <xdr:to>
      <xdr:col>9</xdr:col>
      <xdr:colOff>885190</xdr:colOff>
      <xdr:row>3833</xdr:row>
      <xdr:rowOff>1209040</xdr:rowOff>
    </xdr:to>
    <xdr:pic>
      <xdr:nvPicPr>
        <xdr:cNvPr id="8200" name="Изображение 8199" descr="resizeПП-00236134"/>
        <xdr:cNvPicPr>
          <a:picLocks noChangeAspect="1"/>
        </xdr:cNvPicPr>
      </xdr:nvPicPr>
      <xdr:blipFill>
        <a:blip xmlns:r="http://schemas.openxmlformats.org/officeDocument/2006/relationships" r:embed="rId2774"/>
        <a:stretch>
          <a:fillRect/>
        </a:stretch>
      </xdr:blipFill>
      <xdr:spPr>
        <a:xfrm>
          <a:off x="7235825" y="3789794300"/>
          <a:ext cx="878840" cy="1183640"/>
        </a:xfrm>
        <a:prstGeom prst="rect">
          <a:avLst/>
        </a:prstGeom>
      </xdr:spPr>
    </xdr:pic>
    <xdr:clientData/>
  </xdr:twoCellAnchor>
  <xdr:twoCellAnchor>
    <xdr:from>
      <xdr:col>9</xdr:col>
      <xdr:colOff>6350</xdr:colOff>
      <xdr:row>3834</xdr:row>
      <xdr:rowOff>25400</xdr:rowOff>
    </xdr:from>
    <xdr:to>
      <xdr:col>9</xdr:col>
      <xdr:colOff>885190</xdr:colOff>
      <xdr:row>3834</xdr:row>
      <xdr:rowOff>1209040</xdr:rowOff>
    </xdr:to>
    <xdr:pic>
      <xdr:nvPicPr>
        <xdr:cNvPr id="8201" name="Изображение 8200" descr="resizeПП-00265731"/>
        <xdr:cNvPicPr>
          <a:picLocks noChangeAspect="1"/>
        </xdr:cNvPicPr>
      </xdr:nvPicPr>
      <xdr:blipFill>
        <a:blip xmlns:r="http://schemas.openxmlformats.org/officeDocument/2006/relationships" r:embed="rId2895"/>
        <a:stretch>
          <a:fillRect/>
        </a:stretch>
      </xdr:blipFill>
      <xdr:spPr>
        <a:xfrm>
          <a:off x="7235825" y="3791016675"/>
          <a:ext cx="878840" cy="1183640"/>
        </a:xfrm>
        <a:prstGeom prst="rect">
          <a:avLst/>
        </a:prstGeom>
      </xdr:spPr>
    </xdr:pic>
    <xdr:clientData/>
  </xdr:twoCellAnchor>
  <xdr:twoCellAnchor>
    <xdr:from>
      <xdr:col>9</xdr:col>
      <xdr:colOff>6350</xdr:colOff>
      <xdr:row>3835</xdr:row>
      <xdr:rowOff>25400</xdr:rowOff>
    </xdr:from>
    <xdr:to>
      <xdr:col>9</xdr:col>
      <xdr:colOff>885190</xdr:colOff>
      <xdr:row>3835</xdr:row>
      <xdr:rowOff>1209040</xdr:rowOff>
    </xdr:to>
    <xdr:pic>
      <xdr:nvPicPr>
        <xdr:cNvPr id="8202" name="Изображение 8201" descr="resizeПП-00265743"/>
        <xdr:cNvPicPr>
          <a:picLocks noChangeAspect="1"/>
        </xdr:cNvPicPr>
      </xdr:nvPicPr>
      <xdr:blipFill>
        <a:blip xmlns:r="http://schemas.openxmlformats.org/officeDocument/2006/relationships" r:embed="rId2896"/>
        <a:stretch>
          <a:fillRect/>
        </a:stretch>
      </xdr:blipFill>
      <xdr:spPr>
        <a:xfrm>
          <a:off x="7235825" y="3792239050"/>
          <a:ext cx="878840" cy="1183640"/>
        </a:xfrm>
        <a:prstGeom prst="rect">
          <a:avLst/>
        </a:prstGeom>
      </xdr:spPr>
    </xdr:pic>
    <xdr:clientData/>
  </xdr:twoCellAnchor>
  <xdr:twoCellAnchor>
    <xdr:from>
      <xdr:col>9</xdr:col>
      <xdr:colOff>6350</xdr:colOff>
      <xdr:row>3836</xdr:row>
      <xdr:rowOff>25400</xdr:rowOff>
    </xdr:from>
    <xdr:to>
      <xdr:col>9</xdr:col>
      <xdr:colOff>885190</xdr:colOff>
      <xdr:row>3836</xdr:row>
      <xdr:rowOff>1209040</xdr:rowOff>
    </xdr:to>
    <xdr:pic>
      <xdr:nvPicPr>
        <xdr:cNvPr id="8203" name="Изображение 8202" descr="resizeПП-00236135"/>
        <xdr:cNvPicPr>
          <a:picLocks noChangeAspect="1"/>
        </xdr:cNvPicPr>
      </xdr:nvPicPr>
      <xdr:blipFill>
        <a:blip xmlns:r="http://schemas.openxmlformats.org/officeDocument/2006/relationships" r:embed="rId2775"/>
        <a:stretch>
          <a:fillRect/>
        </a:stretch>
      </xdr:blipFill>
      <xdr:spPr>
        <a:xfrm>
          <a:off x="7235825" y="3793461425"/>
          <a:ext cx="878840" cy="1183640"/>
        </a:xfrm>
        <a:prstGeom prst="rect">
          <a:avLst/>
        </a:prstGeom>
      </xdr:spPr>
    </xdr:pic>
    <xdr:clientData/>
  </xdr:twoCellAnchor>
  <xdr:twoCellAnchor>
    <xdr:from>
      <xdr:col>9</xdr:col>
      <xdr:colOff>6350</xdr:colOff>
      <xdr:row>3837</xdr:row>
      <xdr:rowOff>25400</xdr:rowOff>
    </xdr:from>
    <xdr:to>
      <xdr:col>9</xdr:col>
      <xdr:colOff>885190</xdr:colOff>
      <xdr:row>3837</xdr:row>
      <xdr:rowOff>1209040</xdr:rowOff>
    </xdr:to>
    <xdr:pic>
      <xdr:nvPicPr>
        <xdr:cNvPr id="8204" name="Изображение 8203" descr="resizeПП-00265739"/>
        <xdr:cNvPicPr>
          <a:picLocks noChangeAspect="1"/>
        </xdr:cNvPicPr>
      </xdr:nvPicPr>
      <xdr:blipFill>
        <a:blip xmlns:r="http://schemas.openxmlformats.org/officeDocument/2006/relationships" r:embed="rId2897"/>
        <a:stretch>
          <a:fillRect/>
        </a:stretch>
      </xdr:blipFill>
      <xdr:spPr>
        <a:xfrm>
          <a:off x="7235825" y="3794683800"/>
          <a:ext cx="878840" cy="1183640"/>
        </a:xfrm>
        <a:prstGeom prst="rect">
          <a:avLst/>
        </a:prstGeom>
      </xdr:spPr>
    </xdr:pic>
    <xdr:clientData/>
  </xdr:twoCellAnchor>
  <xdr:twoCellAnchor>
    <xdr:from>
      <xdr:col>9</xdr:col>
      <xdr:colOff>6350</xdr:colOff>
      <xdr:row>3838</xdr:row>
      <xdr:rowOff>25400</xdr:rowOff>
    </xdr:from>
    <xdr:to>
      <xdr:col>9</xdr:col>
      <xdr:colOff>885190</xdr:colOff>
      <xdr:row>3838</xdr:row>
      <xdr:rowOff>1209040</xdr:rowOff>
    </xdr:to>
    <xdr:pic>
      <xdr:nvPicPr>
        <xdr:cNvPr id="8205" name="Изображение 8204" descr="resizeПП-00236113"/>
        <xdr:cNvPicPr>
          <a:picLocks noChangeAspect="1"/>
        </xdr:cNvPicPr>
      </xdr:nvPicPr>
      <xdr:blipFill>
        <a:blip xmlns:r="http://schemas.openxmlformats.org/officeDocument/2006/relationships" r:embed="rId2898"/>
        <a:stretch>
          <a:fillRect/>
        </a:stretch>
      </xdr:blipFill>
      <xdr:spPr>
        <a:xfrm>
          <a:off x="7235825" y="3795906175"/>
          <a:ext cx="878840" cy="1183640"/>
        </a:xfrm>
        <a:prstGeom prst="rect">
          <a:avLst/>
        </a:prstGeom>
      </xdr:spPr>
    </xdr:pic>
    <xdr:clientData/>
  </xdr:twoCellAnchor>
  <xdr:twoCellAnchor>
    <xdr:from>
      <xdr:col>9</xdr:col>
      <xdr:colOff>6350</xdr:colOff>
      <xdr:row>3839</xdr:row>
      <xdr:rowOff>25400</xdr:rowOff>
    </xdr:from>
    <xdr:to>
      <xdr:col>9</xdr:col>
      <xdr:colOff>885190</xdr:colOff>
      <xdr:row>3839</xdr:row>
      <xdr:rowOff>1209040</xdr:rowOff>
    </xdr:to>
    <xdr:pic>
      <xdr:nvPicPr>
        <xdr:cNvPr id="8206" name="Изображение 8205" descr="resizeПП-00265740"/>
        <xdr:cNvPicPr>
          <a:picLocks noChangeAspect="1"/>
        </xdr:cNvPicPr>
      </xdr:nvPicPr>
      <xdr:blipFill>
        <a:blip xmlns:r="http://schemas.openxmlformats.org/officeDocument/2006/relationships" r:embed="rId2899"/>
        <a:stretch>
          <a:fillRect/>
        </a:stretch>
      </xdr:blipFill>
      <xdr:spPr>
        <a:xfrm>
          <a:off x="7235825" y="3797128550"/>
          <a:ext cx="878840" cy="1183640"/>
        </a:xfrm>
        <a:prstGeom prst="rect">
          <a:avLst/>
        </a:prstGeom>
      </xdr:spPr>
    </xdr:pic>
    <xdr:clientData/>
  </xdr:twoCellAnchor>
  <xdr:twoCellAnchor>
    <xdr:from>
      <xdr:col>9</xdr:col>
      <xdr:colOff>6350</xdr:colOff>
      <xdr:row>3840</xdr:row>
      <xdr:rowOff>25400</xdr:rowOff>
    </xdr:from>
    <xdr:to>
      <xdr:col>9</xdr:col>
      <xdr:colOff>885190</xdr:colOff>
      <xdr:row>3840</xdr:row>
      <xdr:rowOff>1209040</xdr:rowOff>
    </xdr:to>
    <xdr:pic>
      <xdr:nvPicPr>
        <xdr:cNvPr id="8207" name="Изображение 8206" descr="resizeПП-00265736"/>
        <xdr:cNvPicPr>
          <a:picLocks noChangeAspect="1"/>
        </xdr:cNvPicPr>
      </xdr:nvPicPr>
      <xdr:blipFill>
        <a:blip xmlns:r="http://schemas.openxmlformats.org/officeDocument/2006/relationships" r:embed="rId2900"/>
        <a:stretch>
          <a:fillRect/>
        </a:stretch>
      </xdr:blipFill>
      <xdr:spPr>
        <a:xfrm>
          <a:off x="7235825" y="3798350925"/>
          <a:ext cx="878840" cy="1183640"/>
        </a:xfrm>
        <a:prstGeom prst="rect">
          <a:avLst/>
        </a:prstGeom>
      </xdr:spPr>
    </xdr:pic>
    <xdr:clientData/>
  </xdr:twoCellAnchor>
  <xdr:twoCellAnchor>
    <xdr:from>
      <xdr:col>9</xdr:col>
      <xdr:colOff>6350</xdr:colOff>
      <xdr:row>3841</xdr:row>
      <xdr:rowOff>25400</xdr:rowOff>
    </xdr:from>
    <xdr:to>
      <xdr:col>9</xdr:col>
      <xdr:colOff>885190</xdr:colOff>
      <xdr:row>3841</xdr:row>
      <xdr:rowOff>1209040</xdr:rowOff>
    </xdr:to>
    <xdr:pic>
      <xdr:nvPicPr>
        <xdr:cNvPr id="8208" name="Изображение 8207" descr="resizeПП-00236121"/>
        <xdr:cNvPicPr>
          <a:picLocks noChangeAspect="1"/>
        </xdr:cNvPicPr>
      </xdr:nvPicPr>
      <xdr:blipFill>
        <a:blip xmlns:r="http://schemas.openxmlformats.org/officeDocument/2006/relationships" r:embed="rId2901"/>
        <a:stretch>
          <a:fillRect/>
        </a:stretch>
      </xdr:blipFill>
      <xdr:spPr>
        <a:xfrm>
          <a:off x="7235825" y="3799573300"/>
          <a:ext cx="878840" cy="1183640"/>
        </a:xfrm>
        <a:prstGeom prst="rect">
          <a:avLst/>
        </a:prstGeom>
      </xdr:spPr>
    </xdr:pic>
    <xdr:clientData/>
  </xdr:twoCellAnchor>
  <xdr:twoCellAnchor>
    <xdr:from>
      <xdr:col>9</xdr:col>
      <xdr:colOff>6350</xdr:colOff>
      <xdr:row>3842</xdr:row>
      <xdr:rowOff>25400</xdr:rowOff>
    </xdr:from>
    <xdr:to>
      <xdr:col>9</xdr:col>
      <xdr:colOff>885190</xdr:colOff>
      <xdr:row>3842</xdr:row>
      <xdr:rowOff>1209040</xdr:rowOff>
    </xdr:to>
    <xdr:pic>
      <xdr:nvPicPr>
        <xdr:cNvPr id="8209" name="Изображение 8208" descr="resizeПП-00236132"/>
        <xdr:cNvPicPr>
          <a:picLocks noChangeAspect="1"/>
        </xdr:cNvPicPr>
      </xdr:nvPicPr>
      <xdr:blipFill>
        <a:blip xmlns:r="http://schemas.openxmlformats.org/officeDocument/2006/relationships" r:embed="rId2902"/>
        <a:stretch>
          <a:fillRect/>
        </a:stretch>
      </xdr:blipFill>
      <xdr:spPr>
        <a:xfrm>
          <a:off x="7235825" y="3800795675"/>
          <a:ext cx="878840" cy="1183640"/>
        </a:xfrm>
        <a:prstGeom prst="rect">
          <a:avLst/>
        </a:prstGeom>
      </xdr:spPr>
    </xdr:pic>
    <xdr:clientData/>
  </xdr:twoCellAnchor>
  <xdr:twoCellAnchor>
    <xdr:from>
      <xdr:col>9</xdr:col>
      <xdr:colOff>6350</xdr:colOff>
      <xdr:row>3843</xdr:row>
      <xdr:rowOff>25400</xdr:rowOff>
    </xdr:from>
    <xdr:to>
      <xdr:col>9</xdr:col>
      <xdr:colOff>885190</xdr:colOff>
      <xdr:row>3843</xdr:row>
      <xdr:rowOff>1209040</xdr:rowOff>
    </xdr:to>
    <xdr:pic>
      <xdr:nvPicPr>
        <xdr:cNvPr id="8210" name="Изображение 8209" descr="resizeПП-00265730"/>
        <xdr:cNvPicPr>
          <a:picLocks noChangeAspect="1"/>
        </xdr:cNvPicPr>
      </xdr:nvPicPr>
      <xdr:blipFill>
        <a:blip xmlns:r="http://schemas.openxmlformats.org/officeDocument/2006/relationships" r:embed="rId2903"/>
        <a:stretch>
          <a:fillRect/>
        </a:stretch>
      </xdr:blipFill>
      <xdr:spPr>
        <a:xfrm>
          <a:off x="7235825" y="3802018050"/>
          <a:ext cx="878840" cy="1183640"/>
        </a:xfrm>
        <a:prstGeom prst="rect">
          <a:avLst/>
        </a:prstGeom>
      </xdr:spPr>
    </xdr:pic>
    <xdr:clientData/>
  </xdr:twoCellAnchor>
  <xdr:twoCellAnchor>
    <xdr:from>
      <xdr:col>9</xdr:col>
      <xdr:colOff>6350</xdr:colOff>
      <xdr:row>3844</xdr:row>
      <xdr:rowOff>25400</xdr:rowOff>
    </xdr:from>
    <xdr:to>
      <xdr:col>9</xdr:col>
      <xdr:colOff>885190</xdr:colOff>
      <xdr:row>3844</xdr:row>
      <xdr:rowOff>1209040</xdr:rowOff>
    </xdr:to>
    <xdr:pic>
      <xdr:nvPicPr>
        <xdr:cNvPr id="8211" name="Изображение 8210" descr="resizeПП-00265729"/>
        <xdr:cNvPicPr>
          <a:picLocks noChangeAspect="1"/>
        </xdr:cNvPicPr>
      </xdr:nvPicPr>
      <xdr:blipFill>
        <a:blip xmlns:r="http://schemas.openxmlformats.org/officeDocument/2006/relationships" r:embed="rId2904"/>
        <a:stretch>
          <a:fillRect/>
        </a:stretch>
      </xdr:blipFill>
      <xdr:spPr>
        <a:xfrm>
          <a:off x="7235825" y="3803240425"/>
          <a:ext cx="878840" cy="1183640"/>
        </a:xfrm>
        <a:prstGeom prst="rect">
          <a:avLst/>
        </a:prstGeom>
      </xdr:spPr>
    </xdr:pic>
    <xdr:clientData/>
  </xdr:twoCellAnchor>
  <xdr:twoCellAnchor>
    <xdr:from>
      <xdr:col>9</xdr:col>
      <xdr:colOff>6350</xdr:colOff>
      <xdr:row>3845</xdr:row>
      <xdr:rowOff>25400</xdr:rowOff>
    </xdr:from>
    <xdr:to>
      <xdr:col>9</xdr:col>
      <xdr:colOff>885190</xdr:colOff>
      <xdr:row>3845</xdr:row>
      <xdr:rowOff>1209040</xdr:rowOff>
    </xdr:to>
    <xdr:pic>
      <xdr:nvPicPr>
        <xdr:cNvPr id="8212" name="Изображение 8211" descr="resizeПП-00265741"/>
        <xdr:cNvPicPr>
          <a:picLocks noChangeAspect="1"/>
        </xdr:cNvPicPr>
      </xdr:nvPicPr>
      <xdr:blipFill>
        <a:blip xmlns:r="http://schemas.openxmlformats.org/officeDocument/2006/relationships" r:embed="rId2905"/>
        <a:stretch>
          <a:fillRect/>
        </a:stretch>
      </xdr:blipFill>
      <xdr:spPr>
        <a:xfrm>
          <a:off x="7235825" y="3804462800"/>
          <a:ext cx="878840" cy="1183640"/>
        </a:xfrm>
        <a:prstGeom prst="rect">
          <a:avLst/>
        </a:prstGeom>
      </xdr:spPr>
    </xdr:pic>
    <xdr:clientData/>
  </xdr:twoCellAnchor>
  <xdr:twoCellAnchor>
    <xdr:from>
      <xdr:col>9</xdr:col>
      <xdr:colOff>6350</xdr:colOff>
      <xdr:row>3846</xdr:row>
      <xdr:rowOff>25400</xdr:rowOff>
    </xdr:from>
    <xdr:to>
      <xdr:col>9</xdr:col>
      <xdr:colOff>885190</xdr:colOff>
      <xdr:row>3846</xdr:row>
      <xdr:rowOff>1209040</xdr:rowOff>
    </xdr:to>
    <xdr:pic>
      <xdr:nvPicPr>
        <xdr:cNvPr id="8213" name="Изображение 8212" descr="resizeПП-00236131"/>
        <xdr:cNvPicPr>
          <a:picLocks noChangeAspect="1"/>
        </xdr:cNvPicPr>
      </xdr:nvPicPr>
      <xdr:blipFill>
        <a:blip xmlns:r="http://schemas.openxmlformats.org/officeDocument/2006/relationships" r:embed="rId2906"/>
        <a:stretch>
          <a:fillRect/>
        </a:stretch>
      </xdr:blipFill>
      <xdr:spPr>
        <a:xfrm>
          <a:off x="7235825" y="3805685175"/>
          <a:ext cx="878840" cy="1183640"/>
        </a:xfrm>
        <a:prstGeom prst="rect">
          <a:avLst/>
        </a:prstGeom>
      </xdr:spPr>
    </xdr:pic>
    <xdr:clientData/>
  </xdr:twoCellAnchor>
  <xdr:twoCellAnchor>
    <xdr:from>
      <xdr:col>9</xdr:col>
      <xdr:colOff>6350</xdr:colOff>
      <xdr:row>3847</xdr:row>
      <xdr:rowOff>25400</xdr:rowOff>
    </xdr:from>
    <xdr:to>
      <xdr:col>9</xdr:col>
      <xdr:colOff>885190</xdr:colOff>
      <xdr:row>3847</xdr:row>
      <xdr:rowOff>1209040</xdr:rowOff>
    </xdr:to>
    <xdr:pic>
      <xdr:nvPicPr>
        <xdr:cNvPr id="8214" name="Изображение 8213" descr="resizeПП-00265728"/>
        <xdr:cNvPicPr>
          <a:picLocks noChangeAspect="1"/>
        </xdr:cNvPicPr>
      </xdr:nvPicPr>
      <xdr:blipFill>
        <a:blip xmlns:r="http://schemas.openxmlformats.org/officeDocument/2006/relationships" r:embed="rId2907"/>
        <a:stretch>
          <a:fillRect/>
        </a:stretch>
      </xdr:blipFill>
      <xdr:spPr>
        <a:xfrm>
          <a:off x="7235825" y="3806907550"/>
          <a:ext cx="878840" cy="1183640"/>
        </a:xfrm>
        <a:prstGeom prst="rect">
          <a:avLst/>
        </a:prstGeom>
      </xdr:spPr>
    </xdr:pic>
    <xdr:clientData/>
  </xdr:twoCellAnchor>
  <xdr:twoCellAnchor>
    <xdr:from>
      <xdr:col>9</xdr:col>
      <xdr:colOff>6350</xdr:colOff>
      <xdr:row>3848</xdr:row>
      <xdr:rowOff>25400</xdr:rowOff>
    </xdr:from>
    <xdr:to>
      <xdr:col>9</xdr:col>
      <xdr:colOff>885190</xdr:colOff>
      <xdr:row>3848</xdr:row>
      <xdr:rowOff>1209040</xdr:rowOff>
    </xdr:to>
    <xdr:pic>
      <xdr:nvPicPr>
        <xdr:cNvPr id="8215" name="Изображение 8214" descr="resizeПП-00236120"/>
        <xdr:cNvPicPr>
          <a:picLocks noChangeAspect="1"/>
        </xdr:cNvPicPr>
      </xdr:nvPicPr>
      <xdr:blipFill>
        <a:blip xmlns:r="http://schemas.openxmlformats.org/officeDocument/2006/relationships" r:embed="rId2908"/>
        <a:stretch>
          <a:fillRect/>
        </a:stretch>
      </xdr:blipFill>
      <xdr:spPr>
        <a:xfrm>
          <a:off x="7235825" y="3808129925"/>
          <a:ext cx="878840" cy="1183640"/>
        </a:xfrm>
        <a:prstGeom prst="rect">
          <a:avLst/>
        </a:prstGeom>
      </xdr:spPr>
    </xdr:pic>
    <xdr:clientData/>
  </xdr:twoCellAnchor>
  <xdr:twoCellAnchor>
    <xdr:from>
      <xdr:col>9</xdr:col>
      <xdr:colOff>6350</xdr:colOff>
      <xdr:row>3849</xdr:row>
      <xdr:rowOff>25400</xdr:rowOff>
    </xdr:from>
    <xdr:to>
      <xdr:col>9</xdr:col>
      <xdr:colOff>885190</xdr:colOff>
      <xdr:row>3849</xdr:row>
      <xdr:rowOff>1209040</xdr:rowOff>
    </xdr:to>
    <xdr:pic>
      <xdr:nvPicPr>
        <xdr:cNvPr id="8216" name="Изображение 8215" descr="resizeПП-00265742"/>
        <xdr:cNvPicPr>
          <a:picLocks noChangeAspect="1"/>
        </xdr:cNvPicPr>
      </xdr:nvPicPr>
      <xdr:blipFill>
        <a:blip xmlns:r="http://schemas.openxmlformats.org/officeDocument/2006/relationships" r:embed="rId2909"/>
        <a:stretch>
          <a:fillRect/>
        </a:stretch>
      </xdr:blipFill>
      <xdr:spPr>
        <a:xfrm>
          <a:off x="7235825" y="3809352300"/>
          <a:ext cx="878840" cy="1183640"/>
        </a:xfrm>
        <a:prstGeom prst="rect">
          <a:avLst/>
        </a:prstGeom>
      </xdr:spPr>
    </xdr:pic>
    <xdr:clientData/>
  </xdr:twoCellAnchor>
  <xdr:twoCellAnchor>
    <xdr:from>
      <xdr:col>9</xdr:col>
      <xdr:colOff>6350</xdr:colOff>
      <xdr:row>3850</xdr:row>
      <xdr:rowOff>25400</xdr:rowOff>
    </xdr:from>
    <xdr:to>
      <xdr:col>9</xdr:col>
      <xdr:colOff>885190</xdr:colOff>
      <xdr:row>3850</xdr:row>
      <xdr:rowOff>1209040</xdr:rowOff>
    </xdr:to>
    <xdr:pic>
      <xdr:nvPicPr>
        <xdr:cNvPr id="8217" name="Изображение 8216" descr="resizeПП-00265738"/>
        <xdr:cNvPicPr>
          <a:picLocks noChangeAspect="1"/>
        </xdr:cNvPicPr>
      </xdr:nvPicPr>
      <xdr:blipFill>
        <a:blip xmlns:r="http://schemas.openxmlformats.org/officeDocument/2006/relationships" r:embed="rId2910"/>
        <a:stretch>
          <a:fillRect/>
        </a:stretch>
      </xdr:blipFill>
      <xdr:spPr>
        <a:xfrm>
          <a:off x="7235825" y="3810574675"/>
          <a:ext cx="878840" cy="1183640"/>
        </a:xfrm>
        <a:prstGeom prst="rect">
          <a:avLst/>
        </a:prstGeom>
      </xdr:spPr>
    </xdr:pic>
    <xdr:clientData/>
  </xdr:twoCellAnchor>
  <xdr:twoCellAnchor>
    <xdr:from>
      <xdr:col>9</xdr:col>
      <xdr:colOff>6350</xdr:colOff>
      <xdr:row>3851</xdr:row>
      <xdr:rowOff>25400</xdr:rowOff>
    </xdr:from>
    <xdr:to>
      <xdr:col>9</xdr:col>
      <xdr:colOff>885190</xdr:colOff>
      <xdr:row>3851</xdr:row>
      <xdr:rowOff>1209040</xdr:rowOff>
    </xdr:to>
    <xdr:pic>
      <xdr:nvPicPr>
        <xdr:cNvPr id="8218" name="Изображение 8217" descr="resizeПП-00264046"/>
        <xdr:cNvPicPr>
          <a:picLocks noChangeAspect="1"/>
        </xdr:cNvPicPr>
      </xdr:nvPicPr>
      <xdr:blipFill>
        <a:blip xmlns:r="http://schemas.openxmlformats.org/officeDocument/2006/relationships" r:embed="rId2911"/>
        <a:stretch>
          <a:fillRect/>
        </a:stretch>
      </xdr:blipFill>
      <xdr:spPr>
        <a:xfrm>
          <a:off x="7235825" y="3811797050"/>
          <a:ext cx="878840" cy="1183640"/>
        </a:xfrm>
        <a:prstGeom prst="rect">
          <a:avLst/>
        </a:prstGeom>
      </xdr:spPr>
    </xdr:pic>
    <xdr:clientData/>
  </xdr:twoCellAnchor>
  <xdr:twoCellAnchor>
    <xdr:from>
      <xdr:col>9</xdr:col>
      <xdr:colOff>6350</xdr:colOff>
      <xdr:row>3852</xdr:row>
      <xdr:rowOff>25400</xdr:rowOff>
    </xdr:from>
    <xdr:to>
      <xdr:col>9</xdr:col>
      <xdr:colOff>885190</xdr:colOff>
      <xdr:row>3852</xdr:row>
      <xdr:rowOff>1209040</xdr:rowOff>
    </xdr:to>
    <xdr:pic>
      <xdr:nvPicPr>
        <xdr:cNvPr id="8219" name="Изображение 8218" descr="resizeПП-00264057"/>
        <xdr:cNvPicPr>
          <a:picLocks noChangeAspect="1"/>
        </xdr:cNvPicPr>
      </xdr:nvPicPr>
      <xdr:blipFill>
        <a:blip xmlns:r="http://schemas.openxmlformats.org/officeDocument/2006/relationships" r:embed="rId2912"/>
        <a:stretch>
          <a:fillRect/>
        </a:stretch>
      </xdr:blipFill>
      <xdr:spPr>
        <a:xfrm>
          <a:off x="7235825" y="3813019425"/>
          <a:ext cx="878840" cy="1183640"/>
        </a:xfrm>
        <a:prstGeom prst="rect">
          <a:avLst/>
        </a:prstGeom>
      </xdr:spPr>
    </xdr:pic>
    <xdr:clientData/>
  </xdr:twoCellAnchor>
  <xdr:twoCellAnchor>
    <xdr:from>
      <xdr:col>9</xdr:col>
      <xdr:colOff>6350</xdr:colOff>
      <xdr:row>3853</xdr:row>
      <xdr:rowOff>25400</xdr:rowOff>
    </xdr:from>
    <xdr:to>
      <xdr:col>9</xdr:col>
      <xdr:colOff>885190</xdr:colOff>
      <xdr:row>3853</xdr:row>
      <xdr:rowOff>1209040</xdr:rowOff>
    </xdr:to>
    <xdr:pic>
      <xdr:nvPicPr>
        <xdr:cNvPr id="8220" name="Изображение 8219" descr="resizeПП-00264043"/>
        <xdr:cNvPicPr>
          <a:picLocks noChangeAspect="1"/>
        </xdr:cNvPicPr>
      </xdr:nvPicPr>
      <xdr:blipFill>
        <a:blip xmlns:r="http://schemas.openxmlformats.org/officeDocument/2006/relationships" r:embed="rId2913"/>
        <a:stretch>
          <a:fillRect/>
        </a:stretch>
      </xdr:blipFill>
      <xdr:spPr>
        <a:xfrm>
          <a:off x="7235825" y="3814241800"/>
          <a:ext cx="878840" cy="1183640"/>
        </a:xfrm>
        <a:prstGeom prst="rect">
          <a:avLst/>
        </a:prstGeom>
      </xdr:spPr>
    </xdr:pic>
    <xdr:clientData/>
  </xdr:twoCellAnchor>
  <xdr:twoCellAnchor>
    <xdr:from>
      <xdr:col>9</xdr:col>
      <xdr:colOff>6350</xdr:colOff>
      <xdr:row>3854</xdr:row>
      <xdr:rowOff>25400</xdr:rowOff>
    </xdr:from>
    <xdr:to>
      <xdr:col>9</xdr:col>
      <xdr:colOff>885190</xdr:colOff>
      <xdr:row>3854</xdr:row>
      <xdr:rowOff>1209040</xdr:rowOff>
    </xdr:to>
    <xdr:pic>
      <xdr:nvPicPr>
        <xdr:cNvPr id="8221" name="Изображение 8220" descr="resizeПП-00264064"/>
        <xdr:cNvPicPr>
          <a:picLocks noChangeAspect="1"/>
        </xdr:cNvPicPr>
      </xdr:nvPicPr>
      <xdr:blipFill>
        <a:blip xmlns:r="http://schemas.openxmlformats.org/officeDocument/2006/relationships" r:embed="rId2914"/>
        <a:stretch>
          <a:fillRect/>
        </a:stretch>
      </xdr:blipFill>
      <xdr:spPr>
        <a:xfrm>
          <a:off x="7235825" y="3815464175"/>
          <a:ext cx="878840" cy="1183640"/>
        </a:xfrm>
        <a:prstGeom prst="rect">
          <a:avLst/>
        </a:prstGeom>
      </xdr:spPr>
    </xdr:pic>
    <xdr:clientData/>
  </xdr:twoCellAnchor>
  <xdr:twoCellAnchor>
    <xdr:from>
      <xdr:col>9</xdr:col>
      <xdr:colOff>6350</xdr:colOff>
      <xdr:row>3855</xdr:row>
      <xdr:rowOff>25400</xdr:rowOff>
    </xdr:from>
    <xdr:to>
      <xdr:col>9</xdr:col>
      <xdr:colOff>885190</xdr:colOff>
      <xdr:row>3855</xdr:row>
      <xdr:rowOff>1209040</xdr:rowOff>
    </xdr:to>
    <xdr:pic>
      <xdr:nvPicPr>
        <xdr:cNvPr id="8222" name="Изображение 8221" descr="resizeПП-00264049"/>
        <xdr:cNvPicPr>
          <a:picLocks noChangeAspect="1"/>
        </xdr:cNvPicPr>
      </xdr:nvPicPr>
      <xdr:blipFill>
        <a:blip xmlns:r="http://schemas.openxmlformats.org/officeDocument/2006/relationships" r:embed="rId2915"/>
        <a:stretch>
          <a:fillRect/>
        </a:stretch>
      </xdr:blipFill>
      <xdr:spPr>
        <a:xfrm>
          <a:off x="7235825" y="3816686550"/>
          <a:ext cx="878840" cy="1183640"/>
        </a:xfrm>
        <a:prstGeom prst="rect">
          <a:avLst/>
        </a:prstGeom>
      </xdr:spPr>
    </xdr:pic>
    <xdr:clientData/>
  </xdr:twoCellAnchor>
  <xdr:twoCellAnchor>
    <xdr:from>
      <xdr:col>9</xdr:col>
      <xdr:colOff>6350</xdr:colOff>
      <xdr:row>3856</xdr:row>
      <xdr:rowOff>25400</xdr:rowOff>
    </xdr:from>
    <xdr:to>
      <xdr:col>9</xdr:col>
      <xdr:colOff>885190</xdr:colOff>
      <xdr:row>3856</xdr:row>
      <xdr:rowOff>1209040</xdr:rowOff>
    </xdr:to>
    <xdr:pic>
      <xdr:nvPicPr>
        <xdr:cNvPr id="8223" name="Изображение 8222" descr="resizeПП-00264045"/>
        <xdr:cNvPicPr>
          <a:picLocks noChangeAspect="1"/>
        </xdr:cNvPicPr>
      </xdr:nvPicPr>
      <xdr:blipFill>
        <a:blip xmlns:r="http://schemas.openxmlformats.org/officeDocument/2006/relationships" r:embed="rId2916"/>
        <a:stretch>
          <a:fillRect/>
        </a:stretch>
      </xdr:blipFill>
      <xdr:spPr>
        <a:xfrm>
          <a:off x="7235825" y="3817908925"/>
          <a:ext cx="878840" cy="1183640"/>
        </a:xfrm>
        <a:prstGeom prst="rect">
          <a:avLst/>
        </a:prstGeom>
      </xdr:spPr>
    </xdr:pic>
    <xdr:clientData/>
  </xdr:twoCellAnchor>
  <xdr:twoCellAnchor>
    <xdr:from>
      <xdr:col>9</xdr:col>
      <xdr:colOff>6350</xdr:colOff>
      <xdr:row>3857</xdr:row>
      <xdr:rowOff>25400</xdr:rowOff>
    </xdr:from>
    <xdr:to>
      <xdr:col>9</xdr:col>
      <xdr:colOff>885190</xdr:colOff>
      <xdr:row>3857</xdr:row>
      <xdr:rowOff>1209040</xdr:rowOff>
    </xdr:to>
    <xdr:pic>
      <xdr:nvPicPr>
        <xdr:cNvPr id="8224" name="Изображение 8223" descr="resizeПП-00264065"/>
        <xdr:cNvPicPr>
          <a:picLocks noChangeAspect="1"/>
        </xdr:cNvPicPr>
      </xdr:nvPicPr>
      <xdr:blipFill>
        <a:blip xmlns:r="http://schemas.openxmlformats.org/officeDocument/2006/relationships" r:embed="rId2917"/>
        <a:stretch>
          <a:fillRect/>
        </a:stretch>
      </xdr:blipFill>
      <xdr:spPr>
        <a:xfrm>
          <a:off x="7235825" y="3819131300"/>
          <a:ext cx="878840" cy="1183640"/>
        </a:xfrm>
        <a:prstGeom prst="rect">
          <a:avLst/>
        </a:prstGeom>
      </xdr:spPr>
    </xdr:pic>
    <xdr:clientData/>
  </xdr:twoCellAnchor>
  <xdr:twoCellAnchor>
    <xdr:from>
      <xdr:col>9</xdr:col>
      <xdr:colOff>6350</xdr:colOff>
      <xdr:row>3858</xdr:row>
      <xdr:rowOff>25400</xdr:rowOff>
    </xdr:from>
    <xdr:to>
      <xdr:col>9</xdr:col>
      <xdr:colOff>885190</xdr:colOff>
      <xdr:row>3858</xdr:row>
      <xdr:rowOff>1209040</xdr:rowOff>
    </xdr:to>
    <xdr:pic>
      <xdr:nvPicPr>
        <xdr:cNvPr id="8225" name="Изображение 8224" descr="resizeПП-00264050"/>
        <xdr:cNvPicPr>
          <a:picLocks noChangeAspect="1"/>
        </xdr:cNvPicPr>
      </xdr:nvPicPr>
      <xdr:blipFill>
        <a:blip xmlns:r="http://schemas.openxmlformats.org/officeDocument/2006/relationships" r:embed="rId2918"/>
        <a:stretch>
          <a:fillRect/>
        </a:stretch>
      </xdr:blipFill>
      <xdr:spPr>
        <a:xfrm>
          <a:off x="7235825" y="3820353675"/>
          <a:ext cx="878840" cy="1183640"/>
        </a:xfrm>
        <a:prstGeom prst="rect">
          <a:avLst/>
        </a:prstGeom>
      </xdr:spPr>
    </xdr:pic>
    <xdr:clientData/>
  </xdr:twoCellAnchor>
  <xdr:twoCellAnchor>
    <xdr:from>
      <xdr:col>9</xdr:col>
      <xdr:colOff>6350</xdr:colOff>
      <xdr:row>3859</xdr:row>
      <xdr:rowOff>25400</xdr:rowOff>
    </xdr:from>
    <xdr:to>
      <xdr:col>9</xdr:col>
      <xdr:colOff>885190</xdr:colOff>
      <xdr:row>3859</xdr:row>
      <xdr:rowOff>1209040</xdr:rowOff>
    </xdr:to>
    <xdr:pic>
      <xdr:nvPicPr>
        <xdr:cNvPr id="8226" name="Изображение 8225" descr="resizeПП-00264056"/>
        <xdr:cNvPicPr>
          <a:picLocks noChangeAspect="1"/>
        </xdr:cNvPicPr>
      </xdr:nvPicPr>
      <xdr:blipFill>
        <a:blip xmlns:r="http://schemas.openxmlformats.org/officeDocument/2006/relationships" r:embed="rId2919"/>
        <a:stretch>
          <a:fillRect/>
        </a:stretch>
      </xdr:blipFill>
      <xdr:spPr>
        <a:xfrm>
          <a:off x="7235825" y="3821576050"/>
          <a:ext cx="878840" cy="1183640"/>
        </a:xfrm>
        <a:prstGeom prst="rect">
          <a:avLst/>
        </a:prstGeom>
      </xdr:spPr>
    </xdr:pic>
    <xdr:clientData/>
  </xdr:twoCellAnchor>
  <xdr:twoCellAnchor>
    <xdr:from>
      <xdr:col>9</xdr:col>
      <xdr:colOff>6350</xdr:colOff>
      <xdr:row>3860</xdr:row>
      <xdr:rowOff>25400</xdr:rowOff>
    </xdr:from>
    <xdr:to>
      <xdr:col>9</xdr:col>
      <xdr:colOff>885190</xdr:colOff>
      <xdr:row>3860</xdr:row>
      <xdr:rowOff>1209040</xdr:rowOff>
    </xdr:to>
    <xdr:pic>
      <xdr:nvPicPr>
        <xdr:cNvPr id="8227" name="Изображение 8226" descr="resizeПП-00264053"/>
        <xdr:cNvPicPr>
          <a:picLocks noChangeAspect="1"/>
        </xdr:cNvPicPr>
      </xdr:nvPicPr>
      <xdr:blipFill>
        <a:blip xmlns:r="http://schemas.openxmlformats.org/officeDocument/2006/relationships" r:embed="rId2920"/>
        <a:stretch>
          <a:fillRect/>
        </a:stretch>
      </xdr:blipFill>
      <xdr:spPr>
        <a:xfrm>
          <a:off x="7235825" y="3822798425"/>
          <a:ext cx="878840" cy="1183640"/>
        </a:xfrm>
        <a:prstGeom prst="rect">
          <a:avLst/>
        </a:prstGeom>
      </xdr:spPr>
    </xdr:pic>
    <xdr:clientData/>
  </xdr:twoCellAnchor>
  <xdr:twoCellAnchor>
    <xdr:from>
      <xdr:col>9</xdr:col>
      <xdr:colOff>6350</xdr:colOff>
      <xdr:row>3861</xdr:row>
      <xdr:rowOff>25400</xdr:rowOff>
    </xdr:from>
    <xdr:to>
      <xdr:col>9</xdr:col>
      <xdr:colOff>885190</xdr:colOff>
      <xdr:row>3861</xdr:row>
      <xdr:rowOff>1209040</xdr:rowOff>
    </xdr:to>
    <xdr:pic>
      <xdr:nvPicPr>
        <xdr:cNvPr id="8228" name="Изображение 8227" descr="resizeПП-00264036"/>
        <xdr:cNvPicPr>
          <a:picLocks noChangeAspect="1"/>
        </xdr:cNvPicPr>
      </xdr:nvPicPr>
      <xdr:blipFill>
        <a:blip xmlns:r="http://schemas.openxmlformats.org/officeDocument/2006/relationships" r:embed="rId2921"/>
        <a:stretch>
          <a:fillRect/>
        </a:stretch>
      </xdr:blipFill>
      <xdr:spPr>
        <a:xfrm>
          <a:off x="7235825" y="3824020800"/>
          <a:ext cx="878840" cy="1183640"/>
        </a:xfrm>
        <a:prstGeom prst="rect">
          <a:avLst/>
        </a:prstGeom>
      </xdr:spPr>
    </xdr:pic>
    <xdr:clientData/>
  </xdr:twoCellAnchor>
  <xdr:twoCellAnchor>
    <xdr:from>
      <xdr:col>9</xdr:col>
      <xdr:colOff>6350</xdr:colOff>
      <xdr:row>3862</xdr:row>
      <xdr:rowOff>25400</xdr:rowOff>
    </xdr:from>
    <xdr:to>
      <xdr:col>9</xdr:col>
      <xdr:colOff>885190</xdr:colOff>
      <xdr:row>3862</xdr:row>
      <xdr:rowOff>1209040</xdr:rowOff>
    </xdr:to>
    <xdr:pic>
      <xdr:nvPicPr>
        <xdr:cNvPr id="8229" name="Изображение 8228" descr="resizeПП-00264061"/>
        <xdr:cNvPicPr>
          <a:picLocks noChangeAspect="1"/>
        </xdr:cNvPicPr>
      </xdr:nvPicPr>
      <xdr:blipFill>
        <a:blip xmlns:r="http://schemas.openxmlformats.org/officeDocument/2006/relationships" r:embed="rId2922"/>
        <a:stretch>
          <a:fillRect/>
        </a:stretch>
      </xdr:blipFill>
      <xdr:spPr>
        <a:xfrm>
          <a:off x="7235825" y="3825243175"/>
          <a:ext cx="878840" cy="1183640"/>
        </a:xfrm>
        <a:prstGeom prst="rect">
          <a:avLst/>
        </a:prstGeom>
      </xdr:spPr>
    </xdr:pic>
    <xdr:clientData/>
  </xdr:twoCellAnchor>
  <xdr:twoCellAnchor>
    <xdr:from>
      <xdr:col>9</xdr:col>
      <xdr:colOff>6350</xdr:colOff>
      <xdr:row>3863</xdr:row>
      <xdr:rowOff>25400</xdr:rowOff>
    </xdr:from>
    <xdr:to>
      <xdr:col>9</xdr:col>
      <xdr:colOff>885190</xdr:colOff>
      <xdr:row>3863</xdr:row>
      <xdr:rowOff>1209040</xdr:rowOff>
    </xdr:to>
    <xdr:pic>
      <xdr:nvPicPr>
        <xdr:cNvPr id="8230" name="Изображение 8229" descr="resizeПП-00264055"/>
        <xdr:cNvPicPr>
          <a:picLocks noChangeAspect="1"/>
        </xdr:cNvPicPr>
      </xdr:nvPicPr>
      <xdr:blipFill>
        <a:blip xmlns:r="http://schemas.openxmlformats.org/officeDocument/2006/relationships" r:embed="rId2923"/>
        <a:stretch>
          <a:fillRect/>
        </a:stretch>
      </xdr:blipFill>
      <xdr:spPr>
        <a:xfrm>
          <a:off x="7235825" y="3826465550"/>
          <a:ext cx="878840" cy="1183640"/>
        </a:xfrm>
        <a:prstGeom prst="rect">
          <a:avLst/>
        </a:prstGeom>
      </xdr:spPr>
    </xdr:pic>
    <xdr:clientData/>
  </xdr:twoCellAnchor>
  <xdr:twoCellAnchor>
    <xdr:from>
      <xdr:col>9</xdr:col>
      <xdr:colOff>6350</xdr:colOff>
      <xdr:row>3864</xdr:row>
      <xdr:rowOff>25400</xdr:rowOff>
    </xdr:from>
    <xdr:to>
      <xdr:col>9</xdr:col>
      <xdr:colOff>885190</xdr:colOff>
      <xdr:row>3864</xdr:row>
      <xdr:rowOff>1209040</xdr:rowOff>
    </xdr:to>
    <xdr:pic>
      <xdr:nvPicPr>
        <xdr:cNvPr id="8231" name="Изображение 8230" descr="resizeПП-00264047"/>
        <xdr:cNvPicPr>
          <a:picLocks noChangeAspect="1"/>
        </xdr:cNvPicPr>
      </xdr:nvPicPr>
      <xdr:blipFill>
        <a:blip xmlns:r="http://schemas.openxmlformats.org/officeDocument/2006/relationships" r:embed="rId2924"/>
        <a:stretch>
          <a:fillRect/>
        </a:stretch>
      </xdr:blipFill>
      <xdr:spPr>
        <a:xfrm>
          <a:off x="7235825" y="3827687925"/>
          <a:ext cx="878840" cy="1183640"/>
        </a:xfrm>
        <a:prstGeom prst="rect">
          <a:avLst/>
        </a:prstGeom>
      </xdr:spPr>
    </xdr:pic>
    <xdr:clientData/>
  </xdr:twoCellAnchor>
  <xdr:twoCellAnchor>
    <xdr:from>
      <xdr:col>9</xdr:col>
      <xdr:colOff>6350</xdr:colOff>
      <xdr:row>3865</xdr:row>
      <xdr:rowOff>25400</xdr:rowOff>
    </xdr:from>
    <xdr:to>
      <xdr:col>9</xdr:col>
      <xdr:colOff>885190</xdr:colOff>
      <xdr:row>3865</xdr:row>
      <xdr:rowOff>1209040</xdr:rowOff>
    </xdr:to>
    <xdr:pic>
      <xdr:nvPicPr>
        <xdr:cNvPr id="8232" name="Изображение 8231" descr="resizeПП-00264069"/>
        <xdr:cNvPicPr>
          <a:picLocks noChangeAspect="1"/>
        </xdr:cNvPicPr>
      </xdr:nvPicPr>
      <xdr:blipFill>
        <a:blip xmlns:r="http://schemas.openxmlformats.org/officeDocument/2006/relationships" r:embed="rId2925"/>
        <a:stretch>
          <a:fillRect/>
        </a:stretch>
      </xdr:blipFill>
      <xdr:spPr>
        <a:xfrm>
          <a:off x="7235825" y="3828910300"/>
          <a:ext cx="878840" cy="1183640"/>
        </a:xfrm>
        <a:prstGeom prst="rect">
          <a:avLst/>
        </a:prstGeom>
      </xdr:spPr>
    </xdr:pic>
    <xdr:clientData/>
  </xdr:twoCellAnchor>
  <xdr:twoCellAnchor>
    <xdr:from>
      <xdr:col>9</xdr:col>
      <xdr:colOff>6350</xdr:colOff>
      <xdr:row>3866</xdr:row>
      <xdr:rowOff>25400</xdr:rowOff>
    </xdr:from>
    <xdr:to>
      <xdr:col>9</xdr:col>
      <xdr:colOff>885190</xdr:colOff>
      <xdr:row>3866</xdr:row>
      <xdr:rowOff>1209040</xdr:rowOff>
    </xdr:to>
    <xdr:pic>
      <xdr:nvPicPr>
        <xdr:cNvPr id="8233" name="Изображение 8232" descr="resizeПП-00264066"/>
        <xdr:cNvPicPr>
          <a:picLocks noChangeAspect="1"/>
        </xdr:cNvPicPr>
      </xdr:nvPicPr>
      <xdr:blipFill>
        <a:blip xmlns:r="http://schemas.openxmlformats.org/officeDocument/2006/relationships" r:embed="rId2926"/>
        <a:stretch>
          <a:fillRect/>
        </a:stretch>
      </xdr:blipFill>
      <xdr:spPr>
        <a:xfrm>
          <a:off x="7235825" y="3830132675"/>
          <a:ext cx="878840" cy="1183640"/>
        </a:xfrm>
        <a:prstGeom prst="rect">
          <a:avLst/>
        </a:prstGeom>
      </xdr:spPr>
    </xdr:pic>
    <xdr:clientData/>
  </xdr:twoCellAnchor>
  <xdr:twoCellAnchor>
    <xdr:from>
      <xdr:col>9</xdr:col>
      <xdr:colOff>6350</xdr:colOff>
      <xdr:row>3867</xdr:row>
      <xdr:rowOff>25400</xdr:rowOff>
    </xdr:from>
    <xdr:to>
      <xdr:col>9</xdr:col>
      <xdr:colOff>885190</xdr:colOff>
      <xdr:row>3867</xdr:row>
      <xdr:rowOff>1209040</xdr:rowOff>
    </xdr:to>
    <xdr:pic>
      <xdr:nvPicPr>
        <xdr:cNvPr id="8234" name="Изображение 8233" descr="resizeПП-00264051"/>
        <xdr:cNvPicPr>
          <a:picLocks noChangeAspect="1"/>
        </xdr:cNvPicPr>
      </xdr:nvPicPr>
      <xdr:blipFill>
        <a:blip xmlns:r="http://schemas.openxmlformats.org/officeDocument/2006/relationships" r:embed="rId2927"/>
        <a:stretch>
          <a:fillRect/>
        </a:stretch>
      </xdr:blipFill>
      <xdr:spPr>
        <a:xfrm>
          <a:off x="7235825" y="3831355050"/>
          <a:ext cx="878840" cy="1183640"/>
        </a:xfrm>
        <a:prstGeom prst="rect">
          <a:avLst/>
        </a:prstGeom>
      </xdr:spPr>
    </xdr:pic>
    <xdr:clientData/>
  </xdr:twoCellAnchor>
  <xdr:twoCellAnchor>
    <xdr:from>
      <xdr:col>9</xdr:col>
      <xdr:colOff>6350</xdr:colOff>
      <xdr:row>3868</xdr:row>
      <xdr:rowOff>25400</xdr:rowOff>
    </xdr:from>
    <xdr:to>
      <xdr:col>9</xdr:col>
      <xdr:colOff>885190</xdr:colOff>
      <xdr:row>3868</xdr:row>
      <xdr:rowOff>1209040</xdr:rowOff>
    </xdr:to>
    <xdr:pic>
      <xdr:nvPicPr>
        <xdr:cNvPr id="8235" name="Изображение 8234" descr="resizeПП-00264063"/>
        <xdr:cNvPicPr>
          <a:picLocks noChangeAspect="1"/>
        </xdr:cNvPicPr>
      </xdr:nvPicPr>
      <xdr:blipFill>
        <a:blip xmlns:r="http://schemas.openxmlformats.org/officeDocument/2006/relationships" r:embed="rId2928"/>
        <a:stretch>
          <a:fillRect/>
        </a:stretch>
      </xdr:blipFill>
      <xdr:spPr>
        <a:xfrm>
          <a:off x="7235825" y="3832577425"/>
          <a:ext cx="878840" cy="1183640"/>
        </a:xfrm>
        <a:prstGeom prst="rect">
          <a:avLst/>
        </a:prstGeom>
      </xdr:spPr>
    </xdr:pic>
    <xdr:clientData/>
  </xdr:twoCellAnchor>
  <xdr:twoCellAnchor>
    <xdr:from>
      <xdr:col>9</xdr:col>
      <xdr:colOff>6350</xdr:colOff>
      <xdr:row>3869</xdr:row>
      <xdr:rowOff>25400</xdr:rowOff>
    </xdr:from>
    <xdr:to>
      <xdr:col>9</xdr:col>
      <xdr:colOff>885190</xdr:colOff>
      <xdr:row>3869</xdr:row>
      <xdr:rowOff>1209040</xdr:rowOff>
    </xdr:to>
    <xdr:pic>
      <xdr:nvPicPr>
        <xdr:cNvPr id="8236" name="Изображение 8235" descr="resizeПП-00264044"/>
        <xdr:cNvPicPr>
          <a:picLocks noChangeAspect="1"/>
        </xdr:cNvPicPr>
      </xdr:nvPicPr>
      <xdr:blipFill>
        <a:blip xmlns:r="http://schemas.openxmlformats.org/officeDocument/2006/relationships" r:embed="rId2929"/>
        <a:stretch>
          <a:fillRect/>
        </a:stretch>
      </xdr:blipFill>
      <xdr:spPr>
        <a:xfrm>
          <a:off x="7235825" y="3833799800"/>
          <a:ext cx="878840" cy="1183640"/>
        </a:xfrm>
        <a:prstGeom prst="rect">
          <a:avLst/>
        </a:prstGeom>
      </xdr:spPr>
    </xdr:pic>
    <xdr:clientData/>
  </xdr:twoCellAnchor>
  <xdr:twoCellAnchor>
    <xdr:from>
      <xdr:col>9</xdr:col>
      <xdr:colOff>6350</xdr:colOff>
      <xdr:row>3870</xdr:row>
      <xdr:rowOff>25400</xdr:rowOff>
    </xdr:from>
    <xdr:to>
      <xdr:col>9</xdr:col>
      <xdr:colOff>885190</xdr:colOff>
      <xdr:row>3870</xdr:row>
      <xdr:rowOff>1209040</xdr:rowOff>
    </xdr:to>
    <xdr:pic>
      <xdr:nvPicPr>
        <xdr:cNvPr id="8237" name="Изображение 8236" descr="resizeПП-00264068"/>
        <xdr:cNvPicPr>
          <a:picLocks noChangeAspect="1"/>
        </xdr:cNvPicPr>
      </xdr:nvPicPr>
      <xdr:blipFill>
        <a:blip xmlns:r="http://schemas.openxmlformats.org/officeDocument/2006/relationships" r:embed="rId2930"/>
        <a:stretch>
          <a:fillRect/>
        </a:stretch>
      </xdr:blipFill>
      <xdr:spPr>
        <a:xfrm>
          <a:off x="7235825" y="3835022175"/>
          <a:ext cx="878840" cy="1183640"/>
        </a:xfrm>
        <a:prstGeom prst="rect">
          <a:avLst/>
        </a:prstGeom>
      </xdr:spPr>
    </xdr:pic>
    <xdr:clientData/>
  </xdr:twoCellAnchor>
  <xdr:twoCellAnchor>
    <xdr:from>
      <xdr:col>9</xdr:col>
      <xdr:colOff>6350</xdr:colOff>
      <xdr:row>3871</xdr:row>
      <xdr:rowOff>25400</xdr:rowOff>
    </xdr:from>
    <xdr:to>
      <xdr:col>9</xdr:col>
      <xdr:colOff>885190</xdr:colOff>
      <xdr:row>3871</xdr:row>
      <xdr:rowOff>1209040</xdr:rowOff>
    </xdr:to>
    <xdr:pic>
      <xdr:nvPicPr>
        <xdr:cNvPr id="8238" name="Изображение 8237" descr="resizeПП-00264062"/>
        <xdr:cNvPicPr>
          <a:picLocks noChangeAspect="1"/>
        </xdr:cNvPicPr>
      </xdr:nvPicPr>
      <xdr:blipFill>
        <a:blip xmlns:r="http://schemas.openxmlformats.org/officeDocument/2006/relationships" r:embed="rId2931"/>
        <a:stretch>
          <a:fillRect/>
        </a:stretch>
      </xdr:blipFill>
      <xdr:spPr>
        <a:xfrm>
          <a:off x="7235825" y="3836244550"/>
          <a:ext cx="878840" cy="1183640"/>
        </a:xfrm>
        <a:prstGeom prst="rect">
          <a:avLst/>
        </a:prstGeom>
      </xdr:spPr>
    </xdr:pic>
    <xdr:clientData/>
  </xdr:twoCellAnchor>
  <xdr:twoCellAnchor>
    <xdr:from>
      <xdr:col>9</xdr:col>
      <xdr:colOff>6350</xdr:colOff>
      <xdr:row>3872</xdr:row>
      <xdr:rowOff>25400</xdr:rowOff>
    </xdr:from>
    <xdr:to>
      <xdr:col>9</xdr:col>
      <xdr:colOff>885190</xdr:colOff>
      <xdr:row>3872</xdr:row>
      <xdr:rowOff>1209040</xdr:rowOff>
    </xdr:to>
    <xdr:pic>
      <xdr:nvPicPr>
        <xdr:cNvPr id="8239" name="Изображение 8238" descr="resizeПП-00264059"/>
        <xdr:cNvPicPr>
          <a:picLocks noChangeAspect="1"/>
        </xdr:cNvPicPr>
      </xdr:nvPicPr>
      <xdr:blipFill>
        <a:blip xmlns:r="http://schemas.openxmlformats.org/officeDocument/2006/relationships" r:embed="rId2932"/>
        <a:stretch>
          <a:fillRect/>
        </a:stretch>
      </xdr:blipFill>
      <xdr:spPr>
        <a:xfrm>
          <a:off x="7235825" y="3837466925"/>
          <a:ext cx="878840" cy="1183640"/>
        </a:xfrm>
        <a:prstGeom prst="rect">
          <a:avLst/>
        </a:prstGeom>
      </xdr:spPr>
    </xdr:pic>
    <xdr:clientData/>
  </xdr:twoCellAnchor>
  <xdr:twoCellAnchor>
    <xdr:from>
      <xdr:col>9</xdr:col>
      <xdr:colOff>6350</xdr:colOff>
      <xdr:row>3873</xdr:row>
      <xdr:rowOff>25400</xdr:rowOff>
    </xdr:from>
    <xdr:to>
      <xdr:col>9</xdr:col>
      <xdr:colOff>885190</xdr:colOff>
      <xdr:row>3873</xdr:row>
      <xdr:rowOff>1209040</xdr:rowOff>
    </xdr:to>
    <xdr:pic>
      <xdr:nvPicPr>
        <xdr:cNvPr id="8240" name="Изображение 8239" descr="resizeПП-00264060"/>
        <xdr:cNvPicPr>
          <a:picLocks noChangeAspect="1"/>
        </xdr:cNvPicPr>
      </xdr:nvPicPr>
      <xdr:blipFill>
        <a:blip xmlns:r="http://schemas.openxmlformats.org/officeDocument/2006/relationships" r:embed="rId2933"/>
        <a:stretch>
          <a:fillRect/>
        </a:stretch>
      </xdr:blipFill>
      <xdr:spPr>
        <a:xfrm>
          <a:off x="7235825" y="3838689300"/>
          <a:ext cx="878840" cy="1183640"/>
        </a:xfrm>
        <a:prstGeom prst="rect">
          <a:avLst/>
        </a:prstGeom>
      </xdr:spPr>
    </xdr:pic>
    <xdr:clientData/>
  </xdr:twoCellAnchor>
  <xdr:twoCellAnchor>
    <xdr:from>
      <xdr:col>9</xdr:col>
      <xdr:colOff>6350</xdr:colOff>
      <xdr:row>3874</xdr:row>
      <xdr:rowOff>25400</xdr:rowOff>
    </xdr:from>
    <xdr:to>
      <xdr:col>9</xdr:col>
      <xdr:colOff>885190</xdr:colOff>
      <xdr:row>3874</xdr:row>
      <xdr:rowOff>1209040</xdr:rowOff>
    </xdr:to>
    <xdr:pic>
      <xdr:nvPicPr>
        <xdr:cNvPr id="8241" name="Изображение 8240" descr="resizeПП-00264042"/>
        <xdr:cNvPicPr>
          <a:picLocks noChangeAspect="1"/>
        </xdr:cNvPicPr>
      </xdr:nvPicPr>
      <xdr:blipFill>
        <a:blip xmlns:r="http://schemas.openxmlformats.org/officeDocument/2006/relationships" r:embed="rId2934"/>
        <a:stretch>
          <a:fillRect/>
        </a:stretch>
      </xdr:blipFill>
      <xdr:spPr>
        <a:xfrm>
          <a:off x="7235825" y="3839911675"/>
          <a:ext cx="878840" cy="1183640"/>
        </a:xfrm>
        <a:prstGeom prst="rect">
          <a:avLst/>
        </a:prstGeom>
      </xdr:spPr>
    </xdr:pic>
    <xdr:clientData/>
  </xdr:twoCellAnchor>
  <xdr:twoCellAnchor>
    <xdr:from>
      <xdr:col>9</xdr:col>
      <xdr:colOff>6350</xdr:colOff>
      <xdr:row>3875</xdr:row>
      <xdr:rowOff>25400</xdr:rowOff>
    </xdr:from>
    <xdr:to>
      <xdr:col>9</xdr:col>
      <xdr:colOff>885190</xdr:colOff>
      <xdr:row>3875</xdr:row>
      <xdr:rowOff>1209040</xdr:rowOff>
    </xdr:to>
    <xdr:pic>
      <xdr:nvPicPr>
        <xdr:cNvPr id="8242" name="Изображение 8241" descr="resizeПП-00264054"/>
        <xdr:cNvPicPr>
          <a:picLocks noChangeAspect="1"/>
        </xdr:cNvPicPr>
      </xdr:nvPicPr>
      <xdr:blipFill>
        <a:blip xmlns:r="http://schemas.openxmlformats.org/officeDocument/2006/relationships" r:embed="rId2935"/>
        <a:stretch>
          <a:fillRect/>
        </a:stretch>
      </xdr:blipFill>
      <xdr:spPr>
        <a:xfrm>
          <a:off x="7235825" y="3841134050"/>
          <a:ext cx="878840" cy="1183640"/>
        </a:xfrm>
        <a:prstGeom prst="rect">
          <a:avLst/>
        </a:prstGeom>
      </xdr:spPr>
    </xdr:pic>
    <xdr:clientData/>
  </xdr:twoCellAnchor>
  <xdr:twoCellAnchor>
    <xdr:from>
      <xdr:col>9</xdr:col>
      <xdr:colOff>6350</xdr:colOff>
      <xdr:row>3876</xdr:row>
      <xdr:rowOff>25400</xdr:rowOff>
    </xdr:from>
    <xdr:to>
      <xdr:col>9</xdr:col>
      <xdr:colOff>885190</xdr:colOff>
      <xdr:row>3876</xdr:row>
      <xdr:rowOff>1209040</xdr:rowOff>
    </xdr:to>
    <xdr:pic>
      <xdr:nvPicPr>
        <xdr:cNvPr id="8243" name="Изображение 8242" descr="resizeПП-00264041"/>
        <xdr:cNvPicPr>
          <a:picLocks noChangeAspect="1"/>
        </xdr:cNvPicPr>
      </xdr:nvPicPr>
      <xdr:blipFill>
        <a:blip xmlns:r="http://schemas.openxmlformats.org/officeDocument/2006/relationships" r:embed="rId2936"/>
        <a:stretch>
          <a:fillRect/>
        </a:stretch>
      </xdr:blipFill>
      <xdr:spPr>
        <a:xfrm>
          <a:off x="7235825" y="3842356425"/>
          <a:ext cx="878840" cy="1183640"/>
        </a:xfrm>
        <a:prstGeom prst="rect">
          <a:avLst/>
        </a:prstGeom>
      </xdr:spPr>
    </xdr:pic>
    <xdr:clientData/>
  </xdr:twoCellAnchor>
  <xdr:twoCellAnchor>
    <xdr:from>
      <xdr:col>9</xdr:col>
      <xdr:colOff>6350</xdr:colOff>
      <xdr:row>3877</xdr:row>
      <xdr:rowOff>25400</xdr:rowOff>
    </xdr:from>
    <xdr:to>
      <xdr:col>9</xdr:col>
      <xdr:colOff>885190</xdr:colOff>
      <xdr:row>3877</xdr:row>
      <xdr:rowOff>1209040</xdr:rowOff>
    </xdr:to>
    <xdr:pic>
      <xdr:nvPicPr>
        <xdr:cNvPr id="8244" name="Изображение 8243" descr="resizeПП-00264048"/>
        <xdr:cNvPicPr>
          <a:picLocks noChangeAspect="1"/>
        </xdr:cNvPicPr>
      </xdr:nvPicPr>
      <xdr:blipFill>
        <a:blip xmlns:r="http://schemas.openxmlformats.org/officeDocument/2006/relationships" r:embed="rId2937"/>
        <a:stretch>
          <a:fillRect/>
        </a:stretch>
      </xdr:blipFill>
      <xdr:spPr>
        <a:xfrm>
          <a:off x="7235825" y="3843578800"/>
          <a:ext cx="878840" cy="1183640"/>
        </a:xfrm>
        <a:prstGeom prst="rect">
          <a:avLst/>
        </a:prstGeom>
      </xdr:spPr>
    </xdr:pic>
    <xdr:clientData/>
  </xdr:twoCellAnchor>
  <xdr:twoCellAnchor>
    <xdr:from>
      <xdr:col>9</xdr:col>
      <xdr:colOff>6350</xdr:colOff>
      <xdr:row>3878</xdr:row>
      <xdr:rowOff>25400</xdr:rowOff>
    </xdr:from>
    <xdr:to>
      <xdr:col>9</xdr:col>
      <xdr:colOff>885190</xdr:colOff>
      <xdr:row>3878</xdr:row>
      <xdr:rowOff>1209040</xdr:rowOff>
    </xdr:to>
    <xdr:pic>
      <xdr:nvPicPr>
        <xdr:cNvPr id="8245" name="Изображение 8244" descr="resizeПП-00264052"/>
        <xdr:cNvPicPr>
          <a:picLocks noChangeAspect="1"/>
        </xdr:cNvPicPr>
      </xdr:nvPicPr>
      <xdr:blipFill>
        <a:blip xmlns:r="http://schemas.openxmlformats.org/officeDocument/2006/relationships" r:embed="rId2938"/>
        <a:stretch>
          <a:fillRect/>
        </a:stretch>
      </xdr:blipFill>
      <xdr:spPr>
        <a:xfrm>
          <a:off x="7235825" y="3844801175"/>
          <a:ext cx="878840" cy="1183640"/>
        </a:xfrm>
        <a:prstGeom prst="rect">
          <a:avLst/>
        </a:prstGeom>
      </xdr:spPr>
    </xdr:pic>
    <xdr:clientData/>
  </xdr:twoCellAnchor>
  <xdr:twoCellAnchor>
    <xdr:from>
      <xdr:col>9</xdr:col>
      <xdr:colOff>6350</xdr:colOff>
      <xdr:row>3879</xdr:row>
      <xdr:rowOff>25400</xdr:rowOff>
    </xdr:from>
    <xdr:to>
      <xdr:col>9</xdr:col>
      <xdr:colOff>885190</xdr:colOff>
      <xdr:row>3879</xdr:row>
      <xdr:rowOff>1209040</xdr:rowOff>
    </xdr:to>
    <xdr:pic>
      <xdr:nvPicPr>
        <xdr:cNvPr id="8246" name="Изображение 8245" descr="resizeПП-00265732"/>
        <xdr:cNvPicPr>
          <a:picLocks noChangeAspect="1"/>
        </xdr:cNvPicPr>
      </xdr:nvPicPr>
      <xdr:blipFill>
        <a:blip xmlns:r="http://schemas.openxmlformats.org/officeDocument/2006/relationships" r:embed="rId2939"/>
        <a:stretch>
          <a:fillRect/>
        </a:stretch>
      </xdr:blipFill>
      <xdr:spPr>
        <a:xfrm>
          <a:off x="7235825" y="3846023550"/>
          <a:ext cx="878840" cy="1183640"/>
        </a:xfrm>
        <a:prstGeom prst="rect">
          <a:avLst/>
        </a:prstGeom>
      </xdr:spPr>
    </xdr:pic>
    <xdr:clientData/>
  </xdr:twoCellAnchor>
  <xdr:twoCellAnchor>
    <xdr:from>
      <xdr:col>9</xdr:col>
      <xdr:colOff>6350</xdr:colOff>
      <xdr:row>3880</xdr:row>
      <xdr:rowOff>25400</xdr:rowOff>
    </xdr:from>
    <xdr:to>
      <xdr:col>9</xdr:col>
      <xdr:colOff>885190</xdr:colOff>
      <xdr:row>3880</xdr:row>
      <xdr:rowOff>1209040</xdr:rowOff>
    </xdr:to>
    <xdr:pic>
      <xdr:nvPicPr>
        <xdr:cNvPr id="8247" name="Изображение 8246" descr="resizeПП-00265735"/>
        <xdr:cNvPicPr>
          <a:picLocks noChangeAspect="1"/>
        </xdr:cNvPicPr>
      </xdr:nvPicPr>
      <xdr:blipFill>
        <a:blip xmlns:r="http://schemas.openxmlformats.org/officeDocument/2006/relationships" r:embed="rId2940"/>
        <a:stretch>
          <a:fillRect/>
        </a:stretch>
      </xdr:blipFill>
      <xdr:spPr>
        <a:xfrm>
          <a:off x="7235825" y="3847245925"/>
          <a:ext cx="878840" cy="1183640"/>
        </a:xfrm>
        <a:prstGeom prst="rect">
          <a:avLst/>
        </a:prstGeom>
      </xdr:spPr>
    </xdr:pic>
    <xdr:clientData/>
  </xdr:twoCellAnchor>
  <xdr:twoCellAnchor>
    <xdr:from>
      <xdr:col>9</xdr:col>
      <xdr:colOff>6350</xdr:colOff>
      <xdr:row>3881</xdr:row>
      <xdr:rowOff>25400</xdr:rowOff>
    </xdr:from>
    <xdr:to>
      <xdr:col>9</xdr:col>
      <xdr:colOff>885190</xdr:colOff>
      <xdr:row>3881</xdr:row>
      <xdr:rowOff>1209040</xdr:rowOff>
    </xdr:to>
    <xdr:pic>
      <xdr:nvPicPr>
        <xdr:cNvPr id="8248" name="Изображение 8247" descr="resizeПП-00265733"/>
        <xdr:cNvPicPr>
          <a:picLocks noChangeAspect="1"/>
        </xdr:cNvPicPr>
      </xdr:nvPicPr>
      <xdr:blipFill>
        <a:blip xmlns:r="http://schemas.openxmlformats.org/officeDocument/2006/relationships" r:embed="rId2941"/>
        <a:stretch>
          <a:fillRect/>
        </a:stretch>
      </xdr:blipFill>
      <xdr:spPr>
        <a:xfrm>
          <a:off x="7235825" y="3848468300"/>
          <a:ext cx="878840" cy="1183640"/>
        </a:xfrm>
        <a:prstGeom prst="rect">
          <a:avLst/>
        </a:prstGeom>
      </xdr:spPr>
    </xdr:pic>
    <xdr:clientData/>
  </xdr:twoCellAnchor>
  <xdr:twoCellAnchor>
    <xdr:from>
      <xdr:col>9</xdr:col>
      <xdr:colOff>6350</xdr:colOff>
      <xdr:row>3882</xdr:row>
      <xdr:rowOff>25400</xdr:rowOff>
    </xdr:from>
    <xdr:to>
      <xdr:col>9</xdr:col>
      <xdr:colOff>885190</xdr:colOff>
      <xdr:row>3882</xdr:row>
      <xdr:rowOff>1209040</xdr:rowOff>
    </xdr:to>
    <xdr:pic>
      <xdr:nvPicPr>
        <xdr:cNvPr id="8249" name="Изображение 8248" descr="resizeПП-00265737"/>
        <xdr:cNvPicPr>
          <a:picLocks noChangeAspect="1"/>
        </xdr:cNvPicPr>
      </xdr:nvPicPr>
      <xdr:blipFill>
        <a:blip xmlns:r="http://schemas.openxmlformats.org/officeDocument/2006/relationships" r:embed="rId2942"/>
        <a:stretch>
          <a:fillRect/>
        </a:stretch>
      </xdr:blipFill>
      <xdr:spPr>
        <a:xfrm>
          <a:off x="7235825" y="3849690675"/>
          <a:ext cx="878840" cy="1183640"/>
        </a:xfrm>
        <a:prstGeom prst="rect">
          <a:avLst/>
        </a:prstGeom>
      </xdr:spPr>
    </xdr:pic>
    <xdr:clientData/>
  </xdr:twoCellAnchor>
  <xdr:twoCellAnchor>
    <xdr:from>
      <xdr:col>9</xdr:col>
      <xdr:colOff>6350</xdr:colOff>
      <xdr:row>3883</xdr:row>
      <xdr:rowOff>25400</xdr:rowOff>
    </xdr:from>
    <xdr:to>
      <xdr:col>9</xdr:col>
      <xdr:colOff>885190</xdr:colOff>
      <xdr:row>3883</xdr:row>
      <xdr:rowOff>1209040</xdr:rowOff>
    </xdr:to>
    <xdr:pic>
      <xdr:nvPicPr>
        <xdr:cNvPr id="8250" name="Изображение 8249" descr="resizeПП-00265734"/>
        <xdr:cNvPicPr>
          <a:picLocks noChangeAspect="1"/>
        </xdr:cNvPicPr>
      </xdr:nvPicPr>
      <xdr:blipFill>
        <a:blip xmlns:r="http://schemas.openxmlformats.org/officeDocument/2006/relationships" r:embed="rId2943"/>
        <a:stretch>
          <a:fillRect/>
        </a:stretch>
      </xdr:blipFill>
      <xdr:spPr>
        <a:xfrm>
          <a:off x="7235825" y="3850913050"/>
          <a:ext cx="878840" cy="1183640"/>
        </a:xfrm>
        <a:prstGeom prst="rect">
          <a:avLst/>
        </a:prstGeom>
      </xdr:spPr>
    </xdr:pic>
    <xdr:clientData/>
  </xdr:twoCellAnchor>
  <xdr:twoCellAnchor>
    <xdr:from>
      <xdr:col>9</xdr:col>
      <xdr:colOff>6350</xdr:colOff>
      <xdr:row>3884</xdr:row>
      <xdr:rowOff>25400</xdr:rowOff>
    </xdr:from>
    <xdr:to>
      <xdr:col>9</xdr:col>
      <xdr:colOff>885190</xdr:colOff>
      <xdr:row>3884</xdr:row>
      <xdr:rowOff>1209040</xdr:rowOff>
    </xdr:to>
    <xdr:pic>
      <xdr:nvPicPr>
        <xdr:cNvPr id="8251" name="Изображение 8250" descr="resizeПП-00265747"/>
        <xdr:cNvPicPr>
          <a:picLocks noChangeAspect="1"/>
        </xdr:cNvPicPr>
      </xdr:nvPicPr>
      <xdr:blipFill>
        <a:blip xmlns:r="http://schemas.openxmlformats.org/officeDocument/2006/relationships" r:embed="rId2944"/>
        <a:stretch>
          <a:fillRect/>
        </a:stretch>
      </xdr:blipFill>
      <xdr:spPr>
        <a:xfrm>
          <a:off x="7235825" y="3852135425"/>
          <a:ext cx="878840" cy="1183640"/>
        </a:xfrm>
        <a:prstGeom prst="rect">
          <a:avLst/>
        </a:prstGeom>
      </xdr:spPr>
    </xdr:pic>
    <xdr:clientData/>
  </xdr:twoCellAnchor>
  <xdr:twoCellAnchor>
    <xdr:from>
      <xdr:col>9</xdr:col>
      <xdr:colOff>6350</xdr:colOff>
      <xdr:row>3885</xdr:row>
      <xdr:rowOff>25400</xdr:rowOff>
    </xdr:from>
    <xdr:to>
      <xdr:col>9</xdr:col>
      <xdr:colOff>885190</xdr:colOff>
      <xdr:row>3885</xdr:row>
      <xdr:rowOff>1209040</xdr:rowOff>
    </xdr:to>
    <xdr:pic>
      <xdr:nvPicPr>
        <xdr:cNvPr id="8252" name="Изображение 8251" descr="resizeПП-00265746"/>
        <xdr:cNvPicPr>
          <a:picLocks noChangeAspect="1"/>
        </xdr:cNvPicPr>
      </xdr:nvPicPr>
      <xdr:blipFill>
        <a:blip xmlns:r="http://schemas.openxmlformats.org/officeDocument/2006/relationships" r:embed="rId2945"/>
        <a:stretch>
          <a:fillRect/>
        </a:stretch>
      </xdr:blipFill>
      <xdr:spPr>
        <a:xfrm>
          <a:off x="7235825" y="3853357800"/>
          <a:ext cx="878840" cy="1183640"/>
        </a:xfrm>
        <a:prstGeom prst="rect">
          <a:avLst/>
        </a:prstGeom>
      </xdr:spPr>
    </xdr:pic>
    <xdr:clientData/>
  </xdr:twoCellAnchor>
  <xdr:twoCellAnchor>
    <xdr:from>
      <xdr:col>9</xdr:col>
      <xdr:colOff>6350</xdr:colOff>
      <xdr:row>3886</xdr:row>
      <xdr:rowOff>25400</xdr:rowOff>
    </xdr:from>
    <xdr:to>
      <xdr:col>9</xdr:col>
      <xdr:colOff>885190</xdr:colOff>
      <xdr:row>3886</xdr:row>
      <xdr:rowOff>1209040</xdr:rowOff>
    </xdr:to>
    <xdr:pic>
      <xdr:nvPicPr>
        <xdr:cNvPr id="8253" name="Изображение 8252" descr="resizeПП-00265745"/>
        <xdr:cNvPicPr>
          <a:picLocks noChangeAspect="1"/>
        </xdr:cNvPicPr>
      </xdr:nvPicPr>
      <xdr:blipFill>
        <a:blip xmlns:r="http://schemas.openxmlformats.org/officeDocument/2006/relationships" r:embed="rId2946"/>
        <a:stretch>
          <a:fillRect/>
        </a:stretch>
      </xdr:blipFill>
      <xdr:spPr>
        <a:xfrm>
          <a:off x="7235825" y="3854580175"/>
          <a:ext cx="878840" cy="1183640"/>
        </a:xfrm>
        <a:prstGeom prst="rect">
          <a:avLst/>
        </a:prstGeom>
      </xdr:spPr>
    </xdr:pic>
    <xdr:clientData/>
  </xdr:twoCellAnchor>
  <xdr:twoCellAnchor>
    <xdr:from>
      <xdr:col>9</xdr:col>
      <xdr:colOff>6350</xdr:colOff>
      <xdr:row>3887</xdr:row>
      <xdr:rowOff>25400</xdr:rowOff>
    </xdr:from>
    <xdr:to>
      <xdr:col>9</xdr:col>
      <xdr:colOff>885190</xdr:colOff>
      <xdr:row>3887</xdr:row>
      <xdr:rowOff>1209040</xdr:rowOff>
    </xdr:to>
    <xdr:pic>
      <xdr:nvPicPr>
        <xdr:cNvPr id="8254" name="Изображение 8253" descr="resizeПП-00212099"/>
        <xdr:cNvPicPr>
          <a:picLocks noChangeAspect="1"/>
        </xdr:cNvPicPr>
      </xdr:nvPicPr>
      <xdr:blipFill>
        <a:blip xmlns:r="http://schemas.openxmlformats.org/officeDocument/2006/relationships" r:embed="rId2947"/>
        <a:stretch>
          <a:fillRect/>
        </a:stretch>
      </xdr:blipFill>
      <xdr:spPr>
        <a:xfrm>
          <a:off x="7235825" y="3855802550"/>
          <a:ext cx="878840" cy="1183640"/>
        </a:xfrm>
        <a:prstGeom prst="rect">
          <a:avLst/>
        </a:prstGeom>
      </xdr:spPr>
    </xdr:pic>
    <xdr:clientData/>
  </xdr:twoCellAnchor>
  <xdr:twoCellAnchor>
    <xdr:from>
      <xdr:col>9</xdr:col>
      <xdr:colOff>6350</xdr:colOff>
      <xdr:row>3888</xdr:row>
      <xdr:rowOff>25400</xdr:rowOff>
    </xdr:from>
    <xdr:to>
      <xdr:col>9</xdr:col>
      <xdr:colOff>885190</xdr:colOff>
      <xdr:row>3888</xdr:row>
      <xdr:rowOff>1209040</xdr:rowOff>
    </xdr:to>
    <xdr:pic>
      <xdr:nvPicPr>
        <xdr:cNvPr id="8255" name="Изображение 8254" descr="resizeПП-00213638"/>
        <xdr:cNvPicPr>
          <a:picLocks noChangeAspect="1"/>
        </xdr:cNvPicPr>
      </xdr:nvPicPr>
      <xdr:blipFill>
        <a:blip xmlns:r="http://schemas.openxmlformats.org/officeDocument/2006/relationships" r:embed="rId2948"/>
        <a:stretch>
          <a:fillRect/>
        </a:stretch>
      </xdr:blipFill>
      <xdr:spPr>
        <a:xfrm>
          <a:off x="7235825" y="3857024925"/>
          <a:ext cx="878840" cy="1183640"/>
        </a:xfrm>
        <a:prstGeom prst="rect">
          <a:avLst/>
        </a:prstGeom>
      </xdr:spPr>
    </xdr:pic>
    <xdr:clientData/>
  </xdr:twoCellAnchor>
  <xdr:twoCellAnchor>
    <xdr:from>
      <xdr:col>9</xdr:col>
      <xdr:colOff>6350</xdr:colOff>
      <xdr:row>3889</xdr:row>
      <xdr:rowOff>25400</xdr:rowOff>
    </xdr:from>
    <xdr:to>
      <xdr:col>9</xdr:col>
      <xdr:colOff>885190</xdr:colOff>
      <xdr:row>3889</xdr:row>
      <xdr:rowOff>1209040</xdr:rowOff>
    </xdr:to>
    <xdr:pic>
      <xdr:nvPicPr>
        <xdr:cNvPr id="8256" name="Изображение 8255" descr="resizeПП-00229675"/>
        <xdr:cNvPicPr>
          <a:picLocks noChangeAspect="1"/>
        </xdr:cNvPicPr>
      </xdr:nvPicPr>
      <xdr:blipFill>
        <a:blip xmlns:r="http://schemas.openxmlformats.org/officeDocument/2006/relationships" r:embed="rId2949"/>
        <a:stretch>
          <a:fillRect/>
        </a:stretch>
      </xdr:blipFill>
      <xdr:spPr>
        <a:xfrm>
          <a:off x="7235825" y="3858247300"/>
          <a:ext cx="878840" cy="1183640"/>
        </a:xfrm>
        <a:prstGeom prst="rect">
          <a:avLst/>
        </a:prstGeom>
      </xdr:spPr>
    </xdr:pic>
    <xdr:clientData/>
  </xdr:twoCellAnchor>
  <xdr:twoCellAnchor>
    <xdr:from>
      <xdr:col>9</xdr:col>
      <xdr:colOff>6350</xdr:colOff>
      <xdr:row>3890</xdr:row>
      <xdr:rowOff>25400</xdr:rowOff>
    </xdr:from>
    <xdr:to>
      <xdr:col>9</xdr:col>
      <xdr:colOff>885190</xdr:colOff>
      <xdr:row>3890</xdr:row>
      <xdr:rowOff>1209040</xdr:rowOff>
    </xdr:to>
    <xdr:pic>
      <xdr:nvPicPr>
        <xdr:cNvPr id="8257" name="Изображение 8256" descr="resizeПП-00229708"/>
        <xdr:cNvPicPr>
          <a:picLocks noChangeAspect="1"/>
        </xdr:cNvPicPr>
      </xdr:nvPicPr>
      <xdr:blipFill>
        <a:blip xmlns:r="http://schemas.openxmlformats.org/officeDocument/2006/relationships" r:embed="rId2950"/>
        <a:stretch>
          <a:fillRect/>
        </a:stretch>
      </xdr:blipFill>
      <xdr:spPr>
        <a:xfrm>
          <a:off x="7235825" y="3859469675"/>
          <a:ext cx="878840" cy="1183640"/>
        </a:xfrm>
        <a:prstGeom prst="rect">
          <a:avLst/>
        </a:prstGeom>
      </xdr:spPr>
    </xdr:pic>
    <xdr:clientData/>
  </xdr:twoCellAnchor>
  <xdr:twoCellAnchor>
    <xdr:from>
      <xdr:col>9</xdr:col>
      <xdr:colOff>6350</xdr:colOff>
      <xdr:row>3891</xdr:row>
      <xdr:rowOff>25400</xdr:rowOff>
    </xdr:from>
    <xdr:to>
      <xdr:col>9</xdr:col>
      <xdr:colOff>885190</xdr:colOff>
      <xdr:row>3891</xdr:row>
      <xdr:rowOff>1209040</xdr:rowOff>
    </xdr:to>
    <xdr:pic>
      <xdr:nvPicPr>
        <xdr:cNvPr id="8258" name="Изображение 8257" descr="resizeПП-00229704"/>
        <xdr:cNvPicPr>
          <a:picLocks noChangeAspect="1"/>
        </xdr:cNvPicPr>
      </xdr:nvPicPr>
      <xdr:blipFill>
        <a:blip xmlns:r="http://schemas.openxmlformats.org/officeDocument/2006/relationships" r:embed="rId2951"/>
        <a:stretch>
          <a:fillRect/>
        </a:stretch>
      </xdr:blipFill>
      <xdr:spPr>
        <a:xfrm>
          <a:off x="7235825" y="3860692050"/>
          <a:ext cx="878840" cy="1183640"/>
        </a:xfrm>
        <a:prstGeom prst="rect">
          <a:avLst/>
        </a:prstGeom>
      </xdr:spPr>
    </xdr:pic>
    <xdr:clientData/>
  </xdr:twoCellAnchor>
  <xdr:twoCellAnchor>
    <xdr:from>
      <xdr:col>9</xdr:col>
      <xdr:colOff>6350</xdr:colOff>
      <xdr:row>3892</xdr:row>
      <xdr:rowOff>25400</xdr:rowOff>
    </xdr:from>
    <xdr:to>
      <xdr:col>9</xdr:col>
      <xdr:colOff>885190</xdr:colOff>
      <xdr:row>3892</xdr:row>
      <xdr:rowOff>1209040</xdr:rowOff>
    </xdr:to>
    <xdr:pic>
      <xdr:nvPicPr>
        <xdr:cNvPr id="8259" name="Изображение 8258" descr="resizeПП-00229680"/>
        <xdr:cNvPicPr>
          <a:picLocks noChangeAspect="1"/>
        </xdr:cNvPicPr>
      </xdr:nvPicPr>
      <xdr:blipFill>
        <a:blip xmlns:r="http://schemas.openxmlformats.org/officeDocument/2006/relationships" r:embed="rId2952"/>
        <a:stretch>
          <a:fillRect/>
        </a:stretch>
      </xdr:blipFill>
      <xdr:spPr>
        <a:xfrm>
          <a:off x="7235825" y="3861914425"/>
          <a:ext cx="878840" cy="1183640"/>
        </a:xfrm>
        <a:prstGeom prst="rect">
          <a:avLst/>
        </a:prstGeom>
      </xdr:spPr>
    </xdr:pic>
    <xdr:clientData/>
  </xdr:twoCellAnchor>
  <xdr:twoCellAnchor>
    <xdr:from>
      <xdr:col>9</xdr:col>
      <xdr:colOff>6350</xdr:colOff>
      <xdr:row>3893</xdr:row>
      <xdr:rowOff>25400</xdr:rowOff>
    </xdr:from>
    <xdr:to>
      <xdr:col>9</xdr:col>
      <xdr:colOff>885190</xdr:colOff>
      <xdr:row>3893</xdr:row>
      <xdr:rowOff>1209040</xdr:rowOff>
    </xdr:to>
    <xdr:pic>
      <xdr:nvPicPr>
        <xdr:cNvPr id="8260" name="Изображение 8259" descr="resizeПП-00229703"/>
        <xdr:cNvPicPr>
          <a:picLocks noChangeAspect="1"/>
        </xdr:cNvPicPr>
      </xdr:nvPicPr>
      <xdr:blipFill>
        <a:blip xmlns:r="http://schemas.openxmlformats.org/officeDocument/2006/relationships" r:embed="rId2953"/>
        <a:stretch>
          <a:fillRect/>
        </a:stretch>
      </xdr:blipFill>
      <xdr:spPr>
        <a:xfrm>
          <a:off x="7235825" y="3863136800"/>
          <a:ext cx="878840" cy="1183640"/>
        </a:xfrm>
        <a:prstGeom prst="rect">
          <a:avLst/>
        </a:prstGeom>
      </xdr:spPr>
    </xdr:pic>
    <xdr:clientData/>
  </xdr:twoCellAnchor>
  <xdr:twoCellAnchor>
    <xdr:from>
      <xdr:col>9</xdr:col>
      <xdr:colOff>6350</xdr:colOff>
      <xdr:row>3894</xdr:row>
      <xdr:rowOff>25400</xdr:rowOff>
    </xdr:from>
    <xdr:to>
      <xdr:col>9</xdr:col>
      <xdr:colOff>885190</xdr:colOff>
      <xdr:row>3894</xdr:row>
      <xdr:rowOff>1209040</xdr:rowOff>
    </xdr:to>
    <xdr:pic>
      <xdr:nvPicPr>
        <xdr:cNvPr id="8261" name="Изображение 8260" descr="resizeПП-00229697"/>
        <xdr:cNvPicPr>
          <a:picLocks noChangeAspect="1"/>
        </xdr:cNvPicPr>
      </xdr:nvPicPr>
      <xdr:blipFill>
        <a:blip xmlns:r="http://schemas.openxmlformats.org/officeDocument/2006/relationships" r:embed="rId2954"/>
        <a:stretch>
          <a:fillRect/>
        </a:stretch>
      </xdr:blipFill>
      <xdr:spPr>
        <a:xfrm>
          <a:off x="7235825" y="3864359175"/>
          <a:ext cx="878840" cy="1183640"/>
        </a:xfrm>
        <a:prstGeom prst="rect">
          <a:avLst/>
        </a:prstGeom>
      </xdr:spPr>
    </xdr:pic>
    <xdr:clientData/>
  </xdr:twoCellAnchor>
  <xdr:twoCellAnchor>
    <xdr:from>
      <xdr:col>9</xdr:col>
      <xdr:colOff>6350</xdr:colOff>
      <xdr:row>3895</xdr:row>
      <xdr:rowOff>25400</xdr:rowOff>
    </xdr:from>
    <xdr:to>
      <xdr:col>9</xdr:col>
      <xdr:colOff>885190</xdr:colOff>
      <xdr:row>3895</xdr:row>
      <xdr:rowOff>1209040</xdr:rowOff>
    </xdr:to>
    <xdr:pic>
      <xdr:nvPicPr>
        <xdr:cNvPr id="8262" name="Изображение 8261" descr="resizeПП-00229673"/>
        <xdr:cNvPicPr>
          <a:picLocks noChangeAspect="1"/>
        </xdr:cNvPicPr>
      </xdr:nvPicPr>
      <xdr:blipFill>
        <a:blip xmlns:r="http://schemas.openxmlformats.org/officeDocument/2006/relationships" r:embed="rId2955"/>
        <a:stretch>
          <a:fillRect/>
        </a:stretch>
      </xdr:blipFill>
      <xdr:spPr>
        <a:xfrm>
          <a:off x="7235825" y="3865581550"/>
          <a:ext cx="878840" cy="1183640"/>
        </a:xfrm>
        <a:prstGeom prst="rect">
          <a:avLst/>
        </a:prstGeom>
      </xdr:spPr>
    </xdr:pic>
    <xdr:clientData/>
  </xdr:twoCellAnchor>
  <xdr:twoCellAnchor>
    <xdr:from>
      <xdr:col>9</xdr:col>
      <xdr:colOff>6350</xdr:colOff>
      <xdr:row>3896</xdr:row>
      <xdr:rowOff>25400</xdr:rowOff>
    </xdr:from>
    <xdr:to>
      <xdr:col>9</xdr:col>
      <xdr:colOff>885190</xdr:colOff>
      <xdr:row>3896</xdr:row>
      <xdr:rowOff>1209040</xdr:rowOff>
    </xdr:to>
    <xdr:pic>
      <xdr:nvPicPr>
        <xdr:cNvPr id="8263" name="Изображение 8262" descr="resizeПП-00213641"/>
        <xdr:cNvPicPr>
          <a:picLocks noChangeAspect="1"/>
        </xdr:cNvPicPr>
      </xdr:nvPicPr>
      <xdr:blipFill>
        <a:blip xmlns:r="http://schemas.openxmlformats.org/officeDocument/2006/relationships" r:embed="rId2956"/>
        <a:stretch>
          <a:fillRect/>
        </a:stretch>
      </xdr:blipFill>
      <xdr:spPr>
        <a:xfrm>
          <a:off x="7235825" y="3866803925"/>
          <a:ext cx="878840" cy="1183640"/>
        </a:xfrm>
        <a:prstGeom prst="rect">
          <a:avLst/>
        </a:prstGeom>
      </xdr:spPr>
    </xdr:pic>
    <xdr:clientData/>
  </xdr:twoCellAnchor>
  <xdr:twoCellAnchor>
    <xdr:from>
      <xdr:col>9</xdr:col>
      <xdr:colOff>6350</xdr:colOff>
      <xdr:row>3898</xdr:row>
      <xdr:rowOff>25400</xdr:rowOff>
    </xdr:from>
    <xdr:to>
      <xdr:col>9</xdr:col>
      <xdr:colOff>885190</xdr:colOff>
      <xdr:row>3898</xdr:row>
      <xdr:rowOff>1209040</xdr:rowOff>
    </xdr:to>
    <xdr:pic>
      <xdr:nvPicPr>
        <xdr:cNvPr id="8264" name="Изображение 8263" descr="resizeПП-00272381"/>
        <xdr:cNvPicPr>
          <a:picLocks noChangeAspect="1"/>
        </xdr:cNvPicPr>
      </xdr:nvPicPr>
      <xdr:blipFill>
        <a:blip xmlns:r="http://schemas.openxmlformats.org/officeDocument/2006/relationships" r:embed="rId2957"/>
        <a:stretch>
          <a:fillRect/>
        </a:stretch>
      </xdr:blipFill>
      <xdr:spPr>
        <a:xfrm>
          <a:off x="7235825" y="3868178700"/>
          <a:ext cx="878840" cy="1183640"/>
        </a:xfrm>
        <a:prstGeom prst="rect">
          <a:avLst/>
        </a:prstGeom>
      </xdr:spPr>
    </xdr:pic>
    <xdr:clientData/>
  </xdr:twoCellAnchor>
  <xdr:twoCellAnchor>
    <xdr:from>
      <xdr:col>9</xdr:col>
      <xdr:colOff>6350</xdr:colOff>
      <xdr:row>3899</xdr:row>
      <xdr:rowOff>25400</xdr:rowOff>
    </xdr:from>
    <xdr:to>
      <xdr:col>9</xdr:col>
      <xdr:colOff>885190</xdr:colOff>
      <xdr:row>3899</xdr:row>
      <xdr:rowOff>1209040</xdr:rowOff>
    </xdr:to>
    <xdr:pic>
      <xdr:nvPicPr>
        <xdr:cNvPr id="8265" name="Изображение 8264" descr="resizeПП-00272382"/>
        <xdr:cNvPicPr>
          <a:picLocks noChangeAspect="1"/>
        </xdr:cNvPicPr>
      </xdr:nvPicPr>
      <xdr:blipFill>
        <a:blip xmlns:r="http://schemas.openxmlformats.org/officeDocument/2006/relationships" r:embed="rId2958"/>
        <a:stretch>
          <a:fillRect/>
        </a:stretch>
      </xdr:blipFill>
      <xdr:spPr>
        <a:xfrm>
          <a:off x="7235825" y="3869401075"/>
          <a:ext cx="878840" cy="1183640"/>
        </a:xfrm>
        <a:prstGeom prst="rect">
          <a:avLst/>
        </a:prstGeom>
      </xdr:spPr>
    </xdr:pic>
    <xdr:clientData/>
  </xdr:twoCellAnchor>
  <xdr:twoCellAnchor>
    <xdr:from>
      <xdr:col>9</xdr:col>
      <xdr:colOff>6350</xdr:colOff>
      <xdr:row>3900</xdr:row>
      <xdr:rowOff>25400</xdr:rowOff>
    </xdr:from>
    <xdr:to>
      <xdr:col>9</xdr:col>
      <xdr:colOff>885190</xdr:colOff>
      <xdr:row>3900</xdr:row>
      <xdr:rowOff>1209040</xdr:rowOff>
    </xdr:to>
    <xdr:pic>
      <xdr:nvPicPr>
        <xdr:cNvPr id="8266" name="Изображение 8265" descr="resizeПП-00272379"/>
        <xdr:cNvPicPr>
          <a:picLocks noChangeAspect="1"/>
        </xdr:cNvPicPr>
      </xdr:nvPicPr>
      <xdr:blipFill>
        <a:blip xmlns:r="http://schemas.openxmlformats.org/officeDocument/2006/relationships" r:embed="rId2959"/>
        <a:stretch>
          <a:fillRect/>
        </a:stretch>
      </xdr:blipFill>
      <xdr:spPr>
        <a:xfrm>
          <a:off x="7235825" y="3870623450"/>
          <a:ext cx="878840" cy="1183640"/>
        </a:xfrm>
        <a:prstGeom prst="rect">
          <a:avLst/>
        </a:prstGeom>
      </xdr:spPr>
    </xdr:pic>
    <xdr:clientData/>
  </xdr:twoCellAnchor>
  <xdr:twoCellAnchor>
    <xdr:from>
      <xdr:col>9</xdr:col>
      <xdr:colOff>6350</xdr:colOff>
      <xdr:row>3901</xdr:row>
      <xdr:rowOff>25400</xdr:rowOff>
    </xdr:from>
    <xdr:to>
      <xdr:col>9</xdr:col>
      <xdr:colOff>885190</xdr:colOff>
      <xdr:row>3901</xdr:row>
      <xdr:rowOff>1209040</xdr:rowOff>
    </xdr:to>
    <xdr:pic>
      <xdr:nvPicPr>
        <xdr:cNvPr id="8267" name="Изображение 8266" descr="resizeПП-00272380"/>
        <xdr:cNvPicPr>
          <a:picLocks noChangeAspect="1"/>
        </xdr:cNvPicPr>
      </xdr:nvPicPr>
      <xdr:blipFill>
        <a:blip xmlns:r="http://schemas.openxmlformats.org/officeDocument/2006/relationships" r:embed="rId2960"/>
        <a:stretch>
          <a:fillRect/>
        </a:stretch>
      </xdr:blipFill>
      <xdr:spPr>
        <a:xfrm>
          <a:off x="7235825" y="3871845825"/>
          <a:ext cx="878840" cy="1183640"/>
        </a:xfrm>
        <a:prstGeom prst="rect">
          <a:avLst/>
        </a:prstGeom>
      </xdr:spPr>
    </xdr:pic>
    <xdr:clientData/>
  </xdr:twoCellAnchor>
  <xdr:twoCellAnchor>
    <xdr:from>
      <xdr:col>9</xdr:col>
      <xdr:colOff>6350</xdr:colOff>
      <xdr:row>3904</xdr:row>
      <xdr:rowOff>25400</xdr:rowOff>
    </xdr:from>
    <xdr:to>
      <xdr:col>9</xdr:col>
      <xdr:colOff>885190</xdr:colOff>
      <xdr:row>3904</xdr:row>
      <xdr:rowOff>1209040</xdr:rowOff>
    </xdr:to>
    <xdr:pic>
      <xdr:nvPicPr>
        <xdr:cNvPr id="8268" name="Изображение 8267" descr="resizeПП-00261803"/>
        <xdr:cNvPicPr>
          <a:picLocks noChangeAspect="1"/>
        </xdr:cNvPicPr>
      </xdr:nvPicPr>
      <xdr:blipFill>
        <a:blip xmlns:r="http://schemas.openxmlformats.org/officeDocument/2006/relationships" r:embed="rId2786"/>
        <a:stretch>
          <a:fillRect/>
        </a:stretch>
      </xdr:blipFill>
      <xdr:spPr>
        <a:xfrm>
          <a:off x="7235825" y="3873373000"/>
          <a:ext cx="878840" cy="1183640"/>
        </a:xfrm>
        <a:prstGeom prst="rect">
          <a:avLst/>
        </a:prstGeom>
      </xdr:spPr>
    </xdr:pic>
    <xdr:clientData/>
  </xdr:twoCellAnchor>
  <xdr:twoCellAnchor>
    <xdr:from>
      <xdr:col>9</xdr:col>
      <xdr:colOff>6350</xdr:colOff>
      <xdr:row>3905</xdr:row>
      <xdr:rowOff>25400</xdr:rowOff>
    </xdr:from>
    <xdr:to>
      <xdr:col>9</xdr:col>
      <xdr:colOff>885190</xdr:colOff>
      <xdr:row>3905</xdr:row>
      <xdr:rowOff>1209040</xdr:rowOff>
    </xdr:to>
    <xdr:pic>
      <xdr:nvPicPr>
        <xdr:cNvPr id="8269" name="Изображение 8268" descr="resizeПП-00261804"/>
        <xdr:cNvPicPr>
          <a:picLocks noChangeAspect="1"/>
        </xdr:cNvPicPr>
      </xdr:nvPicPr>
      <xdr:blipFill>
        <a:blip xmlns:r="http://schemas.openxmlformats.org/officeDocument/2006/relationships" r:embed="rId2787"/>
        <a:stretch>
          <a:fillRect/>
        </a:stretch>
      </xdr:blipFill>
      <xdr:spPr>
        <a:xfrm>
          <a:off x="7235825" y="3874595375"/>
          <a:ext cx="878840" cy="1183640"/>
        </a:xfrm>
        <a:prstGeom prst="rect">
          <a:avLst/>
        </a:prstGeom>
      </xdr:spPr>
    </xdr:pic>
    <xdr:clientData/>
  </xdr:twoCellAnchor>
  <xdr:twoCellAnchor>
    <xdr:from>
      <xdr:col>9</xdr:col>
      <xdr:colOff>6350</xdr:colOff>
      <xdr:row>3906</xdr:row>
      <xdr:rowOff>25400</xdr:rowOff>
    </xdr:from>
    <xdr:to>
      <xdr:col>9</xdr:col>
      <xdr:colOff>885190</xdr:colOff>
      <xdr:row>3906</xdr:row>
      <xdr:rowOff>1209040</xdr:rowOff>
    </xdr:to>
    <xdr:pic>
      <xdr:nvPicPr>
        <xdr:cNvPr id="8270" name="Изображение 8269" descr="resizeПП-00261805"/>
        <xdr:cNvPicPr>
          <a:picLocks noChangeAspect="1"/>
        </xdr:cNvPicPr>
      </xdr:nvPicPr>
      <xdr:blipFill>
        <a:blip xmlns:r="http://schemas.openxmlformats.org/officeDocument/2006/relationships" r:embed="rId2788"/>
        <a:stretch>
          <a:fillRect/>
        </a:stretch>
      </xdr:blipFill>
      <xdr:spPr>
        <a:xfrm>
          <a:off x="7235825" y="3875817750"/>
          <a:ext cx="878840" cy="1183640"/>
        </a:xfrm>
        <a:prstGeom prst="rect">
          <a:avLst/>
        </a:prstGeom>
      </xdr:spPr>
    </xdr:pic>
    <xdr:clientData/>
  </xdr:twoCellAnchor>
  <xdr:twoCellAnchor>
    <xdr:from>
      <xdr:col>9</xdr:col>
      <xdr:colOff>6350</xdr:colOff>
      <xdr:row>3907</xdr:row>
      <xdr:rowOff>25400</xdr:rowOff>
    </xdr:from>
    <xdr:to>
      <xdr:col>9</xdr:col>
      <xdr:colOff>885190</xdr:colOff>
      <xdr:row>3907</xdr:row>
      <xdr:rowOff>1209040</xdr:rowOff>
    </xdr:to>
    <xdr:pic>
      <xdr:nvPicPr>
        <xdr:cNvPr id="8271" name="Изображение 8270" descr="resizeПП-00263215"/>
        <xdr:cNvPicPr>
          <a:picLocks noChangeAspect="1"/>
        </xdr:cNvPicPr>
      </xdr:nvPicPr>
      <xdr:blipFill>
        <a:blip xmlns:r="http://schemas.openxmlformats.org/officeDocument/2006/relationships" r:embed="rId2961"/>
        <a:stretch>
          <a:fillRect/>
        </a:stretch>
      </xdr:blipFill>
      <xdr:spPr>
        <a:xfrm>
          <a:off x="7235825" y="3877040125"/>
          <a:ext cx="878840" cy="1183640"/>
        </a:xfrm>
        <a:prstGeom prst="rect">
          <a:avLst/>
        </a:prstGeom>
      </xdr:spPr>
    </xdr:pic>
    <xdr:clientData/>
  </xdr:twoCellAnchor>
  <xdr:twoCellAnchor>
    <xdr:from>
      <xdr:col>9</xdr:col>
      <xdr:colOff>6350</xdr:colOff>
      <xdr:row>3908</xdr:row>
      <xdr:rowOff>25400</xdr:rowOff>
    </xdr:from>
    <xdr:to>
      <xdr:col>9</xdr:col>
      <xdr:colOff>885190</xdr:colOff>
      <xdr:row>3908</xdr:row>
      <xdr:rowOff>1209040</xdr:rowOff>
    </xdr:to>
    <xdr:pic>
      <xdr:nvPicPr>
        <xdr:cNvPr id="8272" name="Изображение 8271" descr="resizeПП-00263217"/>
        <xdr:cNvPicPr>
          <a:picLocks noChangeAspect="1"/>
        </xdr:cNvPicPr>
      </xdr:nvPicPr>
      <xdr:blipFill>
        <a:blip xmlns:r="http://schemas.openxmlformats.org/officeDocument/2006/relationships" r:embed="rId2962"/>
        <a:stretch>
          <a:fillRect/>
        </a:stretch>
      </xdr:blipFill>
      <xdr:spPr>
        <a:xfrm>
          <a:off x="7235825" y="3878262500"/>
          <a:ext cx="878840" cy="1183640"/>
        </a:xfrm>
        <a:prstGeom prst="rect">
          <a:avLst/>
        </a:prstGeom>
      </xdr:spPr>
    </xdr:pic>
    <xdr:clientData/>
  </xdr:twoCellAnchor>
  <xdr:twoCellAnchor>
    <xdr:from>
      <xdr:col>9</xdr:col>
      <xdr:colOff>6350</xdr:colOff>
      <xdr:row>3909</xdr:row>
      <xdr:rowOff>25400</xdr:rowOff>
    </xdr:from>
    <xdr:to>
      <xdr:col>9</xdr:col>
      <xdr:colOff>885190</xdr:colOff>
      <xdr:row>3909</xdr:row>
      <xdr:rowOff>1209040</xdr:rowOff>
    </xdr:to>
    <xdr:pic>
      <xdr:nvPicPr>
        <xdr:cNvPr id="8273" name="Изображение 8272" descr="resizeПП-00263212"/>
        <xdr:cNvPicPr>
          <a:picLocks noChangeAspect="1"/>
        </xdr:cNvPicPr>
      </xdr:nvPicPr>
      <xdr:blipFill>
        <a:blip xmlns:r="http://schemas.openxmlformats.org/officeDocument/2006/relationships" r:embed="rId2963"/>
        <a:stretch>
          <a:fillRect/>
        </a:stretch>
      </xdr:blipFill>
      <xdr:spPr>
        <a:xfrm>
          <a:off x="7235825" y="3879484875"/>
          <a:ext cx="878840" cy="1183640"/>
        </a:xfrm>
        <a:prstGeom prst="rect">
          <a:avLst/>
        </a:prstGeom>
      </xdr:spPr>
    </xdr:pic>
    <xdr:clientData/>
  </xdr:twoCellAnchor>
  <xdr:twoCellAnchor>
    <xdr:from>
      <xdr:col>9</xdr:col>
      <xdr:colOff>6350</xdr:colOff>
      <xdr:row>3910</xdr:row>
      <xdr:rowOff>25400</xdr:rowOff>
    </xdr:from>
    <xdr:to>
      <xdr:col>9</xdr:col>
      <xdr:colOff>885190</xdr:colOff>
      <xdr:row>3910</xdr:row>
      <xdr:rowOff>1209040</xdr:rowOff>
    </xdr:to>
    <xdr:pic>
      <xdr:nvPicPr>
        <xdr:cNvPr id="8274" name="Изображение 8273" descr="resizeПП-00263213"/>
        <xdr:cNvPicPr>
          <a:picLocks noChangeAspect="1"/>
        </xdr:cNvPicPr>
      </xdr:nvPicPr>
      <xdr:blipFill>
        <a:blip xmlns:r="http://schemas.openxmlformats.org/officeDocument/2006/relationships" r:embed="rId2964"/>
        <a:stretch>
          <a:fillRect/>
        </a:stretch>
      </xdr:blipFill>
      <xdr:spPr>
        <a:xfrm>
          <a:off x="7235825" y="3880707250"/>
          <a:ext cx="878840" cy="1183640"/>
        </a:xfrm>
        <a:prstGeom prst="rect">
          <a:avLst/>
        </a:prstGeom>
      </xdr:spPr>
    </xdr:pic>
    <xdr:clientData/>
  </xdr:twoCellAnchor>
  <xdr:twoCellAnchor>
    <xdr:from>
      <xdr:col>9</xdr:col>
      <xdr:colOff>6350</xdr:colOff>
      <xdr:row>3911</xdr:row>
      <xdr:rowOff>25400</xdr:rowOff>
    </xdr:from>
    <xdr:to>
      <xdr:col>9</xdr:col>
      <xdr:colOff>885190</xdr:colOff>
      <xdr:row>3911</xdr:row>
      <xdr:rowOff>1209040</xdr:rowOff>
    </xdr:to>
    <xdr:pic>
      <xdr:nvPicPr>
        <xdr:cNvPr id="8275" name="Изображение 8274" descr="resizeПП-00263214"/>
        <xdr:cNvPicPr>
          <a:picLocks noChangeAspect="1"/>
        </xdr:cNvPicPr>
      </xdr:nvPicPr>
      <xdr:blipFill>
        <a:blip xmlns:r="http://schemas.openxmlformats.org/officeDocument/2006/relationships" r:embed="rId2965"/>
        <a:stretch>
          <a:fillRect/>
        </a:stretch>
      </xdr:blipFill>
      <xdr:spPr>
        <a:xfrm>
          <a:off x="7235825" y="3881929625"/>
          <a:ext cx="878840" cy="1183640"/>
        </a:xfrm>
        <a:prstGeom prst="rect">
          <a:avLst/>
        </a:prstGeom>
      </xdr:spPr>
    </xdr:pic>
    <xdr:clientData/>
  </xdr:twoCellAnchor>
  <xdr:twoCellAnchor>
    <xdr:from>
      <xdr:col>9</xdr:col>
      <xdr:colOff>6350</xdr:colOff>
      <xdr:row>3912</xdr:row>
      <xdr:rowOff>25400</xdr:rowOff>
    </xdr:from>
    <xdr:to>
      <xdr:col>9</xdr:col>
      <xdr:colOff>885190</xdr:colOff>
      <xdr:row>3912</xdr:row>
      <xdr:rowOff>1209040</xdr:rowOff>
    </xdr:to>
    <xdr:pic>
      <xdr:nvPicPr>
        <xdr:cNvPr id="8276" name="Изображение 8275" descr="resizeПП-00263216"/>
        <xdr:cNvPicPr>
          <a:picLocks noChangeAspect="1"/>
        </xdr:cNvPicPr>
      </xdr:nvPicPr>
      <xdr:blipFill>
        <a:blip xmlns:r="http://schemas.openxmlformats.org/officeDocument/2006/relationships" r:embed="rId2966"/>
        <a:stretch>
          <a:fillRect/>
        </a:stretch>
      </xdr:blipFill>
      <xdr:spPr>
        <a:xfrm>
          <a:off x="7235825" y="3883152000"/>
          <a:ext cx="878840" cy="1183640"/>
        </a:xfrm>
        <a:prstGeom prst="rect">
          <a:avLst/>
        </a:prstGeom>
      </xdr:spPr>
    </xdr:pic>
    <xdr:clientData/>
  </xdr:twoCellAnchor>
  <xdr:twoCellAnchor>
    <xdr:from>
      <xdr:col>9</xdr:col>
      <xdr:colOff>6350</xdr:colOff>
      <xdr:row>3913</xdr:row>
      <xdr:rowOff>25400</xdr:rowOff>
    </xdr:from>
    <xdr:to>
      <xdr:col>9</xdr:col>
      <xdr:colOff>885190</xdr:colOff>
      <xdr:row>3913</xdr:row>
      <xdr:rowOff>1209040</xdr:rowOff>
    </xdr:to>
    <xdr:pic>
      <xdr:nvPicPr>
        <xdr:cNvPr id="8277" name="Изображение 8276" descr="resizeПП-00237693"/>
        <xdr:cNvPicPr>
          <a:picLocks noChangeAspect="1"/>
        </xdr:cNvPicPr>
      </xdr:nvPicPr>
      <xdr:blipFill>
        <a:blip xmlns:r="http://schemas.openxmlformats.org/officeDocument/2006/relationships" r:embed="rId2967"/>
        <a:stretch>
          <a:fillRect/>
        </a:stretch>
      </xdr:blipFill>
      <xdr:spPr>
        <a:xfrm>
          <a:off x="7235825" y="3884374375"/>
          <a:ext cx="878840" cy="1183640"/>
        </a:xfrm>
        <a:prstGeom prst="rect">
          <a:avLst/>
        </a:prstGeom>
      </xdr:spPr>
    </xdr:pic>
    <xdr:clientData/>
  </xdr:twoCellAnchor>
  <xdr:twoCellAnchor>
    <xdr:from>
      <xdr:col>9</xdr:col>
      <xdr:colOff>6350</xdr:colOff>
      <xdr:row>3914</xdr:row>
      <xdr:rowOff>25400</xdr:rowOff>
    </xdr:from>
    <xdr:to>
      <xdr:col>9</xdr:col>
      <xdr:colOff>885190</xdr:colOff>
      <xdr:row>3914</xdr:row>
      <xdr:rowOff>1209040</xdr:rowOff>
    </xdr:to>
    <xdr:pic>
      <xdr:nvPicPr>
        <xdr:cNvPr id="8278" name="Изображение 8277" descr="resizeПП-00229734"/>
        <xdr:cNvPicPr>
          <a:picLocks noChangeAspect="1"/>
        </xdr:cNvPicPr>
      </xdr:nvPicPr>
      <xdr:blipFill>
        <a:blip xmlns:r="http://schemas.openxmlformats.org/officeDocument/2006/relationships" r:embed="rId2968"/>
        <a:stretch>
          <a:fillRect/>
        </a:stretch>
      </xdr:blipFill>
      <xdr:spPr>
        <a:xfrm>
          <a:off x="7235825" y="3885596750"/>
          <a:ext cx="878840" cy="1183640"/>
        </a:xfrm>
        <a:prstGeom prst="rect">
          <a:avLst/>
        </a:prstGeom>
      </xdr:spPr>
    </xdr:pic>
    <xdr:clientData/>
  </xdr:twoCellAnchor>
  <xdr:twoCellAnchor>
    <xdr:from>
      <xdr:col>9</xdr:col>
      <xdr:colOff>6350</xdr:colOff>
      <xdr:row>3916</xdr:row>
      <xdr:rowOff>25400</xdr:rowOff>
    </xdr:from>
    <xdr:to>
      <xdr:col>9</xdr:col>
      <xdr:colOff>885190</xdr:colOff>
      <xdr:row>3916</xdr:row>
      <xdr:rowOff>1209040</xdr:rowOff>
    </xdr:to>
    <xdr:pic>
      <xdr:nvPicPr>
        <xdr:cNvPr id="8279" name="Изображение 8278" descr="resizeПП-00272384"/>
        <xdr:cNvPicPr>
          <a:picLocks noChangeAspect="1"/>
        </xdr:cNvPicPr>
      </xdr:nvPicPr>
      <xdr:blipFill>
        <a:blip xmlns:r="http://schemas.openxmlformats.org/officeDocument/2006/relationships" r:embed="rId2969"/>
        <a:stretch>
          <a:fillRect/>
        </a:stretch>
      </xdr:blipFill>
      <xdr:spPr>
        <a:xfrm>
          <a:off x="7235825" y="3886971525"/>
          <a:ext cx="878840" cy="1183640"/>
        </a:xfrm>
        <a:prstGeom prst="rect">
          <a:avLst/>
        </a:prstGeom>
      </xdr:spPr>
    </xdr:pic>
    <xdr:clientData/>
  </xdr:twoCellAnchor>
  <xdr:twoCellAnchor>
    <xdr:from>
      <xdr:col>9</xdr:col>
      <xdr:colOff>6350</xdr:colOff>
      <xdr:row>3917</xdr:row>
      <xdr:rowOff>25400</xdr:rowOff>
    </xdr:from>
    <xdr:to>
      <xdr:col>9</xdr:col>
      <xdr:colOff>885190</xdr:colOff>
      <xdr:row>3917</xdr:row>
      <xdr:rowOff>1209040</xdr:rowOff>
    </xdr:to>
    <xdr:pic>
      <xdr:nvPicPr>
        <xdr:cNvPr id="8280" name="Изображение 8279" descr="resizeПП-00272383"/>
        <xdr:cNvPicPr>
          <a:picLocks noChangeAspect="1"/>
        </xdr:cNvPicPr>
      </xdr:nvPicPr>
      <xdr:blipFill>
        <a:blip xmlns:r="http://schemas.openxmlformats.org/officeDocument/2006/relationships" r:embed="rId2970"/>
        <a:stretch>
          <a:fillRect/>
        </a:stretch>
      </xdr:blipFill>
      <xdr:spPr>
        <a:xfrm>
          <a:off x="7235825" y="3888193900"/>
          <a:ext cx="878840" cy="1183640"/>
        </a:xfrm>
        <a:prstGeom prst="rect">
          <a:avLst/>
        </a:prstGeom>
      </xdr:spPr>
    </xdr:pic>
    <xdr:clientData/>
  </xdr:twoCellAnchor>
  <xdr:twoCellAnchor>
    <xdr:from>
      <xdr:col>9</xdr:col>
      <xdr:colOff>6350</xdr:colOff>
      <xdr:row>3920</xdr:row>
      <xdr:rowOff>25400</xdr:rowOff>
    </xdr:from>
    <xdr:to>
      <xdr:col>9</xdr:col>
      <xdr:colOff>885190</xdr:colOff>
      <xdr:row>3920</xdr:row>
      <xdr:rowOff>1209040</xdr:rowOff>
    </xdr:to>
    <xdr:pic>
      <xdr:nvPicPr>
        <xdr:cNvPr id="8281" name="Изображение 8280" descr="resizeПП-00236223"/>
        <xdr:cNvPicPr>
          <a:picLocks noChangeAspect="1"/>
        </xdr:cNvPicPr>
      </xdr:nvPicPr>
      <xdr:blipFill>
        <a:blip xmlns:r="http://schemas.openxmlformats.org/officeDocument/2006/relationships" r:embed="rId2790"/>
        <a:stretch>
          <a:fillRect/>
        </a:stretch>
      </xdr:blipFill>
      <xdr:spPr>
        <a:xfrm>
          <a:off x="7235825" y="3889721075"/>
          <a:ext cx="878840" cy="1183640"/>
        </a:xfrm>
        <a:prstGeom prst="rect">
          <a:avLst/>
        </a:prstGeom>
      </xdr:spPr>
    </xdr:pic>
    <xdr:clientData/>
  </xdr:twoCellAnchor>
  <xdr:twoCellAnchor>
    <xdr:from>
      <xdr:col>9</xdr:col>
      <xdr:colOff>6350</xdr:colOff>
      <xdr:row>3924</xdr:row>
      <xdr:rowOff>25400</xdr:rowOff>
    </xdr:from>
    <xdr:to>
      <xdr:col>9</xdr:col>
      <xdr:colOff>885190</xdr:colOff>
      <xdr:row>3924</xdr:row>
      <xdr:rowOff>1209040</xdr:rowOff>
    </xdr:to>
    <xdr:pic>
      <xdr:nvPicPr>
        <xdr:cNvPr id="8282" name="Изображение 8281" descr="resizeПП-00237681"/>
        <xdr:cNvPicPr>
          <a:picLocks noChangeAspect="1"/>
        </xdr:cNvPicPr>
      </xdr:nvPicPr>
      <xdr:blipFill>
        <a:blip xmlns:r="http://schemas.openxmlformats.org/officeDocument/2006/relationships" r:embed="rId2971"/>
        <a:stretch>
          <a:fillRect/>
        </a:stretch>
      </xdr:blipFill>
      <xdr:spPr>
        <a:xfrm>
          <a:off x="7235825" y="3891400650"/>
          <a:ext cx="878840" cy="1183640"/>
        </a:xfrm>
        <a:prstGeom prst="rect">
          <a:avLst/>
        </a:prstGeom>
      </xdr:spPr>
    </xdr:pic>
    <xdr:clientData/>
  </xdr:twoCellAnchor>
  <xdr:twoCellAnchor>
    <xdr:from>
      <xdr:col>9</xdr:col>
      <xdr:colOff>6350</xdr:colOff>
      <xdr:row>3925</xdr:row>
      <xdr:rowOff>25400</xdr:rowOff>
    </xdr:from>
    <xdr:to>
      <xdr:col>9</xdr:col>
      <xdr:colOff>885190</xdr:colOff>
      <xdr:row>3925</xdr:row>
      <xdr:rowOff>1209040</xdr:rowOff>
    </xdr:to>
    <xdr:pic>
      <xdr:nvPicPr>
        <xdr:cNvPr id="8283" name="Изображение 8282" descr="resizeПП-00263262"/>
        <xdr:cNvPicPr>
          <a:picLocks noChangeAspect="1"/>
        </xdr:cNvPicPr>
      </xdr:nvPicPr>
      <xdr:blipFill>
        <a:blip xmlns:r="http://schemas.openxmlformats.org/officeDocument/2006/relationships" r:embed="rId2972"/>
        <a:stretch>
          <a:fillRect/>
        </a:stretch>
      </xdr:blipFill>
      <xdr:spPr>
        <a:xfrm>
          <a:off x="7235825" y="3892623025"/>
          <a:ext cx="878840" cy="1183640"/>
        </a:xfrm>
        <a:prstGeom prst="rect">
          <a:avLst/>
        </a:prstGeom>
      </xdr:spPr>
    </xdr:pic>
    <xdr:clientData/>
  </xdr:twoCellAnchor>
  <xdr:twoCellAnchor>
    <xdr:from>
      <xdr:col>9</xdr:col>
      <xdr:colOff>6350</xdr:colOff>
      <xdr:row>3926</xdr:row>
      <xdr:rowOff>25400</xdr:rowOff>
    </xdr:from>
    <xdr:to>
      <xdr:col>9</xdr:col>
      <xdr:colOff>885190</xdr:colOff>
      <xdr:row>3926</xdr:row>
      <xdr:rowOff>1209040</xdr:rowOff>
    </xdr:to>
    <xdr:pic>
      <xdr:nvPicPr>
        <xdr:cNvPr id="8284" name="Изображение 8283" descr="resizeПП-00263260"/>
        <xdr:cNvPicPr>
          <a:picLocks noChangeAspect="1"/>
        </xdr:cNvPicPr>
      </xdr:nvPicPr>
      <xdr:blipFill>
        <a:blip xmlns:r="http://schemas.openxmlformats.org/officeDocument/2006/relationships" r:embed="rId2973"/>
        <a:stretch>
          <a:fillRect/>
        </a:stretch>
      </xdr:blipFill>
      <xdr:spPr>
        <a:xfrm>
          <a:off x="7235825" y="3893845400"/>
          <a:ext cx="878840" cy="1183640"/>
        </a:xfrm>
        <a:prstGeom prst="rect">
          <a:avLst/>
        </a:prstGeom>
      </xdr:spPr>
    </xdr:pic>
    <xdr:clientData/>
  </xdr:twoCellAnchor>
  <xdr:twoCellAnchor>
    <xdr:from>
      <xdr:col>9</xdr:col>
      <xdr:colOff>6350</xdr:colOff>
      <xdr:row>3927</xdr:row>
      <xdr:rowOff>25400</xdr:rowOff>
    </xdr:from>
    <xdr:to>
      <xdr:col>9</xdr:col>
      <xdr:colOff>885190</xdr:colOff>
      <xdr:row>3927</xdr:row>
      <xdr:rowOff>1209040</xdr:rowOff>
    </xdr:to>
    <xdr:pic>
      <xdr:nvPicPr>
        <xdr:cNvPr id="8285" name="Изображение 8284" descr="resizeПП-00263255"/>
        <xdr:cNvPicPr>
          <a:picLocks noChangeAspect="1"/>
        </xdr:cNvPicPr>
      </xdr:nvPicPr>
      <xdr:blipFill>
        <a:blip xmlns:r="http://schemas.openxmlformats.org/officeDocument/2006/relationships" r:embed="rId2974"/>
        <a:stretch>
          <a:fillRect/>
        </a:stretch>
      </xdr:blipFill>
      <xdr:spPr>
        <a:xfrm>
          <a:off x="7235825" y="3895067775"/>
          <a:ext cx="878840" cy="1183640"/>
        </a:xfrm>
        <a:prstGeom prst="rect">
          <a:avLst/>
        </a:prstGeom>
      </xdr:spPr>
    </xdr:pic>
    <xdr:clientData/>
  </xdr:twoCellAnchor>
  <xdr:twoCellAnchor>
    <xdr:from>
      <xdr:col>9</xdr:col>
      <xdr:colOff>6350</xdr:colOff>
      <xdr:row>3928</xdr:row>
      <xdr:rowOff>25400</xdr:rowOff>
    </xdr:from>
    <xdr:to>
      <xdr:col>9</xdr:col>
      <xdr:colOff>885190</xdr:colOff>
      <xdr:row>3928</xdr:row>
      <xdr:rowOff>1209040</xdr:rowOff>
    </xdr:to>
    <xdr:pic>
      <xdr:nvPicPr>
        <xdr:cNvPr id="8286" name="Изображение 8285" descr="resizeПП-00263263"/>
        <xdr:cNvPicPr>
          <a:picLocks noChangeAspect="1"/>
        </xdr:cNvPicPr>
      </xdr:nvPicPr>
      <xdr:blipFill>
        <a:blip xmlns:r="http://schemas.openxmlformats.org/officeDocument/2006/relationships" r:embed="rId2975"/>
        <a:stretch>
          <a:fillRect/>
        </a:stretch>
      </xdr:blipFill>
      <xdr:spPr>
        <a:xfrm>
          <a:off x="7235825" y="3896290150"/>
          <a:ext cx="878840" cy="1183640"/>
        </a:xfrm>
        <a:prstGeom prst="rect">
          <a:avLst/>
        </a:prstGeom>
      </xdr:spPr>
    </xdr:pic>
    <xdr:clientData/>
  </xdr:twoCellAnchor>
  <xdr:twoCellAnchor>
    <xdr:from>
      <xdr:col>9</xdr:col>
      <xdr:colOff>6350</xdr:colOff>
      <xdr:row>3929</xdr:row>
      <xdr:rowOff>25400</xdr:rowOff>
    </xdr:from>
    <xdr:to>
      <xdr:col>9</xdr:col>
      <xdr:colOff>885190</xdr:colOff>
      <xdr:row>3929</xdr:row>
      <xdr:rowOff>1209040</xdr:rowOff>
    </xdr:to>
    <xdr:pic>
      <xdr:nvPicPr>
        <xdr:cNvPr id="8287" name="Изображение 8286" descr="resizeПП-00263258"/>
        <xdr:cNvPicPr>
          <a:picLocks noChangeAspect="1"/>
        </xdr:cNvPicPr>
      </xdr:nvPicPr>
      <xdr:blipFill>
        <a:blip xmlns:r="http://schemas.openxmlformats.org/officeDocument/2006/relationships" r:embed="rId2976"/>
        <a:stretch>
          <a:fillRect/>
        </a:stretch>
      </xdr:blipFill>
      <xdr:spPr>
        <a:xfrm>
          <a:off x="7235825" y="3897512525"/>
          <a:ext cx="878840" cy="1183640"/>
        </a:xfrm>
        <a:prstGeom prst="rect">
          <a:avLst/>
        </a:prstGeom>
      </xdr:spPr>
    </xdr:pic>
    <xdr:clientData/>
  </xdr:twoCellAnchor>
  <xdr:twoCellAnchor>
    <xdr:from>
      <xdr:col>9</xdr:col>
      <xdr:colOff>6350</xdr:colOff>
      <xdr:row>3930</xdr:row>
      <xdr:rowOff>25400</xdr:rowOff>
    </xdr:from>
    <xdr:to>
      <xdr:col>9</xdr:col>
      <xdr:colOff>885190</xdr:colOff>
      <xdr:row>3930</xdr:row>
      <xdr:rowOff>1209040</xdr:rowOff>
    </xdr:to>
    <xdr:pic>
      <xdr:nvPicPr>
        <xdr:cNvPr id="8288" name="Изображение 8287" descr="resizeПП-00263254"/>
        <xdr:cNvPicPr>
          <a:picLocks noChangeAspect="1"/>
        </xdr:cNvPicPr>
      </xdr:nvPicPr>
      <xdr:blipFill>
        <a:blip xmlns:r="http://schemas.openxmlformats.org/officeDocument/2006/relationships" r:embed="rId2977"/>
        <a:stretch>
          <a:fillRect/>
        </a:stretch>
      </xdr:blipFill>
      <xdr:spPr>
        <a:xfrm>
          <a:off x="7235825" y="3898734900"/>
          <a:ext cx="878840" cy="1183640"/>
        </a:xfrm>
        <a:prstGeom prst="rect">
          <a:avLst/>
        </a:prstGeom>
      </xdr:spPr>
    </xdr:pic>
    <xdr:clientData/>
  </xdr:twoCellAnchor>
  <xdr:twoCellAnchor>
    <xdr:from>
      <xdr:col>9</xdr:col>
      <xdr:colOff>6350</xdr:colOff>
      <xdr:row>3931</xdr:row>
      <xdr:rowOff>25400</xdr:rowOff>
    </xdr:from>
    <xdr:to>
      <xdr:col>9</xdr:col>
      <xdr:colOff>885190</xdr:colOff>
      <xdr:row>3931</xdr:row>
      <xdr:rowOff>1209040</xdr:rowOff>
    </xdr:to>
    <xdr:pic>
      <xdr:nvPicPr>
        <xdr:cNvPr id="8289" name="Изображение 8288" descr="resizeПП-00263257"/>
        <xdr:cNvPicPr>
          <a:picLocks noChangeAspect="1"/>
        </xdr:cNvPicPr>
      </xdr:nvPicPr>
      <xdr:blipFill>
        <a:blip xmlns:r="http://schemas.openxmlformats.org/officeDocument/2006/relationships" r:embed="rId2978"/>
        <a:stretch>
          <a:fillRect/>
        </a:stretch>
      </xdr:blipFill>
      <xdr:spPr>
        <a:xfrm>
          <a:off x="7235825" y="3899957275"/>
          <a:ext cx="878840" cy="1183640"/>
        </a:xfrm>
        <a:prstGeom prst="rect">
          <a:avLst/>
        </a:prstGeom>
      </xdr:spPr>
    </xdr:pic>
    <xdr:clientData/>
  </xdr:twoCellAnchor>
  <xdr:twoCellAnchor>
    <xdr:from>
      <xdr:col>9</xdr:col>
      <xdr:colOff>6350</xdr:colOff>
      <xdr:row>3932</xdr:row>
      <xdr:rowOff>25400</xdr:rowOff>
    </xdr:from>
    <xdr:to>
      <xdr:col>9</xdr:col>
      <xdr:colOff>885190</xdr:colOff>
      <xdr:row>3932</xdr:row>
      <xdr:rowOff>1209040</xdr:rowOff>
    </xdr:to>
    <xdr:pic>
      <xdr:nvPicPr>
        <xdr:cNvPr id="8290" name="Изображение 8289" descr="resizeПП-00263259"/>
        <xdr:cNvPicPr>
          <a:picLocks noChangeAspect="1"/>
        </xdr:cNvPicPr>
      </xdr:nvPicPr>
      <xdr:blipFill>
        <a:blip xmlns:r="http://schemas.openxmlformats.org/officeDocument/2006/relationships" r:embed="rId2979"/>
        <a:stretch>
          <a:fillRect/>
        </a:stretch>
      </xdr:blipFill>
      <xdr:spPr>
        <a:xfrm>
          <a:off x="7235825" y="3901179650"/>
          <a:ext cx="878840" cy="1183640"/>
        </a:xfrm>
        <a:prstGeom prst="rect">
          <a:avLst/>
        </a:prstGeom>
      </xdr:spPr>
    </xdr:pic>
    <xdr:clientData/>
  </xdr:twoCellAnchor>
  <xdr:twoCellAnchor>
    <xdr:from>
      <xdr:col>9</xdr:col>
      <xdr:colOff>6350</xdr:colOff>
      <xdr:row>3933</xdr:row>
      <xdr:rowOff>25400</xdr:rowOff>
    </xdr:from>
    <xdr:to>
      <xdr:col>9</xdr:col>
      <xdr:colOff>885190</xdr:colOff>
      <xdr:row>3933</xdr:row>
      <xdr:rowOff>1209040</xdr:rowOff>
    </xdr:to>
    <xdr:pic>
      <xdr:nvPicPr>
        <xdr:cNvPr id="8291" name="Изображение 8290" descr="resizeПП-00263256"/>
        <xdr:cNvPicPr>
          <a:picLocks noChangeAspect="1"/>
        </xdr:cNvPicPr>
      </xdr:nvPicPr>
      <xdr:blipFill>
        <a:blip xmlns:r="http://schemas.openxmlformats.org/officeDocument/2006/relationships" r:embed="rId2980"/>
        <a:stretch>
          <a:fillRect/>
        </a:stretch>
      </xdr:blipFill>
      <xdr:spPr>
        <a:xfrm>
          <a:off x="7235825" y="3902402025"/>
          <a:ext cx="878840" cy="1183640"/>
        </a:xfrm>
        <a:prstGeom prst="rect">
          <a:avLst/>
        </a:prstGeom>
      </xdr:spPr>
    </xdr:pic>
    <xdr:clientData/>
  </xdr:twoCellAnchor>
  <xdr:twoCellAnchor>
    <xdr:from>
      <xdr:col>9</xdr:col>
      <xdr:colOff>6350</xdr:colOff>
      <xdr:row>3934</xdr:row>
      <xdr:rowOff>25400</xdr:rowOff>
    </xdr:from>
    <xdr:to>
      <xdr:col>9</xdr:col>
      <xdr:colOff>885190</xdr:colOff>
      <xdr:row>3934</xdr:row>
      <xdr:rowOff>1209040</xdr:rowOff>
    </xdr:to>
    <xdr:pic>
      <xdr:nvPicPr>
        <xdr:cNvPr id="8292" name="Изображение 8291" descr="resizeПП-00263261"/>
        <xdr:cNvPicPr>
          <a:picLocks noChangeAspect="1"/>
        </xdr:cNvPicPr>
      </xdr:nvPicPr>
      <xdr:blipFill>
        <a:blip xmlns:r="http://schemas.openxmlformats.org/officeDocument/2006/relationships" r:embed="rId2981"/>
        <a:stretch>
          <a:fillRect/>
        </a:stretch>
      </xdr:blipFill>
      <xdr:spPr>
        <a:xfrm>
          <a:off x="7235825" y="3903624400"/>
          <a:ext cx="878840" cy="1183640"/>
        </a:xfrm>
        <a:prstGeom prst="rect">
          <a:avLst/>
        </a:prstGeom>
      </xdr:spPr>
    </xdr:pic>
    <xdr:clientData/>
  </xdr:twoCellAnchor>
  <xdr:twoCellAnchor>
    <xdr:from>
      <xdr:col>9</xdr:col>
      <xdr:colOff>6350</xdr:colOff>
      <xdr:row>3935</xdr:row>
      <xdr:rowOff>25400</xdr:rowOff>
    </xdr:from>
    <xdr:to>
      <xdr:col>9</xdr:col>
      <xdr:colOff>885190</xdr:colOff>
      <xdr:row>3935</xdr:row>
      <xdr:rowOff>1209040</xdr:rowOff>
    </xdr:to>
    <xdr:pic>
      <xdr:nvPicPr>
        <xdr:cNvPr id="8293" name="Изображение 8292" descr="resizeПП-00212147"/>
        <xdr:cNvPicPr>
          <a:picLocks noChangeAspect="1"/>
        </xdr:cNvPicPr>
      </xdr:nvPicPr>
      <xdr:blipFill>
        <a:blip xmlns:r="http://schemas.openxmlformats.org/officeDocument/2006/relationships" r:embed="rId2982"/>
        <a:stretch>
          <a:fillRect/>
        </a:stretch>
      </xdr:blipFill>
      <xdr:spPr>
        <a:xfrm>
          <a:off x="7235825" y="3904846775"/>
          <a:ext cx="878840" cy="1183640"/>
        </a:xfrm>
        <a:prstGeom prst="rect">
          <a:avLst/>
        </a:prstGeom>
      </xdr:spPr>
    </xdr:pic>
    <xdr:clientData/>
  </xdr:twoCellAnchor>
  <xdr:twoCellAnchor>
    <xdr:from>
      <xdr:col>9</xdr:col>
      <xdr:colOff>6350</xdr:colOff>
      <xdr:row>3936</xdr:row>
      <xdr:rowOff>25400</xdr:rowOff>
    </xdr:from>
    <xdr:to>
      <xdr:col>9</xdr:col>
      <xdr:colOff>885190</xdr:colOff>
      <xdr:row>3936</xdr:row>
      <xdr:rowOff>1209040</xdr:rowOff>
    </xdr:to>
    <xdr:pic>
      <xdr:nvPicPr>
        <xdr:cNvPr id="8294" name="Изображение 8293" descr="resizeПП-00212135"/>
        <xdr:cNvPicPr>
          <a:picLocks noChangeAspect="1"/>
        </xdr:cNvPicPr>
      </xdr:nvPicPr>
      <xdr:blipFill>
        <a:blip xmlns:r="http://schemas.openxmlformats.org/officeDocument/2006/relationships" r:embed="rId2983"/>
        <a:stretch>
          <a:fillRect/>
        </a:stretch>
      </xdr:blipFill>
      <xdr:spPr>
        <a:xfrm>
          <a:off x="7235825" y="3906069150"/>
          <a:ext cx="878840" cy="1183640"/>
        </a:xfrm>
        <a:prstGeom prst="rect">
          <a:avLst/>
        </a:prstGeom>
      </xdr:spPr>
    </xdr:pic>
    <xdr:clientData/>
  </xdr:twoCellAnchor>
  <xdr:twoCellAnchor>
    <xdr:from>
      <xdr:col>9</xdr:col>
      <xdr:colOff>6350</xdr:colOff>
      <xdr:row>3937</xdr:row>
      <xdr:rowOff>25400</xdr:rowOff>
    </xdr:from>
    <xdr:to>
      <xdr:col>9</xdr:col>
      <xdr:colOff>885190</xdr:colOff>
      <xdr:row>3937</xdr:row>
      <xdr:rowOff>1209040</xdr:rowOff>
    </xdr:to>
    <xdr:pic>
      <xdr:nvPicPr>
        <xdr:cNvPr id="8295" name="Изображение 8294" descr="resizeПП-00212136"/>
        <xdr:cNvPicPr>
          <a:picLocks noChangeAspect="1"/>
        </xdr:cNvPicPr>
      </xdr:nvPicPr>
      <xdr:blipFill>
        <a:blip xmlns:r="http://schemas.openxmlformats.org/officeDocument/2006/relationships" r:embed="rId2984"/>
        <a:stretch>
          <a:fillRect/>
        </a:stretch>
      </xdr:blipFill>
      <xdr:spPr>
        <a:xfrm>
          <a:off x="7235825" y="3907291525"/>
          <a:ext cx="878840" cy="1183640"/>
        </a:xfrm>
        <a:prstGeom prst="rect">
          <a:avLst/>
        </a:prstGeom>
      </xdr:spPr>
    </xdr:pic>
    <xdr:clientData/>
  </xdr:twoCellAnchor>
  <xdr:twoCellAnchor>
    <xdr:from>
      <xdr:col>9</xdr:col>
      <xdr:colOff>6350</xdr:colOff>
      <xdr:row>3938</xdr:row>
      <xdr:rowOff>25400</xdr:rowOff>
    </xdr:from>
    <xdr:to>
      <xdr:col>9</xdr:col>
      <xdr:colOff>885190</xdr:colOff>
      <xdr:row>3938</xdr:row>
      <xdr:rowOff>1209040</xdr:rowOff>
    </xdr:to>
    <xdr:pic>
      <xdr:nvPicPr>
        <xdr:cNvPr id="8296" name="Изображение 8295" descr="resizeПП-00212134"/>
        <xdr:cNvPicPr>
          <a:picLocks noChangeAspect="1"/>
        </xdr:cNvPicPr>
      </xdr:nvPicPr>
      <xdr:blipFill>
        <a:blip xmlns:r="http://schemas.openxmlformats.org/officeDocument/2006/relationships" r:embed="rId2985"/>
        <a:stretch>
          <a:fillRect/>
        </a:stretch>
      </xdr:blipFill>
      <xdr:spPr>
        <a:xfrm>
          <a:off x="7235825" y="3908513900"/>
          <a:ext cx="878840" cy="1183640"/>
        </a:xfrm>
        <a:prstGeom prst="rect">
          <a:avLst/>
        </a:prstGeom>
      </xdr:spPr>
    </xdr:pic>
    <xdr:clientData/>
  </xdr:twoCellAnchor>
  <xdr:twoCellAnchor>
    <xdr:from>
      <xdr:col>9</xdr:col>
      <xdr:colOff>6350</xdr:colOff>
      <xdr:row>3939</xdr:row>
      <xdr:rowOff>25400</xdr:rowOff>
    </xdr:from>
    <xdr:to>
      <xdr:col>9</xdr:col>
      <xdr:colOff>885190</xdr:colOff>
      <xdr:row>3939</xdr:row>
      <xdr:rowOff>1209040</xdr:rowOff>
    </xdr:to>
    <xdr:pic>
      <xdr:nvPicPr>
        <xdr:cNvPr id="8297" name="Изображение 8296" descr="resizeПП-00212129"/>
        <xdr:cNvPicPr>
          <a:picLocks noChangeAspect="1"/>
        </xdr:cNvPicPr>
      </xdr:nvPicPr>
      <xdr:blipFill>
        <a:blip xmlns:r="http://schemas.openxmlformats.org/officeDocument/2006/relationships" r:embed="rId2986"/>
        <a:stretch>
          <a:fillRect/>
        </a:stretch>
      </xdr:blipFill>
      <xdr:spPr>
        <a:xfrm>
          <a:off x="7235825" y="3909736275"/>
          <a:ext cx="878840" cy="1183640"/>
        </a:xfrm>
        <a:prstGeom prst="rect">
          <a:avLst/>
        </a:prstGeom>
      </xdr:spPr>
    </xdr:pic>
    <xdr:clientData/>
  </xdr:twoCellAnchor>
  <xdr:twoCellAnchor>
    <xdr:from>
      <xdr:col>9</xdr:col>
      <xdr:colOff>6350</xdr:colOff>
      <xdr:row>3940</xdr:row>
      <xdr:rowOff>25400</xdr:rowOff>
    </xdr:from>
    <xdr:to>
      <xdr:col>9</xdr:col>
      <xdr:colOff>885190</xdr:colOff>
      <xdr:row>3940</xdr:row>
      <xdr:rowOff>1209040</xdr:rowOff>
    </xdr:to>
    <xdr:pic>
      <xdr:nvPicPr>
        <xdr:cNvPr id="8298" name="Изображение 8297" descr="resizeПП-00212133"/>
        <xdr:cNvPicPr>
          <a:picLocks noChangeAspect="1"/>
        </xdr:cNvPicPr>
      </xdr:nvPicPr>
      <xdr:blipFill>
        <a:blip xmlns:r="http://schemas.openxmlformats.org/officeDocument/2006/relationships" r:embed="rId2987"/>
        <a:stretch>
          <a:fillRect/>
        </a:stretch>
      </xdr:blipFill>
      <xdr:spPr>
        <a:xfrm>
          <a:off x="7235825" y="3910958650"/>
          <a:ext cx="878840" cy="1183640"/>
        </a:xfrm>
        <a:prstGeom prst="rect">
          <a:avLst/>
        </a:prstGeom>
      </xdr:spPr>
    </xdr:pic>
    <xdr:clientData/>
  </xdr:twoCellAnchor>
  <xdr:twoCellAnchor>
    <xdr:from>
      <xdr:col>9</xdr:col>
      <xdr:colOff>6350</xdr:colOff>
      <xdr:row>3941</xdr:row>
      <xdr:rowOff>25400</xdr:rowOff>
    </xdr:from>
    <xdr:to>
      <xdr:col>9</xdr:col>
      <xdr:colOff>885190</xdr:colOff>
      <xdr:row>3941</xdr:row>
      <xdr:rowOff>1209040</xdr:rowOff>
    </xdr:to>
    <xdr:pic>
      <xdr:nvPicPr>
        <xdr:cNvPr id="8299" name="Изображение 8298" descr="resizeПП-00146235"/>
        <xdr:cNvPicPr>
          <a:picLocks noChangeAspect="1"/>
        </xdr:cNvPicPr>
      </xdr:nvPicPr>
      <xdr:blipFill>
        <a:blip xmlns:r="http://schemas.openxmlformats.org/officeDocument/2006/relationships" r:embed="rId2988"/>
        <a:stretch>
          <a:fillRect/>
        </a:stretch>
      </xdr:blipFill>
      <xdr:spPr>
        <a:xfrm>
          <a:off x="7235825" y="3912181025"/>
          <a:ext cx="878840" cy="1183640"/>
        </a:xfrm>
        <a:prstGeom prst="rect">
          <a:avLst/>
        </a:prstGeom>
      </xdr:spPr>
    </xdr:pic>
    <xdr:clientData/>
  </xdr:twoCellAnchor>
  <xdr:twoCellAnchor>
    <xdr:from>
      <xdr:col>9</xdr:col>
      <xdr:colOff>6350</xdr:colOff>
      <xdr:row>3942</xdr:row>
      <xdr:rowOff>25400</xdr:rowOff>
    </xdr:from>
    <xdr:to>
      <xdr:col>9</xdr:col>
      <xdr:colOff>885190</xdr:colOff>
      <xdr:row>3942</xdr:row>
      <xdr:rowOff>1209040</xdr:rowOff>
    </xdr:to>
    <xdr:pic>
      <xdr:nvPicPr>
        <xdr:cNvPr id="8300" name="Изображение 8299" descr="resizeПП-00229743"/>
        <xdr:cNvPicPr>
          <a:picLocks noChangeAspect="1"/>
        </xdr:cNvPicPr>
      </xdr:nvPicPr>
      <xdr:blipFill>
        <a:blip xmlns:r="http://schemas.openxmlformats.org/officeDocument/2006/relationships" r:embed="rId2989"/>
        <a:stretch>
          <a:fillRect/>
        </a:stretch>
      </xdr:blipFill>
      <xdr:spPr>
        <a:xfrm>
          <a:off x="7235825" y="3913403400"/>
          <a:ext cx="878840" cy="1183640"/>
        </a:xfrm>
        <a:prstGeom prst="rect">
          <a:avLst/>
        </a:prstGeom>
      </xdr:spPr>
    </xdr:pic>
    <xdr:clientData/>
  </xdr:twoCellAnchor>
  <xdr:twoCellAnchor>
    <xdr:from>
      <xdr:col>9</xdr:col>
      <xdr:colOff>6350</xdr:colOff>
      <xdr:row>3943</xdr:row>
      <xdr:rowOff>25400</xdr:rowOff>
    </xdr:from>
    <xdr:to>
      <xdr:col>9</xdr:col>
      <xdr:colOff>885190</xdr:colOff>
      <xdr:row>3943</xdr:row>
      <xdr:rowOff>1209040</xdr:rowOff>
    </xdr:to>
    <xdr:pic>
      <xdr:nvPicPr>
        <xdr:cNvPr id="8301" name="Изображение 8300" descr="resizeПП-00229750"/>
        <xdr:cNvPicPr>
          <a:picLocks noChangeAspect="1"/>
        </xdr:cNvPicPr>
      </xdr:nvPicPr>
      <xdr:blipFill>
        <a:blip xmlns:r="http://schemas.openxmlformats.org/officeDocument/2006/relationships" r:embed="rId2990"/>
        <a:stretch>
          <a:fillRect/>
        </a:stretch>
      </xdr:blipFill>
      <xdr:spPr>
        <a:xfrm>
          <a:off x="7235825" y="3914625775"/>
          <a:ext cx="878840" cy="1183640"/>
        </a:xfrm>
        <a:prstGeom prst="rect">
          <a:avLst/>
        </a:prstGeom>
      </xdr:spPr>
    </xdr:pic>
    <xdr:clientData/>
  </xdr:twoCellAnchor>
  <xdr:twoCellAnchor>
    <xdr:from>
      <xdr:col>9</xdr:col>
      <xdr:colOff>6350</xdr:colOff>
      <xdr:row>3944</xdr:row>
      <xdr:rowOff>25400</xdr:rowOff>
    </xdr:from>
    <xdr:to>
      <xdr:col>9</xdr:col>
      <xdr:colOff>885190</xdr:colOff>
      <xdr:row>3944</xdr:row>
      <xdr:rowOff>1209040</xdr:rowOff>
    </xdr:to>
    <xdr:pic>
      <xdr:nvPicPr>
        <xdr:cNvPr id="8302" name="Изображение 8301" descr="resizeПП-00229749"/>
        <xdr:cNvPicPr>
          <a:picLocks noChangeAspect="1"/>
        </xdr:cNvPicPr>
      </xdr:nvPicPr>
      <xdr:blipFill>
        <a:blip xmlns:r="http://schemas.openxmlformats.org/officeDocument/2006/relationships" r:embed="rId2991"/>
        <a:stretch>
          <a:fillRect/>
        </a:stretch>
      </xdr:blipFill>
      <xdr:spPr>
        <a:xfrm>
          <a:off x="7235825" y="3915848150"/>
          <a:ext cx="878840" cy="1183640"/>
        </a:xfrm>
        <a:prstGeom prst="rect">
          <a:avLst/>
        </a:prstGeom>
      </xdr:spPr>
    </xdr:pic>
    <xdr:clientData/>
  </xdr:twoCellAnchor>
  <xdr:twoCellAnchor>
    <xdr:from>
      <xdr:col>9</xdr:col>
      <xdr:colOff>6350</xdr:colOff>
      <xdr:row>3945</xdr:row>
      <xdr:rowOff>25400</xdr:rowOff>
    </xdr:from>
    <xdr:to>
      <xdr:col>9</xdr:col>
      <xdr:colOff>885190</xdr:colOff>
      <xdr:row>3945</xdr:row>
      <xdr:rowOff>1209040</xdr:rowOff>
    </xdr:to>
    <xdr:pic>
      <xdr:nvPicPr>
        <xdr:cNvPr id="8303" name="Изображение 8302" descr="resizeПП-00229766"/>
        <xdr:cNvPicPr>
          <a:picLocks noChangeAspect="1"/>
        </xdr:cNvPicPr>
      </xdr:nvPicPr>
      <xdr:blipFill>
        <a:blip xmlns:r="http://schemas.openxmlformats.org/officeDocument/2006/relationships" r:embed="rId2992"/>
        <a:stretch>
          <a:fillRect/>
        </a:stretch>
      </xdr:blipFill>
      <xdr:spPr>
        <a:xfrm>
          <a:off x="7235825" y="3917070525"/>
          <a:ext cx="878840" cy="1183640"/>
        </a:xfrm>
        <a:prstGeom prst="rect">
          <a:avLst/>
        </a:prstGeom>
      </xdr:spPr>
    </xdr:pic>
    <xdr:clientData/>
  </xdr:twoCellAnchor>
  <xdr:twoCellAnchor>
    <xdr:from>
      <xdr:col>9</xdr:col>
      <xdr:colOff>6350</xdr:colOff>
      <xdr:row>3946</xdr:row>
      <xdr:rowOff>25400</xdr:rowOff>
    </xdr:from>
    <xdr:to>
      <xdr:col>9</xdr:col>
      <xdr:colOff>885190</xdr:colOff>
      <xdr:row>3946</xdr:row>
      <xdr:rowOff>1209040</xdr:rowOff>
    </xdr:to>
    <xdr:pic>
      <xdr:nvPicPr>
        <xdr:cNvPr id="8304" name="Изображение 8303" descr="resizeПП-00229754"/>
        <xdr:cNvPicPr>
          <a:picLocks noChangeAspect="1"/>
        </xdr:cNvPicPr>
      </xdr:nvPicPr>
      <xdr:blipFill>
        <a:blip xmlns:r="http://schemas.openxmlformats.org/officeDocument/2006/relationships" r:embed="rId2993"/>
        <a:stretch>
          <a:fillRect/>
        </a:stretch>
      </xdr:blipFill>
      <xdr:spPr>
        <a:xfrm>
          <a:off x="7235825" y="3918292900"/>
          <a:ext cx="878840" cy="1183640"/>
        </a:xfrm>
        <a:prstGeom prst="rect">
          <a:avLst/>
        </a:prstGeom>
      </xdr:spPr>
    </xdr:pic>
    <xdr:clientData/>
  </xdr:twoCellAnchor>
  <xdr:twoCellAnchor>
    <xdr:from>
      <xdr:col>9</xdr:col>
      <xdr:colOff>6350</xdr:colOff>
      <xdr:row>3947</xdr:row>
      <xdr:rowOff>25400</xdr:rowOff>
    </xdr:from>
    <xdr:to>
      <xdr:col>9</xdr:col>
      <xdr:colOff>885190</xdr:colOff>
      <xdr:row>3947</xdr:row>
      <xdr:rowOff>1209040</xdr:rowOff>
    </xdr:to>
    <xdr:pic>
      <xdr:nvPicPr>
        <xdr:cNvPr id="8305" name="Изображение 8304" descr="resizeПП-00229745"/>
        <xdr:cNvPicPr>
          <a:picLocks noChangeAspect="1"/>
        </xdr:cNvPicPr>
      </xdr:nvPicPr>
      <xdr:blipFill>
        <a:blip xmlns:r="http://schemas.openxmlformats.org/officeDocument/2006/relationships" r:embed="rId2994"/>
        <a:stretch>
          <a:fillRect/>
        </a:stretch>
      </xdr:blipFill>
      <xdr:spPr>
        <a:xfrm>
          <a:off x="7235825" y="3919515275"/>
          <a:ext cx="878840" cy="1183640"/>
        </a:xfrm>
        <a:prstGeom prst="rect">
          <a:avLst/>
        </a:prstGeom>
      </xdr:spPr>
    </xdr:pic>
    <xdr:clientData/>
  </xdr:twoCellAnchor>
  <xdr:twoCellAnchor>
    <xdr:from>
      <xdr:col>9</xdr:col>
      <xdr:colOff>6350</xdr:colOff>
      <xdr:row>3948</xdr:row>
      <xdr:rowOff>25400</xdr:rowOff>
    </xdr:from>
    <xdr:to>
      <xdr:col>9</xdr:col>
      <xdr:colOff>885190</xdr:colOff>
      <xdr:row>3948</xdr:row>
      <xdr:rowOff>1209040</xdr:rowOff>
    </xdr:to>
    <xdr:pic>
      <xdr:nvPicPr>
        <xdr:cNvPr id="8306" name="Изображение 8305" descr="resizeПП-00229741"/>
        <xdr:cNvPicPr>
          <a:picLocks noChangeAspect="1"/>
        </xdr:cNvPicPr>
      </xdr:nvPicPr>
      <xdr:blipFill>
        <a:blip xmlns:r="http://schemas.openxmlformats.org/officeDocument/2006/relationships" r:embed="rId2798"/>
        <a:stretch>
          <a:fillRect/>
        </a:stretch>
      </xdr:blipFill>
      <xdr:spPr>
        <a:xfrm>
          <a:off x="7235825" y="3920737650"/>
          <a:ext cx="878840" cy="1183640"/>
        </a:xfrm>
        <a:prstGeom prst="rect">
          <a:avLst/>
        </a:prstGeom>
      </xdr:spPr>
    </xdr:pic>
    <xdr:clientData/>
  </xdr:twoCellAnchor>
  <xdr:twoCellAnchor>
    <xdr:from>
      <xdr:col>9</xdr:col>
      <xdr:colOff>6350</xdr:colOff>
      <xdr:row>3949</xdr:row>
      <xdr:rowOff>25400</xdr:rowOff>
    </xdr:from>
    <xdr:to>
      <xdr:col>9</xdr:col>
      <xdr:colOff>885190</xdr:colOff>
      <xdr:row>3949</xdr:row>
      <xdr:rowOff>1209040</xdr:rowOff>
    </xdr:to>
    <xdr:pic>
      <xdr:nvPicPr>
        <xdr:cNvPr id="8307" name="Изображение 8306" descr="resizeПП-00229744"/>
        <xdr:cNvPicPr>
          <a:picLocks noChangeAspect="1"/>
        </xdr:cNvPicPr>
      </xdr:nvPicPr>
      <xdr:blipFill>
        <a:blip xmlns:r="http://schemas.openxmlformats.org/officeDocument/2006/relationships" r:embed="rId2995"/>
        <a:stretch>
          <a:fillRect/>
        </a:stretch>
      </xdr:blipFill>
      <xdr:spPr>
        <a:xfrm>
          <a:off x="7235825" y="3921960025"/>
          <a:ext cx="878840" cy="1183640"/>
        </a:xfrm>
        <a:prstGeom prst="rect">
          <a:avLst/>
        </a:prstGeom>
      </xdr:spPr>
    </xdr:pic>
    <xdr:clientData/>
  </xdr:twoCellAnchor>
  <xdr:twoCellAnchor>
    <xdr:from>
      <xdr:col>9</xdr:col>
      <xdr:colOff>6350</xdr:colOff>
      <xdr:row>3950</xdr:row>
      <xdr:rowOff>25400</xdr:rowOff>
    </xdr:from>
    <xdr:to>
      <xdr:col>9</xdr:col>
      <xdr:colOff>885190</xdr:colOff>
      <xdr:row>3950</xdr:row>
      <xdr:rowOff>1209040</xdr:rowOff>
    </xdr:to>
    <xdr:pic>
      <xdr:nvPicPr>
        <xdr:cNvPr id="8308" name="Изображение 8307" descr="resizeПП-00237683"/>
        <xdr:cNvPicPr>
          <a:picLocks noChangeAspect="1"/>
        </xdr:cNvPicPr>
      </xdr:nvPicPr>
      <xdr:blipFill>
        <a:blip xmlns:r="http://schemas.openxmlformats.org/officeDocument/2006/relationships" r:embed="rId2996"/>
        <a:stretch>
          <a:fillRect/>
        </a:stretch>
      </xdr:blipFill>
      <xdr:spPr>
        <a:xfrm>
          <a:off x="7235825" y="3923182400"/>
          <a:ext cx="878840" cy="1183640"/>
        </a:xfrm>
        <a:prstGeom prst="rect">
          <a:avLst/>
        </a:prstGeom>
      </xdr:spPr>
    </xdr:pic>
    <xdr:clientData/>
  </xdr:twoCellAnchor>
  <xdr:twoCellAnchor>
    <xdr:from>
      <xdr:col>9</xdr:col>
      <xdr:colOff>6350</xdr:colOff>
      <xdr:row>3952</xdr:row>
      <xdr:rowOff>25400</xdr:rowOff>
    </xdr:from>
    <xdr:to>
      <xdr:col>9</xdr:col>
      <xdr:colOff>885190</xdr:colOff>
      <xdr:row>3952</xdr:row>
      <xdr:rowOff>1209040</xdr:rowOff>
    </xdr:to>
    <xdr:pic>
      <xdr:nvPicPr>
        <xdr:cNvPr id="8309" name="Изображение 8308" descr="resizeПП-00169936"/>
        <xdr:cNvPicPr>
          <a:picLocks noChangeAspect="1"/>
        </xdr:cNvPicPr>
      </xdr:nvPicPr>
      <xdr:blipFill>
        <a:blip xmlns:r="http://schemas.openxmlformats.org/officeDocument/2006/relationships" r:embed="rId2997"/>
        <a:stretch>
          <a:fillRect/>
        </a:stretch>
      </xdr:blipFill>
      <xdr:spPr>
        <a:xfrm>
          <a:off x="7235825" y="3924557175"/>
          <a:ext cx="878840" cy="1183640"/>
        </a:xfrm>
        <a:prstGeom prst="rect">
          <a:avLst/>
        </a:prstGeom>
      </xdr:spPr>
    </xdr:pic>
    <xdr:clientData/>
  </xdr:twoCellAnchor>
  <xdr:twoCellAnchor>
    <xdr:from>
      <xdr:col>9</xdr:col>
      <xdr:colOff>6350</xdr:colOff>
      <xdr:row>3955</xdr:row>
      <xdr:rowOff>25400</xdr:rowOff>
    </xdr:from>
    <xdr:to>
      <xdr:col>9</xdr:col>
      <xdr:colOff>885190</xdr:colOff>
      <xdr:row>3955</xdr:row>
      <xdr:rowOff>1209040</xdr:rowOff>
    </xdr:to>
    <xdr:pic>
      <xdr:nvPicPr>
        <xdr:cNvPr id="8310" name="Изображение 8309" descr="resizeПП-00261725"/>
        <xdr:cNvPicPr>
          <a:picLocks noChangeAspect="1"/>
        </xdr:cNvPicPr>
      </xdr:nvPicPr>
      <xdr:blipFill>
        <a:blip xmlns:r="http://schemas.openxmlformats.org/officeDocument/2006/relationships" r:embed="rId2998"/>
        <a:stretch>
          <a:fillRect/>
        </a:stretch>
      </xdr:blipFill>
      <xdr:spPr>
        <a:xfrm>
          <a:off x="7235825" y="3926084350"/>
          <a:ext cx="878840" cy="1183640"/>
        </a:xfrm>
        <a:prstGeom prst="rect">
          <a:avLst/>
        </a:prstGeom>
      </xdr:spPr>
    </xdr:pic>
    <xdr:clientData/>
  </xdr:twoCellAnchor>
  <xdr:twoCellAnchor>
    <xdr:from>
      <xdr:col>9</xdr:col>
      <xdr:colOff>6350</xdr:colOff>
      <xdr:row>3956</xdr:row>
      <xdr:rowOff>25400</xdr:rowOff>
    </xdr:from>
    <xdr:to>
      <xdr:col>9</xdr:col>
      <xdr:colOff>885190</xdr:colOff>
      <xdr:row>3956</xdr:row>
      <xdr:rowOff>1209040</xdr:rowOff>
    </xdr:to>
    <xdr:pic>
      <xdr:nvPicPr>
        <xdr:cNvPr id="8311" name="Изображение 8310" descr="resizeПП-00261724"/>
        <xdr:cNvPicPr>
          <a:picLocks noChangeAspect="1"/>
        </xdr:cNvPicPr>
      </xdr:nvPicPr>
      <xdr:blipFill>
        <a:blip xmlns:r="http://schemas.openxmlformats.org/officeDocument/2006/relationships" r:embed="rId2999"/>
        <a:stretch>
          <a:fillRect/>
        </a:stretch>
      </xdr:blipFill>
      <xdr:spPr>
        <a:xfrm>
          <a:off x="7235825" y="3927306725"/>
          <a:ext cx="878840" cy="1183640"/>
        </a:xfrm>
        <a:prstGeom prst="rect">
          <a:avLst/>
        </a:prstGeom>
      </xdr:spPr>
    </xdr:pic>
    <xdr:clientData/>
  </xdr:twoCellAnchor>
  <xdr:twoCellAnchor>
    <xdr:from>
      <xdr:col>9</xdr:col>
      <xdr:colOff>6350</xdr:colOff>
      <xdr:row>3957</xdr:row>
      <xdr:rowOff>25400</xdr:rowOff>
    </xdr:from>
    <xdr:to>
      <xdr:col>9</xdr:col>
      <xdr:colOff>885190</xdr:colOff>
      <xdr:row>3957</xdr:row>
      <xdr:rowOff>1209040</xdr:rowOff>
    </xdr:to>
    <xdr:pic>
      <xdr:nvPicPr>
        <xdr:cNvPr id="8312" name="Изображение 8311" descr="resizeПП-00261715"/>
        <xdr:cNvPicPr>
          <a:picLocks noChangeAspect="1"/>
        </xdr:cNvPicPr>
      </xdr:nvPicPr>
      <xdr:blipFill>
        <a:blip xmlns:r="http://schemas.openxmlformats.org/officeDocument/2006/relationships" r:embed="rId3000"/>
        <a:stretch>
          <a:fillRect/>
        </a:stretch>
      </xdr:blipFill>
      <xdr:spPr>
        <a:xfrm>
          <a:off x="7235825" y="3928529100"/>
          <a:ext cx="878840" cy="1183640"/>
        </a:xfrm>
        <a:prstGeom prst="rect">
          <a:avLst/>
        </a:prstGeom>
      </xdr:spPr>
    </xdr:pic>
    <xdr:clientData/>
  </xdr:twoCellAnchor>
  <xdr:twoCellAnchor>
    <xdr:from>
      <xdr:col>9</xdr:col>
      <xdr:colOff>6350</xdr:colOff>
      <xdr:row>3958</xdr:row>
      <xdr:rowOff>25400</xdr:rowOff>
    </xdr:from>
    <xdr:to>
      <xdr:col>9</xdr:col>
      <xdr:colOff>885190</xdr:colOff>
      <xdr:row>3958</xdr:row>
      <xdr:rowOff>1209040</xdr:rowOff>
    </xdr:to>
    <xdr:pic>
      <xdr:nvPicPr>
        <xdr:cNvPr id="8313" name="Изображение 8312" descr="resizeПП-00261666"/>
        <xdr:cNvPicPr>
          <a:picLocks noChangeAspect="1"/>
        </xdr:cNvPicPr>
      </xdr:nvPicPr>
      <xdr:blipFill>
        <a:blip xmlns:r="http://schemas.openxmlformats.org/officeDocument/2006/relationships" r:embed="rId3001"/>
        <a:stretch>
          <a:fillRect/>
        </a:stretch>
      </xdr:blipFill>
      <xdr:spPr>
        <a:xfrm>
          <a:off x="7235825" y="3929751475"/>
          <a:ext cx="878840" cy="1183640"/>
        </a:xfrm>
        <a:prstGeom prst="rect">
          <a:avLst/>
        </a:prstGeom>
      </xdr:spPr>
    </xdr:pic>
    <xdr:clientData/>
  </xdr:twoCellAnchor>
  <xdr:twoCellAnchor>
    <xdr:from>
      <xdr:col>9</xdr:col>
      <xdr:colOff>6350</xdr:colOff>
      <xdr:row>3959</xdr:row>
      <xdr:rowOff>25400</xdr:rowOff>
    </xdr:from>
    <xdr:to>
      <xdr:col>9</xdr:col>
      <xdr:colOff>885190</xdr:colOff>
      <xdr:row>3959</xdr:row>
      <xdr:rowOff>1209040</xdr:rowOff>
    </xdr:to>
    <xdr:pic>
      <xdr:nvPicPr>
        <xdr:cNvPr id="8314" name="Изображение 8313" descr="resizeПП-00261685"/>
        <xdr:cNvPicPr>
          <a:picLocks noChangeAspect="1"/>
        </xdr:cNvPicPr>
      </xdr:nvPicPr>
      <xdr:blipFill>
        <a:blip xmlns:r="http://schemas.openxmlformats.org/officeDocument/2006/relationships" r:embed="rId3002"/>
        <a:stretch>
          <a:fillRect/>
        </a:stretch>
      </xdr:blipFill>
      <xdr:spPr>
        <a:xfrm>
          <a:off x="7235825" y="3930973850"/>
          <a:ext cx="878840" cy="1183640"/>
        </a:xfrm>
        <a:prstGeom prst="rect">
          <a:avLst/>
        </a:prstGeom>
      </xdr:spPr>
    </xdr:pic>
    <xdr:clientData/>
  </xdr:twoCellAnchor>
  <xdr:twoCellAnchor>
    <xdr:from>
      <xdr:col>9</xdr:col>
      <xdr:colOff>6350</xdr:colOff>
      <xdr:row>3960</xdr:row>
      <xdr:rowOff>25400</xdr:rowOff>
    </xdr:from>
    <xdr:to>
      <xdr:col>9</xdr:col>
      <xdr:colOff>885190</xdr:colOff>
      <xdr:row>3960</xdr:row>
      <xdr:rowOff>1209040</xdr:rowOff>
    </xdr:to>
    <xdr:pic>
      <xdr:nvPicPr>
        <xdr:cNvPr id="8315" name="Изображение 8314" descr="resizeПП-00261738"/>
        <xdr:cNvPicPr>
          <a:picLocks noChangeAspect="1"/>
        </xdr:cNvPicPr>
      </xdr:nvPicPr>
      <xdr:blipFill>
        <a:blip xmlns:r="http://schemas.openxmlformats.org/officeDocument/2006/relationships" r:embed="rId3003"/>
        <a:stretch>
          <a:fillRect/>
        </a:stretch>
      </xdr:blipFill>
      <xdr:spPr>
        <a:xfrm>
          <a:off x="7235825" y="3932196225"/>
          <a:ext cx="878840" cy="1183640"/>
        </a:xfrm>
        <a:prstGeom prst="rect">
          <a:avLst/>
        </a:prstGeom>
      </xdr:spPr>
    </xdr:pic>
    <xdr:clientData/>
  </xdr:twoCellAnchor>
  <xdr:twoCellAnchor>
    <xdr:from>
      <xdr:col>9</xdr:col>
      <xdr:colOff>6350</xdr:colOff>
      <xdr:row>3961</xdr:row>
      <xdr:rowOff>25400</xdr:rowOff>
    </xdr:from>
    <xdr:to>
      <xdr:col>9</xdr:col>
      <xdr:colOff>885190</xdr:colOff>
      <xdr:row>3961</xdr:row>
      <xdr:rowOff>1209040</xdr:rowOff>
    </xdr:to>
    <xdr:pic>
      <xdr:nvPicPr>
        <xdr:cNvPr id="8316" name="Изображение 8315" descr="resizeПП-00261734"/>
        <xdr:cNvPicPr>
          <a:picLocks noChangeAspect="1"/>
        </xdr:cNvPicPr>
      </xdr:nvPicPr>
      <xdr:blipFill>
        <a:blip xmlns:r="http://schemas.openxmlformats.org/officeDocument/2006/relationships" r:embed="rId3004"/>
        <a:stretch>
          <a:fillRect/>
        </a:stretch>
      </xdr:blipFill>
      <xdr:spPr>
        <a:xfrm>
          <a:off x="7235825" y="3933418600"/>
          <a:ext cx="878840" cy="1183640"/>
        </a:xfrm>
        <a:prstGeom prst="rect">
          <a:avLst/>
        </a:prstGeom>
      </xdr:spPr>
    </xdr:pic>
    <xdr:clientData/>
  </xdr:twoCellAnchor>
  <xdr:twoCellAnchor>
    <xdr:from>
      <xdr:col>9</xdr:col>
      <xdr:colOff>6350</xdr:colOff>
      <xdr:row>3962</xdr:row>
      <xdr:rowOff>25400</xdr:rowOff>
    </xdr:from>
    <xdr:to>
      <xdr:col>9</xdr:col>
      <xdr:colOff>885190</xdr:colOff>
      <xdr:row>3962</xdr:row>
      <xdr:rowOff>1209040</xdr:rowOff>
    </xdr:to>
    <xdr:pic>
      <xdr:nvPicPr>
        <xdr:cNvPr id="8317" name="Изображение 8316" descr="resizeПП-00261718"/>
        <xdr:cNvPicPr>
          <a:picLocks noChangeAspect="1"/>
        </xdr:cNvPicPr>
      </xdr:nvPicPr>
      <xdr:blipFill>
        <a:blip xmlns:r="http://schemas.openxmlformats.org/officeDocument/2006/relationships" r:embed="rId3005"/>
        <a:stretch>
          <a:fillRect/>
        </a:stretch>
      </xdr:blipFill>
      <xdr:spPr>
        <a:xfrm>
          <a:off x="7235825" y="3934640975"/>
          <a:ext cx="878840" cy="1183640"/>
        </a:xfrm>
        <a:prstGeom prst="rect">
          <a:avLst/>
        </a:prstGeom>
      </xdr:spPr>
    </xdr:pic>
    <xdr:clientData/>
  </xdr:twoCellAnchor>
  <xdr:twoCellAnchor>
    <xdr:from>
      <xdr:col>9</xdr:col>
      <xdr:colOff>6350</xdr:colOff>
      <xdr:row>3963</xdr:row>
      <xdr:rowOff>25400</xdr:rowOff>
    </xdr:from>
    <xdr:to>
      <xdr:col>9</xdr:col>
      <xdr:colOff>885190</xdr:colOff>
      <xdr:row>3963</xdr:row>
      <xdr:rowOff>1209040</xdr:rowOff>
    </xdr:to>
    <xdr:pic>
      <xdr:nvPicPr>
        <xdr:cNvPr id="8318" name="Изображение 8317" descr="resizeПП-00261700"/>
        <xdr:cNvPicPr>
          <a:picLocks noChangeAspect="1"/>
        </xdr:cNvPicPr>
      </xdr:nvPicPr>
      <xdr:blipFill>
        <a:blip xmlns:r="http://schemas.openxmlformats.org/officeDocument/2006/relationships" r:embed="rId3006"/>
        <a:stretch>
          <a:fillRect/>
        </a:stretch>
      </xdr:blipFill>
      <xdr:spPr>
        <a:xfrm>
          <a:off x="7235825" y="3935863350"/>
          <a:ext cx="878840" cy="1183640"/>
        </a:xfrm>
        <a:prstGeom prst="rect">
          <a:avLst/>
        </a:prstGeom>
      </xdr:spPr>
    </xdr:pic>
    <xdr:clientData/>
  </xdr:twoCellAnchor>
  <xdr:twoCellAnchor>
    <xdr:from>
      <xdr:col>9</xdr:col>
      <xdr:colOff>6350</xdr:colOff>
      <xdr:row>3964</xdr:row>
      <xdr:rowOff>25400</xdr:rowOff>
    </xdr:from>
    <xdr:to>
      <xdr:col>9</xdr:col>
      <xdr:colOff>885190</xdr:colOff>
      <xdr:row>3964</xdr:row>
      <xdr:rowOff>1209040</xdr:rowOff>
    </xdr:to>
    <xdr:pic>
      <xdr:nvPicPr>
        <xdr:cNvPr id="8319" name="Изображение 8318" descr="resizeПП-00261697"/>
        <xdr:cNvPicPr>
          <a:picLocks noChangeAspect="1"/>
        </xdr:cNvPicPr>
      </xdr:nvPicPr>
      <xdr:blipFill>
        <a:blip xmlns:r="http://schemas.openxmlformats.org/officeDocument/2006/relationships" r:embed="rId3007"/>
        <a:stretch>
          <a:fillRect/>
        </a:stretch>
      </xdr:blipFill>
      <xdr:spPr>
        <a:xfrm>
          <a:off x="7235825" y="3937085725"/>
          <a:ext cx="878840" cy="1183640"/>
        </a:xfrm>
        <a:prstGeom prst="rect">
          <a:avLst/>
        </a:prstGeom>
      </xdr:spPr>
    </xdr:pic>
    <xdr:clientData/>
  </xdr:twoCellAnchor>
  <xdr:twoCellAnchor>
    <xdr:from>
      <xdr:col>9</xdr:col>
      <xdr:colOff>6350</xdr:colOff>
      <xdr:row>3965</xdr:row>
      <xdr:rowOff>25400</xdr:rowOff>
    </xdr:from>
    <xdr:to>
      <xdr:col>9</xdr:col>
      <xdr:colOff>885190</xdr:colOff>
      <xdr:row>3965</xdr:row>
      <xdr:rowOff>1209040</xdr:rowOff>
    </xdr:to>
    <xdr:pic>
      <xdr:nvPicPr>
        <xdr:cNvPr id="8320" name="Изображение 8319" descr="resizeПП-00261704"/>
        <xdr:cNvPicPr>
          <a:picLocks noChangeAspect="1"/>
        </xdr:cNvPicPr>
      </xdr:nvPicPr>
      <xdr:blipFill>
        <a:blip xmlns:r="http://schemas.openxmlformats.org/officeDocument/2006/relationships" r:embed="rId3008"/>
        <a:stretch>
          <a:fillRect/>
        </a:stretch>
      </xdr:blipFill>
      <xdr:spPr>
        <a:xfrm>
          <a:off x="7235825" y="3938308100"/>
          <a:ext cx="878840" cy="1183640"/>
        </a:xfrm>
        <a:prstGeom prst="rect">
          <a:avLst/>
        </a:prstGeom>
      </xdr:spPr>
    </xdr:pic>
    <xdr:clientData/>
  </xdr:twoCellAnchor>
  <xdr:twoCellAnchor>
    <xdr:from>
      <xdr:col>9</xdr:col>
      <xdr:colOff>6350</xdr:colOff>
      <xdr:row>3966</xdr:row>
      <xdr:rowOff>25400</xdr:rowOff>
    </xdr:from>
    <xdr:to>
      <xdr:col>9</xdr:col>
      <xdr:colOff>885190</xdr:colOff>
      <xdr:row>3966</xdr:row>
      <xdr:rowOff>1209040</xdr:rowOff>
    </xdr:to>
    <xdr:pic>
      <xdr:nvPicPr>
        <xdr:cNvPr id="8321" name="Изображение 8320" descr="resizeПП-00261707"/>
        <xdr:cNvPicPr>
          <a:picLocks noChangeAspect="1"/>
        </xdr:cNvPicPr>
      </xdr:nvPicPr>
      <xdr:blipFill>
        <a:blip xmlns:r="http://schemas.openxmlformats.org/officeDocument/2006/relationships" r:embed="rId3009"/>
        <a:stretch>
          <a:fillRect/>
        </a:stretch>
      </xdr:blipFill>
      <xdr:spPr>
        <a:xfrm>
          <a:off x="7235825" y="3939530475"/>
          <a:ext cx="878840" cy="1183640"/>
        </a:xfrm>
        <a:prstGeom prst="rect">
          <a:avLst/>
        </a:prstGeom>
      </xdr:spPr>
    </xdr:pic>
    <xdr:clientData/>
  </xdr:twoCellAnchor>
  <xdr:twoCellAnchor>
    <xdr:from>
      <xdr:col>9</xdr:col>
      <xdr:colOff>6350</xdr:colOff>
      <xdr:row>3967</xdr:row>
      <xdr:rowOff>25400</xdr:rowOff>
    </xdr:from>
    <xdr:to>
      <xdr:col>9</xdr:col>
      <xdr:colOff>885190</xdr:colOff>
      <xdr:row>3967</xdr:row>
      <xdr:rowOff>1209040</xdr:rowOff>
    </xdr:to>
    <xdr:pic>
      <xdr:nvPicPr>
        <xdr:cNvPr id="8322" name="Изображение 8321" descr="resizeПП-00261699"/>
        <xdr:cNvPicPr>
          <a:picLocks noChangeAspect="1"/>
        </xdr:cNvPicPr>
      </xdr:nvPicPr>
      <xdr:blipFill>
        <a:blip xmlns:r="http://schemas.openxmlformats.org/officeDocument/2006/relationships" r:embed="rId3010"/>
        <a:stretch>
          <a:fillRect/>
        </a:stretch>
      </xdr:blipFill>
      <xdr:spPr>
        <a:xfrm>
          <a:off x="7235825" y="3940752850"/>
          <a:ext cx="878840" cy="1183640"/>
        </a:xfrm>
        <a:prstGeom prst="rect">
          <a:avLst/>
        </a:prstGeom>
      </xdr:spPr>
    </xdr:pic>
    <xdr:clientData/>
  </xdr:twoCellAnchor>
  <xdr:twoCellAnchor>
    <xdr:from>
      <xdr:col>9</xdr:col>
      <xdr:colOff>6350</xdr:colOff>
      <xdr:row>3968</xdr:row>
      <xdr:rowOff>25400</xdr:rowOff>
    </xdr:from>
    <xdr:to>
      <xdr:col>9</xdr:col>
      <xdr:colOff>885190</xdr:colOff>
      <xdr:row>3968</xdr:row>
      <xdr:rowOff>1209040</xdr:rowOff>
    </xdr:to>
    <xdr:pic>
      <xdr:nvPicPr>
        <xdr:cNvPr id="8323" name="Изображение 8322" descr="resizeПП-00261717"/>
        <xdr:cNvPicPr>
          <a:picLocks noChangeAspect="1"/>
        </xdr:cNvPicPr>
      </xdr:nvPicPr>
      <xdr:blipFill>
        <a:blip xmlns:r="http://schemas.openxmlformats.org/officeDocument/2006/relationships" r:embed="rId3011"/>
        <a:stretch>
          <a:fillRect/>
        </a:stretch>
      </xdr:blipFill>
      <xdr:spPr>
        <a:xfrm>
          <a:off x="7235825" y="3941975225"/>
          <a:ext cx="878840" cy="1183640"/>
        </a:xfrm>
        <a:prstGeom prst="rect">
          <a:avLst/>
        </a:prstGeom>
      </xdr:spPr>
    </xdr:pic>
    <xdr:clientData/>
  </xdr:twoCellAnchor>
  <xdr:twoCellAnchor>
    <xdr:from>
      <xdr:col>9</xdr:col>
      <xdr:colOff>6350</xdr:colOff>
      <xdr:row>3969</xdr:row>
      <xdr:rowOff>25400</xdr:rowOff>
    </xdr:from>
    <xdr:to>
      <xdr:col>9</xdr:col>
      <xdr:colOff>885190</xdr:colOff>
      <xdr:row>3969</xdr:row>
      <xdr:rowOff>1209040</xdr:rowOff>
    </xdr:to>
    <xdr:pic>
      <xdr:nvPicPr>
        <xdr:cNvPr id="8324" name="Изображение 8323" descr="resizeПП-00261731"/>
        <xdr:cNvPicPr>
          <a:picLocks noChangeAspect="1"/>
        </xdr:cNvPicPr>
      </xdr:nvPicPr>
      <xdr:blipFill>
        <a:blip xmlns:r="http://schemas.openxmlformats.org/officeDocument/2006/relationships" r:embed="rId3012"/>
        <a:stretch>
          <a:fillRect/>
        </a:stretch>
      </xdr:blipFill>
      <xdr:spPr>
        <a:xfrm>
          <a:off x="7235825" y="3943197600"/>
          <a:ext cx="878840" cy="1183640"/>
        </a:xfrm>
        <a:prstGeom prst="rect">
          <a:avLst/>
        </a:prstGeom>
      </xdr:spPr>
    </xdr:pic>
    <xdr:clientData/>
  </xdr:twoCellAnchor>
  <xdr:twoCellAnchor>
    <xdr:from>
      <xdr:col>9</xdr:col>
      <xdr:colOff>6350</xdr:colOff>
      <xdr:row>3970</xdr:row>
      <xdr:rowOff>25400</xdr:rowOff>
    </xdr:from>
    <xdr:to>
      <xdr:col>9</xdr:col>
      <xdr:colOff>885190</xdr:colOff>
      <xdr:row>3970</xdr:row>
      <xdr:rowOff>1209040</xdr:rowOff>
    </xdr:to>
    <xdr:pic>
      <xdr:nvPicPr>
        <xdr:cNvPr id="8325" name="Изображение 8324" descr="resizeПП-00261678"/>
        <xdr:cNvPicPr>
          <a:picLocks noChangeAspect="1"/>
        </xdr:cNvPicPr>
      </xdr:nvPicPr>
      <xdr:blipFill>
        <a:blip xmlns:r="http://schemas.openxmlformats.org/officeDocument/2006/relationships" r:embed="rId3013"/>
        <a:stretch>
          <a:fillRect/>
        </a:stretch>
      </xdr:blipFill>
      <xdr:spPr>
        <a:xfrm>
          <a:off x="7235825" y="3944419975"/>
          <a:ext cx="878840" cy="1183640"/>
        </a:xfrm>
        <a:prstGeom prst="rect">
          <a:avLst/>
        </a:prstGeom>
      </xdr:spPr>
    </xdr:pic>
    <xdr:clientData/>
  </xdr:twoCellAnchor>
  <xdr:twoCellAnchor>
    <xdr:from>
      <xdr:col>9</xdr:col>
      <xdr:colOff>6350</xdr:colOff>
      <xdr:row>3971</xdr:row>
      <xdr:rowOff>25400</xdr:rowOff>
    </xdr:from>
    <xdr:to>
      <xdr:col>9</xdr:col>
      <xdr:colOff>885190</xdr:colOff>
      <xdr:row>3971</xdr:row>
      <xdr:rowOff>1209040</xdr:rowOff>
    </xdr:to>
    <xdr:pic>
      <xdr:nvPicPr>
        <xdr:cNvPr id="8326" name="Изображение 8325" descr="resizeПП-00261674"/>
        <xdr:cNvPicPr>
          <a:picLocks noChangeAspect="1"/>
        </xdr:cNvPicPr>
      </xdr:nvPicPr>
      <xdr:blipFill>
        <a:blip xmlns:r="http://schemas.openxmlformats.org/officeDocument/2006/relationships" r:embed="rId3014"/>
        <a:stretch>
          <a:fillRect/>
        </a:stretch>
      </xdr:blipFill>
      <xdr:spPr>
        <a:xfrm>
          <a:off x="7235825" y="3945642350"/>
          <a:ext cx="878840" cy="1183640"/>
        </a:xfrm>
        <a:prstGeom prst="rect">
          <a:avLst/>
        </a:prstGeom>
      </xdr:spPr>
    </xdr:pic>
    <xdr:clientData/>
  </xdr:twoCellAnchor>
  <xdr:twoCellAnchor>
    <xdr:from>
      <xdr:col>9</xdr:col>
      <xdr:colOff>6350</xdr:colOff>
      <xdr:row>3972</xdr:row>
      <xdr:rowOff>25400</xdr:rowOff>
    </xdr:from>
    <xdr:to>
      <xdr:col>9</xdr:col>
      <xdr:colOff>885190</xdr:colOff>
      <xdr:row>3972</xdr:row>
      <xdr:rowOff>1209040</xdr:rowOff>
    </xdr:to>
    <xdr:pic>
      <xdr:nvPicPr>
        <xdr:cNvPr id="8327" name="Изображение 8326" descr="resizeПП-00261728"/>
        <xdr:cNvPicPr>
          <a:picLocks noChangeAspect="1"/>
        </xdr:cNvPicPr>
      </xdr:nvPicPr>
      <xdr:blipFill>
        <a:blip xmlns:r="http://schemas.openxmlformats.org/officeDocument/2006/relationships" r:embed="rId3015"/>
        <a:stretch>
          <a:fillRect/>
        </a:stretch>
      </xdr:blipFill>
      <xdr:spPr>
        <a:xfrm>
          <a:off x="7235825" y="3946864725"/>
          <a:ext cx="878840" cy="1183640"/>
        </a:xfrm>
        <a:prstGeom prst="rect">
          <a:avLst/>
        </a:prstGeom>
      </xdr:spPr>
    </xdr:pic>
    <xdr:clientData/>
  </xdr:twoCellAnchor>
  <xdr:twoCellAnchor>
    <xdr:from>
      <xdr:col>9</xdr:col>
      <xdr:colOff>6350</xdr:colOff>
      <xdr:row>3973</xdr:row>
      <xdr:rowOff>25400</xdr:rowOff>
    </xdr:from>
    <xdr:to>
      <xdr:col>9</xdr:col>
      <xdr:colOff>885190</xdr:colOff>
      <xdr:row>3973</xdr:row>
      <xdr:rowOff>1209040</xdr:rowOff>
    </xdr:to>
    <xdr:pic>
      <xdr:nvPicPr>
        <xdr:cNvPr id="8328" name="Изображение 8327" descr="resizeПП-00261732"/>
        <xdr:cNvPicPr>
          <a:picLocks noChangeAspect="1"/>
        </xdr:cNvPicPr>
      </xdr:nvPicPr>
      <xdr:blipFill>
        <a:blip xmlns:r="http://schemas.openxmlformats.org/officeDocument/2006/relationships" r:embed="rId3016"/>
        <a:stretch>
          <a:fillRect/>
        </a:stretch>
      </xdr:blipFill>
      <xdr:spPr>
        <a:xfrm>
          <a:off x="7235825" y="3948087100"/>
          <a:ext cx="878840" cy="1183640"/>
        </a:xfrm>
        <a:prstGeom prst="rect">
          <a:avLst/>
        </a:prstGeom>
      </xdr:spPr>
    </xdr:pic>
    <xdr:clientData/>
  </xdr:twoCellAnchor>
  <xdr:twoCellAnchor>
    <xdr:from>
      <xdr:col>9</xdr:col>
      <xdr:colOff>6350</xdr:colOff>
      <xdr:row>3974</xdr:row>
      <xdr:rowOff>25400</xdr:rowOff>
    </xdr:from>
    <xdr:to>
      <xdr:col>9</xdr:col>
      <xdr:colOff>885190</xdr:colOff>
      <xdr:row>3974</xdr:row>
      <xdr:rowOff>1209040</xdr:rowOff>
    </xdr:to>
    <xdr:pic>
      <xdr:nvPicPr>
        <xdr:cNvPr id="8329" name="Изображение 8328" descr="resizeПП-00261741"/>
        <xdr:cNvPicPr>
          <a:picLocks noChangeAspect="1"/>
        </xdr:cNvPicPr>
      </xdr:nvPicPr>
      <xdr:blipFill>
        <a:blip xmlns:r="http://schemas.openxmlformats.org/officeDocument/2006/relationships" r:embed="rId3017"/>
        <a:stretch>
          <a:fillRect/>
        </a:stretch>
      </xdr:blipFill>
      <xdr:spPr>
        <a:xfrm>
          <a:off x="7235825" y="3949309475"/>
          <a:ext cx="878840" cy="1183640"/>
        </a:xfrm>
        <a:prstGeom prst="rect">
          <a:avLst/>
        </a:prstGeom>
      </xdr:spPr>
    </xdr:pic>
    <xdr:clientData/>
  </xdr:twoCellAnchor>
  <xdr:twoCellAnchor>
    <xdr:from>
      <xdr:col>9</xdr:col>
      <xdr:colOff>6350</xdr:colOff>
      <xdr:row>3975</xdr:row>
      <xdr:rowOff>25400</xdr:rowOff>
    </xdr:from>
    <xdr:to>
      <xdr:col>9</xdr:col>
      <xdr:colOff>885190</xdr:colOff>
      <xdr:row>3975</xdr:row>
      <xdr:rowOff>1209040</xdr:rowOff>
    </xdr:to>
    <xdr:pic>
      <xdr:nvPicPr>
        <xdr:cNvPr id="8330" name="Изображение 8329" descr="resizeПП-00261713"/>
        <xdr:cNvPicPr>
          <a:picLocks noChangeAspect="1"/>
        </xdr:cNvPicPr>
      </xdr:nvPicPr>
      <xdr:blipFill>
        <a:blip xmlns:r="http://schemas.openxmlformats.org/officeDocument/2006/relationships" r:embed="rId3018"/>
        <a:stretch>
          <a:fillRect/>
        </a:stretch>
      </xdr:blipFill>
      <xdr:spPr>
        <a:xfrm>
          <a:off x="7235825" y="3950531850"/>
          <a:ext cx="878840" cy="1183640"/>
        </a:xfrm>
        <a:prstGeom prst="rect">
          <a:avLst/>
        </a:prstGeom>
      </xdr:spPr>
    </xdr:pic>
    <xdr:clientData/>
  </xdr:twoCellAnchor>
  <xdr:twoCellAnchor>
    <xdr:from>
      <xdr:col>9</xdr:col>
      <xdr:colOff>6350</xdr:colOff>
      <xdr:row>3976</xdr:row>
      <xdr:rowOff>25400</xdr:rowOff>
    </xdr:from>
    <xdr:to>
      <xdr:col>9</xdr:col>
      <xdr:colOff>885190</xdr:colOff>
      <xdr:row>3976</xdr:row>
      <xdr:rowOff>1209040</xdr:rowOff>
    </xdr:to>
    <xdr:pic>
      <xdr:nvPicPr>
        <xdr:cNvPr id="8331" name="Изображение 8330" descr="resizeПП-00261689"/>
        <xdr:cNvPicPr>
          <a:picLocks noChangeAspect="1"/>
        </xdr:cNvPicPr>
      </xdr:nvPicPr>
      <xdr:blipFill>
        <a:blip xmlns:r="http://schemas.openxmlformats.org/officeDocument/2006/relationships" r:embed="rId3019"/>
        <a:stretch>
          <a:fillRect/>
        </a:stretch>
      </xdr:blipFill>
      <xdr:spPr>
        <a:xfrm>
          <a:off x="7235825" y="3951754225"/>
          <a:ext cx="878840" cy="1183640"/>
        </a:xfrm>
        <a:prstGeom prst="rect">
          <a:avLst/>
        </a:prstGeom>
      </xdr:spPr>
    </xdr:pic>
    <xdr:clientData/>
  </xdr:twoCellAnchor>
  <xdr:twoCellAnchor>
    <xdr:from>
      <xdr:col>9</xdr:col>
      <xdr:colOff>6350</xdr:colOff>
      <xdr:row>3977</xdr:row>
      <xdr:rowOff>25400</xdr:rowOff>
    </xdr:from>
    <xdr:to>
      <xdr:col>9</xdr:col>
      <xdr:colOff>885190</xdr:colOff>
      <xdr:row>3977</xdr:row>
      <xdr:rowOff>1209040</xdr:rowOff>
    </xdr:to>
    <xdr:pic>
      <xdr:nvPicPr>
        <xdr:cNvPr id="8332" name="Изображение 8331" descr="resizeПП-00261722"/>
        <xdr:cNvPicPr>
          <a:picLocks noChangeAspect="1"/>
        </xdr:cNvPicPr>
      </xdr:nvPicPr>
      <xdr:blipFill>
        <a:blip xmlns:r="http://schemas.openxmlformats.org/officeDocument/2006/relationships" r:embed="rId3020"/>
        <a:stretch>
          <a:fillRect/>
        </a:stretch>
      </xdr:blipFill>
      <xdr:spPr>
        <a:xfrm>
          <a:off x="7235825" y="3952976600"/>
          <a:ext cx="878840" cy="1183640"/>
        </a:xfrm>
        <a:prstGeom prst="rect">
          <a:avLst/>
        </a:prstGeom>
      </xdr:spPr>
    </xdr:pic>
    <xdr:clientData/>
  </xdr:twoCellAnchor>
  <xdr:twoCellAnchor>
    <xdr:from>
      <xdr:col>9</xdr:col>
      <xdr:colOff>6350</xdr:colOff>
      <xdr:row>3978</xdr:row>
      <xdr:rowOff>25400</xdr:rowOff>
    </xdr:from>
    <xdr:to>
      <xdr:col>9</xdr:col>
      <xdr:colOff>885190</xdr:colOff>
      <xdr:row>3978</xdr:row>
      <xdr:rowOff>1209040</xdr:rowOff>
    </xdr:to>
    <xdr:pic>
      <xdr:nvPicPr>
        <xdr:cNvPr id="8333" name="Изображение 8332" descr="resizeПП-00261726"/>
        <xdr:cNvPicPr>
          <a:picLocks noChangeAspect="1"/>
        </xdr:cNvPicPr>
      </xdr:nvPicPr>
      <xdr:blipFill>
        <a:blip xmlns:r="http://schemas.openxmlformats.org/officeDocument/2006/relationships" r:embed="rId3021"/>
        <a:stretch>
          <a:fillRect/>
        </a:stretch>
      </xdr:blipFill>
      <xdr:spPr>
        <a:xfrm>
          <a:off x="7235825" y="3954198975"/>
          <a:ext cx="878840" cy="1183640"/>
        </a:xfrm>
        <a:prstGeom prst="rect">
          <a:avLst/>
        </a:prstGeom>
      </xdr:spPr>
    </xdr:pic>
    <xdr:clientData/>
  </xdr:twoCellAnchor>
  <xdr:twoCellAnchor>
    <xdr:from>
      <xdr:col>9</xdr:col>
      <xdr:colOff>6350</xdr:colOff>
      <xdr:row>3979</xdr:row>
      <xdr:rowOff>25400</xdr:rowOff>
    </xdr:from>
    <xdr:to>
      <xdr:col>9</xdr:col>
      <xdr:colOff>885190</xdr:colOff>
      <xdr:row>3979</xdr:row>
      <xdr:rowOff>1209040</xdr:rowOff>
    </xdr:to>
    <xdr:pic>
      <xdr:nvPicPr>
        <xdr:cNvPr id="8334" name="Изображение 8333" descr="resizeПП-00261730"/>
        <xdr:cNvPicPr>
          <a:picLocks noChangeAspect="1"/>
        </xdr:cNvPicPr>
      </xdr:nvPicPr>
      <xdr:blipFill>
        <a:blip xmlns:r="http://schemas.openxmlformats.org/officeDocument/2006/relationships" r:embed="rId3022"/>
        <a:stretch>
          <a:fillRect/>
        </a:stretch>
      </xdr:blipFill>
      <xdr:spPr>
        <a:xfrm>
          <a:off x="7235825" y="3955421350"/>
          <a:ext cx="878840" cy="1183640"/>
        </a:xfrm>
        <a:prstGeom prst="rect">
          <a:avLst/>
        </a:prstGeom>
      </xdr:spPr>
    </xdr:pic>
    <xdr:clientData/>
  </xdr:twoCellAnchor>
  <xdr:twoCellAnchor>
    <xdr:from>
      <xdr:col>9</xdr:col>
      <xdr:colOff>6350</xdr:colOff>
      <xdr:row>3980</xdr:row>
      <xdr:rowOff>25400</xdr:rowOff>
    </xdr:from>
    <xdr:to>
      <xdr:col>9</xdr:col>
      <xdr:colOff>885190</xdr:colOff>
      <xdr:row>3980</xdr:row>
      <xdr:rowOff>1209040</xdr:rowOff>
    </xdr:to>
    <xdr:pic>
      <xdr:nvPicPr>
        <xdr:cNvPr id="8335" name="Изображение 8334" descr="resizeПП-00261672"/>
        <xdr:cNvPicPr>
          <a:picLocks noChangeAspect="1"/>
        </xdr:cNvPicPr>
      </xdr:nvPicPr>
      <xdr:blipFill>
        <a:blip xmlns:r="http://schemas.openxmlformats.org/officeDocument/2006/relationships" r:embed="rId3023"/>
        <a:stretch>
          <a:fillRect/>
        </a:stretch>
      </xdr:blipFill>
      <xdr:spPr>
        <a:xfrm>
          <a:off x="7235825" y="3956643725"/>
          <a:ext cx="878840" cy="1183640"/>
        </a:xfrm>
        <a:prstGeom prst="rect">
          <a:avLst/>
        </a:prstGeom>
      </xdr:spPr>
    </xdr:pic>
    <xdr:clientData/>
  </xdr:twoCellAnchor>
  <xdr:twoCellAnchor>
    <xdr:from>
      <xdr:col>9</xdr:col>
      <xdr:colOff>6350</xdr:colOff>
      <xdr:row>3981</xdr:row>
      <xdr:rowOff>25400</xdr:rowOff>
    </xdr:from>
    <xdr:to>
      <xdr:col>9</xdr:col>
      <xdr:colOff>885190</xdr:colOff>
      <xdr:row>3981</xdr:row>
      <xdr:rowOff>1209040</xdr:rowOff>
    </xdr:to>
    <xdr:pic>
      <xdr:nvPicPr>
        <xdr:cNvPr id="8336" name="Изображение 8335" descr="resizeПП-00261709"/>
        <xdr:cNvPicPr>
          <a:picLocks noChangeAspect="1"/>
        </xdr:cNvPicPr>
      </xdr:nvPicPr>
      <xdr:blipFill>
        <a:blip xmlns:r="http://schemas.openxmlformats.org/officeDocument/2006/relationships" r:embed="rId3024"/>
        <a:stretch>
          <a:fillRect/>
        </a:stretch>
      </xdr:blipFill>
      <xdr:spPr>
        <a:xfrm>
          <a:off x="7235825" y="3957866100"/>
          <a:ext cx="878840" cy="1183640"/>
        </a:xfrm>
        <a:prstGeom prst="rect">
          <a:avLst/>
        </a:prstGeom>
      </xdr:spPr>
    </xdr:pic>
    <xdr:clientData/>
  </xdr:twoCellAnchor>
  <xdr:twoCellAnchor>
    <xdr:from>
      <xdr:col>9</xdr:col>
      <xdr:colOff>6350</xdr:colOff>
      <xdr:row>3982</xdr:row>
      <xdr:rowOff>25400</xdr:rowOff>
    </xdr:from>
    <xdr:to>
      <xdr:col>9</xdr:col>
      <xdr:colOff>885190</xdr:colOff>
      <xdr:row>3982</xdr:row>
      <xdr:rowOff>1209040</xdr:rowOff>
    </xdr:to>
    <xdr:pic>
      <xdr:nvPicPr>
        <xdr:cNvPr id="8337" name="Изображение 8336" descr="resizeПП-00261723"/>
        <xdr:cNvPicPr>
          <a:picLocks noChangeAspect="1"/>
        </xdr:cNvPicPr>
      </xdr:nvPicPr>
      <xdr:blipFill>
        <a:blip xmlns:r="http://schemas.openxmlformats.org/officeDocument/2006/relationships" r:embed="rId3025"/>
        <a:stretch>
          <a:fillRect/>
        </a:stretch>
      </xdr:blipFill>
      <xdr:spPr>
        <a:xfrm>
          <a:off x="7235825" y="3959088475"/>
          <a:ext cx="878840" cy="1183640"/>
        </a:xfrm>
        <a:prstGeom prst="rect">
          <a:avLst/>
        </a:prstGeom>
      </xdr:spPr>
    </xdr:pic>
    <xdr:clientData/>
  </xdr:twoCellAnchor>
  <xdr:twoCellAnchor>
    <xdr:from>
      <xdr:col>9</xdr:col>
      <xdr:colOff>6350</xdr:colOff>
      <xdr:row>3983</xdr:row>
      <xdr:rowOff>25400</xdr:rowOff>
    </xdr:from>
    <xdr:to>
      <xdr:col>9</xdr:col>
      <xdr:colOff>885190</xdr:colOff>
      <xdr:row>3983</xdr:row>
      <xdr:rowOff>1209040</xdr:rowOff>
    </xdr:to>
    <xdr:pic>
      <xdr:nvPicPr>
        <xdr:cNvPr id="8338" name="Изображение 8337" descr="resizeПП-00261719"/>
        <xdr:cNvPicPr>
          <a:picLocks noChangeAspect="1"/>
        </xdr:cNvPicPr>
      </xdr:nvPicPr>
      <xdr:blipFill>
        <a:blip xmlns:r="http://schemas.openxmlformats.org/officeDocument/2006/relationships" r:embed="rId3026"/>
        <a:stretch>
          <a:fillRect/>
        </a:stretch>
      </xdr:blipFill>
      <xdr:spPr>
        <a:xfrm>
          <a:off x="7235825" y="3960310850"/>
          <a:ext cx="878840" cy="1183640"/>
        </a:xfrm>
        <a:prstGeom prst="rect">
          <a:avLst/>
        </a:prstGeom>
      </xdr:spPr>
    </xdr:pic>
    <xdr:clientData/>
  </xdr:twoCellAnchor>
  <xdr:twoCellAnchor>
    <xdr:from>
      <xdr:col>9</xdr:col>
      <xdr:colOff>6350</xdr:colOff>
      <xdr:row>3984</xdr:row>
      <xdr:rowOff>25400</xdr:rowOff>
    </xdr:from>
    <xdr:to>
      <xdr:col>9</xdr:col>
      <xdr:colOff>885190</xdr:colOff>
      <xdr:row>3984</xdr:row>
      <xdr:rowOff>1209040</xdr:rowOff>
    </xdr:to>
    <xdr:pic>
      <xdr:nvPicPr>
        <xdr:cNvPr id="8339" name="Изображение 8338" descr="resizeПП-00261729"/>
        <xdr:cNvPicPr>
          <a:picLocks noChangeAspect="1"/>
        </xdr:cNvPicPr>
      </xdr:nvPicPr>
      <xdr:blipFill>
        <a:blip xmlns:r="http://schemas.openxmlformats.org/officeDocument/2006/relationships" r:embed="rId3027"/>
        <a:stretch>
          <a:fillRect/>
        </a:stretch>
      </xdr:blipFill>
      <xdr:spPr>
        <a:xfrm>
          <a:off x="7235825" y="3961533225"/>
          <a:ext cx="878840" cy="1183640"/>
        </a:xfrm>
        <a:prstGeom prst="rect">
          <a:avLst/>
        </a:prstGeom>
      </xdr:spPr>
    </xdr:pic>
    <xdr:clientData/>
  </xdr:twoCellAnchor>
  <xdr:twoCellAnchor>
    <xdr:from>
      <xdr:col>9</xdr:col>
      <xdr:colOff>6350</xdr:colOff>
      <xdr:row>3985</xdr:row>
      <xdr:rowOff>25400</xdr:rowOff>
    </xdr:from>
    <xdr:to>
      <xdr:col>9</xdr:col>
      <xdr:colOff>885190</xdr:colOff>
      <xdr:row>3985</xdr:row>
      <xdr:rowOff>1209040</xdr:rowOff>
    </xdr:to>
    <xdr:pic>
      <xdr:nvPicPr>
        <xdr:cNvPr id="8340" name="Изображение 8339" descr="resizeПП-00261712"/>
        <xdr:cNvPicPr>
          <a:picLocks noChangeAspect="1"/>
        </xdr:cNvPicPr>
      </xdr:nvPicPr>
      <xdr:blipFill>
        <a:blip xmlns:r="http://schemas.openxmlformats.org/officeDocument/2006/relationships" r:embed="rId3028"/>
        <a:stretch>
          <a:fillRect/>
        </a:stretch>
      </xdr:blipFill>
      <xdr:spPr>
        <a:xfrm>
          <a:off x="7235825" y="3962755600"/>
          <a:ext cx="878840" cy="1183640"/>
        </a:xfrm>
        <a:prstGeom prst="rect">
          <a:avLst/>
        </a:prstGeom>
      </xdr:spPr>
    </xdr:pic>
    <xdr:clientData/>
  </xdr:twoCellAnchor>
  <xdr:twoCellAnchor>
    <xdr:from>
      <xdr:col>9</xdr:col>
      <xdr:colOff>6350</xdr:colOff>
      <xdr:row>3986</xdr:row>
      <xdr:rowOff>25400</xdr:rowOff>
    </xdr:from>
    <xdr:to>
      <xdr:col>9</xdr:col>
      <xdr:colOff>885190</xdr:colOff>
      <xdr:row>3986</xdr:row>
      <xdr:rowOff>1209040</xdr:rowOff>
    </xdr:to>
    <xdr:pic>
      <xdr:nvPicPr>
        <xdr:cNvPr id="8341" name="Изображение 8340" descr="resizeПП-00261710"/>
        <xdr:cNvPicPr>
          <a:picLocks noChangeAspect="1"/>
        </xdr:cNvPicPr>
      </xdr:nvPicPr>
      <xdr:blipFill>
        <a:blip xmlns:r="http://schemas.openxmlformats.org/officeDocument/2006/relationships" r:embed="rId3029"/>
        <a:stretch>
          <a:fillRect/>
        </a:stretch>
      </xdr:blipFill>
      <xdr:spPr>
        <a:xfrm>
          <a:off x="7235825" y="3963977975"/>
          <a:ext cx="878840" cy="1183640"/>
        </a:xfrm>
        <a:prstGeom prst="rect">
          <a:avLst/>
        </a:prstGeom>
      </xdr:spPr>
    </xdr:pic>
    <xdr:clientData/>
  </xdr:twoCellAnchor>
  <xdr:twoCellAnchor>
    <xdr:from>
      <xdr:col>9</xdr:col>
      <xdr:colOff>6350</xdr:colOff>
      <xdr:row>3987</xdr:row>
      <xdr:rowOff>25400</xdr:rowOff>
    </xdr:from>
    <xdr:to>
      <xdr:col>9</xdr:col>
      <xdr:colOff>885190</xdr:colOff>
      <xdr:row>3987</xdr:row>
      <xdr:rowOff>1209040</xdr:rowOff>
    </xdr:to>
    <xdr:pic>
      <xdr:nvPicPr>
        <xdr:cNvPr id="8342" name="Изображение 8341" descr="resizeПП-00261686"/>
        <xdr:cNvPicPr>
          <a:picLocks noChangeAspect="1"/>
        </xdr:cNvPicPr>
      </xdr:nvPicPr>
      <xdr:blipFill>
        <a:blip xmlns:r="http://schemas.openxmlformats.org/officeDocument/2006/relationships" r:embed="rId3030"/>
        <a:stretch>
          <a:fillRect/>
        </a:stretch>
      </xdr:blipFill>
      <xdr:spPr>
        <a:xfrm>
          <a:off x="7235825" y="3965200350"/>
          <a:ext cx="878840" cy="1183640"/>
        </a:xfrm>
        <a:prstGeom prst="rect">
          <a:avLst/>
        </a:prstGeom>
      </xdr:spPr>
    </xdr:pic>
    <xdr:clientData/>
  </xdr:twoCellAnchor>
  <xdr:twoCellAnchor>
    <xdr:from>
      <xdr:col>9</xdr:col>
      <xdr:colOff>6350</xdr:colOff>
      <xdr:row>3988</xdr:row>
      <xdr:rowOff>25400</xdr:rowOff>
    </xdr:from>
    <xdr:to>
      <xdr:col>9</xdr:col>
      <xdr:colOff>885190</xdr:colOff>
      <xdr:row>3988</xdr:row>
      <xdr:rowOff>1209040</xdr:rowOff>
    </xdr:to>
    <xdr:pic>
      <xdr:nvPicPr>
        <xdr:cNvPr id="8343" name="Изображение 8342" descr="resizeПП-00261720"/>
        <xdr:cNvPicPr>
          <a:picLocks noChangeAspect="1"/>
        </xdr:cNvPicPr>
      </xdr:nvPicPr>
      <xdr:blipFill>
        <a:blip xmlns:r="http://schemas.openxmlformats.org/officeDocument/2006/relationships" r:embed="rId3031"/>
        <a:stretch>
          <a:fillRect/>
        </a:stretch>
      </xdr:blipFill>
      <xdr:spPr>
        <a:xfrm>
          <a:off x="7235825" y="3966422725"/>
          <a:ext cx="878840" cy="1183640"/>
        </a:xfrm>
        <a:prstGeom prst="rect">
          <a:avLst/>
        </a:prstGeom>
      </xdr:spPr>
    </xdr:pic>
    <xdr:clientData/>
  </xdr:twoCellAnchor>
  <xdr:twoCellAnchor>
    <xdr:from>
      <xdr:col>9</xdr:col>
      <xdr:colOff>6350</xdr:colOff>
      <xdr:row>3989</xdr:row>
      <xdr:rowOff>25400</xdr:rowOff>
    </xdr:from>
    <xdr:to>
      <xdr:col>9</xdr:col>
      <xdr:colOff>885190</xdr:colOff>
      <xdr:row>3989</xdr:row>
      <xdr:rowOff>1209040</xdr:rowOff>
    </xdr:to>
    <xdr:pic>
      <xdr:nvPicPr>
        <xdr:cNvPr id="8344" name="Изображение 8343" descr="resizeПП-00261716"/>
        <xdr:cNvPicPr>
          <a:picLocks noChangeAspect="1"/>
        </xdr:cNvPicPr>
      </xdr:nvPicPr>
      <xdr:blipFill>
        <a:blip xmlns:r="http://schemas.openxmlformats.org/officeDocument/2006/relationships" r:embed="rId3032"/>
        <a:stretch>
          <a:fillRect/>
        </a:stretch>
      </xdr:blipFill>
      <xdr:spPr>
        <a:xfrm>
          <a:off x="7235825" y="3967645100"/>
          <a:ext cx="878840" cy="1183640"/>
        </a:xfrm>
        <a:prstGeom prst="rect">
          <a:avLst/>
        </a:prstGeom>
      </xdr:spPr>
    </xdr:pic>
    <xdr:clientData/>
  </xdr:twoCellAnchor>
  <xdr:twoCellAnchor>
    <xdr:from>
      <xdr:col>9</xdr:col>
      <xdr:colOff>6350</xdr:colOff>
      <xdr:row>3990</xdr:row>
      <xdr:rowOff>25400</xdr:rowOff>
    </xdr:from>
    <xdr:to>
      <xdr:col>9</xdr:col>
      <xdr:colOff>885190</xdr:colOff>
      <xdr:row>3990</xdr:row>
      <xdr:rowOff>1209040</xdr:rowOff>
    </xdr:to>
    <xdr:pic>
      <xdr:nvPicPr>
        <xdr:cNvPr id="8345" name="Изображение 8344" descr="resizeПП-00261721"/>
        <xdr:cNvPicPr>
          <a:picLocks noChangeAspect="1"/>
        </xdr:cNvPicPr>
      </xdr:nvPicPr>
      <xdr:blipFill>
        <a:blip xmlns:r="http://schemas.openxmlformats.org/officeDocument/2006/relationships" r:embed="rId3033"/>
        <a:stretch>
          <a:fillRect/>
        </a:stretch>
      </xdr:blipFill>
      <xdr:spPr>
        <a:xfrm>
          <a:off x="7235825" y="3968867475"/>
          <a:ext cx="878840" cy="1183640"/>
        </a:xfrm>
        <a:prstGeom prst="rect">
          <a:avLst/>
        </a:prstGeom>
      </xdr:spPr>
    </xdr:pic>
    <xdr:clientData/>
  </xdr:twoCellAnchor>
  <xdr:twoCellAnchor>
    <xdr:from>
      <xdr:col>9</xdr:col>
      <xdr:colOff>6350</xdr:colOff>
      <xdr:row>3991</xdr:row>
      <xdr:rowOff>25400</xdr:rowOff>
    </xdr:from>
    <xdr:to>
      <xdr:col>9</xdr:col>
      <xdr:colOff>885190</xdr:colOff>
      <xdr:row>3991</xdr:row>
      <xdr:rowOff>1209040</xdr:rowOff>
    </xdr:to>
    <xdr:pic>
      <xdr:nvPicPr>
        <xdr:cNvPr id="8346" name="Изображение 8345" descr="resizeПП-00261736"/>
        <xdr:cNvPicPr>
          <a:picLocks noChangeAspect="1"/>
        </xdr:cNvPicPr>
      </xdr:nvPicPr>
      <xdr:blipFill>
        <a:blip xmlns:r="http://schemas.openxmlformats.org/officeDocument/2006/relationships" r:embed="rId3034"/>
        <a:stretch>
          <a:fillRect/>
        </a:stretch>
      </xdr:blipFill>
      <xdr:spPr>
        <a:xfrm>
          <a:off x="7235825" y="3970089850"/>
          <a:ext cx="878840" cy="1183640"/>
        </a:xfrm>
        <a:prstGeom prst="rect">
          <a:avLst/>
        </a:prstGeom>
      </xdr:spPr>
    </xdr:pic>
    <xdr:clientData/>
  </xdr:twoCellAnchor>
  <xdr:twoCellAnchor>
    <xdr:from>
      <xdr:col>9</xdr:col>
      <xdr:colOff>6350</xdr:colOff>
      <xdr:row>3992</xdr:row>
      <xdr:rowOff>25400</xdr:rowOff>
    </xdr:from>
    <xdr:to>
      <xdr:col>9</xdr:col>
      <xdr:colOff>885190</xdr:colOff>
      <xdr:row>3992</xdr:row>
      <xdr:rowOff>1209040</xdr:rowOff>
    </xdr:to>
    <xdr:pic>
      <xdr:nvPicPr>
        <xdr:cNvPr id="8347" name="Изображение 8346" descr="resizeПП-00261705"/>
        <xdr:cNvPicPr>
          <a:picLocks noChangeAspect="1"/>
        </xdr:cNvPicPr>
      </xdr:nvPicPr>
      <xdr:blipFill>
        <a:blip xmlns:r="http://schemas.openxmlformats.org/officeDocument/2006/relationships" r:embed="rId3035"/>
        <a:stretch>
          <a:fillRect/>
        </a:stretch>
      </xdr:blipFill>
      <xdr:spPr>
        <a:xfrm>
          <a:off x="7235825" y="3971312225"/>
          <a:ext cx="878840" cy="1183640"/>
        </a:xfrm>
        <a:prstGeom prst="rect">
          <a:avLst/>
        </a:prstGeom>
      </xdr:spPr>
    </xdr:pic>
    <xdr:clientData/>
  </xdr:twoCellAnchor>
  <xdr:twoCellAnchor>
    <xdr:from>
      <xdr:col>9</xdr:col>
      <xdr:colOff>6350</xdr:colOff>
      <xdr:row>3993</xdr:row>
      <xdr:rowOff>25400</xdr:rowOff>
    </xdr:from>
    <xdr:to>
      <xdr:col>9</xdr:col>
      <xdr:colOff>885190</xdr:colOff>
      <xdr:row>3993</xdr:row>
      <xdr:rowOff>1209040</xdr:rowOff>
    </xdr:to>
    <xdr:pic>
      <xdr:nvPicPr>
        <xdr:cNvPr id="8348" name="Изображение 8347" descr="resizeПП-00261708"/>
        <xdr:cNvPicPr>
          <a:picLocks noChangeAspect="1"/>
        </xdr:cNvPicPr>
      </xdr:nvPicPr>
      <xdr:blipFill>
        <a:blip xmlns:r="http://schemas.openxmlformats.org/officeDocument/2006/relationships" r:embed="rId3036"/>
        <a:stretch>
          <a:fillRect/>
        </a:stretch>
      </xdr:blipFill>
      <xdr:spPr>
        <a:xfrm>
          <a:off x="7235825" y="3972534600"/>
          <a:ext cx="878840" cy="1183640"/>
        </a:xfrm>
        <a:prstGeom prst="rect">
          <a:avLst/>
        </a:prstGeom>
      </xdr:spPr>
    </xdr:pic>
    <xdr:clientData/>
  </xdr:twoCellAnchor>
  <xdr:twoCellAnchor>
    <xdr:from>
      <xdr:col>9</xdr:col>
      <xdr:colOff>6350</xdr:colOff>
      <xdr:row>3994</xdr:row>
      <xdr:rowOff>25400</xdr:rowOff>
    </xdr:from>
    <xdr:to>
      <xdr:col>9</xdr:col>
      <xdr:colOff>885190</xdr:colOff>
      <xdr:row>3994</xdr:row>
      <xdr:rowOff>1209040</xdr:rowOff>
    </xdr:to>
    <xdr:pic>
      <xdr:nvPicPr>
        <xdr:cNvPr id="8349" name="Изображение 8348" descr="resizeПП-00261683"/>
        <xdr:cNvPicPr>
          <a:picLocks noChangeAspect="1"/>
        </xdr:cNvPicPr>
      </xdr:nvPicPr>
      <xdr:blipFill>
        <a:blip xmlns:r="http://schemas.openxmlformats.org/officeDocument/2006/relationships" r:embed="rId3037"/>
        <a:stretch>
          <a:fillRect/>
        </a:stretch>
      </xdr:blipFill>
      <xdr:spPr>
        <a:xfrm>
          <a:off x="7235825" y="3973756975"/>
          <a:ext cx="878840" cy="1183640"/>
        </a:xfrm>
        <a:prstGeom prst="rect">
          <a:avLst/>
        </a:prstGeom>
      </xdr:spPr>
    </xdr:pic>
    <xdr:clientData/>
  </xdr:twoCellAnchor>
  <xdr:twoCellAnchor>
    <xdr:from>
      <xdr:col>9</xdr:col>
      <xdr:colOff>6350</xdr:colOff>
      <xdr:row>3995</xdr:row>
      <xdr:rowOff>25400</xdr:rowOff>
    </xdr:from>
    <xdr:to>
      <xdr:col>9</xdr:col>
      <xdr:colOff>885190</xdr:colOff>
      <xdr:row>3995</xdr:row>
      <xdr:rowOff>1209040</xdr:rowOff>
    </xdr:to>
    <xdr:pic>
      <xdr:nvPicPr>
        <xdr:cNvPr id="8350" name="Изображение 8349" descr="resizeПП-00261682"/>
        <xdr:cNvPicPr>
          <a:picLocks noChangeAspect="1"/>
        </xdr:cNvPicPr>
      </xdr:nvPicPr>
      <xdr:blipFill>
        <a:blip xmlns:r="http://schemas.openxmlformats.org/officeDocument/2006/relationships" r:embed="rId3038"/>
        <a:stretch>
          <a:fillRect/>
        </a:stretch>
      </xdr:blipFill>
      <xdr:spPr>
        <a:xfrm>
          <a:off x="7235825" y="3974979350"/>
          <a:ext cx="878840" cy="1183640"/>
        </a:xfrm>
        <a:prstGeom prst="rect">
          <a:avLst/>
        </a:prstGeom>
      </xdr:spPr>
    </xdr:pic>
    <xdr:clientData/>
  </xdr:twoCellAnchor>
  <xdr:twoCellAnchor>
    <xdr:from>
      <xdr:col>9</xdr:col>
      <xdr:colOff>6350</xdr:colOff>
      <xdr:row>3996</xdr:row>
      <xdr:rowOff>25400</xdr:rowOff>
    </xdr:from>
    <xdr:to>
      <xdr:col>9</xdr:col>
      <xdr:colOff>885190</xdr:colOff>
      <xdr:row>3996</xdr:row>
      <xdr:rowOff>1209040</xdr:rowOff>
    </xdr:to>
    <xdr:pic>
      <xdr:nvPicPr>
        <xdr:cNvPr id="8351" name="Изображение 8350" descr="resizeПП-00261680"/>
        <xdr:cNvPicPr>
          <a:picLocks noChangeAspect="1"/>
        </xdr:cNvPicPr>
      </xdr:nvPicPr>
      <xdr:blipFill>
        <a:blip xmlns:r="http://schemas.openxmlformats.org/officeDocument/2006/relationships" r:embed="rId3039"/>
        <a:stretch>
          <a:fillRect/>
        </a:stretch>
      </xdr:blipFill>
      <xdr:spPr>
        <a:xfrm>
          <a:off x="7235825" y="3976201725"/>
          <a:ext cx="878840" cy="1183640"/>
        </a:xfrm>
        <a:prstGeom prst="rect">
          <a:avLst/>
        </a:prstGeom>
      </xdr:spPr>
    </xdr:pic>
    <xdr:clientData/>
  </xdr:twoCellAnchor>
  <xdr:twoCellAnchor>
    <xdr:from>
      <xdr:col>9</xdr:col>
      <xdr:colOff>6350</xdr:colOff>
      <xdr:row>3997</xdr:row>
      <xdr:rowOff>25400</xdr:rowOff>
    </xdr:from>
    <xdr:to>
      <xdr:col>9</xdr:col>
      <xdr:colOff>885190</xdr:colOff>
      <xdr:row>3997</xdr:row>
      <xdr:rowOff>1209040</xdr:rowOff>
    </xdr:to>
    <xdr:pic>
      <xdr:nvPicPr>
        <xdr:cNvPr id="8352" name="Изображение 8351" descr="resizeПП-00261676"/>
        <xdr:cNvPicPr>
          <a:picLocks noChangeAspect="1"/>
        </xdr:cNvPicPr>
      </xdr:nvPicPr>
      <xdr:blipFill>
        <a:blip xmlns:r="http://schemas.openxmlformats.org/officeDocument/2006/relationships" r:embed="rId3040"/>
        <a:stretch>
          <a:fillRect/>
        </a:stretch>
      </xdr:blipFill>
      <xdr:spPr>
        <a:xfrm>
          <a:off x="7235825" y="3977424100"/>
          <a:ext cx="878840" cy="1183640"/>
        </a:xfrm>
        <a:prstGeom prst="rect">
          <a:avLst/>
        </a:prstGeom>
      </xdr:spPr>
    </xdr:pic>
    <xdr:clientData/>
  </xdr:twoCellAnchor>
  <xdr:twoCellAnchor>
    <xdr:from>
      <xdr:col>9</xdr:col>
      <xdr:colOff>6350</xdr:colOff>
      <xdr:row>3998</xdr:row>
      <xdr:rowOff>25400</xdr:rowOff>
    </xdr:from>
    <xdr:to>
      <xdr:col>9</xdr:col>
      <xdr:colOff>885190</xdr:colOff>
      <xdr:row>3998</xdr:row>
      <xdr:rowOff>1209040</xdr:rowOff>
    </xdr:to>
    <xdr:pic>
      <xdr:nvPicPr>
        <xdr:cNvPr id="8353" name="Изображение 8352" descr="resizeПП-00261727"/>
        <xdr:cNvPicPr>
          <a:picLocks noChangeAspect="1"/>
        </xdr:cNvPicPr>
      </xdr:nvPicPr>
      <xdr:blipFill>
        <a:blip xmlns:r="http://schemas.openxmlformats.org/officeDocument/2006/relationships" r:embed="rId3041"/>
        <a:stretch>
          <a:fillRect/>
        </a:stretch>
      </xdr:blipFill>
      <xdr:spPr>
        <a:xfrm>
          <a:off x="7235825" y="3978646475"/>
          <a:ext cx="878840" cy="1183640"/>
        </a:xfrm>
        <a:prstGeom prst="rect">
          <a:avLst/>
        </a:prstGeom>
      </xdr:spPr>
    </xdr:pic>
    <xdr:clientData/>
  </xdr:twoCellAnchor>
  <xdr:twoCellAnchor>
    <xdr:from>
      <xdr:col>9</xdr:col>
      <xdr:colOff>6350</xdr:colOff>
      <xdr:row>3999</xdr:row>
      <xdr:rowOff>25400</xdr:rowOff>
    </xdr:from>
    <xdr:to>
      <xdr:col>9</xdr:col>
      <xdr:colOff>885190</xdr:colOff>
      <xdr:row>3999</xdr:row>
      <xdr:rowOff>1209040</xdr:rowOff>
    </xdr:to>
    <xdr:pic>
      <xdr:nvPicPr>
        <xdr:cNvPr id="8354" name="Изображение 8353" descr="resizeПП-00261735"/>
        <xdr:cNvPicPr>
          <a:picLocks noChangeAspect="1"/>
        </xdr:cNvPicPr>
      </xdr:nvPicPr>
      <xdr:blipFill>
        <a:blip xmlns:r="http://schemas.openxmlformats.org/officeDocument/2006/relationships" r:embed="rId3042"/>
        <a:stretch>
          <a:fillRect/>
        </a:stretch>
      </xdr:blipFill>
      <xdr:spPr>
        <a:xfrm>
          <a:off x="7235825" y="3979868850"/>
          <a:ext cx="878840" cy="1183640"/>
        </a:xfrm>
        <a:prstGeom prst="rect">
          <a:avLst/>
        </a:prstGeom>
      </xdr:spPr>
    </xdr:pic>
    <xdr:clientData/>
  </xdr:twoCellAnchor>
  <xdr:twoCellAnchor>
    <xdr:from>
      <xdr:col>9</xdr:col>
      <xdr:colOff>6350</xdr:colOff>
      <xdr:row>4000</xdr:row>
      <xdr:rowOff>25400</xdr:rowOff>
    </xdr:from>
    <xdr:to>
      <xdr:col>9</xdr:col>
      <xdr:colOff>885190</xdr:colOff>
      <xdr:row>4000</xdr:row>
      <xdr:rowOff>1209040</xdr:rowOff>
    </xdr:to>
    <xdr:pic>
      <xdr:nvPicPr>
        <xdr:cNvPr id="8355" name="Изображение 8354" descr="resizeПП-00261687"/>
        <xdr:cNvPicPr>
          <a:picLocks noChangeAspect="1"/>
        </xdr:cNvPicPr>
      </xdr:nvPicPr>
      <xdr:blipFill>
        <a:blip xmlns:r="http://schemas.openxmlformats.org/officeDocument/2006/relationships" r:embed="rId3043"/>
        <a:stretch>
          <a:fillRect/>
        </a:stretch>
      </xdr:blipFill>
      <xdr:spPr>
        <a:xfrm>
          <a:off x="7235825" y="3981091225"/>
          <a:ext cx="878840" cy="1183640"/>
        </a:xfrm>
        <a:prstGeom prst="rect">
          <a:avLst/>
        </a:prstGeom>
      </xdr:spPr>
    </xdr:pic>
    <xdr:clientData/>
  </xdr:twoCellAnchor>
  <xdr:twoCellAnchor>
    <xdr:from>
      <xdr:col>9</xdr:col>
      <xdr:colOff>6350</xdr:colOff>
      <xdr:row>4001</xdr:row>
      <xdr:rowOff>25400</xdr:rowOff>
    </xdr:from>
    <xdr:to>
      <xdr:col>9</xdr:col>
      <xdr:colOff>885190</xdr:colOff>
      <xdr:row>4001</xdr:row>
      <xdr:rowOff>1209040</xdr:rowOff>
    </xdr:to>
    <xdr:pic>
      <xdr:nvPicPr>
        <xdr:cNvPr id="8356" name="Изображение 8355" descr="resizeПП-00261711"/>
        <xdr:cNvPicPr>
          <a:picLocks noChangeAspect="1"/>
        </xdr:cNvPicPr>
      </xdr:nvPicPr>
      <xdr:blipFill>
        <a:blip xmlns:r="http://schemas.openxmlformats.org/officeDocument/2006/relationships" r:embed="rId3044"/>
        <a:stretch>
          <a:fillRect/>
        </a:stretch>
      </xdr:blipFill>
      <xdr:spPr>
        <a:xfrm>
          <a:off x="7235825" y="3982313600"/>
          <a:ext cx="878840" cy="1183640"/>
        </a:xfrm>
        <a:prstGeom prst="rect">
          <a:avLst/>
        </a:prstGeom>
      </xdr:spPr>
    </xdr:pic>
    <xdr:clientData/>
  </xdr:twoCellAnchor>
  <xdr:twoCellAnchor>
    <xdr:from>
      <xdr:col>9</xdr:col>
      <xdr:colOff>6350</xdr:colOff>
      <xdr:row>4002</xdr:row>
      <xdr:rowOff>25400</xdr:rowOff>
    </xdr:from>
    <xdr:to>
      <xdr:col>9</xdr:col>
      <xdr:colOff>885190</xdr:colOff>
      <xdr:row>4002</xdr:row>
      <xdr:rowOff>1209040</xdr:rowOff>
    </xdr:to>
    <xdr:pic>
      <xdr:nvPicPr>
        <xdr:cNvPr id="8357" name="Изображение 8356" descr="resizeПП-00261706"/>
        <xdr:cNvPicPr>
          <a:picLocks noChangeAspect="1"/>
        </xdr:cNvPicPr>
      </xdr:nvPicPr>
      <xdr:blipFill>
        <a:blip xmlns:r="http://schemas.openxmlformats.org/officeDocument/2006/relationships" r:embed="rId3045"/>
        <a:stretch>
          <a:fillRect/>
        </a:stretch>
      </xdr:blipFill>
      <xdr:spPr>
        <a:xfrm>
          <a:off x="7235825" y="3983535975"/>
          <a:ext cx="878840" cy="1183640"/>
        </a:xfrm>
        <a:prstGeom prst="rect">
          <a:avLst/>
        </a:prstGeom>
      </xdr:spPr>
    </xdr:pic>
    <xdr:clientData/>
  </xdr:twoCellAnchor>
  <xdr:twoCellAnchor>
    <xdr:from>
      <xdr:col>9</xdr:col>
      <xdr:colOff>6350</xdr:colOff>
      <xdr:row>4003</xdr:row>
      <xdr:rowOff>25400</xdr:rowOff>
    </xdr:from>
    <xdr:to>
      <xdr:col>9</xdr:col>
      <xdr:colOff>885190</xdr:colOff>
      <xdr:row>4003</xdr:row>
      <xdr:rowOff>1209040</xdr:rowOff>
    </xdr:to>
    <xdr:pic>
      <xdr:nvPicPr>
        <xdr:cNvPr id="8358" name="Изображение 8357" descr="resizeПП-00236158"/>
        <xdr:cNvPicPr>
          <a:picLocks noChangeAspect="1"/>
        </xdr:cNvPicPr>
      </xdr:nvPicPr>
      <xdr:blipFill>
        <a:blip xmlns:r="http://schemas.openxmlformats.org/officeDocument/2006/relationships" r:embed="rId2803"/>
        <a:stretch>
          <a:fillRect/>
        </a:stretch>
      </xdr:blipFill>
      <xdr:spPr>
        <a:xfrm>
          <a:off x="7235825" y="3984758350"/>
          <a:ext cx="878840" cy="1183640"/>
        </a:xfrm>
        <a:prstGeom prst="rect">
          <a:avLst/>
        </a:prstGeom>
      </xdr:spPr>
    </xdr:pic>
    <xdr:clientData/>
  </xdr:twoCellAnchor>
  <xdr:twoCellAnchor>
    <xdr:from>
      <xdr:col>9</xdr:col>
      <xdr:colOff>6350</xdr:colOff>
      <xdr:row>4004</xdr:row>
      <xdr:rowOff>25400</xdr:rowOff>
    </xdr:from>
    <xdr:to>
      <xdr:col>9</xdr:col>
      <xdr:colOff>885190</xdr:colOff>
      <xdr:row>4004</xdr:row>
      <xdr:rowOff>1209040</xdr:rowOff>
    </xdr:to>
    <xdr:pic>
      <xdr:nvPicPr>
        <xdr:cNvPr id="8359" name="Изображение 8358" descr="resizeПП-00236159"/>
        <xdr:cNvPicPr>
          <a:picLocks noChangeAspect="1"/>
        </xdr:cNvPicPr>
      </xdr:nvPicPr>
      <xdr:blipFill>
        <a:blip xmlns:r="http://schemas.openxmlformats.org/officeDocument/2006/relationships" r:embed="rId3046"/>
        <a:stretch>
          <a:fillRect/>
        </a:stretch>
      </xdr:blipFill>
      <xdr:spPr>
        <a:xfrm>
          <a:off x="7235825" y="3985980725"/>
          <a:ext cx="878840" cy="1183640"/>
        </a:xfrm>
        <a:prstGeom prst="rect">
          <a:avLst/>
        </a:prstGeom>
      </xdr:spPr>
    </xdr:pic>
    <xdr:clientData/>
  </xdr:twoCellAnchor>
  <xdr:twoCellAnchor>
    <xdr:from>
      <xdr:col>9</xdr:col>
      <xdr:colOff>6350</xdr:colOff>
      <xdr:row>4005</xdr:row>
      <xdr:rowOff>25400</xdr:rowOff>
    </xdr:from>
    <xdr:to>
      <xdr:col>9</xdr:col>
      <xdr:colOff>885190</xdr:colOff>
      <xdr:row>4005</xdr:row>
      <xdr:rowOff>1209040</xdr:rowOff>
    </xdr:to>
    <xdr:pic>
      <xdr:nvPicPr>
        <xdr:cNvPr id="8360" name="Изображение 8359" descr="resizeПП-00236150"/>
        <xdr:cNvPicPr>
          <a:picLocks noChangeAspect="1"/>
        </xdr:cNvPicPr>
      </xdr:nvPicPr>
      <xdr:blipFill>
        <a:blip xmlns:r="http://schemas.openxmlformats.org/officeDocument/2006/relationships" r:embed="rId3047"/>
        <a:stretch>
          <a:fillRect/>
        </a:stretch>
      </xdr:blipFill>
      <xdr:spPr>
        <a:xfrm>
          <a:off x="7235825" y="3987203100"/>
          <a:ext cx="878840" cy="1183640"/>
        </a:xfrm>
        <a:prstGeom prst="rect">
          <a:avLst/>
        </a:prstGeom>
      </xdr:spPr>
    </xdr:pic>
    <xdr:clientData/>
  </xdr:twoCellAnchor>
  <xdr:twoCellAnchor>
    <xdr:from>
      <xdr:col>9</xdr:col>
      <xdr:colOff>6350</xdr:colOff>
      <xdr:row>4006</xdr:row>
      <xdr:rowOff>25400</xdr:rowOff>
    </xdr:from>
    <xdr:to>
      <xdr:col>9</xdr:col>
      <xdr:colOff>885190</xdr:colOff>
      <xdr:row>4006</xdr:row>
      <xdr:rowOff>1209040</xdr:rowOff>
    </xdr:to>
    <xdr:pic>
      <xdr:nvPicPr>
        <xdr:cNvPr id="8361" name="Изображение 8360" descr="resizeПП-00236152"/>
        <xdr:cNvPicPr>
          <a:picLocks noChangeAspect="1"/>
        </xdr:cNvPicPr>
      </xdr:nvPicPr>
      <xdr:blipFill>
        <a:blip xmlns:r="http://schemas.openxmlformats.org/officeDocument/2006/relationships" r:embed="rId3048"/>
        <a:stretch>
          <a:fillRect/>
        </a:stretch>
      </xdr:blipFill>
      <xdr:spPr>
        <a:xfrm>
          <a:off x="7235825" y="3988425475"/>
          <a:ext cx="878840" cy="1183640"/>
        </a:xfrm>
        <a:prstGeom prst="rect">
          <a:avLst/>
        </a:prstGeom>
      </xdr:spPr>
    </xdr:pic>
    <xdr:clientData/>
  </xdr:twoCellAnchor>
  <xdr:twoCellAnchor>
    <xdr:from>
      <xdr:col>9</xdr:col>
      <xdr:colOff>6350</xdr:colOff>
      <xdr:row>4007</xdr:row>
      <xdr:rowOff>25400</xdr:rowOff>
    </xdr:from>
    <xdr:to>
      <xdr:col>9</xdr:col>
      <xdr:colOff>885190</xdr:colOff>
      <xdr:row>4007</xdr:row>
      <xdr:rowOff>1209040</xdr:rowOff>
    </xdr:to>
    <xdr:pic>
      <xdr:nvPicPr>
        <xdr:cNvPr id="8362" name="Изображение 8361" descr="resizeПП-00236156"/>
        <xdr:cNvPicPr>
          <a:picLocks noChangeAspect="1"/>
        </xdr:cNvPicPr>
      </xdr:nvPicPr>
      <xdr:blipFill>
        <a:blip xmlns:r="http://schemas.openxmlformats.org/officeDocument/2006/relationships" r:embed="rId2807"/>
        <a:stretch>
          <a:fillRect/>
        </a:stretch>
      </xdr:blipFill>
      <xdr:spPr>
        <a:xfrm>
          <a:off x="7235825" y="3989647850"/>
          <a:ext cx="878840" cy="1183640"/>
        </a:xfrm>
        <a:prstGeom prst="rect">
          <a:avLst/>
        </a:prstGeom>
      </xdr:spPr>
    </xdr:pic>
    <xdr:clientData/>
  </xdr:twoCellAnchor>
  <xdr:twoCellAnchor>
    <xdr:from>
      <xdr:col>9</xdr:col>
      <xdr:colOff>6350</xdr:colOff>
      <xdr:row>4008</xdr:row>
      <xdr:rowOff>25400</xdr:rowOff>
    </xdr:from>
    <xdr:to>
      <xdr:col>9</xdr:col>
      <xdr:colOff>885190</xdr:colOff>
      <xdr:row>4008</xdr:row>
      <xdr:rowOff>1209040</xdr:rowOff>
    </xdr:to>
    <xdr:pic>
      <xdr:nvPicPr>
        <xdr:cNvPr id="8363" name="Изображение 8362" descr="resizeПП-00236157"/>
        <xdr:cNvPicPr>
          <a:picLocks noChangeAspect="1"/>
        </xdr:cNvPicPr>
      </xdr:nvPicPr>
      <xdr:blipFill>
        <a:blip xmlns:r="http://schemas.openxmlformats.org/officeDocument/2006/relationships" r:embed="rId3049"/>
        <a:stretch>
          <a:fillRect/>
        </a:stretch>
      </xdr:blipFill>
      <xdr:spPr>
        <a:xfrm>
          <a:off x="7235825" y="3990870225"/>
          <a:ext cx="878840" cy="1183640"/>
        </a:xfrm>
        <a:prstGeom prst="rect">
          <a:avLst/>
        </a:prstGeom>
      </xdr:spPr>
    </xdr:pic>
    <xdr:clientData/>
  </xdr:twoCellAnchor>
  <xdr:twoCellAnchor>
    <xdr:from>
      <xdr:col>9</xdr:col>
      <xdr:colOff>6350</xdr:colOff>
      <xdr:row>4009</xdr:row>
      <xdr:rowOff>25400</xdr:rowOff>
    </xdr:from>
    <xdr:to>
      <xdr:col>9</xdr:col>
      <xdr:colOff>885190</xdr:colOff>
      <xdr:row>4009</xdr:row>
      <xdr:rowOff>1209040</xdr:rowOff>
    </xdr:to>
    <xdr:pic>
      <xdr:nvPicPr>
        <xdr:cNvPr id="8364" name="Изображение 8363" descr="resizeПП-00212160"/>
        <xdr:cNvPicPr>
          <a:picLocks noChangeAspect="1"/>
        </xdr:cNvPicPr>
      </xdr:nvPicPr>
      <xdr:blipFill>
        <a:blip xmlns:r="http://schemas.openxmlformats.org/officeDocument/2006/relationships" r:embed="rId3050"/>
        <a:stretch>
          <a:fillRect/>
        </a:stretch>
      </xdr:blipFill>
      <xdr:spPr>
        <a:xfrm>
          <a:off x="7235825" y="3992092600"/>
          <a:ext cx="878840" cy="1183640"/>
        </a:xfrm>
        <a:prstGeom prst="rect">
          <a:avLst/>
        </a:prstGeom>
      </xdr:spPr>
    </xdr:pic>
    <xdr:clientData/>
  </xdr:twoCellAnchor>
  <xdr:twoCellAnchor>
    <xdr:from>
      <xdr:col>9</xdr:col>
      <xdr:colOff>6350</xdr:colOff>
      <xdr:row>4010</xdr:row>
      <xdr:rowOff>25400</xdr:rowOff>
    </xdr:from>
    <xdr:to>
      <xdr:col>9</xdr:col>
      <xdr:colOff>885190</xdr:colOff>
      <xdr:row>4010</xdr:row>
      <xdr:rowOff>1209040</xdr:rowOff>
    </xdr:to>
    <xdr:pic>
      <xdr:nvPicPr>
        <xdr:cNvPr id="8365" name="Изображение 8364" descr="resizeПП-00229823"/>
        <xdr:cNvPicPr>
          <a:picLocks noChangeAspect="1"/>
        </xdr:cNvPicPr>
      </xdr:nvPicPr>
      <xdr:blipFill>
        <a:blip xmlns:r="http://schemas.openxmlformats.org/officeDocument/2006/relationships" r:embed="rId3051"/>
        <a:stretch>
          <a:fillRect/>
        </a:stretch>
      </xdr:blipFill>
      <xdr:spPr>
        <a:xfrm>
          <a:off x="7235825" y="3993314975"/>
          <a:ext cx="878840" cy="1183640"/>
        </a:xfrm>
        <a:prstGeom prst="rect">
          <a:avLst/>
        </a:prstGeom>
      </xdr:spPr>
    </xdr:pic>
    <xdr:clientData/>
  </xdr:twoCellAnchor>
  <xdr:twoCellAnchor>
    <xdr:from>
      <xdr:col>9</xdr:col>
      <xdr:colOff>6350</xdr:colOff>
      <xdr:row>4011</xdr:row>
      <xdr:rowOff>25400</xdr:rowOff>
    </xdr:from>
    <xdr:to>
      <xdr:col>9</xdr:col>
      <xdr:colOff>885190</xdr:colOff>
      <xdr:row>4011</xdr:row>
      <xdr:rowOff>1209040</xdr:rowOff>
    </xdr:to>
    <xdr:pic>
      <xdr:nvPicPr>
        <xdr:cNvPr id="8366" name="Изображение 8365" descr="resizeПП-00229803"/>
        <xdr:cNvPicPr>
          <a:picLocks noChangeAspect="1"/>
        </xdr:cNvPicPr>
      </xdr:nvPicPr>
      <xdr:blipFill>
        <a:blip xmlns:r="http://schemas.openxmlformats.org/officeDocument/2006/relationships" r:embed="rId3052"/>
        <a:stretch>
          <a:fillRect/>
        </a:stretch>
      </xdr:blipFill>
      <xdr:spPr>
        <a:xfrm>
          <a:off x="7235825" y="3994537350"/>
          <a:ext cx="878840" cy="1183640"/>
        </a:xfrm>
        <a:prstGeom prst="rect">
          <a:avLst/>
        </a:prstGeom>
      </xdr:spPr>
    </xdr:pic>
    <xdr:clientData/>
  </xdr:twoCellAnchor>
  <xdr:twoCellAnchor>
    <xdr:from>
      <xdr:col>9</xdr:col>
      <xdr:colOff>6350</xdr:colOff>
      <xdr:row>4012</xdr:row>
      <xdr:rowOff>25400</xdr:rowOff>
    </xdr:from>
    <xdr:to>
      <xdr:col>9</xdr:col>
      <xdr:colOff>885190</xdr:colOff>
      <xdr:row>4012</xdr:row>
      <xdr:rowOff>1209040</xdr:rowOff>
    </xdr:to>
    <xdr:pic>
      <xdr:nvPicPr>
        <xdr:cNvPr id="8367" name="Изображение 8366" descr="resizeПП-00229814"/>
        <xdr:cNvPicPr>
          <a:picLocks noChangeAspect="1"/>
        </xdr:cNvPicPr>
      </xdr:nvPicPr>
      <xdr:blipFill>
        <a:blip xmlns:r="http://schemas.openxmlformats.org/officeDocument/2006/relationships" r:embed="rId3053"/>
        <a:stretch>
          <a:fillRect/>
        </a:stretch>
      </xdr:blipFill>
      <xdr:spPr>
        <a:xfrm>
          <a:off x="7235825" y="3995759725"/>
          <a:ext cx="878840" cy="1183640"/>
        </a:xfrm>
        <a:prstGeom prst="rect">
          <a:avLst/>
        </a:prstGeom>
      </xdr:spPr>
    </xdr:pic>
    <xdr:clientData/>
  </xdr:twoCellAnchor>
  <xdr:twoCellAnchor>
    <xdr:from>
      <xdr:col>9</xdr:col>
      <xdr:colOff>6350</xdr:colOff>
      <xdr:row>4015</xdr:row>
      <xdr:rowOff>25400</xdr:rowOff>
    </xdr:from>
    <xdr:to>
      <xdr:col>9</xdr:col>
      <xdr:colOff>885190</xdr:colOff>
      <xdr:row>4015</xdr:row>
      <xdr:rowOff>1209040</xdr:rowOff>
    </xdr:to>
    <xdr:pic>
      <xdr:nvPicPr>
        <xdr:cNvPr id="8368" name="Изображение 8367" descr="resizeПП-00262880"/>
        <xdr:cNvPicPr>
          <a:picLocks noChangeAspect="1"/>
        </xdr:cNvPicPr>
      </xdr:nvPicPr>
      <xdr:blipFill>
        <a:blip xmlns:r="http://schemas.openxmlformats.org/officeDocument/2006/relationships" r:embed="rId3054"/>
        <a:stretch>
          <a:fillRect/>
        </a:stretch>
      </xdr:blipFill>
      <xdr:spPr>
        <a:xfrm>
          <a:off x="7235825" y="3997286900"/>
          <a:ext cx="878840" cy="1183640"/>
        </a:xfrm>
        <a:prstGeom prst="rect">
          <a:avLst/>
        </a:prstGeom>
      </xdr:spPr>
    </xdr:pic>
    <xdr:clientData/>
  </xdr:twoCellAnchor>
  <xdr:twoCellAnchor>
    <xdr:from>
      <xdr:col>9</xdr:col>
      <xdr:colOff>6350</xdr:colOff>
      <xdr:row>4016</xdr:row>
      <xdr:rowOff>25400</xdr:rowOff>
    </xdr:from>
    <xdr:to>
      <xdr:col>9</xdr:col>
      <xdr:colOff>885190</xdr:colOff>
      <xdr:row>4016</xdr:row>
      <xdr:rowOff>1209040</xdr:rowOff>
    </xdr:to>
    <xdr:pic>
      <xdr:nvPicPr>
        <xdr:cNvPr id="8369" name="Изображение 8368" descr="resizeПП-00262876"/>
        <xdr:cNvPicPr>
          <a:picLocks noChangeAspect="1"/>
        </xdr:cNvPicPr>
      </xdr:nvPicPr>
      <xdr:blipFill>
        <a:blip xmlns:r="http://schemas.openxmlformats.org/officeDocument/2006/relationships" r:embed="rId3055"/>
        <a:stretch>
          <a:fillRect/>
        </a:stretch>
      </xdr:blipFill>
      <xdr:spPr>
        <a:xfrm>
          <a:off x="7235825" y="3998509275"/>
          <a:ext cx="878840" cy="1183640"/>
        </a:xfrm>
        <a:prstGeom prst="rect">
          <a:avLst/>
        </a:prstGeom>
      </xdr:spPr>
    </xdr:pic>
    <xdr:clientData/>
  </xdr:twoCellAnchor>
  <xdr:twoCellAnchor>
    <xdr:from>
      <xdr:col>9</xdr:col>
      <xdr:colOff>6350</xdr:colOff>
      <xdr:row>4017</xdr:row>
      <xdr:rowOff>25400</xdr:rowOff>
    </xdr:from>
    <xdr:to>
      <xdr:col>9</xdr:col>
      <xdr:colOff>885190</xdr:colOff>
      <xdr:row>4017</xdr:row>
      <xdr:rowOff>1209040</xdr:rowOff>
    </xdr:to>
    <xdr:pic>
      <xdr:nvPicPr>
        <xdr:cNvPr id="8370" name="Изображение 8369" descr="resizeПП-00262874"/>
        <xdr:cNvPicPr>
          <a:picLocks noChangeAspect="1"/>
        </xdr:cNvPicPr>
      </xdr:nvPicPr>
      <xdr:blipFill>
        <a:blip xmlns:r="http://schemas.openxmlformats.org/officeDocument/2006/relationships" r:embed="rId3056"/>
        <a:stretch>
          <a:fillRect/>
        </a:stretch>
      </xdr:blipFill>
      <xdr:spPr>
        <a:xfrm>
          <a:off x="7235825" y="3999731650"/>
          <a:ext cx="878840" cy="1183640"/>
        </a:xfrm>
        <a:prstGeom prst="rect">
          <a:avLst/>
        </a:prstGeom>
      </xdr:spPr>
    </xdr:pic>
    <xdr:clientData/>
  </xdr:twoCellAnchor>
  <xdr:twoCellAnchor>
    <xdr:from>
      <xdr:col>9</xdr:col>
      <xdr:colOff>6350</xdr:colOff>
      <xdr:row>4018</xdr:row>
      <xdr:rowOff>25400</xdr:rowOff>
    </xdr:from>
    <xdr:to>
      <xdr:col>9</xdr:col>
      <xdr:colOff>885190</xdr:colOff>
      <xdr:row>4018</xdr:row>
      <xdr:rowOff>1209040</xdr:rowOff>
    </xdr:to>
    <xdr:pic>
      <xdr:nvPicPr>
        <xdr:cNvPr id="8371" name="Изображение 8370" descr="resizeПП-00262873"/>
        <xdr:cNvPicPr>
          <a:picLocks noChangeAspect="1"/>
        </xdr:cNvPicPr>
      </xdr:nvPicPr>
      <xdr:blipFill>
        <a:blip xmlns:r="http://schemas.openxmlformats.org/officeDocument/2006/relationships" r:embed="rId3057"/>
        <a:stretch>
          <a:fillRect/>
        </a:stretch>
      </xdr:blipFill>
      <xdr:spPr>
        <a:xfrm>
          <a:off x="7235825" y="4000954025"/>
          <a:ext cx="878840" cy="1183640"/>
        </a:xfrm>
        <a:prstGeom prst="rect">
          <a:avLst/>
        </a:prstGeom>
      </xdr:spPr>
    </xdr:pic>
    <xdr:clientData/>
  </xdr:twoCellAnchor>
  <xdr:twoCellAnchor>
    <xdr:from>
      <xdr:col>9</xdr:col>
      <xdr:colOff>6350</xdr:colOff>
      <xdr:row>4019</xdr:row>
      <xdr:rowOff>25400</xdr:rowOff>
    </xdr:from>
    <xdr:to>
      <xdr:col>9</xdr:col>
      <xdr:colOff>885190</xdr:colOff>
      <xdr:row>4019</xdr:row>
      <xdr:rowOff>1209040</xdr:rowOff>
    </xdr:to>
    <xdr:pic>
      <xdr:nvPicPr>
        <xdr:cNvPr id="8372" name="Изображение 8371" descr="resizeПП-00212184"/>
        <xdr:cNvPicPr>
          <a:picLocks noChangeAspect="1"/>
        </xdr:cNvPicPr>
      </xdr:nvPicPr>
      <xdr:blipFill>
        <a:blip xmlns:r="http://schemas.openxmlformats.org/officeDocument/2006/relationships" r:embed="rId3058"/>
        <a:stretch>
          <a:fillRect/>
        </a:stretch>
      </xdr:blipFill>
      <xdr:spPr>
        <a:xfrm>
          <a:off x="7235825" y="4002176400"/>
          <a:ext cx="878840" cy="1183640"/>
        </a:xfrm>
        <a:prstGeom prst="rect">
          <a:avLst/>
        </a:prstGeom>
      </xdr:spPr>
    </xdr:pic>
    <xdr:clientData/>
  </xdr:twoCellAnchor>
  <xdr:twoCellAnchor>
    <xdr:from>
      <xdr:col>9</xdr:col>
      <xdr:colOff>6350</xdr:colOff>
      <xdr:row>4020</xdr:row>
      <xdr:rowOff>25400</xdr:rowOff>
    </xdr:from>
    <xdr:to>
      <xdr:col>9</xdr:col>
      <xdr:colOff>885190</xdr:colOff>
      <xdr:row>4020</xdr:row>
      <xdr:rowOff>1209040</xdr:rowOff>
    </xdr:to>
    <xdr:pic>
      <xdr:nvPicPr>
        <xdr:cNvPr id="8373" name="Изображение 8372" descr="resizeПП-00243329"/>
        <xdr:cNvPicPr>
          <a:picLocks noChangeAspect="1"/>
        </xdr:cNvPicPr>
      </xdr:nvPicPr>
      <xdr:blipFill>
        <a:blip xmlns:r="http://schemas.openxmlformats.org/officeDocument/2006/relationships" r:embed="rId3059"/>
        <a:stretch>
          <a:fillRect/>
        </a:stretch>
      </xdr:blipFill>
      <xdr:spPr>
        <a:xfrm>
          <a:off x="7235825" y="4003398775"/>
          <a:ext cx="878840" cy="1183640"/>
        </a:xfrm>
        <a:prstGeom prst="rect">
          <a:avLst/>
        </a:prstGeom>
      </xdr:spPr>
    </xdr:pic>
    <xdr:clientData/>
  </xdr:twoCellAnchor>
  <xdr:twoCellAnchor>
    <xdr:from>
      <xdr:col>9</xdr:col>
      <xdr:colOff>6350</xdr:colOff>
      <xdr:row>4021</xdr:row>
      <xdr:rowOff>25400</xdr:rowOff>
    </xdr:from>
    <xdr:to>
      <xdr:col>9</xdr:col>
      <xdr:colOff>885190</xdr:colOff>
      <xdr:row>4021</xdr:row>
      <xdr:rowOff>1209040</xdr:rowOff>
    </xdr:to>
    <xdr:pic>
      <xdr:nvPicPr>
        <xdr:cNvPr id="8374" name="Изображение 8373" descr="resizeПП-00243325"/>
        <xdr:cNvPicPr>
          <a:picLocks noChangeAspect="1"/>
        </xdr:cNvPicPr>
      </xdr:nvPicPr>
      <xdr:blipFill>
        <a:blip xmlns:r="http://schemas.openxmlformats.org/officeDocument/2006/relationships" r:embed="rId3060"/>
        <a:stretch>
          <a:fillRect/>
        </a:stretch>
      </xdr:blipFill>
      <xdr:spPr>
        <a:xfrm>
          <a:off x="7235825" y="4004621150"/>
          <a:ext cx="878840" cy="1183640"/>
        </a:xfrm>
        <a:prstGeom prst="rect">
          <a:avLst/>
        </a:prstGeom>
      </xdr:spPr>
    </xdr:pic>
    <xdr:clientData/>
  </xdr:twoCellAnchor>
  <xdr:twoCellAnchor>
    <xdr:from>
      <xdr:col>9</xdr:col>
      <xdr:colOff>6350</xdr:colOff>
      <xdr:row>4022</xdr:row>
      <xdr:rowOff>25400</xdr:rowOff>
    </xdr:from>
    <xdr:to>
      <xdr:col>9</xdr:col>
      <xdr:colOff>885190</xdr:colOff>
      <xdr:row>4022</xdr:row>
      <xdr:rowOff>1209040</xdr:rowOff>
    </xdr:to>
    <xdr:pic>
      <xdr:nvPicPr>
        <xdr:cNvPr id="8375" name="Изображение 8374" descr="resizeПП-00243323"/>
        <xdr:cNvPicPr>
          <a:picLocks noChangeAspect="1"/>
        </xdr:cNvPicPr>
      </xdr:nvPicPr>
      <xdr:blipFill>
        <a:blip xmlns:r="http://schemas.openxmlformats.org/officeDocument/2006/relationships" r:embed="rId3061"/>
        <a:stretch>
          <a:fillRect/>
        </a:stretch>
      </xdr:blipFill>
      <xdr:spPr>
        <a:xfrm>
          <a:off x="7235825" y="4005843525"/>
          <a:ext cx="878840" cy="1183640"/>
        </a:xfrm>
        <a:prstGeom prst="rect">
          <a:avLst/>
        </a:prstGeom>
      </xdr:spPr>
    </xdr:pic>
    <xdr:clientData/>
  </xdr:twoCellAnchor>
  <xdr:twoCellAnchor>
    <xdr:from>
      <xdr:col>9</xdr:col>
      <xdr:colOff>6350</xdr:colOff>
      <xdr:row>4024</xdr:row>
      <xdr:rowOff>25400</xdr:rowOff>
    </xdr:from>
    <xdr:to>
      <xdr:col>9</xdr:col>
      <xdr:colOff>885190</xdr:colOff>
      <xdr:row>4024</xdr:row>
      <xdr:rowOff>1209040</xdr:rowOff>
    </xdr:to>
    <xdr:pic>
      <xdr:nvPicPr>
        <xdr:cNvPr id="8376" name="Изображение 8375" descr="resizeПП-00263219"/>
        <xdr:cNvPicPr>
          <a:picLocks noChangeAspect="1"/>
        </xdr:cNvPicPr>
      </xdr:nvPicPr>
      <xdr:blipFill>
        <a:blip xmlns:r="http://schemas.openxmlformats.org/officeDocument/2006/relationships" r:embed="rId3062"/>
        <a:stretch>
          <a:fillRect/>
        </a:stretch>
      </xdr:blipFill>
      <xdr:spPr>
        <a:xfrm>
          <a:off x="7235825" y="4007218300"/>
          <a:ext cx="878840" cy="1183640"/>
        </a:xfrm>
        <a:prstGeom prst="rect">
          <a:avLst/>
        </a:prstGeom>
      </xdr:spPr>
    </xdr:pic>
    <xdr:clientData/>
  </xdr:twoCellAnchor>
  <xdr:twoCellAnchor>
    <xdr:from>
      <xdr:col>9</xdr:col>
      <xdr:colOff>6350</xdr:colOff>
      <xdr:row>4025</xdr:row>
      <xdr:rowOff>25400</xdr:rowOff>
    </xdr:from>
    <xdr:to>
      <xdr:col>9</xdr:col>
      <xdr:colOff>885190</xdr:colOff>
      <xdr:row>4025</xdr:row>
      <xdr:rowOff>1209040</xdr:rowOff>
    </xdr:to>
    <xdr:pic>
      <xdr:nvPicPr>
        <xdr:cNvPr id="8377" name="Изображение 8376" descr="resizeПП-00263221"/>
        <xdr:cNvPicPr>
          <a:picLocks noChangeAspect="1"/>
        </xdr:cNvPicPr>
      </xdr:nvPicPr>
      <xdr:blipFill>
        <a:blip xmlns:r="http://schemas.openxmlformats.org/officeDocument/2006/relationships" r:embed="rId3063"/>
        <a:stretch>
          <a:fillRect/>
        </a:stretch>
      </xdr:blipFill>
      <xdr:spPr>
        <a:xfrm>
          <a:off x="7235825" y="4008440675"/>
          <a:ext cx="878840" cy="1183640"/>
        </a:xfrm>
        <a:prstGeom prst="rect">
          <a:avLst/>
        </a:prstGeom>
      </xdr:spPr>
    </xdr:pic>
    <xdr:clientData/>
  </xdr:twoCellAnchor>
  <xdr:twoCellAnchor>
    <xdr:from>
      <xdr:col>9</xdr:col>
      <xdr:colOff>6350</xdr:colOff>
      <xdr:row>4026</xdr:row>
      <xdr:rowOff>25400</xdr:rowOff>
    </xdr:from>
    <xdr:to>
      <xdr:col>9</xdr:col>
      <xdr:colOff>885190</xdr:colOff>
      <xdr:row>4026</xdr:row>
      <xdr:rowOff>1209040</xdr:rowOff>
    </xdr:to>
    <xdr:pic>
      <xdr:nvPicPr>
        <xdr:cNvPr id="8378" name="Изображение 8377" descr="resizeПП-00263220"/>
        <xdr:cNvPicPr>
          <a:picLocks noChangeAspect="1"/>
        </xdr:cNvPicPr>
      </xdr:nvPicPr>
      <xdr:blipFill>
        <a:blip xmlns:r="http://schemas.openxmlformats.org/officeDocument/2006/relationships" r:embed="rId3064"/>
        <a:stretch>
          <a:fillRect/>
        </a:stretch>
      </xdr:blipFill>
      <xdr:spPr>
        <a:xfrm>
          <a:off x="7235825" y="4009663050"/>
          <a:ext cx="878840" cy="1183640"/>
        </a:xfrm>
        <a:prstGeom prst="rect">
          <a:avLst/>
        </a:prstGeom>
      </xdr:spPr>
    </xdr:pic>
    <xdr:clientData/>
  </xdr:twoCellAnchor>
  <xdr:twoCellAnchor>
    <xdr:from>
      <xdr:col>9</xdr:col>
      <xdr:colOff>6350</xdr:colOff>
      <xdr:row>4027</xdr:row>
      <xdr:rowOff>25400</xdr:rowOff>
    </xdr:from>
    <xdr:to>
      <xdr:col>9</xdr:col>
      <xdr:colOff>885190</xdr:colOff>
      <xdr:row>4027</xdr:row>
      <xdr:rowOff>1209040</xdr:rowOff>
    </xdr:to>
    <xdr:pic>
      <xdr:nvPicPr>
        <xdr:cNvPr id="8379" name="Изображение 8378" descr="resizeПП-00263218"/>
        <xdr:cNvPicPr>
          <a:picLocks noChangeAspect="1"/>
        </xdr:cNvPicPr>
      </xdr:nvPicPr>
      <xdr:blipFill>
        <a:blip xmlns:r="http://schemas.openxmlformats.org/officeDocument/2006/relationships" r:embed="rId3065"/>
        <a:stretch>
          <a:fillRect/>
        </a:stretch>
      </xdr:blipFill>
      <xdr:spPr>
        <a:xfrm>
          <a:off x="7235825" y="4010885425"/>
          <a:ext cx="878840" cy="1183640"/>
        </a:xfrm>
        <a:prstGeom prst="rect">
          <a:avLst/>
        </a:prstGeom>
      </xdr:spPr>
    </xdr:pic>
    <xdr:clientData/>
  </xdr:twoCellAnchor>
  <xdr:twoCellAnchor>
    <xdr:from>
      <xdr:col>9</xdr:col>
      <xdr:colOff>6350</xdr:colOff>
      <xdr:row>4031</xdr:row>
      <xdr:rowOff>25400</xdr:rowOff>
    </xdr:from>
    <xdr:to>
      <xdr:col>9</xdr:col>
      <xdr:colOff>885190</xdr:colOff>
      <xdr:row>4031</xdr:row>
      <xdr:rowOff>1209040</xdr:rowOff>
    </xdr:to>
    <xdr:pic>
      <xdr:nvPicPr>
        <xdr:cNvPr id="8380" name="Изображение 8379" descr="resizeПП-00221726"/>
        <xdr:cNvPicPr>
          <a:picLocks noChangeAspect="1"/>
        </xdr:cNvPicPr>
      </xdr:nvPicPr>
      <xdr:blipFill>
        <a:blip xmlns:r="http://schemas.openxmlformats.org/officeDocument/2006/relationships" r:embed="rId2860"/>
        <a:stretch>
          <a:fillRect/>
        </a:stretch>
      </xdr:blipFill>
      <xdr:spPr>
        <a:xfrm>
          <a:off x="7235825" y="4012565000"/>
          <a:ext cx="878840" cy="1183640"/>
        </a:xfrm>
        <a:prstGeom prst="rect">
          <a:avLst/>
        </a:prstGeom>
      </xdr:spPr>
    </xdr:pic>
    <xdr:clientData/>
  </xdr:twoCellAnchor>
  <xdr:twoCellAnchor>
    <xdr:from>
      <xdr:col>9</xdr:col>
      <xdr:colOff>6350</xdr:colOff>
      <xdr:row>4032</xdr:row>
      <xdr:rowOff>25400</xdr:rowOff>
    </xdr:from>
    <xdr:to>
      <xdr:col>9</xdr:col>
      <xdr:colOff>885190</xdr:colOff>
      <xdr:row>4032</xdr:row>
      <xdr:rowOff>1209040</xdr:rowOff>
    </xdr:to>
    <xdr:pic>
      <xdr:nvPicPr>
        <xdr:cNvPr id="8381" name="Изображение 8380" descr="resizeПП-00221723"/>
        <xdr:cNvPicPr>
          <a:picLocks noChangeAspect="1"/>
        </xdr:cNvPicPr>
      </xdr:nvPicPr>
      <xdr:blipFill>
        <a:blip xmlns:r="http://schemas.openxmlformats.org/officeDocument/2006/relationships" r:embed="rId2861"/>
        <a:stretch>
          <a:fillRect/>
        </a:stretch>
      </xdr:blipFill>
      <xdr:spPr>
        <a:xfrm>
          <a:off x="7235825" y="4013787375"/>
          <a:ext cx="878840" cy="1183640"/>
        </a:xfrm>
        <a:prstGeom prst="rect">
          <a:avLst/>
        </a:prstGeom>
      </xdr:spPr>
    </xdr:pic>
    <xdr:clientData/>
  </xdr:twoCellAnchor>
  <xdr:twoCellAnchor>
    <xdr:from>
      <xdr:col>9</xdr:col>
      <xdr:colOff>6350</xdr:colOff>
      <xdr:row>4033</xdr:row>
      <xdr:rowOff>25400</xdr:rowOff>
    </xdr:from>
    <xdr:to>
      <xdr:col>9</xdr:col>
      <xdr:colOff>885190</xdr:colOff>
      <xdr:row>4033</xdr:row>
      <xdr:rowOff>1209040</xdr:rowOff>
    </xdr:to>
    <xdr:pic>
      <xdr:nvPicPr>
        <xdr:cNvPr id="8382" name="Изображение 8381" descr="resizeПП-00221725"/>
        <xdr:cNvPicPr>
          <a:picLocks noChangeAspect="1"/>
        </xdr:cNvPicPr>
      </xdr:nvPicPr>
      <xdr:blipFill>
        <a:blip xmlns:r="http://schemas.openxmlformats.org/officeDocument/2006/relationships" r:embed="rId2862"/>
        <a:stretch>
          <a:fillRect/>
        </a:stretch>
      </xdr:blipFill>
      <xdr:spPr>
        <a:xfrm>
          <a:off x="7235825" y="4015009750"/>
          <a:ext cx="878840" cy="1183640"/>
        </a:xfrm>
        <a:prstGeom prst="rect">
          <a:avLst/>
        </a:prstGeom>
      </xdr:spPr>
    </xdr:pic>
    <xdr:clientData/>
  </xdr:twoCellAnchor>
  <xdr:twoCellAnchor>
    <xdr:from>
      <xdr:col>9</xdr:col>
      <xdr:colOff>6350</xdr:colOff>
      <xdr:row>4035</xdr:row>
      <xdr:rowOff>25400</xdr:rowOff>
    </xdr:from>
    <xdr:to>
      <xdr:col>9</xdr:col>
      <xdr:colOff>885190</xdr:colOff>
      <xdr:row>4035</xdr:row>
      <xdr:rowOff>1209040</xdr:rowOff>
    </xdr:to>
    <xdr:pic>
      <xdr:nvPicPr>
        <xdr:cNvPr id="8383" name="Изображение 8382" descr="resizeПП-00221721"/>
        <xdr:cNvPicPr>
          <a:picLocks noChangeAspect="1"/>
        </xdr:cNvPicPr>
      </xdr:nvPicPr>
      <xdr:blipFill>
        <a:blip xmlns:r="http://schemas.openxmlformats.org/officeDocument/2006/relationships" r:embed="rId3066"/>
        <a:stretch>
          <a:fillRect/>
        </a:stretch>
      </xdr:blipFill>
      <xdr:spPr>
        <a:xfrm>
          <a:off x="7235825" y="4016384525"/>
          <a:ext cx="878840" cy="1183640"/>
        </a:xfrm>
        <a:prstGeom prst="rect">
          <a:avLst/>
        </a:prstGeom>
      </xdr:spPr>
    </xdr:pic>
    <xdr:clientData/>
  </xdr:twoCellAnchor>
  <xdr:twoCellAnchor>
    <xdr:from>
      <xdr:col>9</xdr:col>
      <xdr:colOff>6350</xdr:colOff>
      <xdr:row>4036</xdr:row>
      <xdr:rowOff>25400</xdr:rowOff>
    </xdr:from>
    <xdr:to>
      <xdr:col>9</xdr:col>
      <xdr:colOff>885190</xdr:colOff>
      <xdr:row>4036</xdr:row>
      <xdr:rowOff>1209040</xdr:rowOff>
    </xdr:to>
    <xdr:pic>
      <xdr:nvPicPr>
        <xdr:cNvPr id="8384" name="Изображение 8383" descr="resizeПП-00221717"/>
        <xdr:cNvPicPr>
          <a:picLocks noChangeAspect="1"/>
        </xdr:cNvPicPr>
      </xdr:nvPicPr>
      <xdr:blipFill>
        <a:blip xmlns:r="http://schemas.openxmlformats.org/officeDocument/2006/relationships" r:embed="rId3067"/>
        <a:stretch>
          <a:fillRect/>
        </a:stretch>
      </xdr:blipFill>
      <xdr:spPr>
        <a:xfrm>
          <a:off x="7235825" y="4017606900"/>
          <a:ext cx="878840" cy="1183640"/>
        </a:xfrm>
        <a:prstGeom prst="rect">
          <a:avLst/>
        </a:prstGeom>
      </xdr:spPr>
    </xdr:pic>
    <xdr:clientData/>
  </xdr:twoCellAnchor>
  <xdr:twoCellAnchor>
    <xdr:from>
      <xdr:col>9</xdr:col>
      <xdr:colOff>6350</xdr:colOff>
      <xdr:row>4037</xdr:row>
      <xdr:rowOff>25400</xdr:rowOff>
    </xdr:from>
    <xdr:to>
      <xdr:col>9</xdr:col>
      <xdr:colOff>885190</xdr:colOff>
      <xdr:row>4037</xdr:row>
      <xdr:rowOff>1209040</xdr:rowOff>
    </xdr:to>
    <xdr:pic>
      <xdr:nvPicPr>
        <xdr:cNvPr id="8385" name="Изображение 8384" descr="resizeПП-00221719"/>
        <xdr:cNvPicPr>
          <a:picLocks noChangeAspect="1"/>
        </xdr:cNvPicPr>
      </xdr:nvPicPr>
      <xdr:blipFill>
        <a:blip xmlns:r="http://schemas.openxmlformats.org/officeDocument/2006/relationships" r:embed="rId2863"/>
        <a:stretch>
          <a:fillRect/>
        </a:stretch>
      </xdr:blipFill>
      <xdr:spPr>
        <a:xfrm>
          <a:off x="7235825" y="4018829275"/>
          <a:ext cx="878840" cy="1183640"/>
        </a:xfrm>
        <a:prstGeom prst="rect">
          <a:avLst/>
        </a:prstGeom>
      </xdr:spPr>
    </xdr:pic>
    <xdr:clientData/>
  </xdr:twoCellAnchor>
  <xdr:twoCellAnchor>
    <xdr:from>
      <xdr:col>9</xdr:col>
      <xdr:colOff>6350</xdr:colOff>
      <xdr:row>4038</xdr:row>
      <xdr:rowOff>25400</xdr:rowOff>
    </xdr:from>
    <xdr:to>
      <xdr:col>9</xdr:col>
      <xdr:colOff>885190</xdr:colOff>
      <xdr:row>4038</xdr:row>
      <xdr:rowOff>1209040</xdr:rowOff>
    </xdr:to>
    <xdr:pic>
      <xdr:nvPicPr>
        <xdr:cNvPr id="8386" name="Изображение 8385" descr="resizeПП-00234205"/>
        <xdr:cNvPicPr>
          <a:picLocks noChangeAspect="1"/>
        </xdr:cNvPicPr>
      </xdr:nvPicPr>
      <xdr:blipFill>
        <a:blip xmlns:r="http://schemas.openxmlformats.org/officeDocument/2006/relationships" r:embed="rId3068"/>
        <a:stretch>
          <a:fillRect/>
        </a:stretch>
      </xdr:blipFill>
      <xdr:spPr>
        <a:xfrm>
          <a:off x="7235825" y="4020051650"/>
          <a:ext cx="878840" cy="1183640"/>
        </a:xfrm>
        <a:prstGeom prst="rect">
          <a:avLst/>
        </a:prstGeom>
      </xdr:spPr>
    </xdr:pic>
    <xdr:clientData/>
  </xdr:twoCellAnchor>
  <xdr:twoCellAnchor>
    <xdr:from>
      <xdr:col>9</xdr:col>
      <xdr:colOff>6350</xdr:colOff>
      <xdr:row>4039</xdr:row>
      <xdr:rowOff>25400</xdr:rowOff>
    </xdr:from>
    <xdr:to>
      <xdr:col>9</xdr:col>
      <xdr:colOff>885190</xdr:colOff>
      <xdr:row>4039</xdr:row>
      <xdr:rowOff>1209040</xdr:rowOff>
    </xdr:to>
    <xdr:pic>
      <xdr:nvPicPr>
        <xdr:cNvPr id="8387" name="Изображение 8386" descr="resizeПП-00234236"/>
        <xdr:cNvPicPr>
          <a:picLocks noChangeAspect="1"/>
        </xdr:cNvPicPr>
      </xdr:nvPicPr>
      <xdr:blipFill>
        <a:blip xmlns:r="http://schemas.openxmlformats.org/officeDocument/2006/relationships" r:embed="rId3069"/>
        <a:stretch>
          <a:fillRect/>
        </a:stretch>
      </xdr:blipFill>
      <xdr:spPr>
        <a:xfrm>
          <a:off x="7235825" y="4021274025"/>
          <a:ext cx="878840" cy="1183640"/>
        </a:xfrm>
        <a:prstGeom prst="rect">
          <a:avLst/>
        </a:prstGeom>
      </xdr:spPr>
    </xdr:pic>
    <xdr:clientData/>
  </xdr:twoCellAnchor>
  <xdr:twoCellAnchor>
    <xdr:from>
      <xdr:col>9</xdr:col>
      <xdr:colOff>6350</xdr:colOff>
      <xdr:row>4040</xdr:row>
      <xdr:rowOff>25400</xdr:rowOff>
    </xdr:from>
    <xdr:to>
      <xdr:col>9</xdr:col>
      <xdr:colOff>885190</xdr:colOff>
      <xdr:row>4040</xdr:row>
      <xdr:rowOff>1209040</xdr:rowOff>
    </xdr:to>
    <xdr:pic>
      <xdr:nvPicPr>
        <xdr:cNvPr id="8388" name="Изображение 8387" descr="resizeПП-00234237"/>
        <xdr:cNvPicPr>
          <a:picLocks noChangeAspect="1"/>
        </xdr:cNvPicPr>
      </xdr:nvPicPr>
      <xdr:blipFill>
        <a:blip xmlns:r="http://schemas.openxmlformats.org/officeDocument/2006/relationships" r:embed="rId3070"/>
        <a:stretch>
          <a:fillRect/>
        </a:stretch>
      </xdr:blipFill>
      <xdr:spPr>
        <a:xfrm>
          <a:off x="7235825" y="4022496400"/>
          <a:ext cx="878840" cy="1183640"/>
        </a:xfrm>
        <a:prstGeom prst="rect">
          <a:avLst/>
        </a:prstGeom>
      </xdr:spPr>
    </xdr:pic>
    <xdr:clientData/>
  </xdr:twoCellAnchor>
  <xdr:twoCellAnchor>
    <xdr:from>
      <xdr:col>9</xdr:col>
      <xdr:colOff>6350</xdr:colOff>
      <xdr:row>4041</xdr:row>
      <xdr:rowOff>25400</xdr:rowOff>
    </xdr:from>
    <xdr:to>
      <xdr:col>9</xdr:col>
      <xdr:colOff>885190</xdr:colOff>
      <xdr:row>4041</xdr:row>
      <xdr:rowOff>1209040</xdr:rowOff>
    </xdr:to>
    <xdr:pic>
      <xdr:nvPicPr>
        <xdr:cNvPr id="8389" name="Изображение 8388" descr="resizeПП-00234235"/>
        <xdr:cNvPicPr>
          <a:picLocks noChangeAspect="1"/>
        </xdr:cNvPicPr>
      </xdr:nvPicPr>
      <xdr:blipFill>
        <a:blip xmlns:r="http://schemas.openxmlformats.org/officeDocument/2006/relationships" r:embed="rId3071"/>
        <a:stretch>
          <a:fillRect/>
        </a:stretch>
      </xdr:blipFill>
      <xdr:spPr>
        <a:xfrm>
          <a:off x="7235825" y="4023718775"/>
          <a:ext cx="878840" cy="1183640"/>
        </a:xfrm>
        <a:prstGeom prst="rect">
          <a:avLst/>
        </a:prstGeom>
      </xdr:spPr>
    </xdr:pic>
    <xdr:clientData/>
  </xdr:twoCellAnchor>
  <xdr:twoCellAnchor>
    <xdr:from>
      <xdr:col>9</xdr:col>
      <xdr:colOff>6350</xdr:colOff>
      <xdr:row>4042</xdr:row>
      <xdr:rowOff>25400</xdr:rowOff>
    </xdr:from>
    <xdr:to>
      <xdr:col>9</xdr:col>
      <xdr:colOff>885190</xdr:colOff>
      <xdr:row>4042</xdr:row>
      <xdr:rowOff>1209040</xdr:rowOff>
    </xdr:to>
    <xdr:pic>
      <xdr:nvPicPr>
        <xdr:cNvPr id="8390" name="Изображение 8389" descr="resizeПП-00234234"/>
        <xdr:cNvPicPr>
          <a:picLocks noChangeAspect="1"/>
        </xdr:cNvPicPr>
      </xdr:nvPicPr>
      <xdr:blipFill>
        <a:blip xmlns:r="http://schemas.openxmlformats.org/officeDocument/2006/relationships" r:embed="rId3072"/>
        <a:stretch>
          <a:fillRect/>
        </a:stretch>
      </xdr:blipFill>
      <xdr:spPr>
        <a:xfrm>
          <a:off x="7235825" y="4024941150"/>
          <a:ext cx="878840" cy="1183640"/>
        </a:xfrm>
        <a:prstGeom prst="rect">
          <a:avLst/>
        </a:prstGeom>
      </xdr:spPr>
    </xdr:pic>
    <xdr:clientData/>
  </xdr:twoCellAnchor>
  <xdr:twoCellAnchor>
    <xdr:from>
      <xdr:col>9</xdr:col>
      <xdr:colOff>6350</xdr:colOff>
      <xdr:row>4043</xdr:row>
      <xdr:rowOff>25400</xdr:rowOff>
    </xdr:from>
    <xdr:to>
      <xdr:col>9</xdr:col>
      <xdr:colOff>885190</xdr:colOff>
      <xdr:row>4043</xdr:row>
      <xdr:rowOff>1209040</xdr:rowOff>
    </xdr:to>
    <xdr:pic>
      <xdr:nvPicPr>
        <xdr:cNvPr id="8391" name="Изображение 8390" descr="resizeПП-00234243"/>
        <xdr:cNvPicPr>
          <a:picLocks noChangeAspect="1"/>
        </xdr:cNvPicPr>
      </xdr:nvPicPr>
      <xdr:blipFill>
        <a:blip xmlns:r="http://schemas.openxmlformats.org/officeDocument/2006/relationships" r:embed="rId3073"/>
        <a:stretch>
          <a:fillRect/>
        </a:stretch>
      </xdr:blipFill>
      <xdr:spPr>
        <a:xfrm>
          <a:off x="7235825" y="4026163525"/>
          <a:ext cx="878840" cy="1183640"/>
        </a:xfrm>
        <a:prstGeom prst="rect">
          <a:avLst/>
        </a:prstGeom>
      </xdr:spPr>
    </xdr:pic>
    <xdr:clientData/>
  </xdr:twoCellAnchor>
  <xdr:twoCellAnchor>
    <xdr:from>
      <xdr:col>9</xdr:col>
      <xdr:colOff>6350</xdr:colOff>
      <xdr:row>4044</xdr:row>
      <xdr:rowOff>25400</xdr:rowOff>
    </xdr:from>
    <xdr:to>
      <xdr:col>9</xdr:col>
      <xdr:colOff>885190</xdr:colOff>
      <xdr:row>4044</xdr:row>
      <xdr:rowOff>1209040</xdr:rowOff>
    </xdr:to>
    <xdr:pic>
      <xdr:nvPicPr>
        <xdr:cNvPr id="8392" name="Изображение 8391" descr="resizeПП-00234244"/>
        <xdr:cNvPicPr>
          <a:picLocks noChangeAspect="1"/>
        </xdr:cNvPicPr>
      </xdr:nvPicPr>
      <xdr:blipFill>
        <a:blip xmlns:r="http://schemas.openxmlformats.org/officeDocument/2006/relationships" r:embed="rId3074"/>
        <a:stretch>
          <a:fillRect/>
        </a:stretch>
      </xdr:blipFill>
      <xdr:spPr>
        <a:xfrm>
          <a:off x="7235825" y="4027385900"/>
          <a:ext cx="878840" cy="1183640"/>
        </a:xfrm>
        <a:prstGeom prst="rect">
          <a:avLst/>
        </a:prstGeom>
      </xdr:spPr>
    </xdr:pic>
    <xdr:clientData/>
  </xdr:twoCellAnchor>
  <xdr:twoCellAnchor>
    <xdr:from>
      <xdr:col>9</xdr:col>
      <xdr:colOff>6350</xdr:colOff>
      <xdr:row>4045</xdr:row>
      <xdr:rowOff>25400</xdr:rowOff>
    </xdr:from>
    <xdr:to>
      <xdr:col>9</xdr:col>
      <xdr:colOff>885190</xdr:colOff>
      <xdr:row>4045</xdr:row>
      <xdr:rowOff>1209040</xdr:rowOff>
    </xdr:to>
    <xdr:pic>
      <xdr:nvPicPr>
        <xdr:cNvPr id="8393" name="Изображение 8392" descr="resizeПП-00234245"/>
        <xdr:cNvPicPr>
          <a:picLocks noChangeAspect="1"/>
        </xdr:cNvPicPr>
      </xdr:nvPicPr>
      <xdr:blipFill>
        <a:blip xmlns:r="http://schemas.openxmlformats.org/officeDocument/2006/relationships" r:embed="rId3075"/>
        <a:stretch>
          <a:fillRect/>
        </a:stretch>
      </xdr:blipFill>
      <xdr:spPr>
        <a:xfrm>
          <a:off x="7235825" y="4028608275"/>
          <a:ext cx="878840" cy="1183640"/>
        </a:xfrm>
        <a:prstGeom prst="rect">
          <a:avLst/>
        </a:prstGeom>
      </xdr:spPr>
    </xdr:pic>
    <xdr:clientData/>
  </xdr:twoCellAnchor>
  <xdr:twoCellAnchor>
    <xdr:from>
      <xdr:col>9</xdr:col>
      <xdr:colOff>6350</xdr:colOff>
      <xdr:row>4046</xdr:row>
      <xdr:rowOff>25400</xdr:rowOff>
    </xdr:from>
    <xdr:to>
      <xdr:col>9</xdr:col>
      <xdr:colOff>885190</xdr:colOff>
      <xdr:row>4046</xdr:row>
      <xdr:rowOff>1209040</xdr:rowOff>
    </xdr:to>
    <xdr:pic>
      <xdr:nvPicPr>
        <xdr:cNvPr id="8394" name="Изображение 8393" descr="resizeПП-00234208"/>
        <xdr:cNvPicPr>
          <a:picLocks noChangeAspect="1"/>
        </xdr:cNvPicPr>
      </xdr:nvPicPr>
      <xdr:blipFill>
        <a:blip xmlns:r="http://schemas.openxmlformats.org/officeDocument/2006/relationships" r:embed="rId3076"/>
        <a:stretch>
          <a:fillRect/>
        </a:stretch>
      </xdr:blipFill>
      <xdr:spPr>
        <a:xfrm>
          <a:off x="7235825" y="4029830650"/>
          <a:ext cx="878840" cy="1183640"/>
        </a:xfrm>
        <a:prstGeom prst="rect">
          <a:avLst/>
        </a:prstGeom>
      </xdr:spPr>
    </xdr:pic>
    <xdr:clientData/>
  </xdr:twoCellAnchor>
  <xdr:twoCellAnchor>
    <xdr:from>
      <xdr:col>9</xdr:col>
      <xdr:colOff>6350</xdr:colOff>
      <xdr:row>4047</xdr:row>
      <xdr:rowOff>25400</xdr:rowOff>
    </xdr:from>
    <xdr:to>
      <xdr:col>9</xdr:col>
      <xdr:colOff>885190</xdr:colOff>
      <xdr:row>4047</xdr:row>
      <xdr:rowOff>1209040</xdr:rowOff>
    </xdr:to>
    <xdr:pic>
      <xdr:nvPicPr>
        <xdr:cNvPr id="8395" name="Изображение 8394" descr="resizeПП-00234238"/>
        <xdr:cNvPicPr>
          <a:picLocks noChangeAspect="1"/>
        </xdr:cNvPicPr>
      </xdr:nvPicPr>
      <xdr:blipFill>
        <a:blip xmlns:r="http://schemas.openxmlformats.org/officeDocument/2006/relationships" r:embed="rId3077"/>
        <a:stretch>
          <a:fillRect/>
        </a:stretch>
      </xdr:blipFill>
      <xdr:spPr>
        <a:xfrm>
          <a:off x="7235825" y="4031053025"/>
          <a:ext cx="878840" cy="1183640"/>
        </a:xfrm>
        <a:prstGeom prst="rect">
          <a:avLst/>
        </a:prstGeom>
      </xdr:spPr>
    </xdr:pic>
    <xdr:clientData/>
  </xdr:twoCellAnchor>
  <xdr:twoCellAnchor>
    <xdr:from>
      <xdr:col>9</xdr:col>
      <xdr:colOff>6350</xdr:colOff>
      <xdr:row>4048</xdr:row>
      <xdr:rowOff>25400</xdr:rowOff>
    </xdr:from>
    <xdr:to>
      <xdr:col>9</xdr:col>
      <xdr:colOff>885190</xdr:colOff>
      <xdr:row>4048</xdr:row>
      <xdr:rowOff>1209040</xdr:rowOff>
    </xdr:to>
    <xdr:pic>
      <xdr:nvPicPr>
        <xdr:cNvPr id="8396" name="Изображение 8395" descr="resizeПП-00234232"/>
        <xdr:cNvPicPr>
          <a:picLocks noChangeAspect="1"/>
        </xdr:cNvPicPr>
      </xdr:nvPicPr>
      <xdr:blipFill>
        <a:blip xmlns:r="http://schemas.openxmlformats.org/officeDocument/2006/relationships" r:embed="rId3078"/>
        <a:stretch>
          <a:fillRect/>
        </a:stretch>
      </xdr:blipFill>
      <xdr:spPr>
        <a:xfrm>
          <a:off x="7235825" y="4032275400"/>
          <a:ext cx="878840" cy="1183640"/>
        </a:xfrm>
        <a:prstGeom prst="rect">
          <a:avLst/>
        </a:prstGeom>
      </xdr:spPr>
    </xdr:pic>
    <xdr:clientData/>
  </xdr:twoCellAnchor>
  <xdr:twoCellAnchor>
    <xdr:from>
      <xdr:col>9</xdr:col>
      <xdr:colOff>6350</xdr:colOff>
      <xdr:row>4049</xdr:row>
      <xdr:rowOff>25400</xdr:rowOff>
    </xdr:from>
    <xdr:to>
      <xdr:col>9</xdr:col>
      <xdr:colOff>885190</xdr:colOff>
      <xdr:row>4049</xdr:row>
      <xdr:rowOff>1209040</xdr:rowOff>
    </xdr:to>
    <xdr:pic>
      <xdr:nvPicPr>
        <xdr:cNvPr id="8397" name="Изображение 8396" descr="resizeПП-00234239"/>
        <xdr:cNvPicPr>
          <a:picLocks noChangeAspect="1"/>
        </xdr:cNvPicPr>
      </xdr:nvPicPr>
      <xdr:blipFill>
        <a:blip xmlns:r="http://schemas.openxmlformats.org/officeDocument/2006/relationships" r:embed="rId3079"/>
        <a:stretch>
          <a:fillRect/>
        </a:stretch>
      </xdr:blipFill>
      <xdr:spPr>
        <a:xfrm>
          <a:off x="7235825" y="4033497775"/>
          <a:ext cx="878840" cy="1183640"/>
        </a:xfrm>
        <a:prstGeom prst="rect">
          <a:avLst/>
        </a:prstGeom>
      </xdr:spPr>
    </xdr:pic>
    <xdr:clientData/>
  </xdr:twoCellAnchor>
  <xdr:twoCellAnchor>
    <xdr:from>
      <xdr:col>9</xdr:col>
      <xdr:colOff>6350</xdr:colOff>
      <xdr:row>4050</xdr:row>
      <xdr:rowOff>25400</xdr:rowOff>
    </xdr:from>
    <xdr:to>
      <xdr:col>9</xdr:col>
      <xdr:colOff>885190</xdr:colOff>
      <xdr:row>4050</xdr:row>
      <xdr:rowOff>1209040</xdr:rowOff>
    </xdr:to>
    <xdr:pic>
      <xdr:nvPicPr>
        <xdr:cNvPr id="8398" name="Изображение 8397" descr="resizeПП-00234231"/>
        <xdr:cNvPicPr>
          <a:picLocks noChangeAspect="1"/>
        </xdr:cNvPicPr>
      </xdr:nvPicPr>
      <xdr:blipFill>
        <a:blip xmlns:r="http://schemas.openxmlformats.org/officeDocument/2006/relationships" r:embed="rId2879"/>
        <a:stretch>
          <a:fillRect/>
        </a:stretch>
      </xdr:blipFill>
      <xdr:spPr>
        <a:xfrm>
          <a:off x="7235825" y="4034720150"/>
          <a:ext cx="878840" cy="1183640"/>
        </a:xfrm>
        <a:prstGeom prst="rect">
          <a:avLst/>
        </a:prstGeom>
      </xdr:spPr>
    </xdr:pic>
    <xdr:clientData/>
  </xdr:twoCellAnchor>
  <xdr:twoCellAnchor>
    <xdr:from>
      <xdr:col>9</xdr:col>
      <xdr:colOff>6350</xdr:colOff>
      <xdr:row>4051</xdr:row>
      <xdr:rowOff>25400</xdr:rowOff>
    </xdr:from>
    <xdr:to>
      <xdr:col>9</xdr:col>
      <xdr:colOff>885190</xdr:colOff>
      <xdr:row>4051</xdr:row>
      <xdr:rowOff>1209040</xdr:rowOff>
    </xdr:to>
    <xdr:pic>
      <xdr:nvPicPr>
        <xdr:cNvPr id="8399" name="Изображение 8398" descr="resizeПП-00234233"/>
        <xdr:cNvPicPr>
          <a:picLocks noChangeAspect="1"/>
        </xdr:cNvPicPr>
      </xdr:nvPicPr>
      <xdr:blipFill>
        <a:blip xmlns:r="http://schemas.openxmlformats.org/officeDocument/2006/relationships" r:embed="rId3080"/>
        <a:stretch>
          <a:fillRect/>
        </a:stretch>
      </xdr:blipFill>
      <xdr:spPr>
        <a:xfrm>
          <a:off x="7235825" y="4035942525"/>
          <a:ext cx="878840" cy="1183640"/>
        </a:xfrm>
        <a:prstGeom prst="rect">
          <a:avLst/>
        </a:prstGeom>
      </xdr:spPr>
    </xdr:pic>
    <xdr:clientData/>
  </xdr:twoCellAnchor>
  <xdr:twoCellAnchor>
    <xdr:from>
      <xdr:col>9</xdr:col>
      <xdr:colOff>6350</xdr:colOff>
      <xdr:row>4052</xdr:row>
      <xdr:rowOff>25400</xdr:rowOff>
    </xdr:from>
    <xdr:to>
      <xdr:col>9</xdr:col>
      <xdr:colOff>885190</xdr:colOff>
      <xdr:row>4052</xdr:row>
      <xdr:rowOff>1209040</xdr:rowOff>
    </xdr:to>
    <xdr:pic>
      <xdr:nvPicPr>
        <xdr:cNvPr id="8400" name="Изображение 8399" descr="resizeПП-00234206"/>
        <xdr:cNvPicPr>
          <a:picLocks noChangeAspect="1"/>
        </xdr:cNvPicPr>
      </xdr:nvPicPr>
      <xdr:blipFill>
        <a:blip xmlns:r="http://schemas.openxmlformats.org/officeDocument/2006/relationships" r:embed="rId2881"/>
        <a:stretch>
          <a:fillRect/>
        </a:stretch>
      </xdr:blipFill>
      <xdr:spPr>
        <a:xfrm>
          <a:off x="7235825" y="4037164900"/>
          <a:ext cx="878840" cy="1183640"/>
        </a:xfrm>
        <a:prstGeom prst="rect">
          <a:avLst/>
        </a:prstGeom>
      </xdr:spPr>
    </xdr:pic>
    <xdr:clientData/>
  </xdr:twoCellAnchor>
  <xdr:twoCellAnchor>
    <xdr:from>
      <xdr:col>9</xdr:col>
      <xdr:colOff>6350</xdr:colOff>
      <xdr:row>4053</xdr:row>
      <xdr:rowOff>25400</xdr:rowOff>
    </xdr:from>
    <xdr:to>
      <xdr:col>9</xdr:col>
      <xdr:colOff>885190</xdr:colOff>
      <xdr:row>4053</xdr:row>
      <xdr:rowOff>1209040</xdr:rowOff>
    </xdr:to>
    <xdr:pic>
      <xdr:nvPicPr>
        <xdr:cNvPr id="8401" name="Изображение 8400" descr="resizeПП-00234242"/>
        <xdr:cNvPicPr>
          <a:picLocks noChangeAspect="1"/>
        </xdr:cNvPicPr>
      </xdr:nvPicPr>
      <xdr:blipFill>
        <a:blip xmlns:r="http://schemas.openxmlformats.org/officeDocument/2006/relationships" r:embed="rId3081"/>
        <a:stretch>
          <a:fillRect/>
        </a:stretch>
      </xdr:blipFill>
      <xdr:spPr>
        <a:xfrm>
          <a:off x="7235825" y="4038387275"/>
          <a:ext cx="878840" cy="1183640"/>
        </a:xfrm>
        <a:prstGeom prst="rect">
          <a:avLst/>
        </a:prstGeom>
      </xdr:spPr>
    </xdr:pic>
    <xdr:clientData/>
  </xdr:twoCellAnchor>
  <xdr:twoCellAnchor>
    <xdr:from>
      <xdr:col>9</xdr:col>
      <xdr:colOff>6350</xdr:colOff>
      <xdr:row>4054</xdr:row>
      <xdr:rowOff>25400</xdr:rowOff>
    </xdr:from>
    <xdr:to>
      <xdr:col>9</xdr:col>
      <xdr:colOff>885190</xdr:colOff>
      <xdr:row>4054</xdr:row>
      <xdr:rowOff>1209040</xdr:rowOff>
    </xdr:to>
    <xdr:pic>
      <xdr:nvPicPr>
        <xdr:cNvPr id="8402" name="Изображение 8401" descr="resizeПП-00234241"/>
        <xdr:cNvPicPr>
          <a:picLocks noChangeAspect="1"/>
        </xdr:cNvPicPr>
      </xdr:nvPicPr>
      <xdr:blipFill>
        <a:blip xmlns:r="http://schemas.openxmlformats.org/officeDocument/2006/relationships" r:embed="rId2873"/>
        <a:stretch>
          <a:fillRect/>
        </a:stretch>
      </xdr:blipFill>
      <xdr:spPr>
        <a:xfrm>
          <a:off x="7235825" y="4039609650"/>
          <a:ext cx="878840" cy="1183640"/>
        </a:xfrm>
        <a:prstGeom prst="rect">
          <a:avLst/>
        </a:prstGeom>
      </xdr:spPr>
    </xdr:pic>
    <xdr:clientData/>
  </xdr:twoCellAnchor>
  <xdr:twoCellAnchor>
    <xdr:from>
      <xdr:col>9</xdr:col>
      <xdr:colOff>6350</xdr:colOff>
      <xdr:row>4055</xdr:row>
      <xdr:rowOff>25400</xdr:rowOff>
    </xdr:from>
    <xdr:to>
      <xdr:col>9</xdr:col>
      <xdr:colOff>885190</xdr:colOff>
      <xdr:row>4055</xdr:row>
      <xdr:rowOff>1209040</xdr:rowOff>
    </xdr:to>
    <xdr:pic>
      <xdr:nvPicPr>
        <xdr:cNvPr id="8403" name="Изображение 8402" descr="resizeПП-00234240"/>
        <xdr:cNvPicPr>
          <a:picLocks noChangeAspect="1"/>
        </xdr:cNvPicPr>
      </xdr:nvPicPr>
      <xdr:blipFill>
        <a:blip xmlns:r="http://schemas.openxmlformats.org/officeDocument/2006/relationships" r:embed="rId2878"/>
        <a:stretch>
          <a:fillRect/>
        </a:stretch>
      </xdr:blipFill>
      <xdr:spPr>
        <a:xfrm>
          <a:off x="7235825" y="4040832025"/>
          <a:ext cx="878840" cy="1183640"/>
        </a:xfrm>
        <a:prstGeom prst="rect">
          <a:avLst/>
        </a:prstGeom>
      </xdr:spPr>
    </xdr:pic>
    <xdr:clientData/>
  </xdr:twoCellAnchor>
  <xdr:twoCellAnchor>
    <xdr:from>
      <xdr:col>9</xdr:col>
      <xdr:colOff>6350</xdr:colOff>
      <xdr:row>4057</xdr:row>
      <xdr:rowOff>25400</xdr:rowOff>
    </xdr:from>
    <xdr:to>
      <xdr:col>9</xdr:col>
      <xdr:colOff>885190</xdr:colOff>
      <xdr:row>4057</xdr:row>
      <xdr:rowOff>1209040</xdr:rowOff>
    </xdr:to>
    <xdr:pic>
      <xdr:nvPicPr>
        <xdr:cNvPr id="8404" name="Изображение 8403" descr="resizeПП-00258155"/>
        <xdr:cNvPicPr>
          <a:picLocks noChangeAspect="1"/>
        </xdr:cNvPicPr>
      </xdr:nvPicPr>
      <xdr:blipFill>
        <a:blip xmlns:r="http://schemas.openxmlformats.org/officeDocument/2006/relationships" r:embed="rId3082"/>
        <a:stretch>
          <a:fillRect/>
        </a:stretch>
      </xdr:blipFill>
      <xdr:spPr>
        <a:xfrm>
          <a:off x="7235825" y="4042206800"/>
          <a:ext cx="878840" cy="1183640"/>
        </a:xfrm>
        <a:prstGeom prst="rect">
          <a:avLst/>
        </a:prstGeom>
      </xdr:spPr>
    </xdr:pic>
    <xdr:clientData/>
  </xdr:twoCellAnchor>
  <xdr:twoCellAnchor>
    <xdr:from>
      <xdr:col>9</xdr:col>
      <xdr:colOff>6350</xdr:colOff>
      <xdr:row>4058</xdr:row>
      <xdr:rowOff>25400</xdr:rowOff>
    </xdr:from>
    <xdr:to>
      <xdr:col>9</xdr:col>
      <xdr:colOff>885190</xdr:colOff>
      <xdr:row>4058</xdr:row>
      <xdr:rowOff>1209040</xdr:rowOff>
    </xdr:to>
    <xdr:pic>
      <xdr:nvPicPr>
        <xdr:cNvPr id="8405" name="Изображение 8404" descr="resizeПП-00258153"/>
        <xdr:cNvPicPr>
          <a:picLocks noChangeAspect="1"/>
        </xdr:cNvPicPr>
      </xdr:nvPicPr>
      <xdr:blipFill>
        <a:blip xmlns:r="http://schemas.openxmlformats.org/officeDocument/2006/relationships" r:embed="rId3083"/>
        <a:stretch>
          <a:fillRect/>
        </a:stretch>
      </xdr:blipFill>
      <xdr:spPr>
        <a:xfrm>
          <a:off x="7235825" y="4043429175"/>
          <a:ext cx="878840" cy="1183640"/>
        </a:xfrm>
        <a:prstGeom prst="rect">
          <a:avLst/>
        </a:prstGeom>
      </xdr:spPr>
    </xdr:pic>
    <xdr:clientData/>
  </xdr:twoCellAnchor>
  <xdr:twoCellAnchor>
    <xdr:from>
      <xdr:col>9</xdr:col>
      <xdr:colOff>6350</xdr:colOff>
      <xdr:row>4059</xdr:row>
      <xdr:rowOff>25400</xdr:rowOff>
    </xdr:from>
    <xdr:to>
      <xdr:col>9</xdr:col>
      <xdr:colOff>885190</xdr:colOff>
      <xdr:row>4059</xdr:row>
      <xdr:rowOff>1209040</xdr:rowOff>
    </xdr:to>
    <xdr:pic>
      <xdr:nvPicPr>
        <xdr:cNvPr id="8406" name="Изображение 8405" descr="resizeПП-00258156"/>
        <xdr:cNvPicPr>
          <a:picLocks noChangeAspect="1"/>
        </xdr:cNvPicPr>
      </xdr:nvPicPr>
      <xdr:blipFill>
        <a:blip xmlns:r="http://schemas.openxmlformats.org/officeDocument/2006/relationships" r:embed="rId2826"/>
        <a:stretch>
          <a:fillRect/>
        </a:stretch>
      </xdr:blipFill>
      <xdr:spPr>
        <a:xfrm>
          <a:off x="7235825" y="4044651550"/>
          <a:ext cx="878840" cy="1183640"/>
        </a:xfrm>
        <a:prstGeom prst="rect">
          <a:avLst/>
        </a:prstGeom>
      </xdr:spPr>
    </xdr:pic>
    <xdr:clientData/>
  </xdr:twoCellAnchor>
  <xdr:twoCellAnchor>
    <xdr:from>
      <xdr:col>9</xdr:col>
      <xdr:colOff>6350</xdr:colOff>
      <xdr:row>4060</xdr:row>
      <xdr:rowOff>25400</xdr:rowOff>
    </xdr:from>
    <xdr:to>
      <xdr:col>9</xdr:col>
      <xdr:colOff>885190</xdr:colOff>
      <xdr:row>4060</xdr:row>
      <xdr:rowOff>1209040</xdr:rowOff>
    </xdr:to>
    <xdr:pic>
      <xdr:nvPicPr>
        <xdr:cNvPr id="8407" name="Изображение 8406" descr="resizeПП-00222178"/>
        <xdr:cNvPicPr>
          <a:picLocks noChangeAspect="1"/>
        </xdr:cNvPicPr>
      </xdr:nvPicPr>
      <xdr:blipFill>
        <a:blip xmlns:r="http://schemas.openxmlformats.org/officeDocument/2006/relationships" r:embed="rId3084"/>
        <a:stretch>
          <a:fillRect/>
        </a:stretch>
      </xdr:blipFill>
      <xdr:spPr>
        <a:xfrm>
          <a:off x="7235825" y="4045873925"/>
          <a:ext cx="878840" cy="1183640"/>
        </a:xfrm>
        <a:prstGeom prst="rect">
          <a:avLst/>
        </a:prstGeom>
      </xdr:spPr>
    </xdr:pic>
    <xdr:clientData/>
  </xdr:twoCellAnchor>
  <xdr:twoCellAnchor>
    <xdr:from>
      <xdr:col>9</xdr:col>
      <xdr:colOff>6350</xdr:colOff>
      <xdr:row>4061</xdr:row>
      <xdr:rowOff>25400</xdr:rowOff>
    </xdr:from>
    <xdr:to>
      <xdr:col>9</xdr:col>
      <xdr:colOff>885190</xdr:colOff>
      <xdr:row>4061</xdr:row>
      <xdr:rowOff>1209040</xdr:rowOff>
    </xdr:to>
    <xdr:pic>
      <xdr:nvPicPr>
        <xdr:cNvPr id="8408" name="Изображение 8407" descr="resizeПП-00221710"/>
        <xdr:cNvPicPr>
          <a:picLocks noChangeAspect="1"/>
        </xdr:cNvPicPr>
      </xdr:nvPicPr>
      <xdr:blipFill>
        <a:blip xmlns:r="http://schemas.openxmlformats.org/officeDocument/2006/relationships" r:embed="rId2835"/>
        <a:stretch>
          <a:fillRect/>
        </a:stretch>
      </xdr:blipFill>
      <xdr:spPr>
        <a:xfrm>
          <a:off x="7235825" y="4047096300"/>
          <a:ext cx="878840" cy="1183640"/>
        </a:xfrm>
        <a:prstGeom prst="rect">
          <a:avLst/>
        </a:prstGeom>
      </xdr:spPr>
    </xdr:pic>
    <xdr:clientData/>
  </xdr:twoCellAnchor>
  <xdr:twoCellAnchor>
    <xdr:from>
      <xdr:col>9</xdr:col>
      <xdr:colOff>6350</xdr:colOff>
      <xdr:row>4062</xdr:row>
      <xdr:rowOff>25400</xdr:rowOff>
    </xdr:from>
    <xdr:to>
      <xdr:col>9</xdr:col>
      <xdr:colOff>885190</xdr:colOff>
      <xdr:row>4062</xdr:row>
      <xdr:rowOff>1209040</xdr:rowOff>
    </xdr:to>
    <xdr:pic>
      <xdr:nvPicPr>
        <xdr:cNvPr id="8409" name="Изображение 8408" descr="resizeПП-00221716"/>
        <xdr:cNvPicPr>
          <a:picLocks noChangeAspect="1"/>
        </xdr:cNvPicPr>
      </xdr:nvPicPr>
      <xdr:blipFill>
        <a:blip xmlns:r="http://schemas.openxmlformats.org/officeDocument/2006/relationships" r:embed="rId2836"/>
        <a:stretch>
          <a:fillRect/>
        </a:stretch>
      </xdr:blipFill>
      <xdr:spPr>
        <a:xfrm>
          <a:off x="7235825" y="4048318675"/>
          <a:ext cx="878840" cy="1183640"/>
        </a:xfrm>
        <a:prstGeom prst="rect">
          <a:avLst/>
        </a:prstGeom>
      </xdr:spPr>
    </xdr:pic>
    <xdr:clientData/>
  </xdr:twoCellAnchor>
  <xdr:twoCellAnchor>
    <xdr:from>
      <xdr:col>9</xdr:col>
      <xdr:colOff>6350</xdr:colOff>
      <xdr:row>4063</xdr:row>
      <xdr:rowOff>25400</xdr:rowOff>
    </xdr:from>
    <xdr:to>
      <xdr:col>9</xdr:col>
      <xdr:colOff>885190</xdr:colOff>
      <xdr:row>4063</xdr:row>
      <xdr:rowOff>1209040</xdr:rowOff>
    </xdr:to>
    <xdr:pic>
      <xdr:nvPicPr>
        <xdr:cNvPr id="8410" name="Изображение 8409" descr="resizeПП-00221714"/>
        <xdr:cNvPicPr>
          <a:picLocks noChangeAspect="1"/>
        </xdr:cNvPicPr>
      </xdr:nvPicPr>
      <xdr:blipFill>
        <a:blip xmlns:r="http://schemas.openxmlformats.org/officeDocument/2006/relationships" r:embed="rId3085"/>
        <a:stretch>
          <a:fillRect/>
        </a:stretch>
      </xdr:blipFill>
      <xdr:spPr>
        <a:xfrm>
          <a:off x="7235825" y="4049541050"/>
          <a:ext cx="878840" cy="1183640"/>
        </a:xfrm>
        <a:prstGeom prst="rect">
          <a:avLst/>
        </a:prstGeom>
      </xdr:spPr>
    </xdr:pic>
    <xdr:clientData/>
  </xdr:twoCellAnchor>
  <xdr:twoCellAnchor>
    <xdr:from>
      <xdr:col>9</xdr:col>
      <xdr:colOff>6350</xdr:colOff>
      <xdr:row>4064</xdr:row>
      <xdr:rowOff>25400</xdr:rowOff>
    </xdr:from>
    <xdr:to>
      <xdr:col>9</xdr:col>
      <xdr:colOff>885190</xdr:colOff>
      <xdr:row>4064</xdr:row>
      <xdr:rowOff>1209040</xdr:rowOff>
    </xdr:to>
    <xdr:pic>
      <xdr:nvPicPr>
        <xdr:cNvPr id="8411" name="Изображение 8410" descr="resizeПП-00221712"/>
        <xdr:cNvPicPr>
          <a:picLocks noChangeAspect="1"/>
        </xdr:cNvPicPr>
      </xdr:nvPicPr>
      <xdr:blipFill>
        <a:blip xmlns:r="http://schemas.openxmlformats.org/officeDocument/2006/relationships" r:embed="rId2837"/>
        <a:stretch>
          <a:fillRect/>
        </a:stretch>
      </xdr:blipFill>
      <xdr:spPr>
        <a:xfrm>
          <a:off x="7235825" y="4050763425"/>
          <a:ext cx="878840" cy="1183640"/>
        </a:xfrm>
        <a:prstGeom prst="rect">
          <a:avLst/>
        </a:prstGeom>
      </xdr:spPr>
    </xdr:pic>
    <xdr:clientData/>
  </xdr:twoCellAnchor>
  <xdr:twoCellAnchor>
    <xdr:from>
      <xdr:col>9</xdr:col>
      <xdr:colOff>6350</xdr:colOff>
      <xdr:row>4065</xdr:row>
      <xdr:rowOff>25400</xdr:rowOff>
    </xdr:from>
    <xdr:to>
      <xdr:col>9</xdr:col>
      <xdr:colOff>885190</xdr:colOff>
      <xdr:row>4065</xdr:row>
      <xdr:rowOff>1209040</xdr:rowOff>
    </xdr:to>
    <xdr:pic>
      <xdr:nvPicPr>
        <xdr:cNvPr id="8412" name="Изображение 8411" descr="resizeПП-00229976"/>
        <xdr:cNvPicPr>
          <a:picLocks noChangeAspect="1"/>
        </xdr:cNvPicPr>
      </xdr:nvPicPr>
      <xdr:blipFill>
        <a:blip xmlns:r="http://schemas.openxmlformats.org/officeDocument/2006/relationships" r:embed="rId3086"/>
        <a:stretch>
          <a:fillRect/>
        </a:stretch>
      </xdr:blipFill>
      <xdr:spPr>
        <a:xfrm>
          <a:off x="7235825" y="4051985800"/>
          <a:ext cx="878840" cy="1183640"/>
        </a:xfrm>
        <a:prstGeom prst="rect">
          <a:avLst/>
        </a:prstGeom>
      </xdr:spPr>
    </xdr:pic>
    <xdr:clientData/>
  </xdr:twoCellAnchor>
  <xdr:twoCellAnchor>
    <xdr:from>
      <xdr:col>9</xdr:col>
      <xdr:colOff>6350</xdr:colOff>
      <xdr:row>4067</xdr:row>
      <xdr:rowOff>25400</xdr:rowOff>
    </xdr:from>
    <xdr:to>
      <xdr:col>9</xdr:col>
      <xdr:colOff>885190</xdr:colOff>
      <xdr:row>4067</xdr:row>
      <xdr:rowOff>1209040</xdr:rowOff>
    </xdr:to>
    <xdr:pic>
      <xdr:nvPicPr>
        <xdr:cNvPr id="8413" name="Изображение 8412" descr="resizeПП-00222284"/>
        <xdr:cNvPicPr>
          <a:picLocks noChangeAspect="1"/>
        </xdr:cNvPicPr>
      </xdr:nvPicPr>
      <xdr:blipFill>
        <a:blip xmlns:r="http://schemas.openxmlformats.org/officeDocument/2006/relationships" r:embed="rId3087"/>
        <a:stretch>
          <a:fillRect/>
        </a:stretch>
      </xdr:blipFill>
      <xdr:spPr>
        <a:xfrm>
          <a:off x="7235825" y="4053360575"/>
          <a:ext cx="878840" cy="1183640"/>
        </a:xfrm>
        <a:prstGeom prst="rect">
          <a:avLst/>
        </a:prstGeom>
      </xdr:spPr>
    </xdr:pic>
    <xdr:clientData/>
  </xdr:twoCellAnchor>
  <xdr:twoCellAnchor>
    <xdr:from>
      <xdr:col>9</xdr:col>
      <xdr:colOff>6350</xdr:colOff>
      <xdr:row>4068</xdr:row>
      <xdr:rowOff>25400</xdr:rowOff>
    </xdr:from>
    <xdr:to>
      <xdr:col>9</xdr:col>
      <xdr:colOff>885190</xdr:colOff>
      <xdr:row>4068</xdr:row>
      <xdr:rowOff>1209040</xdr:rowOff>
    </xdr:to>
    <xdr:pic>
      <xdr:nvPicPr>
        <xdr:cNvPr id="8414" name="Изображение 8413" descr="resizeПП-00222292"/>
        <xdr:cNvPicPr>
          <a:picLocks noChangeAspect="1"/>
        </xdr:cNvPicPr>
      </xdr:nvPicPr>
      <xdr:blipFill>
        <a:blip xmlns:r="http://schemas.openxmlformats.org/officeDocument/2006/relationships" r:embed="rId3088"/>
        <a:stretch>
          <a:fillRect/>
        </a:stretch>
      </xdr:blipFill>
      <xdr:spPr>
        <a:xfrm>
          <a:off x="7235825" y="4054582950"/>
          <a:ext cx="878840" cy="1183640"/>
        </a:xfrm>
        <a:prstGeom prst="rect">
          <a:avLst/>
        </a:prstGeom>
      </xdr:spPr>
    </xdr:pic>
    <xdr:clientData/>
  </xdr:twoCellAnchor>
  <xdr:twoCellAnchor>
    <xdr:from>
      <xdr:col>9</xdr:col>
      <xdr:colOff>6350</xdr:colOff>
      <xdr:row>4069</xdr:row>
      <xdr:rowOff>25400</xdr:rowOff>
    </xdr:from>
    <xdr:to>
      <xdr:col>9</xdr:col>
      <xdr:colOff>885190</xdr:colOff>
      <xdr:row>4069</xdr:row>
      <xdr:rowOff>1209040</xdr:rowOff>
    </xdr:to>
    <xdr:pic>
      <xdr:nvPicPr>
        <xdr:cNvPr id="8415" name="Изображение 8414" descr="resizeПП-00222290"/>
        <xdr:cNvPicPr>
          <a:picLocks noChangeAspect="1"/>
        </xdr:cNvPicPr>
      </xdr:nvPicPr>
      <xdr:blipFill>
        <a:blip xmlns:r="http://schemas.openxmlformats.org/officeDocument/2006/relationships" r:embed="rId3089"/>
        <a:stretch>
          <a:fillRect/>
        </a:stretch>
      </xdr:blipFill>
      <xdr:spPr>
        <a:xfrm>
          <a:off x="7235825" y="4055805325"/>
          <a:ext cx="878840" cy="1183640"/>
        </a:xfrm>
        <a:prstGeom prst="rect">
          <a:avLst/>
        </a:prstGeom>
      </xdr:spPr>
    </xdr:pic>
    <xdr:clientData/>
  </xdr:twoCellAnchor>
  <xdr:twoCellAnchor>
    <xdr:from>
      <xdr:col>9</xdr:col>
      <xdr:colOff>6350</xdr:colOff>
      <xdr:row>4070</xdr:row>
      <xdr:rowOff>25400</xdr:rowOff>
    </xdr:from>
    <xdr:to>
      <xdr:col>9</xdr:col>
      <xdr:colOff>885190</xdr:colOff>
      <xdr:row>4070</xdr:row>
      <xdr:rowOff>1209040</xdr:rowOff>
    </xdr:to>
    <xdr:pic>
      <xdr:nvPicPr>
        <xdr:cNvPr id="8416" name="Изображение 8415" descr="resizeПП-00222291"/>
        <xdr:cNvPicPr>
          <a:picLocks noChangeAspect="1"/>
        </xdr:cNvPicPr>
      </xdr:nvPicPr>
      <xdr:blipFill>
        <a:blip xmlns:r="http://schemas.openxmlformats.org/officeDocument/2006/relationships" r:embed="rId3090"/>
        <a:stretch>
          <a:fillRect/>
        </a:stretch>
      </xdr:blipFill>
      <xdr:spPr>
        <a:xfrm>
          <a:off x="7235825" y="4057027700"/>
          <a:ext cx="878840" cy="1183640"/>
        </a:xfrm>
        <a:prstGeom prst="rect">
          <a:avLst/>
        </a:prstGeom>
      </xdr:spPr>
    </xdr:pic>
    <xdr:clientData/>
  </xdr:twoCellAnchor>
  <xdr:twoCellAnchor>
    <xdr:from>
      <xdr:col>9</xdr:col>
      <xdr:colOff>6350</xdr:colOff>
      <xdr:row>4071</xdr:row>
      <xdr:rowOff>25400</xdr:rowOff>
    </xdr:from>
    <xdr:to>
      <xdr:col>9</xdr:col>
      <xdr:colOff>885190</xdr:colOff>
      <xdr:row>4071</xdr:row>
      <xdr:rowOff>1209040</xdr:rowOff>
    </xdr:to>
    <xdr:pic>
      <xdr:nvPicPr>
        <xdr:cNvPr id="8417" name="Изображение 8416" descr="resizeПП-00222293"/>
        <xdr:cNvPicPr>
          <a:picLocks noChangeAspect="1"/>
        </xdr:cNvPicPr>
      </xdr:nvPicPr>
      <xdr:blipFill>
        <a:blip xmlns:r="http://schemas.openxmlformats.org/officeDocument/2006/relationships" r:embed="rId3091"/>
        <a:stretch>
          <a:fillRect/>
        </a:stretch>
      </xdr:blipFill>
      <xdr:spPr>
        <a:xfrm>
          <a:off x="7235825" y="4058250075"/>
          <a:ext cx="878840" cy="1183640"/>
        </a:xfrm>
        <a:prstGeom prst="rect">
          <a:avLst/>
        </a:prstGeom>
      </xdr:spPr>
    </xdr:pic>
    <xdr:clientData/>
  </xdr:twoCellAnchor>
  <xdr:twoCellAnchor>
    <xdr:from>
      <xdr:col>9</xdr:col>
      <xdr:colOff>6350</xdr:colOff>
      <xdr:row>4072</xdr:row>
      <xdr:rowOff>25400</xdr:rowOff>
    </xdr:from>
    <xdr:to>
      <xdr:col>9</xdr:col>
      <xdr:colOff>885190</xdr:colOff>
      <xdr:row>4072</xdr:row>
      <xdr:rowOff>1209040</xdr:rowOff>
    </xdr:to>
    <xdr:pic>
      <xdr:nvPicPr>
        <xdr:cNvPr id="8418" name="Изображение 8417" descr="resizeПП-00222282"/>
        <xdr:cNvPicPr>
          <a:picLocks noChangeAspect="1"/>
        </xdr:cNvPicPr>
      </xdr:nvPicPr>
      <xdr:blipFill>
        <a:blip xmlns:r="http://schemas.openxmlformats.org/officeDocument/2006/relationships" r:embed="rId3092"/>
        <a:stretch>
          <a:fillRect/>
        </a:stretch>
      </xdr:blipFill>
      <xdr:spPr>
        <a:xfrm>
          <a:off x="7235825" y="4059472450"/>
          <a:ext cx="878840" cy="1183640"/>
        </a:xfrm>
        <a:prstGeom prst="rect">
          <a:avLst/>
        </a:prstGeom>
      </xdr:spPr>
    </xdr:pic>
    <xdr:clientData/>
  </xdr:twoCellAnchor>
  <xdr:twoCellAnchor>
    <xdr:from>
      <xdr:col>9</xdr:col>
      <xdr:colOff>6350</xdr:colOff>
      <xdr:row>4073</xdr:row>
      <xdr:rowOff>25400</xdr:rowOff>
    </xdr:from>
    <xdr:to>
      <xdr:col>9</xdr:col>
      <xdr:colOff>885190</xdr:colOff>
      <xdr:row>4073</xdr:row>
      <xdr:rowOff>1209040</xdr:rowOff>
    </xdr:to>
    <xdr:pic>
      <xdr:nvPicPr>
        <xdr:cNvPr id="8419" name="Изображение 8418" descr="resizeПП-00222283"/>
        <xdr:cNvPicPr>
          <a:picLocks noChangeAspect="1"/>
        </xdr:cNvPicPr>
      </xdr:nvPicPr>
      <xdr:blipFill>
        <a:blip xmlns:r="http://schemas.openxmlformats.org/officeDocument/2006/relationships" r:embed="rId3093"/>
        <a:stretch>
          <a:fillRect/>
        </a:stretch>
      </xdr:blipFill>
      <xdr:spPr>
        <a:xfrm>
          <a:off x="7235825" y="4060694825"/>
          <a:ext cx="878840" cy="1183640"/>
        </a:xfrm>
        <a:prstGeom prst="rect">
          <a:avLst/>
        </a:prstGeom>
      </xdr:spPr>
    </xdr:pic>
    <xdr:clientData/>
  </xdr:twoCellAnchor>
  <xdr:twoCellAnchor>
    <xdr:from>
      <xdr:col>9</xdr:col>
      <xdr:colOff>6350</xdr:colOff>
      <xdr:row>4074</xdr:row>
      <xdr:rowOff>25400</xdr:rowOff>
    </xdr:from>
    <xdr:to>
      <xdr:col>9</xdr:col>
      <xdr:colOff>885190</xdr:colOff>
      <xdr:row>4074</xdr:row>
      <xdr:rowOff>1209040</xdr:rowOff>
    </xdr:to>
    <xdr:pic>
      <xdr:nvPicPr>
        <xdr:cNvPr id="8420" name="Изображение 8419" descr="resizeПП-00222285"/>
        <xdr:cNvPicPr>
          <a:picLocks noChangeAspect="1"/>
        </xdr:cNvPicPr>
      </xdr:nvPicPr>
      <xdr:blipFill>
        <a:blip xmlns:r="http://schemas.openxmlformats.org/officeDocument/2006/relationships" r:embed="rId3094"/>
        <a:stretch>
          <a:fillRect/>
        </a:stretch>
      </xdr:blipFill>
      <xdr:spPr>
        <a:xfrm>
          <a:off x="7235825" y="4061917200"/>
          <a:ext cx="878840" cy="1183640"/>
        </a:xfrm>
        <a:prstGeom prst="rect">
          <a:avLst/>
        </a:prstGeom>
      </xdr:spPr>
    </xdr:pic>
    <xdr:clientData/>
  </xdr:twoCellAnchor>
  <xdr:twoCellAnchor>
    <xdr:from>
      <xdr:col>9</xdr:col>
      <xdr:colOff>6350</xdr:colOff>
      <xdr:row>4075</xdr:row>
      <xdr:rowOff>25400</xdr:rowOff>
    </xdr:from>
    <xdr:to>
      <xdr:col>9</xdr:col>
      <xdr:colOff>885190</xdr:colOff>
      <xdr:row>4075</xdr:row>
      <xdr:rowOff>1209040</xdr:rowOff>
    </xdr:to>
    <xdr:pic>
      <xdr:nvPicPr>
        <xdr:cNvPr id="8421" name="Изображение 8420" descr="resizeПП-00258131"/>
        <xdr:cNvPicPr>
          <a:picLocks noChangeAspect="1"/>
        </xdr:cNvPicPr>
      </xdr:nvPicPr>
      <xdr:blipFill>
        <a:blip xmlns:r="http://schemas.openxmlformats.org/officeDocument/2006/relationships" r:embed="rId3095"/>
        <a:stretch>
          <a:fillRect/>
        </a:stretch>
      </xdr:blipFill>
      <xdr:spPr>
        <a:xfrm>
          <a:off x="7235825" y="4063139575"/>
          <a:ext cx="878840" cy="1183640"/>
        </a:xfrm>
        <a:prstGeom prst="rect">
          <a:avLst/>
        </a:prstGeom>
      </xdr:spPr>
    </xdr:pic>
    <xdr:clientData/>
  </xdr:twoCellAnchor>
  <xdr:twoCellAnchor>
    <xdr:from>
      <xdr:col>9</xdr:col>
      <xdr:colOff>6350</xdr:colOff>
      <xdr:row>4076</xdr:row>
      <xdr:rowOff>25400</xdr:rowOff>
    </xdr:from>
    <xdr:to>
      <xdr:col>9</xdr:col>
      <xdr:colOff>885190</xdr:colOff>
      <xdr:row>4076</xdr:row>
      <xdr:rowOff>1209040</xdr:rowOff>
    </xdr:to>
    <xdr:pic>
      <xdr:nvPicPr>
        <xdr:cNvPr id="8422" name="Изображение 8421" descr="resizeПП-00258129"/>
        <xdr:cNvPicPr>
          <a:picLocks noChangeAspect="1"/>
        </xdr:cNvPicPr>
      </xdr:nvPicPr>
      <xdr:blipFill>
        <a:blip xmlns:r="http://schemas.openxmlformats.org/officeDocument/2006/relationships" r:embed="rId3096"/>
        <a:stretch>
          <a:fillRect/>
        </a:stretch>
      </xdr:blipFill>
      <xdr:spPr>
        <a:xfrm>
          <a:off x="7235825" y="4064361950"/>
          <a:ext cx="878840" cy="1183640"/>
        </a:xfrm>
        <a:prstGeom prst="rect">
          <a:avLst/>
        </a:prstGeom>
      </xdr:spPr>
    </xdr:pic>
    <xdr:clientData/>
  </xdr:twoCellAnchor>
  <xdr:twoCellAnchor>
    <xdr:from>
      <xdr:col>9</xdr:col>
      <xdr:colOff>6350</xdr:colOff>
      <xdr:row>4077</xdr:row>
      <xdr:rowOff>25400</xdr:rowOff>
    </xdr:from>
    <xdr:to>
      <xdr:col>9</xdr:col>
      <xdr:colOff>885190</xdr:colOff>
      <xdr:row>4077</xdr:row>
      <xdr:rowOff>1209040</xdr:rowOff>
    </xdr:to>
    <xdr:pic>
      <xdr:nvPicPr>
        <xdr:cNvPr id="8423" name="Изображение 8422" descr="resizeПП-00258127"/>
        <xdr:cNvPicPr>
          <a:picLocks noChangeAspect="1"/>
        </xdr:cNvPicPr>
      </xdr:nvPicPr>
      <xdr:blipFill>
        <a:blip xmlns:r="http://schemas.openxmlformats.org/officeDocument/2006/relationships" r:embed="rId3097"/>
        <a:stretch>
          <a:fillRect/>
        </a:stretch>
      </xdr:blipFill>
      <xdr:spPr>
        <a:xfrm>
          <a:off x="7235825" y="4065584325"/>
          <a:ext cx="878840" cy="1183640"/>
        </a:xfrm>
        <a:prstGeom prst="rect">
          <a:avLst/>
        </a:prstGeom>
      </xdr:spPr>
    </xdr:pic>
    <xdr:clientData/>
  </xdr:twoCellAnchor>
  <xdr:twoCellAnchor>
    <xdr:from>
      <xdr:col>9</xdr:col>
      <xdr:colOff>6350</xdr:colOff>
      <xdr:row>4078</xdr:row>
      <xdr:rowOff>25400</xdr:rowOff>
    </xdr:from>
    <xdr:to>
      <xdr:col>9</xdr:col>
      <xdr:colOff>885190</xdr:colOff>
      <xdr:row>4078</xdr:row>
      <xdr:rowOff>1209040</xdr:rowOff>
    </xdr:to>
    <xdr:pic>
      <xdr:nvPicPr>
        <xdr:cNvPr id="8424" name="Изображение 8423" descr="resizeПП-00258128"/>
        <xdr:cNvPicPr>
          <a:picLocks noChangeAspect="1"/>
        </xdr:cNvPicPr>
      </xdr:nvPicPr>
      <xdr:blipFill>
        <a:blip xmlns:r="http://schemas.openxmlformats.org/officeDocument/2006/relationships" r:embed="rId3098"/>
        <a:stretch>
          <a:fillRect/>
        </a:stretch>
      </xdr:blipFill>
      <xdr:spPr>
        <a:xfrm>
          <a:off x="7235825" y="4066806700"/>
          <a:ext cx="878840" cy="1183640"/>
        </a:xfrm>
        <a:prstGeom prst="rect">
          <a:avLst/>
        </a:prstGeom>
      </xdr:spPr>
    </xdr:pic>
    <xdr:clientData/>
  </xdr:twoCellAnchor>
  <xdr:twoCellAnchor>
    <xdr:from>
      <xdr:col>9</xdr:col>
      <xdr:colOff>6350</xdr:colOff>
      <xdr:row>4079</xdr:row>
      <xdr:rowOff>25400</xdr:rowOff>
    </xdr:from>
    <xdr:to>
      <xdr:col>9</xdr:col>
      <xdr:colOff>885190</xdr:colOff>
      <xdr:row>4079</xdr:row>
      <xdr:rowOff>1209040</xdr:rowOff>
    </xdr:to>
    <xdr:pic>
      <xdr:nvPicPr>
        <xdr:cNvPr id="8425" name="Изображение 8424" descr="resizeПП-00258115"/>
        <xdr:cNvPicPr>
          <a:picLocks noChangeAspect="1"/>
        </xdr:cNvPicPr>
      </xdr:nvPicPr>
      <xdr:blipFill>
        <a:blip xmlns:r="http://schemas.openxmlformats.org/officeDocument/2006/relationships" r:embed="rId3099"/>
        <a:stretch>
          <a:fillRect/>
        </a:stretch>
      </xdr:blipFill>
      <xdr:spPr>
        <a:xfrm>
          <a:off x="7235825" y="4068029075"/>
          <a:ext cx="878840" cy="1183640"/>
        </a:xfrm>
        <a:prstGeom prst="rect">
          <a:avLst/>
        </a:prstGeom>
      </xdr:spPr>
    </xdr:pic>
    <xdr:clientData/>
  </xdr:twoCellAnchor>
  <xdr:twoCellAnchor>
    <xdr:from>
      <xdr:col>9</xdr:col>
      <xdr:colOff>6350</xdr:colOff>
      <xdr:row>4080</xdr:row>
      <xdr:rowOff>25400</xdr:rowOff>
    </xdr:from>
    <xdr:to>
      <xdr:col>9</xdr:col>
      <xdr:colOff>885190</xdr:colOff>
      <xdr:row>4080</xdr:row>
      <xdr:rowOff>1209040</xdr:rowOff>
    </xdr:to>
    <xdr:pic>
      <xdr:nvPicPr>
        <xdr:cNvPr id="8426" name="Изображение 8425" descr="resizeПП-00261788"/>
        <xdr:cNvPicPr>
          <a:picLocks noChangeAspect="1"/>
        </xdr:cNvPicPr>
      </xdr:nvPicPr>
      <xdr:blipFill>
        <a:blip xmlns:r="http://schemas.openxmlformats.org/officeDocument/2006/relationships" r:embed="rId3100"/>
        <a:stretch>
          <a:fillRect/>
        </a:stretch>
      </xdr:blipFill>
      <xdr:spPr>
        <a:xfrm>
          <a:off x="7235825" y="4069251450"/>
          <a:ext cx="878840" cy="1183640"/>
        </a:xfrm>
        <a:prstGeom prst="rect">
          <a:avLst/>
        </a:prstGeom>
      </xdr:spPr>
    </xdr:pic>
    <xdr:clientData/>
  </xdr:twoCellAnchor>
  <xdr:twoCellAnchor>
    <xdr:from>
      <xdr:col>9</xdr:col>
      <xdr:colOff>6350</xdr:colOff>
      <xdr:row>4081</xdr:row>
      <xdr:rowOff>25400</xdr:rowOff>
    </xdr:from>
    <xdr:to>
      <xdr:col>9</xdr:col>
      <xdr:colOff>885190</xdr:colOff>
      <xdr:row>4081</xdr:row>
      <xdr:rowOff>1209040</xdr:rowOff>
    </xdr:to>
    <xdr:pic>
      <xdr:nvPicPr>
        <xdr:cNvPr id="8427" name="Изображение 8426" descr="resizeПП-00261789"/>
        <xdr:cNvPicPr>
          <a:picLocks noChangeAspect="1"/>
        </xdr:cNvPicPr>
      </xdr:nvPicPr>
      <xdr:blipFill>
        <a:blip xmlns:r="http://schemas.openxmlformats.org/officeDocument/2006/relationships" r:embed="rId3101"/>
        <a:stretch>
          <a:fillRect/>
        </a:stretch>
      </xdr:blipFill>
      <xdr:spPr>
        <a:xfrm>
          <a:off x="7235825" y="4070473825"/>
          <a:ext cx="878840" cy="1183640"/>
        </a:xfrm>
        <a:prstGeom prst="rect">
          <a:avLst/>
        </a:prstGeom>
      </xdr:spPr>
    </xdr:pic>
    <xdr:clientData/>
  </xdr:twoCellAnchor>
  <xdr:twoCellAnchor>
    <xdr:from>
      <xdr:col>9</xdr:col>
      <xdr:colOff>6350</xdr:colOff>
      <xdr:row>4082</xdr:row>
      <xdr:rowOff>25400</xdr:rowOff>
    </xdr:from>
    <xdr:to>
      <xdr:col>9</xdr:col>
      <xdr:colOff>885190</xdr:colOff>
      <xdr:row>4082</xdr:row>
      <xdr:rowOff>1209040</xdr:rowOff>
    </xdr:to>
    <xdr:pic>
      <xdr:nvPicPr>
        <xdr:cNvPr id="8428" name="Изображение 8427" descr="resizeПП-00261793"/>
        <xdr:cNvPicPr>
          <a:picLocks noChangeAspect="1"/>
        </xdr:cNvPicPr>
      </xdr:nvPicPr>
      <xdr:blipFill>
        <a:blip xmlns:r="http://schemas.openxmlformats.org/officeDocument/2006/relationships" r:embed="rId3102"/>
        <a:stretch>
          <a:fillRect/>
        </a:stretch>
      </xdr:blipFill>
      <xdr:spPr>
        <a:xfrm>
          <a:off x="7235825" y="4071696200"/>
          <a:ext cx="878840" cy="1183640"/>
        </a:xfrm>
        <a:prstGeom prst="rect">
          <a:avLst/>
        </a:prstGeom>
      </xdr:spPr>
    </xdr:pic>
    <xdr:clientData/>
  </xdr:twoCellAnchor>
  <xdr:twoCellAnchor>
    <xdr:from>
      <xdr:col>9</xdr:col>
      <xdr:colOff>6350</xdr:colOff>
      <xdr:row>4083</xdr:row>
      <xdr:rowOff>25400</xdr:rowOff>
    </xdr:from>
    <xdr:to>
      <xdr:col>9</xdr:col>
      <xdr:colOff>885190</xdr:colOff>
      <xdr:row>4083</xdr:row>
      <xdr:rowOff>1209040</xdr:rowOff>
    </xdr:to>
    <xdr:pic>
      <xdr:nvPicPr>
        <xdr:cNvPr id="8429" name="Изображение 8428" descr="resizeПП-00261791"/>
        <xdr:cNvPicPr>
          <a:picLocks noChangeAspect="1"/>
        </xdr:cNvPicPr>
      </xdr:nvPicPr>
      <xdr:blipFill>
        <a:blip xmlns:r="http://schemas.openxmlformats.org/officeDocument/2006/relationships" r:embed="rId3103"/>
        <a:stretch>
          <a:fillRect/>
        </a:stretch>
      </xdr:blipFill>
      <xdr:spPr>
        <a:xfrm>
          <a:off x="7235825" y="4072918575"/>
          <a:ext cx="878840" cy="1183640"/>
        </a:xfrm>
        <a:prstGeom prst="rect">
          <a:avLst/>
        </a:prstGeom>
      </xdr:spPr>
    </xdr:pic>
    <xdr:clientData/>
  </xdr:twoCellAnchor>
  <xdr:twoCellAnchor>
    <xdr:from>
      <xdr:col>9</xdr:col>
      <xdr:colOff>6350</xdr:colOff>
      <xdr:row>4085</xdr:row>
      <xdr:rowOff>25400</xdr:rowOff>
    </xdr:from>
    <xdr:to>
      <xdr:col>9</xdr:col>
      <xdr:colOff>885190</xdr:colOff>
      <xdr:row>4085</xdr:row>
      <xdr:rowOff>1209040</xdr:rowOff>
    </xdr:to>
    <xdr:pic>
      <xdr:nvPicPr>
        <xdr:cNvPr id="8430" name="Изображение 8429" descr="resizeПП-00220146"/>
        <xdr:cNvPicPr>
          <a:picLocks noChangeAspect="1"/>
        </xdr:cNvPicPr>
      </xdr:nvPicPr>
      <xdr:blipFill>
        <a:blip xmlns:r="http://schemas.openxmlformats.org/officeDocument/2006/relationships" r:embed="rId3104"/>
        <a:stretch>
          <a:fillRect/>
        </a:stretch>
      </xdr:blipFill>
      <xdr:spPr>
        <a:xfrm>
          <a:off x="7235825" y="4074293350"/>
          <a:ext cx="878840" cy="1183640"/>
        </a:xfrm>
        <a:prstGeom prst="rect">
          <a:avLst/>
        </a:prstGeom>
      </xdr:spPr>
    </xdr:pic>
    <xdr:clientData/>
  </xdr:twoCellAnchor>
  <xdr:twoCellAnchor>
    <xdr:from>
      <xdr:col>9</xdr:col>
      <xdr:colOff>6350</xdr:colOff>
      <xdr:row>4086</xdr:row>
      <xdr:rowOff>25400</xdr:rowOff>
    </xdr:from>
    <xdr:to>
      <xdr:col>9</xdr:col>
      <xdr:colOff>885190</xdr:colOff>
      <xdr:row>4086</xdr:row>
      <xdr:rowOff>1209040</xdr:rowOff>
    </xdr:to>
    <xdr:pic>
      <xdr:nvPicPr>
        <xdr:cNvPr id="8431" name="Изображение 8430" descr="resizeПП-00252791"/>
        <xdr:cNvPicPr>
          <a:picLocks noChangeAspect="1"/>
        </xdr:cNvPicPr>
      </xdr:nvPicPr>
      <xdr:blipFill>
        <a:blip xmlns:r="http://schemas.openxmlformats.org/officeDocument/2006/relationships" r:embed="rId3105"/>
        <a:stretch>
          <a:fillRect/>
        </a:stretch>
      </xdr:blipFill>
      <xdr:spPr>
        <a:xfrm>
          <a:off x="7235825" y="4075515725"/>
          <a:ext cx="878840" cy="1183640"/>
        </a:xfrm>
        <a:prstGeom prst="rect">
          <a:avLst/>
        </a:prstGeom>
      </xdr:spPr>
    </xdr:pic>
    <xdr:clientData/>
  </xdr:twoCellAnchor>
  <xdr:twoCellAnchor>
    <xdr:from>
      <xdr:col>9</xdr:col>
      <xdr:colOff>6350</xdr:colOff>
      <xdr:row>4087</xdr:row>
      <xdr:rowOff>25400</xdr:rowOff>
    </xdr:from>
    <xdr:to>
      <xdr:col>9</xdr:col>
      <xdr:colOff>885190</xdr:colOff>
      <xdr:row>4087</xdr:row>
      <xdr:rowOff>1209040</xdr:rowOff>
    </xdr:to>
    <xdr:pic>
      <xdr:nvPicPr>
        <xdr:cNvPr id="8432" name="Изображение 8431" descr="resizeПП-00222180"/>
        <xdr:cNvPicPr>
          <a:picLocks noChangeAspect="1"/>
        </xdr:cNvPicPr>
      </xdr:nvPicPr>
      <xdr:blipFill>
        <a:blip xmlns:r="http://schemas.openxmlformats.org/officeDocument/2006/relationships" r:embed="rId3106"/>
        <a:stretch>
          <a:fillRect/>
        </a:stretch>
      </xdr:blipFill>
      <xdr:spPr>
        <a:xfrm>
          <a:off x="7235825" y="4076738100"/>
          <a:ext cx="878840" cy="1183640"/>
        </a:xfrm>
        <a:prstGeom prst="rect">
          <a:avLst/>
        </a:prstGeom>
      </xdr:spPr>
    </xdr:pic>
    <xdr:clientData/>
  </xdr:twoCellAnchor>
  <xdr:twoCellAnchor>
    <xdr:from>
      <xdr:col>9</xdr:col>
      <xdr:colOff>6350</xdr:colOff>
      <xdr:row>4088</xdr:row>
      <xdr:rowOff>25400</xdr:rowOff>
    </xdr:from>
    <xdr:to>
      <xdr:col>9</xdr:col>
      <xdr:colOff>885190</xdr:colOff>
      <xdr:row>4088</xdr:row>
      <xdr:rowOff>1209040</xdr:rowOff>
    </xdr:to>
    <xdr:pic>
      <xdr:nvPicPr>
        <xdr:cNvPr id="8433" name="Изображение 8432" descr="resizeПП-00222185"/>
        <xdr:cNvPicPr>
          <a:picLocks noChangeAspect="1"/>
        </xdr:cNvPicPr>
      </xdr:nvPicPr>
      <xdr:blipFill>
        <a:blip xmlns:r="http://schemas.openxmlformats.org/officeDocument/2006/relationships" r:embed="rId3107"/>
        <a:stretch>
          <a:fillRect/>
        </a:stretch>
      </xdr:blipFill>
      <xdr:spPr>
        <a:xfrm>
          <a:off x="7235825" y="4077960475"/>
          <a:ext cx="878840" cy="1183640"/>
        </a:xfrm>
        <a:prstGeom prst="rect">
          <a:avLst/>
        </a:prstGeom>
      </xdr:spPr>
    </xdr:pic>
    <xdr:clientData/>
  </xdr:twoCellAnchor>
  <xdr:twoCellAnchor>
    <xdr:from>
      <xdr:col>9</xdr:col>
      <xdr:colOff>6350</xdr:colOff>
      <xdr:row>4089</xdr:row>
      <xdr:rowOff>25400</xdr:rowOff>
    </xdr:from>
    <xdr:to>
      <xdr:col>9</xdr:col>
      <xdr:colOff>885190</xdr:colOff>
      <xdr:row>4089</xdr:row>
      <xdr:rowOff>1209040</xdr:rowOff>
    </xdr:to>
    <xdr:pic>
      <xdr:nvPicPr>
        <xdr:cNvPr id="8434" name="Изображение 8433" descr="resizeПП-00222183"/>
        <xdr:cNvPicPr>
          <a:picLocks noChangeAspect="1"/>
        </xdr:cNvPicPr>
      </xdr:nvPicPr>
      <xdr:blipFill>
        <a:blip xmlns:r="http://schemas.openxmlformats.org/officeDocument/2006/relationships" r:embed="rId3108"/>
        <a:stretch>
          <a:fillRect/>
        </a:stretch>
      </xdr:blipFill>
      <xdr:spPr>
        <a:xfrm>
          <a:off x="7235825" y="4079182850"/>
          <a:ext cx="878840" cy="1183640"/>
        </a:xfrm>
        <a:prstGeom prst="rect">
          <a:avLst/>
        </a:prstGeom>
      </xdr:spPr>
    </xdr:pic>
    <xdr:clientData/>
  </xdr:twoCellAnchor>
  <xdr:twoCellAnchor>
    <xdr:from>
      <xdr:col>9</xdr:col>
      <xdr:colOff>6350</xdr:colOff>
      <xdr:row>4090</xdr:row>
      <xdr:rowOff>25400</xdr:rowOff>
    </xdr:from>
    <xdr:to>
      <xdr:col>9</xdr:col>
      <xdr:colOff>885190</xdr:colOff>
      <xdr:row>4090</xdr:row>
      <xdr:rowOff>1209040</xdr:rowOff>
    </xdr:to>
    <xdr:pic>
      <xdr:nvPicPr>
        <xdr:cNvPr id="8435" name="Изображение 8434" descr="resizeПП-00222212"/>
        <xdr:cNvPicPr>
          <a:picLocks noChangeAspect="1"/>
        </xdr:cNvPicPr>
      </xdr:nvPicPr>
      <xdr:blipFill>
        <a:blip xmlns:r="http://schemas.openxmlformats.org/officeDocument/2006/relationships" r:embed="rId2851"/>
        <a:stretch>
          <a:fillRect/>
        </a:stretch>
      </xdr:blipFill>
      <xdr:spPr>
        <a:xfrm>
          <a:off x="7235825" y="4080405225"/>
          <a:ext cx="878840" cy="1183640"/>
        </a:xfrm>
        <a:prstGeom prst="rect">
          <a:avLst/>
        </a:prstGeom>
      </xdr:spPr>
    </xdr:pic>
    <xdr:clientData/>
  </xdr:twoCellAnchor>
  <xdr:twoCellAnchor>
    <xdr:from>
      <xdr:col>9</xdr:col>
      <xdr:colOff>6350</xdr:colOff>
      <xdr:row>4091</xdr:row>
      <xdr:rowOff>25400</xdr:rowOff>
    </xdr:from>
    <xdr:to>
      <xdr:col>9</xdr:col>
      <xdr:colOff>885190</xdr:colOff>
      <xdr:row>4091</xdr:row>
      <xdr:rowOff>1209040</xdr:rowOff>
    </xdr:to>
    <xdr:pic>
      <xdr:nvPicPr>
        <xdr:cNvPr id="8436" name="Изображение 8435" descr="resizeПП-00222209"/>
        <xdr:cNvPicPr>
          <a:picLocks noChangeAspect="1"/>
        </xdr:cNvPicPr>
      </xdr:nvPicPr>
      <xdr:blipFill>
        <a:blip xmlns:r="http://schemas.openxmlformats.org/officeDocument/2006/relationships" r:embed="rId3109"/>
        <a:stretch>
          <a:fillRect/>
        </a:stretch>
      </xdr:blipFill>
      <xdr:spPr>
        <a:xfrm>
          <a:off x="7235825" y="4081627600"/>
          <a:ext cx="878840" cy="1183640"/>
        </a:xfrm>
        <a:prstGeom prst="rect">
          <a:avLst/>
        </a:prstGeom>
      </xdr:spPr>
    </xdr:pic>
    <xdr:clientData/>
  </xdr:twoCellAnchor>
  <xdr:twoCellAnchor>
    <xdr:from>
      <xdr:col>9</xdr:col>
      <xdr:colOff>6350</xdr:colOff>
      <xdr:row>4092</xdr:row>
      <xdr:rowOff>25400</xdr:rowOff>
    </xdr:from>
    <xdr:to>
      <xdr:col>9</xdr:col>
      <xdr:colOff>885190</xdr:colOff>
      <xdr:row>4092</xdr:row>
      <xdr:rowOff>1209040</xdr:rowOff>
    </xdr:to>
    <xdr:pic>
      <xdr:nvPicPr>
        <xdr:cNvPr id="8437" name="Изображение 8436" descr="resizeПП-00234248"/>
        <xdr:cNvPicPr>
          <a:picLocks noChangeAspect="1"/>
        </xdr:cNvPicPr>
      </xdr:nvPicPr>
      <xdr:blipFill>
        <a:blip xmlns:r="http://schemas.openxmlformats.org/officeDocument/2006/relationships" r:embed="rId3110"/>
        <a:stretch>
          <a:fillRect/>
        </a:stretch>
      </xdr:blipFill>
      <xdr:spPr>
        <a:xfrm>
          <a:off x="7235825" y="4082849975"/>
          <a:ext cx="878840" cy="1183640"/>
        </a:xfrm>
        <a:prstGeom prst="rect">
          <a:avLst/>
        </a:prstGeom>
      </xdr:spPr>
    </xdr:pic>
    <xdr:clientData/>
  </xdr:twoCellAnchor>
  <xdr:twoCellAnchor>
    <xdr:from>
      <xdr:col>9</xdr:col>
      <xdr:colOff>6350</xdr:colOff>
      <xdr:row>4093</xdr:row>
      <xdr:rowOff>25400</xdr:rowOff>
    </xdr:from>
    <xdr:to>
      <xdr:col>9</xdr:col>
      <xdr:colOff>885190</xdr:colOff>
      <xdr:row>4093</xdr:row>
      <xdr:rowOff>1209040</xdr:rowOff>
    </xdr:to>
    <xdr:pic>
      <xdr:nvPicPr>
        <xdr:cNvPr id="8438" name="Изображение 8437" descr="resizeПП-00234246"/>
        <xdr:cNvPicPr>
          <a:picLocks noChangeAspect="1"/>
        </xdr:cNvPicPr>
      </xdr:nvPicPr>
      <xdr:blipFill>
        <a:blip xmlns:r="http://schemas.openxmlformats.org/officeDocument/2006/relationships" r:embed="rId2856"/>
        <a:stretch>
          <a:fillRect/>
        </a:stretch>
      </xdr:blipFill>
      <xdr:spPr>
        <a:xfrm>
          <a:off x="7235825" y="4084072350"/>
          <a:ext cx="878840" cy="1183640"/>
        </a:xfrm>
        <a:prstGeom prst="rect">
          <a:avLst/>
        </a:prstGeom>
      </xdr:spPr>
    </xdr:pic>
    <xdr:clientData/>
  </xdr:twoCellAnchor>
  <xdr:twoCellAnchor>
    <xdr:from>
      <xdr:col>9</xdr:col>
      <xdr:colOff>6350</xdr:colOff>
      <xdr:row>4094</xdr:row>
      <xdr:rowOff>25400</xdr:rowOff>
    </xdr:from>
    <xdr:to>
      <xdr:col>9</xdr:col>
      <xdr:colOff>885190</xdr:colOff>
      <xdr:row>4094</xdr:row>
      <xdr:rowOff>1209040</xdr:rowOff>
    </xdr:to>
    <xdr:pic>
      <xdr:nvPicPr>
        <xdr:cNvPr id="8439" name="Изображение 8438" descr="resizeПП-00252833"/>
        <xdr:cNvPicPr>
          <a:picLocks noChangeAspect="1"/>
        </xdr:cNvPicPr>
      </xdr:nvPicPr>
      <xdr:blipFill>
        <a:blip xmlns:r="http://schemas.openxmlformats.org/officeDocument/2006/relationships" r:embed="rId3111"/>
        <a:stretch>
          <a:fillRect/>
        </a:stretch>
      </xdr:blipFill>
      <xdr:spPr>
        <a:xfrm>
          <a:off x="7235825" y="4085294725"/>
          <a:ext cx="878840" cy="1183640"/>
        </a:xfrm>
        <a:prstGeom prst="rect">
          <a:avLst/>
        </a:prstGeom>
      </xdr:spPr>
    </xdr:pic>
    <xdr:clientData/>
  </xdr:twoCellAnchor>
  <xdr:twoCellAnchor>
    <xdr:from>
      <xdr:col>9</xdr:col>
      <xdr:colOff>6350</xdr:colOff>
      <xdr:row>4095</xdr:row>
      <xdr:rowOff>25400</xdr:rowOff>
    </xdr:from>
    <xdr:to>
      <xdr:col>9</xdr:col>
      <xdr:colOff>885190</xdr:colOff>
      <xdr:row>4095</xdr:row>
      <xdr:rowOff>1209040</xdr:rowOff>
    </xdr:to>
    <xdr:pic>
      <xdr:nvPicPr>
        <xdr:cNvPr id="8440" name="Изображение 8439" descr="resizeПП-00252832"/>
        <xdr:cNvPicPr>
          <a:picLocks noChangeAspect="1"/>
        </xdr:cNvPicPr>
      </xdr:nvPicPr>
      <xdr:blipFill>
        <a:blip xmlns:r="http://schemas.openxmlformats.org/officeDocument/2006/relationships" r:embed="rId3112"/>
        <a:stretch>
          <a:fillRect/>
        </a:stretch>
      </xdr:blipFill>
      <xdr:spPr>
        <a:xfrm>
          <a:off x="7235825" y="4086517100"/>
          <a:ext cx="878840" cy="1183640"/>
        </a:xfrm>
        <a:prstGeom prst="rect">
          <a:avLst/>
        </a:prstGeom>
      </xdr:spPr>
    </xdr:pic>
    <xdr:clientData/>
  </xdr:twoCellAnchor>
  <xdr:twoCellAnchor>
    <xdr:from>
      <xdr:col>9</xdr:col>
      <xdr:colOff>6350</xdr:colOff>
      <xdr:row>4096</xdr:row>
      <xdr:rowOff>25400</xdr:rowOff>
    </xdr:from>
    <xdr:to>
      <xdr:col>9</xdr:col>
      <xdr:colOff>885190</xdr:colOff>
      <xdr:row>4096</xdr:row>
      <xdr:rowOff>1209040</xdr:rowOff>
    </xdr:to>
    <xdr:pic>
      <xdr:nvPicPr>
        <xdr:cNvPr id="8441" name="Изображение 8440" descr="resizeПП-00220144"/>
        <xdr:cNvPicPr>
          <a:picLocks noChangeAspect="1"/>
        </xdr:cNvPicPr>
      </xdr:nvPicPr>
      <xdr:blipFill>
        <a:blip xmlns:r="http://schemas.openxmlformats.org/officeDocument/2006/relationships" r:embed="rId3113"/>
        <a:stretch>
          <a:fillRect/>
        </a:stretch>
      </xdr:blipFill>
      <xdr:spPr>
        <a:xfrm>
          <a:off x="7235825" y="4087739475"/>
          <a:ext cx="878840" cy="1183640"/>
        </a:xfrm>
        <a:prstGeom prst="rect">
          <a:avLst/>
        </a:prstGeom>
      </xdr:spPr>
    </xdr:pic>
    <xdr:clientData/>
  </xdr:twoCellAnchor>
  <xdr:twoCellAnchor>
    <xdr:from>
      <xdr:col>9</xdr:col>
      <xdr:colOff>6350</xdr:colOff>
      <xdr:row>4099</xdr:row>
      <xdr:rowOff>25400</xdr:rowOff>
    </xdr:from>
    <xdr:to>
      <xdr:col>9</xdr:col>
      <xdr:colOff>885190</xdr:colOff>
      <xdr:row>4099</xdr:row>
      <xdr:rowOff>1209040</xdr:rowOff>
    </xdr:to>
    <xdr:pic>
      <xdr:nvPicPr>
        <xdr:cNvPr id="8442" name="Изображение 8441" descr="resizeПП-00234032"/>
        <xdr:cNvPicPr>
          <a:picLocks noChangeAspect="1"/>
        </xdr:cNvPicPr>
      </xdr:nvPicPr>
      <xdr:blipFill>
        <a:blip xmlns:r="http://schemas.openxmlformats.org/officeDocument/2006/relationships" r:embed="rId2784"/>
        <a:stretch>
          <a:fillRect/>
        </a:stretch>
      </xdr:blipFill>
      <xdr:spPr>
        <a:xfrm>
          <a:off x="7235825" y="4089266650"/>
          <a:ext cx="878840" cy="1183640"/>
        </a:xfrm>
        <a:prstGeom prst="rect">
          <a:avLst/>
        </a:prstGeom>
      </xdr:spPr>
    </xdr:pic>
    <xdr:clientData/>
  </xdr:twoCellAnchor>
  <xdr:twoCellAnchor>
    <xdr:from>
      <xdr:col>9</xdr:col>
      <xdr:colOff>6350</xdr:colOff>
      <xdr:row>4100</xdr:row>
      <xdr:rowOff>25400</xdr:rowOff>
    </xdr:from>
    <xdr:to>
      <xdr:col>9</xdr:col>
      <xdr:colOff>885190</xdr:colOff>
      <xdr:row>4100</xdr:row>
      <xdr:rowOff>1209040</xdr:rowOff>
    </xdr:to>
    <xdr:pic>
      <xdr:nvPicPr>
        <xdr:cNvPr id="8443" name="Изображение 8442" descr="resizeПП-00234035"/>
        <xdr:cNvPicPr>
          <a:picLocks noChangeAspect="1"/>
        </xdr:cNvPicPr>
      </xdr:nvPicPr>
      <xdr:blipFill>
        <a:blip xmlns:r="http://schemas.openxmlformats.org/officeDocument/2006/relationships" r:embed="rId3114"/>
        <a:stretch>
          <a:fillRect/>
        </a:stretch>
      </xdr:blipFill>
      <xdr:spPr>
        <a:xfrm>
          <a:off x="7235825" y="4090489025"/>
          <a:ext cx="878840" cy="1183640"/>
        </a:xfrm>
        <a:prstGeom prst="rect">
          <a:avLst/>
        </a:prstGeom>
      </xdr:spPr>
    </xdr:pic>
    <xdr:clientData/>
  </xdr:twoCellAnchor>
  <xdr:twoCellAnchor>
    <xdr:from>
      <xdr:col>9</xdr:col>
      <xdr:colOff>6350</xdr:colOff>
      <xdr:row>4101</xdr:row>
      <xdr:rowOff>25400</xdr:rowOff>
    </xdr:from>
    <xdr:to>
      <xdr:col>9</xdr:col>
      <xdr:colOff>885190</xdr:colOff>
      <xdr:row>4101</xdr:row>
      <xdr:rowOff>1209040</xdr:rowOff>
    </xdr:to>
    <xdr:pic>
      <xdr:nvPicPr>
        <xdr:cNvPr id="8444" name="Изображение 8443" descr="resizeПП-00234031"/>
        <xdr:cNvPicPr>
          <a:picLocks noChangeAspect="1"/>
        </xdr:cNvPicPr>
      </xdr:nvPicPr>
      <xdr:blipFill>
        <a:blip xmlns:r="http://schemas.openxmlformats.org/officeDocument/2006/relationships" r:embed="rId3115"/>
        <a:stretch>
          <a:fillRect/>
        </a:stretch>
      </xdr:blipFill>
      <xdr:spPr>
        <a:xfrm>
          <a:off x="7235825" y="4091711400"/>
          <a:ext cx="878840" cy="1183640"/>
        </a:xfrm>
        <a:prstGeom prst="rect">
          <a:avLst/>
        </a:prstGeom>
      </xdr:spPr>
    </xdr:pic>
    <xdr:clientData/>
  </xdr:twoCellAnchor>
  <xdr:twoCellAnchor>
    <xdr:from>
      <xdr:col>9</xdr:col>
      <xdr:colOff>6350</xdr:colOff>
      <xdr:row>4102</xdr:row>
      <xdr:rowOff>25400</xdr:rowOff>
    </xdr:from>
    <xdr:to>
      <xdr:col>9</xdr:col>
      <xdr:colOff>885190</xdr:colOff>
      <xdr:row>4102</xdr:row>
      <xdr:rowOff>1209040</xdr:rowOff>
    </xdr:to>
    <xdr:pic>
      <xdr:nvPicPr>
        <xdr:cNvPr id="8445" name="Изображение 8444" descr="resizeПП-00234033"/>
        <xdr:cNvPicPr>
          <a:picLocks noChangeAspect="1"/>
        </xdr:cNvPicPr>
      </xdr:nvPicPr>
      <xdr:blipFill>
        <a:blip xmlns:r="http://schemas.openxmlformats.org/officeDocument/2006/relationships" r:embed="rId3116"/>
        <a:stretch>
          <a:fillRect/>
        </a:stretch>
      </xdr:blipFill>
      <xdr:spPr>
        <a:xfrm>
          <a:off x="7235825" y="4092933775"/>
          <a:ext cx="878840" cy="1183640"/>
        </a:xfrm>
        <a:prstGeom prst="rect">
          <a:avLst/>
        </a:prstGeom>
      </xdr:spPr>
    </xdr:pic>
    <xdr:clientData/>
  </xdr:twoCellAnchor>
  <xdr:twoCellAnchor>
    <xdr:from>
      <xdr:col>9</xdr:col>
      <xdr:colOff>6350</xdr:colOff>
      <xdr:row>4103</xdr:row>
      <xdr:rowOff>25400</xdr:rowOff>
    </xdr:from>
    <xdr:to>
      <xdr:col>9</xdr:col>
      <xdr:colOff>885190</xdr:colOff>
      <xdr:row>4103</xdr:row>
      <xdr:rowOff>1209040</xdr:rowOff>
    </xdr:to>
    <xdr:pic>
      <xdr:nvPicPr>
        <xdr:cNvPr id="8446" name="Изображение 8445" descr="resizeПП-00261826"/>
        <xdr:cNvPicPr>
          <a:picLocks noChangeAspect="1"/>
        </xdr:cNvPicPr>
      </xdr:nvPicPr>
      <xdr:blipFill>
        <a:blip xmlns:r="http://schemas.openxmlformats.org/officeDocument/2006/relationships" r:embed="rId3117"/>
        <a:stretch>
          <a:fillRect/>
        </a:stretch>
      </xdr:blipFill>
      <xdr:spPr>
        <a:xfrm>
          <a:off x="7235825" y="4094156150"/>
          <a:ext cx="878840" cy="1183640"/>
        </a:xfrm>
        <a:prstGeom prst="rect">
          <a:avLst/>
        </a:prstGeom>
      </xdr:spPr>
    </xdr:pic>
    <xdr:clientData/>
  </xdr:twoCellAnchor>
  <xdr:twoCellAnchor>
    <xdr:from>
      <xdr:col>9</xdr:col>
      <xdr:colOff>6350</xdr:colOff>
      <xdr:row>4104</xdr:row>
      <xdr:rowOff>25400</xdr:rowOff>
    </xdr:from>
    <xdr:to>
      <xdr:col>9</xdr:col>
      <xdr:colOff>885190</xdr:colOff>
      <xdr:row>4104</xdr:row>
      <xdr:rowOff>1209040</xdr:rowOff>
    </xdr:to>
    <xdr:pic>
      <xdr:nvPicPr>
        <xdr:cNvPr id="8447" name="Изображение 8446" descr="resizeПП-00261827"/>
        <xdr:cNvPicPr>
          <a:picLocks noChangeAspect="1"/>
        </xdr:cNvPicPr>
      </xdr:nvPicPr>
      <xdr:blipFill>
        <a:blip xmlns:r="http://schemas.openxmlformats.org/officeDocument/2006/relationships" r:embed="rId3118"/>
        <a:stretch>
          <a:fillRect/>
        </a:stretch>
      </xdr:blipFill>
      <xdr:spPr>
        <a:xfrm>
          <a:off x="7235825" y="4095378525"/>
          <a:ext cx="878840" cy="1183640"/>
        </a:xfrm>
        <a:prstGeom prst="rect">
          <a:avLst/>
        </a:prstGeom>
      </xdr:spPr>
    </xdr:pic>
    <xdr:clientData/>
  </xdr:twoCellAnchor>
  <xdr:twoCellAnchor>
    <xdr:from>
      <xdr:col>9</xdr:col>
      <xdr:colOff>6350</xdr:colOff>
      <xdr:row>4105</xdr:row>
      <xdr:rowOff>25400</xdr:rowOff>
    </xdr:from>
    <xdr:to>
      <xdr:col>9</xdr:col>
      <xdr:colOff>885190</xdr:colOff>
      <xdr:row>4105</xdr:row>
      <xdr:rowOff>1209040</xdr:rowOff>
    </xdr:to>
    <xdr:pic>
      <xdr:nvPicPr>
        <xdr:cNvPr id="8448" name="Изображение 8447" descr="resizeПП-00261824"/>
        <xdr:cNvPicPr>
          <a:picLocks noChangeAspect="1"/>
        </xdr:cNvPicPr>
      </xdr:nvPicPr>
      <xdr:blipFill>
        <a:blip xmlns:r="http://schemas.openxmlformats.org/officeDocument/2006/relationships" r:embed="rId3119"/>
        <a:stretch>
          <a:fillRect/>
        </a:stretch>
      </xdr:blipFill>
      <xdr:spPr>
        <a:xfrm>
          <a:off x="7235825" y="4096600900"/>
          <a:ext cx="878840" cy="1183640"/>
        </a:xfrm>
        <a:prstGeom prst="rect">
          <a:avLst/>
        </a:prstGeom>
      </xdr:spPr>
    </xdr:pic>
    <xdr:clientData/>
  </xdr:twoCellAnchor>
  <xdr:twoCellAnchor>
    <xdr:from>
      <xdr:col>9</xdr:col>
      <xdr:colOff>6350</xdr:colOff>
      <xdr:row>4106</xdr:row>
      <xdr:rowOff>25400</xdr:rowOff>
    </xdr:from>
    <xdr:to>
      <xdr:col>9</xdr:col>
      <xdr:colOff>885190</xdr:colOff>
      <xdr:row>4106</xdr:row>
      <xdr:rowOff>1209040</xdr:rowOff>
    </xdr:to>
    <xdr:pic>
      <xdr:nvPicPr>
        <xdr:cNvPr id="8449" name="Изображение 8448" descr="resizeПП-00261825"/>
        <xdr:cNvPicPr>
          <a:picLocks noChangeAspect="1"/>
        </xdr:cNvPicPr>
      </xdr:nvPicPr>
      <xdr:blipFill>
        <a:blip xmlns:r="http://schemas.openxmlformats.org/officeDocument/2006/relationships" r:embed="rId3120"/>
        <a:stretch>
          <a:fillRect/>
        </a:stretch>
      </xdr:blipFill>
      <xdr:spPr>
        <a:xfrm>
          <a:off x="7235825" y="4097823275"/>
          <a:ext cx="878840" cy="1183640"/>
        </a:xfrm>
        <a:prstGeom prst="rect">
          <a:avLst/>
        </a:prstGeom>
      </xdr:spPr>
    </xdr:pic>
    <xdr:clientData/>
  </xdr:twoCellAnchor>
  <xdr:twoCellAnchor>
    <xdr:from>
      <xdr:col>9</xdr:col>
      <xdr:colOff>6350</xdr:colOff>
      <xdr:row>4107</xdr:row>
      <xdr:rowOff>25400</xdr:rowOff>
    </xdr:from>
    <xdr:to>
      <xdr:col>9</xdr:col>
      <xdr:colOff>885190</xdr:colOff>
      <xdr:row>4107</xdr:row>
      <xdr:rowOff>1209040</xdr:rowOff>
    </xdr:to>
    <xdr:pic>
      <xdr:nvPicPr>
        <xdr:cNvPr id="8450" name="Изображение 8449" descr="resizeПП-00261813"/>
        <xdr:cNvPicPr>
          <a:picLocks noChangeAspect="1"/>
        </xdr:cNvPicPr>
      </xdr:nvPicPr>
      <xdr:blipFill>
        <a:blip xmlns:r="http://schemas.openxmlformats.org/officeDocument/2006/relationships" r:embed="rId2791"/>
        <a:stretch>
          <a:fillRect/>
        </a:stretch>
      </xdr:blipFill>
      <xdr:spPr>
        <a:xfrm>
          <a:off x="7235825" y="4099045650"/>
          <a:ext cx="878840" cy="1183640"/>
        </a:xfrm>
        <a:prstGeom prst="rect">
          <a:avLst/>
        </a:prstGeom>
      </xdr:spPr>
    </xdr:pic>
    <xdr:clientData/>
  </xdr:twoCellAnchor>
  <xdr:twoCellAnchor>
    <xdr:from>
      <xdr:col>9</xdr:col>
      <xdr:colOff>6350</xdr:colOff>
      <xdr:row>4108</xdr:row>
      <xdr:rowOff>25400</xdr:rowOff>
    </xdr:from>
    <xdr:to>
      <xdr:col>9</xdr:col>
      <xdr:colOff>885190</xdr:colOff>
      <xdr:row>4108</xdr:row>
      <xdr:rowOff>1209040</xdr:rowOff>
    </xdr:to>
    <xdr:pic>
      <xdr:nvPicPr>
        <xdr:cNvPr id="8451" name="Изображение 8450" descr="resizeПП-00261814"/>
        <xdr:cNvPicPr>
          <a:picLocks noChangeAspect="1"/>
        </xdr:cNvPicPr>
      </xdr:nvPicPr>
      <xdr:blipFill>
        <a:blip xmlns:r="http://schemas.openxmlformats.org/officeDocument/2006/relationships" r:embed="rId2795"/>
        <a:stretch>
          <a:fillRect/>
        </a:stretch>
      </xdr:blipFill>
      <xdr:spPr>
        <a:xfrm>
          <a:off x="7235825" y="4100268025"/>
          <a:ext cx="878840" cy="1183640"/>
        </a:xfrm>
        <a:prstGeom prst="rect">
          <a:avLst/>
        </a:prstGeom>
      </xdr:spPr>
    </xdr:pic>
    <xdr:clientData/>
  </xdr:twoCellAnchor>
  <xdr:twoCellAnchor>
    <xdr:from>
      <xdr:col>9</xdr:col>
      <xdr:colOff>6350</xdr:colOff>
      <xdr:row>4109</xdr:row>
      <xdr:rowOff>25400</xdr:rowOff>
    </xdr:from>
    <xdr:to>
      <xdr:col>9</xdr:col>
      <xdr:colOff>885190</xdr:colOff>
      <xdr:row>4109</xdr:row>
      <xdr:rowOff>1209040</xdr:rowOff>
    </xdr:to>
    <xdr:pic>
      <xdr:nvPicPr>
        <xdr:cNvPr id="8452" name="Изображение 8451" descr="resizeПП-00261768"/>
        <xdr:cNvPicPr>
          <a:picLocks noChangeAspect="1"/>
        </xdr:cNvPicPr>
      </xdr:nvPicPr>
      <xdr:blipFill>
        <a:blip xmlns:r="http://schemas.openxmlformats.org/officeDocument/2006/relationships" r:embed="rId3121"/>
        <a:stretch>
          <a:fillRect/>
        </a:stretch>
      </xdr:blipFill>
      <xdr:spPr>
        <a:xfrm>
          <a:off x="7235825" y="4101490400"/>
          <a:ext cx="878840" cy="1183640"/>
        </a:xfrm>
        <a:prstGeom prst="rect">
          <a:avLst/>
        </a:prstGeom>
      </xdr:spPr>
    </xdr:pic>
    <xdr:clientData/>
  </xdr:twoCellAnchor>
  <xdr:twoCellAnchor>
    <xdr:from>
      <xdr:col>9</xdr:col>
      <xdr:colOff>6350</xdr:colOff>
      <xdr:row>4110</xdr:row>
      <xdr:rowOff>25400</xdr:rowOff>
    </xdr:from>
    <xdr:to>
      <xdr:col>9</xdr:col>
      <xdr:colOff>885190</xdr:colOff>
      <xdr:row>4110</xdr:row>
      <xdr:rowOff>1209040</xdr:rowOff>
    </xdr:to>
    <xdr:pic>
      <xdr:nvPicPr>
        <xdr:cNvPr id="8453" name="Изображение 8452" descr="resizeПП-00261754"/>
        <xdr:cNvPicPr>
          <a:picLocks noChangeAspect="1"/>
        </xdr:cNvPicPr>
      </xdr:nvPicPr>
      <xdr:blipFill>
        <a:blip xmlns:r="http://schemas.openxmlformats.org/officeDocument/2006/relationships" r:embed="rId2888"/>
        <a:stretch>
          <a:fillRect/>
        </a:stretch>
      </xdr:blipFill>
      <xdr:spPr>
        <a:xfrm>
          <a:off x="7235825" y="4102712775"/>
          <a:ext cx="878840" cy="1183640"/>
        </a:xfrm>
        <a:prstGeom prst="rect">
          <a:avLst/>
        </a:prstGeom>
      </xdr:spPr>
    </xdr:pic>
    <xdr:clientData/>
  </xdr:twoCellAnchor>
  <xdr:twoCellAnchor>
    <xdr:from>
      <xdr:col>9</xdr:col>
      <xdr:colOff>6350</xdr:colOff>
      <xdr:row>4111</xdr:row>
      <xdr:rowOff>25400</xdr:rowOff>
    </xdr:from>
    <xdr:to>
      <xdr:col>9</xdr:col>
      <xdr:colOff>885190</xdr:colOff>
      <xdr:row>4111</xdr:row>
      <xdr:rowOff>1209040</xdr:rowOff>
    </xdr:to>
    <xdr:pic>
      <xdr:nvPicPr>
        <xdr:cNvPr id="8454" name="Изображение 8453" descr="resizeПП-00261755"/>
        <xdr:cNvPicPr>
          <a:picLocks noChangeAspect="1"/>
        </xdr:cNvPicPr>
      </xdr:nvPicPr>
      <xdr:blipFill>
        <a:blip xmlns:r="http://schemas.openxmlformats.org/officeDocument/2006/relationships" r:embed="rId3122"/>
        <a:stretch>
          <a:fillRect/>
        </a:stretch>
      </xdr:blipFill>
      <xdr:spPr>
        <a:xfrm>
          <a:off x="7235825" y="4103935150"/>
          <a:ext cx="878840" cy="1183640"/>
        </a:xfrm>
        <a:prstGeom prst="rect">
          <a:avLst/>
        </a:prstGeom>
      </xdr:spPr>
    </xdr:pic>
    <xdr:clientData/>
  </xdr:twoCellAnchor>
  <xdr:twoCellAnchor>
    <xdr:from>
      <xdr:col>9</xdr:col>
      <xdr:colOff>6350</xdr:colOff>
      <xdr:row>4112</xdr:row>
      <xdr:rowOff>25400</xdr:rowOff>
    </xdr:from>
    <xdr:to>
      <xdr:col>9</xdr:col>
      <xdr:colOff>885190</xdr:colOff>
      <xdr:row>4112</xdr:row>
      <xdr:rowOff>1209040</xdr:rowOff>
    </xdr:to>
    <xdr:pic>
      <xdr:nvPicPr>
        <xdr:cNvPr id="8455" name="Изображение 8454" descr="resizeПП-00261769"/>
        <xdr:cNvPicPr>
          <a:picLocks noChangeAspect="1"/>
        </xdr:cNvPicPr>
      </xdr:nvPicPr>
      <xdr:blipFill>
        <a:blip xmlns:r="http://schemas.openxmlformats.org/officeDocument/2006/relationships" r:embed="rId3123"/>
        <a:stretch>
          <a:fillRect/>
        </a:stretch>
      </xdr:blipFill>
      <xdr:spPr>
        <a:xfrm>
          <a:off x="7235825" y="4105157525"/>
          <a:ext cx="878840" cy="1183640"/>
        </a:xfrm>
        <a:prstGeom prst="rect">
          <a:avLst/>
        </a:prstGeom>
      </xdr:spPr>
    </xdr:pic>
    <xdr:clientData/>
  </xdr:twoCellAnchor>
  <xdr:twoCellAnchor>
    <xdr:from>
      <xdr:col>9</xdr:col>
      <xdr:colOff>6350</xdr:colOff>
      <xdr:row>4113</xdr:row>
      <xdr:rowOff>25400</xdr:rowOff>
    </xdr:from>
    <xdr:to>
      <xdr:col>9</xdr:col>
      <xdr:colOff>885190</xdr:colOff>
      <xdr:row>4113</xdr:row>
      <xdr:rowOff>1209040</xdr:rowOff>
    </xdr:to>
    <xdr:pic>
      <xdr:nvPicPr>
        <xdr:cNvPr id="8456" name="Изображение 8455" descr="resizeПП-00261753"/>
        <xdr:cNvPicPr>
          <a:picLocks noChangeAspect="1"/>
        </xdr:cNvPicPr>
      </xdr:nvPicPr>
      <xdr:blipFill>
        <a:blip xmlns:r="http://schemas.openxmlformats.org/officeDocument/2006/relationships" r:embed="rId3124"/>
        <a:stretch>
          <a:fillRect/>
        </a:stretch>
      </xdr:blipFill>
      <xdr:spPr>
        <a:xfrm>
          <a:off x="7235825" y="4106379900"/>
          <a:ext cx="878840" cy="1183640"/>
        </a:xfrm>
        <a:prstGeom prst="rect">
          <a:avLst/>
        </a:prstGeom>
      </xdr:spPr>
    </xdr:pic>
    <xdr:clientData/>
  </xdr:twoCellAnchor>
  <xdr:twoCellAnchor>
    <xdr:from>
      <xdr:col>9</xdr:col>
      <xdr:colOff>6350</xdr:colOff>
      <xdr:row>4114</xdr:row>
      <xdr:rowOff>25400</xdr:rowOff>
    </xdr:from>
    <xdr:to>
      <xdr:col>9</xdr:col>
      <xdr:colOff>885190</xdr:colOff>
      <xdr:row>4114</xdr:row>
      <xdr:rowOff>1209040</xdr:rowOff>
    </xdr:to>
    <xdr:pic>
      <xdr:nvPicPr>
        <xdr:cNvPr id="8457" name="Изображение 8456" descr="resizeПП-00236173"/>
        <xdr:cNvPicPr>
          <a:picLocks noChangeAspect="1"/>
        </xdr:cNvPicPr>
      </xdr:nvPicPr>
      <xdr:blipFill>
        <a:blip xmlns:r="http://schemas.openxmlformats.org/officeDocument/2006/relationships" r:embed="rId3125"/>
        <a:stretch>
          <a:fillRect/>
        </a:stretch>
      </xdr:blipFill>
      <xdr:spPr>
        <a:xfrm>
          <a:off x="7235825" y="4107602275"/>
          <a:ext cx="878840" cy="1183640"/>
        </a:xfrm>
        <a:prstGeom prst="rect">
          <a:avLst/>
        </a:prstGeom>
      </xdr:spPr>
    </xdr:pic>
    <xdr:clientData/>
  </xdr:twoCellAnchor>
  <xdr:twoCellAnchor>
    <xdr:from>
      <xdr:col>9</xdr:col>
      <xdr:colOff>6350</xdr:colOff>
      <xdr:row>4115</xdr:row>
      <xdr:rowOff>25400</xdr:rowOff>
    </xdr:from>
    <xdr:to>
      <xdr:col>9</xdr:col>
      <xdr:colOff>885190</xdr:colOff>
      <xdr:row>4115</xdr:row>
      <xdr:rowOff>1209040</xdr:rowOff>
    </xdr:to>
    <xdr:pic>
      <xdr:nvPicPr>
        <xdr:cNvPr id="8458" name="Изображение 8457" descr="resizeПП-00236195"/>
        <xdr:cNvPicPr>
          <a:picLocks noChangeAspect="1"/>
        </xdr:cNvPicPr>
      </xdr:nvPicPr>
      <xdr:blipFill>
        <a:blip xmlns:r="http://schemas.openxmlformats.org/officeDocument/2006/relationships" r:embed="rId3126"/>
        <a:stretch>
          <a:fillRect/>
        </a:stretch>
      </xdr:blipFill>
      <xdr:spPr>
        <a:xfrm>
          <a:off x="7235825" y="4108824650"/>
          <a:ext cx="878840" cy="1183640"/>
        </a:xfrm>
        <a:prstGeom prst="rect">
          <a:avLst/>
        </a:prstGeom>
      </xdr:spPr>
    </xdr:pic>
    <xdr:clientData/>
  </xdr:twoCellAnchor>
  <xdr:twoCellAnchor>
    <xdr:from>
      <xdr:col>9</xdr:col>
      <xdr:colOff>6350</xdr:colOff>
      <xdr:row>4116</xdr:row>
      <xdr:rowOff>25400</xdr:rowOff>
    </xdr:from>
    <xdr:to>
      <xdr:col>9</xdr:col>
      <xdr:colOff>885190</xdr:colOff>
      <xdr:row>4116</xdr:row>
      <xdr:rowOff>1209040</xdr:rowOff>
    </xdr:to>
    <xdr:pic>
      <xdr:nvPicPr>
        <xdr:cNvPr id="8459" name="Изображение 8458" descr="resizeПП-00236204"/>
        <xdr:cNvPicPr>
          <a:picLocks noChangeAspect="1"/>
        </xdr:cNvPicPr>
      </xdr:nvPicPr>
      <xdr:blipFill>
        <a:blip xmlns:r="http://schemas.openxmlformats.org/officeDocument/2006/relationships" r:embed="rId3127"/>
        <a:stretch>
          <a:fillRect/>
        </a:stretch>
      </xdr:blipFill>
      <xdr:spPr>
        <a:xfrm>
          <a:off x="7235825" y="4110047025"/>
          <a:ext cx="878840" cy="1183640"/>
        </a:xfrm>
        <a:prstGeom prst="rect">
          <a:avLst/>
        </a:prstGeom>
      </xdr:spPr>
    </xdr:pic>
    <xdr:clientData/>
  </xdr:twoCellAnchor>
  <xdr:twoCellAnchor>
    <xdr:from>
      <xdr:col>9</xdr:col>
      <xdr:colOff>6350</xdr:colOff>
      <xdr:row>4117</xdr:row>
      <xdr:rowOff>25400</xdr:rowOff>
    </xdr:from>
    <xdr:to>
      <xdr:col>9</xdr:col>
      <xdr:colOff>885190</xdr:colOff>
      <xdr:row>4117</xdr:row>
      <xdr:rowOff>1209040</xdr:rowOff>
    </xdr:to>
    <xdr:pic>
      <xdr:nvPicPr>
        <xdr:cNvPr id="8460" name="Изображение 8459" descr="resizeПП-00236183"/>
        <xdr:cNvPicPr>
          <a:picLocks noChangeAspect="1"/>
        </xdr:cNvPicPr>
      </xdr:nvPicPr>
      <xdr:blipFill>
        <a:blip xmlns:r="http://schemas.openxmlformats.org/officeDocument/2006/relationships" r:embed="rId2902"/>
        <a:stretch>
          <a:fillRect/>
        </a:stretch>
      </xdr:blipFill>
      <xdr:spPr>
        <a:xfrm>
          <a:off x="7235825" y="4111269400"/>
          <a:ext cx="878840" cy="1183640"/>
        </a:xfrm>
        <a:prstGeom prst="rect">
          <a:avLst/>
        </a:prstGeom>
      </xdr:spPr>
    </xdr:pic>
    <xdr:clientData/>
  </xdr:twoCellAnchor>
  <xdr:twoCellAnchor>
    <xdr:from>
      <xdr:col>9</xdr:col>
      <xdr:colOff>6350</xdr:colOff>
      <xdr:row>4118</xdr:row>
      <xdr:rowOff>25400</xdr:rowOff>
    </xdr:from>
    <xdr:to>
      <xdr:col>9</xdr:col>
      <xdr:colOff>885190</xdr:colOff>
      <xdr:row>4118</xdr:row>
      <xdr:rowOff>1209040</xdr:rowOff>
    </xdr:to>
    <xdr:pic>
      <xdr:nvPicPr>
        <xdr:cNvPr id="8461" name="Изображение 8460" descr="resizeПП-00236176"/>
        <xdr:cNvPicPr>
          <a:picLocks noChangeAspect="1"/>
        </xdr:cNvPicPr>
      </xdr:nvPicPr>
      <xdr:blipFill>
        <a:blip xmlns:r="http://schemas.openxmlformats.org/officeDocument/2006/relationships" r:embed="rId3128"/>
        <a:stretch>
          <a:fillRect/>
        </a:stretch>
      </xdr:blipFill>
      <xdr:spPr>
        <a:xfrm>
          <a:off x="7235825" y="4112491775"/>
          <a:ext cx="878840" cy="1183640"/>
        </a:xfrm>
        <a:prstGeom prst="rect">
          <a:avLst/>
        </a:prstGeom>
      </xdr:spPr>
    </xdr:pic>
    <xdr:clientData/>
  </xdr:twoCellAnchor>
  <xdr:twoCellAnchor>
    <xdr:from>
      <xdr:col>9</xdr:col>
      <xdr:colOff>6350</xdr:colOff>
      <xdr:row>4119</xdr:row>
      <xdr:rowOff>25400</xdr:rowOff>
    </xdr:from>
    <xdr:to>
      <xdr:col>9</xdr:col>
      <xdr:colOff>885190</xdr:colOff>
      <xdr:row>4119</xdr:row>
      <xdr:rowOff>1209040</xdr:rowOff>
    </xdr:to>
    <xdr:pic>
      <xdr:nvPicPr>
        <xdr:cNvPr id="8462" name="Изображение 8461" descr="resizeПП-00261553"/>
        <xdr:cNvPicPr>
          <a:picLocks noChangeAspect="1"/>
        </xdr:cNvPicPr>
      </xdr:nvPicPr>
      <xdr:blipFill>
        <a:blip xmlns:r="http://schemas.openxmlformats.org/officeDocument/2006/relationships" r:embed="rId3129"/>
        <a:stretch>
          <a:fillRect/>
        </a:stretch>
      </xdr:blipFill>
      <xdr:spPr>
        <a:xfrm>
          <a:off x="7235825" y="4113714150"/>
          <a:ext cx="878840" cy="1183640"/>
        </a:xfrm>
        <a:prstGeom prst="rect">
          <a:avLst/>
        </a:prstGeom>
      </xdr:spPr>
    </xdr:pic>
    <xdr:clientData/>
  </xdr:twoCellAnchor>
  <xdr:twoCellAnchor>
    <xdr:from>
      <xdr:col>9</xdr:col>
      <xdr:colOff>6350</xdr:colOff>
      <xdr:row>4120</xdr:row>
      <xdr:rowOff>25400</xdr:rowOff>
    </xdr:from>
    <xdr:to>
      <xdr:col>9</xdr:col>
      <xdr:colOff>885190</xdr:colOff>
      <xdr:row>4120</xdr:row>
      <xdr:rowOff>1209040</xdr:rowOff>
    </xdr:to>
    <xdr:pic>
      <xdr:nvPicPr>
        <xdr:cNvPr id="8463" name="Изображение 8462" descr="resizeПП-00261551"/>
        <xdr:cNvPicPr>
          <a:picLocks noChangeAspect="1"/>
        </xdr:cNvPicPr>
      </xdr:nvPicPr>
      <xdr:blipFill>
        <a:blip xmlns:r="http://schemas.openxmlformats.org/officeDocument/2006/relationships" r:embed="rId3130"/>
        <a:stretch>
          <a:fillRect/>
        </a:stretch>
      </xdr:blipFill>
      <xdr:spPr>
        <a:xfrm>
          <a:off x="7235825" y="4114936525"/>
          <a:ext cx="878840" cy="1183640"/>
        </a:xfrm>
        <a:prstGeom prst="rect">
          <a:avLst/>
        </a:prstGeom>
      </xdr:spPr>
    </xdr:pic>
    <xdr:clientData/>
  </xdr:twoCellAnchor>
  <xdr:twoCellAnchor>
    <xdr:from>
      <xdr:col>9</xdr:col>
      <xdr:colOff>6350</xdr:colOff>
      <xdr:row>4121</xdr:row>
      <xdr:rowOff>25400</xdr:rowOff>
    </xdr:from>
    <xdr:to>
      <xdr:col>9</xdr:col>
      <xdr:colOff>885190</xdr:colOff>
      <xdr:row>4121</xdr:row>
      <xdr:rowOff>1209040</xdr:rowOff>
    </xdr:to>
    <xdr:pic>
      <xdr:nvPicPr>
        <xdr:cNvPr id="8464" name="Изображение 8463" descr="resizeПП-00261483"/>
        <xdr:cNvPicPr>
          <a:picLocks noChangeAspect="1"/>
        </xdr:cNvPicPr>
      </xdr:nvPicPr>
      <xdr:blipFill>
        <a:blip xmlns:r="http://schemas.openxmlformats.org/officeDocument/2006/relationships" r:embed="rId3131"/>
        <a:stretch>
          <a:fillRect/>
        </a:stretch>
      </xdr:blipFill>
      <xdr:spPr>
        <a:xfrm>
          <a:off x="7235825" y="4116158900"/>
          <a:ext cx="878840" cy="1183640"/>
        </a:xfrm>
        <a:prstGeom prst="rect">
          <a:avLst/>
        </a:prstGeom>
      </xdr:spPr>
    </xdr:pic>
    <xdr:clientData/>
  </xdr:twoCellAnchor>
  <xdr:twoCellAnchor>
    <xdr:from>
      <xdr:col>9</xdr:col>
      <xdr:colOff>6350</xdr:colOff>
      <xdr:row>4122</xdr:row>
      <xdr:rowOff>25400</xdr:rowOff>
    </xdr:from>
    <xdr:to>
      <xdr:col>9</xdr:col>
      <xdr:colOff>885190</xdr:colOff>
      <xdr:row>4122</xdr:row>
      <xdr:rowOff>1209040</xdr:rowOff>
    </xdr:to>
    <xdr:pic>
      <xdr:nvPicPr>
        <xdr:cNvPr id="8465" name="Изображение 8464" descr="resizeПП-00261508"/>
        <xdr:cNvPicPr>
          <a:picLocks noChangeAspect="1"/>
        </xdr:cNvPicPr>
      </xdr:nvPicPr>
      <xdr:blipFill>
        <a:blip xmlns:r="http://schemas.openxmlformats.org/officeDocument/2006/relationships" r:embed="rId3132"/>
        <a:stretch>
          <a:fillRect/>
        </a:stretch>
      </xdr:blipFill>
      <xdr:spPr>
        <a:xfrm>
          <a:off x="7235825" y="4117381275"/>
          <a:ext cx="878840" cy="1183640"/>
        </a:xfrm>
        <a:prstGeom prst="rect">
          <a:avLst/>
        </a:prstGeom>
      </xdr:spPr>
    </xdr:pic>
    <xdr:clientData/>
  </xdr:twoCellAnchor>
  <xdr:twoCellAnchor>
    <xdr:from>
      <xdr:col>9</xdr:col>
      <xdr:colOff>6350</xdr:colOff>
      <xdr:row>4123</xdr:row>
      <xdr:rowOff>25400</xdr:rowOff>
    </xdr:from>
    <xdr:to>
      <xdr:col>9</xdr:col>
      <xdr:colOff>885190</xdr:colOff>
      <xdr:row>4123</xdr:row>
      <xdr:rowOff>1209040</xdr:rowOff>
    </xdr:to>
    <xdr:pic>
      <xdr:nvPicPr>
        <xdr:cNvPr id="8466" name="Изображение 8465" descr="resizeПП-00261510"/>
        <xdr:cNvPicPr>
          <a:picLocks noChangeAspect="1"/>
        </xdr:cNvPicPr>
      </xdr:nvPicPr>
      <xdr:blipFill>
        <a:blip xmlns:r="http://schemas.openxmlformats.org/officeDocument/2006/relationships" r:embed="rId3133"/>
        <a:stretch>
          <a:fillRect/>
        </a:stretch>
      </xdr:blipFill>
      <xdr:spPr>
        <a:xfrm>
          <a:off x="7235825" y="4118603650"/>
          <a:ext cx="878840" cy="1183640"/>
        </a:xfrm>
        <a:prstGeom prst="rect">
          <a:avLst/>
        </a:prstGeom>
      </xdr:spPr>
    </xdr:pic>
    <xdr:clientData/>
  </xdr:twoCellAnchor>
  <xdr:twoCellAnchor>
    <xdr:from>
      <xdr:col>9</xdr:col>
      <xdr:colOff>6350</xdr:colOff>
      <xdr:row>4124</xdr:row>
      <xdr:rowOff>25400</xdr:rowOff>
    </xdr:from>
    <xdr:to>
      <xdr:col>9</xdr:col>
      <xdr:colOff>885190</xdr:colOff>
      <xdr:row>4124</xdr:row>
      <xdr:rowOff>1209040</xdr:rowOff>
    </xdr:to>
    <xdr:pic>
      <xdr:nvPicPr>
        <xdr:cNvPr id="8467" name="Изображение 8466" descr="resizeПП-00261531"/>
        <xdr:cNvPicPr>
          <a:picLocks noChangeAspect="1"/>
        </xdr:cNvPicPr>
      </xdr:nvPicPr>
      <xdr:blipFill>
        <a:blip xmlns:r="http://schemas.openxmlformats.org/officeDocument/2006/relationships" r:embed="rId3134"/>
        <a:stretch>
          <a:fillRect/>
        </a:stretch>
      </xdr:blipFill>
      <xdr:spPr>
        <a:xfrm>
          <a:off x="7235825" y="4119826025"/>
          <a:ext cx="878840" cy="1183640"/>
        </a:xfrm>
        <a:prstGeom prst="rect">
          <a:avLst/>
        </a:prstGeom>
      </xdr:spPr>
    </xdr:pic>
    <xdr:clientData/>
  </xdr:twoCellAnchor>
  <xdr:twoCellAnchor>
    <xdr:from>
      <xdr:col>9</xdr:col>
      <xdr:colOff>6350</xdr:colOff>
      <xdr:row>4125</xdr:row>
      <xdr:rowOff>25400</xdr:rowOff>
    </xdr:from>
    <xdr:to>
      <xdr:col>9</xdr:col>
      <xdr:colOff>885190</xdr:colOff>
      <xdr:row>4125</xdr:row>
      <xdr:rowOff>1209040</xdr:rowOff>
    </xdr:to>
    <xdr:pic>
      <xdr:nvPicPr>
        <xdr:cNvPr id="8468" name="Изображение 8467" descr="resizeПП-00261534"/>
        <xdr:cNvPicPr>
          <a:picLocks noChangeAspect="1"/>
        </xdr:cNvPicPr>
      </xdr:nvPicPr>
      <xdr:blipFill>
        <a:blip xmlns:r="http://schemas.openxmlformats.org/officeDocument/2006/relationships" r:embed="rId3135"/>
        <a:stretch>
          <a:fillRect/>
        </a:stretch>
      </xdr:blipFill>
      <xdr:spPr>
        <a:xfrm>
          <a:off x="7235825" y="4121048400"/>
          <a:ext cx="878840" cy="1183640"/>
        </a:xfrm>
        <a:prstGeom prst="rect">
          <a:avLst/>
        </a:prstGeom>
      </xdr:spPr>
    </xdr:pic>
    <xdr:clientData/>
  </xdr:twoCellAnchor>
  <xdr:twoCellAnchor>
    <xdr:from>
      <xdr:col>9</xdr:col>
      <xdr:colOff>6350</xdr:colOff>
      <xdr:row>4126</xdr:row>
      <xdr:rowOff>25400</xdr:rowOff>
    </xdr:from>
    <xdr:to>
      <xdr:col>9</xdr:col>
      <xdr:colOff>885190</xdr:colOff>
      <xdr:row>4126</xdr:row>
      <xdr:rowOff>1209040</xdr:rowOff>
    </xdr:to>
    <xdr:pic>
      <xdr:nvPicPr>
        <xdr:cNvPr id="8469" name="Изображение 8468" descr="resizeПП-00261545"/>
        <xdr:cNvPicPr>
          <a:picLocks noChangeAspect="1"/>
        </xdr:cNvPicPr>
      </xdr:nvPicPr>
      <xdr:blipFill>
        <a:blip xmlns:r="http://schemas.openxmlformats.org/officeDocument/2006/relationships" r:embed="rId3136"/>
        <a:stretch>
          <a:fillRect/>
        </a:stretch>
      </xdr:blipFill>
      <xdr:spPr>
        <a:xfrm>
          <a:off x="7235825" y="4122270775"/>
          <a:ext cx="878840" cy="1183640"/>
        </a:xfrm>
        <a:prstGeom prst="rect">
          <a:avLst/>
        </a:prstGeom>
      </xdr:spPr>
    </xdr:pic>
    <xdr:clientData/>
  </xdr:twoCellAnchor>
  <xdr:twoCellAnchor>
    <xdr:from>
      <xdr:col>9</xdr:col>
      <xdr:colOff>6350</xdr:colOff>
      <xdr:row>4127</xdr:row>
      <xdr:rowOff>25400</xdr:rowOff>
    </xdr:from>
    <xdr:to>
      <xdr:col>9</xdr:col>
      <xdr:colOff>885190</xdr:colOff>
      <xdr:row>4127</xdr:row>
      <xdr:rowOff>1209040</xdr:rowOff>
    </xdr:to>
    <xdr:pic>
      <xdr:nvPicPr>
        <xdr:cNvPr id="8470" name="Изображение 8469" descr="resizeПП-00261535"/>
        <xdr:cNvPicPr>
          <a:picLocks noChangeAspect="1"/>
        </xdr:cNvPicPr>
      </xdr:nvPicPr>
      <xdr:blipFill>
        <a:blip xmlns:r="http://schemas.openxmlformats.org/officeDocument/2006/relationships" r:embed="rId3137"/>
        <a:stretch>
          <a:fillRect/>
        </a:stretch>
      </xdr:blipFill>
      <xdr:spPr>
        <a:xfrm>
          <a:off x="7235825" y="4123493150"/>
          <a:ext cx="878840" cy="1183640"/>
        </a:xfrm>
        <a:prstGeom prst="rect">
          <a:avLst/>
        </a:prstGeom>
      </xdr:spPr>
    </xdr:pic>
    <xdr:clientData/>
  </xdr:twoCellAnchor>
  <xdr:twoCellAnchor>
    <xdr:from>
      <xdr:col>9</xdr:col>
      <xdr:colOff>6350</xdr:colOff>
      <xdr:row>4128</xdr:row>
      <xdr:rowOff>25400</xdr:rowOff>
    </xdr:from>
    <xdr:to>
      <xdr:col>9</xdr:col>
      <xdr:colOff>885190</xdr:colOff>
      <xdr:row>4128</xdr:row>
      <xdr:rowOff>1209040</xdr:rowOff>
    </xdr:to>
    <xdr:pic>
      <xdr:nvPicPr>
        <xdr:cNvPr id="8471" name="Изображение 8470" descr="resizeПП-00261482"/>
        <xdr:cNvPicPr>
          <a:picLocks noChangeAspect="1"/>
        </xdr:cNvPicPr>
      </xdr:nvPicPr>
      <xdr:blipFill>
        <a:blip xmlns:r="http://schemas.openxmlformats.org/officeDocument/2006/relationships" r:embed="rId3138"/>
        <a:stretch>
          <a:fillRect/>
        </a:stretch>
      </xdr:blipFill>
      <xdr:spPr>
        <a:xfrm>
          <a:off x="7235825" y="4124715525"/>
          <a:ext cx="878840" cy="1183640"/>
        </a:xfrm>
        <a:prstGeom prst="rect">
          <a:avLst/>
        </a:prstGeom>
      </xdr:spPr>
    </xdr:pic>
    <xdr:clientData/>
  </xdr:twoCellAnchor>
  <xdr:twoCellAnchor>
    <xdr:from>
      <xdr:col>9</xdr:col>
      <xdr:colOff>6350</xdr:colOff>
      <xdr:row>4129</xdr:row>
      <xdr:rowOff>25400</xdr:rowOff>
    </xdr:from>
    <xdr:to>
      <xdr:col>9</xdr:col>
      <xdr:colOff>885190</xdr:colOff>
      <xdr:row>4129</xdr:row>
      <xdr:rowOff>1209040</xdr:rowOff>
    </xdr:to>
    <xdr:pic>
      <xdr:nvPicPr>
        <xdr:cNvPr id="8472" name="Изображение 8471" descr="resizeПП-00261503"/>
        <xdr:cNvPicPr>
          <a:picLocks noChangeAspect="1"/>
        </xdr:cNvPicPr>
      </xdr:nvPicPr>
      <xdr:blipFill>
        <a:blip xmlns:r="http://schemas.openxmlformats.org/officeDocument/2006/relationships" r:embed="rId3139"/>
        <a:stretch>
          <a:fillRect/>
        </a:stretch>
      </xdr:blipFill>
      <xdr:spPr>
        <a:xfrm>
          <a:off x="7235825" y="4125937900"/>
          <a:ext cx="878840" cy="1183640"/>
        </a:xfrm>
        <a:prstGeom prst="rect">
          <a:avLst/>
        </a:prstGeom>
      </xdr:spPr>
    </xdr:pic>
    <xdr:clientData/>
  </xdr:twoCellAnchor>
  <xdr:twoCellAnchor>
    <xdr:from>
      <xdr:col>9</xdr:col>
      <xdr:colOff>6350</xdr:colOff>
      <xdr:row>4130</xdr:row>
      <xdr:rowOff>25400</xdr:rowOff>
    </xdr:from>
    <xdr:to>
      <xdr:col>9</xdr:col>
      <xdr:colOff>885190</xdr:colOff>
      <xdr:row>4130</xdr:row>
      <xdr:rowOff>1209040</xdr:rowOff>
    </xdr:to>
    <xdr:pic>
      <xdr:nvPicPr>
        <xdr:cNvPr id="8473" name="Изображение 8472" descr="resizeПП-00261499"/>
        <xdr:cNvPicPr>
          <a:picLocks noChangeAspect="1"/>
        </xdr:cNvPicPr>
      </xdr:nvPicPr>
      <xdr:blipFill>
        <a:blip xmlns:r="http://schemas.openxmlformats.org/officeDocument/2006/relationships" r:embed="rId3140"/>
        <a:stretch>
          <a:fillRect/>
        </a:stretch>
      </xdr:blipFill>
      <xdr:spPr>
        <a:xfrm>
          <a:off x="7235825" y="4127160275"/>
          <a:ext cx="878840" cy="1183640"/>
        </a:xfrm>
        <a:prstGeom prst="rect">
          <a:avLst/>
        </a:prstGeom>
      </xdr:spPr>
    </xdr:pic>
    <xdr:clientData/>
  </xdr:twoCellAnchor>
  <xdr:twoCellAnchor>
    <xdr:from>
      <xdr:col>9</xdr:col>
      <xdr:colOff>6350</xdr:colOff>
      <xdr:row>4131</xdr:row>
      <xdr:rowOff>25400</xdr:rowOff>
    </xdr:from>
    <xdr:to>
      <xdr:col>9</xdr:col>
      <xdr:colOff>885190</xdr:colOff>
      <xdr:row>4131</xdr:row>
      <xdr:rowOff>1209040</xdr:rowOff>
    </xdr:to>
    <xdr:pic>
      <xdr:nvPicPr>
        <xdr:cNvPr id="8474" name="Изображение 8473" descr="resizeПП-00261537"/>
        <xdr:cNvPicPr>
          <a:picLocks noChangeAspect="1"/>
        </xdr:cNvPicPr>
      </xdr:nvPicPr>
      <xdr:blipFill>
        <a:blip xmlns:r="http://schemas.openxmlformats.org/officeDocument/2006/relationships" r:embed="rId3141"/>
        <a:stretch>
          <a:fillRect/>
        </a:stretch>
      </xdr:blipFill>
      <xdr:spPr>
        <a:xfrm>
          <a:off x="7235825" y="4128382650"/>
          <a:ext cx="878840" cy="1183640"/>
        </a:xfrm>
        <a:prstGeom prst="rect">
          <a:avLst/>
        </a:prstGeom>
      </xdr:spPr>
    </xdr:pic>
    <xdr:clientData/>
  </xdr:twoCellAnchor>
  <xdr:twoCellAnchor>
    <xdr:from>
      <xdr:col>9</xdr:col>
      <xdr:colOff>6350</xdr:colOff>
      <xdr:row>4132</xdr:row>
      <xdr:rowOff>25400</xdr:rowOff>
    </xdr:from>
    <xdr:to>
      <xdr:col>9</xdr:col>
      <xdr:colOff>885190</xdr:colOff>
      <xdr:row>4132</xdr:row>
      <xdr:rowOff>1209040</xdr:rowOff>
    </xdr:to>
    <xdr:pic>
      <xdr:nvPicPr>
        <xdr:cNvPr id="8475" name="Изображение 8474" descr="resizeПП-00261497"/>
        <xdr:cNvPicPr>
          <a:picLocks noChangeAspect="1"/>
        </xdr:cNvPicPr>
      </xdr:nvPicPr>
      <xdr:blipFill>
        <a:blip xmlns:r="http://schemas.openxmlformats.org/officeDocument/2006/relationships" r:embed="rId3142"/>
        <a:stretch>
          <a:fillRect/>
        </a:stretch>
      </xdr:blipFill>
      <xdr:spPr>
        <a:xfrm>
          <a:off x="7235825" y="4129605025"/>
          <a:ext cx="878840" cy="1183640"/>
        </a:xfrm>
        <a:prstGeom prst="rect">
          <a:avLst/>
        </a:prstGeom>
      </xdr:spPr>
    </xdr:pic>
    <xdr:clientData/>
  </xdr:twoCellAnchor>
  <xdr:twoCellAnchor>
    <xdr:from>
      <xdr:col>9</xdr:col>
      <xdr:colOff>6350</xdr:colOff>
      <xdr:row>4133</xdr:row>
      <xdr:rowOff>25400</xdr:rowOff>
    </xdr:from>
    <xdr:to>
      <xdr:col>9</xdr:col>
      <xdr:colOff>885190</xdr:colOff>
      <xdr:row>4133</xdr:row>
      <xdr:rowOff>1209040</xdr:rowOff>
    </xdr:to>
    <xdr:pic>
      <xdr:nvPicPr>
        <xdr:cNvPr id="8476" name="Изображение 8475" descr="resizeПП-00261556"/>
        <xdr:cNvPicPr>
          <a:picLocks noChangeAspect="1"/>
        </xdr:cNvPicPr>
      </xdr:nvPicPr>
      <xdr:blipFill>
        <a:blip xmlns:r="http://schemas.openxmlformats.org/officeDocument/2006/relationships" r:embed="rId3143"/>
        <a:stretch>
          <a:fillRect/>
        </a:stretch>
      </xdr:blipFill>
      <xdr:spPr>
        <a:xfrm>
          <a:off x="7235825" y="4130827400"/>
          <a:ext cx="878840" cy="1183640"/>
        </a:xfrm>
        <a:prstGeom prst="rect">
          <a:avLst/>
        </a:prstGeom>
      </xdr:spPr>
    </xdr:pic>
    <xdr:clientData/>
  </xdr:twoCellAnchor>
  <xdr:twoCellAnchor>
    <xdr:from>
      <xdr:col>9</xdr:col>
      <xdr:colOff>6350</xdr:colOff>
      <xdr:row>4134</xdr:row>
      <xdr:rowOff>25400</xdr:rowOff>
    </xdr:from>
    <xdr:to>
      <xdr:col>9</xdr:col>
      <xdr:colOff>885190</xdr:colOff>
      <xdr:row>4134</xdr:row>
      <xdr:rowOff>1209040</xdr:rowOff>
    </xdr:to>
    <xdr:pic>
      <xdr:nvPicPr>
        <xdr:cNvPr id="8477" name="Изображение 8476" descr="resizeПП-00261506"/>
        <xdr:cNvPicPr>
          <a:picLocks noChangeAspect="1"/>
        </xdr:cNvPicPr>
      </xdr:nvPicPr>
      <xdr:blipFill>
        <a:blip xmlns:r="http://schemas.openxmlformats.org/officeDocument/2006/relationships" r:embed="rId3144"/>
        <a:stretch>
          <a:fillRect/>
        </a:stretch>
      </xdr:blipFill>
      <xdr:spPr>
        <a:xfrm>
          <a:off x="7235825" y="4132049775"/>
          <a:ext cx="878840" cy="1183640"/>
        </a:xfrm>
        <a:prstGeom prst="rect">
          <a:avLst/>
        </a:prstGeom>
      </xdr:spPr>
    </xdr:pic>
    <xdr:clientData/>
  </xdr:twoCellAnchor>
  <xdr:twoCellAnchor>
    <xdr:from>
      <xdr:col>9</xdr:col>
      <xdr:colOff>6350</xdr:colOff>
      <xdr:row>4135</xdr:row>
      <xdr:rowOff>25400</xdr:rowOff>
    </xdr:from>
    <xdr:to>
      <xdr:col>9</xdr:col>
      <xdr:colOff>885190</xdr:colOff>
      <xdr:row>4135</xdr:row>
      <xdr:rowOff>1209040</xdr:rowOff>
    </xdr:to>
    <xdr:pic>
      <xdr:nvPicPr>
        <xdr:cNvPr id="8478" name="Изображение 8477" descr="resizeПП-00261467"/>
        <xdr:cNvPicPr>
          <a:picLocks noChangeAspect="1"/>
        </xdr:cNvPicPr>
      </xdr:nvPicPr>
      <xdr:blipFill>
        <a:blip xmlns:r="http://schemas.openxmlformats.org/officeDocument/2006/relationships" r:embed="rId3145"/>
        <a:stretch>
          <a:fillRect/>
        </a:stretch>
      </xdr:blipFill>
      <xdr:spPr>
        <a:xfrm>
          <a:off x="7235825" y="4133272150"/>
          <a:ext cx="878840" cy="1183640"/>
        </a:xfrm>
        <a:prstGeom prst="rect">
          <a:avLst/>
        </a:prstGeom>
      </xdr:spPr>
    </xdr:pic>
    <xdr:clientData/>
  </xdr:twoCellAnchor>
  <xdr:twoCellAnchor>
    <xdr:from>
      <xdr:col>9</xdr:col>
      <xdr:colOff>6350</xdr:colOff>
      <xdr:row>4136</xdr:row>
      <xdr:rowOff>25400</xdr:rowOff>
    </xdr:from>
    <xdr:to>
      <xdr:col>9</xdr:col>
      <xdr:colOff>885190</xdr:colOff>
      <xdr:row>4136</xdr:row>
      <xdr:rowOff>1209040</xdr:rowOff>
    </xdr:to>
    <xdr:pic>
      <xdr:nvPicPr>
        <xdr:cNvPr id="8479" name="Изображение 8478" descr="resizeПП-00261464"/>
        <xdr:cNvPicPr>
          <a:picLocks noChangeAspect="1"/>
        </xdr:cNvPicPr>
      </xdr:nvPicPr>
      <xdr:blipFill>
        <a:blip xmlns:r="http://schemas.openxmlformats.org/officeDocument/2006/relationships" r:embed="rId3146"/>
        <a:stretch>
          <a:fillRect/>
        </a:stretch>
      </xdr:blipFill>
      <xdr:spPr>
        <a:xfrm>
          <a:off x="7235825" y="4134494525"/>
          <a:ext cx="878840" cy="1183640"/>
        </a:xfrm>
        <a:prstGeom prst="rect">
          <a:avLst/>
        </a:prstGeom>
      </xdr:spPr>
    </xdr:pic>
    <xdr:clientData/>
  </xdr:twoCellAnchor>
  <xdr:twoCellAnchor>
    <xdr:from>
      <xdr:col>9</xdr:col>
      <xdr:colOff>6350</xdr:colOff>
      <xdr:row>4137</xdr:row>
      <xdr:rowOff>25400</xdr:rowOff>
    </xdr:from>
    <xdr:to>
      <xdr:col>9</xdr:col>
      <xdr:colOff>885190</xdr:colOff>
      <xdr:row>4137</xdr:row>
      <xdr:rowOff>1209040</xdr:rowOff>
    </xdr:to>
    <xdr:pic>
      <xdr:nvPicPr>
        <xdr:cNvPr id="8480" name="Изображение 8479" descr="resizeПП-00261533"/>
        <xdr:cNvPicPr>
          <a:picLocks noChangeAspect="1"/>
        </xdr:cNvPicPr>
      </xdr:nvPicPr>
      <xdr:blipFill>
        <a:blip xmlns:r="http://schemas.openxmlformats.org/officeDocument/2006/relationships" r:embed="rId3147"/>
        <a:stretch>
          <a:fillRect/>
        </a:stretch>
      </xdr:blipFill>
      <xdr:spPr>
        <a:xfrm>
          <a:off x="7235825" y="4135716900"/>
          <a:ext cx="878840" cy="1183640"/>
        </a:xfrm>
        <a:prstGeom prst="rect">
          <a:avLst/>
        </a:prstGeom>
      </xdr:spPr>
    </xdr:pic>
    <xdr:clientData/>
  </xdr:twoCellAnchor>
  <xdr:twoCellAnchor>
    <xdr:from>
      <xdr:col>9</xdr:col>
      <xdr:colOff>6350</xdr:colOff>
      <xdr:row>4138</xdr:row>
      <xdr:rowOff>25400</xdr:rowOff>
    </xdr:from>
    <xdr:to>
      <xdr:col>9</xdr:col>
      <xdr:colOff>885190</xdr:colOff>
      <xdr:row>4138</xdr:row>
      <xdr:rowOff>1209040</xdr:rowOff>
    </xdr:to>
    <xdr:pic>
      <xdr:nvPicPr>
        <xdr:cNvPr id="8481" name="Изображение 8480" descr="resizeПП-00261554"/>
        <xdr:cNvPicPr>
          <a:picLocks noChangeAspect="1"/>
        </xdr:cNvPicPr>
      </xdr:nvPicPr>
      <xdr:blipFill>
        <a:blip xmlns:r="http://schemas.openxmlformats.org/officeDocument/2006/relationships" r:embed="rId3148"/>
        <a:stretch>
          <a:fillRect/>
        </a:stretch>
      </xdr:blipFill>
      <xdr:spPr>
        <a:xfrm>
          <a:off x="7235825" y="4136939275"/>
          <a:ext cx="878840" cy="1183640"/>
        </a:xfrm>
        <a:prstGeom prst="rect">
          <a:avLst/>
        </a:prstGeom>
      </xdr:spPr>
    </xdr:pic>
    <xdr:clientData/>
  </xdr:twoCellAnchor>
  <xdr:twoCellAnchor>
    <xdr:from>
      <xdr:col>9</xdr:col>
      <xdr:colOff>6350</xdr:colOff>
      <xdr:row>4139</xdr:row>
      <xdr:rowOff>25400</xdr:rowOff>
    </xdr:from>
    <xdr:to>
      <xdr:col>9</xdr:col>
      <xdr:colOff>885190</xdr:colOff>
      <xdr:row>4139</xdr:row>
      <xdr:rowOff>1209040</xdr:rowOff>
    </xdr:to>
    <xdr:pic>
      <xdr:nvPicPr>
        <xdr:cNvPr id="8482" name="Изображение 8481" descr="resizeПП-00261490"/>
        <xdr:cNvPicPr>
          <a:picLocks noChangeAspect="1"/>
        </xdr:cNvPicPr>
      </xdr:nvPicPr>
      <xdr:blipFill>
        <a:blip xmlns:r="http://schemas.openxmlformats.org/officeDocument/2006/relationships" r:embed="rId3149"/>
        <a:stretch>
          <a:fillRect/>
        </a:stretch>
      </xdr:blipFill>
      <xdr:spPr>
        <a:xfrm>
          <a:off x="7235825" y="4138161650"/>
          <a:ext cx="878840" cy="1183640"/>
        </a:xfrm>
        <a:prstGeom prst="rect">
          <a:avLst/>
        </a:prstGeom>
      </xdr:spPr>
    </xdr:pic>
    <xdr:clientData/>
  </xdr:twoCellAnchor>
  <xdr:twoCellAnchor>
    <xdr:from>
      <xdr:col>9</xdr:col>
      <xdr:colOff>6350</xdr:colOff>
      <xdr:row>4140</xdr:row>
      <xdr:rowOff>25400</xdr:rowOff>
    </xdr:from>
    <xdr:to>
      <xdr:col>9</xdr:col>
      <xdr:colOff>885190</xdr:colOff>
      <xdr:row>4140</xdr:row>
      <xdr:rowOff>1209040</xdr:rowOff>
    </xdr:to>
    <xdr:pic>
      <xdr:nvPicPr>
        <xdr:cNvPr id="8483" name="Изображение 8482" descr="resizeПП-00261495"/>
        <xdr:cNvPicPr>
          <a:picLocks noChangeAspect="1"/>
        </xdr:cNvPicPr>
      </xdr:nvPicPr>
      <xdr:blipFill>
        <a:blip xmlns:r="http://schemas.openxmlformats.org/officeDocument/2006/relationships" r:embed="rId3150"/>
        <a:stretch>
          <a:fillRect/>
        </a:stretch>
      </xdr:blipFill>
      <xdr:spPr>
        <a:xfrm>
          <a:off x="7235825" y="4139384025"/>
          <a:ext cx="878840" cy="1183640"/>
        </a:xfrm>
        <a:prstGeom prst="rect">
          <a:avLst/>
        </a:prstGeom>
      </xdr:spPr>
    </xdr:pic>
    <xdr:clientData/>
  </xdr:twoCellAnchor>
  <xdr:twoCellAnchor>
    <xdr:from>
      <xdr:col>9</xdr:col>
      <xdr:colOff>6350</xdr:colOff>
      <xdr:row>4141</xdr:row>
      <xdr:rowOff>25400</xdr:rowOff>
    </xdr:from>
    <xdr:to>
      <xdr:col>9</xdr:col>
      <xdr:colOff>885190</xdr:colOff>
      <xdr:row>4141</xdr:row>
      <xdr:rowOff>1209040</xdr:rowOff>
    </xdr:to>
    <xdr:pic>
      <xdr:nvPicPr>
        <xdr:cNvPr id="8484" name="Изображение 8483" descr="resizeПП-00261541"/>
        <xdr:cNvPicPr>
          <a:picLocks noChangeAspect="1"/>
        </xdr:cNvPicPr>
      </xdr:nvPicPr>
      <xdr:blipFill>
        <a:blip xmlns:r="http://schemas.openxmlformats.org/officeDocument/2006/relationships" r:embed="rId3151"/>
        <a:stretch>
          <a:fillRect/>
        </a:stretch>
      </xdr:blipFill>
      <xdr:spPr>
        <a:xfrm>
          <a:off x="7235825" y="4140606400"/>
          <a:ext cx="878840" cy="1183640"/>
        </a:xfrm>
        <a:prstGeom prst="rect">
          <a:avLst/>
        </a:prstGeom>
      </xdr:spPr>
    </xdr:pic>
    <xdr:clientData/>
  </xdr:twoCellAnchor>
  <xdr:twoCellAnchor>
    <xdr:from>
      <xdr:col>9</xdr:col>
      <xdr:colOff>6350</xdr:colOff>
      <xdr:row>4142</xdr:row>
      <xdr:rowOff>25400</xdr:rowOff>
    </xdr:from>
    <xdr:to>
      <xdr:col>9</xdr:col>
      <xdr:colOff>885190</xdr:colOff>
      <xdr:row>4142</xdr:row>
      <xdr:rowOff>1209040</xdr:rowOff>
    </xdr:to>
    <xdr:pic>
      <xdr:nvPicPr>
        <xdr:cNvPr id="8485" name="Изображение 8484" descr="resizeПП-00261496"/>
        <xdr:cNvPicPr>
          <a:picLocks noChangeAspect="1"/>
        </xdr:cNvPicPr>
      </xdr:nvPicPr>
      <xdr:blipFill>
        <a:blip xmlns:r="http://schemas.openxmlformats.org/officeDocument/2006/relationships" r:embed="rId3152"/>
        <a:stretch>
          <a:fillRect/>
        </a:stretch>
      </xdr:blipFill>
      <xdr:spPr>
        <a:xfrm>
          <a:off x="7235825" y="4141828775"/>
          <a:ext cx="878840" cy="1183640"/>
        </a:xfrm>
        <a:prstGeom prst="rect">
          <a:avLst/>
        </a:prstGeom>
      </xdr:spPr>
    </xdr:pic>
    <xdr:clientData/>
  </xdr:twoCellAnchor>
  <xdr:twoCellAnchor>
    <xdr:from>
      <xdr:col>9</xdr:col>
      <xdr:colOff>6350</xdr:colOff>
      <xdr:row>4143</xdr:row>
      <xdr:rowOff>25400</xdr:rowOff>
    </xdr:from>
    <xdr:to>
      <xdr:col>9</xdr:col>
      <xdr:colOff>885190</xdr:colOff>
      <xdr:row>4143</xdr:row>
      <xdr:rowOff>1209040</xdr:rowOff>
    </xdr:to>
    <xdr:pic>
      <xdr:nvPicPr>
        <xdr:cNvPr id="8486" name="Изображение 8485" descr="resizeПП-00261498"/>
        <xdr:cNvPicPr>
          <a:picLocks noChangeAspect="1"/>
        </xdr:cNvPicPr>
      </xdr:nvPicPr>
      <xdr:blipFill>
        <a:blip xmlns:r="http://schemas.openxmlformats.org/officeDocument/2006/relationships" r:embed="rId3153"/>
        <a:stretch>
          <a:fillRect/>
        </a:stretch>
      </xdr:blipFill>
      <xdr:spPr>
        <a:xfrm>
          <a:off x="7235825" y="4143051150"/>
          <a:ext cx="878840" cy="1183640"/>
        </a:xfrm>
        <a:prstGeom prst="rect">
          <a:avLst/>
        </a:prstGeom>
      </xdr:spPr>
    </xdr:pic>
    <xdr:clientData/>
  </xdr:twoCellAnchor>
  <xdr:twoCellAnchor>
    <xdr:from>
      <xdr:col>9</xdr:col>
      <xdr:colOff>6350</xdr:colOff>
      <xdr:row>4144</xdr:row>
      <xdr:rowOff>25400</xdr:rowOff>
    </xdr:from>
    <xdr:to>
      <xdr:col>9</xdr:col>
      <xdr:colOff>885190</xdr:colOff>
      <xdr:row>4144</xdr:row>
      <xdr:rowOff>1209040</xdr:rowOff>
    </xdr:to>
    <xdr:pic>
      <xdr:nvPicPr>
        <xdr:cNvPr id="8487" name="Изображение 8486" descr="resizeПП-00261486"/>
        <xdr:cNvPicPr>
          <a:picLocks noChangeAspect="1"/>
        </xdr:cNvPicPr>
      </xdr:nvPicPr>
      <xdr:blipFill>
        <a:blip xmlns:r="http://schemas.openxmlformats.org/officeDocument/2006/relationships" r:embed="rId3154"/>
        <a:stretch>
          <a:fillRect/>
        </a:stretch>
      </xdr:blipFill>
      <xdr:spPr>
        <a:xfrm>
          <a:off x="7235825" y="4144273525"/>
          <a:ext cx="878840" cy="1183640"/>
        </a:xfrm>
        <a:prstGeom prst="rect">
          <a:avLst/>
        </a:prstGeom>
      </xdr:spPr>
    </xdr:pic>
    <xdr:clientData/>
  </xdr:twoCellAnchor>
  <xdr:twoCellAnchor>
    <xdr:from>
      <xdr:col>9</xdr:col>
      <xdr:colOff>6350</xdr:colOff>
      <xdr:row>4145</xdr:row>
      <xdr:rowOff>25400</xdr:rowOff>
    </xdr:from>
    <xdr:to>
      <xdr:col>9</xdr:col>
      <xdr:colOff>885190</xdr:colOff>
      <xdr:row>4145</xdr:row>
      <xdr:rowOff>1209040</xdr:rowOff>
    </xdr:to>
    <xdr:pic>
      <xdr:nvPicPr>
        <xdr:cNvPr id="8488" name="Изображение 8487" descr="resizeПП-00261540"/>
        <xdr:cNvPicPr>
          <a:picLocks noChangeAspect="1"/>
        </xdr:cNvPicPr>
      </xdr:nvPicPr>
      <xdr:blipFill>
        <a:blip xmlns:r="http://schemas.openxmlformats.org/officeDocument/2006/relationships" r:embed="rId3155"/>
        <a:stretch>
          <a:fillRect/>
        </a:stretch>
      </xdr:blipFill>
      <xdr:spPr>
        <a:xfrm>
          <a:off x="7235825" y="4145495900"/>
          <a:ext cx="878840" cy="1183640"/>
        </a:xfrm>
        <a:prstGeom prst="rect">
          <a:avLst/>
        </a:prstGeom>
      </xdr:spPr>
    </xdr:pic>
    <xdr:clientData/>
  </xdr:twoCellAnchor>
  <xdr:twoCellAnchor>
    <xdr:from>
      <xdr:col>9</xdr:col>
      <xdr:colOff>6350</xdr:colOff>
      <xdr:row>4146</xdr:row>
      <xdr:rowOff>25400</xdr:rowOff>
    </xdr:from>
    <xdr:to>
      <xdr:col>9</xdr:col>
      <xdr:colOff>885190</xdr:colOff>
      <xdr:row>4146</xdr:row>
      <xdr:rowOff>1209040</xdr:rowOff>
    </xdr:to>
    <xdr:pic>
      <xdr:nvPicPr>
        <xdr:cNvPr id="8489" name="Изображение 8488" descr="resizeПП-00261557"/>
        <xdr:cNvPicPr>
          <a:picLocks noChangeAspect="1"/>
        </xdr:cNvPicPr>
      </xdr:nvPicPr>
      <xdr:blipFill>
        <a:blip xmlns:r="http://schemas.openxmlformats.org/officeDocument/2006/relationships" r:embed="rId3156"/>
        <a:stretch>
          <a:fillRect/>
        </a:stretch>
      </xdr:blipFill>
      <xdr:spPr>
        <a:xfrm>
          <a:off x="7235825" y="4146718275"/>
          <a:ext cx="878840" cy="1183640"/>
        </a:xfrm>
        <a:prstGeom prst="rect">
          <a:avLst/>
        </a:prstGeom>
      </xdr:spPr>
    </xdr:pic>
    <xdr:clientData/>
  </xdr:twoCellAnchor>
  <xdr:twoCellAnchor>
    <xdr:from>
      <xdr:col>9</xdr:col>
      <xdr:colOff>6350</xdr:colOff>
      <xdr:row>4147</xdr:row>
      <xdr:rowOff>25400</xdr:rowOff>
    </xdr:from>
    <xdr:to>
      <xdr:col>9</xdr:col>
      <xdr:colOff>885190</xdr:colOff>
      <xdr:row>4147</xdr:row>
      <xdr:rowOff>1209040</xdr:rowOff>
    </xdr:to>
    <xdr:pic>
      <xdr:nvPicPr>
        <xdr:cNvPr id="8490" name="Изображение 8489" descr="resizeПП-00261479"/>
        <xdr:cNvPicPr>
          <a:picLocks noChangeAspect="1"/>
        </xdr:cNvPicPr>
      </xdr:nvPicPr>
      <xdr:blipFill>
        <a:blip xmlns:r="http://schemas.openxmlformats.org/officeDocument/2006/relationships" r:embed="rId3157"/>
        <a:stretch>
          <a:fillRect/>
        </a:stretch>
      </xdr:blipFill>
      <xdr:spPr>
        <a:xfrm>
          <a:off x="7235825" y="4147940650"/>
          <a:ext cx="878840" cy="1183640"/>
        </a:xfrm>
        <a:prstGeom prst="rect">
          <a:avLst/>
        </a:prstGeom>
      </xdr:spPr>
    </xdr:pic>
    <xdr:clientData/>
  </xdr:twoCellAnchor>
  <xdr:twoCellAnchor>
    <xdr:from>
      <xdr:col>9</xdr:col>
      <xdr:colOff>6350</xdr:colOff>
      <xdr:row>4148</xdr:row>
      <xdr:rowOff>25400</xdr:rowOff>
    </xdr:from>
    <xdr:to>
      <xdr:col>9</xdr:col>
      <xdr:colOff>885190</xdr:colOff>
      <xdr:row>4148</xdr:row>
      <xdr:rowOff>1209040</xdr:rowOff>
    </xdr:to>
    <xdr:pic>
      <xdr:nvPicPr>
        <xdr:cNvPr id="8491" name="Изображение 8490" descr="resizeПП-00261512"/>
        <xdr:cNvPicPr>
          <a:picLocks noChangeAspect="1"/>
        </xdr:cNvPicPr>
      </xdr:nvPicPr>
      <xdr:blipFill>
        <a:blip xmlns:r="http://schemas.openxmlformats.org/officeDocument/2006/relationships" r:embed="rId3158"/>
        <a:stretch>
          <a:fillRect/>
        </a:stretch>
      </xdr:blipFill>
      <xdr:spPr>
        <a:xfrm>
          <a:off x="7235825" y="4149163025"/>
          <a:ext cx="878840" cy="1183640"/>
        </a:xfrm>
        <a:prstGeom prst="rect">
          <a:avLst/>
        </a:prstGeom>
      </xdr:spPr>
    </xdr:pic>
    <xdr:clientData/>
  </xdr:twoCellAnchor>
  <xdr:twoCellAnchor>
    <xdr:from>
      <xdr:col>9</xdr:col>
      <xdr:colOff>6350</xdr:colOff>
      <xdr:row>4149</xdr:row>
      <xdr:rowOff>25400</xdr:rowOff>
    </xdr:from>
    <xdr:to>
      <xdr:col>9</xdr:col>
      <xdr:colOff>885190</xdr:colOff>
      <xdr:row>4149</xdr:row>
      <xdr:rowOff>1209040</xdr:rowOff>
    </xdr:to>
    <xdr:pic>
      <xdr:nvPicPr>
        <xdr:cNvPr id="8492" name="Изображение 8491" descr="resizeПП-00261549"/>
        <xdr:cNvPicPr>
          <a:picLocks noChangeAspect="1"/>
        </xdr:cNvPicPr>
      </xdr:nvPicPr>
      <xdr:blipFill>
        <a:blip xmlns:r="http://schemas.openxmlformats.org/officeDocument/2006/relationships" r:embed="rId3159"/>
        <a:stretch>
          <a:fillRect/>
        </a:stretch>
      </xdr:blipFill>
      <xdr:spPr>
        <a:xfrm>
          <a:off x="7235825" y="4150385400"/>
          <a:ext cx="878840" cy="1183640"/>
        </a:xfrm>
        <a:prstGeom prst="rect">
          <a:avLst/>
        </a:prstGeom>
      </xdr:spPr>
    </xdr:pic>
    <xdr:clientData/>
  </xdr:twoCellAnchor>
  <xdr:twoCellAnchor>
    <xdr:from>
      <xdr:col>9</xdr:col>
      <xdr:colOff>6350</xdr:colOff>
      <xdr:row>4150</xdr:row>
      <xdr:rowOff>25400</xdr:rowOff>
    </xdr:from>
    <xdr:to>
      <xdr:col>9</xdr:col>
      <xdr:colOff>885190</xdr:colOff>
      <xdr:row>4150</xdr:row>
      <xdr:rowOff>1209040</xdr:rowOff>
    </xdr:to>
    <xdr:pic>
      <xdr:nvPicPr>
        <xdr:cNvPr id="8493" name="Изображение 8492" descr="resizeПП-00261485"/>
        <xdr:cNvPicPr>
          <a:picLocks noChangeAspect="1"/>
        </xdr:cNvPicPr>
      </xdr:nvPicPr>
      <xdr:blipFill>
        <a:blip xmlns:r="http://schemas.openxmlformats.org/officeDocument/2006/relationships" r:embed="rId3160"/>
        <a:stretch>
          <a:fillRect/>
        </a:stretch>
      </xdr:blipFill>
      <xdr:spPr>
        <a:xfrm>
          <a:off x="7235825" y="4151607775"/>
          <a:ext cx="878840" cy="1183640"/>
        </a:xfrm>
        <a:prstGeom prst="rect">
          <a:avLst/>
        </a:prstGeom>
      </xdr:spPr>
    </xdr:pic>
    <xdr:clientData/>
  </xdr:twoCellAnchor>
  <xdr:twoCellAnchor>
    <xdr:from>
      <xdr:col>9</xdr:col>
      <xdr:colOff>6350</xdr:colOff>
      <xdr:row>4151</xdr:row>
      <xdr:rowOff>25400</xdr:rowOff>
    </xdr:from>
    <xdr:to>
      <xdr:col>9</xdr:col>
      <xdr:colOff>885190</xdr:colOff>
      <xdr:row>4151</xdr:row>
      <xdr:rowOff>1209040</xdr:rowOff>
    </xdr:to>
    <xdr:pic>
      <xdr:nvPicPr>
        <xdr:cNvPr id="8494" name="Изображение 8493" descr="resizeПП-00261504"/>
        <xdr:cNvPicPr>
          <a:picLocks noChangeAspect="1"/>
        </xdr:cNvPicPr>
      </xdr:nvPicPr>
      <xdr:blipFill>
        <a:blip xmlns:r="http://schemas.openxmlformats.org/officeDocument/2006/relationships" r:embed="rId3161"/>
        <a:stretch>
          <a:fillRect/>
        </a:stretch>
      </xdr:blipFill>
      <xdr:spPr>
        <a:xfrm>
          <a:off x="7235825" y="4152830150"/>
          <a:ext cx="878840" cy="1183640"/>
        </a:xfrm>
        <a:prstGeom prst="rect">
          <a:avLst/>
        </a:prstGeom>
      </xdr:spPr>
    </xdr:pic>
    <xdr:clientData/>
  </xdr:twoCellAnchor>
  <xdr:twoCellAnchor>
    <xdr:from>
      <xdr:col>9</xdr:col>
      <xdr:colOff>6350</xdr:colOff>
      <xdr:row>4152</xdr:row>
      <xdr:rowOff>25400</xdr:rowOff>
    </xdr:from>
    <xdr:to>
      <xdr:col>9</xdr:col>
      <xdr:colOff>885190</xdr:colOff>
      <xdr:row>4152</xdr:row>
      <xdr:rowOff>1209040</xdr:rowOff>
    </xdr:to>
    <xdr:pic>
      <xdr:nvPicPr>
        <xdr:cNvPr id="8495" name="Изображение 8494" descr="resizeПП-00261466"/>
        <xdr:cNvPicPr>
          <a:picLocks noChangeAspect="1"/>
        </xdr:cNvPicPr>
      </xdr:nvPicPr>
      <xdr:blipFill>
        <a:blip xmlns:r="http://schemas.openxmlformats.org/officeDocument/2006/relationships" r:embed="rId3162"/>
        <a:stretch>
          <a:fillRect/>
        </a:stretch>
      </xdr:blipFill>
      <xdr:spPr>
        <a:xfrm>
          <a:off x="7235825" y="4154052525"/>
          <a:ext cx="878840" cy="1183640"/>
        </a:xfrm>
        <a:prstGeom prst="rect">
          <a:avLst/>
        </a:prstGeom>
      </xdr:spPr>
    </xdr:pic>
    <xdr:clientData/>
  </xdr:twoCellAnchor>
  <xdr:twoCellAnchor>
    <xdr:from>
      <xdr:col>9</xdr:col>
      <xdr:colOff>6350</xdr:colOff>
      <xdr:row>4153</xdr:row>
      <xdr:rowOff>25400</xdr:rowOff>
    </xdr:from>
    <xdr:to>
      <xdr:col>9</xdr:col>
      <xdr:colOff>885190</xdr:colOff>
      <xdr:row>4153</xdr:row>
      <xdr:rowOff>1209040</xdr:rowOff>
    </xdr:to>
    <xdr:pic>
      <xdr:nvPicPr>
        <xdr:cNvPr id="8496" name="Изображение 8495" descr="resizeПП-00261489"/>
        <xdr:cNvPicPr>
          <a:picLocks noChangeAspect="1"/>
        </xdr:cNvPicPr>
      </xdr:nvPicPr>
      <xdr:blipFill>
        <a:blip xmlns:r="http://schemas.openxmlformats.org/officeDocument/2006/relationships" r:embed="rId3163"/>
        <a:stretch>
          <a:fillRect/>
        </a:stretch>
      </xdr:blipFill>
      <xdr:spPr>
        <a:xfrm>
          <a:off x="7235825" y="4155274900"/>
          <a:ext cx="878840" cy="1183640"/>
        </a:xfrm>
        <a:prstGeom prst="rect">
          <a:avLst/>
        </a:prstGeom>
      </xdr:spPr>
    </xdr:pic>
    <xdr:clientData/>
  </xdr:twoCellAnchor>
  <xdr:twoCellAnchor>
    <xdr:from>
      <xdr:col>9</xdr:col>
      <xdr:colOff>6350</xdr:colOff>
      <xdr:row>4154</xdr:row>
      <xdr:rowOff>25400</xdr:rowOff>
    </xdr:from>
    <xdr:to>
      <xdr:col>9</xdr:col>
      <xdr:colOff>885190</xdr:colOff>
      <xdr:row>4154</xdr:row>
      <xdr:rowOff>1209040</xdr:rowOff>
    </xdr:to>
    <xdr:pic>
      <xdr:nvPicPr>
        <xdr:cNvPr id="8497" name="Изображение 8496" descr="resizeПП-00261507"/>
        <xdr:cNvPicPr>
          <a:picLocks noChangeAspect="1"/>
        </xdr:cNvPicPr>
      </xdr:nvPicPr>
      <xdr:blipFill>
        <a:blip xmlns:r="http://schemas.openxmlformats.org/officeDocument/2006/relationships" r:embed="rId3164"/>
        <a:stretch>
          <a:fillRect/>
        </a:stretch>
      </xdr:blipFill>
      <xdr:spPr>
        <a:xfrm>
          <a:off x="7235825" y="4156497275"/>
          <a:ext cx="878840" cy="1183640"/>
        </a:xfrm>
        <a:prstGeom prst="rect">
          <a:avLst/>
        </a:prstGeom>
      </xdr:spPr>
    </xdr:pic>
    <xdr:clientData/>
  </xdr:twoCellAnchor>
  <xdr:twoCellAnchor>
    <xdr:from>
      <xdr:col>9</xdr:col>
      <xdr:colOff>6350</xdr:colOff>
      <xdr:row>4155</xdr:row>
      <xdr:rowOff>25400</xdr:rowOff>
    </xdr:from>
    <xdr:to>
      <xdr:col>9</xdr:col>
      <xdr:colOff>885190</xdr:colOff>
      <xdr:row>4155</xdr:row>
      <xdr:rowOff>1209040</xdr:rowOff>
    </xdr:to>
    <xdr:pic>
      <xdr:nvPicPr>
        <xdr:cNvPr id="8498" name="Изображение 8497" descr="resizeПП-00261509"/>
        <xdr:cNvPicPr>
          <a:picLocks noChangeAspect="1"/>
        </xdr:cNvPicPr>
      </xdr:nvPicPr>
      <xdr:blipFill>
        <a:blip xmlns:r="http://schemas.openxmlformats.org/officeDocument/2006/relationships" r:embed="rId3165"/>
        <a:stretch>
          <a:fillRect/>
        </a:stretch>
      </xdr:blipFill>
      <xdr:spPr>
        <a:xfrm>
          <a:off x="7235825" y="4157719650"/>
          <a:ext cx="878840" cy="1183640"/>
        </a:xfrm>
        <a:prstGeom prst="rect">
          <a:avLst/>
        </a:prstGeom>
      </xdr:spPr>
    </xdr:pic>
    <xdr:clientData/>
  </xdr:twoCellAnchor>
  <xdr:twoCellAnchor>
    <xdr:from>
      <xdr:col>9</xdr:col>
      <xdr:colOff>6350</xdr:colOff>
      <xdr:row>4156</xdr:row>
      <xdr:rowOff>25400</xdr:rowOff>
    </xdr:from>
    <xdr:to>
      <xdr:col>9</xdr:col>
      <xdr:colOff>885190</xdr:colOff>
      <xdr:row>4156</xdr:row>
      <xdr:rowOff>1209040</xdr:rowOff>
    </xdr:to>
    <xdr:pic>
      <xdr:nvPicPr>
        <xdr:cNvPr id="8499" name="Изображение 8498" descr="resizeПП-00261494"/>
        <xdr:cNvPicPr>
          <a:picLocks noChangeAspect="1"/>
        </xdr:cNvPicPr>
      </xdr:nvPicPr>
      <xdr:blipFill>
        <a:blip xmlns:r="http://schemas.openxmlformats.org/officeDocument/2006/relationships" r:embed="rId3166"/>
        <a:stretch>
          <a:fillRect/>
        </a:stretch>
      </xdr:blipFill>
      <xdr:spPr>
        <a:xfrm>
          <a:off x="7235825" y="4158942025"/>
          <a:ext cx="878840" cy="1183640"/>
        </a:xfrm>
        <a:prstGeom prst="rect">
          <a:avLst/>
        </a:prstGeom>
      </xdr:spPr>
    </xdr:pic>
    <xdr:clientData/>
  </xdr:twoCellAnchor>
  <xdr:twoCellAnchor>
    <xdr:from>
      <xdr:col>9</xdr:col>
      <xdr:colOff>6350</xdr:colOff>
      <xdr:row>4157</xdr:row>
      <xdr:rowOff>25400</xdr:rowOff>
    </xdr:from>
    <xdr:to>
      <xdr:col>9</xdr:col>
      <xdr:colOff>885190</xdr:colOff>
      <xdr:row>4157</xdr:row>
      <xdr:rowOff>1209040</xdr:rowOff>
    </xdr:to>
    <xdr:pic>
      <xdr:nvPicPr>
        <xdr:cNvPr id="8500" name="Изображение 8499" descr="resizeПП-00261473"/>
        <xdr:cNvPicPr>
          <a:picLocks noChangeAspect="1"/>
        </xdr:cNvPicPr>
      </xdr:nvPicPr>
      <xdr:blipFill>
        <a:blip xmlns:r="http://schemas.openxmlformats.org/officeDocument/2006/relationships" r:embed="rId3167"/>
        <a:stretch>
          <a:fillRect/>
        </a:stretch>
      </xdr:blipFill>
      <xdr:spPr>
        <a:xfrm>
          <a:off x="7235825" y="4160164400"/>
          <a:ext cx="878840" cy="1183640"/>
        </a:xfrm>
        <a:prstGeom prst="rect">
          <a:avLst/>
        </a:prstGeom>
      </xdr:spPr>
    </xdr:pic>
    <xdr:clientData/>
  </xdr:twoCellAnchor>
  <xdr:twoCellAnchor>
    <xdr:from>
      <xdr:col>9</xdr:col>
      <xdr:colOff>6350</xdr:colOff>
      <xdr:row>4158</xdr:row>
      <xdr:rowOff>25400</xdr:rowOff>
    </xdr:from>
    <xdr:to>
      <xdr:col>9</xdr:col>
      <xdr:colOff>885190</xdr:colOff>
      <xdr:row>4158</xdr:row>
      <xdr:rowOff>1209040</xdr:rowOff>
    </xdr:to>
    <xdr:pic>
      <xdr:nvPicPr>
        <xdr:cNvPr id="8501" name="Изображение 8500" descr="resizeПП-00261476"/>
        <xdr:cNvPicPr>
          <a:picLocks noChangeAspect="1"/>
        </xdr:cNvPicPr>
      </xdr:nvPicPr>
      <xdr:blipFill>
        <a:blip xmlns:r="http://schemas.openxmlformats.org/officeDocument/2006/relationships" r:embed="rId3168"/>
        <a:stretch>
          <a:fillRect/>
        </a:stretch>
      </xdr:blipFill>
      <xdr:spPr>
        <a:xfrm>
          <a:off x="7235825" y="4161386775"/>
          <a:ext cx="878840" cy="1183640"/>
        </a:xfrm>
        <a:prstGeom prst="rect">
          <a:avLst/>
        </a:prstGeom>
      </xdr:spPr>
    </xdr:pic>
    <xdr:clientData/>
  </xdr:twoCellAnchor>
  <xdr:twoCellAnchor>
    <xdr:from>
      <xdr:col>9</xdr:col>
      <xdr:colOff>6350</xdr:colOff>
      <xdr:row>4159</xdr:row>
      <xdr:rowOff>25400</xdr:rowOff>
    </xdr:from>
    <xdr:to>
      <xdr:col>9</xdr:col>
      <xdr:colOff>885190</xdr:colOff>
      <xdr:row>4159</xdr:row>
      <xdr:rowOff>1209040</xdr:rowOff>
    </xdr:to>
    <xdr:pic>
      <xdr:nvPicPr>
        <xdr:cNvPr id="8502" name="Изображение 8501" descr="resizeПП-00261529"/>
        <xdr:cNvPicPr>
          <a:picLocks noChangeAspect="1"/>
        </xdr:cNvPicPr>
      </xdr:nvPicPr>
      <xdr:blipFill>
        <a:blip xmlns:r="http://schemas.openxmlformats.org/officeDocument/2006/relationships" r:embed="rId3169"/>
        <a:stretch>
          <a:fillRect/>
        </a:stretch>
      </xdr:blipFill>
      <xdr:spPr>
        <a:xfrm>
          <a:off x="7235825" y="4162609150"/>
          <a:ext cx="878840" cy="1183640"/>
        </a:xfrm>
        <a:prstGeom prst="rect">
          <a:avLst/>
        </a:prstGeom>
      </xdr:spPr>
    </xdr:pic>
    <xdr:clientData/>
  </xdr:twoCellAnchor>
  <xdr:twoCellAnchor>
    <xdr:from>
      <xdr:col>9</xdr:col>
      <xdr:colOff>6350</xdr:colOff>
      <xdr:row>4160</xdr:row>
      <xdr:rowOff>25400</xdr:rowOff>
    </xdr:from>
    <xdr:to>
      <xdr:col>9</xdr:col>
      <xdr:colOff>885190</xdr:colOff>
      <xdr:row>4160</xdr:row>
      <xdr:rowOff>1209040</xdr:rowOff>
    </xdr:to>
    <xdr:pic>
      <xdr:nvPicPr>
        <xdr:cNvPr id="8503" name="Изображение 8502" descr="resizeПП-00261539"/>
        <xdr:cNvPicPr>
          <a:picLocks noChangeAspect="1"/>
        </xdr:cNvPicPr>
      </xdr:nvPicPr>
      <xdr:blipFill>
        <a:blip xmlns:r="http://schemas.openxmlformats.org/officeDocument/2006/relationships" r:embed="rId3170"/>
        <a:stretch>
          <a:fillRect/>
        </a:stretch>
      </xdr:blipFill>
      <xdr:spPr>
        <a:xfrm>
          <a:off x="7235825" y="4163831525"/>
          <a:ext cx="878840" cy="1183640"/>
        </a:xfrm>
        <a:prstGeom prst="rect">
          <a:avLst/>
        </a:prstGeom>
      </xdr:spPr>
    </xdr:pic>
    <xdr:clientData/>
  </xdr:twoCellAnchor>
  <xdr:twoCellAnchor>
    <xdr:from>
      <xdr:col>9</xdr:col>
      <xdr:colOff>6350</xdr:colOff>
      <xdr:row>4161</xdr:row>
      <xdr:rowOff>25400</xdr:rowOff>
    </xdr:from>
    <xdr:to>
      <xdr:col>9</xdr:col>
      <xdr:colOff>885190</xdr:colOff>
      <xdr:row>4161</xdr:row>
      <xdr:rowOff>1209040</xdr:rowOff>
    </xdr:to>
    <xdr:pic>
      <xdr:nvPicPr>
        <xdr:cNvPr id="8504" name="Изображение 8503" descr="resizeПП-00261543"/>
        <xdr:cNvPicPr>
          <a:picLocks noChangeAspect="1"/>
        </xdr:cNvPicPr>
      </xdr:nvPicPr>
      <xdr:blipFill>
        <a:blip xmlns:r="http://schemas.openxmlformats.org/officeDocument/2006/relationships" r:embed="rId3171"/>
        <a:stretch>
          <a:fillRect/>
        </a:stretch>
      </xdr:blipFill>
      <xdr:spPr>
        <a:xfrm>
          <a:off x="7235825" y="4165053900"/>
          <a:ext cx="878840" cy="1183640"/>
        </a:xfrm>
        <a:prstGeom prst="rect">
          <a:avLst/>
        </a:prstGeom>
      </xdr:spPr>
    </xdr:pic>
    <xdr:clientData/>
  </xdr:twoCellAnchor>
  <xdr:twoCellAnchor>
    <xdr:from>
      <xdr:col>9</xdr:col>
      <xdr:colOff>6350</xdr:colOff>
      <xdr:row>4162</xdr:row>
      <xdr:rowOff>25400</xdr:rowOff>
    </xdr:from>
    <xdr:to>
      <xdr:col>9</xdr:col>
      <xdr:colOff>885190</xdr:colOff>
      <xdr:row>4162</xdr:row>
      <xdr:rowOff>1209040</xdr:rowOff>
    </xdr:to>
    <xdr:pic>
      <xdr:nvPicPr>
        <xdr:cNvPr id="8505" name="Изображение 8504" descr="resizeПП-00261505"/>
        <xdr:cNvPicPr>
          <a:picLocks noChangeAspect="1"/>
        </xdr:cNvPicPr>
      </xdr:nvPicPr>
      <xdr:blipFill>
        <a:blip xmlns:r="http://schemas.openxmlformats.org/officeDocument/2006/relationships" r:embed="rId3172"/>
        <a:stretch>
          <a:fillRect/>
        </a:stretch>
      </xdr:blipFill>
      <xdr:spPr>
        <a:xfrm>
          <a:off x="7235825" y="4166276275"/>
          <a:ext cx="878840" cy="1183640"/>
        </a:xfrm>
        <a:prstGeom prst="rect">
          <a:avLst/>
        </a:prstGeom>
      </xdr:spPr>
    </xdr:pic>
    <xdr:clientData/>
  </xdr:twoCellAnchor>
  <xdr:twoCellAnchor>
    <xdr:from>
      <xdr:col>9</xdr:col>
      <xdr:colOff>6350</xdr:colOff>
      <xdr:row>4163</xdr:row>
      <xdr:rowOff>25400</xdr:rowOff>
    </xdr:from>
    <xdr:to>
      <xdr:col>9</xdr:col>
      <xdr:colOff>885190</xdr:colOff>
      <xdr:row>4163</xdr:row>
      <xdr:rowOff>1209040</xdr:rowOff>
    </xdr:to>
    <xdr:pic>
      <xdr:nvPicPr>
        <xdr:cNvPr id="8506" name="Изображение 8505" descr="resizeПП-00261527"/>
        <xdr:cNvPicPr>
          <a:picLocks noChangeAspect="1"/>
        </xdr:cNvPicPr>
      </xdr:nvPicPr>
      <xdr:blipFill>
        <a:blip xmlns:r="http://schemas.openxmlformats.org/officeDocument/2006/relationships" r:embed="rId3173"/>
        <a:stretch>
          <a:fillRect/>
        </a:stretch>
      </xdr:blipFill>
      <xdr:spPr>
        <a:xfrm>
          <a:off x="7235825" y="4167498650"/>
          <a:ext cx="878840" cy="1183640"/>
        </a:xfrm>
        <a:prstGeom prst="rect">
          <a:avLst/>
        </a:prstGeom>
      </xdr:spPr>
    </xdr:pic>
    <xdr:clientData/>
  </xdr:twoCellAnchor>
  <xdr:twoCellAnchor>
    <xdr:from>
      <xdr:col>9</xdr:col>
      <xdr:colOff>6350</xdr:colOff>
      <xdr:row>4164</xdr:row>
      <xdr:rowOff>25400</xdr:rowOff>
    </xdr:from>
    <xdr:to>
      <xdr:col>9</xdr:col>
      <xdr:colOff>885190</xdr:colOff>
      <xdr:row>4164</xdr:row>
      <xdr:rowOff>1209040</xdr:rowOff>
    </xdr:to>
    <xdr:pic>
      <xdr:nvPicPr>
        <xdr:cNvPr id="8507" name="Изображение 8506" descr="resizeПП-00212220"/>
        <xdr:cNvPicPr>
          <a:picLocks noChangeAspect="1"/>
        </xdr:cNvPicPr>
      </xdr:nvPicPr>
      <xdr:blipFill>
        <a:blip xmlns:r="http://schemas.openxmlformats.org/officeDocument/2006/relationships" r:embed="rId3174"/>
        <a:stretch>
          <a:fillRect/>
        </a:stretch>
      </xdr:blipFill>
      <xdr:spPr>
        <a:xfrm>
          <a:off x="7235825" y="4168721025"/>
          <a:ext cx="878840" cy="1183640"/>
        </a:xfrm>
        <a:prstGeom prst="rect">
          <a:avLst/>
        </a:prstGeom>
      </xdr:spPr>
    </xdr:pic>
    <xdr:clientData/>
  </xdr:twoCellAnchor>
  <xdr:twoCellAnchor>
    <xdr:from>
      <xdr:col>9</xdr:col>
      <xdr:colOff>6350</xdr:colOff>
      <xdr:row>4165</xdr:row>
      <xdr:rowOff>25400</xdr:rowOff>
    </xdr:from>
    <xdr:to>
      <xdr:col>9</xdr:col>
      <xdr:colOff>885190</xdr:colOff>
      <xdr:row>4165</xdr:row>
      <xdr:rowOff>1209040</xdr:rowOff>
    </xdr:to>
    <xdr:pic>
      <xdr:nvPicPr>
        <xdr:cNvPr id="8508" name="Изображение 8507" descr="resizeПП-00212233"/>
        <xdr:cNvPicPr>
          <a:picLocks noChangeAspect="1"/>
        </xdr:cNvPicPr>
      </xdr:nvPicPr>
      <xdr:blipFill>
        <a:blip xmlns:r="http://schemas.openxmlformats.org/officeDocument/2006/relationships" r:embed="rId3175"/>
        <a:stretch>
          <a:fillRect/>
        </a:stretch>
      </xdr:blipFill>
      <xdr:spPr>
        <a:xfrm>
          <a:off x="7235825" y="4169943400"/>
          <a:ext cx="878840" cy="1183640"/>
        </a:xfrm>
        <a:prstGeom prst="rect">
          <a:avLst/>
        </a:prstGeom>
      </xdr:spPr>
    </xdr:pic>
    <xdr:clientData/>
  </xdr:twoCellAnchor>
  <xdr:twoCellAnchor>
    <xdr:from>
      <xdr:col>9</xdr:col>
      <xdr:colOff>6350</xdr:colOff>
      <xdr:row>4166</xdr:row>
      <xdr:rowOff>25400</xdr:rowOff>
    </xdr:from>
    <xdr:to>
      <xdr:col>9</xdr:col>
      <xdr:colOff>885190</xdr:colOff>
      <xdr:row>4166</xdr:row>
      <xdr:rowOff>1209040</xdr:rowOff>
    </xdr:to>
    <xdr:pic>
      <xdr:nvPicPr>
        <xdr:cNvPr id="8509" name="Изображение 8508" descr="resizeПП-00229866"/>
        <xdr:cNvPicPr>
          <a:picLocks noChangeAspect="1"/>
        </xdr:cNvPicPr>
      </xdr:nvPicPr>
      <xdr:blipFill>
        <a:blip xmlns:r="http://schemas.openxmlformats.org/officeDocument/2006/relationships" r:embed="rId3176"/>
        <a:stretch>
          <a:fillRect/>
        </a:stretch>
      </xdr:blipFill>
      <xdr:spPr>
        <a:xfrm>
          <a:off x="7235825" y="4171165775"/>
          <a:ext cx="878840" cy="1183640"/>
        </a:xfrm>
        <a:prstGeom prst="rect">
          <a:avLst/>
        </a:prstGeom>
      </xdr:spPr>
    </xdr:pic>
    <xdr:clientData/>
  </xdr:twoCellAnchor>
  <xdr:twoCellAnchor>
    <xdr:from>
      <xdr:col>9</xdr:col>
      <xdr:colOff>6350</xdr:colOff>
      <xdr:row>4167</xdr:row>
      <xdr:rowOff>25400</xdr:rowOff>
    </xdr:from>
    <xdr:to>
      <xdr:col>9</xdr:col>
      <xdr:colOff>885190</xdr:colOff>
      <xdr:row>4167</xdr:row>
      <xdr:rowOff>1209040</xdr:rowOff>
    </xdr:to>
    <xdr:pic>
      <xdr:nvPicPr>
        <xdr:cNvPr id="8510" name="Изображение 8509" descr="resizeПП-00229910"/>
        <xdr:cNvPicPr>
          <a:picLocks noChangeAspect="1"/>
        </xdr:cNvPicPr>
      </xdr:nvPicPr>
      <xdr:blipFill>
        <a:blip xmlns:r="http://schemas.openxmlformats.org/officeDocument/2006/relationships" r:embed="rId3177"/>
        <a:stretch>
          <a:fillRect/>
        </a:stretch>
      </xdr:blipFill>
      <xdr:spPr>
        <a:xfrm>
          <a:off x="7235825" y="4172388150"/>
          <a:ext cx="878840" cy="1183640"/>
        </a:xfrm>
        <a:prstGeom prst="rect">
          <a:avLst/>
        </a:prstGeom>
      </xdr:spPr>
    </xdr:pic>
    <xdr:clientData/>
  </xdr:twoCellAnchor>
  <xdr:twoCellAnchor>
    <xdr:from>
      <xdr:col>9</xdr:col>
      <xdr:colOff>6350</xdr:colOff>
      <xdr:row>4168</xdr:row>
      <xdr:rowOff>25400</xdr:rowOff>
    </xdr:from>
    <xdr:to>
      <xdr:col>9</xdr:col>
      <xdr:colOff>885190</xdr:colOff>
      <xdr:row>4168</xdr:row>
      <xdr:rowOff>1209040</xdr:rowOff>
    </xdr:to>
    <xdr:pic>
      <xdr:nvPicPr>
        <xdr:cNvPr id="8511" name="Изображение 8510" descr="resizeПП-00229888"/>
        <xdr:cNvPicPr>
          <a:picLocks noChangeAspect="1"/>
        </xdr:cNvPicPr>
      </xdr:nvPicPr>
      <xdr:blipFill>
        <a:blip xmlns:r="http://schemas.openxmlformats.org/officeDocument/2006/relationships" r:embed="rId3178"/>
        <a:stretch>
          <a:fillRect/>
        </a:stretch>
      </xdr:blipFill>
      <xdr:spPr>
        <a:xfrm>
          <a:off x="7235825" y="4173610525"/>
          <a:ext cx="878840" cy="1183640"/>
        </a:xfrm>
        <a:prstGeom prst="rect">
          <a:avLst/>
        </a:prstGeom>
      </xdr:spPr>
    </xdr:pic>
    <xdr:clientData/>
  </xdr:twoCellAnchor>
  <xdr:twoCellAnchor>
    <xdr:from>
      <xdr:col>9</xdr:col>
      <xdr:colOff>6350</xdr:colOff>
      <xdr:row>4169</xdr:row>
      <xdr:rowOff>25400</xdr:rowOff>
    </xdr:from>
    <xdr:to>
      <xdr:col>9</xdr:col>
      <xdr:colOff>885190</xdr:colOff>
      <xdr:row>4169</xdr:row>
      <xdr:rowOff>1209040</xdr:rowOff>
    </xdr:to>
    <xdr:pic>
      <xdr:nvPicPr>
        <xdr:cNvPr id="8512" name="Изображение 8511" descr="resizeПП-00229884"/>
        <xdr:cNvPicPr>
          <a:picLocks noChangeAspect="1"/>
        </xdr:cNvPicPr>
      </xdr:nvPicPr>
      <xdr:blipFill>
        <a:blip xmlns:r="http://schemas.openxmlformats.org/officeDocument/2006/relationships" r:embed="rId3179"/>
        <a:stretch>
          <a:fillRect/>
        </a:stretch>
      </xdr:blipFill>
      <xdr:spPr>
        <a:xfrm>
          <a:off x="7235825" y="4174832900"/>
          <a:ext cx="878840" cy="1183640"/>
        </a:xfrm>
        <a:prstGeom prst="rect">
          <a:avLst/>
        </a:prstGeom>
      </xdr:spPr>
    </xdr:pic>
    <xdr:clientData/>
  </xdr:twoCellAnchor>
  <xdr:twoCellAnchor>
    <xdr:from>
      <xdr:col>9</xdr:col>
      <xdr:colOff>6350</xdr:colOff>
      <xdr:row>4170</xdr:row>
      <xdr:rowOff>25400</xdr:rowOff>
    </xdr:from>
    <xdr:to>
      <xdr:col>9</xdr:col>
      <xdr:colOff>885190</xdr:colOff>
      <xdr:row>4170</xdr:row>
      <xdr:rowOff>1209040</xdr:rowOff>
    </xdr:to>
    <xdr:pic>
      <xdr:nvPicPr>
        <xdr:cNvPr id="8513" name="Изображение 8512" descr="resizeПП-00229877"/>
        <xdr:cNvPicPr>
          <a:picLocks noChangeAspect="1"/>
        </xdr:cNvPicPr>
      </xdr:nvPicPr>
      <xdr:blipFill>
        <a:blip xmlns:r="http://schemas.openxmlformats.org/officeDocument/2006/relationships" r:embed="rId3180"/>
        <a:stretch>
          <a:fillRect/>
        </a:stretch>
      </xdr:blipFill>
      <xdr:spPr>
        <a:xfrm>
          <a:off x="7235825" y="4176055275"/>
          <a:ext cx="878840" cy="1183640"/>
        </a:xfrm>
        <a:prstGeom prst="rect">
          <a:avLst/>
        </a:prstGeom>
      </xdr:spPr>
    </xdr:pic>
    <xdr:clientData/>
  </xdr:twoCellAnchor>
  <xdr:twoCellAnchor>
    <xdr:from>
      <xdr:col>9</xdr:col>
      <xdr:colOff>6350</xdr:colOff>
      <xdr:row>4171</xdr:row>
      <xdr:rowOff>25400</xdr:rowOff>
    </xdr:from>
    <xdr:to>
      <xdr:col>9</xdr:col>
      <xdr:colOff>885190</xdr:colOff>
      <xdr:row>4171</xdr:row>
      <xdr:rowOff>1209040</xdr:rowOff>
    </xdr:to>
    <xdr:pic>
      <xdr:nvPicPr>
        <xdr:cNvPr id="8514" name="Изображение 8513" descr="resizeПП-00229898"/>
        <xdr:cNvPicPr>
          <a:picLocks noChangeAspect="1"/>
        </xdr:cNvPicPr>
      </xdr:nvPicPr>
      <xdr:blipFill>
        <a:blip xmlns:r="http://schemas.openxmlformats.org/officeDocument/2006/relationships" r:embed="rId3051"/>
        <a:stretch>
          <a:fillRect/>
        </a:stretch>
      </xdr:blipFill>
      <xdr:spPr>
        <a:xfrm>
          <a:off x="7235825" y="4177277650"/>
          <a:ext cx="878840" cy="1183640"/>
        </a:xfrm>
        <a:prstGeom prst="rect">
          <a:avLst/>
        </a:prstGeom>
      </xdr:spPr>
    </xdr:pic>
    <xdr:clientData/>
  </xdr:twoCellAnchor>
  <xdr:twoCellAnchor>
    <xdr:from>
      <xdr:col>9</xdr:col>
      <xdr:colOff>6350</xdr:colOff>
      <xdr:row>4172</xdr:row>
      <xdr:rowOff>25400</xdr:rowOff>
    </xdr:from>
    <xdr:to>
      <xdr:col>9</xdr:col>
      <xdr:colOff>885190</xdr:colOff>
      <xdr:row>4172</xdr:row>
      <xdr:rowOff>1209040</xdr:rowOff>
    </xdr:to>
    <xdr:pic>
      <xdr:nvPicPr>
        <xdr:cNvPr id="8515" name="Изображение 8514" descr="resizeПП-00229887"/>
        <xdr:cNvPicPr>
          <a:picLocks noChangeAspect="1"/>
        </xdr:cNvPicPr>
      </xdr:nvPicPr>
      <xdr:blipFill>
        <a:blip xmlns:r="http://schemas.openxmlformats.org/officeDocument/2006/relationships" r:embed="rId3052"/>
        <a:stretch>
          <a:fillRect/>
        </a:stretch>
      </xdr:blipFill>
      <xdr:spPr>
        <a:xfrm>
          <a:off x="7235825" y="4178500025"/>
          <a:ext cx="878840" cy="1183640"/>
        </a:xfrm>
        <a:prstGeom prst="rect">
          <a:avLst/>
        </a:prstGeom>
      </xdr:spPr>
    </xdr:pic>
    <xdr:clientData/>
  </xdr:twoCellAnchor>
  <xdr:twoCellAnchor>
    <xdr:from>
      <xdr:col>9</xdr:col>
      <xdr:colOff>6350</xdr:colOff>
      <xdr:row>4173</xdr:row>
      <xdr:rowOff>25400</xdr:rowOff>
    </xdr:from>
    <xdr:to>
      <xdr:col>9</xdr:col>
      <xdr:colOff>885190</xdr:colOff>
      <xdr:row>4173</xdr:row>
      <xdr:rowOff>1209040</xdr:rowOff>
    </xdr:to>
    <xdr:pic>
      <xdr:nvPicPr>
        <xdr:cNvPr id="8516" name="Изображение 8515" descr="resizeПП-00229889"/>
        <xdr:cNvPicPr>
          <a:picLocks noChangeAspect="1"/>
        </xdr:cNvPicPr>
      </xdr:nvPicPr>
      <xdr:blipFill>
        <a:blip xmlns:r="http://schemas.openxmlformats.org/officeDocument/2006/relationships" r:embed="rId3181"/>
        <a:stretch>
          <a:fillRect/>
        </a:stretch>
      </xdr:blipFill>
      <xdr:spPr>
        <a:xfrm>
          <a:off x="7235825" y="4179722400"/>
          <a:ext cx="878840" cy="1183640"/>
        </a:xfrm>
        <a:prstGeom prst="rect">
          <a:avLst/>
        </a:prstGeom>
      </xdr:spPr>
    </xdr:pic>
    <xdr:clientData/>
  </xdr:twoCellAnchor>
  <xdr:twoCellAnchor>
    <xdr:from>
      <xdr:col>9</xdr:col>
      <xdr:colOff>6350</xdr:colOff>
      <xdr:row>4174</xdr:row>
      <xdr:rowOff>25400</xdr:rowOff>
    </xdr:from>
    <xdr:to>
      <xdr:col>9</xdr:col>
      <xdr:colOff>885190</xdr:colOff>
      <xdr:row>4174</xdr:row>
      <xdr:rowOff>1209040</xdr:rowOff>
    </xdr:to>
    <xdr:pic>
      <xdr:nvPicPr>
        <xdr:cNvPr id="8517" name="Изображение 8516" descr="resizeПП-00229874"/>
        <xdr:cNvPicPr>
          <a:picLocks noChangeAspect="1"/>
        </xdr:cNvPicPr>
      </xdr:nvPicPr>
      <xdr:blipFill>
        <a:blip xmlns:r="http://schemas.openxmlformats.org/officeDocument/2006/relationships" r:embed="rId3182"/>
        <a:stretch>
          <a:fillRect/>
        </a:stretch>
      </xdr:blipFill>
      <xdr:spPr>
        <a:xfrm>
          <a:off x="7235825" y="4180944775"/>
          <a:ext cx="878840" cy="1183640"/>
        </a:xfrm>
        <a:prstGeom prst="rect">
          <a:avLst/>
        </a:prstGeom>
      </xdr:spPr>
    </xdr:pic>
    <xdr:clientData/>
  </xdr:twoCellAnchor>
  <xdr:twoCellAnchor>
    <xdr:from>
      <xdr:col>9</xdr:col>
      <xdr:colOff>6350</xdr:colOff>
      <xdr:row>4175</xdr:row>
      <xdr:rowOff>25400</xdr:rowOff>
    </xdr:from>
    <xdr:to>
      <xdr:col>9</xdr:col>
      <xdr:colOff>885190</xdr:colOff>
      <xdr:row>4175</xdr:row>
      <xdr:rowOff>1209040</xdr:rowOff>
    </xdr:to>
    <xdr:pic>
      <xdr:nvPicPr>
        <xdr:cNvPr id="8518" name="Изображение 8517" descr="resizeПП-00213644"/>
        <xdr:cNvPicPr>
          <a:picLocks noChangeAspect="1"/>
        </xdr:cNvPicPr>
      </xdr:nvPicPr>
      <xdr:blipFill>
        <a:blip xmlns:r="http://schemas.openxmlformats.org/officeDocument/2006/relationships" r:embed="rId3183"/>
        <a:stretch>
          <a:fillRect/>
        </a:stretch>
      </xdr:blipFill>
      <xdr:spPr>
        <a:xfrm>
          <a:off x="7235825" y="4182167150"/>
          <a:ext cx="878840" cy="1183640"/>
        </a:xfrm>
        <a:prstGeom prst="rect">
          <a:avLst/>
        </a:prstGeom>
      </xdr:spPr>
    </xdr:pic>
    <xdr:clientData/>
  </xdr:twoCellAnchor>
  <xdr:twoCellAnchor>
    <xdr:from>
      <xdr:col>9</xdr:col>
      <xdr:colOff>6350</xdr:colOff>
      <xdr:row>4176</xdr:row>
      <xdr:rowOff>25400</xdr:rowOff>
    </xdr:from>
    <xdr:to>
      <xdr:col>9</xdr:col>
      <xdr:colOff>885190</xdr:colOff>
      <xdr:row>4176</xdr:row>
      <xdr:rowOff>1209040</xdr:rowOff>
    </xdr:to>
    <xdr:pic>
      <xdr:nvPicPr>
        <xdr:cNvPr id="8519" name="Изображение 8518" descr="resizeПП-00213645"/>
        <xdr:cNvPicPr>
          <a:picLocks noChangeAspect="1"/>
        </xdr:cNvPicPr>
      </xdr:nvPicPr>
      <xdr:blipFill>
        <a:blip xmlns:r="http://schemas.openxmlformats.org/officeDocument/2006/relationships" r:embed="rId3184"/>
        <a:stretch>
          <a:fillRect/>
        </a:stretch>
      </xdr:blipFill>
      <xdr:spPr>
        <a:xfrm>
          <a:off x="7235825" y="4183389525"/>
          <a:ext cx="878840" cy="1183640"/>
        </a:xfrm>
        <a:prstGeom prst="rect">
          <a:avLst/>
        </a:prstGeom>
      </xdr:spPr>
    </xdr:pic>
    <xdr:clientData/>
  </xdr:twoCellAnchor>
  <xdr:twoCellAnchor>
    <xdr:from>
      <xdr:col>9</xdr:col>
      <xdr:colOff>6350</xdr:colOff>
      <xdr:row>4177</xdr:row>
      <xdr:rowOff>25400</xdr:rowOff>
    </xdr:from>
    <xdr:to>
      <xdr:col>9</xdr:col>
      <xdr:colOff>885190</xdr:colOff>
      <xdr:row>4177</xdr:row>
      <xdr:rowOff>1209040</xdr:rowOff>
    </xdr:to>
    <xdr:pic>
      <xdr:nvPicPr>
        <xdr:cNvPr id="8520" name="Изображение 8519" descr="resizeПП-00236180"/>
        <xdr:cNvPicPr>
          <a:picLocks noChangeAspect="1"/>
        </xdr:cNvPicPr>
      </xdr:nvPicPr>
      <xdr:blipFill>
        <a:blip xmlns:r="http://schemas.openxmlformats.org/officeDocument/2006/relationships" r:embed="rId3185"/>
        <a:stretch>
          <a:fillRect/>
        </a:stretch>
      </xdr:blipFill>
      <xdr:spPr>
        <a:xfrm>
          <a:off x="7235825" y="4184611900"/>
          <a:ext cx="878840" cy="1183640"/>
        </a:xfrm>
        <a:prstGeom prst="rect">
          <a:avLst/>
        </a:prstGeom>
      </xdr:spPr>
    </xdr:pic>
    <xdr:clientData/>
  </xdr:twoCellAnchor>
  <xdr:twoCellAnchor>
    <xdr:from>
      <xdr:col>9</xdr:col>
      <xdr:colOff>6350</xdr:colOff>
      <xdr:row>4178</xdr:row>
      <xdr:rowOff>25400</xdr:rowOff>
    </xdr:from>
    <xdr:to>
      <xdr:col>9</xdr:col>
      <xdr:colOff>885190</xdr:colOff>
      <xdr:row>4178</xdr:row>
      <xdr:rowOff>1209040</xdr:rowOff>
    </xdr:to>
    <xdr:pic>
      <xdr:nvPicPr>
        <xdr:cNvPr id="8521" name="Изображение 8520" descr="resizeПП-00261770"/>
        <xdr:cNvPicPr>
          <a:picLocks noChangeAspect="1"/>
        </xdr:cNvPicPr>
      </xdr:nvPicPr>
      <xdr:blipFill>
        <a:blip xmlns:r="http://schemas.openxmlformats.org/officeDocument/2006/relationships" r:embed="rId3186"/>
        <a:stretch>
          <a:fillRect/>
        </a:stretch>
      </xdr:blipFill>
      <xdr:spPr>
        <a:xfrm>
          <a:off x="7235825" y="4185834275"/>
          <a:ext cx="878840" cy="1183640"/>
        </a:xfrm>
        <a:prstGeom prst="rect">
          <a:avLst/>
        </a:prstGeom>
      </xdr:spPr>
    </xdr:pic>
    <xdr:clientData/>
  </xdr:twoCellAnchor>
  <xdr:twoCellAnchor>
    <xdr:from>
      <xdr:col>9</xdr:col>
      <xdr:colOff>6350</xdr:colOff>
      <xdr:row>4179</xdr:row>
      <xdr:rowOff>25400</xdr:rowOff>
    </xdr:from>
    <xdr:to>
      <xdr:col>9</xdr:col>
      <xdr:colOff>885190</xdr:colOff>
      <xdr:row>4179</xdr:row>
      <xdr:rowOff>1209040</xdr:rowOff>
    </xdr:to>
    <xdr:pic>
      <xdr:nvPicPr>
        <xdr:cNvPr id="8522" name="Изображение 8521" descr="resizeПП-00261772"/>
        <xdr:cNvPicPr>
          <a:picLocks noChangeAspect="1"/>
        </xdr:cNvPicPr>
      </xdr:nvPicPr>
      <xdr:blipFill>
        <a:blip xmlns:r="http://schemas.openxmlformats.org/officeDocument/2006/relationships" r:embed="rId3187"/>
        <a:stretch>
          <a:fillRect/>
        </a:stretch>
      </xdr:blipFill>
      <xdr:spPr>
        <a:xfrm>
          <a:off x="7235825" y="4187056650"/>
          <a:ext cx="878840" cy="1183640"/>
        </a:xfrm>
        <a:prstGeom prst="rect">
          <a:avLst/>
        </a:prstGeom>
      </xdr:spPr>
    </xdr:pic>
    <xdr:clientData/>
  </xdr:twoCellAnchor>
  <xdr:twoCellAnchor>
    <xdr:from>
      <xdr:col>9</xdr:col>
      <xdr:colOff>6350</xdr:colOff>
      <xdr:row>4180</xdr:row>
      <xdr:rowOff>25400</xdr:rowOff>
    </xdr:from>
    <xdr:to>
      <xdr:col>9</xdr:col>
      <xdr:colOff>885190</xdr:colOff>
      <xdr:row>4180</xdr:row>
      <xdr:rowOff>1209040</xdr:rowOff>
    </xdr:to>
    <xdr:pic>
      <xdr:nvPicPr>
        <xdr:cNvPr id="8523" name="Изображение 8522" descr="resizeПП-00261771"/>
        <xdr:cNvPicPr>
          <a:picLocks noChangeAspect="1"/>
        </xdr:cNvPicPr>
      </xdr:nvPicPr>
      <xdr:blipFill>
        <a:blip xmlns:r="http://schemas.openxmlformats.org/officeDocument/2006/relationships" r:embed="rId3188"/>
        <a:stretch>
          <a:fillRect/>
        </a:stretch>
      </xdr:blipFill>
      <xdr:spPr>
        <a:xfrm>
          <a:off x="7235825" y="4188279025"/>
          <a:ext cx="878840" cy="1183640"/>
        </a:xfrm>
        <a:prstGeom prst="rect">
          <a:avLst/>
        </a:prstGeom>
      </xdr:spPr>
    </xdr:pic>
    <xdr:clientData/>
  </xdr:twoCellAnchor>
  <xdr:twoCellAnchor>
    <xdr:from>
      <xdr:col>9</xdr:col>
      <xdr:colOff>6350</xdr:colOff>
      <xdr:row>4182</xdr:row>
      <xdr:rowOff>25400</xdr:rowOff>
    </xdr:from>
    <xdr:to>
      <xdr:col>9</xdr:col>
      <xdr:colOff>885190</xdr:colOff>
      <xdr:row>4182</xdr:row>
      <xdr:rowOff>1209040</xdr:rowOff>
    </xdr:to>
    <xdr:pic>
      <xdr:nvPicPr>
        <xdr:cNvPr id="8524" name="Изображение 8523" descr="resizeПП-00272390"/>
        <xdr:cNvPicPr>
          <a:picLocks noChangeAspect="1"/>
        </xdr:cNvPicPr>
      </xdr:nvPicPr>
      <xdr:blipFill>
        <a:blip xmlns:r="http://schemas.openxmlformats.org/officeDocument/2006/relationships" r:embed="rId3189"/>
        <a:stretch>
          <a:fillRect/>
        </a:stretch>
      </xdr:blipFill>
      <xdr:spPr>
        <a:xfrm>
          <a:off x="7235825" y="4189653800"/>
          <a:ext cx="878840" cy="1183640"/>
        </a:xfrm>
        <a:prstGeom prst="rect">
          <a:avLst/>
        </a:prstGeom>
      </xdr:spPr>
    </xdr:pic>
    <xdr:clientData/>
  </xdr:twoCellAnchor>
  <xdr:twoCellAnchor>
    <xdr:from>
      <xdr:col>9</xdr:col>
      <xdr:colOff>6350</xdr:colOff>
      <xdr:row>4183</xdr:row>
      <xdr:rowOff>25400</xdr:rowOff>
    </xdr:from>
    <xdr:to>
      <xdr:col>9</xdr:col>
      <xdr:colOff>885190</xdr:colOff>
      <xdr:row>4183</xdr:row>
      <xdr:rowOff>1209040</xdr:rowOff>
    </xdr:to>
    <xdr:pic>
      <xdr:nvPicPr>
        <xdr:cNvPr id="8525" name="Изображение 8524" descr="resizeПП-00272386"/>
        <xdr:cNvPicPr>
          <a:picLocks noChangeAspect="1"/>
        </xdr:cNvPicPr>
      </xdr:nvPicPr>
      <xdr:blipFill>
        <a:blip xmlns:r="http://schemas.openxmlformats.org/officeDocument/2006/relationships" r:embed="rId3190"/>
        <a:stretch>
          <a:fillRect/>
        </a:stretch>
      </xdr:blipFill>
      <xdr:spPr>
        <a:xfrm>
          <a:off x="7235825" y="4190876175"/>
          <a:ext cx="878840" cy="1183640"/>
        </a:xfrm>
        <a:prstGeom prst="rect">
          <a:avLst/>
        </a:prstGeom>
      </xdr:spPr>
    </xdr:pic>
    <xdr:clientData/>
  </xdr:twoCellAnchor>
  <xdr:twoCellAnchor>
    <xdr:from>
      <xdr:col>9</xdr:col>
      <xdr:colOff>6350</xdr:colOff>
      <xdr:row>4186</xdr:row>
      <xdr:rowOff>25400</xdr:rowOff>
    </xdr:from>
    <xdr:to>
      <xdr:col>9</xdr:col>
      <xdr:colOff>885190</xdr:colOff>
      <xdr:row>4186</xdr:row>
      <xdr:rowOff>1209040</xdr:rowOff>
    </xdr:to>
    <xdr:pic>
      <xdr:nvPicPr>
        <xdr:cNvPr id="8526" name="Изображение 8525" descr="resizeПП-00252796"/>
        <xdr:cNvPicPr>
          <a:picLocks noChangeAspect="1"/>
        </xdr:cNvPicPr>
      </xdr:nvPicPr>
      <xdr:blipFill>
        <a:blip xmlns:r="http://schemas.openxmlformats.org/officeDocument/2006/relationships" r:embed="rId3191"/>
        <a:stretch>
          <a:fillRect/>
        </a:stretch>
      </xdr:blipFill>
      <xdr:spPr>
        <a:xfrm>
          <a:off x="7235825" y="4192403350"/>
          <a:ext cx="878840" cy="1183640"/>
        </a:xfrm>
        <a:prstGeom prst="rect">
          <a:avLst/>
        </a:prstGeom>
      </xdr:spPr>
    </xdr:pic>
    <xdr:clientData/>
  </xdr:twoCellAnchor>
  <xdr:twoCellAnchor>
    <xdr:from>
      <xdr:col>9</xdr:col>
      <xdr:colOff>6350</xdr:colOff>
      <xdr:row>4187</xdr:row>
      <xdr:rowOff>25400</xdr:rowOff>
    </xdr:from>
    <xdr:to>
      <xdr:col>9</xdr:col>
      <xdr:colOff>885190</xdr:colOff>
      <xdr:row>4187</xdr:row>
      <xdr:rowOff>1209040</xdr:rowOff>
    </xdr:to>
    <xdr:pic>
      <xdr:nvPicPr>
        <xdr:cNvPr id="8527" name="Изображение 8526" descr="resizeПП-00252793"/>
        <xdr:cNvPicPr>
          <a:picLocks noChangeAspect="1"/>
        </xdr:cNvPicPr>
      </xdr:nvPicPr>
      <xdr:blipFill>
        <a:blip xmlns:r="http://schemas.openxmlformats.org/officeDocument/2006/relationships" r:embed="rId3192"/>
        <a:stretch>
          <a:fillRect/>
        </a:stretch>
      </xdr:blipFill>
      <xdr:spPr>
        <a:xfrm>
          <a:off x="7235825" y="4193625725"/>
          <a:ext cx="878840" cy="1183640"/>
        </a:xfrm>
        <a:prstGeom prst="rect">
          <a:avLst/>
        </a:prstGeom>
      </xdr:spPr>
    </xdr:pic>
    <xdr:clientData/>
  </xdr:twoCellAnchor>
  <xdr:twoCellAnchor>
    <xdr:from>
      <xdr:col>9</xdr:col>
      <xdr:colOff>6350</xdr:colOff>
      <xdr:row>4188</xdr:row>
      <xdr:rowOff>25400</xdr:rowOff>
    </xdr:from>
    <xdr:to>
      <xdr:col>9</xdr:col>
      <xdr:colOff>885190</xdr:colOff>
      <xdr:row>4188</xdr:row>
      <xdr:rowOff>1209040</xdr:rowOff>
    </xdr:to>
    <xdr:pic>
      <xdr:nvPicPr>
        <xdr:cNvPr id="8528" name="Изображение 8527" descr="resizeПП-00265757"/>
        <xdr:cNvPicPr>
          <a:picLocks noChangeAspect="1"/>
        </xdr:cNvPicPr>
      </xdr:nvPicPr>
      <xdr:blipFill>
        <a:blip xmlns:r="http://schemas.openxmlformats.org/officeDocument/2006/relationships" r:embed="rId3193"/>
        <a:stretch>
          <a:fillRect/>
        </a:stretch>
      </xdr:blipFill>
      <xdr:spPr>
        <a:xfrm>
          <a:off x="7235825" y="4194848100"/>
          <a:ext cx="878840" cy="1183640"/>
        </a:xfrm>
        <a:prstGeom prst="rect">
          <a:avLst/>
        </a:prstGeom>
      </xdr:spPr>
    </xdr:pic>
    <xdr:clientData/>
  </xdr:twoCellAnchor>
  <xdr:twoCellAnchor>
    <xdr:from>
      <xdr:col>9</xdr:col>
      <xdr:colOff>6350</xdr:colOff>
      <xdr:row>4189</xdr:row>
      <xdr:rowOff>25400</xdr:rowOff>
    </xdr:from>
    <xdr:to>
      <xdr:col>9</xdr:col>
      <xdr:colOff>885190</xdr:colOff>
      <xdr:row>4189</xdr:row>
      <xdr:rowOff>1209040</xdr:rowOff>
    </xdr:to>
    <xdr:pic>
      <xdr:nvPicPr>
        <xdr:cNvPr id="8529" name="Изображение 8528" descr="resizeПП-00265755"/>
        <xdr:cNvPicPr>
          <a:picLocks noChangeAspect="1"/>
        </xdr:cNvPicPr>
      </xdr:nvPicPr>
      <xdr:blipFill>
        <a:blip xmlns:r="http://schemas.openxmlformats.org/officeDocument/2006/relationships" r:embed="rId3194"/>
        <a:stretch>
          <a:fillRect/>
        </a:stretch>
      </xdr:blipFill>
      <xdr:spPr>
        <a:xfrm>
          <a:off x="7235825" y="4196070475"/>
          <a:ext cx="878840" cy="1183640"/>
        </a:xfrm>
        <a:prstGeom prst="rect">
          <a:avLst/>
        </a:prstGeom>
      </xdr:spPr>
    </xdr:pic>
    <xdr:clientData/>
  </xdr:twoCellAnchor>
  <xdr:twoCellAnchor>
    <xdr:from>
      <xdr:col>9</xdr:col>
      <xdr:colOff>6350</xdr:colOff>
      <xdr:row>4190</xdr:row>
      <xdr:rowOff>25400</xdr:rowOff>
    </xdr:from>
    <xdr:to>
      <xdr:col>9</xdr:col>
      <xdr:colOff>885190</xdr:colOff>
      <xdr:row>4190</xdr:row>
      <xdr:rowOff>1209040</xdr:rowOff>
    </xdr:to>
    <xdr:pic>
      <xdr:nvPicPr>
        <xdr:cNvPr id="8530" name="Изображение 8529" descr="resizeПП-00265756"/>
        <xdr:cNvPicPr>
          <a:picLocks noChangeAspect="1"/>
        </xdr:cNvPicPr>
      </xdr:nvPicPr>
      <xdr:blipFill>
        <a:blip xmlns:r="http://schemas.openxmlformats.org/officeDocument/2006/relationships" r:embed="rId3195"/>
        <a:stretch>
          <a:fillRect/>
        </a:stretch>
      </xdr:blipFill>
      <xdr:spPr>
        <a:xfrm>
          <a:off x="7235825" y="4197292850"/>
          <a:ext cx="878840" cy="1183640"/>
        </a:xfrm>
        <a:prstGeom prst="rect">
          <a:avLst/>
        </a:prstGeom>
      </xdr:spPr>
    </xdr:pic>
    <xdr:clientData/>
  </xdr:twoCellAnchor>
  <xdr:twoCellAnchor>
    <xdr:from>
      <xdr:col>9</xdr:col>
      <xdr:colOff>6350</xdr:colOff>
      <xdr:row>4191</xdr:row>
      <xdr:rowOff>25400</xdr:rowOff>
    </xdr:from>
    <xdr:to>
      <xdr:col>9</xdr:col>
      <xdr:colOff>885190</xdr:colOff>
      <xdr:row>4191</xdr:row>
      <xdr:rowOff>1209040</xdr:rowOff>
    </xdr:to>
    <xdr:pic>
      <xdr:nvPicPr>
        <xdr:cNvPr id="8531" name="Изображение 8530" descr="resizeПП-00252795"/>
        <xdr:cNvPicPr>
          <a:picLocks noChangeAspect="1"/>
        </xdr:cNvPicPr>
      </xdr:nvPicPr>
      <xdr:blipFill>
        <a:blip xmlns:r="http://schemas.openxmlformats.org/officeDocument/2006/relationships" r:embed="rId3196"/>
        <a:stretch>
          <a:fillRect/>
        </a:stretch>
      </xdr:blipFill>
      <xdr:spPr>
        <a:xfrm>
          <a:off x="7235825" y="4198515225"/>
          <a:ext cx="878840" cy="1183640"/>
        </a:xfrm>
        <a:prstGeom prst="rect">
          <a:avLst/>
        </a:prstGeom>
      </xdr:spPr>
    </xdr:pic>
    <xdr:clientData/>
  </xdr:twoCellAnchor>
  <xdr:twoCellAnchor>
    <xdr:from>
      <xdr:col>9</xdr:col>
      <xdr:colOff>6350</xdr:colOff>
      <xdr:row>4192</xdr:row>
      <xdr:rowOff>25400</xdr:rowOff>
    </xdr:from>
    <xdr:to>
      <xdr:col>9</xdr:col>
      <xdr:colOff>885190</xdr:colOff>
      <xdr:row>4192</xdr:row>
      <xdr:rowOff>1209040</xdr:rowOff>
    </xdr:to>
    <xdr:pic>
      <xdr:nvPicPr>
        <xdr:cNvPr id="8532" name="Изображение 8531" descr="resizeПП-00252794"/>
        <xdr:cNvPicPr>
          <a:picLocks noChangeAspect="1"/>
        </xdr:cNvPicPr>
      </xdr:nvPicPr>
      <xdr:blipFill>
        <a:blip xmlns:r="http://schemas.openxmlformats.org/officeDocument/2006/relationships" r:embed="rId3197"/>
        <a:stretch>
          <a:fillRect/>
        </a:stretch>
      </xdr:blipFill>
      <xdr:spPr>
        <a:xfrm>
          <a:off x="7235825" y="4199737600"/>
          <a:ext cx="878840" cy="1183640"/>
        </a:xfrm>
        <a:prstGeom prst="rect">
          <a:avLst/>
        </a:prstGeom>
      </xdr:spPr>
    </xdr:pic>
    <xdr:clientData/>
  </xdr:twoCellAnchor>
  <xdr:twoCellAnchor>
    <xdr:from>
      <xdr:col>9</xdr:col>
      <xdr:colOff>6350</xdr:colOff>
      <xdr:row>4193</xdr:row>
      <xdr:rowOff>25400</xdr:rowOff>
    </xdr:from>
    <xdr:to>
      <xdr:col>9</xdr:col>
      <xdr:colOff>885190</xdr:colOff>
      <xdr:row>4193</xdr:row>
      <xdr:rowOff>1209040</xdr:rowOff>
    </xdr:to>
    <xdr:pic>
      <xdr:nvPicPr>
        <xdr:cNvPr id="8533" name="Изображение 8532" descr="resizeПП-00243306"/>
        <xdr:cNvPicPr>
          <a:picLocks noChangeAspect="1"/>
        </xdr:cNvPicPr>
      </xdr:nvPicPr>
      <xdr:blipFill>
        <a:blip xmlns:r="http://schemas.openxmlformats.org/officeDocument/2006/relationships" r:embed="rId3198"/>
        <a:stretch>
          <a:fillRect/>
        </a:stretch>
      </xdr:blipFill>
      <xdr:spPr>
        <a:xfrm>
          <a:off x="7235825" y="4200959975"/>
          <a:ext cx="878840" cy="1183640"/>
        </a:xfrm>
        <a:prstGeom prst="rect">
          <a:avLst/>
        </a:prstGeom>
      </xdr:spPr>
    </xdr:pic>
    <xdr:clientData/>
  </xdr:twoCellAnchor>
  <xdr:twoCellAnchor>
    <xdr:from>
      <xdr:col>9</xdr:col>
      <xdr:colOff>6350</xdr:colOff>
      <xdr:row>4194</xdr:row>
      <xdr:rowOff>25400</xdr:rowOff>
    </xdr:from>
    <xdr:to>
      <xdr:col>9</xdr:col>
      <xdr:colOff>885190</xdr:colOff>
      <xdr:row>4194</xdr:row>
      <xdr:rowOff>1209040</xdr:rowOff>
    </xdr:to>
    <xdr:pic>
      <xdr:nvPicPr>
        <xdr:cNvPr id="8534" name="Изображение 8533" descr="resizeПП-00243305"/>
        <xdr:cNvPicPr>
          <a:picLocks noChangeAspect="1"/>
        </xdr:cNvPicPr>
      </xdr:nvPicPr>
      <xdr:blipFill>
        <a:blip xmlns:r="http://schemas.openxmlformats.org/officeDocument/2006/relationships" r:embed="rId3199"/>
        <a:stretch>
          <a:fillRect/>
        </a:stretch>
      </xdr:blipFill>
      <xdr:spPr>
        <a:xfrm>
          <a:off x="7235825" y="4202182350"/>
          <a:ext cx="878840" cy="1183640"/>
        </a:xfrm>
        <a:prstGeom prst="rect">
          <a:avLst/>
        </a:prstGeom>
      </xdr:spPr>
    </xdr:pic>
    <xdr:clientData/>
  </xdr:twoCellAnchor>
  <xdr:twoCellAnchor>
    <xdr:from>
      <xdr:col>9</xdr:col>
      <xdr:colOff>6350</xdr:colOff>
      <xdr:row>4195</xdr:row>
      <xdr:rowOff>25400</xdr:rowOff>
    </xdr:from>
    <xdr:to>
      <xdr:col>9</xdr:col>
      <xdr:colOff>885190</xdr:colOff>
      <xdr:row>4195</xdr:row>
      <xdr:rowOff>1209040</xdr:rowOff>
    </xdr:to>
    <xdr:pic>
      <xdr:nvPicPr>
        <xdr:cNvPr id="8535" name="Изображение 8534" descr="resizeПП-00229916"/>
        <xdr:cNvPicPr>
          <a:picLocks noChangeAspect="1"/>
        </xdr:cNvPicPr>
      </xdr:nvPicPr>
      <xdr:blipFill>
        <a:blip xmlns:r="http://schemas.openxmlformats.org/officeDocument/2006/relationships" r:embed="rId3200"/>
        <a:stretch>
          <a:fillRect/>
        </a:stretch>
      </xdr:blipFill>
      <xdr:spPr>
        <a:xfrm>
          <a:off x="7235825" y="4203404725"/>
          <a:ext cx="878840" cy="1183640"/>
        </a:xfrm>
        <a:prstGeom prst="rect">
          <a:avLst/>
        </a:prstGeom>
      </xdr:spPr>
    </xdr:pic>
    <xdr:clientData/>
  </xdr:twoCellAnchor>
  <xdr:twoCellAnchor>
    <xdr:from>
      <xdr:col>9</xdr:col>
      <xdr:colOff>6350</xdr:colOff>
      <xdr:row>4197</xdr:row>
      <xdr:rowOff>25400</xdr:rowOff>
    </xdr:from>
    <xdr:to>
      <xdr:col>9</xdr:col>
      <xdr:colOff>885190</xdr:colOff>
      <xdr:row>4197</xdr:row>
      <xdr:rowOff>1209040</xdr:rowOff>
    </xdr:to>
    <xdr:pic>
      <xdr:nvPicPr>
        <xdr:cNvPr id="8536" name="Изображение 8535" descr="resizeПП-00272392"/>
        <xdr:cNvPicPr>
          <a:picLocks noChangeAspect="1"/>
        </xdr:cNvPicPr>
      </xdr:nvPicPr>
      <xdr:blipFill>
        <a:blip xmlns:r="http://schemas.openxmlformats.org/officeDocument/2006/relationships" r:embed="rId3201"/>
        <a:stretch>
          <a:fillRect/>
        </a:stretch>
      </xdr:blipFill>
      <xdr:spPr>
        <a:xfrm>
          <a:off x="7235825" y="4204779500"/>
          <a:ext cx="878840" cy="1183640"/>
        </a:xfrm>
        <a:prstGeom prst="rect">
          <a:avLst/>
        </a:prstGeom>
      </xdr:spPr>
    </xdr:pic>
    <xdr:clientData/>
  </xdr:twoCellAnchor>
  <xdr:twoCellAnchor>
    <xdr:from>
      <xdr:col>9</xdr:col>
      <xdr:colOff>6350</xdr:colOff>
      <xdr:row>4198</xdr:row>
      <xdr:rowOff>25400</xdr:rowOff>
    </xdr:from>
    <xdr:to>
      <xdr:col>9</xdr:col>
      <xdr:colOff>885190</xdr:colOff>
      <xdr:row>4198</xdr:row>
      <xdr:rowOff>1209040</xdr:rowOff>
    </xdr:to>
    <xdr:pic>
      <xdr:nvPicPr>
        <xdr:cNvPr id="8537" name="Изображение 8536" descr="resizeПП-00272393"/>
        <xdr:cNvPicPr>
          <a:picLocks noChangeAspect="1"/>
        </xdr:cNvPicPr>
      </xdr:nvPicPr>
      <xdr:blipFill>
        <a:blip xmlns:r="http://schemas.openxmlformats.org/officeDocument/2006/relationships" r:embed="rId3202"/>
        <a:stretch>
          <a:fillRect/>
        </a:stretch>
      </xdr:blipFill>
      <xdr:spPr>
        <a:xfrm>
          <a:off x="7235825" y="4206001875"/>
          <a:ext cx="878840" cy="1183640"/>
        </a:xfrm>
        <a:prstGeom prst="rect">
          <a:avLst/>
        </a:prstGeom>
      </xdr:spPr>
    </xdr:pic>
    <xdr:clientData/>
  </xdr:twoCellAnchor>
  <xdr:twoCellAnchor>
    <xdr:from>
      <xdr:col>9</xdr:col>
      <xdr:colOff>6350</xdr:colOff>
      <xdr:row>4199</xdr:row>
      <xdr:rowOff>25400</xdr:rowOff>
    </xdr:from>
    <xdr:to>
      <xdr:col>9</xdr:col>
      <xdr:colOff>885190</xdr:colOff>
      <xdr:row>4199</xdr:row>
      <xdr:rowOff>1209040</xdr:rowOff>
    </xdr:to>
    <xdr:pic>
      <xdr:nvPicPr>
        <xdr:cNvPr id="8538" name="Изображение 8537" descr="resizeПП-00272391"/>
        <xdr:cNvPicPr>
          <a:picLocks noChangeAspect="1"/>
        </xdr:cNvPicPr>
      </xdr:nvPicPr>
      <xdr:blipFill>
        <a:blip xmlns:r="http://schemas.openxmlformats.org/officeDocument/2006/relationships" r:embed="rId3203"/>
        <a:stretch>
          <a:fillRect/>
        </a:stretch>
      </xdr:blipFill>
      <xdr:spPr>
        <a:xfrm>
          <a:off x="7235825" y="4207224250"/>
          <a:ext cx="878840" cy="1183640"/>
        </a:xfrm>
        <a:prstGeom prst="rect">
          <a:avLst/>
        </a:prstGeom>
      </xdr:spPr>
    </xdr:pic>
    <xdr:clientData/>
  </xdr:twoCellAnchor>
  <xdr:twoCellAnchor>
    <xdr:from>
      <xdr:col>9</xdr:col>
      <xdr:colOff>6350</xdr:colOff>
      <xdr:row>4202</xdr:row>
      <xdr:rowOff>25400</xdr:rowOff>
    </xdr:from>
    <xdr:to>
      <xdr:col>9</xdr:col>
      <xdr:colOff>885190</xdr:colOff>
      <xdr:row>4202</xdr:row>
      <xdr:rowOff>1209040</xdr:rowOff>
    </xdr:to>
    <xdr:pic>
      <xdr:nvPicPr>
        <xdr:cNvPr id="8539" name="Изображение 8538" descr="resizeПП-00236229"/>
        <xdr:cNvPicPr>
          <a:picLocks noChangeAspect="1"/>
        </xdr:cNvPicPr>
      </xdr:nvPicPr>
      <xdr:blipFill>
        <a:blip xmlns:r="http://schemas.openxmlformats.org/officeDocument/2006/relationships" r:embed="rId2789"/>
        <a:stretch>
          <a:fillRect/>
        </a:stretch>
      </xdr:blipFill>
      <xdr:spPr>
        <a:xfrm>
          <a:off x="7235825" y="4208751425"/>
          <a:ext cx="878840" cy="1183640"/>
        </a:xfrm>
        <a:prstGeom prst="rect">
          <a:avLst/>
        </a:prstGeom>
      </xdr:spPr>
    </xdr:pic>
    <xdr:clientData/>
  </xdr:twoCellAnchor>
  <xdr:twoCellAnchor>
    <xdr:from>
      <xdr:col>9</xdr:col>
      <xdr:colOff>6350</xdr:colOff>
      <xdr:row>4203</xdr:row>
      <xdr:rowOff>25400</xdr:rowOff>
    </xdr:from>
    <xdr:to>
      <xdr:col>9</xdr:col>
      <xdr:colOff>885190</xdr:colOff>
      <xdr:row>4203</xdr:row>
      <xdr:rowOff>1209040</xdr:rowOff>
    </xdr:to>
    <xdr:pic>
      <xdr:nvPicPr>
        <xdr:cNvPr id="8540" name="Изображение 8539" descr="resizeПП-00236230"/>
        <xdr:cNvPicPr>
          <a:picLocks noChangeAspect="1"/>
        </xdr:cNvPicPr>
      </xdr:nvPicPr>
      <xdr:blipFill>
        <a:blip xmlns:r="http://schemas.openxmlformats.org/officeDocument/2006/relationships" r:embed="rId2790"/>
        <a:stretch>
          <a:fillRect/>
        </a:stretch>
      </xdr:blipFill>
      <xdr:spPr>
        <a:xfrm>
          <a:off x="7235825" y="4209973800"/>
          <a:ext cx="878840" cy="1183640"/>
        </a:xfrm>
        <a:prstGeom prst="rect">
          <a:avLst/>
        </a:prstGeom>
      </xdr:spPr>
    </xdr:pic>
    <xdr:clientData/>
  </xdr:twoCellAnchor>
  <xdr:twoCellAnchor>
    <xdr:from>
      <xdr:col>9</xdr:col>
      <xdr:colOff>6350</xdr:colOff>
      <xdr:row>4204</xdr:row>
      <xdr:rowOff>25400</xdr:rowOff>
    </xdr:from>
    <xdr:to>
      <xdr:col>9</xdr:col>
      <xdr:colOff>885190</xdr:colOff>
      <xdr:row>4204</xdr:row>
      <xdr:rowOff>1209040</xdr:rowOff>
    </xdr:to>
    <xdr:pic>
      <xdr:nvPicPr>
        <xdr:cNvPr id="8541" name="Изображение 8540" descr="resizeПП-00236228"/>
        <xdr:cNvPicPr>
          <a:picLocks noChangeAspect="1"/>
        </xdr:cNvPicPr>
      </xdr:nvPicPr>
      <xdr:blipFill>
        <a:blip xmlns:r="http://schemas.openxmlformats.org/officeDocument/2006/relationships" r:embed="rId3204"/>
        <a:stretch>
          <a:fillRect/>
        </a:stretch>
      </xdr:blipFill>
      <xdr:spPr>
        <a:xfrm>
          <a:off x="7235825" y="4211196175"/>
          <a:ext cx="878840" cy="1183640"/>
        </a:xfrm>
        <a:prstGeom prst="rect">
          <a:avLst/>
        </a:prstGeom>
      </xdr:spPr>
    </xdr:pic>
    <xdr:clientData/>
  </xdr:twoCellAnchor>
  <xdr:twoCellAnchor>
    <xdr:from>
      <xdr:col>9</xdr:col>
      <xdr:colOff>6350</xdr:colOff>
      <xdr:row>4208</xdr:row>
      <xdr:rowOff>25400</xdr:rowOff>
    </xdr:from>
    <xdr:to>
      <xdr:col>9</xdr:col>
      <xdr:colOff>885190</xdr:colOff>
      <xdr:row>4208</xdr:row>
      <xdr:rowOff>1209040</xdr:rowOff>
    </xdr:to>
    <xdr:pic>
      <xdr:nvPicPr>
        <xdr:cNvPr id="8542" name="Изображение 8541" descr="resizeПП-00263235"/>
        <xdr:cNvPicPr>
          <a:picLocks noChangeAspect="1"/>
        </xdr:cNvPicPr>
      </xdr:nvPicPr>
      <xdr:blipFill>
        <a:blip xmlns:r="http://schemas.openxmlformats.org/officeDocument/2006/relationships" r:embed="rId3205"/>
        <a:stretch>
          <a:fillRect/>
        </a:stretch>
      </xdr:blipFill>
      <xdr:spPr>
        <a:xfrm>
          <a:off x="7235825" y="4212875750"/>
          <a:ext cx="878840" cy="1183640"/>
        </a:xfrm>
        <a:prstGeom prst="rect">
          <a:avLst/>
        </a:prstGeom>
      </xdr:spPr>
    </xdr:pic>
    <xdr:clientData/>
  </xdr:twoCellAnchor>
  <xdr:twoCellAnchor>
    <xdr:from>
      <xdr:col>9</xdr:col>
      <xdr:colOff>6350</xdr:colOff>
      <xdr:row>4209</xdr:row>
      <xdr:rowOff>25400</xdr:rowOff>
    </xdr:from>
    <xdr:to>
      <xdr:col>9</xdr:col>
      <xdr:colOff>885190</xdr:colOff>
      <xdr:row>4209</xdr:row>
      <xdr:rowOff>1209040</xdr:rowOff>
    </xdr:to>
    <xdr:pic>
      <xdr:nvPicPr>
        <xdr:cNvPr id="8543" name="Изображение 8542" descr="resizeПП-00263236"/>
        <xdr:cNvPicPr>
          <a:picLocks noChangeAspect="1"/>
        </xdr:cNvPicPr>
      </xdr:nvPicPr>
      <xdr:blipFill>
        <a:blip xmlns:r="http://schemas.openxmlformats.org/officeDocument/2006/relationships" r:embed="rId3206"/>
        <a:stretch>
          <a:fillRect/>
        </a:stretch>
      </xdr:blipFill>
      <xdr:spPr>
        <a:xfrm>
          <a:off x="7235825" y="4214098125"/>
          <a:ext cx="878840" cy="1183640"/>
        </a:xfrm>
        <a:prstGeom prst="rect">
          <a:avLst/>
        </a:prstGeom>
      </xdr:spPr>
    </xdr:pic>
    <xdr:clientData/>
  </xdr:twoCellAnchor>
  <xdr:twoCellAnchor>
    <xdr:from>
      <xdr:col>9</xdr:col>
      <xdr:colOff>6350</xdr:colOff>
      <xdr:row>4210</xdr:row>
      <xdr:rowOff>25400</xdr:rowOff>
    </xdr:from>
    <xdr:to>
      <xdr:col>9</xdr:col>
      <xdr:colOff>885190</xdr:colOff>
      <xdr:row>4210</xdr:row>
      <xdr:rowOff>1209040</xdr:rowOff>
    </xdr:to>
    <xdr:pic>
      <xdr:nvPicPr>
        <xdr:cNvPr id="8544" name="Изображение 8543" descr="resizeПП-00263237"/>
        <xdr:cNvPicPr>
          <a:picLocks noChangeAspect="1"/>
        </xdr:cNvPicPr>
      </xdr:nvPicPr>
      <xdr:blipFill>
        <a:blip xmlns:r="http://schemas.openxmlformats.org/officeDocument/2006/relationships" r:embed="rId3207"/>
        <a:stretch>
          <a:fillRect/>
        </a:stretch>
      </xdr:blipFill>
      <xdr:spPr>
        <a:xfrm>
          <a:off x="7235825" y="4215320500"/>
          <a:ext cx="878840" cy="1183640"/>
        </a:xfrm>
        <a:prstGeom prst="rect">
          <a:avLst/>
        </a:prstGeom>
      </xdr:spPr>
    </xdr:pic>
    <xdr:clientData/>
  </xdr:twoCellAnchor>
  <xdr:twoCellAnchor>
    <xdr:from>
      <xdr:col>9</xdr:col>
      <xdr:colOff>6350</xdr:colOff>
      <xdr:row>4211</xdr:row>
      <xdr:rowOff>25400</xdr:rowOff>
    </xdr:from>
    <xdr:to>
      <xdr:col>9</xdr:col>
      <xdr:colOff>885190</xdr:colOff>
      <xdr:row>4211</xdr:row>
      <xdr:rowOff>1209040</xdr:rowOff>
    </xdr:to>
    <xdr:pic>
      <xdr:nvPicPr>
        <xdr:cNvPr id="8545" name="Изображение 8544" descr="resizeПП-00263234"/>
        <xdr:cNvPicPr>
          <a:picLocks noChangeAspect="1"/>
        </xdr:cNvPicPr>
      </xdr:nvPicPr>
      <xdr:blipFill>
        <a:blip xmlns:r="http://schemas.openxmlformats.org/officeDocument/2006/relationships" r:embed="rId3208"/>
        <a:stretch>
          <a:fillRect/>
        </a:stretch>
      </xdr:blipFill>
      <xdr:spPr>
        <a:xfrm>
          <a:off x="7235825" y="4216542875"/>
          <a:ext cx="878840" cy="1183640"/>
        </a:xfrm>
        <a:prstGeom prst="rect">
          <a:avLst/>
        </a:prstGeom>
      </xdr:spPr>
    </xdr:pic>
    <xdr:clientData/>
  </xdr:twoCellAnchor>
  <xdr:twoCellAnchor>
    <xdr:from>
      <xdr:col>9</xdr:col>
      <xdr:colOff>6350</xdr:colOff>
      <xdr:row>4212</xdr:row>
      <xdr:rowOff>25400</xdr:rowOff>
    </xdr:from>
    <xdr:to>
      <xdr:col>9</xdr:col>
      <xdr:colOff>885190</xdr:colOff>
      <xdr:row>4212</xdr:row>
      <xdr:rowOff>1209040</xdr:rowOff>
    </xdr:to>
    <xdr:pic>
      <xdr:nvPicPr>
        <xdr:cNvPr id="8546" name="Изображение 8545" descr="resizeПП-00212271"/>
        <xdr:cNvPicPr>
          <a:picLocks noChangeAspect="1"/>
        </xdr:cNvPicPr>
      </xdr:nvPicPr>
      <xdr:blipFill>
        <a:blip xmlns:r="http://schemas.openxmlformats.org/officeDocument/2006/relationships" r:embed="rId2983"/>
        <a:stretch>
          <a:fillRect/>
        </a:stretch>
      </xdr:blipFill>
      <xdr:spPr>
        <a:xfrm>
          <a:off x="7235825" y="4217765250"/>
          <a:ext cx="878840" cy="1183640"/>
        </a:xfrm>
        <a:prstGeom prst="rect">
          <a:avLst/>
        </a:prstGeom>
      </xdr:spPr>
    </xdr:pic>
    <xdr:clientData/>
  </xdr:twoCellAnchor>
  <xdr:twoCellAnchor>
    <xdr:from>
      <xdr:col>9</xdr:col>
      <xdr:colOff>6350</xdr:colOff>
      <xdr:row>4213</xdr:row>
      <xdr:rowOff>25400</xdr:rowOff>
    </xdr:from>
    <xdr:to>
      <xdr:col>9</xdr:col>
      <xdr:colOff>885190</xdr:colOff>
      <xdr:row>4213</xdr:row>
      <xdr:rowOff>1209040</xdr:rowOff>
    </xdr:to>
    <xdr:pic>
      <xdr:nvPicPr>
        <xdr:cNvPr id="8547" name="Изображение 8546" descr="resizeПП-00212270"/>
        <xdr:cNvPicPr>
          <a:picLocks noChangeAspect="1"/>
        </xdr:cNvPicPr>
      </xdr:nvPicPr>
      <xdr:blipFill>
        <a:blip xmlns:r="http://schemas.openxmlformats.org/officeDocument/2006/relationships" r:embed="rId3209"/>
        <a:stretch>
          <a:fillRect/>
        </a:stretch>
      </xdr:blipFill>
      <xdr:spPr>
        <a:xfrm>
          <a:off x="7235825" y="4218987625"/>
          <a:ext cx="878840" cy="1183640"/>
        </a:xfrm>
        <a:prstGeom prst="rect">
          <a:avLst/>
        </a:prstGeom>
      </xdr:spPr>
    </xdr:pic>
    <xdr:clientData/>
  </xdr:twoCellAnchor>
  <xdr:twoCellAnchor>
    <xdr:from>
      <xdr:col>9</xdr:col>
      <xdr:colOff>6350</xdr:colOff>
      <xdr:row>4214</xdr:row>
      <xdr:rowOff>25400</xdr:rowOff>
    </xdr:from>
    <xdr:to>
      <xdr:col>9</xdr:col>
      <xdr:colOff>885190</xdr:colOff>
      <xdr:row>4214</xdr:row>
      <xdr:rowOff>1209040</xdr:rowOff>
    </xdr:to>
    <xdr:pic>
      <xdr:nvPicPr>
        <xdr:cNvPr id="8548" name="Изображение 8547" descr="resizeПП-00212269"/>
        <xdr:cNvPicPr>
          <a:picLocks noChangeAspect="1"/>
        </xdr:cNvPicPr>
      </xdr:nvPicPr>
      <xdr:blipFill>
        <a:blip xmlns:r="http://schemas.openxmlformats.org/officeDocument/2006/relationships" r:embed="rId2987"/>
        <a:stretch>
          <a:fillRect/>
        </a:stretch>
      </xdr:blipFill>
      <xdr:spPr>
        <a:xfrm>
          <a:off x="7235825" y="4220210000"/>
          <a:ext cx="878840" cy="1183640"/>
        </a:xfrm>
        <a:prstGeom prst="rect">
          <a:avLst/>
        </a:prstGeom>
      </xdr:spPr>
    </xdr:pic>
    <xdr:clientData/>
  </xdr:twoCellAnchor>
  <xdr:twoCellAnchor>
    <xdr:from>
      <xdr:col>9</xdr:col>
      <xdr:colOff>6350</xdr:colOff>
      <xdr:row>4215</xdr:row>
      <xdr:rowOff>25400</xdr:rowOff>
    </xdr:from>
    <xdr:to>
      <xdr:col>9</xdr:col>
      <xdr:colOff>885190</xdr:colOff>
      <xdr:row>4215</xdr:row>
      <xdr:rowOff>1209040</xdr:rowOff>
    </xdr:to>
    <xdr:pic>
      <xdr:nvPicPr>
        <xdr:cNvPr id="8549" name="Изображение 8548" descr="resizeПП-00237710"/>
        <xdr:cNvPicPr>
          <a:picLocks noChangeAspect="1"/>
        </xdr:cNvPicPr>
      </xdr:nvPicPr>
      <xdr:blipFill>
        <a:blip xmlns:r="http://schemas.openxmlformats.org/officeDocument/2006/relationships" r:embed="rId3210"/>
        <a:stretch>
          <a:fillRect/>
        </a:stretch>
      </xdr:blipFill>
      <xdr:spPr>
        <a:xfrm>
          <a:off x="7235825" y="4221432375"/>
          <a:ext cx="878840" cy="1183640"/>
        </a:xfrm>
        <a:prstGeom prst="rect">
          <a:avLst/>
        </a:prstGeom>
      </xdr:spPr>
    </xdr:pic>
    <xdr:clientData/>
  </xdr:twoCellAnchor>
  <xdr:twoCellAnchor>
    <xdr:from>
      <xdr:col>9</xdr:col>
      <xdr:colOff>6350</xdr:colOff>
      <xdr:row>4216</xdr:row>
      <xdr:rowOff>25400</xdr:rowOff>
    </xdr:from>
    <xdr:to>
      <xdr:col>9</xdr:col>
      <xdr:colOff>885190</xdr:colOff>
      <xdr:row>4216</xdr:row>
      <xdr:rowOff>1209040</xdr:rowOff>
    </xdr:to>
    <xdr:pic>
      <xdr:nvPicPr>
        <xdr:cNvPr id="8550" name="Изображение 8549" descr="resizeПП-00237704"/>
        <xdr:cNvPicPr>
          <a:picLocks noChangeAspect="1"/>
        </xdr:cNvPicPr>
      </xdr:nvPicPr>
      <xdr:blipFill>
        <a:blip xmlns:r="http://schemas.openxmlformats.org/officeDocument/2006/relationships" r:embed="rId3211"/>
        <a:stretch>
          <a:fillRect/>
        </a:stretch>
      </xdr:blipFill>
      <xdr:spPr>
        <a:xfrm>
          <a:off x="7235825" y="4222654750"/>
          <a:ext cx="878840" cy="1183640"/>
        </a:xfrm>
        <a:prstGeom prst="rect">
          <a:avLst/>
        </a:prstGeom>
      </xdr:spPr>
    </xdr:pic>
    <xdr:clientData/>
  </xdr:twoCellAnchor>
  <xdr:twoCellAnchor>
    <xdr:from>
      <xdr:col>9</xdr:col>
      <xdr:colOff>6350</xdr:colOff>
      <xdr:row>4217</xdr:row>
      <xdr:rowOff>25400</xdr:rowOff>
    </xdr:from>
    <xdr:to>
      <xdr:col>9</xdr:col>
      <xdr:colOff>885190</xdr:colOff>
      <xdr:row>4217</xdr:row>
      <xdr:rowOff>1209040</xdr:rowOff>
    </xdr:to>
    <xdr:pic>
      <xdr:nvPicPr>
        <xdr:cNvPr id="8551" name="Изображение 8550" descr="resizeПП-00237703"/>
        <xdr:cNvPicPr>
          <a:picLocks noChangeAspect="1"/>
        </xdr:cNvPicPr>
      </xdr:nvPicPr>
      <xdr:blipFill>
        <a:blip xmlns:r="http://schemas.openxmlformats.org/officeDocument/2006/relationships" r:embed="rId3212"/>
        <a:stretch>
          <a:fillRect/>
        </a:stretch>
      </xdr:blipFill>
      <xdr:spPr>
        <a:xfrm>
          <a:off x="7235825" y="4223877125"/>
          <a:ext cx="878840" cy="1183640"/>
        </a:xfrm>
        <a:prstGeom prst="rect">
          <a:avLst/>
        </a:prstGeom>
      </xdr:spPr>
    </xdr:pic>
    <xdr:clientData/>
  </xdr:twoCellAnchor>
  <xdr:twoCellAnchor>
    <xdr:from>
      <xdr:col>9</xdr:col>
      <xdr:colOff>6350</xdr:colOff>
      <xdr:row>4218</xdr:row>
      <xdr:rowOff>25400</xdr:rowOff>
    </xdr:from>
    <xdr:to>
      <xdr:col>9</xdr:col>
      <xdr:colOff>885190</xdr:colOff>
      <xdr:row>4218</xdr:row>
      <xdr:rowOff>1209040</xdr:rowOff>
    </xdr:to>
    <xdr:pic>
      <xdr:nvPicPr>
        <xdr:cNvPr id="8552" name="Изображение 8551" descr="resizeПП-00237736"/>
        <xdr:cNvPicPr>
          <a:picLocks noChangeAspect="1"/>
        </xdr:cNvPicPr>
      </xdr:nvPicPr>
      <xdr:blipFill>
        <a:blip xmlns:r="http://schemas.openxmlformats.org/officeDocument/2006/relationships" r:embed="rId3213"/>
        <a:stretch>
          <a:fillRect/>
        </a:stretch>
      </xdr:blipFill>
      <xdr:spPr>
        <a:xfrm>
          <a:off x="7235825" y="4225099500"/>
          <a:ext cx="878840" cy="1183640"/>
        </a:xfrm>
        <a:prstGeom prst="rect">
          <a:avLst/>
        </a:prstGeom>
      </xdr:spPr>
    </xdr:pic>
    <xdr:clientData/>
  </xdr:twoCellAnchor>
  <xdr:twoCellAnchor>
    <xdr:from>
      <xdr:col>9</xdr:col>
      <xdr:colOff>6350</xdr:colOff>
      <xdr:row>4219</xdr:row>
      <xdr:rowOff>25400</xdr:rowOff>
    </xdr:from>
    <xdr:to>
      <xdr:col>9</xdr:col>
      <xdr:colOff>885190</xdr:colOff>
      <xdr:row>4219</xdr:row>
      <xdr:rowOff>1209040</xdr:rowOff>
    </xdr:to>
    <xdr:pic>
      <xdr:nvPicPr>
        <xdr:cNvPr id="8553" name="Изображение 8552" descr="resizeПП-00237728"/>
        <xdr:cNvPicPr>
          <a:picLocks noChangeAspect="1"/>
        </xdr:cNvPicPr>
      </xdr:nvPicPr>
      <xdr:blipFill>
        <a:blip xmlns:r="http://schemas.openxmlformats.org/officeDocument/2006/relationships" r:embed="rId3214"/>
        <a:stretch>
          <a:fillRect/>
        </a:stretch>
      </xdr:blipFill>
      <xdr:spPr>
        <a:xfrm>
          <a:off x="7235825" y="4226321875"/>
          <a:ext cx="878840" cy="1183640"/>
        </a:xfrm>
        <a:prstGeom prst="rect">
          <a:avLst/>
        </a:prstGeom>
      </xdr:spPr>
    </xdr:pic>
    <xdr:clientData/>
  </xdr:twoCellAnchor>
  <xdr:twoCellAnchor>
    <xdr:from>
      <xdr:col>9</xdr:col>
      <xdr:colOff>6350</xdr:colOff>
      <xdr:row>4220</xdr:row>
      <xdr:rowOff>25400</xdr:rowOff>
    </xdr:from>
    <xdr:to>
      <xdr:col>9</xdr:col>
      <xdr:colOff>885190</xdr:colOff>
      <xdr:row>4220</xdr:row>
      <xdr:rowOff>1209040</xdr:rowOff>
    </xdr:to>
    <xdr:pic>
      <xdr:nvPicPr>
        <xdr:cNvPr id="8554" name="Изображение 8553" descr="resizeПП-00237701"/>
        <xdr:cNvPicPr>
          <a:picLocks noChangeAspect="1"/>
        </xdr:cNvPicPr>
      </xdr:nvPicPr>
      <xdr:blipFill>
        <a:blip xmlns:r="http://schemas.openxmlformats.org/officeDocument/2006/relationships" r:embed="rId3215"/>
        <a:stretch>
          <a:fillRect/>
        </a:stretch>
      </xdr:blipFill>
      <xdr:spPr>
        <a:xfrm>
          <a:off x="7235825" y="4227544250"/>
          <a:ext cx="878840" cy="1183640"/>
        </a:xfrm>
        <a:prstGeom prst="rect">
          <a:avLst/>
        </a:prstGeom>
      </xdr:spPr>
    </xdr:pic>
    <xdr:clientData/>
  </xdr:twoCellAnchor>
  <xdr:twoCellAnchor>
    <xdr:from>
      <xdr:col>9</xdr:col>
      <xdr:colOff>6350</xdr:colOff>
      <xdr:row>4221</xdr:row>
      <xdr:rowOff>25400</xdr:rowOff>
    </xdr:from>
    <xdr:to>
      <xdr:col>9</xdr:col>
      <xdr:colOff>885190</xdr:colOff>
      <xdr:row>4221</xdr:row>
      <xdr:rowOff>1209040</xdr:rowOff>
    </xdr:to>
    <xdr:pic>
      <xdr:nvPicPr>
        <xdr:cNvPr id="8555" name="Изображение 8554" descr="resizeПП-00237732"/>
        <xdr:cNvPicPr>
          <a:picLocks noChangeAspect="1"/>
        </xdr:cNvPicPr>
      </xdr:nvPicPr>
      <xdr:blipFill>
        <a:blip xmlns:r="http://schemas.openxmlformats.org/officeDocument/2006/relationships" r:embed="rId3216"/>
        <a:stretch>
          <a:fillRect/>
        </a:stretch>
      </xdr:blipFill>
      <xdr:spPr>
        <a:xfrm>
          <a:off x="7235825" y="4228766625"/>
          <a:ext cx="878840" cy="1183640"/>
        </a:xfrm>
        <a:prstGeom prst="rect">
          <a:avLst/>
        </a:prstGeom>
      </xdr:spPr>
    </xdr:pic>
    <xdr:clientData/>
  </xdr:twoCellAnchor>
  <xdr:twoCellAnchor>
    <xdr:from>
      <xdr:col>9</xdr:col>
      <xdr:colOff>6350</xdr:colOff>
      <xdr:row>4222</xdr:row>
      <xdr:rowOff>25400</xdr:rowOff>
    </xdr:from>
    <xdr:to>
      <xdr:col>9</xdr:col>
      <xdr:colOff>885190</xdr:colOff>
      <xdr:row>4222</xdr:row>
      <xdr:rowOff>1209040</xdr:rowOff>
    </xdr:to>
    <xdr:pic>
      <xdr:nvPicPr>
        <xdr:cNvPr id="8556" name="Изображение 8555" descr="resizeПП-00237731"/>
        <xdr:cNvPicPr>
          <a:picLocks noChangeAspect="1"/>
        </xdr:cNvPicPr>
      </xdr:nvPicPr>
      <xdr:blipFill>
        <a:blip xmlns:r="http://schemas.openxmlformats.org/officeDocument/2006/relationships" r:embed="rId3217"/>
        <a:stretch>
          <a:fillRect/>
        </a:stretch>
      </xdr:blipFill>
      <xdr:spPr>
        <a:xfrm>
          <a:off x="7235825" y="4229989000"/>
          <a:ext cx="878840" cy="1183640"/>
        </a:xfrm>
        <a:prstGeom prst="rect">
          <a:avLst/>
        </a:prstGeom>
      </xdr:spPr>
    </xdr:pic>
    <xdr:clientData/>
  </xdr:twoCellAnchor>
  <xdr:twoCellAnchor>
    <xdr:from>
      <xdr:col>9</xdr:col>
      <xdr:colOff>6350</xdr:colOff>
      <xdr:row>4226</xdr:row>
      <xdr:rowOff>25400</xdr:rowOff>
    </xdr:from>
    <xdr:to>
      <xdr:col>9</xdr:col>
      <xdr:colOff>885190</xdr:colOff>
      <xdr:row>4226</xdr:row>
      <xdr:rowOff>1209040</xdr:rowOff>
    </xdr:to>
    <xdr:pic>
      <xdr:nvPicPr>
        <xdr:cNvPr id="8557" name="Изображение 8556" descr="resizeПП-00221744"/>
        <xdr:cNvPicPr>
          <a:picLocks noChangeAspect="1"/>
        </xdr:cNvPicPr>
      </xdr:nvPicPr>
      <xdr:blipFill>
        <a:blip xmlns:r="http://schemas.openxmlformats.org/officeDocument/2006/relationships" r:embed="rId3066"/>
        <a:stretch>
          <a:fillRect/>
        </a:stretch>
      </xdr:blipFill>
      <xdr:spPr>
        <a:xfrm>
          <a:off x="7235825" y="4231668575"/>
          <a:ext cx="878840" cy="1183640"/>
        </a:xfrm>
        <a:prstGeom prst="rect">
          <a:avLst/>
        </a:prstGeom>
      </xdr:spPr>
    </xdr:pic>
    <xdr:clientData/>
  </xdr:twoCellAnchor>
  <xdr:twoCellAnchor>
    <xdr:from>
      <xdr:col>9</xdr:col>
      <xdr:colOff>6350</xdr:colOff>
      <xdr:row>4227</xdr:row>
      <xdr:rowOff>25400</xdr:rowOff>
    </xdr:from>
    <xdr:to>
      <xdr:col>9</xdr:col>
      <xdr:colOff>885190</xdr:colOff>
      <xdr:row>4227</xdr:row>
      <xdr:rowOff>1209040</xdr:rowOff>
    </xdr:to>
    <xdr:pic>
      <xdr:nvPicPr>
        <xdr:cNvPr id="8558" name="Изображение 8557" descr="resizeПП-00221741"/>
        <xdr:cNvPicPr>
          <a:picLocks noChangeAspect="1"/>
        </xdr:cNvPicPr>
      </xdr:nvPicPr>
      <xdr:blipFill>
        <a:blip xmlns:r="http://schemas.openxmlformats.org/officeDocument/2006/relationships" r:embed="rId3067"/>
        <a:stretch>
          <a:fillRect/>
        </a:stretch>
      </xdr:blipFill>
      <xdr:spPr>
        <a:xfrm>
          <a:off x="7235825" y="4232890950"/>
          <a:ext cx="878840" cy="1183640"/>
        </a:xfrm>
        <a:prstGeom prst="rect">
          <a:avLst/>
        </a:prstGeom>
      </xdr:spPr>
    </xdr:pic>
    <xdr:clientData/>
  </xdr:twoCellAnchor>
  <xdr:twoCellAnchor>
    <xdr:from>
      <xdr:col>9</xdr:col>
      <xdr:colOff>6350</xdr:colOff>
      <xdr:row>4228</xdr:row>
      <xdr:rowOff>25400</xdr:rowOff>
    </xdr:from>
    <xdr:to>
      <xdr:col>9</xdr:col>
      <xdr:colOff>885190</xdr:colOff>
      <xdr:row>4228</xdr:row>
      <xdr:rowOff>1209040</xdr:rowOff>
    </xdr:to>
    <xdr:pic>
      <xdr:nvPicPr>
        <xdr:cNvPr id="8559" name="Изображение 8558" descr="resizeПП-00221743"/>
        <xdr:cNvPicPr>
          <a:picLocks noChangeAspect="1"/>
        </xdr:cNvPicPr>
      </xdr:nvPicPr>
      <xdr:blipFill>
        <a:blip xmlns:r="http://schemas.openxmlformats.org/officeDocument/2006/relationships" r:embed="rId3218"/>
        <a:stretch>
          <a:fillRect/>
        </a:stretch>
      </xdr:blipFill>
      <xdr:spPr>
        <a:xfrm>
          <a:off x="7235825" y="4234113325"/>
          <a:ext cx="878840" cy="1183640"/>
        </a:xfrm>
        <a:prstGeom prst="rect">
          <a:avLst/>
        </a:prstGeom>
      </xdr:spPr>
    </xdr:pic>
    <xdr:clientData/>
  </xdr:twoCellAnchor>
  <xdr:twoCellAnchor>
    <xdr:from>
      <xdr:col>9</xdr:col>
      <xdr:colOff>6350</xdr:colOff>
      <xdr:row>4229</xdr:row>
      <xdr:rowOff>25400</xdr:rowOff>
    </xdr:from>
    <xdr:to>
      <xdr:col>9</xdr:col>
      <xdr:colOff>885190</xdr:colOff>
      <xdr:row>4229</xdr:row>
      <xdr:rowOff>1209040</xdr:rowOff>
    </xdr:to>
    <xdr:pic>
      <xdr:nvPicPr>
        <xdr:cNvPr id="8560" name="Изображение 8559" descr="resizeПП-00221742"/>
        <xdr:cNvPicPr>
          <a:picLocks noChangeAspect="1"/>
        </xdr:cNvPicPr>
      </xdr:nvPicPr>
      <xdr:blipFill>
        <a:blip xmlns:r="http://schemas.openxmlformats.org/officeDocument/2006/relationships" r:embed="rId2863"/>
        <a:stretch>
          <a:fillRect/>
        </a:stretch>
      </xdr:blipFill>
      <xdr:spPr>
        <a:xfrm>
          <a:off x="7235825" y="4235335700"/>
          <a:ext cx="878840" cy="1183640"/>
        </a:xfrm>
        <a:prstGeom prst="rect">
          <a:avLst/>
        </a:prstGeom>
      </xdr:spPr>
    </xdr:pic>
    <xdr:clientData/>
  </xdr:twoCellAnchor>
  <xdr:twoCellAnchor>
    <xdr:from>
      <xdr:col>9</xdr:col>
      <xdr:colOff>6350</xdr:colOff>
      <xdr:row>4230</xdr:row>
      <xdr:rowOff>25400</xdr:rowOff>
    </xdr:from>
    <xdr:to>
      <xdr:col>9</xdr:col>
      <xdr:colOff>885190</xdr:colOff>
      <xdr:row>4230</xdr:row>
      <xdr:rowOff>1209040</xdr:rowOff>
    </xdr:to>
    <xdr:pic>
      <xdr:nvPicPr>
        <xdr:cNvPr id="8561" name="Изображение 8560" descr="resizeПП-00234264"/>
        <xdr:cNvPicPr>
          <a:picLocks noChangeAspect="1"/>
        </xdr:cNvPicPr>
      </xdr:nvPicPr>
      <xdr:blipFill>
        <a:blip xmlns:r="http://schemas.openxmlformats.org/officeDocument/2006/relationships" r:embed="rId3219"/>
        <a:stretch>
          <a:fillRect/>
        </a:stretch>
      </xdr:blipFill>
      <xdr:spPr>
        <a:xfrm>
          <a:off x="7235825" y="4236558075"/>
          <a:ext cx="878840" cy="1183640"/>
        </a:xfrm>
        <a:prstGeom prst="rect">
          <a:avLst/>
        </a:prstGeom>
      </xdr:spPr>
    </xdr:pic>
    <xdr:clientData/>
  </xdr:twoCellAnchor>
  <xdr:twoCellAnchor>
    <xdr:from>
      <xdr:col>9</xdr:col>
      <xdr:colOff>6350</xdr:colOff>
      <xdr:row>4231</xdr:row>
      <xdr:rowOff>25400</xdr:rowOff>
    </xdr:from>
    <xdr:to>
      <xdr:col>9</xdr:col>
      <xdr:colOff>885190</xdr:colOff>
      <xdr:row>4231</xdr:row>
      <xdr:rowOff>1209040</xdr:rowOff>
    </xdr:to>
    <xdr:pic>
      <xdr:nvPicPr>
        <xdr:cNvPr id="8562" name="Изображение 8561" descr="resizeПП-00234261"/>
        <xdr:cNvPicPr>
          <a:picLocks noChangeAspect="1"/>
        </xdr:cNvPicPr>
      </xdr:nvPicPr>
      <xdr:blipFill>
        <a:blip xmlns:r="http://schemas.openxmlformats.org/officeDocument/2006/relationships" r:embed="rId3080"/>
        <a:stretch>
          <a:fillRect/>
        </a:stretch>
      </xdr:blipFill>
      <xdr:spPr>
        <a:xfrm>
          <a:off x="7235825" y="4237780450"/>
          <a:ext cx="878840" cy="1183640"/>
        </a:xfrm>
        <a:prstGeom prst="rect">
          <a:avLst/>
        </a:prstGeom>
      </xdr:spPr>
    </xdr:pic>
    <xdr:clientData/>
  </xdr:twoCellAnchor>
  <xdr:twoCellAnchor>
    <xdr:from>
      <xdr:col>9</xdr:col>
      <xdr:colOff>6350</xdr:colOff>
      <xdr:row>4232</xdr:row>
      <xdr:rowOff>25400</xdr:rowOff>
    </xdr:from>
    <xdr:to>
      <xdr:col>9</xdr:col>
      <xdr:colOff>885190</xdr:colOff>
      <xdr:row>4232</xdr:row>
      <xdr:rowOff>1209040</xdr:rowOff>
    </xdr:to>
    <xdr:pic>
      <xdr:nvPicPr>
        <xdr:cNvPr id="8563" name="Изображение 8562" descr="resizeПП-00234254"/>
        <xdr:cNvPicPr>
          <a:picLocks noChangeAspect="1"/>
        </xdr:cNvPicPr>
      </xdr:nvPicPr>
      <xdr:blipFill>
        <a:blip xmlns:r="http://schemas.openxmlformats.org/officeDocument/2006/relationships" r:embed="rId2881"/>
        <a:stretch>
          <a:fillRect/>
        </a:stretch>
      </xdr:blipFill>
      <xdr:spPr>
        <a:xfrm>
          <a:off x="7235825" y="4239002825"/>
          <a:ext cx="878840" cy="1183640"/>
        </a:xfrm>
        <a:prstGeom prst="rect">
          <a:avLst/>
        </a:prstGeom>
      </xdr:spPr>
    </xdr:pic>
    <xdr:clientData/>
  </xdr:twoCellAnchor>
  <xdr:twoCellAnchor>
    <xdr:from>
      <xdr:col>9</xdr:col>
      <xdr:colOff>6350</xdr:colOff>
      <xdr:row>4233</xdr:row>
      <xdr:rowOff>25400</xdr:rowOff>
    </xdr:from>
    <xdr:to>
      <xdr:col>9</xdr:col>
      <xdr:colOff>885190</xdr:colOff>
      <xdr:row>4233</xdr:row>
      <xdr:rowOff>1209040</xdr:rowOff>
    </xdr:to>
    <xdr:pic>
      <xdr:nvPicPr>
        <xdr:cNvPr id="8564" name="Изображение 8563" descr="resizeПП-00234268"/>
        <xdr:cNvPicPr>
          <a:picLocks noChangeAspect="1"/>
        </xdr:cNvPicPr>
      </xdr:nvPicPr>
      <xdr:blipFill>
        <a:blip xmlns:r="http://schemas.openxmlformats.org/officeDocument/2006/relationships" r:embed="rId3077"/>
        <a:stretch>
          <a:fillRect/>
        </a:stretch>
      </xdr:blipFill>
      <xdr:spPr>
        <a:xfrm>
          <a:off x="7235825" y="4240225200"/>
          <a:ext cx="878840" cy="1183640"/>
        </a:xfrm>
        <a:prstGeom prst="rect">
          <a:avLst/>
        </a:prstGeom>
      </xdr:spPr>
    </xdr:pic>
    <xdr:clientData/>
  </xdr:twoCellAnchor>
  <xdr:twoCellAnchor>
    <xdr:from>
      <xdr:col>9</xdr:col>
      <xdr:colOff>6350</xdr:colOff>
      <xdr:row>4235</xdr:row>
      <xdr:rowOff>25400</xdr:rowOff>
    </xdr:from>
    <xdr:to>
      <xdr:col>9</xdr:col>
      <xdr:colOff>885190</xdr:colOff>
      <xdr:row>4235</xdr:row>
      <xdr:rowOff>1209040</xdr:rowOff>
    </xdr:to>
    <xdr:pic>
      <xdr:nvPicPr>
        <xdr:cNvPr id="8565" name="Изображение 8564" descr="resizeПП-00246384"/>
        <xdr:cNvPicPr>
          <a:picLocks noChangeAspect="1"/>
        </xdr:cNvPicPr>
      </xdr:nvPicPr>
      <xdr:blipFill>
        <a:blip xmlns:r="http://schemas.openxmlformats.org/officeDocument/2006/relationships" r:embed="rId3220"/>
        <a:stretch>
          <a:fillRect/>
        </a:stretch>
      </xdr:blipFill>
      <xdr:spPr>
        <a:xfrm>
          <a:off x="7235825" y="4241599975"/>
          <a:ext cx="878840" cy="1183640"/>
        </a:xfrm>
        <a:prstGeom prst="rect">
          <a:avLst/>
        </a:prstGeom>
      </xdr:spPr>
    </xdr:pic>
    <xdr:clientData/>
  </xdr:twoCellAnchor>
  <xdr:twoCellAnchor>
    <xdr:from>
      <xdr:col>9</xdr:col>
      <xdr:colOff>6350</xdr:colOff>
      <xdr:row>4236</xdr:row>
      <xdr:rowOff>25400</xdr:rowOff>
    </xdr:from>
    <xdr:to>
      <xdr:col>9</xdr:col>
      <xdr:colOff>885190</xdr:colOff>
      <xdr:row>4236</xdr:row>
      <xdr:rowOff>1209040</xdr:rowOff>
    </xdr:to>
    <xdr:pic>
      <xdr:nvPicPr>
        <xdr:cNvPr id="8566" name="Изображение 8565" descr="resizeПП-00246385"/>
        <xdr:cNvPicPr>
          <a:picLocks noChangeAspect="1"/>
        </xdr:cNvPicPr>
      </xdr:nvPicPr>
      <xdr:blipFill>
        <a:blip xmlns:r="http://schemas.openxmlformats.org/officeDocument/2006/relationships" r:embed="rId3221"/>
        <a:stretch>
          <a:fillRect/>
        </a:stretch>
      </xdr:blipFill>
      <xdr:spPr>
        <a:xfrm>
          <a:off x="7235825" y="4242822350"/>
          <a:ext cx="878840" cy="1183640"/>
        </a:xfrm>
        <a:prstGeom prst="rect">
          <a:avLst/>
        </a:prstGeom>
      </xdr:spPr>
    </xdr:pic>
    <xdr:clientData/>
  </xdr:twoCellAnchor>
  <xdr:twoCellAnchor>
    <xdr:from>
      <xdr:col>9</xdr:col>
      <xdr:colOff>6350</xdr:colOff>
      <xdr:row>4237</xdr:row>
      <xdr:rowOff>25400</xdr:rowOff>
    </xdr:from>
    <xdr:to>
      <xdr:col>9</xdr:col>
      <xdr:colOff>885190</xdr:colOff>
      <xdr:row>4237</xdr:row>
      <xdr:rowOff>1209040</xdr:rowOff>
    </xdr:to>
    <xdr:pic>
      <xdr:nvPicPr>
        <xdr:cNvPr id="8567" name="Изображение 8566" descr="resizeПП-00246383"/>
        <xdr:cNvPicPr>
          <a:picLocks noChangeAspect="1"/>
        </xdr:cNvPicPr>
      </xdr:nvPicPr>
      <xdr:blipFill>
        <a:blip xmlns:r="http://schemas.openxmlformats.org/officeDocument/2006/relationships" r:embed="rId3222"/>
        <a:stretch>
          <a:fillRect/>
        </a:stretch>
      </xdr:blipFill>
      <xdr:spPr>
        <a:xfrm>
          <a:off x="7235825" y="4244044725"/>
          <a:ext cx="878840" cy="1183640"/>
        </a:xfrm>
        <a:prstGeom prst="rect">
          <a:avLst/>
        </a:prstGeom>
      </xdr:spPr>
    </xdr:pic>
    <xdr:clientData/>
  </xdr:twoCellAnchor>
  <xdr:twoCellAnchor>
    <xdr:from>
      <xdr:col>9</xdr:col>
      <xdr:colOff>6350</xdr:colOff>
      <xdr:row>4238</xdr:row>
      <xdr:rowOff>25400</xdr:rowOff>
    </xdr:from>
    <xdr:to>
      <xdr:col>9</xdr:col>
      <xdr:colOff>885190</xdr:colOff>
      <xdr:row>4238</xdr:row>
      <xdr:rowOff>1209040</xdr:rowOff>
    </xdr:to>
    <xdr:pic>
      <xdr:nvPicPr>
        <xdr:cNvPr id="8568" name="Изображение 8567" descr="resizeПП-00252798"/>
        <xdr:cNvPicPr>
          <a:picLocks noChangeAspect="1"/>
        </xdr:cNvPicPr>
      </xdr:nvPicPr>
      <xdr:blipFill>
        <a:blip xmlns:r="http://schemas.openxmlformats.org/officeDocument/2006/relationships" r:embed="rId3223"/>
        <a:stretch>
          <a:fillRect/>
        </a:stretch>
      </xdr:blipFill>
      <xdr:spPr>
        <a:xfrm>
          <a:off x="7235825" y="4245267100"/>
          <a:ext cx="878840" cy="1183640"/>
        </a:xfrm>
        <a:prstGeom prst="rect">
          <a:avLst/>
        </a:prstGeom>
      </xdr:spPr>
    </xdr:pic>
    <xdr:clientData/>
  </xdr:twoCellAnchor>
  <xdr:twoCellAnchor>
    <xdr:from>
      <xdr:col>9</xdr:col>
      <xdr:colOff>6350</xdr:colOff>
      <xdr:row>4239</xdr:row>
      <xdr:rowOff>25400</xdr:rowOff>
    </xdr:from>
    <xdr:to>
      <xdr:col>9</xdr:col>
      <xdr:colOff>885190</xdr:colOff>
      <xdr:row>4239</xdr:row>
      <xdr:rowOff>1209040</xdr:rowOff>
    </xdr:to>
    <xdr:pic>
      <xdr:nvPicPr>
        <xdr:cNvPr id="8569" name="Изображение 8568" descr="resizeПП-00252836"/>
        <xdr:cNvPicPr>
          <a:picLocks noChangeAspect="1"/>
        </xdr:cNvPicPr>
      </xdr:nvPicPr>
      <xdr:blipFill>
        <a:blip xmlns:r="http://schemas.openxmlformats.org/officeDocument/2006/relationships" r:embed="rId3224"/>
        <a:stretch>
          <a:fillRect/>
        </a:stretch>
      </xdr:blipFill>
      <xdr:spPr>
        <a:xfrm>
          <a:off x="7235825" y="4246489475"/>
          <a:ext cx="878840" cy="1183640"/>
        </a:xfrm>
        <a:prstGeom prst="rect">
          <a:avLst/>
        </a:prstGeom>
      </xdr:spPr>
    </xdr:pic>
    <xdr:clientData/>
  </xdr:twoCellAnchor>
  <xdr:twoCellAnchor>
    <xdr:from>
      <xdr:col>9</xdr:col>
      <xdr:colOff>6350</xdr:colOff>
      <xdr:row>4241</xdr:row>
      <xdr:rowOff>25400</xdr:rowOff>
    </xdr:from>
    <xdr:to>
      <xdr:col>9</xdr:col>
      <xdr:colOff>885190</xdr:colOff>
      <xdr:row>4241</xdr:row>
      <xdr:rowOff>1209040</xdr:rowOff>
    </xdr:to>
    <xdr:pic>
      <xdr:nvPicPr>
        <xdr:cNvPr id="8570" name="Изображение 8569" descr="resizeПП-00246387"/>
        <xdr:cNvPicPr>
          <a:picLocks noChangeAspect="1"/>
        </xdr:cNvPicPr>
      </xdr:nvPicPr>
      <xdr:blipFill>
        <a:blip xmlns:r="http://schemas.openxmlformats.org/officeDocument/2006/relationships" r:embed="rId3225"/>
        <a:stretch>
          <a:fillRect/>
        </a:stretch>
      </xdr:blipFill>
      <xdr:spPr>
        <a:xfrm>
          <a:off x="7235825" y="4247864250"/>
          <a:ext cx="878840" cy="1183640"/>
        </a:xfrm>
        <a:prstGeom prst="rect">
          <a:avLst/>
        </a:prstGeom>
      </xdr:spPr>
    </xdr:pic>
    <xdr:clientData/>
  </xdr:twoCellAnchor>
  <xdr:twoCellAnchor>
    <xdr:from>
      <xdr:col>9</xdr:col>
      <xdr:colOff>6350</xdr:colOff>
      <xdr:row>4242</xdr:row>
      <xdr:rowOff>25400</xdr:rowOff>
    </xdr:from>
    <xdr:to>
      <xdr:col>9</xdr:col>
      <xdr:colOff>885190</xdr:colOff>
      <xdr:row>4242</xdr:row>
      <xdr:rowOff>1209040</xdr:rowOff>
    </xdr:to>
    <xdr:pic>
      <xdr:nvPicPr>
        <xdr:cNvPr id="8571" name="Изображение 8570" descr="resizeПП-00246386"/>
        <xdr:cNvPicPr>
          <a:picLocks noChangeAspect="1"/>
        </xdr:cNvPicPr>
      </xdr:nvPicPr>
      <xdr:blipFill>
        <a:blip xmlns:r="http://schemas.openxmlformats.org/officeDocument/2006/relationships" r:embed="rId3226"/>
        <a:stretch>
          <a:fillRect/>
        </a:stretch>
      </xdr:blipFill>
      <xdr:spPr>
        <a:xfrm>
          <a:off x="7235825" y="4249086625"/>
          <a:ext cx="878840" cy="1183640"/>
        </a:xfrm>
        <a:prstGeom prst="rect">
          <a:avLst/>
        </a:prstGeom>
      </xdr:spPr>
    </xdr:pic>
    <xdr:clientData/>
  </xdr:twoCellAnchor>
  <xdr:twoCellAnchor>
    <xdr:from>
      <xdr:col>9</xdr:col>
      <xdr:colOff>6350</xdr:colOff>
      <xdr:row>4243</xdr:row>
      <xdr:rowOff>25400</xdr:rowOff>
    </xdr:from>
    <xdr:to>
      <xdr:col>9</xdr:col>
      <xdr:colOff>885190</xdr:colOff>
      <xdr:row>4243</xdr:row>
      <xdr:rowOff>1209040</xdr:rowOff>
    </xdr:to>
    <xdr:pic>
      <xdr:nvPicPr>
        <xdr:cNvPr id="8572" name="Изображение 8571" descr="resizeПП-00222190"/>
        <xdr:cNvPicPr>
          <a:picLocks noChangeAspect="1"/>
        </xdr:cNvPicPr>
      </xdr:nvPicPr>
      <xdr:blipFill>
        <a:blip xmlns:r="http://schemas.openxmlformats.org/officeDocument/2006/relationships" r:embed="rId2834"/>
        <a:stretch>
          <a:fillRect/>
        </a:stretch>
      </xdr:blipFill>
      <xdr:spPr>
        <a:xfrm>
          <a:off x="7235825" y="4250309000"/>
          <a:ext cx="878840" cy="1183640"/>
        </a:xfrm>
        <a:prstGeom prst="rect">
          <a:avLst/>
        </a:prstGeom>
      </xdr:spPr>
    </xdr:pic>
    <xdr:clientData/>
  </xdr:twoCellAnchor>
  <xdr:twoCellAnchor>
    <xdr:from>
      <xdr:col>9</xdr:col>
      <xdr:colOff>6350</xdr:colOff>
      <xdr:row>4244</xdr:row>
      <xdr:rowOff>25400</xdr:rowOff>
    </xdr:from>
    <xdr:to>
      <xdr:col>9</xdr:col>
      <xdr:colOff>885190</xdr:colOff>
      <xdr:row>4244</xdr:row>
      <xdr:rowOff>1209040</xdr:rowOff>
    </xdr:to>
    <xdr:pic>
      <xdr:nvPicPr>
        <xdr:cNvPr id="8573" name="Изображение 8572" descr="resizeПП-00222191"/>
        <xdr:cNvPicPr>
          <a:picLocks noChangeAspect="1"/>
        </xdr:cNvPicPr>
      </xdr:nvPicPr>
      <xdr:blipFill>
        <a:blip xmlns:r="http://schemas.openxmlformats.org/officeDocument/2006/relationships" r:embed="rId3084"/>
        <a:stretch>
          <a:fillRect/>
        </a:stretch>
      </xdr:blipFill>
      <xdr:spPr>
        <a:xfrm>
          <a:off x="7235825" y="4251531375"/>
          <a:ext cx="878840" cy="1183640"/>
        </a:xfrm>
        <a:prstGeom prst="rect">
          <a:avLst/>
        </a:prstGeom>
      </xdr:spPr>
    </xdr:pic>
    <xdr:clientData/>
  </xdr:twoCellAnchor>
  <xdr:twoCellAnchor>
    <xdr:from>
      <xdr:col>9</xdr:col>
      <xdr:colOff>6350</xdr:colOff>
      <xdr:row>4245</xdr:row>
      <xdr:rowOff>25400</xdr:rowOff>
    </xdr:from>
    <xdr:to>
      <xdr:col>9</xdr:col>
      <xdr:colOff>885190</xdr:colOff>
      <xdr:row>4245</xdr:row>
      <xdr:rowOff>1209040</xdr:rowOff>
    </xdr:to>
    <xdr:pic>
      <xdr:nvPicPr>
        <xdr:cNvPr id="8574" name="Изображение 8573" descr="resizeПП-00221737"/>
        <xdr:cNvPicPr>
          <a:picLocks noChangeAspect="1"/>
        </xdr:cNvPicPr>
      </xdr:nvPicPr>
      <xdr:blipFill>
        <a:blip xmlns:r="http://schemas.openxmlformats.org/officeDocument/2006/relationships" r:embed="rId2835"/>
        <a:stretch>
          <a:fillRect/>
        </a:stretch>
      </xdr:blipFill>
      <xdr:spPr>
        <a:xfrm>
          <a:off x="7235825" y="4252753750"/>
          <a:ext cx="878840" cy="1183640"/>
        </a:xfrm>
        <a:prstGeom prst="rect">
          <a:avLst/>
        </a:prstGeom>
      </xdr:spPr>
    </xdr:pic>
    <xdr:clientData/>
  </xdr:twoCellAnchor>
  <xdr:twoCellAnchor>
    <xdr:from>
      <xdr:col>9</xdr:col>
      <xdr:colOff>6350</xdr:colOff>
      <xdr:row>4246</xdr:row>
      <xdr:rowOff>25400</xdr:rowOff>
    </xdr:from>
    <xdr:to>
      <xdr:col>9</xdr:col>
      <xdr:colOff>885190</xdr:colOff>
      <xdr:row>4246</xdr:row>
      <xdr:rowOff>1209040</xdr:rowOff>
    </xdr:to>
    <xdr:pic>
      <xdr:nvPicPr>
        <xdr:cNvPr id="8575" name="Изображение 8574" descr="resizeПП-00221740"/>
        <xdr:cNvPicPr>
          <a:picLocks noChangeAspect="1"/>
        </xdr:cNvPicPr>
      </xdr:nvPicPr>
      <xdr:blipFill>
        <a:blip xmlns:r="http://schemas.openxmlformats.org/officeDocument/2006/relationships" r:embed="rId2836"/>
        <a:stretch>
          <a:fillRect/>
        </a:stretch>
      </xdr:blipFill>
      <xdr:spPr>
        <a:xfrm>
          <a:off x="7235825" y="4253976125"/>
          <a:ext cx="878840" cy="1183640"/>
        </a:xfrm>
        <a:prstGeom prst="rect">
          <a:avLst/>
        </a:prstGeom>
      </xdr:spPr>
    </xdr:pic>
    <xdr:clientData/>
  </xdr:twoCellAnchor>
  <xdr:twoCellAnchor>
    <xdr:from>
      <xdr:col>9</xdr:col>
      <xdr:colOff>6350</xdr:colOff>
      <xdr:row>4247</xdr:row>
      <xdr:rowOff>25400</xdr:rowOff>
    </xdr:from>
    <xdr:to>
      <xdr:col>9</xdr:col>
      <xdr:colOff>885190</xdr:colOff>
      <xdr:row>4247</xdr:row>
      <xdr:rowOff>1209040</xdr:rowOff>
    </xdr:to>
    <xdr:pic>
      <xdr:nvPicPr>
        <xdr:cNvPr id="8576" name="Изображение 8575" descr="resizeПП-00221739"/>
        <xdr:cNvPicPr>
          <a:picLocks noChangeAspect="1"/>
        </xdr:cNvPicPr>
      </xdr:nvPicPr>
      <xdr:blipFill>
        <a:blip xmlns:r="http://schemas.openxmlformats.org/officeDocument/2006/relationships" r:embed="rId3085"/>
        <a:stretch>
          <a:fillRect/>
        </a:stretch>
      </xdr:blipFill>
      <xdr:spPr>
        <a:xfrm>
          <a:off x="7235825" y="4255198500"/>
          <a:ext cx="878840" cy="1183640"/>
        </a:xfrm>
        <a:prstGeom prst="rect">
          <a:avLst/>
        </a:prstGeom>
      </xdr:spPr>
    </xdr:pic>
    <xdr:clientData/>
  </xdr:twoCellAnchor>
  <xdr:twoCellAnchor>
    <xdr:from>
      <xdr:col>9</xdr:col>
      <xdr:colOff>6350</xdr:colOff>
      <xdr:row>4248</xdr:row>
      <xdr:rowOff>25400</xdr:rowOff>
    </xdr:from>
    <xdr:to>
      <xdr:col>9</xdr:col>
      <xdr:colOff>885190</xdr:colOff>
      <xdr:row>4248</xdr:row>
      <xdr:rowOff>1209040</xdr:rowOff>
    </xdr:to>
    <xdr:pic>
      <xdr:nvPicPr>
        <xdr:cNvPr id="8577" name="Изображение 8576" descr="resizeПП-00221738"/>
        <xdr:cNvPicPr>
          <a:picLocks noChangeAspect="1"/>
        </xdr:cNvPicPr>
      </xdr:nvPicPr>
      <xdr:blipFill>
        <a:blip xmlns:r="http://schemas.openxmlformats.org/officeDocument/2006/relationships" r:embed="rId2837"/>
        <a:stretch>
          <a:fillRect/>
        </a:stretch>
      </xdr:blipFill>
      <xdr:spPr>
        <a:xfrm>
          <a:off x="7235825" y="4256420875"/>
          <a:ext cx="878840" cy="1183640"/>
        </a:xfrm>
        <a:prstGeom prst="rect">
          <a:avLst/>
        </a:prstGeom>
      </xdr:spPr>
    </xdr:pic>
    <xdr:clientData/>
  </xdr:twoCellAnchor>
  <xdr:twoCellAnchor>
    <xdr:from>
      <xdr:col>9</xdr:col>
      <xdr:colOff>6350</xdr:colOff>
      <xdr:row>4249</xdr:row>
      <xdr:rowOff>25400</xdr:rowOff>
    </xdr:from>
    <xdr:to>
      <xdr:col>9</xdr:col>
      <xdr:colOff>885190</xdr:colOff>
      <xdr:row>4249</xdr:row>
      <xdr:rowOff>1209040</xdr:rowOff>
    </xdr:to>
    <xdr:pic>
      <xdr:nvPicPr>
        <xdr:cNvPr id="8578" name="Изображение 8577" descr="resizeПП-00252838"/>
        <xdr:cNvPicPr>
          <a:picLocks noChangeAspect="1"/>
        </xdr:cNvPicPr>
      </xdr:nvPicPr>
      <xdr:blipFill>
        <a:blip xmlns:r="http://schemas.openxmlformats.org/officeDocument/2006/relationships" r:embed="rId3227"/>
        <a:stretch>
          <a:fillRect/>
        </a:stretch>
      </xdr:blipFill>
      <xdr:spPr>
        <a:xfrm>
          <a:off x="7235825" y="4257643250"/>
          <a:ext cx="878840" cy="1183640"/>
        </a:xfrm>
        <a:prstGeom prst="rect">
          <a:avLst/>
        </a:prstGeom>
      </xdr:spPr>
    </xdr:pic>
    <xdr:clientData/>
  </xdr:twoCellAnchor>
  <xdr:twoCellAnchor>
    <xdr:from>
      <xdr:col>9</xdr:col>
      <xdr:colOff>6350</xdr:colOff>
      <xdr:row>4251</xdr:row>
      <xdr:rowOff>25400</xdr:rowOff>
    </xdr:from>
    <xdr:to>
      <xdr:col>9</xdr:col>
      <xdr:colOff>885190</xdr:colOff>
      <xdr:row>4251</xdr:row>
      <xdr:rowOff>1209040</xdr:rowOff>
    </xdr:to>
    <xdr:pic>
      <xdr:nvPicPr>
        <xdr:cNvPr id="8579" name="Изображение 8578" descr="resizeПП-00221747"/>
        <xdr:cNvPicPr>
          <a:picLocks noChangeAspect="1"/>
        </xdr:cNvPicPr>
      </xdr:nvPicPr>
      <xdr:blipFill>
        <a:blip xmlns:r="http://schemas.openxmlformats.org/officeDocument/2006/relationships" r:embed="rId2860"/>
        <a:stretch>
          <a:fillRect/>
        </a:stretch>
      </xdr:blipFill>
      <xdr:spPr>
        <a:xfrm>
          <a:off x="7235825" y="4259018025"/>
          <a:ext cx="878840" cy="1183640"/>
        </a:xfrm>
        <a:prstGeom prst="rect">
          <a:avLst/>
        </a:prstGeom>
      </xdr:spPr>
    </xdr:pic>
    <xdr:clientData/>
  </xdr:twoCellAnchor>
  <xdr:twoCellAnchor>
    <xdr:from>
      <xdr:col>9</xdr:col>
      <xdr:colOff>6350</xdr:colOff>
      <xdr:row>4252</xdr:row>
      <xdr:rowOff>25400</xdr:rowOff>
    </xdr:from>
    <xdr:to>
      <xdr:col>9</xdr:col>
      <xdr:colOff>885190</xdr:colOff>
      <xdr:row>4252</xdr:row>
      <xdr:rowOff>1209040</xdr:rowOff>
    </xdr:to>
    <xdr:pic>
      <xdr:nvPicPr>
        <xdr:cNvPr id="8580" name="Изображение 8579" descr="resizeПП-00221748"/>
        <xdr:cNvPicPr>
          <a:picLocks noChangeAspect="1"/>
        </xdr:cNvPicPr>
      </xdr:nvPicPr>
      <xdr:blipFill>
        <a:blip xmlns:r="http://schemas.openxmlformats.org/officeDocument/2006/relationships" r:embed="rId3228"/>
        <a:stretch>
          <a:fillRect/>
        </a:stretch>
      </xdr:blipFill>
      <xdr:spPr>
        <a:xfrm>
          <a:off x="7235825" y="4260240400"/>
          <a:ext cx="878840" cy="1183640"/>
        </a:xfrm>
        <a:prstGeom prst="rect">
          <a:avLst/>
        </a:prstGeom>
      </xdr:spPr>
    </xdr:pic>
    <xdr:clientData/>
  </xdr:twoCellAnchor>
  <xdr:twoCellAnchor>
    <xdr:from>
      <xdr:col>9</xdr:col>
      <xdr:colOff>6350</xdr:colOff>
      <xdr:row>4253</xdr:row>
      <xdr:rowOff>25400</xdr:rowOff>
    </xdr:from>
    <xdr:to>
      <xdr:col>9</xdr:col>
      <xdr:colOff>885190</xdr:colOff>
      <xdr:row>4253</xdr:row>
      <xdr:rowOff>1209040</xdr:rowOff>
    </xdr:to>
    <xdr:pic>
      <xdr:nvPicPr>
        <xdr:cNvPr id="8581" name="Изображение 8580" descr="resizeПП-00221745"/>
        <xdr:cNvPicPr>
          <a:picLocks noChangeAspect="1"/>
        </xdr:cNvPicPr>
      </xdr:nvPicPr>
      <xdr:blipFill>
        <a:blip xmlns:r="http://schemas.openxmlformats.org/officeDocument/2006/relationships" r:embed="rId2861"/>
        <a:stretch>
          <a:fillRect/>
        </a:stretch>
      </xdr:blipFill>
      <xdr:spPr>
        <a:xfrm>
          <a:off x="7235825" y="4261462775"/>
          <a:ext cx="878840" cy="1183640"/>
        </a:xfrm>
        <a:prstGeom prst="rect">
          <a:avLst/>
        </a:prstGeom>
      </xdr:spPr>
    </xdr:pic>
    <xdr:clientData/>
  </xdr:twoCellAnchor>
  <xdr:twoCellAnchor>
    <xdr:from>
      <xdr:col>9</xdr:col>
      <xdr:colOff>6350</xdr:colOff>
      <xdr:row>4254</xdr:row>
      <xdr:rowOff>25400</xdr:rowOff>
    </xdr:from>
    <xdr:to>
      <xdr:col>9</xdr:col>
      <xdr:colOff>885190</xdr:colOff>
      <xdr:row>4254</xdr:row>
      <xdr:rowOff>1209040</xdr:rowOff>
    </xdr:to>
    <xdr:pic>
      <xdr:nvPicPr>
        <xdr:cNvPr id="8582" name="Изображение 8581" descr="resizeПП-00221746"/>
        <xdr:cNvPicPr>
          <a:picLocks noChangeAspect="1"/>
        </xdr:cNvPicPr>
      </xdr:nvPicPr>
      <xdr:blipFill>
        <a:blip xmlns:r="http://schemas.openxmlformats.org/officeDocument/2006/relationships" r:embed="rId2862"/>
        <a:stretch>
          <a:fillRect/>
        </a:stretch>
      </xdr:blipFill>
      <xdr:spPr>
        <a:xfrm>
          <a:off x="7235825" y="4262685150"/>
          <a:ext cx="878840" cy="1183640"/>
        </a:xfrm>
        <a:prstGeom prst="rect">
          <a:avLst/>
        </a:prstGeom>
      </xdr:spPr>
    </xdr:pic>
    <xdr:clientData/>
  </xdr:twoCellAnchor>
  <xdr:twoCellAnchor>
    <xdr:from>
      <xdr:col>9</xdr:col>
      <xdr:colOff>6350</xdr:colOff>
      <xdr:row>4255</xdr:row>
      <xdr:rowOff>25400</xdr:rowOff>
    </xdr:from>
    <xdr:to>
      <xdr:col>9</xdr:col>
      <xdr:colOff>885190</xdr:colOff>
      <xdr:row>4255</xdr:row>
      <xdr:rowOff>1209040</xdr:rowOff>
    </xdr:to>
    <xdr:pic>
      <xdr:nvPicPr>
        <xdr:cNvPr id="8583" name="Изображение 8582" descr="resizeПП-00261795"/>
        <xdr:cNvPicPr>
          <a:picLocks noChangeAspect="1"/>
        </xdr:cNvPicPr>
      </xdr:nvPicPr>
      <xdr:blipFill>
        <a:blip xmlns:r="http://schemas.openxmlformats.org/officeDocument/2006/relationships" r:embed="rId3100"/>
        <a:stretch>
          <a:fillRect/>
        </a:stretch>
      </xdr:blipFill>
      <xdr:spPr>
        <a:xfrm>
          <a:off x="7235825" y="4263907525"/>
          <a:ext cx="878840" cy="1183640"/>
        </a:xfrm>
        <a:prstGeom prst="rect">
          <a:avLst/>
        </a:prstGeom>
      </xdr:spPr>
    </xdr:pic>
    <xdr:clientData/>
  </xdr:twoCellAnchor>
  <xdr:twoCellAnchor>
    <xdr:from>
      <xdr:col>9</xdr:col>
      <xdr:colOff>6350</xdr:colOff>
      <xdr:row>4256</xdr:row>
      <xdr:rowOff>25400</xdr:rowOff>
    </xdr:from>
    <xdr:to>
      <xdr:col>9</xdr:col>
      <xdr:colOff>885190</xdr:colOff>
      <xdr:row>4256</xdr:row>
      <xdr:rowOff>1209040</xdr:rowOff>
    </xdr:to>
    <xdr:pic>
      <xdr:nvPicPr>
        <xdr:cNvPr id="8584" name="Изображение 8583" descr="resizeПП-00261796"/>
        <xdr:cNvPicPr>
          <a:picLocks noChangeAspect="1"/>
        </xdr:cNvPicPr>
      </xdr:nvPicPr>
      <xdr:blipFill>
        <a:blip xmlns:r="http://schemas.openxmlformats.org/officeDocument/2006/relationships" r:embed="rId3101"/>
        <a:stretch>
          <a:fillRect/>
        </a:stretch>
      </xdr:blipFill>
      <xdr:spPr>
        <a:xfrm>
          <a:off x="7235825" y="4265129900"/>
          <a:ext cx="878840" cy="1183640"/>
        </a:xfrm>
        <a:prstGeom prst="rect">
          <a:avLst/>
        </a:prstGeom>
      </xdr:spPr>
    </xdr:pic>
    <xdr:clientData/>
  </xdr:twoCellAnchor>
  <xdr:twoCellAnchor>
    <xdr:from>
      <xdr:col>9</xdr:col>
      <xdr:colOff>6350</xdr:colOff>
      <xdr:row>4257</xdr:row>
      <xdr:rowOff>25400</xdr:rowOff>
    </xdr:from>
    <xdr:to>
      <xdr:col>9</xdr:col>
      <xdr:colOff>885190</xdr:colOff>
      <xdr:row>4257</xdr:row>
      <xdr:rowOff>1209040</xdr:rowOff>
    </xdr:to>
    <xdr:pic>
      <xdr:nvPicPr>
        <xdr:cNvPr id="8585" name="Изображение 8584" descr="resizeПП-00252799"/>
        <xdr:cNvPicPr>
          <a:picLocks noChangeAspect="1"/>
        </xdr:cNvPicPr>
      </xdr:nvPicPr>
      <xdr:blipFill>
        <a:blip xmlns:r="http://schemas.openxmlformats.org/officeDocument/2006/relationships" r:embed="rId3229"/>
        <a:stretch>
          <a:fillRect/>
        </a:stretch>
      </xdr:blipFill>
      <xdr:spPr>
        <a:xfrm>
          <a:off x="7235825" y="4266352275"/>
          <a:ext cx="878840" cy="1183640"/>
        </a:xfrm>
        <a:prstGeom prst="rect">
          <a:avLst/>
        </a:prstGeom>
      </xdr:spPr>
    </xdr:pic>
    <xdr:clientData/>
  </xdr:twoCellAnchor>
  <xdr:twoCellAnchor>
    <xdr:from>
      <xdr:col>9</xdr:col>
      <xdr:colOff>6350</xdr:colOff>
      <xdr:row>4258</xdr:row>
      <xdr:rowOff>25400</xdr:rowOff>
    </xdr:from>
    <xdr:to>
      <xdr:col>9</xdr:col>
      <xdr:colOff>885190</xdr:colOff>
      <xdr:row>4258</xdr:row>
      <xdr:rowOff>1209040</xdr:rowOff>
    </xdr:to>
    <xdr:pic>
      <xdr:nvPicPr>
        <xdr:cNvPr id="8586" name="Изображение 8585" descr="resizeПП-00252800"/>
        <xdr:cNvPicPr>
          <a:picLocks noChangeAspect="1"/>
        </xdr:cNvPicPr>
      </xdr:nvPicPr>
      <xdr:blipFill>
        <a:blip xmlns:r="http://schemas.openxmlformats.org/officeDocument/2006/relationships" r:embed="rId3102"/>
        <a:stretch>
          <a:fillRect/>
        </a:stretch>
      </xdr:blipFill>
      <xdr:spPr>
        <a:xfrm>
          <a:off x="7235825" y="4267574650"/>
          <a:ext cx="878840" cy="1183640"/>
        </a:xfrm>
        <a:prstGeom prst="rect">
          <a:avLst/>
        </a:prstGeom>
      </xdr:spPr>
    </xdr:pic>
    <xdr:clientData/>
  </xdr:twoCellAnchor>
  <xdr:twoCellAnchor>
    <xdr:from>
      <xdr:col>9</xdr:col>
      <xdr:colOff>6350</xdr:colOff>
      <xdr:row>4259</xdr:row>
      <xdr:rowOff>25400</xdr:rowOff>
    </xdr:from>
    <xdr:to>
      <xdr:col>9</xdr:col>
      <xdr:colOff>885190</xdr:colOff>
      <xdr:row>4259</xdr:row>
      <xdr:rowOff>1209040</xdr:rowOff>
    </xdr:to>
    <xdr:pic>
      <xdr:nvPicPr>
        <xdr:cNvPr id="8587" name="Изображение 8586" descr="resizeПП-00261798"/>
        <xdr:cNvPicPr>
          <a:picLocks noChangeAspect="1"/>
        </xdr:cNvPicPr>
      </xdr:nvPicPr>
      <xdr:blipFill>
        <a:blip xmlns:r="http://schemas.openxmlformats.org/officeDocument/2006/relationships" r:embed="rId3103"/>
        <a:stretch>
          <a:fillRect/>
        </a:stretch>
      </xdr:blipFill>
      <xdr:spPr>
        <a:xfrm>
          <a:off x="7235825" y="4268797025"/>
          <a:ext cx="878840" cy="1183640"/>
        </a:xfrm>
        <a:prstGeom prst="rect">
          <a:avLst/>
        </a:prstGeom>
      </xdr:spPr>
    </xdr:pic>
    <xdr:clientData/>
  </xdr:twoCellAnchor>
  <xdr:twoCellAnchor>
    <xdr:from>
      <xdr:col>9</xdr:col>
      <xdr:colOff>6350</xdr:colOff>
      <xdr:row>4260</xdr:row>
      <xdr:rowOff>25400</xdr:rowOff>
    </xdr:from>
    <xdr:to>
      <xdr:col>9</xdr:col>
      <xdr:colOff>885190</xdr:colOff>
      <xdr:row>4260</xdr:row>
      <xdr:rowOff>1209040</xdr:rowOff>
    </xdr:to>
    <xdr:pic>
      <xdr:nvPicPr>
        <xdr:cNvPr id="8588" name="Изображение 8587" descr="resizeПП-00252837"/>
        <xdr:cNvPicPr>
          <a:picLocks noChangeAspect="1"/>
        </xdr:cNvPicPr>
      </xdr:nvPicPr>
      <xdr:blipFill>
        <a:blip xmlns:r="http://schemas.openxmlformats.org/officeDocument/2006/relationships" r:embed="rId3230"/>
        <a:stretch>
          <a:fillRect/>
        </a:stretch>
      </xdr:blipFill>
      <xdr:spPr>
        <a:xfrm>
          <a:off x="7235825" y="4270019400"/>
          <a:ext cx="878840" cy="1183640"/>
        </a:xfrm>
        <a:prstGeom prst="rect">
          <a:avLst/>
        </a:prstGeom>
      </xdr:spPr>
    </xdr:pic>
    <xdr:clientData/>
  </xdr:twoCellAnchor>
  <xdr:twoCellAnchor>
    <xdr:from>
      <xdr:col>9</xdr:col>
      <xdr:colOff>6350</xdr:colOff>
      <xdr:row>4262</xdr:row>
      <xdr:rowOff>25400</xdr:rowOff>
    </xdr:from>
    <xdr:to>
      <xdr:col>9</xdr:col>
      <xdr:colOff>885190</xdr:colOff>
      <xdr:row>4262</xdr:row>
      <xdr:rowOff>1209040</xdr:rowOff>
    </xdr:to>
    <xdr:pic>
      <xdr:nvPicPr>
        <xdr:cNvPr id="8589" name="Изображение 8588" descr="resizeПП-00262863"/>
        <xdr:cNvPicPr>
          <a:picLocks noChangeAspect="1"/>
        </xdr:cNvPicPr>
      </xdr:nvPicPr>
      <xdr:blipFill>
        <a:blip xmlns:r="http://schemas.openxmlformats.org/officeDocument/2006/relationships" r:embed="rId3231"/>
        <a:stretch>
          <a:fillRect/>
        </a:stretch>
      </xdr:blipFill>
      <xdr:spPr>
        <a:xfrm>
          <a:off x="7235825" y="4271394175"/>
          <a:ext cx="878840" cy="1183640"/>
        </a:xfrm>
        <a:prstGeom prst="rect">
          <a:avLst/>
        </a:prstGeom>
      </xdr:spPr>
    </xdr:pic>
    <xdr:clientData/>
  </xdr:twoCellAnchor>
  <xdr:twoCellAnchor>
    <xdr:from>
      <xdr:col>9</xdr:col>
      <xdr:colOff>6350</xdr:colOff>
      <xdr:row>4263</xdr:row>
      <xdr:rowOff>25400</xdr:rowOff>
    </xdr:from>
    <xdr:to>
      <xdr:col>9</xdr:col>
      <xdr:colOff>885190</xdr:colOff>
      <xdr:row>4263</xdr:row>
      <xdr:rowOff>1209040</xdr:rowOff>
    </xdr:to>
    <xdr:pic>
      <xdr:nvPicPr>
        <xdr:cNvPr id="8590" name="Изображение 8589" descr="resizeПП-00262864"/>
        <xdr:cNvPicPr>
          <a:picLocks noChangeAspect="1"/>
        </xdr:cNvPicPr>
      </xdr:nvPicPr>
      <xdr:blipFill>
        <a:blip xmlns:r="http://schemas.openxmlformats.org/officeDocument/2006/relationships" r:embed="rId3232"/>
        <a:stretch>
          <a:fillRect/>
        </a:stretch>
      </xdr:blipFill>
      <xdr:spPr>
        <a:xfrm>
          <a:off x="7235825" y="4272616550"/>
          <a:ext cx="878840" cy="1183640"/>
        </a:xfrm>
        <a:prstGeom prst="rect">
          <a:avLst/>
        </a:prstGeom>
      </xdr:spPr>
    </xdr:pic>
    <xdr:clientData/>
  </xdr:twoCellAnchor>
  <xdr:twoCellAnchor>
    <xdr:from>
      <xdr:col>9</xdr:col>
      <xdr:colOff>6350</xdr:colOff>
      <xdr:row>4264</xdr:row>
      <xdr:rowOff>25400</xdr:rowOff>
    </xdr:from>
    <xdr:to>
      <xdr:col>9</xdr:col>
      <xdr:colOff>885190</xdr:colOff>
      <xdr:row>4264</xdr:row>
      <xdr:rowOff>1209040</xdr:rowOff>
    </xdr:to>
    <xdr:pic>
      <xdr:nvPicPr>
        <xdr:cNvPr id="8591" name="Изображение 8590" descr="resizeПП-00262865"/>
        <xdr:cNvPicPr>
          <a:picLocks noChangeAspect="1"/>
        </xdr:cNvPicPr>
      </xdr:nvPicPr>
      <xdr:blipFill>
        <a:blip xmlns:r="http://schemas.openxmlformats.org/officeDocument/2006/relationships" r:embed="rId3233"/>
        <a:stretch>
          <a:fillRect/>
        </a:stretch>
      </xdr:blipFill>
      <xdr:spPr>
        <a:xfrm>
          <a:off x="7235825" y="4273838925"/>
          <a:ext cx="878840" cy="1183640"/>
        </a:xfrm>
        <a:prstGeom prst="rect">
          <a:avLst/>
        </a:prstGeom>
      </xdr:spPr>
    </xdr:pic>
    <xdr:clientData/>
  </xdr:twoCellAnchor>
  <xdr:twoCellAnchor>
    <xdr:from>
      <xdr:col>9</xdr:col>
      <xdr:colOff>6350</xdr:colOff>
      <xdr:row>4265</xdr:row>
      <xdr:rowOff>25400</xdr:rowOff>
    </xdr:from>
    <xdr:to>
      <xdr:col>9</xdr:col>
      <xdr:colOff>885190</xdr:colOff>
      <xdr:row>4265</xdr:row>
      <xdr:rowOff>1209040</xdr:rowOff>
    </xdr:to>
    <xdr:pic>
      <xdr:nvPicPr>
        <xdr:cNvPr id="8592" name="Изображение 8591" descr="resizeПП-00262867"/>
        <xdr:cNvPicPr>
          <a:picLocks noChangeAspect="1"/>
        </xdr:cNvPicPr>
      </xdr:nvPicPr>
      <xdr:blipFill>
        <a:blip xmlns:r="http://schemas.openxmlformats.org/officeDocument/2006/relationships" r:embed="rId3234"/>
        <a:stretch>
          <a:fillRect/>
        </a:stretch>
      </xdr:blipFill>
      <xdr:spPr>
        <a:xfrm>
          <a:off x="7235825" y="4275061300"/>
          <a:ext cx="878840" cy="1183640"/>
        </a:xfrm>
        <a:prstGeom prst="rect">
          <a:avLst/>
        </a:prstGeom>
      </xdr:spPr>
    </xdr:pic>
    <xdr:clientData/>
  </xdr:twoCellAnchor>
  <xdr:twoCellAnchor>
    <xdr:from>
      <xdr:col>9</xdr:col>
      <xdr:colOff>6350</xdr:colOff>
      <xdr:row>4268</xdr:row>
      <xdr:rowOff>25400</xdr:rowOff>
    </xdr:from>
    <xdr:to>
      <xdr:col>9</xdr:col>
      <xdr:colOff>885190</xdr:colOff>
      <xdr:row>4268</xdr:row>
      <xdr:rowOff>1209040</xdr:rowOff>
    </xdr:to>
    <xdr:pic>
      <xdr:nvPicPr>
        <xdr:cNvPr id="8593" name="Изображение 8592" descr="resizeПП-00236235"/>
        <xdr:cNvPicPr>
          <a:picLocks noChangeAspect="1"/>
        </xdr:cNvPicPr>
      </xdr:nvPicPr>
      <xdr:blipFill>
        <a:blip xmlns:r="http://schemas.openxmlformats.org/officeDocument/2006/relationships" r:embed="rId3235"/>
        <a:stretch>
          <a:fillRect/>
        </a:stretch>
      </xdr:blipFill>
      <xdr:spPr>
        <a:xfrm>
          <a:off x="7235825" y="4276588475"/>
          <a:ext cx="878840" cy="1183640"/>
        </a:xfrm>
        <a:prstGeom prst="rect">
          <a:avLst/>
        </a:prstGeom>
      </xdr:spPr>
    </xdr:pic>
    <xdr:clientData/>
  </xdr:twoCellAnchor>
  <xdr:twoCellAnchor>
    <xdr:from>
      <xdr:col>9</xdr:col>
      <xdr:colOff>6350</xdr:colOff>
      <xdr:row>4271</xdr:row>
      <xdr:rowOff>25400</xdr:rowOff>
    </xdr:from>
    <xdr:to>
      <xdr:col>9</xdr:col>
      <xdr:colOff>885190</xdr:colOff>
      <xdr:row>4271</xdr:row>
      <xdr:rowOff>1209040</xdr:rowOff>
    </xdr:to>
    <xdr:pic>
      <xdr:nvPicPr>
        <xdr:cNvPr id="8594" name="Изображение 8593" descr="resizeПП-00262878"/>
        <xdr:cNvPicPr>
          <a:picLocks noChangeAspect="1"/>
        </xdr:cNvPicPr>
      </xdr:nvPicPr>
      <xdr:blipFill>
        <a:blip xmlns:r="http://schemas.openxmlformats.org/officeDocument/2006/relationships" r:embed="rId3236"/>
        <a:stretch>
          <a:fillRect/>
        </a:stretch>
      </xdr:blipFill>
      <xdr:spPr>
        <a:xfrm>
          <a:off x="7235825" y="4278115650"/>
          <a:ext cx="878840" cy="1183640"/>
        </a:xfrm>
        <a:prstGeom prst="rect">
          <a:avLst/>
        </a:prstGeom>
      </xdr:spPr>
    </xdr:pic>
    <xdr:clientData/>
  </xdr:twoCellAnchor>
  <xdr:twoCellAnchor>
    <xdr:from>
      <xdr:col>9</xdr:col>
      <xdr:colOff>6350</xdr:colOff>
      <xdr:row>4273</xdr:row>
      <xdr:rowOff>25400</xdr:rowOff>
    </xdr:from>
    <xdr:to>
      <xdr:col>9</xdr:col>
      <xdr:colOff>885190</xdr:colOff>
      <xdr:row>4273</xdr:row>
      <xdr:rowOff>1209040</xdr:rowOff>
    </xdr:to>
    <xdr:pic>
      <xdr:nvPicPr>
        <xdr:cNvPr id="8595" name="Изображение 8594" descr="resizeПП-00261774"/>
        <xdr:cNvPicPr>
          <a:picLocks noChangeAspect="1"/>
        </xdr:cNvPicPr>
      </xdr:nvPicPr>
      <xdr:blipFill>
        <a:blip xmlns:r="http://schemas.openxmlformats.org/officeDocument/2006/relationships" r:embed="rId3186"/>
        <a:stretch>
          <a:fillRect/>
        </a:stretch>
      </xdr:blipFill>
      <xdr:spPr>
        <a:xfrm>
          <a:off x="7235825" y="4279490425"/>
          <a:ext cx="878840" cy="1183640"/>
        </a:xfrm>
        <a:prstGeom prst="rect">
          <a:avLst/>
        </a:prstGeom>
      </xdr:spPr>
    </xdr:pic>
    <xdr:clientData/>
  </xdr:twoCellAnchor>
  <xdr:twoCellAnchor>
    <xdr:from>
      <xdr:col>9</xdr:col>
      <xdr:colOff>6350</xdr:colOff>
      <xdr:row>4274</xdr:row>
      <xdr:rowOff>25400</xdr:rowOff>
    </xdr:from>
    <xdr:to>
      <xdr:col>9</xdr:col>
      <xdr:colOff>885190</xdr:colOff>
      <xdr:row>4274</xdr:row>
      <xdr:rowOff>1209040</xdr:rowOff>
    </xdr:to>
    <xdr:pic>
      <xdr:nvPicPr>
        <xdr:cNvPr id="8596" name="Изображение 8595" descr="resizeПП-00261777"/>
        <xdr:cNvPicPr>
          <a:picLocks noChangeAspect="1"/>
        </xdr:cNvPicPr>
      </xdr:nvPicPr>
      <xdr:blipFill>
        <a:blip xmlns:r="http://schemas.openxmlformats.org/officeDocument/2006/relationships" r:embed="rId3237"/>
        <a:stretch>
          <a:fillRect/>
        </a:stretch>
      </xdr:blipFill>
      <xdr:spPr>
        <a:xfrm>
          <a:off x="7235825" y="4280712800"/>
          <a:ext cx="878840" cy="1183640"/>
        </a:xfrm>
        <a:prstGeom prst="rect">
          <a:avLst/>
        </a:prstGeom>
      </xdr:spPr>
    </xdr:pic>
    <xdr:clientData/>
  </xdr:twoCellAnchor>
  <xdr:twoCellAnchor>
    <xdr:from>
      <xdr:col>9</xdr:col>
      <xdr:colOff>6350</xdr:colOff>
      <xdr:row>4275</xdr:row>
      <xdr:rowOff>25400</xdr:rowOff>
    </xdr:from>
    <xdr:to>
      <xdr:col>9</xdr:col>
      <xdr:colOff>885190</xdr:colOff>
      <xdr:row>4275</xdr:row>
      <xdr:rowOff>1209040</xdr:rowOff>
    </xdr:to>
    <xdr:pic>
      <xdr:nvPicPr>
        <xdr:cNvPr id="8597" name="Изображение 8596" descr="resizeПП-00261776"/>
        <xdr:cNvPicPr>
          <a:picLocks noChangeAspect="1"/>
        </xdr:cNvPicPr>
      </xdr:nvPicPr>
      <xdr:blipFill>
        <a:blip xmlns:r="http://schemas.openxmlformats.org/officeDocument/2006/relationships" r:embed="rId3188"/>
        <a:stretch>
          <a:fillRect/>
        </a:stretch>
      </xdr:blipFill>
      <xdr:spPr>
        <a:xfrm>
          <a:off x="7235825" y="4281935175"/>
          <a:ext cx="878840" cy="1183640"/>
        </a:xfrm>
        <a:prstGeom prst="rect">
          <a:avLst/>
        </a:prstGeom>
      </xdr:spPr>
    </xdr:pic>
    <xdr:clientData/>
  </xdr:twoCellAnchor>
  <xdr:twoCellAnchor>
    <xdr:from>
      <xdr:col>9</xdr:col>
      <xdr:colOff>6350</xdr:colOff>
      <xdr:row>4276</xdr:row>
      <xdr:rowOff>25400</xdr:rowOff>
    </xdr:from>
    <xdr:to>
      <xdr:col>9</xdr:col>
      <xdr:colOff>885190</xdr:colOff>
      <xdr:row>4276</xdr:row>
      <xdr:rowOff>1209040</xdr:rowOff>
    </xdr:to>
    <xdr:pic>
      <xdr:nvPicPr>
        <xdr:cNvPr id="8598" name="Изображение 8597" descr="resizeПП-00265761"/>
        <xdr:cNvPicPr>
          <a:picLocks noChangeAspect="1"/>
        </xdr:cNvPicPr>
      </xdr:nvPicPr>
      <xdr:blipFill>
        <a:blip xmlns:r="http://schemas.openxmlformats.org/officeDocument/2006/relationships" r:embed="rId3238"/>
        <a:stretch>
          <a:fillRect/>
        </a:stretch>
      </xdr:blipFill>
      <xdr:spPr>
        <a:xfrm>
          <a:off x="7235825" y="4283157550"/>
          <a:ext cx="878840" cy="1183640"/>
        </a:xfrm>
        <a:prstGeom prst="rect">
          <a:avLst/>
        </a:prstGeom>
      </xdr:spPr>
    </xdr:pic>
    <xdr:clientData/>
  </xdr:twoCellAnchor>
  <xdr:twoCellAnchor>
    <xdr:from>
      <xdr:col>9</xdr:col>
      <xdr:colOff>6350</xdr:colOff>
      <xdr:row>4277</xdr:row>
      <xdr:rowOff>25400</xdr:rowOff>
    </xdr:from>
    <xdr:to>
      <xdr:col>9</xdr:col>
      <xdr:colOff>885190</xdr:colOff>
      <xdr:row>4277</xdr:row>
      <xdr:rowOff>1209040</xdr:rowOff>
    </xdr:to>
    <xdr:pic>
      <xdr:nvPicPr>
        <xdr:cNvPr id="8599" name="Изображение 8598" descr="resizeПП-00265762"/>
        <xdr:cNvPicPr>
          <a:picLocks noChangeAspect="1"/>
        </xdr:cNvPicPr>
      </xdr:nvPicPr>
      <xdr:blipFill>
        <a:blip xmlns:r="http://schemas.openxmlformats.org/officeDocument/2006/relationships" r:embed="rId3239"/>
        <a:stretch>
          <a:fillRect/>
        </a:stretch>
      </xdr:blipFill>
      <xdr:spPr>
        <a:xfrm>
          <a:off x="7235825" y="4284379925"/>
          <a:ext cx="878840" cy="1183640"/>
        </a:xfrm>
        <a:prstGeom prst="rect">
          <a:avLst/>
        </a:prstGeom>
      </xdr:spPr>
    </xdr:pic>
    <xdr:clientData/>
  </xdr:twoCellAnchor>
  <xdr:twoCellAnchor>
    <xdr:from>
      <xdr:col>9</xdr:col>
      <xdr:colOff>6350</xdr:colOff>
      <xdr:row>4278</xdr:row>
      <xdr:rowOff>25400</xdr:rowOff>
    </xdr:from>
    <xdr:to>
      <xdr:col>9</xdr:col>
      <xdr:colOff>885190</xdr:colOff>
      <xdr:row>4278</xdr:row>
      <xdr:rowOff>1209040</xdr:rowOff>
    </xdr:to>
    <xdr:pic>
      <xdr:nvPicPr>
        <xdr:cNvPr id="8600" name="Изображение 8599" descr="resizeПП-00265760"/>
        <xdr:cNvPicPr>
          <a:picLocks noChangeAspect="1"/>
        </xdr:cNvPicPr>
      </xdr:nvPicPr>
      <xdr:blipFill>
        <a:blip xmlns:r="http://schemas.openxmlformats.org/officeDocument/2006/relationships" r:embed="rId3240"/>
        <a:stretch>
          <a:fillRect/>
        </a:stretch>
      </xdr:blipFill>
      <xdr:spPr>
        <a:xfrm>
          <a:off x="7235825" y="4285602300"/>
          <a:ext cx="878840" cy="1183640"/>
        </a:xfrm>
        <a:prstGeom prst="rect">
          <a:avLst/>
        </a:prstGeom>
      </xdr:spPr>
    </xdr:pic>
    <xdr:clientData/>
  </xdr:twoCellAnchor>
  <xdr:twoCellAnchor>
    <xdr:from>
      <xdr:col>9</xdr:col>
      <xdr:colOff>6350</xdr:colOff>
      <xdr:row>4279</xdr:row>
      <xdr:rowOff>25400</xdr:rowOff>
    </xdr:from>
    <xdr:to>
      <xdr:col>9</xdr:col>
      <xdr:colOff>885190</xdr:colOff>
      <xdr:row>4279</xdr:row>
      <xdr:rowOff>1209040</xdr:rowOff>
    </xdr:to>
    <xdr:pic>
      <xdr:nvPicPr>
        <xdr:cNvPr id="8601" name="Изображение 8600" descr="resizeПП-00263223"/>
        <xdr:cNvPicPr>
          <a:picLocks noChangeAspect="1"/>
        </xdr:cNvPicPr>
      </xdr:nvPicPr>
      <xdr:blipFill>
        <a:blip xmlns:r="http://schemas.openxmlformats.org/officeDocument/2006/relationships" r:embed="rId3241"/>
        <a:stretch>
          <a:fillRect/>
        </a:stretch>
      </xdr:blipFill>
      <xdr:spPr>
        <a:xfrm>
          <a:off x="7235825" y="4286824675"/>
          <a:ext cx="878840" cy="1183640"/>
        </a:xfrm>
        <a:prstGeom prst="rect">
          <a:avLst/>
        </a:prstGeom>
      </xdr:spPr>
    </xdr:pic>
    <xdr:clientData/>
  </xdr:twoCellAnchor>
  <xdr:twoCellAnchor>
    <xdr:from>
      <xdr:col>9</xdr:col>
      <xdr:colOff>6350</xdr:colOff>
      <xdr:row>4280</xdr:row>
      <xdr:rowOff>25400</xdr:rowOff>
    </xdr:from>
    <xdr:to>
      <xdr:col>9</xdr:col>
      <xdr:colOff>885190</xdr:colOff>
      <xdr:row>4280</xdr:row>
      <xdr:rowOff>1209040</xdr:rowOff>
    </xdr:to>
    <xdr:pic>
      <xdr:nvPicPr>
        <xdr:cNvPr id="8602" name="Изображение 8601" descr="resizeПП-00263229"/>
        <xdr:cNvPicPr>
          <a:picLocks noChangeAspect="1"/>
        </xdr:cNvPicPr>
      </xdr:nvPicPr>
      <xdr:blipFill>
        <a:blip xmlns:r="http://schemas.openxmlformats.org/officeDocument/2006/relationships" r:embed="rId3242"/>
        <a:stretch>
          <a:fillRect/>
        </a:stretch>
      </xdr:blipFill>
      <xdr:spPr>
        <a:xfrm>
          <a:off x="7235825" y="4288047050"/>
          <a:ext cx="878840" cy="1183640"/>
        </a:xfrm>
        <a:prstGeom prst="rect">
          <a:avLst/>
        </a:prstGeom>
      </xdr:spPr>
    </xdr:pic>
    <xdr:clientData/>
  </xdr:twoCellAnchor>
  <xdr:twoCellAnchor>
    <xdr:from>
      <xdr:col>9</xdr:col>
      <xdr:colOff>6350</xdr:colOff>
      <xdr:row>4281</xdr:row>
      <xdr:rowOff>25400</xdr:rowOff>
    </xdr:from>
    <xdr:to>
      <xdr:col>9</xdr:col>
      <xdr:colOff>885190</xdr:colOff>
      <xdr:row>4281</xdr:row>
      <xdr:rowOff>1209040</xdr:rowOff>
    </xdr:to>
    <xdr:pic>
      <xdr:nvPicPr>
        <xdr:cNvPr id="8603" name="Изображение 8602" descr="resizeПП-00263226"/>
        <xdr:cNvPicPr>
          <a:picLocks noChangeAspect="1"/>
        </xdr:cNvPicPr>
      </xdr:nvPicPr>
      <xdr:blipFill>
        <a:blip xmlns:r="http://schemas.openxmlformats.org/officeDocument/2006/relationships" r:embed="rId3243"/>
        <a:stretch>
          <a:fillRect/>
        </a:stretch>
      </xdr:blipFill>
      <xdr:spPr>
        <a:xfrm>
          <a:off x="7235825" y="4289269425"/>
          <a:ext cx="878840" cy="1183640"/>
        </a:xfrm>
        <a:prstGeom prst="rect">
          <a:avLst/>
        </a:prstGeom>
      </xdr:spPr>
    </xdr:pic>
    <xdr:clientData/>
  </xdr:twoCellAnchor>
  <xdr:twoCellAnchor>
    <xdr:from>
      <xdr:col>9</xdr:col>
      <xdr:colOff>6350</xdr:colOff>
      <xdr:row>4282</xdr:row>
      <xdr:rowOff>25400</xdr:rowOff>
    </xdr:from>
    <xdr:to>
      <xdr:col>9</xdr:col>
      <xdr:colOff>885190</xdr:colOff>
      <xdr:row>4282</xdr:row>
      <xdr:rowOff>1209040</xdr:rowOff>
    </xdr:to>
    <xdr:pic>
      <xdr:nvPicPr>
        <xdr:cNvPr id="8604" name="Изображение 8603" descr="resizeПП-00263232"/>
        <xdr:cNvPicPr>
          <a:picLocks noChangeAspect="1"/>
        </xdr:cNvPicPr>
      </xdr:nvPicPr>
      <xdr:blipFill>
        <a:blip xmlns:r="http://schemas.openxmlformats.org/officeDocument/2006/relationships" r:embed="rId3244"/>
        <a:stretch>
          <a:fillRect/>
        </a:stretch>
      </xdr:blipFill>
      <xdr:spPr>
        <a:xfrm>
          <a:off x="7235825" y="4290491800"/>
          <a:ext cx="878840" cy="1183640"/>
        </a:xfrm>
        <a:prstGeom prst="rect">
          <a:avLst/>
        </a:prstGeom>
      </xdr:spPr>
    </xdr:pic>
    <xdr:clientData/>
  </xdr:twoCellAnchor>
  <xdr:twoCellAnchor>
    <xdr:from>
      <xdr:col>9</xdr:col>
      <xdr:colOff>6350</xdr:colOff>
      <xdr:row>4283</xdr:row>
      <xdr:rowOff>25400</xdr:rowOff>
    </xdr:from>
    <xdr:to>
      <xdr:col>9</xdr:col>
      <xdr:colOff>885190</xdr:colOff>
      <xdr:row>4283</xdr:row>
      <xdr:rowOff>1209040</xdr:rowOff>
    </xdr:to>
    <xdr:pic>
      <xdr:nvPicPr>
        <xdr:cNvPr id="8605" name="Изображение 8604" descr="resizeПП-00263222"/>
        <xdr:cNvPicPr>
          <a:picLocks noChangeAspect="1"/>
        </xdr:cNvPicPr>
      </xdr:nvPicPr>
      <xdr:blipFill>
        <a:blip xmlns:r="http://schemas.openxmlformats.org/officeDocument/2006/relationships" r:embed="rId3245"/>
        <a:stretch>
          <a:fillRect/>
        </a:stretch>
      </xdr:blipFill>
      <xdr:spPr>
        <a:xfrm>
          <a:off x="7235825" y="4291714175"/>
          <a:ext cx="878840" cy="1183640"/>
        </a:xfrm>
        <a:prstGeom prst="rect">
          <a:avLst/>
        </a:prstGeom>
      </xdr:spPr>
    </xdr:pic>
    <xdr:clientData/>
  </xdr:twoCellAnchor>
  <xdr:twoCellAnchor>
    <xdr:from>
      <xdr:col>9</xdr:col>
      <xdr:colOff>6350</xdr:colOff>
      <xdr:row>4284</xdr:row>
      <xdr:rowOff>25400</xdr:rowOff>
    </xdr:from>
    <xdr:to>
      <xdr:col>9</xdr:col>
      <xdr:colOff>885190</xdr:colOff>
      <xdr:row>4284</xdr:row>
      <xdr:rowOff>1209040</xdr:rowOff>
    </xdr:to>
    <xdr:pic>
      <xdr:nvPicPr>
        <xdr:cNvPr id="8606" name="Изображение 8605" descr="resizeПП-00263231"/>
        <xdr:cNvPicPr>
          <a:picLocks noChangeAspect="1"/>
        </xdr:cNvPicPr>
      </xdr:nvPicPr>
      <xdr:blipFill>
        <a:blip xmlns:r="http://schemas.openxmlformats.org/officeDocument/2006/relationships" r:embed="rId3246"/>
        <a:stretch>
          <a:fillRect/>
        </a:stretch>
      </xdr:blipFill>
      <xdr:spPr>
        <a:xfrm>
          <a:off x="7235825" y="4292936550"/>
          <a:ext cx="878840" cy="1183640"/>
        </a:xfrm>
        <a:prstGeom prst="rect">
          <a:avLst/>
        </a:prstGeom>
      </xdr:spPr>
    </xdr:pic>
    <xdr:clientData/>
  </xdr:twoCellAnchor>
  <xdr:twoCellAnchor>
    <xdr:from>
      <xdr:col>9</xdr:col>
      <xdr:colOff>6350</xdr:colOff>
      <xdr:row>4285</xdr:row>
      <xdr:rowOff>25400</xdr:rowOff>
    </xdr:from>
    <xdr:to>
      <xdr:col>9</xdr:col>
      <xdr:colOff>885190</xdr:colOff>
      <xdr:row>4285</xdr:row>
      <xdr:rowOff>1209040</xdr:rowOff>
    </xdr:to>
    <xdr:pic>
      <xdr:nvPicPr>
        <xdr:cNvPr id="8607" name="Изображение 8606" descr="resizeПП-00263228"/>
        <xdr:cNvPicPr>
          <a:picLocks noChangeAspect="1"/>
        </xdr:cNvPicPr>
      </xdr:nvPicPr>
      <xdr:blipFill>
        <a:blip xmlns:r="http://schemas.openxmlformats.org/officeDocument/2006/relationships" r:embed="rId3247"/>
        <a:stretch>
          <a:fillRect/>
        </a:stretch>
      </xdr:blipFill>
      <xdr:spPr>
        <a:xfrm>
          <a:off x="7235825" y="4294158925"/>
          <a:ext cx="878840" cy="1183640"/>
        </a:xfrm>
        <a:prstGeom prst="rect">
          <a:avLst/>
        </a:prstGeom>
      </xdr:spPr>
    </xdr:pic>
    <xdr:clientData/>
  </xdr:twoCellAnchor>
  <xdr:twoCellAnchor>
    <xdr:from>
      <xdr:col>9</xdr:col>
      <xdr:colOff>6350</xdr:colOff>
      <xdr:row>4286</xdr:row>
      <xdr:rowOff>25400</xdr:rowOff>
    </xdr:from>
    <xdr:to>
      <xdr:col>9</xdr:col>
      <xdr:colOff>885190</xdr:colOff>
      <xdr:row>4286</xdr:row>
      <xdr:rowOff>1209040</xdr:rowOff>
    </xdr:to>
    <xdr:pic>
      <xdr:nvPicPr>
        <xdr:cNvPr id="8608" name="Изображение 8607" descr="resizeПП-00263227"/>
        <xdr:cNvPicPr>
          <a:picLocks noChangeAspect="1"/>
        </xdr:cNvPicPr>
      </xdr:nvPicPr>
      <xdr:blipFill>
        <a:blip xmlns:r="http://schemas.openxmlformats.org/officeDocument/2006/relationships" r:embed="rId3248"/>
        <a:stretch>
          <a:fillRect/>
        </a:stretch>
      </xdr:blipFill>
      <xdr:spPr>
        <a:xfrm>
          <a:off x="7235825" y="4295381300"/>
          <a:ext cx="878840" cy="1183640"/>
        </a:xfrm>
        <a:prstGeom prst="rect">
          <a:avLst/>
        </a:prstGeom>
      </xdr:spPr>
    </xdr:pic>
    <xdr:clientData/>
  </xdr:twoCellAnchor>
  <xdr:twoCellAnchor>
    <xdr:from>
      <xdr:col>9</xdr:col>
      <xdr:colOff>6350</xdr:colOff>
      <xdr:row>4287</xdr:row>
      <xdr:rowOff>25400</xdr:rowOff>
    </xdr:from>
    <xdr:to>
      <xdr:col>9</xdr:col>
      <xdr:colOff>885190</xdr:colOff>
      <xdr:row>4287</xdr:row>
      <xdr:rowOff>1209040</xdr:rowOff>
    </xdr:to>
    <xdr:pic>
      <xdr:nvPicPr>
        <xdr:cNvPr id="8609" name="Изображение 8608" descr="resizeПП-00263225"/>
        <xdr:cNvPicPr>
          <a:picLocks noChangeAspect="1"/>
        </xdr:cNvPicPr>
      </xdr:nvPicPr>
      <xdr:blipFill>
        <a:blip xmlns:r="http://schemas.openxmlformats.org/officeDocument/2006/relationships" r:embed="rId3249"/>
        <a:stretch>
          <a:fillRect/>
        </a:stretch>
      </xdr:blipFill>
      <xdr:spPr>
        <a:xfrm>
          <a:off x="7235825" y="4296603675"/>
          <a:ext cx="878840" cy="1183640"/>
        </a:xfrm>
        <a:prstGeom prst="rect">
          <a:avLst/>
        </a:prstGeom>
      </xdr:spPr>
    </xdr:pic>
    <xdr:clientData/>
  </xdr:twoCellAnchor>
  <xdr:twoCellAnchor>
    <xdr:from>
      <xdr:col>9</xdr:col>
      <xdr:colOff>6350</xdr:colOff>
      <xdr:row>4288</xdr:row>
      <xdr:rowOff>25400</xdr:rowOff>
    </xdr:from>
    <xdr:to>
      <xdr:col>9</xdr:col>
      <xdr:colOff>885190</xdr:colOff>
      <xdr:row>4288</xdr:row>
      <xdr:rowOff>1209040</xdr:rowOff>
    </xdr:to>
    <xdr:pic>
      <xdr:nvPicPr>
        <xdr:cNvPr id="8610" name="Изображение 8609" descr="resizeПП-00263224"/>
        <xdr:cNvPicPr>
          <a:picLocks noChangeAspect="1"/>
        </xdr:cNvPicPr>
      </xdr:nvPicPr>
      <xdr:blipFill>
        <a:blip xmlns:r="http://schemas.openxmlformats.org/officeDocument/2006/relationships" r:embed="rId3250"/>
        <a:stretch>
          <a:fillRect/>
        </a:stretch>
      </xdr:blipFill>
      <xdr:spPr>
        <a:xfrm>
          <a:off x="7235825" y="4297826050"/>
          <a:ext cx="878840" cy="1183640"/>
        </a:xfrm>
        <a:prstGeom prst="rect">
          <a:avLst/>
        </a:prstGeom>
      </xdr:spPr>
    </xdr:pic>
    <xdr:clientData/>
  </xdr:twoCellAnchor>
  <xdr:twoCellAnchor>
    <xdr:from>
      <xdr:col>9</xdr:col>
      <xdr:colOff>6350</xdr:colOff>
      <xdr:row>4289</xdr:row>
      <xdr:rowOff>25400</xdr:rowOff>
    </xdr:from>
    <xdr:to>
      <xdr:col>9</xdr:col>
      <xdr:colOff>885190</xdr:colOff>
      <xdr:row>4289</xdr:row>
      <xdr:rowOff>1209040</xdr:rowOff>
    </xdr:to>
    <xdr:pic>
      <xdr:nvPicPr>
        <xdr:cNvPr id="8611" name="Изображение 8610" descr="resizeПП-00263230"/>
        <xdr:cNvPicPr>
          <a:picLocks noChangeAspect="1"/>
        </xdr:cNvPicPr>
      </xdr:nvPicPr>
      <xdr:blipFill>
        <a:blip xmlns:r="http://schemas.openxmlformats.org/officeDocument/2006/relationships" r:embed="rId3251"/>
        <a:stretch>
          <a:fillRect/>
        </a:stretch>
      </xdr:blipFill>
      <xdr:spPr>
        <a:xfrm>
          <a:off x="7235825" y="4299048425"/>
          <a:ext cx="878840" cy="1183640"/>
        </a:xfrm>
        <a:prstGeom prst="rect">
          <a:avLst/>
        </a:prstGeom>
      </xdr:spPr>
    </xdr:pic>
    <xdr:clientData/>
  </xdr:twoCellAnchor>
  <xdr:twoCellAnchor>
    <xdr:from>
      <xdr:col>9</xdr:col>
      <xdr:colOff>6350</xdr:colOff>
      <xdr:row>4290</xdr:row>
      <xdr:rowOff>25400</xdr:rowOff>
    </xdr:from>
    <xdr:to>
      <xdr:col>9</xdr:col>
      <xdr:colOff>885190</xdr:colOff>
      <xdr:row>4290</xdr:row>
      <xdr:rowOff>1209040</xdr:rowOff>
    </xdr:to>
    <xdr:pic>
      <xdr:nvPicPr>
        <xdr:cNvPr id="8612" name="Изображение 8611" descr="resizeПП-00265759"/>
        <xdr:cNvPicPr>
          <a:picLocks noChangeAspect="1"/>
        </xdr:cNvPicPr>
      </xdr:nvPicPr>
      <xdr:blipFill>
        <a:blip xmlns:r="http://schemas.openxmlformats.org/officeDocument/2006/relationships" r:embed="rId3252"/>
        <a:stretch>
          <a:fillRect/>
        </a:stretch>
      </xdr:blipFill>
      <xdr:spPr>
        <a:xfrm>
          <a:off x="7235825" y="4300270800"/>
          <a:ext cx="878840" cy="1183640"/>
        </a:xfrm>
        <a:prstGeom prst="rect">
          <a:avLst/>
        </a:prstGeom>
      </xdr:spPr>
    </xdr:pic>
    <xdr:clientData/>
  </xdr:twoCellAnchor>
  <xdr:twoCellAnchor>
    <xdr:from>
      <xdr:col>9</xdr:col>
      <xdr:colOff>6350</xdr:colOff>
      <xdr:row>4291</xdr:row>
      <xdr:rowOff>25400</xdr:rowOff>
    </xdr:from>
    <xdr:to>
      <xdr:col>9</xdr:col>
      <xdr:colOff>885190</xdr:colOff>
      <xdr:row>4291</xdr:row>
      <xdr:rowOff>1209040</xdr:rowOff>
    </xdr:to>
    <xdr:pic>
      <xdr:nvPicPr>
        <xdr:cNvPr id="8613" name="Изображение 8612" descr="resizeПП-00265764"/>
        <xdr:cNvPicPr>
          <a:picLocks noChangeAspect="1"/>
        </xdr:cNvPicPr>
      </xdr:nvPicPr>
      <xdr:blipFill>
        <a:blip xmlns:r="http://schemas.openxmlformats.org/officeDocument/2006/relationships" r:embed="rId3253"/>
        <a:stretch>
          <a:fillRect/>
        </a:stretch>
      </xdr:blipFill>
      <xdr:spPr>
        <a:xfrm>
          <a:off x="7235825" y="4301493175"/>
          <a:ext cx="878840" cy="1183640"/>
        </a:xfrm>
        <a:prstGeom prst="rect">
          <a:avLst/>
        </a:prstGeom>
      </xdr:spPr>
    </xdr:pic>
    <xdr:clientData/>
  </xdr:twoCellAnchor>
  <xdr:twoCellAnchor>
    <xdr:from>
      <xdr:col>9</xdr:col>
      <xdr:colOff>6350</xdr:colOff>
      <xdr:row>4292</xdr:row>
      <xdr:rowOff>25400</xdr:rowOff>
    </xdr:from>
    <xdr:to>
      <xdr:col>9</xdr:col>
      <xdr:colOff>885190</xdr:colOff>
      <xdr:row>4292</xdr:row>
      <xdr:rowOff>1209040</xdr:rowOff>
    </xdr:to>
    <xdr:pic>
      <xdr:nvPicPr>
        <xdr:cNvPr id="8614" name="Изображение 8613" descr="resizeПП-00212280"/>
        <xdr:cNvPicPr>
          <a:picLocks noChangeAspect="1"/>
        </xdr:cNvPicPr>
      </xdr:nvPicPr>
      <xdr:blipFill>
        <a:blip xmlns:r="http://schemas.openxmlformats.org/officeDocument/2006/relationships" r:embed="rId2983"/>
        <a:stretch>
          <a:fillRect/>
        </a:stretch>
      </xdr:blipFill>
      <xdr:spPr>
        <a:xfrm>
          <a:off x="7235825" y="4302715550"/>
          <a:ext cx="878840" cy="1183640"/>
        </a:xfrm>
        <a:prstGeom prst="rect">
          <a:avLst/>
        </a:prstGeom>
      </xdr:spPr>
    </xdr:pic>
    <xdr:clientData/>
  </xdr:twoCellAnchor>
  <xdr:twoCellAnchor>
    <xdr:from>
      <xdr:col>9</xdr:col>
      <xdr:colOff>6350</xdr:colOff>
      <xdr:row>4293</xdr:row>
      <xdr:rowOff>25400</xdr:rowOff>
    </xdr:from>
    <xdr:to>
      <xdr:col>9</xdr:col>
      <xdr:colOff>885190</xdr:colOff>
      <xdr:row>4293</xdr:row>
      <xdr:rowOff>1209040</xdr:rowOff>
    </xdr:to>
    <xdr:pic>
      <xdr:nvPicPr>
        <xdr:cNvPr id="8615" name="Изображение 8614" descr="resizeПП-00212277"/>
        <xdr:cNvPicPr>
          <a:picLocks noChangeAspect="1"/>
        </xdr:cNvPicPr>
      </xdr:nvPicPr>
      <xdr:blipFill>
        <a:blip xmlns:r="http://schemas.openxmlformats.org/officeDocument/2006/relationships" r:embed="rId2987"/>
        <a:stretch>
          <a:fillRect/>
        </a:stretch>
      </xdr:blipFill>
      <xdr:spPr>
        <a:xfrm>
          <a:off x="7235825" y="4303937925"/>
          <a:ext cx="878840" cy="1183640"/>
        </a:xfrm>
        <a:prstGeom prst="rect">
          <a:avLst/>
        </a:prstGeom>
      </xdr:spPr>
    </xdr:pic>
    <xdr:clientData/>
  </xdr:twoCellAnchor>
  <xdr:twoCellAnchor>
    <xdr:from>
      <xdr:col>9</xdr:col>
      <xdr:colOff>6350</xdr:colOff>
      <xdr:row>4294</xdr:row>
      <xdr:rowOff>25400</xdr:rowOff>
    </xdr:from>
    <xdr:to>
      <xdr:col>9</xdr:col>
      <xdr:colOff>885190</xdr:colOff>
      <xdr:row>4294</xdr:row>
      <xdr:rowOff>1209040</xdr:rowOff>
    </xdr:to>
    <xdr:pic>
      <xdr:nvPicPr>
        <xdr:cNvPr id="8616" name="Изображение 8615" descr="resizeПП-00265765"/>
        <xdr:cNvPicPr>
          <a:picLocks noChangeAspect="1"/>
        </xdr:cNvPicPr>
      </xdr:nvPicPr>
      <xdr:blipFill>
        <a:blip xmlns:r="http://schemas.openxmlformats.org/officeDocument/2006/relationships" r:embed="rId3254"/>
        <a:stretch>
          <a:fillRect/>
        </a:stretch>
      </xdr:blipFill>
      <xdr:spPr>
        <a:xfrm>
          <a:off x="7235825" y="4305160300"/>
          <a:ext cx="878840" cy="1183640"/>
        </a:xfrm>
        <a:prstGeom prst="rect">
          <a:avLst/>
        </a:prstGeom>
      </xdr:spPr>
    </xdr:pic>
    <xdr:clientData/>
  </xdr:twoCellAnchor>
  <xdr:twoCellAnchor>
    <xdr:from>
      <xdr:col>9</xdr:col>
      <xdr:colOff>6350</xdr:colOff>
      <xdr:row>4295</xdr:row>
      <xdr:rowOff>25400</xdr:rowOff>
    </xdr:from>
    <xdr:to>
      <xdr:col>9</xdr:col>
      <xdr:colOff>885190</xdr:colOff>
      <xdr:row>4295</xdr:row>
      <xdr:rowOff>1209040</xdr:rowOff>
    </xdr:to>
    <xdr:pic>
      <xdr:nvPicPr>
        <xdr:cNvPr id="8617" name="Изображение 8616" descr="resizeПП-00265766"/>
        <xdr:cNvPicPr>
          <a:picLocks noChangeAspect="1"/>
        </xdr:cNvPicPr>
      </xdr:nvPicPr>
      <xdr:blipFill>
        <a:blip xmlns:r="http://schemas.openxmlformats.org/officeDocument/2006/relationships" r:embed="rId3255"/>
        <a:stretch>
          <a:fillRect/>
        </a:stretch>
      </xdr:blipFill>
      <xdr:spPr>
        <a:xfrm>
          <a:off x="7235825" y="4306382675"/>
          <a:ext cx="878840" cy="1183640"/>
        </a:xfrm>
        <a:prstGeom prst="rect">
          <a:avLst/>
        </a:prstGeom>
      </xdr:spPr>
    </xdr:pic>
    <xdr:clientData/>
  </xdr:twoCellAnchor>
  <xdr:twoCellAnchor>
    <xdr:from>
      <xdr:col>9</xdr:col>
      <xdr:colOff>6350</xdr:colOff>
      <xdr:row>4296</xdr:row>
      <xdr:rowOff>25400</xdr:rowOff>
    </xdr:from>
    <xdr:to>
      <xdr:col>9</xdr:col>
      <xdr:colOff>885190</xdr:colOff>
      <xdr:row>4296</xdr:row>
      <xdr:rowOff>1209040</xdr:rowOff>
    </xdr:to>
    <xdr:pic>
      <xdr:nvPicPr>
        <xdr:cNvPr id="8618" name="Изображение 8617" descr="resizeПП-00265758"/>
        <xdr:cNvPicPr>
          <a:picLocks noChangeAspect="1"/>
        </xdr:cNvPicPr>
      </xdr:nvPicPr>
      <xdr:blipFill>
        <a:blip xmlns:r="http://schemas.openxmlformats.org/officeDocument/2006/relationships" r:embed="rId3256"/>
        <a:stretch>
          <a:fillRect/>
        </a:stretch>
      </xdr:blipFill>
      <xdr:spPr>
        <a:xfrm>
          <a:off x="7235825" y="4307605050"/>
          <a:ext cx="878840" cy="1183640"/>
        </a:xfrm>
        <a:prstGeom prst="rect">
          <a:avLst/>
        </a:prstGeom>
      </xdr:spPr>
    </xdr:pic>
    <xdr:clientData/>
  </xdr:twoCellAnchor>
  <xdr:twoCellAnchor>
    <xdr:from>
      <xdr:col>9</xdr:col>
      <xdr:colOff>6350</xdr:colOff>
      <xdr:row>4297</xdr:row>
      <xdr:rowOff>25400</xdr:rowOff>
    </xdr:from>
    <xdr:to>
      <xdr:col>9</xdr:col>
      <xdr:colOff>885190</xdr:colOff>
      <xdr:row>4297</xdr:row>
      <xdr:rowOff>1209040</xdr:rowOff>
    </xdr:to>
    <xdr:pic>
      <xdr:nvPicPr>
        <xdr:cNvPr id="8619" name="Изображение 8618" descr="resizeПП-00265763"/>
        <xdr:cNvPicPr>
          <a:picLocks noChangeAspect="1"/>
        </xdr:cNvPicPr>
      </xdr:nvPicPr>
      <xdr:blipFill>
        <a:blip xmlns:r="http://schemas.openxmlformats.org/officeDocument/2006/relationships" r:embed="rId3257"/>
        <a:stretch>
          <a:fillRect/>
        </a:stretch>
      </xdr:blipFill>
      <xdr:spPr>
        <a:xfrm>
          <a:off x="7235825" y="4308827425"/>
          <a:ext cx="878840" cy="1183640"/>
        </a:xfrm>
        <a:prstGeom prst="rect">
          <a:avLst/>
        </a:prstGeom>
      </xdr:spPr>
    </xdr:pic>
    <xdr:clientData/>
  </xdr:twoCellAnchor>
  <xdr:twoCellAnchor>
    <xdr:from>
      <xdr:col>9</xdr:col>
      <xdr:colOff>6350</xdr:colOff>
      <xdr:row>4298</xdr:row>
      <xdr:rowOff>25400</xdr:rowOff>
    </xdr:from>
    <xdr:to>
      <xdr:col>9</xdr:col>
      <xdr:colOff>885190</xdr:colOff>
      <xdr:row>4298</xdr:row>
      <xdr:rowOff>1209040</xdr:rowOff>
    </xdr:to>
    <xdr:pic>
      <xdr:nvPicPr>
        <xdr:cNvPr id="8620" name="Изображение 8619" descr="resizeПП-00237749"/>
        <xdr:cNvPicPr>
          <a:picLocks noChangeAspect="1"/>
        </xdr:cNvPicPr>
      </xdr:nvPicPr>
      <xdr:blipFill>
        <a:blip xmlns:r="http://schemas.openxmlformats.org/officeDocument/2006/relationships" r:embed="rId3258"/>
        <a:stretch>
          <a:fillRect/>
        </a:stretch>
      </xdr:blipFill>
      <xdr:spPr>
        <a:xfrm>
          <a:off x="7235825" y="4310049800"/>
          <a:ext cx="878840" cy="1183640"/>
        </a:xfrm>
        <a:prstGeom prst="rect">
          <a:avLst/>
        </a:prstGeom>
      </xdr:spPr>
    </xdr:pic>
    <xdr:clientData/>
  </xdr:twoCellAnchor>
  <xdr:twoCellAnchor>
    <xdr:from>
      <xdr:col>9</xdr:col>
      <xdr:colOff>6350</xdr:colOff>
      <xdr:row>4301</xdr:row>
      <xdr:rowOff>25400</xdr:rowOff>
    </xdr:from>
    <xdr:to>
      <xdr:col>9</xdr:col>
      <xdr:colOff>885190</xdr:colOff>
      <xdr:row>4301</xdr:row>
      <xdr:rowOff>1209040</xdr:rowOff>
    </xdr:to>
    <xdr:pic>
      <xdr:nvPicPr>
        <xdr:cNvPr id="8621" name="Изображение 8620" descr="resizeПП-00262870"/>
        <xdr:cNvPicPr>
          <a:picLocks noChangeAspect="1"/>
        </xdr:cNvPicPr>
      </xdr:nvPicPr>
      <xdr:blipFill>
        <a:blip xmlns:r="http://schemas.openxmlformats.org/officeDocument/2006/relationships" r:embed="rId3259"/>
        <a:stretch>
          <a:fillRect/>
        </a:stretch>
      </xdr:blipFill>
      <xdr:spPr>
        <a:xfrm>
          <a:off x="7235825" y="4311576975"/>
          <a:ext cx="878840" cy="1183640"/>
        </a:xfrm>
        <a:prstGeom prst="rect">
          <a:avLst/>
        </a:prstGeom>
      </xdr:spPr>
    </xdr:pic>
    <xdr:clientData/>
  </xdr:twoCellAnchor>
  <xdr:twoCellAnchor>
    <xdr:from>
      <xdr:col>9</xdr:col>
      <xdr:colOff>6350</xdr:colOff>
      <xdr:row>4302</xdr:row>
      <xdr:rowOff>25400</xdr:rowOff>
    </xdr:from>
    <xdr:to>
      <xdr:col>9</xdr:col>
      <xdr:colOff>885190</xdr:colOff>
      <xdr:row>4302</xdr:row>
      <xdr:rowOff>1209040</xdr:rowOff>
    </xdr:to>
    <xdr:pic>
      <xdr:nvPicPr>
        <xdr:cNvPr id="8622" name="Изображение 8621" descr="resizeПП-00262872"/>
        <xdr:cNvPicPr>
          <a:picLocks noChangeAspect="1"/>
        </xdr:cNvPicPr>
      </xdr:nvPicPr>
      <xdr:blipFill>
        <a:blip xmlns:r="http://schemas.openxmlformats.org/officeDocument/2006/relationships" r:embed="rId3260"/>
        <a:stretch>
          <a:fillRect/>
        </a:stretch>
      </xdr:blipFill>
      <xdr:spPr>
        <a:xfrm>
          <a:off x="7235825" y="4312799350"/>
          <a:ext cx="878840" cy="1183640"/>
        </a:xfrm>
        <a:prstGeom prst="rect">
          <a:avLst/>
        </a:prstGeom>
      </xdr:spPr>
    </xdr:pic>
    <xdr:clientData/>
  </xdr:twoCellAnchor>
  <xdr:twoCellAnchor>
    <xdr:from>
      <xdr:col>9</xdr:col>
      <xdr:colOff>6350</xdr:colOff>
      <xdr:row>4303</xdr:row>
      <xdr:rowOff>25400</xdr:rowOff>
    </xdr:from>
    <xdr:to>
      <xdr:col>9</xdr:col>
      <xdr:colOff>885190</xdr:colOff>
      <xdr:row>4303</xdr:row>
      <xdr:rowOff>1209040</xdr:rowOff>
    </xdr:to>
    <xdr:pic>
      <xdr:nvPicPr>
        <xdr:cNvPr id="8623" name="Изображение 8622" descr="resizeПП-00262871"/>
        <xdr:cNvPicPr>
          <a:picLocks noChangeAspect="1"/>
        </xdr:cNvPicPr>
      </xdr:nvPicPr>
      <xdr:blipFill>
        <a:blip xmlns:r="http://schemas.openxmlformats.org/officeDocument/2006/relationships" r:embed="rId3261"/>
        <a:stretch>
          <a:fillRect/>
        </a:stretch>
      </xdr:blipFill>
      <xdr:spPr>
        <a:xfrm>
          <a:off x="7235825" y="4314021725"/>
          <a:ext cx="878840" cy="1183640"/>
        </a:xfrm>
        <a:prstGeom prst="rect">
          <a:avLst/>
        </a:prstGeom>
      </xdr:spPr>
    </xdr:pic>
    <xdr:clientData/>
  </xdr:twoCellAnchor>
  <xdr:twoCellAnchor>
    <xdr:from>
      <xdr:col>9</xdr:col>
      <xdr:colOff>6350</xdr:colOff>
      <xdr:row>4304</xdr:row>
      <xdr:rowOff>25400</xdr:rowOff>
    </xdr:from>
    <xdr:to>
      <xdr:col>9</xdr:col>
      <xdr:colOff>885190</xdr:colOff>
      <xdr:row>4304</xdr:row>
      <xdr:rowOff>1209040</xdr:rowOff>
    </xdr:to>
    <xdr:pic>
      <xdr:nvPicPr>
        <xdr:cNvPr id="8624" name="Изображение 8623" descr="resizeПП-00262869"/>
        <xdr:cNvPicPr>
          <a:picLocks noChangeAspect="1"/>
        </xdr:cNvPicPr>
      </xdr:nvPicPr>
      <xdr:blipFill>
        <a:blip xmlns:r="http://schemas.openxmlformats.org/officeDocument/2006/relationships" r:embed="rId3262"/>
        <a:stretch>
          <a:fillRect/>
        </a:stretch>
      </xdr:blipFill>
      <xdr:spPr>
        <a:xfrm>
          <a:off x="7235825" y="4315244100"/>
          <a:ext cx="878840" cy="1183640"/>
        </a:xfrm>
        <a:prstGeom prst="rect">
          <a:avLst/>
        </a:prstGeom>
      </xdr:spPr>
    </xdr:pic>
    <xdr:clientData/>
  </xdr:twoCellAnchor>
  <xdr:twoCellAnchor>
    <xdr:from>
      <xdr:col>9</xdr:col>
      <xdr:colOff>6350</xdr:colOff>
      <xdr:row>4307</xdr:row>
      <xdr:rowOff>25400</xdr:rowOff>
    </xdr:from>
    <xdr:to>
      <xdr:col>9</xdr:col>
      <xdr:colOff>885190</xdr:colOff>
      <xdr:row>4307</xdr:row>
      <xdr:rowOff>1209040</xdr:rowOff>
    </xdr:to>
    <xdr:pic>
      <xdr:nvPicPr>
        <xdr:cNvPr id="8625" name="Изображение 8624" descr="resizeПП-00263264"/>
        <xdr:cNvPicPr>
          <a:picLocks noChangeAspect="1"/>
        </xdr:cNvPicPr>
      </xdr:nvPicPr>
      <xdr:blipFill>
        <a:blip xmlns:r="http://schemas.openxmlformats.org/officeDocument/2006/relationships" r:embed="rId3263"/>
        <a:stretch>
          <a:fillRect/>
        </a:stretch>
      </xdr:blipFill>
      <xdr:spPr>
        <a:xfrm>
          <a:off x="7235825" y="4316771275"/>
          <a:ext cx="878840" cy="1183640"/>
        </a:xfrm>
        <a:prstGeom prst="rect">
          <a:avLst/>
        </a:prstGeom>
      </xdr:spPr>
    </xdr:pic>
    <xdr:clientData/>
  </xdr:twoCellAnchor>
  <xdr:twoCellAnchor>
    <xdr:from>
      <xdr:col>9</xdr:col>
      <xdr:colOff>6350</xdr:colOff>
      <xdr:row>4308</xdr:row>
      <xdr:rowOff>25400</xdr:rowOff>
    </xdr:from>
    <xdr:to>
      <xdr:col>9</xdr:col>
      <xdr:colOff>885190</xdr:colOff>
      <xdr:row>4308</xdr:row>
      <xdr:rowOff>1209040</xdr:rowOff>
    </xdr:to>
    <xdr:pic>
      <xdr:nvPicPr>
        <xdr:cNvPr id="8626" name="Изображение 8625" descr="resizeПП-00263265"/>
        <xdr:cNvPicPr>
          <a:picLocks noChangeAspect="1"/>
        </xdr:cNvPicPr>
      </xdr:nvPicPr>
      <xdr:blipFill>
        <a:blip xmlns:r="http://schemas.openxmlformats.org/officeDocument/2006/relationships" r:embed="rId3264"/>
        <a:stretch>
          <a:fillRect/>
        </a:stretch>
      </xdr:blipFill>
      <xdr:spPr>
        <a:xfrm>
          <a:off x="7235825" y="4317993650"/>
          <a:ext cx="878840" cy="1183640"/>
        </a:xfrm>
        <a:prstGeom prst="rect">
          <a:avLst/>
        </a:prstGeom>
      </xdr:spPr>
    </xdr:pic>
    <xdr:clientData/>
  </xdr:twoCellAnchor>
  <xdr:twoCellAnchor>
    <xdr:from>
      <xdr:col>9</xdr:col>
      <xdr:colOff>6350</xdr:colOff>
      <xdr:row>4311</xdr:row>
      <xdr:rowOff>25400</xdr:rowOff>
    </xdr:from>
    <xdr:to>
      <xdr:col>9</xdr:col>
      <xdr:colOff>885190</xdr:colOff>
      <xdr:row>4311</xdr:row>
      <xdr:rowOff>1209040</xdr:rowOff>
    </xdr:to>
    <xdr:pic>
      <xdr:nvPicPr>
        <xdr:cNvPr id="8627" name="Изображение 8626" descr="resizeПП-00263267"/>
        <xdr:cNvPicPr>
          <a:picLocks noChangeAspect="1"/>
        </xdr:cNvPicPr>
      </xdr:nvPicPr>
      <xdr:blipFill>
        <a:blip xmlns:r="http://schemas.openxmlformats.org/officeDocument/2006/relationships" r:embed="rId3265"/>
        <a:stretch>
          <a:fillRect/>
        </a:stretch>
      </xdr:blipFill>
      <xdr:spPr>
        <a:xfrm>
          <a:off x="7235825" y="4319520825"/>
          <a:ext cx="878840" cy="1183640"/>
        </a:xfrm>
        <a:prstGeom prst="rect">
          <a:avLst/>
        </a:prstGeom>
      </xdr:spPr>
    </xdr:pic>
    <xdr:clientData/>
  </xdr:twoCellAnchor>
  <xdr:twoCellAnchor>
    <xdr:from>
      <xdr:col>9</xdr:col>
      <xdr:colOff>6350</xdr:colOff>
      <xdr:row>4312</xdr:row>
      <xdr:rowOff>25400</xdr:rowOff>
    </xdr:from>
    <xdr:to>
      <xdr:col>9</xdr:col>
      <xdr:colOff>885190</xdr:colOff>
      <xdr:row>4312</xdr:row>
      <xdr:rowOff>1209040</xdr:rowOff>
    </xdr:to>
    <xdr:pic>
      <xdr:nvPicPr>
        <xdr:cNvPr id="8628" name="Изображение 8627" descr="resizeПП-00263266"/>
        <xdr:cNvPicPr>
          <a:picLocks noChangeAspect="1"/>
        </xdr:cNvPicPr>
      </xdr:nvPicPr>
      <xdr:blipFill>
        <a:blip xmlns:r="http://schemas.openxmlformats.org/officeDocument/2006/relationships" r:embed="rId3266"/>
        <a:stretch>
          <a:fillRect/>
        </a:stretch>
      </xdr:blipFill>
      <xdr:spPr>
        <a:xfrm>
          <a:off x="7235825" y="4320743200"/>
          <a:ext cx="878840" cy="1183640"/>
        </a:xfrm>
        <a:prstGeom prst="rect">
          <a:avLst/>
        </a:prstGeom>
      </xdr:spPr>
    </xdr:pic>
    <xdr:clientData/>
  </xdr:twoCellAnchor>
  <xdr:twoCellAnchor>
    <xdr:from>
      <xdr:col>9</xdr:col>
      <xdr:colOff>6350</xdr:colOff>
      <xdr:row>4313</xdr:row>
      <xdr:rowOff>25400</xdr:rowOff>
    </xdr:from>
    <xdr:to>
      <xdr:col>9</xdr:col>
      <xdr:colOff>885190</xdr:colOff>
      <xdr:row>4313</xdr:row>
      <xdr:rowOff>1209040</xdr:rowOff>
    </xdr:to>
    <xdr:pic>
      <xdr:nvPicPr>
        <xdr:cNvPr id="8629" name="Изображение 8628" descr="resizeПП-00243343"/>
        <xdr:cNvPicPr>
          <a:picLocks noChangeAspect="1"/>
        </xdr:cNvPicPr>
      </xdr:nvPicPr>
      <xdr:blipFill>
        <a:blip xmlns:r="http://schemas.openxmlformats.org/officeDocument/2006/relationships" r:embed="rId3267"/>
        <a:stretch>
          <a:fillRect/>
        </a:stretch>
      </xdr:blipFill>
      <xdr:spPr>
        <a:xfrm>
          <a:off x="7235825" y="4321965575"/>
          <a:ext cx="878840" cy="1183640"/>
        </a:xfrm>
        <a:prstGeom prst="rect">
          <a:avLst/>
        </a:prstGeom>
      </xdr:spPr>
    </xdr:pic>
    <xdr:clientData/>
  </xdr:twoCellAnchor>
  <xdr:twoCellAnchor>
    <xdr:from>
      <xdr:col>9</xdr:col>
      <xdr:colOff>6350</xdr:colOff>
      <xdr:row>4315</xdr:row>
      <xdr:rowOff>25400</xdr:rowOff>
    </xdr:from>
    <xdr:to>
      <xdr:col>9</xdr:col>
      <xdr:colOff>885190</xdr:colOff>
      <xdr:row>4315</xdr:row>
      <xdr:rowOff>1209040</xdr:rowOff>
    </xdr:to>
    <xdr:pic>
      <xdr:nvPicPr>
        <xdr:cNvPr id="8630" name="Изображение 8629" descr="resizeПП-00263270"/>
        <xdr:cNvPicPr>
          <a:picLocks noChangeAspect="1"/>
        </xdr:cNvPicPr>
      </xdr:nvPicPr>
      <xdr:blipFill>
        <a:blip xmlns:r="http://schemas.openxmlformats.org/officeDocument/2006/relationships" r:embed="rId3268"/>
        <a:stretch>
          <a:fillRect/>
        </a:stretch>
      </xdr:blipFill>
      <xdr:spPr>
        <a:xfrm>
          <a:off x="7235825" y="4323340350"/>
          <a:ext cx="878840" cy="1183640"/>
        </a:xfrm>
        <a:prstGeom prst="rect">
          <a:avLst/>
        </a:prstGeom>
      </xdr:spPr>
    </xdr:pic>
    <xdr:clientData/>
  </xdr:twoCellAnchor>
  <xdr:twoCellAnchor>
    <xdr:from>
      <xdr:col>9</xdr:col>
      <xdr:colOff>6350</xdr:colOff>
      <xdr:row>4316</xdr:row>
      <xdr:rowOff>25400</xdr:rowOff>
    </xdr:from>
    <xdr:to>
      <xdr:col>9</xdr:col>
      <xdr:colOff>885190</xdr:colOff>
      <xdr:row>4316</xdr:row>
      <xdr:rowOff>1209040</xdr:rowOff>
    </xdr:to>
    <xdr:pic>
      <xdr:nvPicPr>
        <xdr:cNvPr id="8631" name="Изображение 8630" descr="resizeПП-00263271"/>
        <xdr:cNvPicPr>
          <a:picLocks noChangeAspect="1"/>
        </xdr:cNvPicPr>
      </xdr:nvPicPr>
      <xdr:blipFill>
        <a:blip xmlns:r="http://schemas.openxmlformats.org/officeDocument/2006/relationships" r:embed="rId3269"/>
        <a:stretch>
          <a:fillRect/>
        </a:stretch>
      </xdr:blipFill>
      <xdr:spPr>
        <a:xfrm>
          <a:off x="7235825" y="4324562725"/>
          <a:ext cx="878840" cy="1183640"/>
        </a:xfrm>
        <a:prstGeom prst="rect">
          <a:avLst/>
        </a:prstGeom>
      </xdr:spPr>
    </xdr:pic>
    <xdr:clientData/>
  </xdr:twoCellAnchor>
  <xdr:twoCellAnchor>
    <xdr:from>
      <xdr:col>9</xdr:col>
      <xdr:colOff>6350</xdr:colOff>
      <xdr:row>4318</xdr:row>
      <xdr:rowOff>25400</xdr:rowOff>
    </xdr:from>
    <xdr:to>
      <xdr:col>9</xdr:col>
      <xdr:colOff>885190</xdr:colOff>
      <xdr:row>4318</xdr:row>
      <xdr:rowOff>1209040</xdr:rowOff>
    </xdr:to>
    <xdr:pic>
      <xdr:nvPicPr>
        <xdr:cNvPr id="8632" name="Изображение 8631" descr="resizeПП-00263269"/>
        <xdr:cNvPicPr>
          <a:picLocks noChangeAspect="1"/>
        </xdr:cNvPicPr>
      </xdr:nvPicPr>
      <xdr:blipFill>
        <a:blip xmlns:r="http://schemas.openxmlformats.org/officeDocument/2006/relationships" r:embed="rId3270"/>
        <a:stretch>
          <a:fillRect/>
        </a:stretch>
      </xdr:blipFill>
      <xdr:spPr>
        <a:xfrm>
          <a:off x="7235825" y="4325937500"/>
          <a:ext cx="878840" cy="1183640"/>
        </a:xfrm>
        <a:prstGeom prst="rect">
          <a:avLst/>
        </a:prstGeom>
      </xdr:spPr>
    </xdr:pic>
    <xdr:clientData/>
  </xdr:twoCellAnchor>
  <xdr:twoCellAnchor>
    <xdr:from>
      <xdr:col>9</xdr:col>
      <xdr:colOff>6350</xdr:colOff>
      <xdr:row>4319</xdr:row>
      <xdr:rowOff>25400</xdr:rowOff>
    </xdr:from>
    <xdr:to>
      <xdr:col>9</xdr:col>
      <xdr:colOff>885190</xdr:colOff>
      <xdr:row>4319</xdr:row>
      <xdr:rowOff>1209040</xdr:rowOff>
    </xdr:to>
    <xdr:pic>
      <xdr:nvPicPr>
        <xdr:cNvPr id="8633" name="Изображение 8632" descr="resizeПП-00263268"/>
        <xdr:cNvPicPr>
          <a:picLocks noChangeAspect="1"/>
        </xdr:cNvPicPr>
      </xdr:nvPicPr>
      <xdr:blipFill>
        <a:blip xmlns:r="http://schemas.openxmlformats.org/officeDocument/2006/relationships" r:embed="rId3271"/>
        <a:stretch>
          <a:fillRect/>
        </a:stretch>
      </xdr:blipFill>
      <xdr:spPr>
        <a:xfrm>
          <a:off x="7235825" y="4327159875"/>
          <a:ext cx="878840" cy="1183640"/>
        </a:xfrm>
        <a:prstGeom prst="rect">
          <a:avLst/>
        </a:prstGeom>
      </xdr:spPr>
    </xdr:pic>
    <xdr:clientData/>
  </xdr:twoCellAnchor>
  <xdr:twoCellAnchor>
    <xdr:from>
      <xdr:col>9</xdr:col>
      <xdr:colOff>6350</xdr:colOff>
      <xdr:row>4328</xdr:row>
      <xdr:rowOff>25400</xdr:rowOff>
    </xdr:from>
    <xdr:to>
      <xdr:col>9</xdr:col>
      <xdr:colOff>885190</xdr:colOff>
      <xdr:row>4328</xdr:row>
      <xdr:rowOff>1209040</xdr:rowOff>
    </xdr:to>
    <xdr:pic>
      <xdr:nvPicPr>
        <xdr:cNvPr id="8634" name="Изображение 8633" descr="resizeПП-00204395"/>
        <xdr:cNvPicPr>
          <a:picLocks noChangeAspect="1"/>
        </xdr:cNvPicPr>
      </xdr:nvPicPr>
      <xdr:blipFill>
        <a:blip xmlns:r="http://schemas.openxmlformats.org/officeDocument/2006/relationships" r:embed="rId3272"/>
        <a:stretch>
          <a:fillRect/>
        </a:stretch>
      </xdr:blipFill>
      <xdr:spPr>
        <a:xfrm>
          <a:off x="7235825" y="4330668250"/>
          <a:ext cx="878840" cy="1183640"/>
        </a:xfrm>
        <a:prstGeom prst="rect">
          <a:avLst/>
        </a:prstGeom>
      </xdr:spPr>
    </xdr:pic>
    <xdr:clientData/>
  </xdr:twoCellAnchor>
  <xdr:twoCellAnchor>
    <xdr:from>
      <xdr:col>9</xdr:col>
      <xdr:colOff>6350</xdr:colOff>
      <xdr:row>4329</xdr:row>
      <xdr:rowOff>25400</xdr:rowOff>
    </xdr:from>
    <xdr:to>
      <xdr:col>9</xdr:col>
      <xdr:colOff>885190</xdr:colOff>
      <xdr:row>4329</xdr:row>
      <xdr:rowOff>1209040</xdr:rowOff>
    </xdr:to>
    <xdr:pic>
      <xdr:nvPicPr>
        <xdr:cNvPr id="8635" name="Изображение 8634" descr="resizeПП-00247076"/>
        <xdr:cNvPicPr>
          <a:picLocks noChangeAspect="1"/>
        </xdr:cNvPicPr>
      </xdr:nvPicPr>
      <xdr:blipFill>
        <a:blip xmlns:r="http://schemas.openxmlformats.org/officeDocument/2006/relationships" r:embed="rId3273"/>
        <a:stretch>
          <a:fillRect/>
        </a:stretch>
      </xdr:blipFill>
      <xdr:spPr>
        <a:xfrm>
          <a:off x="7235825" y="4331890625"/>
          <a:ext cx="878840" cy="1183640"/>
        </a:xfrm>
        <a:prstGeom prst="rect">
          <a:avLst/>
        </a:prstGeom>
      </xdr:spPr>
    </xdr:pic>
    <xdr:clientData/>
  </xdr:twoCellAnchor>
  <xdr:twoCellAnchor>
    <xdr:from>
      <xdr:col>9</xdr:col>
      <xdr:colOff>6350</xdr:colOff>
      <xdr:row>4330</xdr:row>
      <xdr:rowOff>25400</xdr:rowOff>
    </xdr:from>
    <xdr:to>
      <xdr:col>9</xdr:col>
      <xdr:colOff>885190</xdr:colOff>
      <xdr:row>4330</xdr:row>
      <xdr:rowOff>1209040</xdr:rowOff>
    </xdr:to>
    <xdr:pic>
      <xdr:nvPicPr>
        <xdr:cNvPr id="8636" name="Изображение 8635" descr="resizeПП-00196994"/>
        <xdr:cNvPicPr>
          <a:picLocks noChangeAspect="1"/>
        </xdr:cNvPicPr>
      </xdr:nvPicPr>
      <xdr:blipFill>
        <a:blip xmlns:r="http://schemas.openxmlformats.org/officeDocument/2006/relationships" r:embed="rId3274"/>
        <a:stretch>
          <a:fillRect/>
        </a:stretch>
      </xdr:blipFill>
      <xdr:spPr>
        <a:xfrm>
          <a:off x="7235825" y="4333113000"/>
          <a:ext cx="878840" cy="1183640"/>
        </a:xfrm>
        <a:prstGeom prst="rect">
          <a:avLst/>
        </a:prstGeom>
      </xdr:spPr>
    </xdr:pic>
    <xdr:clientData/>
  </xdr:twoCellAnchor>
  <xdr:twoCellAnchor>
    <xdr:from>
      <xdr:col>9</xdr:col>
      <xdr:colOff>6350</xdr:colOff>
      <xdr:row>4332</xdr:row>
      <xdr:rowOff>25400</xdr:rowOff>
    </xdr:from>
    <xdr:to>
      <xdr:col>9</xdr:col>
      <xdr:colOff>885190</xdr:colOff>
      <xdr:row>4332</xdr:row>
      <xdr:rowOff>1209040</xdr:rowOff>
    </xdr:to>
    <xdr:pic>
      <xdr:nvPicPr>
        <xdr:cNvPr id="8637" name="Изображение 8636" descr="resizeПП-00256577"/>
        <xdr:cNvPicPr>
          <a:picLocks noChangeAspect="1"/>
        </xdr:cNvPicPr>
      </xdr:nvPicPr>
      <xdr:blipFill>
        <a:blip xmlns:r="http://schemas.openxmlformats.org/officeDocument/2006/relationships" r:embed="rId3275"/>
        <a:stretch>
          <a:fillRect/>
        </a:stretch>
      </xdr:blipFill>
      <xdr:spPr>
        <a:xfrm>
          <a:off x="7235825" y="4334487775"/>
          <a:ext cx="878840" cy="1183640"/>
        </a:xfrm>
        <a:prstGeom prst="rect">
          <a:avLst/>
        </a:prstGeom>
      </xdr:spPr>
    </xdr:pic>
    <xdr:clientData/>
  </xdr:twoCellAnchor>
  <xdr:twoCellAnchor>
    <xdr:from>
      <xdr:col>9</xdr:col>
      <xdr:colOff>6350</xdr:colOff>
      <xdr:row>4333</xdr:row>
      <xdr:rowOff>25400</xdr:rowOff>
    </xdr:from>
    <xdr:to>
      <xdr:col>9</xdr:col>
      <xdr:colOff>885190</xdr:colOff>
      <xdr:row>4333</xdr:row>
      <xdr:rowOff>1209040</xdr:rowOff>
    </xdr:to>
    <xdr:pic>
      <xdr:nvPicPr>
        <xdr:cNvPr id="8638" name="Изображение 8637" descr="resizeПП-00174915"/>
        <xdr:cNvPicPr>
          <a:picLocks noChangeAspect="1"/>
        </xdr:cNvPicPr>
      </xdr:nvPicPr>
      <xdr:blipFill>
        <a:blip xmlns:r="http://schemas.openxmlformats.org/officeDocument/2006/relationships" r:embed="rId3276"/>
        <a:stretch>
          <a:fillRect/>
        </a:stretch>
      </xdr:blipFill>
      <xdr:spPr>
        <a:xfrm>
          <a:off x="7235825" y="4335710150"/>
          <a:ext cx="878840" cy="1183640"/>
        </a:xfrm>
        <a:prstGeom prst="rect">
          <a:avLst/>
        </a:prstGeom>
      </xdr:spPr>
    </xdr:pic>
    <xdr:clientData/>
  </xdr:twoCellAnchor>
  <xdr:twoCellAnchor>
    <xdr:from>
      <xdr:col>9</xdr:col>
      <xdr:colOff>6350</xdr:colOff>
      <xdr:row>4334</xdr:row>
      <xdr:rowOff>25400</xdr:rowOff>
    </xdr:from>
    <xdr:to>
      <xdr:col>9</xdr:col>
      <xdr:colOff>885190</xdr:colOff>
      <xdr:row>4334</xdr:row>
      <xdr:rowOff>1209040</xdr:rowOff>
    </xdr:to>
    <xdr:pic>
      <xdr:nvPicPr>
        <xdr:cNvPr id="8639" name="Изображение 8638" descr="resizeПП-00281619"/>
        <xdr:cNvPicPr>
          <a:picLocks noChangeAspect="1"/>
        </xdr:cNvPicPr>
      </xdr:nvPicPr>
      <xdr:blipFill>
        <a:blip xmlns:r="http://schemas.openxmlformats.org/officeDocument/2006/relationships" r:embed="rId3277"/>
        <a:stretch>
          <a:fillRect/>
        </a:stretch>
      </xdr:blipFill>
      <xdr:spPr>
        <a:xfrm>
          <a:off x="7235825" y="4336932525"/>
          <a:ext cx="878840" cy="1183640"/>
        </a:xfrm>
        <a:prstGeom prst="rect">
          <a:avLst/>
        </a:prstGeom>
      </xdr:spPr>
    </xdr:pic>
    <xdr:clientData/>
  </xdr:twoCellAnchor>
  <xdr:twoCellAnchor>
    <xdr:from>
      <xdr:col>9</xdr:col>
      <xdr:colOff>6350</xdr:colOff>
      <xdr:row>4335</xdr:row>
      <xdr:rowOff>25400</xdr:rowOff>
    </xdr:from>
    <xdr:to>
      <xdr:col>9</xdr:col>
      <xdr:colOff>885190</xdr:colOff>
      <xdr:row>4335</xdr:row>
      <xdr:rowOff>1209040</xdr:rowOff>
    </xdr:to>
    <xdr:pic>
      <xdr:nvPicPr>
        <xdr:cNvPr id="8640" name="Изображение 8639" descr="resizeПП-00268495"/>
        <xdr:cNvPicPr>
          <a:picLocks noChangeAspect="1"/>
        </xdr:cNvPicPr>
      </xdr:nvPicPr>
      <xdr:blipFill>
        <a:blip xmlns:r="http://schemas.openxmlformats.org/officeDocument/2006/relationships" r:embed="rId3278"/>
        <a:stretch>
          <a:fillRect/>
        </a:stretch>
      </xdr:blipFill>
      <xdr:spPr>
        <a:xfrm>
          <a:off x="7235825" y="4338154900"/>
          <a:ext cx="878840" cy="1183640"/>
        </a:xfrm>
        <a:prstGeom prst="rect">
          <a:avLst/>
        </a:prstGeom>
      </xdr:spPr>
    </xdr:pic>
    <xdr:clientData/>
  </xdr:twoCellAnchor>
  <xdr:twoCellAnchor>
    <xdr:from>
      <xdr:col>9</xdr:col>
      <xdr:colOff>6350</xdr:colOff>
      <xdr:row>4336</xdr:row>
      <xdr:rowOff>25400</xdr:rowOff>
    </xdr:from>
    <xdr:to>
      <xdr:col>9</xdr:col>
      <xdr:colOff>885190</xdr:colOff>
      <xdr:row>4336</xdr:row>
      <xdr:rowOff>1209040</xdr:rowOff>
    </xdr:to>
    <xdr:pic>
      <xdr:nvPicPr>
        <xdr:cNvPr id="8641" name="Изображение 8640" descr="resizeПП-00256578"/>
        <xdr:cNvPicPr>
          <a:picLocks noChangeAspect="1"/>
        </xdr:cNvPicPr>
      </xdr:nvPicPr>
      <xdr:blipFill>
        <a:blip xmlns:r="http://schemas.openxmlformats.org/officeDocument/2006/relationships" r:embed="rId3279"/>
        <a:stretch>
          <a:fillRect/>
        </a:stretch>
      </xdr:blipFill>
      <xdr:spPr>
        <a:xfrm>
          <a:off x="7235825" y="4339377275"/>
          <a:ext cx="878840" cy="1183640"/>
        </a:xfrm>
        <a:prstGeom prst="rect">
          <a:avLst/>
        </a:prstGeom>
      </xdr:spPr>
    </xdr:pic>
    <xdr:clientData/>
  </xdr:twoCellAnchor>
  <xdr:twoCellAnchor>
    <xdr:from>
      <xdr:col>9</xdr:col>
      <xdr:colOff>6350</xdr:colOff>
      <xdr:row>4337</xdr:row>
      <xdr:rowOff>25400</xdr:rowOff>
    </xdr:from>
    <xdr:to>
      <xdr:col>9</xdr:col>
      <xdr:colOff>885190</xdr:colOff>
      <xdr:row>4337</xdr:row>
      <xdr:rowOff>1209040</xdr:rowOff>
    </xdr:to>
    <xdr:pic>
      <xdr:nvPicPr>
        <xdr:cNvPr id="8642" name="Изображение 8641" descr="resizeПП-00197002"/>
        <xdr:cNvPicPr>
          <a:picLocks noChangeAspect="1"/>
        </xdr:cNvPicPr>
      </xdr:nvPicPr>
      <xdr:blipFill>
        <a:blip xmlns:r="http://schemas.openxmlformats.org/officeDocument/2006/relationships" r:embed="rId3280"/>
        <a:stretch>
          <a:fillRect/>
        </a:stretch>
      </xdr:blipFill>
      <xdr:spPr>
        <a:xfrm>
          <a:off x="7235825" y="4340599650"/>
          <a:ext cx="878840" cy="1183640"/>
        </a:xfrm>
        <a:prstGeom prst="rect">
          <a:avLst/>
        </a:prstGeom>
      </xdr:spPr>
    </xdr:pic>
    <xdr:clientData/>
  </xdr:twoCellAnchor>
  <xdr:twoCellAnchor>
    <xdr:from>
      <xdr:col>9</xdr:col>
      <xdr:colOff>6350</xdr:colOff>
      <xdr:row>4338</xdr:row>
      <xdr:rowOff>25400</xdr:rowOff>
    </xdr:from>
    <xdr:to>
      <xdr:col>9</xdr:col>
      <xdr:colOff>885190</xdr:colOff>
      <xdr:row>4338</xdr:row>
      <xdr:rowOff>1209040</xdr:rowOff>
    </xdr:to>
    <xdr:pic>
      <xdr:nvPicPr>
        <xdr:cNvPr id="8643" name="Изображение 8642" descr="resizeПП-00196935"/>
        <xdr:cNvPicPr>
          <a:picLocks noChangeAspect="1"/>
        </xdr:cNvPicPr>
      </xdr:nvPicPr>
      <xdr:blipFill>
        <a:blip xmlns:r="http://schemas.openxmlformats.org/officeDocument/2006/relationships" r:embed="rId3281"/>
        <a:stretch>
          <a:fillRect/>
        </a:stretch>
      </xdr:blipFill>
      <xdr:spPr>
        <a:xfrm>
          <a:off x="7235825" y="4341822025"/>
          <a:ext cx="878840" cy="1183640"/>
        </a:xfrm>
        <a:prstGeom prst="rect">
          <a:avLst/>
        </a:prstGeom>
      </xdr:spPr>
    </xdr:pic>
    <xdr:clientData/>
  </xdr:twoCellAnchor>
  <xdr:twoCellAnchor>
    <xdr:from>
      <xdr:col>9</xdr:col>
      <xdr:colOff>6350</xdr:colOff>
      <xdr:row>4339</xdr:row>
      <xdr:rowOff>25400</xdr:rowOff>
    </xdr:from>
    <xdr:to>
      <xdr:col>9</xdr:col>
      <xdr:colOff>885190</xdr:colOff>
      <xdr:row>4339</xdr:row>
      <xdr:rowOff>1209040</xdr:rowOff>
    </xdr:to>
    <xdr:pic>
      <xdr:nvPicPr>
        <xdr:cNvPr id="8644" name="Изображение 8643" descr="resizeПП-00273212"/>
        <xdr:cNvPicPr>
          <a:picLocks noChangeAspect="1"/>
        </xdr:cNvPicPr>
      </xdr:nvPicPr>
      <xdr:blipFill>
        <a:blip xmlns:r="http://schemas.openxmlformats.org/officeDocument/2006/relationships" r:embed="rId3282"/>
        <a:stretch>
          <a:fillRect/>
        </a:stretch>
      </xdr:blipFill>
      <xdr:spPr>
        <a:xfrm>
          <a:off x="7235825" y="4343044400"/>
          <a:ext cx="878840" cy="1183640"/>
        </a:xfrm>
        <a:prstGeom prst="rect">
          <a:avLst/>
        </a:prstGeom>
      </xdr:spPr>
    </xdr:pic>
    <xdr:clientData/>
  </xdr:twoCellAnchor>
  <xdr:twoCellAnchor>
    <xdr:from>
      <xdr:col>9</xdr:col>
      <xdr:colOff>6350</xdr:colOff>
      <xdr:row>4340</xdr:row>
      <xdr:rowOff>25400</xdr:rowOff>
    </xdr:from>
    <xdr:to>
      <xdr:col>9</xdr:col>
      <xdr:colOff>885190</xdr:colOff>
      <xdr:row>4340</xdr:row>
      <xdr:rowOff>1209040</xdr:rowOff>
    </xdr:to>
    <xdr:pic>
      <xdr:nvPicPr>
        <xdr:cNvPr id="8645" name="Изображение 8644" descr="resizeПП-00256582"/>
        <xdr:cNvPicPr>
          <a:picLocks noChangeAspect="1"/>
        </xdr:cNvPicPr>
      </xdr:nvPicPr>
      <xdr:blipFill>
        <a:blip xmlns:r="http://schemas.openxmlformats.org/officeDocument/2006/relationships" r:embed="rId3283"/>
        <a:stretch>
          <a:fillRect/>
        </a:stretch>
      </xdr:blipFill>
      <xdr:spPr>
        <a:xfrm>
          <a:off x="7235825" y="4344266775"/>
          <a:ext cx="878840" cy="1183640"/>
        </a:xfrm>
        <a:prstGeom prst="rect">
          <a:avLst/>
        </a:prstGeom>
      </xdr:spPr>
    </xdr:pic>
    <xdr:clientData/>
  </xdr:twoCellAnchor>
  <xdr:twoCellAnchor>
    <xdr:from>
      <xdr:col>9</xdr:col>
      <xdr:colOff>6350</xdr:colOff>
      <xdr:row>4341</xdr:row>
      <xdr:rowOff>25400</xdr:rowOff>
    </xdr:from>
    <xdr:to>
      <xdr:col>9</xdr:col>
      <xdr:colOff>885190</xdr:colOff>
      <xdr:row>4341</xdr:row>
      <xdr:rowOff>1209040</xdr:rowOff>
    </xdr:to>
    <xdr:pic>
      <xdr:nvPicPr>
        <xdr:cNvPr id="8646" name="Изображение 8645" descr="resizeПП-00268494"/>
        <xdr:cNvPicPr>
          <a:picLocks noChangeAspect="1"/>
        </xdr:cNvPicPr>
      </xdr:nvPicPr>
      <xdr:blipFill>
        <a:blip xmlns:r="http://schemas.openxmlformats.org/officeDocument/2006/relationships" r:embed="rId3284"/>
        <a:stretch>
          <a:fillRect/>
        </a:stretch>
      </xdr:blipFill>
      <xdr:spPr>
        <a:xfrm>
          <a:off x="7235825" y="4345489150"/>
          <a:ext cx="878840" cy="1183640"/>
        </a:xfrm>
        <a:prstGeom prst="rect">
          <a:avLst/>
        </a:prstGeom>
      </xdr:spPr>
    </xdr:pic>
    <xdr:clientData/>
  </xdr:twoCellAnchor>
  <xdr:twoCellAnchor>
    <xdr:from>
      <xdr:col>9</xdr:col>
      <xdr:colOff>6350</xdr:colOff>
      <xdr:row>4342</xdr:row>
      <xdr:rowOff>25400</xdr:rowOff>
    </xdr:from>
    <xdr:to>
      <xdr:col>9</xdr:col>
      <xdr:colOff>885190</xdr:colOff>
      <xdr:row>4342</xdr:row>
      <xdr:rowOff>1209040</xdr:rowOff>
    </xdr:to>
    <xdr:pic>
      <xdr:nvPicPr>
        <xdr:cNvPr id="8647" name="Изображение 8646" descr="resizeПП-00256617"/>
        <xdr:cNvPicPr>
          <a:picLocks noChangeAspect="1"/>
        </xdr:cNvPicPr>
      </xdr:nvPicPr>
      <xdr:blipFill>
        <a:blip xmlns:r="http://schemas.openxmlformats.org/officeDocument/2006/relationships" r:embed="rId3285"/>
        <a:stretch>
          <a:fillRect/>
        </a:stretch>
      </xdr:blipFill>
      <xdr:spPr>
        <a:xfrm>
          <a:off x="7235825" y="4346711525"/>
          <a:ext cx="878840" cy="1183640"/>
        </a:xfrm>
        <a:prstGeom prst="rect">
          <a:avLst/>
        </a:prstGeom>
      </xdr:spPr>
    </xdr:pic>
    <xdr:clientData/>
  </xdr:twoCellAnchor>
  <xdr:twoCellAnchor>
    <xdr:from>
      <xdr:col>9</xdr:col>
      <xdr:colOff>6350</xdr:colOff>
      <xdr:row>4343</xdr:row>
      <xdr:rowOff>25400</xdr:rowOff>
    </xdr:from>
    <xdr:to>
      <xdr:col>9</xdr:col>
      <xdr:colOff>885190</xdr:colOff>
      <xdr:row>4343</xdr:row>
      <xdr:rowOff>1209040</xdr:rowOff>
    </xdr:to>
    <xdr:pic>
      <xdr:nvPicPr>
        <xdr:cNvPr id="8648" name="Изображение 8647" descr="resizeПП-00256580"/>
        <xdr:cNvPicPr>
          <a:picLocks noChangeAspect="1"/>
        </xdr:cNvPicPr>
      </xdr:nvPicPr>
      <xdr:blipFill>
        <a:blip xmlns:r="http://schemas.openxmlformats.org/officeDocument/2006/relationships" r:embed="rId3286"/>
        <a:stretch>
          <a:fillRect/>
        </a:stretch>
      </xdr:blipFill>
      <xdr:spPr>
        <a:xfrm>
          <a:off x="7235825" y="4347933900"/>
          <a:ext cx="878840" cy="1183640"/>
        </a:xfrm>
        <a:prstGeom prst="rect">
          <a:avLst/>
        </a:prstGeom>
      </xdr:spPr>
    </xdr:pic>
    <xdr:clientData/>
  </xdr:twoCellAnchor>
  <xdr:twoCellAnchor>
    <xdr:from>
      <xdr:col>9</xdr:col>
      <xdr:colOff>6350</xdr:colOff>
      <xdr:row>4344</xdr:row>
      <xdr:rowOff>25400</xdr:rowOff>
    </xdr:from>
    <xdr:to>
      <xdr:col>9</xdr:col>
      <xdr:colOff>885190</xdr:colOff>
      <xdr:row>4344</xdr:row>
      <xdr:rowOff>1209040</xdr:rowOff>
    </xdr:to>
    <xdr:pic>
      <xdr:nvPicPr>
        <xdr:cNvPr id="8649" name="Изображение 8648" descr="resizeПП-00207239"/>
        <xdr:cNvPicPr>
          <a:picLocks noChangeAspect="1"/>
        </xdr:cNvPicPr>
      </xdr:nvPicPr>
      <xdr:blipFill>
        <a:blip xmlns:r="http://schemas.openxmlformats.org/officeDocument/2006/relationships" r:embed="rId3287"/>
        <a:stretch>
          <a:fillRect/>
        </a:stretch>
      </xdr:blipFill>
      <xdr:spPr>
        <a:xfrm>
          <a:off x="7235825" y="4349156275"/>
          <a:ext cx="878840" cy="1183640"/>
        </a:xfrm>
        <a:prstGeom prst="rect">
          <a:avLst/>
        </a:prstGeom>
      </xdr:spPr>
    </xdr:pic>
    <xdr:clientData/>
  </xdr:twoCellAnchor>
  <xdr:twoCellAnchor>
    <xdr:from>
      <xdr:col>9</xdr:col>
      <xdr:colOff>6350</xdr:colOff>
      <xdr:row>4345</xdr:row>
      <xdr:rowOff>25400</xdr:rowOff>
    </xdr:from>
    <xdr:to>
      <xdr:col>9</xdr:col>
      <xdr:colOff>885190</xdr:colOff>
      <xdr:row>4345</xdr:row>
      <xdr:rowOff>1209040</xdr:rowOff>
    </xdr:to>
    <xdr:pic>
      <xdr:nvPicPr>
        <xdr:cNvPr id="8650" name="Изображение 8649" descr="resizeПП-00206494"/>
        <xdr:cNvPicPr>
          <a:picLocks noChangeAspect="1"/>
        </xdr:cNvPicPr>
      </xdr:nvPicPr>
      <xdr:blipFill>
        <a:blip xmlns:r="http://schemas.openxmlformats.org/officeDocument/2006/relationships" r:embed="rId3288"/>
        <a:stretch>
          <a:fillRect/>
        </a:stretch>
      </xdr:blipFill>
      <xdr:spPr>
        <a:xfrm>
          <a:off x="7235825" y="4350378650"/>
          <a:ext cx="878840" cy="1183640"/>
        </a:xfrm>
        <a:prstGeom prst="rect">
          <a:avLst/>
        </a:prstGeom>
      </xdr:spPr>
    </xdr:pic>
    <xdr:clientData/>
  </xdr:twoCellAnchor>
  <xdr:twoCellAnchor>
    <xdr:from>
      <xdr:col>9</xdr:col>
      <xdr:colOff>6350</xdr:colOff>
      <xdr:row>4346</xdr:row>
      <xdr:rowOff>25400</xdr:rowOff>
    </xdr:from>
    <xdr:to>
      <xdr:col>9</xdr:col>
      <xdr:colOff>885190</xdr:colOff>
      <xdr:row>4346</xdr:row>
      <xdr:rowOff>1209040</xdr:rowOff>
    </xdr:to>
    <xdr:pic>
      <xdr:nvPicPr>
        <xdr:cNvPr id="8651" name="Изображение 8650" descr="resizeПП-00273211"/>
        <xdr:cNvPicPr>
          <a:picLocks noChangeAspect="1"/>
        </xdr:cNvPicPr>
      </xdr:nvPicPr>
      <xdr:blipFill>
        <a:blip xmlns:r="http://schemas.openxmlformats.org/officeDocument/2006/relationships" r:embed="rId3289"/>
        <a:stretch>
          <a:fillRect/>
        </a:stretch>
      </xdr:blipFill>
      <xdr:spPr>
        <a:xfrm>
          <a:off x="7235825" y="4351601025"/>
          <a:ext cx="878840" cy="1183640"/>
        </a:xfrm>
        <a:prstGeom prst="rect">
          <a:avLst/>
        </a:prstGeom>
      </xdr:spPr>
    </xdr:pic>
    <xdr:clientData/>
  </xdr:twoCellAnchor>
  <xdr:twoCellAnchor>
    <xdr:from>
      <xdr:col>9</xdr:col>
      <xdr:colOff>6350</xdr:colOff>
      <xdr:row>4347</xdr:row>
      <xdr:rowOff>25400</xdr:rowOff>
    </xdr:from>
    <xdr:to>
      <xdr:col>9</xdr:col>
      <xdr:colOff>885190</xdr:colOff>
      <xdr:row>4347</xdr:row>
      <xdr:rowOff>1209040</xdr:rowOff>
    </xdr:to>
    <xdr:pic>
      <xdr:nvPicPr>
        <xdr:cNvPr id="8652" name="Изображение 8651" descr="resizeПП-00197006"/>
        <xdr:cNvPicPr>
          <a:picLocks noChangeAspect="1"/>
        </xdr:cNvPicPr>
      </xdr:nvPicPr>
      <xdr:blipFill>
        <a:blip xmlns:r="http://schemas.openxmlformats.org/officeDocument/2006/relationships" r:embed="rId3290"/>
        <a:stretch>
          <a:fillRect/>
        </a:stretch>
      </xdr:blipFill>
      <xdr:spPr>
        <a:xfrm>
          <a:off x="7235825" y="4352823400"/>
          <a:ext cx="878840" cy="1183640"/>
        </a:xfrm>
        <a:prstGeom prst="rect">
          <a:avLst/>
        </a:prstGeom>
      </xdr:spPr>
    </xdr:pic>
    <xdr:clientData/>
  </xdr:twoCellAnchor>
  <xdr:twoCellAnchor>
    <xdr:from>
      <xdr:col>9</xdr:col>
      <xdr:colOff>6350</xdr:colOff>
      <xdr:row>4348</xdr:row>
      <xdr:rowOff>25400</xdr:rowOff>
    </xdr:from>
    <xdr:to>
      <xdr:col>9</xdr:col>
      <xdr:colOff>885190</xdr:colOff>
      <xdr:row>4348</xdr:row>
      <xdr:rowOff>1209040</xdr:rowOff>
    </xdr:to>
    <xdr:pic>
      <xdr:nvPicPr>
        <xdr:cNvPr id="8653" name="Изображение 8652" descr="resizeПП-00273210"/>
        <xdr:cNvPicPr>
          <a:picLocks noChangeAspect="1"/>
        </xdr:cNvPicPr>
      </xdr:nvPicPr>
      <xdr:blipFill>
        <a:blip xmlns:r="http://schemas.openxmlformats.org/officeDocument/2006/relationships" r:embed="rId3291"/>
        <a:stretch>
          <a:fillRect/>
        </a:stretch>
      </xdr:blipFill>
      <xdr:spPr>
        <a:xfrm>
          <a:off x="7235825" y="4354045775"/>
          <a:ext cx="878840" cy="1183640"/>
        </a:xfrm>
        <a:prstGeom prst="rect">
          <a:avLst/>
        </a:prstGeom>
      </xdr:spPr>
    </xdr:pic>
    <xdr:clientData/>
  </xdr:twoCellAnchor>
  <xdr:twoCellAnchor>
    <xdr:from>
      <xdr:col>9</xdr:col>
      <xdr:colOff>6350</xdr:colOff>
      <xdr:row>4349</xdr:row>
      <xdr:rowOff>25400</xdr:rowOff>
    </xdr:from>
    <xdr:to>
      <xdr:col>9</xdr:col>
      <xdr:colOff>885190</xdr:colOff>
      <xdr:row>4349</xdr:row>
      <xdr:rowOff>1209040</xdr:rowOff>
    </xdr:to>
    <xdr:pic>
      <xdr:nvPicPr>
        <xdr:cNvPr id="8654" name="Изображение 8653" descr="resizeПП-00206496"/>
        <xdr:cNvPicPr>
          <a:picLocks noChangeAspect="1"/>
        </xdr:cNvPicPr>
      </xdr:nvPicPr>
      <xdr:blipFill>
        <a:blip xmlns:r="http://schemas.openxmlformats.org/officeDocument/2006/relationships" r:embed="rId3292"/>
        <a:stretch>
          <a:fillRect/>
        </a:stretch>
      </xdr:blipFill>
      <xdr:spPr>
        <a:xfrm>
          <a:off x="7235825" y="4355268150"/>
          <a:ext cx="878840" cy="1183640"/>
        </a:xfrm>
        <a:prstGeom prst="rect">
          <a:avLst/>
        </a:prstGeom>
      </xdr:spPr>
    </xdr:pic>
    <xdr:clientData/>
  </xdr:twoCellAnchor>
  <xdr:twoCellAnchor>
    <xdr:from>
      <xdr:col>9</xdr:col>
      <xdr:colOff>6350</xdr:colOff>
      <xdr:row>4350</xdr:row>
      <xdr:rowOff>25400</xdr:rowOff>
    </xdr:from>
    <xdr:to>
      <xdr:col>9</xdr:col>
      <xdr:colOff>885190</xdr:colOff>
      <xdr:row>4350</xdr:row>
      <xdr:rowOff>1209040</xdr:rowOff>
    </xdr:to>
    <xdr:pic>
      <xdr:nvPicPr>
        <xdr:cNvPr id="8655" name="Изображение 8654" descr="resizeПП-00184883"/>
        <xdr:cNvPicPr>
          <a:picLocks noChangeAspect="1"/>
        </xdr:cNvPicPr>
      </xdr:nvPicPr>
      <xdr:blipFill>
        <a:blip xmlns:r="http://schemas.openxmlformats.org/officeDocument/2006/relationships" r:embed="rId3293"/>
        <a:stretch>
          <a:fillRect/>
        </a:stretch>
      </xdr:blipFill>
      <xdr:spPr>
        <a:xfrm>
          <a:off x="7235825" y="4356490525"/>
          <a:ext cx="878840" cy="1183640"/>
        </a:xfrm>
        <a:prstGeom prst="rect">
          <a:avLst/>
        </a:prstGeom>
      </xdr:spPr>
    </xdr:pic>
    <xdr:clientData/>
  </xdr:twoCellAnchor>
  <xdr:twoCellAnchor>
    <xdr:from>
      <xdr:col>9</xdr:col>
      <xdr:colOff>6350</xdr:colOff>
      <xdr:row>4351</xdr:row>
      <xdr:rowOff>25400</xdr:rowOff>
    </xdr:from>
    <xdr:to>
      <xdr:col>9</xdr:col>
      <xdr:colOff>885190</xdr:colOff>
      <xdr:row>4351</xdr:row>
      <xdr:rowOff>1209040</xdr:rowOff>
    </xdr:to>
    <xdr:pic>
      <xdr:nvPicPr>
        <xdr:cNvPr id="8656" name="Изображение 8655" descr="resizeПП-00184884"/>
        <xdr:cNvPicPr>
          <a:picLocks noChangeAspect="1"/>
        </xdr:cNvPicPr>
      </xdr:nvPicPr>
      <xdr:blipFill>
        <a:blip xmlns:r="http://schemas.openxmlformats.org/officeDocument/2006/relationships" r:embed="rId3294"/>
        <a:stretch>
          <a:fillRect/>
        </a:stretch>
      </xdr:blipFill>
      <xdr:spPr>
        <a:xfrm>
          <a:off x="7235825" y="4357712900"/>
          <a:ext cx="878840" cy="1183640"/>
        </a:xfrm>
        <a:prstGeom prst="rect">
          <a:avLst/>
        </a:prstGeom>
      </xdr:spPr>
    </xdr:pic>
    <xdr:clientData/>
  </xdr:twoCellAnchor>
  <xdr:twoCellAnchor>
    <xdr:from>
      <xdr:col>9</xdr:col>
      <xdr:colOff>6350</xdr:colOff>
      <xdr:row>4354</xdr:row>
      <xdr:rowOff>25400</xdr:rowOff>
    </xdr:from>
    <xdr:to>
      <xdr:col>9</xdr:col>
      <xdr:colOff>885190</xdr:colOff>
      <xdr:row>4354</xdr:row>
      <xdr:rowOff>1209040</xdr:rowOff>
    </xdr:to>
    <xdr:pic>
      <xdr:nvPicPr>
        <xdr:cNvPr id="8657" name="Изображение 8656" descr="resizeПП-00260868"/>
        <xdr:cNvPicPr>
          <a:picLocks noChangeAspect="1"/>
        </xdr:cNvPicPr>
      </xdr:nvPicPr>
      <xdr:blipFill>
        <a:blip xmlns:r="http://schemas.openxmlformats.org/officeDocument/2006/relationships" r:embed="rId3295"/>
        <a:stretch>
          <a:fillRect/>
        </a:stretch>
      </xdr:blipFill>
      <xdr:spPr>
        <a:xfrm>
          <a:off x="7235825" y="4359240075"/>
          <a:ext cx="878840" cy="1183640"/>
        </a:xfrm>
        <a:prstGeom prst="rect">
          <a:avLst/>
        </a:prstGeom>
      </xdr:spPr>
    </xdr:pic>
    <xdr:clientData/>
  </xdr:twoCellAnchor>
  <xdr:twoCellAnchor>
    <xdr:from>
      <xdr:col>9</xdr:col>
      <xdr:colOff>6350</xdr:colOff>
      <xdr:row>4356</xdr:row>
      <xdr:rowOff>25400</xdr:rowOff>
    </xdr:from>
    <xdr:to>
      <xdr:col>9</xdr:col>
      <xdr:colOff>885190</xdr:colOff>
      <xdr:row>4356</xdr:row>
      <xdr:rowOff>1209040</xdr:rowOff>
    </xdr:to>
    <xdr:pic>
      <xdr:nvPicPr>
        <xdr:cNvPr id="8658" name="Изображение 8657" descr="resizeПП-00214851"/>
        <xdr:cNvPicPr>
          <a:picLocks noChangeAspect="1"/>
        </xdr:cNvPicPr>
      </xdr:nvPicPr>
      <xdr:blipFill>
        <a:blip xmlns:r="http://schemas.openxmlformats.org/officeDocument/2006/relationships" r:embed="rId3296"/>
        <a:stretch>
          <a:fillRect/>
        </a:stretch>
      </xdr:blipFill>
      <xdr:spPr>
        <a:xfrm>
          <a:off x="7235825" y="4360614850"/>
          <a:ext cx="878840" cy="1183640"/>
        </a:xfrm>
        <a:prstGeom prst="rect">
          <a:avLst/>
        </a:prstGeom>
      </xdr:spPr>
    </xdr:pic>
    <xdr:clientData/>
  </xdr:twoCellAnchor>
  <xdr:twoCellAnchor>
    <xdr:from>
      <xdr:col>9</xdr:col>
      <xdr:colOff>6350</xdr:colOff>
      <xdr:row>4358</xdr:row>
      <xdr:rowOff>25400</xdr:rowOff>
    </xdr:from>
    <xdr:to>
      <xdr:col>9</xdr:col>
      <xdr:colOff>885190</xdr:colOff>
      <xdr:row>4358</xdr:row>
      <xdr:rowOff>1209040</xdr:rowOff>
    </xdr:to>
    <xdr:pic>
      <xdr:nvPicPr>
        <xdr:cNvPr id="8659" name="Изображение 8658" descr="resizeПП-00152538"/>
        <xdr:cNvPicPr>
          <a:picLocks noChangeAspect="1"/>
        </xdr:cNvPicPr>
      </xdr:nvPicPr>
      <xdr:blipFill>
        <a:blip xmlns:r="http://schemas.openxmlformats.org/officeDocument/2006/relationships" r:embed="rId3297"/>
        <a:stretch>
          <a:fillRect/>
        </a:stretch>
      </xdr:blipFill>
      <xdr:spPr>
        <a:xfrm>
          <a:off x="7235825" y="4361989625"/>
          <a:ext cx="878840" cy="1183640"/>
        </a:xfrm>
        <a:prstGeom prst="rect">
          <a:avLst/>
        </a:prstGeom>
      </xdr:spPr>
    </xdr:pic>
    <xdr:clientData/>
  </xdr:twoCellAnchor>
  <xdr:twoCellAnchor>
    <xdr:from>
      <xdr:col>9</xdr:col>
      <xdr:colOff>6350</xdr:colOff>
      <xdr:row>4359</xdr:row>
      <xdr:rowOff>25400</xdr:rowOff>
    </xdr:from>
    <xdr:to>
      <xdr:col>9</xdr:col>
      <xdr:colOff>885190</xdr:colOff>
      <xdr:row>4359</xdr:row>
      <xdr:rowOff>1209040</xdr:rowOff>
    </xdr:to>
    <xdr:pic>
      <xdr:nvPicPr>
        <xdr:cNvPr id="8660" name="Изображение 8659" descr="resizeПП-00218171"/>
        <xdr:cNvPicPr>
          <a:picLocks noChangeAspect="1"/>
        </xdr:cNvPicPr>
      </xdr:nvPicPr>
      <xdr:blipFill>
        <a:blip xmlns:r="http://schemas.openxmlformats.org/officeDocument/2006/relationships" r:embed="rId3298"/>
        <a:stretch>
          <a:fillRect/>
        </a:stretch>
      </xdr:blipFill>
      <xdr:spPr>
        <a:xfrm>
          <a:off x="7235825" y="4363212000"/>
          <a:ext cx="878840" cy="1183640"/>
        </a:xfrm>
        <a:prstGeom prst="rect">
          <a:avLst/>
        </a:prstGeom>
      </xdr:spPr>
    </xdr:pic>
    <xdr:clientData/>
  </xdr:twoCellAnchor>
  <xdr:twoCellAnchor>
    <xdr:from>
      <xdr:col>9</xdr:col>
      <xdr:colOff>6350</xdr:colOff>
      <xdr:row>4361</xdr:row>
      <xdr:rowOff>25400</xdr:rowOff>
    </xdr:from>
    <xdr:to>
      <xdr:col>9</xdr:col>
      <xdr:colOff>885190</xdr:colOff>
      <xdr:row>4361</xdr:row>
      <xdr:rowOff>1209040</xdr:rowOff>
    </xdr:to>
    <xdr:pic>
      <xdr:nvPicPr>
        <xdr:cNvPr id="8661" name="Изображение 8660" descr="resizeПП-00197084"/>
        <xdr:cNvPicPr>
          <a:picLocks noChangeAspect="1"/>
        </xdr:cNvPicPr>
      </xdr:nvPicPr>
      <xdr:blipFill>
        <a:blip xmlns:r="http://schemas.openxmlformats.org/officeDocument/2006/relationships" r:embed="rId3299"/>
        <a:stretch>
          <a:fillRect/>
        </a:stretch>
      </xdr:blipFill>
      <xdr:spPr>
        <a:xfrm>
          <a:off x="7235825" y="4364586775"/>
          <a:ext cx="878840" cy="1183640"/>
        </a:xfrm>
        <a:prstGeom prst="rect">
          <a:avLst/>
        </a:prstGeom>
      </xdr:spPr>
    </xdr:pic>
    <xdr:clientData/>
  </xdr:twoCellAnchor>
  <xdr:twoCellAnchor>
    <xdr:from>
      <xdr:col>9</xdr:col>
      <xdr:colOff>6350</xdr:colOff>
      <xdr:row>4362</xdr:row>
      <xdr:rowOff>25400</xdr:rowOff>
    </xdr:from>
    <xdr:to>
      <xdr:col>9</xdr:col>
      <xdr:colOff>885190</xdr:colOff>
      <xdr:row>4362</xdr:row>
      <xdr:rowOff>1209040</xdr:rowOff>
    </xdr:to>
    <xdr:pic>
      <xdr:nvPicPr>
        <xdr:cNvPr id="8662" name="Изображение 8661" descr="resizeПП-00185573"/>
        <xdr:cNvPicPr>
          <a:picLocks noChangeAspect="1"/>
        </xdr:cNvPicPr>
      </xdr:nvPicPr>
      <xdr:blipFill>
        <a:blip xmlns:r="http://schemas.openxmlformats.org/officeDocument/2006/relationships" r:embed="rId3300"/>
        <a:stretch>
          <a:fillRect/>
        </a:stretch>
      </xdr:blipFill>
      <xdr:spPr>
        <a:xfrm>
          <a:off x="7235825" y="4365809150"/>
          <a:ext cx="878840" cy="1183640"/>
        </a:xfrm>
        <a:prstGeom prst="rect">
          <a:avLst/>
        </a:prstGeom>
      </xdr:spPr>
    </xdr:pic>
    <xdr:clientData/>
  </xdr:twoCellAnchor>
  <xdr:twoCellAnchor>
    <xdr:from>
      <xdr:col>9</xdr:col>
      <xdr:colOff>6350</xdr:colOff>
      <xdr:row>4363</xdr:row>
      <xdr:rowOff>25400</xdr:rowOff>
    </xdr:from>
    <xdr:to>
      <xdr:col>9</xdr:col>
      <xdr:colOff>885190</xdr:colOff>
      <xdr:row>4363</xdr:row>
      <xdr:rowOff>1209040</xdr:rowOff>
    </xdr:to>
    <xdr:pic>
      <xdr:nvPicPr>
        <xdr:cNvPr id="8663" name="Изображение 8662" descr="resizeПП-00256585"/>
        <xdr:cNvPicPr>
          <a:picLocks noChangeAspect="1"/>
        </xdr:cNvPicPr>
      </xdr:nvPicPr>
      <xdr:blipFill>
        <a:blip xmlns:r="http://schemas.openxmlformats.org/officeDocument/2006/relationships" r:embed="rId3301"/>
        <a:stretch>
          <a:fillRect/>
        </a:stretch>
      </xdr:blipFill>
      <xdr:spPr>
        <a:xfrm>
          <a:off x="7235825" y="4367031525"/>
          <a:ext cx="878840" cy="1183640"/>
        </a:xfrm>
        <a:prstGeom prst="rect">
          <a:avLst/>
        </a:prstGeom>
      </xdr:spPr>
    </xdr:pic>
    <xdr:clientData/>
  </xdr:twoCellAnchor>
  <xdr:twoCellAnchor>
    <xdr:from>
      <xdr:col>9</xdr:col>
      <xdr:colOff>6350</xdr:colOff>
      <xdr:row>4364</xdr:row>
      <xdr:rowOff>25400</xdr:rowOff>
    </xdr:from>
    <xdr:to>
      <xdr:col>9</xdr:col>
      <xdr:colOff>885190</xdr:colOff>
      <xdr:row>4364</xdr:row>
      <xdr:rowOff>1209040</xdr:rowOff>
    </xdr:to>
    <xdr:pic>
      <xdr:nvPicPr>
        <xdr:cNvPr id="8664" name="Изображение 8663" descr="resizeПП-00197082"/>
        <xdr:cNvPicPr>
          <a:picLocks noChangeAspect="1"/>
        </xdr:cNvPicPr>
      </xdr:nvPicPr>
      <xdr:blipFill>
        <a:blip xmlns:r="http://schemas.openxmlformats.org/officeDocument/2006/relationships" r:embed="rId3302"/>
        <a:stretch>
          <a:fillRect/>
        </a:stretch>
      </xdr:blipFill>
      <xdr:spPr>
        <a:xfrm>
          <a:off x="7235825" y="4368253900"/>
          <a:ext cx="878840" cy="1183640"/>
        </a:xfrm>
        <a:prstGeom prst="rect">
          <a:avLst/>
        </a:prstGeom>
      </xdr:spPr>
    </xdr:pic>
    <xdr:clientData/>
  </xdr:twoCellAnchor>
  <xdr:twoCellAnchor>
    <xdr:from>
      <xdr:col>9</xdr:col>
      <xdr:colOff>6350</xdr:colOff>
      <xdr:row>4365</xdr:row>
      <xdr:rowOff>25400</xdr:rowOff>
    </xdr:from>
    <xdr:to>
      <xdr:col>9</xdr:col>
      <xdr:colOff>885190</xdr:colOff>
      <xdr:row>4365</xdr:row>
      <xdr:rowOff>1209040</xdr:rowOff>
    </xdr:to>
    <xdr:pic>
      <xdr:nvPicPr>
        <xdr:cNvPr id="8665" name="Изображение 8664" descr="resizeПП-00184898"/>
        <xdr:cNvPicPr>
          <a:picLocks noChangeAspect="1"/>
        </xdr:cNvPicPr>
      </xdr:nvPicPr>
      <xdr:blipFill>
        <a:blip xmlns:r="http://schemas.openxmlformats.org/officeDocument/2006/relationships" r:embed="rId3303"/>
        <a:stretch>
          <a:fillRect/>
        </a:stretch>
      </xdr:blipFill>
      <xdr:spPr>
        <a:xfrm>
          <a:off x="7235825" y="4369476275"/>
          <a:ext cx="878840" cy="1183640"/>
        </a:xfrm>
        <a:prstGeom prst="rect">
          <a:avLst/>
        </a:prstGeom>
      </xdr:spPr>
    </xdr:pic>
    <xdr:clientData/>
  </xdr:twoCellAnchor>
  <xdr:twoCellAnchor>
    <xdr:from>
      <xdr:col>9</xdr:col>
      <xdr:colOff>6350</xdr:colOff>
      <xdr:row>4366</xdr:row>
      <xdr:rowOff>25400</xdr:rowOff>
    </xdr:from>
    <xdr:to>
      <xdr:col>9</xdr:col>
      <xdr:colOff>885190</xdr:colOff>
      <xdr:row>4366</xdr:row>
      <xdr:rowOff>1209040</xdr:rowOff>
    </xdr:to>
    <xdr:pic>
      <xdr:nvPicPr>
        <xdr:cNvPr id="8666" name="Изображение 8665" descr="resizeПП-00184895"/>
        <xdr:cNvPicPr>
          <a:picLocks noChangeAspect="1"/>
        </xdr:cNvPicPr>
      </xdr:nvPicPr>
      <xdr:blipFill>
        <a:blip xmlns:r="http://schemas.openxmlformats.org/officeDocument/2006/relationships" r:embed="rId3304"/>
        <a:stretch>
          <a:fillRect/>
        </a:stretch>
      </xdr:blipFill>
      <xdr:spPr>
        <a:xfrm>
          <a:off x="7235825" y="4370698650"/>
          <a:ext cx="878840" cy="1183640"/>
        </a:xfrm>
        <a:prstGeom prst="rect">
          <a:avLst/>
        </a:prstGeom>
      </xdr:spPr>
    </xdr:pic>
    <xdr:clientData/>
  </xdr:twoCellAnchor>
  <xdr:twoCellAnchor>
    <xdr:from>
      <xdr:col>9</xdr:col>
      <xdr:colOff>6350</xdr:colOff>
      <xdr:row>4368</xdr:row>
      <xdr:rowOff>25400</xdr:rowOff>
    </xdr:from>
    <xdr:to>
      <xdr:col>9</xdr:col>
      <xdr:colOff>885190</xdr:colOff>
      <xdr:row>4368</xdr:row>
      <xdr:rowOff>1209040</xdr:rowOff>
    </xdr:to>
    <xdr:pic>
      <xdr:nvPicPr>
        <xdr:cNvPr id="8667" name="Изображение 8666" descr="resizeПП-00281622"/>
        <xdr:cNvPicPr>
          <a:picLocks noChangeAspect="1"/>
        </xdr:cNvPicPr>
      </xdr:nvPicPr>
      <xdr:blipFill>
        <a:blip xmlns:r="http://schemas.openxmlformats.org/officeDocument/2006/relationships" r:embed="rId3305"/>
        <a:stretch>
          <a:fillRect/>
        </a:stretch>
      </xdr:blipFill>
      <xdr:spPr>
        <a:xfrm>
          <a:off x="7235825" y="4372073425"/>
          <a:ext cx="878840" cy="1183640"/>
        </a:xfrm>
        <a:prstGeom prst="rect">
          <a:avLst/>
        </a:prstGeom>
      </xdr:spPr>
    </xdr:pic>
    <xdr:clientData/>
  </xdr:twoCellAnchor>
  <xdr:twoCellAnchor>
    <xdr:from>
      <xdr:col>9</xdr:col>
      <xdr:colOff>6350</xdr:colOff>
      <xdr:row>4369</xdr:row>
      <xdr:rowOff>25400</xdr:rowOff>
    </xdr:from>
    <xdr:to>
      <xdr:col>9</xdr:col>
      <xdr:colOff>885190</xdr:colOff>
      <xdr:row>4369</xdr:row>
      <xdr:rowOff>1209040</xdr:rowOff>
    </xdr:to>
    <xdr:pic>
      <xdr:nvPicPr>
        <xdr:cNvPr id="8668" name="Изображение 8667" descr="resizeПП-00281624"/>
        <xdr:cNvPicPr>
          <a:picLocks noChangeAspect="1"/>
        </xdr:cNvPicPr>
      </xdr:nvPicPr>
      <xdr:blipFill>
        <a:blip xmlns:r="http://schemas.openxmlformats.org/officeDocument/2006/relationships" r:embed="rId3306"/>
        <a:stretch>
          <a:fillRect/>
        </a:stretch>
      </xdr:blipFill>
      <xdr:spPr>
        <a:xfrm>
          <a:off x="7235825" y="4373295800"/>
          <a:ext cx="878840" cy="1183640"/>
        </a:xfrm>
        <a:prstGeom prst="rect">
          <a:avLst/>
        </a:prstGeom>
      </xdr:spPr>
    </xdr:pic>
    <xdr:clientData/>
  </xdr:twoCellAnchor>
  <xdr:twoCellAnchor>
    <xdr:from>
      <xdr:col>9</xdr:col>
      <xdr:colOff>6350</xdr:colOff>
      <xdr:row>4370</xdr:row>
      <xdr:rowOff>25400</xdr:rowOff>
    </xdr:from>
    <xdr:to>
      <xdr:col>9</xdr:col>
      <xdr:colOff>885190</xdr:colOff>
      <xdr:row>4370</xdr:row>
      <xdr:rowOff>1209040</xdr:rowOff>
    </xdr:to>
    <xdr:pic>
      <xdr:nvPicPr>
        <xdr:cNvPr id="8669" name="Изображение 8668" descr="resizeПП-00197087"/>
        <xdr:cNvPicPr>
          <a:picLocks noChangeAspect="1"/>
        </xdr:cNvPicPr>
      </xdr:nvPicPr>
      <xdr:blipFill>
        <a:blip xmlns:r="http://schemas.openxmlformats.org/officeDocument/2006/relationships" r:embed="rId3307"/>
        <a:stretch>
          <a:fillRect/>
        </a:stretch>
      </xdr:blipFill>
      <xdr:spPr>
        <a:xfrm>
          <a:off x="7235825" y="4374518175"/>
          <a:ext cx="878840" cy="1183640"/>
        </a:xfrm>
        <a:prstGeom prst="rect">
          <a:avLst/>
        </a:prstGeom>
      </xdr:spPr>
    </xdr:pic>
    <xdr:clientData/>
  </xdr:twoCellAnchor>
  <xdr:twoCellAnchor>
    <xdr:from>
      <xdr:col>9</xdr:col>
      <xdr:colOff>6350</xdr:colOff>
      <xdr:row>4371</xdr:row>
      <xdr:rowOff>25400</xdr:rowOff>
    </xdr:from>
    <xdr:to>
      <xdr:col>9</xdr:col>
      <xdr:colOff>885190</xdr:colOff>
      <xdr:row>4371</xdr:row>
      <xdr:rowOff>1209040</xdr:rowOff>
    </xdr:to>
    <xdr:pic>
      <xdr:nvPicPr>
        <xdr:cNvPr id="8670" name="Изображение 8669" descr="resizeПП-00273213"/>
        <xdr:cNvPicPr>
          <a:picLocks noChangeAspect="1"/>
        </xdr:cNvPicPr>
      </xdr:nvPicPr>
      <xdr:blipFill>
        <a:blip xmlns:r="http://schemas.openxmlformats.org/officeDocument/2006/relationships" r:embed="rId3308"/>
        <a:stretch>
          <a:fillRect/>
        </a:stretch>
      </xdr:blipFill>
      <xdr:spPr>
        <a:xfrm>
          <a:off x="7235825" y="4375740550"/>
          <a:ext cx="878840" cy="1183640"/>
        </a:xfrm>
        <a:prstGeom prst="rect">
          <a:avLst/>
        </a:prstGeom>
      </xdr:spPr>
    </xdr:pic>
    <xdr:clientData/>
  </xdr:twoCellAnchor>
  <xdr:twoCellAnchor>
    <xdr:from>
      <xdr:col>9</xdr:col>
      <xdr:colOff>6350</xdr:colOff>
      <xdr:row>4372</xdr:row>
      <xdr:rowOff>25400</xdr:rowOff>
    </xdr:from>
    <xdr:to>
      <xdr:col>9</xdr:col>
      <xdr:colOff>885190</xdr:colOff>
      <xdr:row>4372</xdr:row>
      <xdr:rowOff>1209040</xdr:rowOff>
    </xdr:to>
    <xdr:pic>
      <xdr:nvPicPr>
        <xdr:cNvPr id="8671" name="Изображение 8670" descr="resizeПП-00273215"/>
        <xdr:cNvPicPr>
          <a:picLocks noChangeAspect="1"/>
        </xdr:cNvPicPr>
      </xdr:nvPicPr>
      <xdr:blipFill>
        <a:blip xmlns:r="http://schemas.openxmlformats.org/officeDocument/2006/relationships" r:embed="rId3309"/>
        <a:stretch>
          <a:fillRect/>
        </a:stretch>
      </xdr:blipFill>
      <xdr:spPr>
        <a:xfrm>
          <a:off x="7235825" y="4376962925"/>
          <a:ext cx="878840" cy="1183640"/>
        </a:xfrm>
        <a:prstGeom prst="rect">
          <a:avLst/>
        </a:prstGeom>
      </xdr:spPr>
    </xdr:pic>
    <xdr:clientData/>
  </xdr:twoCellAnchor>
  <xdr:twoCellAnchor>
    <xdr:from>
      <xdr:col>9</xdr:col>
      <xdr:colOff>6350</xdr:colOff>
      <xdr:row>4373</xdr:row>
      <xdr:rowOff>25400</xdr:rowOff>
    </xdr:from>
    <xdr:to>
      <xdr:col>9</xdr:col>
      <xdr:colOff>885190</xdr:colOff>
      <xdr:row>4373</xdr:row>
      <xdr:rowOff>1209040</xdr:rowOff>
    </xdr:to>
    <xdr:pic>
      <xdr:nvPicPr>
        <xdr:cNvPr id="8672" name="Изображение 8671" descr="resizeПП-00256622"/>
        <xdr:cNvPicPr>
          <a:picLocks noChangeAspect="1"/>
        </xdr:cNvPicPr>
      </xdr:nvPicPr>
      <xdr:blipFill>
        <a:blip xmlns:r="http://schemas.openxmlformats.org/officeDocument/2006/relationships" r:embed="rId3310"/>
        <a:stretch>
          <a:fillRect/>
        </a:stretch>
      </xdr:blipFill>
      <xdr:spPr>
        <a:xfrm>
          <a:off x="7235825" y="4378185300"/>
          <a:ext cx="878840" cy="1183640"/>
        </a:xfrm>
        <a:prstGeom prst="rect">
          <a:avLst/>
        </a:prstGeom>
      </xdr:spPr>
    </xdr:pic>
    <xdr:clientData/>
  </xdr:twoCellAnchor>
  <xdr:twoCellAnchor>
    <xdr:from>
      <xdr:col>9</xdr:col>
      <xdr:colOff>6350</xdr:colOff>
      <xdr:row>4374</xdr:row>
      <xdr:rowOff>25400</xdr:rowOff>
    </xdr:from>
    <xdr:to>
      <xdr:col>9</xdr:col>
      <xdr:colOff>885190</xdr:colOff>
      <xdr:row>4374</xdr:row>
      <xdr:rowOff>1209040</xdr:rowOff>
    </xdr:to>
    <xdr:pic>
      <xdr:nvPicPr>
        <xdr:cNvPr id="8673" name="Изображение 8672" descr="resizeПП-00196934"/>
        <xdr:cNvPicPr>
          <a:picLocks noChangeAspect="1"/>
        </xdr:cNvPicPr>
      </xdr:nvPicPr>
      <xdr:blipFill>
        <a:blip xmlns:r="http://schemas.openxmlformats.org/officeDocument/2006/relationships" r:embed="rId3311"/>
        <a:stretch>
          <a:fillRect/>
        </a:stretch>
      </xdr:blipFill>
      <xdr:spPr>
        <a:xfrm>
          <a:off x="7235825" y="4379407675"/>
          <a:ext cx="878840" cy="1183640"/>
        </a:xfrm>
        <a:prstGeom prst="rect">
          <a:avLst/>
        </a:prstGeom>
      </xdr:spPr>
    </xdr:pic>
    <xdr:clientData/>
  </xdr:twoCellAnchor>
  <xdr:twoCellAnchor>
    <xdr:from>
      <xdr:col>9</xdr:col>
      <xdr:colOff>6350</xdr:colOff>
      <xdr:row>4375</xdr:row>
      <xdr:rowOff>25400</xdr:rowOff>
    </xdr:from>
    <xdr:to>
      <xdr:col>9</xdr:col>
      <xdr:colOff>885190</xdr:colOff>
      <xdr:row>4375</xdr:row>
      <xdr:rowOff>1209040</xdr:rowOff>
    </xdr:to>
    <xdr:pic>
      <xdr:nvPicPr>
        <xdr:cNvPr id="8674" name="Изображение 8673" descr="resizeПП-00247081"/>
        <xdr:cNvPicPr>
          <a:picLocks noChangeAspect="1"/>
        </xdr:cNvPicPr>
      </xdr:nvPicPr>
      <xdr:blipFill>
        <a:blip xmlns:r="http://schemas.openxmlformats.org/officeDocument/2006/relationships" r:embed="rId3312"/>
        <a:stretch>
          <a:fillRect/>
        </a:stretch>
      </xdr:blipFill>
      <xdr:spPr>
        <a:xfrm>
          <a:off x="7235825" y="4380630050"/>
          <a:ext cx="878840" cy="1183640"/>
        </a:xfrm>
        <a:prstGeom prst="rect">
          <a:avLst/>
        </a:prstGeom>
      </xdr:spPr>
    </xdr:pic>
    <xdr:clientData/>
  </xdr:twoCellAnchor>
  <xdr:twoCellAnchor>
    <xdr:from>
      <xdr:col>9</xdr:col>
      <xdr:colOff>6350</xdr:colOff>
      <xdr:row>4376</xdr:row>
      <xdr:rowOff>25400</xdr:rowOff>
    </xdr:from>
    <xdr:to>
      <xdr:col>9</xdr:col>
      <xdr:colOff>885190</xdr:colOff>
      <xdr:row>4376</xdr:row>
      <xdr:rowOff>1209040</xdr:rowOff>
    </xdr:to>
    <xdr:pic>
      <xdr:nvPicPr>
        <xdr:cNvPr id="8675" name="Изображение 8674" descr="resizeПП-00273214"/>
        <xdr:cNvPicPr>
          <a:picLocks noChangeAspect="1"/>
        </xdr:cNvPicPr>
      </xdr:nvPicPr>
      <xdr:blipFill>
        <a:blip xmlns:r="http://schemas.openxmlformats.org/officeDocument/2006/relationships" r:embed="rId3313"/>
        <a:stretch>
          <a:fillRect/>
        </a:stretch>
      </xdr:blipFill>
      <xdr:spPr>
        <a:xfrm>
          <a:off x="7235825" y="4381852425"/>
          <a:ext cx="878840" cy="1183640"/>
        </a:xfrm>
        <a:prstGeom prst="rect">
          <a:avLst/>
        </a:prstGeom>
      </xdr:spPr>
    </xdr:pic>
    <xdr:clientData/>
  </xdr:twoCellAnchor>
  <xdr:twoCellAnchor>
    <xdr:from>
      <xdr:col>9</xdr:col>
      <xdr:colOff>6350</xdr:colOff>
      <xdr:row>4377</xdr:row>
      <xdr:rowOff>25400</xdr:rowOff>
    </xdr:from>
    <xdr:to>
      <xdr:col>9</xdr:col>
      <xdr:colOff>885190</xdr:colOff>
      <xdr:row>4377</xdr:row>
      <xdr:rowOff>1209040</xdr:rowOff>
    </xdr:to>
    <xdr:pic>
      <xdr:nvPicPr>
        <xdr:cNvPr id="8676" name="Изображение 8675" descr="resizeПП-00246122"/>
        <xdr:cNvPicPr>
          <a:picLocks noChangeAspect="1"/>
        </xdr:cNvPicPr>
      </xdr:nvPicPr>
      <xdr:blipFill>
        <a:blip xmlns:r="http://schemas.openxmlformats.org/officeDocument/2006/relationships" r:embed="rId3314"/>
        <a:stretch>
          <a:fillRect/>
        </a:stretch>
      </xdr:blipFill>
      <xdr:spPr>
        <a:xfrm>
          <a:off x="7235825" y="4383074800"/>
          <a:ext cx="878840" cy="1183640"/>
        </a:xfrm>
        <a:prstGeom prst="rect">
          <a:avLst/>
        </a:prstGeom>
      </xdr:spPr>
    </xdr:pic>
    <xdr:clientData/>
  </xdr:twoCellAnchor>
  <xdr:twoCellAnchor>
    <xdr:from>
      <xdr:col>9</xdr:col>
      <xdr:colOff>6350</xdr:colOff>
      <xdr:row>4378</xdr:row>
      <xdr:rowOff>25400</xdr:rowOff>
    </xdr:from>
    <xdr:to>
      <xdr:col>9</xdr:col>
      <xdr:colOff>885190</xdr:colOff>
      <xdr:row>4378</xdr:row>
      <xdr:rowOff>1209040</xdr:rowOff>
    </xdr:to>
    <xdr:pic>
      <xdr:nvPicPr>
        <xdr:cNvPr id="8677" name="Изображение 8676" descr="resizeПП-00268503"/>
        <xdr:cNvPicPr>
          <a:picLocks noChangeAspect="1"/>
        </xdr:cNvPicPr>
      </xdr:nvPicPr>
      <xdr:blipFill>
        <a:blip xmlns:r="http://schemas.openxmlformats.org/officeDocument/2006/relationships" r:embed="rId3315"/>
        <a:stretch>
          <a:fillRect/>
        </a:stretch>
      </xdr:blipFill>
      <xdr:spPr>
        <a:xfrm>
          <a:off x="7235825" y="4384297175"/>
          <a:ext cx="878840" cy="1183640"/>
        </a:xfrm>
        <a:prstGeom prst="rect">
          <a:avLst/>
        </a:prstGeom>
      </xdr:spPr>
    </xdr:pic>
    <xdr:clientData/>
  </xdr:twoCellAnchor>
  <xdr:twoCellAnchor>
    <xdr:from>
      <xdr:col>9</xdr:col>
      <xdr:colOff>6350</xdr:colOff>
      <xdr:row>4379</xdr:row>
      <xdr:rowOff>25400</xdr:rowOff>
    </xdr:from>
    <xdr:to>
      <xdr:col>9</xdr:col>
      <xdr:colOff>885190</xdr:colOff>
      <xdr:row>4379</xdr:row>
      <xdr:rowOff>1209040</xdr:rowOff>
    </xdr:to>
    <xdr:pic>
      <xdr:nvPicPr>
        <xdr:cNvPr id="8678" name="Изображение 8677" descr="resizeПП-00217500"/>
        <xdr:cNvPicPr>
          <a:picLocks noChangeAspect="1"/>
        </xdr:cNvPicPr>
      </xdr:nvPicPr>
      <xdr:blipFill>
        <a:blip xmlns:r="http://schemas.openxmlformats.org/officeDocument/2006/relationships" r:embed="rId3316"/>
        <a:stretch>
          <a:fillRect/>
        </a:stretch>
      </xdr:blipFill>
      <xdr:spPr>
        <a:xfrm>
          <a:off x="7235825" y="4385519550"/>
          <a:ext cx="878840" cy="1183640"/>
        </a:xfrm>
        <a:prstGeom prst="rect">
          <a:avLst/>
        </a:prstGeom>
      </xdr:spPr>
    </xdr:pic>
    <xdr:clientData/>
  </xdr:twoCellAnchor>
  <xdr:twoCellAnchor>
    <xdr:from>
      <xdr:col>9</xdr:col>
      <xdr:colOff>6350</xdr:colOff>
      <xdr:row>4380</xdr:row>
      <xdr:rowOff>25400</xdr:rowOff>
    </xdr:from>
    <xdr:to>
      <xdr:col>9</xdr:col>
      <xdr:colOff>885190</xdr:colOff>
      <xdr:row>4380</xdr:row>
      <xdr:rowOff>1209040</xdr:rowOff>
    </xdr:to>
    <xdr:pic>
      <xdr:nvPicPr>
        <xdr:cNvPr id="8679" name="Изображение 8678" descr="resizeПП-00218184"/>
        <xdr:cNvPicPr>
          <a:picLocks noChangeAspect="1"/>
        </xdr:cNvPicPr>
      </xdr:nvPicPr>
      <xdr:blipFill>
        <a:blip xmlns:r="http://schemas.openxmlformats.org/officeDocument/2006/relationships" r:embed="rId3317"/>
        <a:stretch>
          <a:fillRect/>
        </a:stretch>
      </xdr:blipFill>
      <xdr:spPr>
        <a:xfrm>
          <a:off x="7235825" y="4386741925"/>
          <a:ext cx="878840" cy="1183640"/>
        </a:xfrm>
        <a:prstGeom prst="rect">
          <a:avLst/>
        </a:prstGeom>
      </xdr:spPr>
    </xdr:pic>
    <xdr:clientData/>
  </xdr:twoCellAnchor>
  <xdr:twoCellAnchor>
    <xdr:from>
      <xdr:col>9</xdr:col>
      <xdr:colOff>6350</xdr:colOff>
      <xdr:row>4381</xdr:row>
      <xdr:rowOff>25400</xdr:rowOff>
    </xdr:from>
    <xdr:to>
      <xdr:col>9</xdr:col>
      <xdr:colOff>885190</xdr:colOff>
      <xdr:row>4381</xdr:row>
      <xdr:rowOff>1209040</xdr:rowOff>
    </xdr:to>
    <xdr:pic>
      <xdr:nvPicPr>
        <xdr:cNvPr id="8680" name="Изображение 8679" descr="resizeПП-00218190"/>
        <xdr:cNvPicPr>
          <a:picLocks noChangeAspect="1"/>
        </xdr:cNvPicPr>
      </xdr:nvPicPr>
      <xdr:blipFill>
        <a:blip xmlns:r="http://schemas.openxmlformats.org/officeDocument/2006/relationships" r:embed="rId3318"/>
        <a:stretch>
          <a:fillRect/>
        </a:stretch>
      </xdr:blipFill>
      <xdr:spPr>
        <a:xfrm>
          <a:off x="7235825" y="4387964300"/>
          <a:ext cx="878840" cy="1183640"/>
        </a:xfrm>
        <a:prstGeom prst="rect">
          <a:avLst/>
        </a:prstGeom>
      </xdr:spPr>
    </xdr:pic>
    <xdr:clientData/>
  </xdr:twoCellAnchor>
  <xdr:twoCellAnchor>
    <xdr:from>
      <xdr:col>9</xdr:col>
      <xdr:colOff>6350</xdr:colOff>
      <xdr:row>4384</xdr:row>
      <xdr:rowOff>25400</xdr:rowOff>
    </xdr:from>
    <xdr:to>
      <xdr:col>9</xdr:col>
      <xdr:colOff>885190</xdr:colOff>
      <xdr:row>4384</xdr:row>
      <xdr:rowOff>1209040</xdr:rowOff>
    </xdr:to>
    <xdr:pic>
      <xdr:nvPicPr>
        <xdr:cNvPr id="8681" name="Изображение 8680" descr="resizeПП-00260870"/>
        <xdr:cNvPicPr>
          <a:picLocks noChangeAspect="1"/>
        </xdr:cNvPicPr>
      </xdr:nvPicPr>
      <xdr:blipFill>
        <a:blip xmlns:r="http://schemas.openxmlformats.org/officeDocument/2006/relationships" r:embed="rId3319"/>
        <a:stretch>
          <a:fillRect/>
        </a:stretch>
      </xdr:blipFill>
      <xdr:spPr>
        <a:xfrm>
          <a:off x="7235825" y="4389491475"/>
          <a:ext cx="878840" cy="1183640"/>
        </a:xfrm>
        <a:prstGeom prst="rect">
          <a:avLst/>
        </a:prstGeom>
      </xdr:spPr>
    </xdr:pic>
    <xdr:clientData/>
  </xdr:twoCellAnchor>
  <xdr:twoCellAnchor>
    <xdr:from>
      <xdr:col>9</xdr:col>
      <xdr:colOff>6350</xdr:colOff>
      <xdr:row>4385</xdr:row>
      <xdr:rowOff>25400</xdr:rowOff>
    </xdr:from>
    <xdr:to>
      <xdr:col>9</xdr:col>
      <xdr:colOff>885190</xdr:colOff>
      <xdr:row>4385</xdr:row>
      <xdr:rowOff>1209040</xdr:rowOff>
    </xdr:to>
    <xdr:pic>
      <xdr:nvPicPr>
        <xdr:cNvPr id="8682" name="Изображение 8681" descr="resizeПП-00260870"/>
        <xdr:cNvPicPr>
          <a:picLocks noChangeAspect="1"/>
        </xdr:cNvPicPr>
      </xdr:nvPicPr>
      <xdr:blipFill>
        <a:blip xmlns:r="http://schemas.openxmlformats.org/officeDocument/2006/relationships" r:embed="rId3319"/>
        <a:stretch>
          <a:fillRect/>
        </a:stretch>
      </xdr:blipFill>
      <xdr:spPr>
        <a:xfrm>
          <a:off x="7235825" y="4390713850"/>
          <a:ext cx="878840" cy="1183640"/>
        </a:xfrm>
        <a:prstGeom prst="rect">
          <a:avLst/>
        </a:prstGeom>
      </xdr:spPr>
    </xdr:pic>
    <xdr:clientData/>
  </xdr:twoCellAnchor>
  <xdr:twoCellAnchor>
    <xdr:from>
      <xdr:col>9</xdr:col>
      <xdr:colOff>6350</xdr:colOff>
      <xdr:row>4387</xdr:row>
      <xdr:rowOff>25400</xdr:rowOff>
    </xdr:from>
    <xdr:to>
      <xdr:col>9</xdr:col>
      <xdr:colOff>885190</xdr:colOff>
      <xdr:row>4387</xdr:row>
      <xdr:rowOff>1209040</xdr:rowOff>
    </xdr:to>
    <xdr:pic>
      <xdr:nvPicPr>
        <xdr:cNvPr id="8683" name="Изображение 8682" descr="resizeПП-00246126"/>
        <xdr:cNvPicPr>
          <a:picLocks noChangeAspect="1"/>
        </xdr:cNvPicPr>
      </xdr:nvPicPr>
      <xdr:blipFill>
        <a:blip xmlns:r="http://schemas.openxmlformats.org/officeDocument/2006/relationships" r:embed="rId3320"/>
        <a:stretch>
          <a:fillRect/>
        </a:stretch>
      </xdr:blipFill>
      <xdr:spPr>
        <a:xfrm>
          <a:off x="7235825" y="4392088625"/>
          <a:ext cx="878840" cy="1183640"/>
        </a:xfrm>
        <a:prstGeom prst="rect">
          <a:avLst/>
        </a:prstGeom>
      </xdr:spPr>
    </xdr:pic>
    <xdr:clientData/>
  </xdr:twoCellAnchor>
  <xdr:twoCellAnchor>
    <xdr:from>
      <xdr:col>9</xdr:col>
      <xdr:colOff>6350</xdr:colOff>
      <xdr:row>4388</xdr:row>
      <xdr:rowOff>25400</xdr:rowOff>
    </xdr:from>
    <xdr:to>
      <xdr:col>9</xdr:col>
      <xdr:colOff>885190</xdr:colOff>
      <xdr:row>4388</xdr:row>
      <xdr:rowOff>1209040</xdr:rowOff>
    </xdr:to>
    <xdr:pic>
      <xdr:nvPicPr>
        <xdr:cNvPr id="8684" name="Изображение 8683" descr="resizeПП-00268507"/>
        <xdr:cNvPicPr>
          <a:picLocks noChangeAspect="1"/>
        </xdr:cNvPicPr>
      </xdr:nvPicPr>
      <xdr:blipFill>
        <a:blip xmlns:r="http://schemas.openxmlformats.org/officeDocument/2006/relationships" r:embed="rId3321"/>
        <a:stretch>
          <a:fillRect/>
        </a:stretch>
      </xdr:blipFill>
      <xdr:spPr>
        <a:xfrm>
          <a:off x="7235825" y="4393311000"/>
          <a:ext cx="878840" cy="1183640"/>
        </a:xfrm>
        <a:prstGeom prst="rect">
          <a:avLst/>
        </a:prstGeom>
      </xdr:spPr>
    </xdr:pic>
    <xdr:clientData/>
  </xdr:twoCellAnchor>
  <xdr:twoCellAnchor>
    <xdr:from>
      <xdr:col>9</xdr:col>
      <xdr:colOff>6350</xdr:colOff>
      <xdr:row>4389</xdr:row>
      <xdr:rowOff>25400</xdr:rowOff>
    </xdr:from>
    <xdr:to>
      <xdr:col>9</xdr:col>
      <xdr:colOff>885190</xdr:colOff>
      <xdr:row>4389</xdr:row>
      <xdr:rowOff>1209040</xdr:rowOff>
    </xdr:to>
    <xdr:pic>
      <xdr:nvPicPr>
        <xdr:cNvPr id="8685" name="Изображение 8684" descr="resizeПП-00197032"/>
        <xdr:cNvPicPr>
          <a:picLocks noChangeAspect="1"/>
        </xdr:cNvPicPr>
      </xdr:nvPicPr>
      <xdr:blipFill>
        <a:blip xmlns:r="http://schemas.openxmlformats.org/officeDocument/2006/relationships" r:embed="rId3322"/>
        <a:stretch>
          <a:fillRect/>
        </a:stretch>
      </xdr:blipFill>
      <xdr:spPr>
        <a:xfrm>
          <a:off x="7235825" y="4394533375"/>
          <a:ext cx="878840" cy="1183640"/>
        </a:xfrm>
        <a:prstGeom prst="rect">
          <a:avLst/>
        </a:prstGeom>
      </xdr:spPr>
    </xdr:pic>
    <xdr:clientData/>
  </xdr:twoCellAnchor>
  <xdr:twoCellAnchor>
    <xdr:from>
      <xdr:col>9</xdr:col>
      <xdr:colOff>6350</xdr:colOff>
      <xdr:row>4390</xdr:row>
      <xdr:rowOff>25400</xdr:rowOff>
    </xdr:from>
    <xdr:to>
      <xdr:col>9</xdr:col>
      <xdr:colOff>885190</xdr:colOff>
      <xdr:row>4390</xdr:row>
      <xdr:rowOff>1209040</xdr:rowOff>
    </xdr:to>
    <xdr:pic>
      <xdr:nvPicPr>
        <xdr:cNvPr id="8686" name="Изображение 8685" descr="resizeПП-00268510"/>
        <xdr:cNvPicPr>
          <a:picLocks noChangeAspect="1"/>
        </xdr:cNvPicPr>
      </xdr:nvPicPr>
      <xdr:blipFill>
        <a:blip xmlns:r="http://schemas.openxmlformats.org/officeDocument/2006/relationships" r:embed="rId3323"/>
        <a:stretch>
          <a:fillRect/>
        </a:stretch>
      </xdr:blipFill>
      <xdr:spPr>
        <a:xfrm>
          <a:off x="7235825" y="4395755750"/>
          <a:ext cx="878840" cy="1183640"/>
        </a:xfrm>
        <a:prstGeom prst="rect">
          <a:avLst/>
        </a:prstGeom>
      </xdr:spPr>
    </xdr:pic>
    <xdr:clientData/>
  </xdr:twoCellAnchor>
  <xdr:twoCellAnchor>
    <xdr:from>
      <xdr:col>9</xdr:col>
      <xdr:colOff>6350</xdr:colOff>
      <xdr:row>4391</xdr:row>
      <xdr:rowOff>25400</xdr:rowOff>
    </xdr:from>
    <xdr:to>
      <xdr:col>9</xdr:col>
      <xdr:colOff>885190</xdr:colOff>
      <xdr:row>4391</xdr:row>
      <xdr:rowOff>1209040</xdr:rowOff>
    </xdr:to>
    <xdr:pic>
      <xdr:nvPicPr>
        <xdr:cNvPr id="8687" name="Изображение 8686" descr="resizeПП-00105165"/>
        <xdr:cNvPicPr>
          <a:picLocks noChangeAspect="1"/>
        </xdr:cNvPicPr>
      </xdr:nvPicPr>
      <xdr:blipFill>
        <a:blip xmlns:r="http://schemas.openxmlformats.org/officeDocument/2006/relationships" r:embed="rId3324"/>
        <a:stretch>
          <a:fillRect/>
        </a:stretch>
      </xdr:blipFill>
      <xdr:spPr>
        <a:xfrm>
          <a:off x="7235825" y="4396978125"/>
          <a:ext cx="878840" cy="1183640"/>
        </a:xfrm>
        <a:prstGeom prst="rect">
          <a:avLst/>
        </a:prstGeom>
      </xdr:spPr>
    </xdr:pic>
    <xdr:clientData/>
  </xdr:twoCellAnchor>
  <xdr:twoCellAnchor>
    <xdr:from>
      <xdr:col>9</xdr:col>
      <xdr:colOff>6350</xdr:colOff>
      <xdr:row>4392</xdr:row>
      <xdr:rowOff>25400</xdr:rowOff>
    </xdr:from>
    <xdr:to>
      <xdr:col>9</xdr:col>
      <xdr:colOff>885190</xdr:colOff>
      <xdr:row>4392</xdr:row>
      <xdr:rowOff>1209040</xdr:rowOff>
    </xdr:to>
    <xdr:pic>
      <xdr:nvPicPr>
        <xdr:cNvPr id="8688" name="Изображение 8687" descr="resizeПП-00246130"/>
        <xdr:cNvPicPr>
          <a:picLocks noChangeAspect="1"/>
        </xdr:cNvPicPr>
      </xdr:nvPicPr>
      <xdr:blipFill>
        <a:blip xmlns:r="http://schemas.openxmlformats.org/officeDocument/2006/relationships" r:embed="rId3325"/>
        <a:stretch>
          <a:fillRect/>
        </a:stretch>
      </xdr:blipFill>
      <xdr:spPr>
        <a:xfrm>
          <a:off x="7235825" y="4398200500"/>
          <a:ext cx="878840" cy="1183640"/>
        </a:xfrm>
        <a:prstGeom prst="rect">
          <a:avLst/>
        </a:prstGeom>
      </xdr:spPr>
    </xdr:pic>
    <xdr:clientData/>
  </xdr:twoCellAnchor>
  <xdr:twoCellAnchor>
    <xdr:from>
      <xdr:col>9</xdr:col>
      <xdr:colOff>6350</xdr:colOff>
      <xdr:row>4393</xdr:row>
      <xdr:rowOff>25400</xdr:rowOff>
    </xdr:from>
    <xdr:to>
      <xdr:col>9</xdr:col>
      <xdr:colOff>885190</xdr:colOff>
      <xdr:row>4393</xdr:row>
      <xdr:rowOff>1209040</xdr:rowOff>
    </xdr:to>
    <xdr:pic>
      <xdr:nvPicPr>
        <xdr:cNvPr id="8689" name="Изображение 8688" descr="resizeПП-00217857"/>
        <xdr:cNvPicPr>
          <a:picLocks noChangeAspect="1"/>
        </xdr:cNvPicPr>
      </xdr:nvPicPr>
      <xdr:blipFill>
        <a:blip xmlns:r="http://schemas.openxmlformats.org/officeDocument/2006/relationships" r:embed="rId3326"/>
        <a:stretch>
          <a:fillRect/>
        </a:stretch>
      </xdr:blipFill>
      <xdr:spPr>
        <a:xfrm>
          <a:off x="7235825" y="4399422875"/>
          <a:ext cx="878840" cy="1183640"/>
        </a:xfrm>
        <a:prstGeom prst="rect">
          <a:avLst/>
        </a:prstGeom>
      </xdr:spPr>
    </xdr:pic>
    <xdr:clientData/>
  </xdr:twoCellAnchor>
  <xdr:twoCellAnchor>
    <xdr:from>
      <xdr:col>9</xdr:col>
      <xdr:colOff>6350</xdr:colOff>
      <xdr:row>4394</xdr:row>
      <xdr:rowOff>25400</xdr:rowOff>
    </xdr:from>
    <xdr:to>
      <xdr:col>9</xdr:col>
      <xdr:colOff>885190</xdr:colOff>
      <xdr:row>4394</xdr:row>
      <xdr:rowOff>1209040</xdr:rowOff>
    </xdr:to>
    <xdr:pic>
      <xdr:nvPicPr>
        <xdr:cNvPr id="8690" name="Изображение 8689" descr="resizeПП-00217858"/>
        <xdr:cNvPicPr>
          <a:picLocks noChangeAspect="1"/>
        </xdr:cNvPicPr>
      </xdr:nvPicPr>
      <xdr:blipFill>
        <a:blip xmlns:r="http://schemas.openxmlformats.org/officeDocument/2006/relationships" r:embed="rId3327"/>
        <a:stretch>
          <a:fillRect/>
        </a:stretch>
      </xdr:blipFill>
      <xdr:spPr>
        <a:xfrm>
          <a:off x="7235825" y="4400645250"/>
          <a:ext cx="878840" cy="1183640"/>
        </a:xfrm>
        <a:prstGeom prst="rect">
          <a:avLst/>
        </a:prstGeom>
      </xdr:spPr>
    </xdr:pic>
    <xdr:clientData/>
  </xdr:twoCellAnchor>
  <xdr:twoCellAnchor>
    <xdr:from>
      <xdr:col>9</xdr:col>
      <xdr:colOff>6350</xdr:colOff>
      <xdr:row>4397</xdr:row>
      <xdr:rowOff>25400</xdr:rowOff>
    </xdr:from>
    <xdr:to>
      <xdr:col>9</xdr:col>
      <xdr:colOff>885190</xdr:colOff>
      <xdr:row>4397</xdr:row>
      <xdr:rowOff>1209040</xdr:rowOff>
    </xdr:to>
    <xdr:pic>
      <xdr:nvPicPr>
        <xdr:cNvPr id="8691" name="Изображение 8690" descr="resizeПП-00217503"/>
        <xdr:cNvPicPr>
          <a:picLocks noChangeAspect="1"/>
        </xdr:cNvPicPr>
      </xdr:nvPicPr>
      <xdr:blipFill>
        <a:blip xmlns:r="http://schemas.openxmlformats.org/officeDocument/2006/relationships" r:embed="rId3328"/>
        <a:stretch>
          <a:fillRect/>
        </a:stretch>
      </xdr:blipFill>
      <xdr:spPr>
        <a:xfrm>
          <a:off x="7235825" y="4402172425"/>
          <a:ext cx="878840" cy="1183640"/>
        </a:xfrm>
        <a:prstGeom prst="rect">
          <a:avLst/>
        </a:prstGeom>
      </xdr:spPr>
    </xdr:pic>
    <xdr:clientData/>
  </xdr:twoCellAnchor>
  <xdr:twoCellAnchor>
    <xdr:from>
      <xdr:col>9</xdr:col>
      <xdr:colOff>6350</xdr:colOff>
      <xdr:row>4399</xdr:row>
      <xdr:rowOff>25400</xdr:rowOff>
    </xdr:from>
    <xdr:to>
      <xdr:col>9</xdr:col>
      <xdr:colOff>885190</xdr:colOff>
      <xdr:row>4399</xdr:row>
      <xdr:rowOff>1209040</xdr:rowOff>
    </xdr:to>
    <xdr:pic>
      <xdr:nvPicPr>
        <xdr:cNvPr id="8692" name="Изображение 8691" descr="resizeПП-00218212"/>
        <xdr:cNvPicPr>
          <a:picLocks noChangeAspect="1"/>
        </xdr:cNvPicPr>
      </xdr:nvPicPr>
      <xdr:blipFill>
        <a:blip xmlns:r="http://schemas.openxmlformats.org/officeDocument/2006/relationships" r:embed="rId3329"/>
        <a:stretch>
          <a:fillRect/>
        </a:stretch>
      </xdr:blipFill>
      <xdr:spPr>
        <a:xfrm>
          <a:off x="7235825" y="4403547200"/>
          <a:ext cx="878840" cy="1183640"/>
        </a:xfrm>
        <a:prstGeom prst="rect">
          <a:avLst/>
        </a:prstGeom>
      </xdr:spPr>
    </xdr:pic>
    <xdr:clientData/>
  </xdr:twoCellAnchor>
  <xdr:twoCellAnchor>
    <xdr:from>
      <xdr:col>9</xdr:col>
      <xdr:colOff>6350</xdr:colOff>
      <xdr:row>4401</xdr:row>
      <xdr:rowOff>25400</xdr:rowOff>
    </xdr:from>
    <xdr:to>
      <xdr:col>9</xdr:col>
      <xdr:colOff>885190</xdr:colOff>
      <xdr:row>4401</xdr:row>
      <xdr:rowOff>1209040</xdr:rowOff>
    </xdr:to>
    <xdr:pic>
      <xdr:nvPicPr>
        <xdr:cNvPr id="8693" name="Изображение 8692" descr="resizeПП-00197101"/>
        <xdr:cNvPicPr>
          <a:picLocks noChangeAspect="1"/>
        </xdr:cNvPicPr>
      </xdr:nvPicPr>
      <xdr:blipFill>
        <a:blip xmlns:r="http://schemas.openxmlformats.org/officeDocument/2006/relationships" r:embed="rId3330"/>
        <a:stretch>
          <a:fillRect/>
        </a:stretch>
      </xdr:blipFill>
      <xdr:spPr>
        <a:xfrm>
          <a:off x="7235825" y="4404921975"/>
          <a:ext cx="878840" cy="1183640"/>
        </a:xfrm>
        <a:prstGeom prst="rect">
          <a:avLst/>
        </a:prstGeom>
      </xdr:spPr>
    </xdr:pic>
    <xdr:clientData/>
  </xdr:twoCellAnchor>
  <xdr:twoCellAnchor>
    <xdr:from>
      <xdr:col>9</xdr:col>
      <xdr:colOff>6350</xdr:colOff>
      <xdr:row>4402</xdr:row>
      <xdr:rowOff>25400</xdr:rowOff>
    </xdr:from>
    <xdr:to>
      <xdr:col>9</xdr:col>
      <xdr:colOff>885190</xdr:colOff>
      <xdr:row>4402</xdr:row>
      <xdr:rowOff>1209040</xdr:rowOff>
    </xdr:to>
    <xdr:pic>
      <xdr:nvPicPr>
        <xdr:cNvPr id="8694" name="Изображение 8693" descr="resizeПП-00097417"/>
        <xdr:cNvPicPr>
          <a:picLocks noChangeAspect="1"/>
        </xdr:cNvPicPr>
      </xdr:nvPicPr>
      <xdr:blipFill>
        <a:blip xmlns:r="http://schemas.openxmlformats.org/officeDocument/2006/relationships" r:embed="rId3331"/>
        <a:stretch>
          <a:fillRect/>
        </a:stretch>
      </xdr:blipFill>
      <xdr:spPr>
        <a:xfrm>
          <a:off x="7235825" y="4406144350"/>
          <a:ext cx="878840" cy="1183640"/>
        </a:xfrm>
        <a:prstGeom prst="rect">
          <a:avLst/>
        </a:prstGeom>
      </xdr:spPr>
    </xdr:pic>
    <xdr:clientData/>
  </xdr:twoCellAnchor>
  <xdr:twoCellAnchor>
    <xdr:from>
      <xdr:col>9</xdr:col>
      <xdr:colOff>6350</xdr:colOff>
      <xdr:row>4406</xdr:row>
      <xdr:rowOff>25400</xdr:rowOff>
    </xdr:from>
    <xdr:to>
      <xdr:col>9</xdr:col>
      <xdr:colOff>885190</xdr:colOff>
      <xdr:row>4406</xdr:row>
      <xdr:rowOff>1209040</xdr:rowOff>
    </xdr:to>
    <xdr:pic>
      <xdr:nvPicPr>
        <xdr:cNvPr id="8695" name="Изображение 8694" descr="resizeПП-00273935"/>
        <xdr:cNvPicPr>
          <a:picLocks noChangeAspect="1"/>
        </xdr:cNvPicPr>
      </xdr:nvPicPr>
      <xdr:blipFill>
        <a:blip xmlns:r="http://schemas.openxmlformats.org/officeDocument/2006/relationships" r:embed="rId3332"/>
        <a:stretch>
          <a:fillRect/>
        </a:stretch>
      </xdr:blipFill>
      <xdr:spPr>
        <a:xfrm>
          <a:off x="7235825" y="4408090625"/>
          <a:ext cx="878840" cy="1183640"/>
        </a:xfrm>
        <a:prstGeom prst="rect">
          <a:avLst/>
        </a:prstGeom>
      </xdr:spPr>
    </xdr:pic>
    <xdr:clientData/>
  </xdr:twoCellAnchor>
  <xdr:twoCellAnchor>
    <xdr:from>
      <xdr:col>9</xdr:col>
      <xdr:colOff>6350</xdr:colOff>
      <xdr:row>4407</xdr:row>
      <xdr:rowOff>25400</xdr:rowOff>
    </xdr:from>
    <xdr:to>
      <xdr:col>9</xdr:col>
      <xdr:colOff>885190</xdr:colOff>
      <xdr:row>4407</xdr:row>
      <xdr:rowOff>1209040</xdr:rowOff>
    </xdr:to>
    <xdr:pic>
      <xdr:nvPicPr>
        <xdr:cNvPr id="8696" name="Изображение 8695" descr="resizeПП-00273940"/>
        <xdr:cNvPicPr>
          <a:picLocks noChangeAspect="1"/>
        </xdr:cNvPicPr>
      </xdr:nvPicPr>
      <xdr:blipFill>
        <a:blip xmlns:r="http://schemas.openxmlformats.org/officeDocument/2006/relationships" r:embed="rId3333"/>
        <a:stretch>
          <a:fillRect/>
        </a:stretch>
      </xdr:blipFill>
      <xdr:spPr>
        <a:xfrm>
          <a:off x="7235825" y="4409313000"/>
          <a:ext cx="878840" cy="1183640"/>
        </a:xfrm>
        <a:prstGeom prst="rect">
          <a:avLst/>
        </a:prstGeom>
      </xdr:spPr>
    </xdr:pic>
    <xdr:clientData/>
  </xdr:twoCellAnchor>
  <xdr:twoCellAnchor>
    <xdr:from>
      <xdr:col>9</xdr:col>
      <xdr:colOff>6350</xdr:colOff>
      <xdr:row>4408</xdr:row>
      <xdr:rowOff>25400</xdr:rowOff>
    </xdr:from>
    <xdr:to>
      <xdr:col>9</xdr:col>
      <xdr:colOff>885190</xdr:colOff>
      <xdr:row>4408</xdr:row>
      <xdr:rowOff>1209040</xdr:rowOff>
    </xdr:to>
    <xdr:pic>
      <xdr:nvPicPr>
        <xdr:cNvPr id="8697" name="Изображение 8696" descr="resizeПП-00184921"/>
        <xdr:cNvPicPr>
          <a:picLocks noChangeAspect="1"/>
        </xdr:cNvPicPr>
      </xdr:nvPicPr>
      <xdr:blipFill>
        <a:blip xmlns:r="http://schemas.openxmlformats.org/officeDocument/2006/relationships" r:embed="rId3334"/>
        <a:stretch>
          <a:fillRect/>
        </a:stretch>
      </xdr:blipFill>
      <xdr:spPr>
        <a:xfrm>
          <a:off x="7235825" y="4410535375"/>
          <a:ext cx="878840" cy="1183640"/>
        </a:xfrm>
        <a:prstGeom prst="rect">
          <a:avLst/>
        </a:prstGeom>
      </xdr:spPr>
    </xdr:pic>
    <xdr:clientData/>
  </xdr:twoCellAnchor>
  <xdr:twoCellAnchor>
    <xdr:from>
      <xdr:col>9</xdr:col>
      <xdr:colOff>6350</xdr:colOff>
      <xdr:row>4409</xdr:row>
      <xdr:rowOff>25400</xdr:rowOff>
    </xdr:from>
    <xdr:to>
      <xdr:col>9</xdr:col>
      <xdr:colOff>885190</xdr:colOff>
      <xdr:row>4409</xdr:row>
      <xdr:rowOff>1209040</xdr:rowOff>
    </xdr:to>
    <xdr:pic>
      <xdr:nvPicPr>
        <xdr:cNvPr id="8698" name="Изображение 8697" descr="resizeПП-00184923"/>
        <xdr:cNvPicPr>
          <a:picLocks noChangeAspect="1"/>
        </xdr:cNvPicPr>
      </xdr:nvPicPr>
      <xdr:blipFill>
        <a:blip xmlns:r="http://schemas.openxmlformats.org/officeDocument/2006/relationships" r:embed="rId3335"/>
        <a:stretch>
          <a:fillRect/>
        </a:stretch>
      </xdr:blipFill>
      <xdr:spPr>
        <a:xfrm>
          <a:off x="7235825" y="4411757750"/>
          <a:ext cx="878840" cy="1183640"/>
        </a:xfrm>
        <a:prstGeom prst="rect">
          <a:avLst/>
        </a:prstGeom>
      </xdr:spPr>
    </xdr:pic>
    <xdr:clientData/>
  </xdr:twoCellAnchor>
  <xdr:twoCellAnchor>
    <xdr:from>
      <xdr:col>9</xdr:col>
      <xdr:colOff>6350</xdr:colOff>
      <xdr:row>4410</xdr:row>
      <xdr:rowOff>25400</xdr:rowOff>
    </xdr:from>
    <xdr:to>
      <xdr:col>9</xdr:col>
      <xdr:colOff>885190</xdr:colOff>
      <xdr:row>4410</xdr:row>
      <xdr:rowOff>1209040</xdr:rowOff>
    </xdr:to>
    <xdr:pic>
      <xdr:nvPicPr>
        <xdr:cNvPr id="8699" name="Изображение 8698" descr="resizeПП-00184926"/>
        <xdr:cNvPicPr>
          <a:picLocks noChangeAspect="1"/>
        </xdr:cNvPicPr>
      </xdr:nvPicPr>
      <xdr:blipFill>
        <a:blip xmlns:r="http://schemas.openxmlformats.org/officeDocument/2006/relationships" r:embed="rId3336"/>
        <a:stretch>
          <a:fillRect/>
        </a:stretch>
      </xdr:blipFill>
      <xdr:spPr>
        <a:xfrm>
          <a:off x="7235825" y="4412980125"/>
          <a:ext cx="878840" cy="1183640"/>
        </a:xfrm>
        <a:prstGeom prst="rect">
          <a:avLst/>
        </a:prstGeom>
      </xdr:spPr>
    </xdr:pic>
    <xdr:clientData/>
  </xdr:twoCellAnchor>
  <xdr:twoCellAnchor>
    <xdr:from>
      <xdr:col>9</xdr:col>
      <xdr:colOff>6350</xdr:colOff>
      <xdr:row>4411</xdr:row>
      <xdr:rowOff>25400</xdr:rowOff>
    </xdr:from>
    <xdr:to>
      <xdr:col>9</xdr:col>
      <xdr:colOff>885190</xdr:colOff>
      <xdr:row>4411</xdr:row>
      <xdr:rowOff>1209040</xdr:rowOff>
    </xdr:to>
    <xdr:pic>
      <xdr:nvPicPr>
        <xdr:cNvPr id="8700" name="Изображение 8699" descr="resizeПП-00123388"/>
        <xdr:cNvPicPr>
          <a:picLocks noChangeAspect="1"/>
        </xdr:cNvPicPr>
      </xdr:nvPicPr>
      <xdr:blipFill>
        <a:blip xmlns:r="http://schemas.openxmlformats.org/officeDocument/2006/relationships" r:embed="rId3337"/>
        <a:stretch>
          <a:fillRect/>
        </a:stretch>
      </xdr:blipFill>
      <xdr:spPr>
        <a:xfrm>
          <a:off x="7235825" y="4414202500"/>
          <a:ext cx="878840" cy="1183640"/>
        </a:xfrm>
        <a:prstGeom prst="rect">
          <a:avLst/>
        </a:prstGeom>
      </xdr:spPr>
    </xdr:pic>
    <xdr:clientData/>
  </xdr:twoCellAnchor>
  <xdr:twoCellAnchor>
    <xdr:from>
      <xdr:col>9</xdr:col>
      <xdr:colOff>6350</xdr:colOff>
      <xdr:row>4415</xdr:row>
      <xdr:rowOff>25400</xdr:rowOff>
    </xdr:from>
    <xdr:to>
      <xdr:col>9</xdr:col>
      <xdr:colOff>885190</xdr:colOff>
      <xdr:row>4415</xdr:row>
      <xdr:rowOff>1209040</xdr:rowOff>
    </xdr:to>
    <xdr:pic>
      <xdr:nvPicPr>
        <xdr:cNvPr id="8701" name="Изображение 8700" descr="resizeПП-00266928"/>
        <xdr:cNvPicPr>
          <a:picLocks noChangeAspect="1"/>
        </xdr:cNvPicPr>
      </xdr:nvPicPr>
      <xdr:blipFill>
        <a:blip xmlns:r="http://schemas.openxmlformats.org/officeDocument/2006/relationships" r:embed="rId3338"/>
        <a:stretch>
          <a:fillRect/>
        </a:stretch>
      </xdr:blipFill>
      <xdr:spPr>
        <a:xfrm>
          <a:off x="7235825" y="4416148775"/>
          <a:ext cx="878840" cy="1183640"/>
        </a:xfrm>
        <a:prstGeom prst="rect">
          <a:avLst/>
        </a:prstGeom>
      </xdr:spPr>
    </xdr:pic>
    <xdr:clientData/>
  </xdr:twoCellAnchor>
  <xdr:twoCellAnchor>
    <xdr:from>
      <xdr:col>9</xdr:col>
      <xdr:colOff>6350</xdr:colOff>
      <xdr:row>4416</xdr:row>
      <xdr:rowOff>25400</xdr:rowOff>
    </xdr:from>
    <xdr:to>
      <xdr:col>9</xdr:col>
      <xdr:colOff>885190</xdr:colOff>
      <xdr:row>4416</xdr:row>
      <xdr:rowOff>1209040</xdr:rowOff>
    </xdr:to>
    <xdr:pic>
      <xdr:nvPicPr>
        <xdr:cNvPr id="8702" name="Изображение 8701" descr="resizeПП-00266926"/>
        <xdr:cNvPicPr>
          <a:picLocks noChangeAspect="1"/>
        </xdr:cNvPicPr>
      </xdr:nvPicPr>
      <xdr:blipFill>
        <a:blip xmlns:r="http://schemas.openxmlformats.org/officeDocument/2006/relationships" r:embed="rId3339"/>
        <a:stretch>
          <a:fillRect/>
        </a:stretch>
      </xdr:blipFill>
      <xdr:spPr>
        <a:xfrm>
          <a:off x="7235825" y="4417371150"/>
          <a:ext cx="878840" cy="1183640"/>
        </a:xfrm>
        <a:prstGeom prst="rect">
          <a:avLst/>
        </a:prstGeom>
      </xdr:spPr>
    </xdr:pic>
    <xdr:clientData/>
  </xdr:twoCellAnchor>
  <xdr:twoCellAnchor>
    <xdr:from>
      <xdr:col>9</xdr:col>
      <xdr:colOff>6350</xdr:colOff>
      <xdr:row>4417</xdr:row>
      <xdr:rowOff>25400</xdr:rowOff>
    </xdr:from>
    <xdr:to>
      <xdr:col>9</xdr:col>
      <xdr:colOff>885190</xdr:colOff>
      <xdr:row>4417</xdr:row>
      <xdr:rowOff>1209040</xdr:rowOff>
    </xdr:to>
    <xdr:pic>
      <xdr:nvPicPr>
        <xdr:cNvPr id="8703" name="Изображение 8702" descr="resizeПП-00266932"/>
        <xdr:cNvPicPr>
          <a:picLocks noChangeAspect="1"/>
        </xdr:cNvPicPr>
      </xdr:nvPicPr>
      <xdr:blipFill>
        <a:blip xmlns:r="http://schemas.openxmlformats.org/officeDocument/2006/relationships" r:embed="rId3340"/>
        <a:stretch>
          <a:fillRect/>
        </a:stretch>
      </xdr:blipFill>
      <xdr:spPr>
        <a:xfrm>
          <a:off x="7235825" y="4418593525"/>
          <a:ext cx="878840" cy="1183640"/>
        </a:xfrm>
        <a:prstGeom prst="rect">
          <a:avLst/>
        </a:prstGeom>
      </xdr:spPr>
    </xdr:pic>
    <xdr:clientData/>
  </xdr:twoCellAnchor>
  <xdr:twoCellAnchor>
    <xdr:from>
      <xdr:col>9</xdr:col>
      <xdr:colOff>6350</xdr:colOff>
      <xdr:row>4418</xdr:row>
      <xdr:rowOff>25400</xdr:rowOff>
    </xdr:from>
    <xdr:to>
      <xdr:col>9</xdr:col>
      <xdr:colOff>885190</xdr:colOff>
      <xdr:row>4418</xdr:row>
      <xdr:rowOff>1209040</xdr:rowOff>
    </xdr:to>
    <xdr:pic>
      <xdr:nvPicPr>
        <xdr:cNvPr id="8704" name="Изображение 8703" descr="resizeПП-00266930"/>
        <xdr:cNvPicPr>
          <a:picLocks noChangeAspect="1"/>
        </xdr:cNvPicPr>
      </xdr:nvPicPr>
      <xdr:blipFill>
        <a:blip xmlns:r="http://schemas.openxmlformats.org/officeDocument/2006/relationships" r:embed="rId3341"/>
        <a:stretch>
          <a:fillRect/>
        </a:stretch>
      </xdr:blipFill>
      <xdr:spPr>
        <a:xfrm>
          <a:off x="7235825" y="4419815900"/>
          <a:ext cx="878840" cy="1183640"/>
        </a:xfrm>
        <a:prstGeom prst="rect">
          <a:avLst/>
        </a:prstGeom>
      </xdr:spPr>
    </xdr:pic>
    <xdr:clientData/>
  </xdr:twoCellAnchor>
  <xdr:twoCellAnchor>
    <xdr:from>
      <xdr:col>9</xdr:col>
      <xdr:colOff>6350</xdr:colOff>
      <xdr:row>4419</xdr:row>
      <xdr:rowOff>25400</xdr:rowOff>
    </xdr:from>
    <xdr:to>
      <xdr:col>9</xdr:col>
      <xdr:colOff>885190</xdr:colOff>
      <xdr:row>4419</xdr:row>
      <xdr:rowOff>1209040</xdr:rowOff>
    </xdr:to>
    <xdr:pic>
      <xdr:nvPicPr>
        <xdr:cNvPr id="8705" name="Изображение 8704" descr="resizeПП-00266927"/>
        <xdr:cNvPicPr>
          <a:picLocks noChangeAspect="1"/>
        </xdr:cNvPicPr>
      </xdr:nvPicPr>
      <xdr:blipFill>
        <a:blip xmlns:r="http://schemas.openxmlformats.org/officeDocument/2006/relationships" r:embed="rId3342"/>
        <a:stretch>
          <a:fillRect/>
        </a:stretch>
      </xdr:blipFill>
      <xdr:spPr>
        <a:xfrm>
          <a:off x="7235825" y="4421038275"/>
          <a:ext cx="878840" cy="1183640"/>
        </a:xfrm>
        <a:prstGeom prst="rect">
          <a:avLst/>
        </a:prstGeom>
      </xdr:spPr>
    </xdr:pic>
    <xdr:clientData/>
  </xdr:twoCellAnchor>
  <xdr:twoCellAnchor>
    <xdr:from>
      <xdr:col>9</xdr:col>
      <xdr:colOff>6350</xdr:colOff>
      <xdr:row>4420</xdr:row>
      <xdr:rowOff>25400</xdr:rowOff>
    </xdr:from>
    <xdr:to>
      <xdr:col>9</xdr:col>
      <xdr:colOff>885190</xdr:colOff>
      <xdr:row>4420</xdr:row>
      <xdr:rowOff>1209040</xdr:rowOff>
    </xdr:to>
    <xdr:pic>
      <xdr:nvPicPr>
        <xdr:cNvPr id="8706" name="Изображение 8705" descr="resizeПП-00266931"/>
        <xdr:cNvPicPr>
          <a:picLocks noChangeAspect="1"/>
        </xdr:cNvPicPr>
      </xdr:nvPicPr>
      <xdr:blipFill>
        <a:blip xmlns:r="http://schemas.openxmlformats.org/officeDocument/2006/relationships" r:embed="rId3343"/>
        <a:stretch>
          <a:fillRect/>
        </a:stretch>
      </xdr:blipFill>
      <xdr:spPr>
        <a:xfrm>
          <a:off x="7235825" y="4422260650"/>
          <a:ext cx="878840" cy="1183640"/>
        </a:xfrm>
        <a:prstGeom prst="rect">
          <a:avLst/>
        </a:prstGeom>
      </xdr:spPr>
    </xdr:pic>
    <xdr:clientData/>
  </xdr:twoCellAnchor>
  <xdr:twoCellAnchor>
    <xdr:from>
      <xdr:col>9</xdr:col>
      <xdr:colOff>6350</xdr:colOff>
      <xdr:row>4421</xdr:row>
      <xdr:rowOff>25400</xdr:rowOff>
    </xdr:from>
    <xdr:to>
      <xdr:col>9</xdr:col>
      <xdr:colOff>885190</xdr:colOff>
      <xdr:row>4421</xdr:row>
      <xdr:rowOff>1209040</xdr:rowOff>
    </xdr:to>
    <xdr:pic>
      <xdr:nvPicPr>
        <xdr:cNvPr id="8707" name="Изображение 8706" descr="resizeПП-00266933"/>
        <xdr:cNvPicPr>
          <a:picLocks noChangeAspect="1"/>
        </xdr:cNvPicPr>
      </xdr:nvPicPr>
      <xdr:blipFill>
        <a:blip xmlns:r="http://schemas.openxmlformats.org/officeDocument/2006/relationships" r:embed="rId3344"/>
        <a:stretch>
          <a:fillRect/>
        </a:stretch>
      </xdr:blipFill>
      <xdr:spPr>
        <a:xfrm>
          <a:off x="7235825" y="4423483025"/>
          <a:ext cx="878840" cy="1183640"/>
        </a:xfrm>
        <a:prstGeom prst="rect">
          <a:avLst/>
        </a:prstGeom>
      </xdr:spPr>
    </xdr:pic>
    <xdr:clientData/>
  </xdr:twoCellAnchor>
  <xdr:twoCellAnchor>
    <xdr:from>
      <xdr:col>9</xdr:col>
      <xdr:colOff>6350</xdr:colOff>
      <xdr:row>4422</xdr:row>
      <xdr:rowOff>25400</xdr:rowOff>
    </xdr:from>
    <xdr:to>
      <xdr:col>9</xdr:col>
      <xdr:colOff>885190</xdr:colOff>
      <xdr:row>4422</xdr:row>
      <xdr:rowOff>1209040</xdr:rowOff>
    </xdr:to>
    <xdr:pic>
      <xdr:nvPicPr>
        <xdr:cNvPr id="8708" name="Изображение 8707" descr="resizeПП-00266934"/>
        <xdr:cNvPicPr>
          <a:picLocks noChangeAspect="1"/>
        </xdr:cNvPicPr>
      </xdr:nvPicPr>
      <xdr:blipFill>
        <a:blip xmlns:r="http://schemas.openxmlformats.org/officeDocument/2006/relationships" r:embed="rId3345"/>
        <a:stretch>
          <a:fillRect/>
        </a:stretch>
      </xdr:blipFill>
      <xdr:spPr>
        <a:xfrm>
          <a:off x="7235825" y="4424705400"/>
          <a:ext cx="878840" cy="1183640"/>
        </a:xfrm>
        <a:prstGeom prst="rect">
          <a:avLst/>
        </a:prstGeom>
      </xdr:spPr>
    </xdr:pic>
    <xdr:clientData/>
  </xdr:twoCellAnchor>
  <xdr:twoCellAnchor>
    <xdr:from>
      <xdr:col>9</xdr:col>
      <xdr:colOff>6350</xdr:colOff>
      <xdr:row>4423</xdr:row>
      <xdr:rowOff>25400</xdr:rowOff>
    </xdr:from>
    <xdr:to>
      <xdr:col>9</xdr:col>
      <xdr:colOff>885190</xdr:colOff>
      <xdr:row>4423</xdr:row>
      <xdr:rowOff>1209040</xdr:rowOff>
    </xdr:to>
    <xdr:pic>
      <xdr:nvPicPr>
        <xdr:cNvPr id="8709" name="Изображение 8708" descr="resizeПП-00266929"/>
        <xdr:cNvPicPr>
          <a:picLocks noChangeAspect="1"/>
        </xdr:cNvPicPr>
      </xdr:nvPicPr>
      <xdr:blipFill>
        <a:blip xmlns:r="http://schemas.openxmlformats.org/officeDocument/2006/relationships" r:embed="rId3346"/>
        <a:stretch>
          <a:fillRect/>
        </a:stretch>
      </xdr:blipFill>
      <xdr:spPr>
        <a:xfrm>
          <a:off x="7235825" y="4425927775"/>
          <a:ext cx="878840" cy="1183640"/>
        </a:xfrm>
        <a:prstGeom prst="rect">
          <a:avLst/>
        </a:prstGeom>
      </xdr:spPr>
    </xdr:pic>
    <xdr:clientData/>
  </xdr:twoCellAnchor>
  <xdr:twoCellAnchor>
    <xdr:from>
      <xdr:col>9</xdr:col>
      <xdr:colOff>6350</xdr:colOff>
      <xdr:row>4424</xdr:row>
      <xdr:rowOff>25400</xdr:rowOff>
    </xdr:from>
    <xdr:to>
      <xdr:col>9</xdr:col>
      <xdr:colOff>885190</xdr:colOff>
      <xdr:row>4424</xdr:row>
      <xdr:rowOff>1209040</xdr:rowOff>
    </xdr:to>
    <xdr:pic>
      <xdr:nvPicPr>
        <xdr:cNvPr id="8710" name="Изображение 8709" descr="resizeПП-00259227"/>
        <xdr:cNvPicPr>
          <a:picLocks noChangeAspect="1"/>
        </xdr:cNvPicPr>
      </xdr:nvPicPr>
      <xdr:blipFill>
        <a:blip xmlns:r="http://schemas.openxmlformats.org/officeDocument/2006/relationships" r:embed="rId3347"/>
        <a:stretch>
          <a:fillRect/>
        </a:stretch>
      </xdr:blipFill>
      <xdr:spPr>
        <a:xfrm>
          <a:off x="7235825" y="4427150150"/>
          <a:ext cx="878840" cy="1183640"/>
        </a:xfrm>
        <a:prstGeom prst="rect">
          <a:avLst/>
        </a:prstGeom>
      </xdr:spPr>
    </xdr:pic>
    <xdr:clientData/>
  </xdr:twoCellAnchor>
  <xdr:twoCellAnchor>
    <xdr:from>
      <xdr:col>9</xdr:col>
      <xdr:colOff>6350</xdr:colOff>
      <xdr:row>4425</xdr:row>
      <xdr:rowOff>25400</xdr:rowOff>
    </xdr:from>
    <xdr:to>
      <xdr:col>9</xdr:col>
      <xdr:colOff>885190</xdr:colOff>
      <xdr:row>4425</xdr:row>
      <xdr:rowOff>1209040</xdr:rowOff>
    </xdr:to>
    <xdr:pic>
      <xdr:nvPicPr>
        <xdr:cNvPr id="8711" name="Изображение 8710" descr="resizeПП-00259233"/>
        <xdr:cNvPicPr>
          <a:picLocks noChangeAspect="1"/>
        </xdr:cNvPicPr>
      </xdr:nvPicPr>
      <xdr:blipFill>
        <a:blip xmlns:r="http://schemas.openxmlformats.org/officeDocument/2006/relationships" r:embed="rId3348"/>
        <a:stretch>
          <a:fillRect/>
        </a:stretch>
      </xdr:blipFill>
      <xdr:spPr>
        <a:xfrm>
          <a:off x="7235825" y="4428372525"/>
          <a:ext cx="878840" cy="1183640"/>
        </a:xfrm>
        <a:prstGeom prst="rect">
          <a:avLst/>
        </a:prstGeom>
      </xdr:spPr>
    </xdr:pic>
    <xdr:clientData/>
  </xdr:twoCellAnchor>
  <xdr:twoCellAnchor>
    <xdr:from>
      <xdr:col>9</xdr:col>
      <xdr:colOff>6350</xdr:colOff>
      <xdr:row>4426</xdr:row>
      <xdr:rowOff>25400</xdr:rowOff>
    </xdr:from>
    <xdr:to>
      <xdr:col>9</xdr:col>
      <xdr:colOff>885190</xdr:colOff>
      <xdr:row>4426</xdr:row>
      <xdr:rowOff>1209040</xdr:rowOff>
    </xdr:to>
    <xdr:pic>
      <xdr:nvPicPr>
        <xdr:cNvPr id="8712" name="Изображение 8711" descr="resizeПП-00266925"/>
        <xdr:cNvPicPr>
          <a:picLocks noChangeAspect="1"/>
        </xdr:cNvPicPr>
      </xdr:nvPicPr>
      <xdr:blipFill>
        <a:blip xmlns:r="http://schemas.openxmlformats.org/officeDocument/2006/relationships" r:embed="rId3349"/>
        <a:stretch>
          <a:fillRect/>
        </a:stretch>
      </xdr:blipFill>
      <xdr:spPr>
        <a:xfrm>
          <a:off x="7235825" y="4429594900"/>
          <a:ext cx="878840" cy="1183640"/>
        </a:xfrm>
        <a:prstGeom prst="rect">
          <a:avLst/>
        </a:prstGeom>
      </xdr:spPr>
    </xdr:pic>
    <xdr:clientData/>
  </xdr:twoCellAnchor>
  <xdr:twoCellAnchor>
    <xdr:from>
      <xdr:col>9</xdr:col>
      <xdr:colOff>6350</xdr:colOff>
      <xdr:row>4427</xdr:row>
      <xdr:rowOff>25400</xdr:rowOff>
    </xdr:from>
    <xdr:to>
      <xdr:col>9</xdr:col>
      <xdr:colOff>885190</xdr:colOff>
      <xdr:row>4427</xdr:row>
      <xdr:rowOff>1209040</xdr:rowOff>
    </xdr:to>
    <xdr:pic>
      <xdr:nvPicPr>
        <xdr:cNvPr id="8713" name="Изображение 8712" descr="resizeПП-00221686"/>
        <xdr:cNvPicPr>
          <a:picLocks noChangeAspect="1"/>
        </xdr:cNvPicPr>
      </xdr:nvPicPr>
      <xdr:blipFill>
        <a:blip xmlns:r="http://schemas.openxmlformats.org/officeDocument/2006/relationships" r:embed="rId3350"/>
        <a:stretch>
          <a:fillRect/>
        </a:stretch>
      </xdr:blipFill>
      <xdr:spPr>
        <a:xfrm>
          <a:off x="7235825" y="4430817275"/>
          <a:ext cx="878840" cy="1183640"/>
        </a:xfrm>
        <a:prstGeom prst="rect">
          <a:avLst/>
        </a:prstGeom>
      </xdr:spPr>
    </xdr:pic>
    <xdr:clientData/>
  </xdr:twoCellAnchor>
  <xdr:twoCellAnchor>
    <xdr:from>
      <xdr:col>9</xdr:col>
      <xdr:colOff>6350</xdr:colOff>
      <xdr:row>4428</xdr:row>
      <xdr:rowOff>25400</xdr:rowOff>
    </xdr:from>
    <xdr:to>
      <xdr:col>9</xdr:col>
      <xdr:colOff>885190</xdr:colOff>
      <xdr:row>4428</xdr:row>
      <xdr:rowOff>1209040</xdr:rowOff>
    </xdr:to>
    <xdr:pic>
      <xdr:nvPicPr>
        <xdr:cNvPr id="8714" name="Изображение 8713" descr="resizeПП-00266923"/>
        <xdr:cNvPicPr>
          <a:picLocks noChangeAspect="1"/>
        </xdr:cNvPicPr>
      </xdr:nvPicPr>
      <xdr:blipFill>
        <a:blip xmlns:r="http://schemas.openxmlformats.org/officeDocument/2006/relationships" r:embed="rId3351"/>
        <a:stretch>
          <a:fillRect/>
        </a:stretch>
      </xdr:blipFill>
      <xdr:spPr>
        <a:xfrm>
          <a:off x="7235825" y="4432039650"/>
          <a:ext cx="878840" cy="1183640"/>
        </a:xfrm>
        <a:prstGeom prst="rect">
          <a:avLst/>
        </a:prstGeom>
      </xdr:spPr>
    </xdr:pic>
    <xdr:clientData/>
  </xdr:twoCellAnchor>
  <xdr:twoCellAnchor>
    <xdr:from>
      <xdr:col>9</xdr:col>
      <xdr:colOff>6350</xdr:colOff>
      <xdr:row>4429</xdr:row>
      <xdr:rowOff>25400</xdr:rowOff>
    </xdr:from>
    <xdr:to>
      <xdr:col>9</xdr:col>
      <xdr:colOff>885190</xdr:colOff>
      <xdr:row>4429</xdr:row>
      <xdr:rowOff>1209040</xdr:rowOff>
    </xdr:to>
    <xdr:pic>
      <xdr:nvPicPr>
        <xdr:cNvPr id="8715" name="Изображение 8714" descr="resizeПП-00259235"/>
        <xdr:cNvPicPr>
          <a:picLocks noChangeAspect="1"/>
        </xdr:cNvPicPr>
      </xdr:nvPicPr>
      <xdr:blipFill>
        <a:blip xmlns:r="http://schemas.openxmlformats.org/officeDocument/2006/relationships" r:embed="rId3352"/>
        <a:stretch>
          <a:fillRect/>
        </a:stretch>
      </xdr:blipFill>
      <xdr:spPr>
        <a:xfrm>
          <a:off x="7235825" y="4433262025"/>
          <a:ext cx="878840" cy="1183640"/>
        </a:xfrm>
        <a:prstGeom prst="rect">
          <a:avLst/>
        </a:prstGeom>
      </xdr:spPr>
    </xdr:pic>
    <xdr:clientData/>
  </xdr:twoCellAnchor>
  <xdr:twoCellAnchor>
    <xdr:from>
      <xdr:col>9</xdr:col>
      <xdr:colOff>6350</xdr:colOff>
      <xdr:row>4430</xdr:row>
      <xdr:rowOff>25400</xdr:rowOff>
    </xdr:from>
    <xdr:to>
      <xdr:col>9</xdr:col>
      <xdr:colOff>885190</xdr:colOff>
      <xdr:row>4430</xdr:row>
      <xdr:rowOff>1209040</xdr:rowOff>
    </xdr:to>
    <xdr:pic>
      <xdr:nvPicPr>
        <xdr:cNvPr id="8716" name="Изображение 8715" descr="resizeПП-00259231"/>
        <xdr:cNvPicPr>
          <a:picLocks noChangeAspect="1"/>
        </xdr:cNvPicPr>
      </xdr:nvPicPr>
      <xdr:blipFill>
        <a:blip xmlns:r="http://schemas.openxmlformats.org/officeDocument/2006/relationships" r:embed="rId3353"/>
        <a:stretch>
          <a:fillRect/>
        </a:stretch>
      </xdr:blipFill>
      <xdr:spPr>
        <a:xfrm>
          <a:off x="7235825" y="4434484400"/>
          <a:ext cx="878840" cy="1183640"/>
        </a:xfrm>
        <a:prstGeom prst="rect">
          <a:avLst/>
        </a:prstGeom>
      </xdr:spPr>
    </xdr:pic>
    <xdr:clientData/>
  </xdr:twoCellAnchor>
  <xdr:twoCellAnchor>
    <xdr:from>
      <xdr:col>9</xdr:col>
      <xdr:colOff>6350</xdr:colOff>
      <xdr:row>4431</xdr:row>
      <xdr:rowOff>25400</xdr:rowOff>
    </xdr:from>
    <xdr:to>
      <xdr:col>9</xdr:col>
      <xdr:colOff>885190</xdr:colOff>
      <xdr:row>4431</xdr:row>
      <xdr:rowOff>1209040</xdr:rowOff>
    </xdr:to>
    <xdr:pic>
      <xdr:nvPicPr>
        <xdr:cNvPr id="8717" name="Изображение 8716" descr="resizeПП-00221684"/>
        <xdr:cNvPicPr>
          <a:picLocks noChangeAspect="1"/>
        </xdr:cNvPicPr>
      </xdr:nvPicPr>
      <xdr:blipFill>
        <a:blip xmlns:r="http://schemas.openxmlformats.org/officeDocument/2006/relationships" r:embed="rId3354"/>
        <a:stretch>
          <a:fillRect/>
        </a:stretch>
      </xdr:blipFill>
      <xdr:spPr>
        <a:xfrm>
          <a:off x="7235825" y="4435706775"/>
          <a:ext cx="878840" cy="1183640"/>
        </a:xfrm>
        <a:prstGeom prst="rect">
          <a:avLst/>
        </a:prstGeom>
      </xdr:spPr>
    </xdr:pic>
    <xdr:clientData/>
  </xdr:twoCellAnchor>
  <xdr:twoCellAnchor>
    <xdr:from>
      <xdr:col>9</xdr:col>
      <xdr:colOff>6350</xdr:colOff>
      <xdr:row>4432</xdr:row>
      <xdr:rowOff>25400</xdr:rowOff>
    </xdr:from>
    <xdr:to>
      <xdr:col>9</xdr:col>
      <xdr:colOff>885190</xdr:colOff>
      <xdr:row>4432</xdr:row>
      <xdr:rowOff>1209040</xdr:rowOff>
    </xdr:to>
    <xdr:pic>
      <xdr:nvPicPr>
        <xdr:cNvPr id="8718" name="Изображение 8717" descr="resizeПП-00221685"/>
        <xdr:cNvPicPr>
          <a:picLocks noChangeAspect="1"/>
        </xdr:cNvPicPr>
      </xdr:nvPicPr>
      <xdr:blipFill>
        <a:blip xmlns:r="http://schemas.openxmlformats.org/officeDocument/2006/relationships" r:embed="rId3355"/>
        <a:stretch>
          <a:fillRect/>
        </a:stretch>
      </xdr:blipFill>
      <xdr:spPr>
        <a:xfrm>
          <a:off x="7235825" y="4436929150"/>
          <a:ext cx="878840" cy="1183640"/>
        </a:xfrm>
        <a:prstGeom prst="rect">
          <a:avLst/>
        </a:prstGeom>
      </xdr:spPr>
    </xdr:pic>
    <xdr:clientData/>
  </xdr:twoCellAnchor>
  <xdr:twoCellAnchor>
    <xdr:from>
      <xdr:col>9</xdr:col>
      <xdr:colOff>6350</xdr:colOff>
      <xdr:row>4433</xdr:row>
      <xdr:rowOff>25400</xdr:rowOff>
    </xdr:from>
    <xdr:to>
      <xdr:col>9</xdr:col>
      <xdr:colOff>885190</xdr:colOff>
      <xdr:row>4433</xdr:row>
      <xdr:rowOff>1209040</xdr:rowOff>
    </xdr:to>
    <xdr:pic>
      <xdr:nvPicPr>
        <xdr:cNvPr id="8719" name="Изображение 8718" descr="resizeПП-00221681"/>
        <xdr:cNvPicPr>
          <a:picLocks noChangeAspect="1"/>
        </xdr:cNvPicPr>
      </xdr:nvPicPr>
      <xdr:blipFill>
        <a:blip xmlns:r="http://schemas.openxmlformats.org/officeDocument/2006/relationships" r:embed="rId3356"/>
        <a:stretch>
          <a:fillRect/>
        </a:stretch>
      </xdr:blipFill>
      <xdr:spPr>
        <a:xfrm>
          <a:off x="7235825" y="4438151525"/>
          <a:ext cx="878840" cy="1183640"/>
        </a:xfrm>
        <a:prstGeom prst="rect">
          <a:avLst/>
        </a:prstGeom>
      </xdr:spPr>
    </xdr:pic>
    <xdr:clientData/>
  </xdr:twoCellAnchor>
  <xdr:twoCellAnchor>
    <xdr:from>
      <xdr:col>9</xdr:col>
      <xdr:colOff>6350</xdr:colOff>
      <xdr:row>4437</xdr:row>
      <xdr:rowOff>25400</xdr:rowOff>
    </xdr:from>
    <xdr:to>
      <xdr:col>9</xdr:col>
      <xdr:colOff>885190</xdr:colOff>
      <xdr:row>4437</xdr:row>
      <xdr:rowOff>1209040</xdr:rowOff>
    </xdr:to>
    <xdr:pic>
      <xdr:nvPicPr>
        <xdr:cNvPr id="8720" name="Изображение 8719" descr="resizeПП-00272986"/>
        <xdr:cNvPicPr>
          <a:picLocks noChangeAspect="1"/>
        </xdr:cNvPicPr>
      </xdr:nvPicPr>
      <xdr:blipFill>
        <a:blip xmlns:r="http://schemas.openxmlformats.org/officeDocument/2006/relationships" r:embed="rId3357"/>
        <a:stretch>
          <a:fillRect/>
        </a:stretch>
      </xdr:blipFill>
      <xdr:spPr>
        <a:xfrm>
          <a:off x="7235825" y="4439831100"/>
          <a:ext cx="878840" cy="1183640"/>
        </a:xfrm>
        <a:prstGeom prst="rect">
          <a:avLst/>
        </a:prstGeom>
      </xdr:spPr>
    </xdr:pic>
    <xdr:clientData/>
  </xdr:twoCellAnchor>
  <xdr:twoCellAnchor>
    <xdr:from>
      <xdr:col>9</xdr:col>
      <xdr:colOff>6350</xdr:colOff>
      <xdr:row>4438</xdr:row>
      <xdr:rowOff>25400</xdr:rowOff>
    </xdr:from>
    <xdr:to>
      <xdr:col>9</xdr:col>
      <xdr:colOff>885190</xdr:colOff>
      <xdr:row>4438</xdr:row>
      <xdr:rowOff>1209040</xdr:rowOff>
    </xdr:to>
    <xdr:pic>
      <xdr:nvPicPr>
        <xdr:cNvPr id="8721" name="Изображение 8720" descr="resizeПП-00272992"/>
        <xdr:cNvPicPr>
          <a:picLocks noChangeAspect="1"/>
        </xdr:cNvPicPr>
      </xdr:nvPicPr>
      <xdr:blipFill>
        <a:blip xmlns:r="http://schemas.openxmlformats.org/officeDocument/2006/relationships" r:embed="rId3358"/>
        <a:stretch>
          <a:fillRect/>
        </a:stretch>
      </xdr:blipFill>
      <xdr:spPr>
        <a:xfrm>
          <a:off x="7235825" y="4441053475"/>
          <a:ext cx="878840" cy="1183640"/>
        </a:xfrm>
        <a:prstGeom prst="rect">
          <a:avLst/>
        </a:prstGeom>
      </xdr:spPr>
    </xdr:pic>
    <xdr:clientData/>
  </xdr:twoCellAnchor>
  <xdr:twoCellAnchor>
    <xdr:from>
      <xdr:col>9</xdr:col>
      <xdr:colOff>6350</xdr:colOff>
      <xdr:row>4439</xdr:row>
      <xdr:rowOff>25400</xdr:rowOff>
    </xdr:from>
    <xdr:to>
      <xdr:col>9</xdr:col>
      <xdr:colOff>885190</xdr:colOff>
      <xdr:row>4439</xdr:row>
      <xdr:rowOff>1209040</xdr:rowOff>
    </xdr:to>
    <xdr:pic>
      <xdr:nvPicPr>
        <xdr:cNvPr id="8722" name="Изображение 8721" descr="resizeПП-00272985"/>
        <xdr:cNvPicPr>
          <a:picLocks noChangeAspect="1"/>
        </xdr:cNvPicPr>
      </xdr:nvPicPr>
      <xdr:blipFill>
        <a:blip xmlns:r="http://schemas.openxmlformats.org/officeDocument/2006/relationships" r:embed="rId3359"/>
        <a:stretch>
          <a:fillRect/>
        </a:stretch>
      </xdr:blipFill>
      <xdr:spPr>
        <a:xfrm>
          <a:off x="7235825" y="4442275850"/>
          <a:ext cx="878840" cy="1183640"/>
        </a:xfrm>
        <a:prstGeom prst="rect">
          <a:avLst/>
        </a:prstGeom>
      </xdr:spPr>
    </xdr:pic>
    <xdr:clientData/>
  </xdr:twoCellAnchor>
  <xdr:twoCellAnchor>
    <xdr:from>
      <xdr:col>9</xdr:col>
      <xdr:colOff>6350</xdr:colOff>
      <xdr:row>4440</xdr:row>
      <xdr:rowOff>25400</xdr:rowOff>
    </xdr:from>
    <xdr:to>
      <xdr:col>9</xdr:col>
      <xdr:colOff>885190</xdr:colOff>
      <xdr:row>4440</xdr:row>
      <xdr:rowOff>1209040</xdr:rowOff>
    </xdr:to>
    <xdr:pic>
      <xdr:nvPicPr>
        <xdr:cNvPr id="8723" name="Изображение 8722" descr="resizeПП-00272984"/>
        <xdr:cNvPicPr>
          <a:picLocks noChangeAspect="1"/>
        </xdr:cNvPicPr>
      </xdr:nvPicPr>
      <xdr:blipFill>
        <a:blip xmlns:r="http://schemas.openxmlformats.org/officeDocument/2006/relationships" r:embed="rId3360"/>
        <a:stretch>
          <a:fillRect/>
        </a:stretch>
      </xdr:blipFill>
      <xdr:spPr>
        <a:xfrm>
          <a:off x="7235825" y="4443498225"/>
          <a:ext cx="878840" cy="1183640"/>
        </a:xfrm>
        <a:prstGeom prst="rect">
          <a:avLst/>
        </a:prstGeom>
      </xdr:spPr>
    </xdr:pic>
    <xdr:clientData/>
  </xdr:twoCellAnchor>
  <xdr:twoCellAnchor>
    <xdr:from>
      <xdr:col>9</xdr:col>
      <xdr:colOff>6350</xdr:colOff>
      <xdr:row>4441</xdr:row>
      <xdr:rowOff>25400</xdr:rowOff>
    </xdr:from>
    <xdr:to>
      <xdr:col>9</xdr:col>
      <xdr:colOff>885190</xdr:colOff>
      <xdr:row>4441</xdr:row>
      <xdr:rowOff>1209040</xdr:rowOff>
    </xdr:to>
    <xdr:pic>
      <xdr:nvPicPr>
        <xdr:cNvPr id="8724" name="Изображение 8723" descr="resizeПП-00272997"/>
        <xdr:cNvPicPr>
          <a:picLocks noChangeAspect="1"/>
        </xdr:cNvPicPr>
      </xdr:nvPicPr>
      <xdr:blipFill>
        <a:blip xmlns:r="http://schemas.openxmlformats.org/officeDocument/2006/relationships" r:embed="rId3361"/>
        <a:stretch>
          <a:fillRect/>
        </a:stretch>
      </xdr:blipFill>
      <xdr:spPr>
        <a:xfrm>
          <a:off x="7235825" y="4444720600"/>
          <a:ext cx="878840" cy="1183640"/>
        </a:xfrm>
        <a:prstGeom prst="rect">
          <a:avLst/>
        </a:prstGeom>
      </xdr:spPr>
    </xdr:pic>
    <xdr:clientData/>
  </xdr:twoCellAnchor>
  <xdr:twoCellAnchor>
    <xdr:from>
      <xdr:col>9</xdr:col>
      <xdr:colOff>6350</xdr:colOff>
      <xdr:row>4442</xdr:row>
      <xdr:rowOff>25400</xdr:rowOff>
    </xdr:from>
    <xdr:to>
      <xdr:col>9</xdr:col>
      <xdr:colOff>885190</xdr:colOff>
      <xdr:row>4442</xdr:row>
      <xdr:rowOff>1209040</xdr:rowOff>
    </xdr:to>
    <xdr:pic>
      <xdr:nvPicPr>
        <xdr:cNvPr id="8725" name="Изображение 8724" descr="resizeПП-00272987"/>
        <xdr:cNvPicPr>
          <a:picLocks noChangeAspect="1"/>
        </xdr:cNvPicPr>
      </xdr:nvPicPr>
      <xdr:blipFill>
        <a:blip xmlns:r="http://schemas.openxmlformats.org/officeDocument/2006/relationships" r:embed="rId3362"/>
        <a:stretch>
          <a:fillRect/>
        </a:stretch>
      </xdr:blipFill>
      <xdr:spPr>
        <a:xfrm>
          <a:off x="7235825" y="4445942975"/>
          <a:ext cx="878840" cy="1183640"/>
        </a:xfrm>
        <a:prstGeom prst="rect">
          <a:avLst/>
        </a:prstGeom>
      </xdr:spPr>
    </xdr:pic>
    <xdr:clientData/>
  </xdr:twoCellAnchor>
  <xdr:twoCellAnchor>
    <xdr:from>
      <xdr:col>9</xdr:col>
      <xdr:colOff>6350</xdr:colOff>
      <xdr:row>4443</xdr:row>
      <xdr:rowOff>25400</xdr:rowOff>
    </xdr:from>
    <xdr:to>
      <xdr:col>9</xdr:col>
      <xdr:colOff>885190</xdr:colOff>
      <xdr:row>4443</xdr:row>
      <xdr:rowOff>1209040</xdr:rowOff>
    </xdr:to>
    <xdr:pic>
      <xdr:nvPicPr>
        <xdr:cNvPr id="8726" name="Изображение 8725" descr="resizeПП-00272993"/>
        <xdr:cNvPicPr>
          <a:picLocks noChangeAspect="1"/>
        </xdr:cNvPicPr>
      </xdr:nvPicPr>
      <xdr:blipFill>
        <a:blip xmlns:r="http://schemas.openxmlformats.org/officeDocument/2006/relationships" r:embed="rId3363"/>
        <a:stretch>
          <a:fillRect/>
        </a:stretch>
      </xdr:blipFill>
      <xdr:spPr>
        <a:xfrm>
          <a:off x="7235825" y="4447165350"/>
          <a:ext cx="878840" cy="1183640"/>
        </a:xfrm>
        <a:prstGeom prst="rect">
          <a:avLst/>
        </a:prstGeom>
      </xdr:spPr>
    </xdr:pic>
    <xdr:clientData/>
  </xdr:twoCellAnchor>
  <xdr:twoCellAnchor>
    <xdr:from>
      <xdr:col>9</xdr:col>
      <xdr:colOff>6350</xdr:colOff>
      <xdr:row>4444</xdr:row>
      <xdr:rowOff>25400</xdr:rowOff>
    </xdr:from>
    <xdr:to>
      <xdr:col>9</xdr:col>
      <xdr:colOff>885190</xdr:colOff>
      <xdr:row>4444</xdr:row>
      <xdr:rowOff>1209040</xdr:rowOff>
    </xdr:to>
    <xdr:pic>
      <xdr:nvPicPr>
        <xdr:cNvPr id="8727" name="Изображение 8726" descr="resizeПП-00272980"/>
        <xdr:cNvPicPr>
          <a:picLocks noChangeAspect="1"/>
        </xdr:cNvPicPr>
      </xdr:nvPicPr>
      <xdr:blipFill>
        <a:blip xmlns:r="http://schemas.openxmlformats.org/officeDocument/2006/relationships" r:embed="rId3364"/>
        <a:stretch>
          <a:fillRect/>
        </a:stretch>
      </xdr:blipFill>
      <xdr:spPr>
        <a:xfrm>
          <a:off x="7235825" y="4448387725"/>
          <a:ext cx="878840" cy="1183640"/>
        </a:xfrm>
        <a:prstGeom prst="rect">
          <a:avLst/>
        </a:prstGeom>
      </xdr:spPr>
    </xdr:pic>
    <xdr:clientData/>
  </xdr:twoCellAnchor>
  <xdr:twoCellAnchor>
    <xdr:from>
      <xdr:col>9</xdr:col>
      <xdr:colOff>6350</xdr:colOff>
      <xdr:row>4445</xdr:row>
      <xdr:rowOff>25400</xdr:rowOff>
    </xdr:from>
    <xdr:to>
      <xdr:col>9</xdr:col>
      <xdr:colOff>885190</xdr:colOff>
      <xdr:row>4445</xdr:row>
      <xdr:rowOff>1209040</xdr:rowOff>
    </xdr:to>
    <xdr:pic>
      <xdr:nvPicPr>
        <xdr:cNvPr id="8728" name="Изображение 8727" descr="resizeПП-00272988"/>
        <xdr:cNvPicPr>
          <a:picLocks noChangeAspect="1"/>
        </xdr:cNvPicPr>
      </xdr:nvPicPr>
      <xdr:blipFill>
        <a:blip xmlns:r="http://schemas.openxmlformats.org/officeDocument/2006/relationships" r:embed="rId3365"/>
        <a:stretch>
          <a:fillRect/>
        </a:stretch>
      </xdr:blipFill>
      <xdr:spPr>
        <a:xfrm>
          <a:off x="7235825" y="4449610100"/>
          <a:ext cx="878840" cy="1183640"/>
        </a:xfrm>
        <a:prstGeom prst="rect">
          <a:avLst/>
        </a:prstGeom>
      </xdr:spPr>
    </xdr:pic>
    <xdr:clientData/>
  </xdr:twoCellAnchor>
  <xdr:twoCellAnchor>
    <xdr:from>
      <xdr:col>9</xdr:col>
      <xdr:colOff>6350</xdr:colOff>
      <xdr:row>4446</xdr:row>
      <xdr:rowOff>25400</xdr:rowOff>
    </xdr:from>
    <xdr:to>
      <xdr:col>9</xdr:col>
      <xdr:colOff>885190</xdr:colOff>
      <xdr:row>4446</xdr:row>
      <xdr:rowOff>1209040</xdr:rowOff>
    </xdr:to>
    <xdr:pic>
      <xdr:nvPicPr>
        <xdr:cNvPr id="8729" name="Изображение 8728" descr="resizeПП-00272996"/>
        <xdr:cNvPicPr>
          <a:picLocks noChangeAspect="1"/>
        </xdr:cNvPicPr>
      </xdr:nvPicPr>
      <xdr:blipFill>
        <a:blip xmlns:r="http://schemas.openxmlformats.org/officeDocument/2006/relationships" r:embed="rId3366"/>
        <a:stretch>
          <a:fillRect/>
        </a:stretch>
      </xdr:blipFill>
      <xdr:spPr>
        <a:xfrm>
          <a:off x="7235825" y="4450832475"/>
          <a:ext cx="878840" cy="1183640"/>
        </a:xfrm>
        <a:prstGeom prst="rect">
          <a:avLst/>
        </a:prstGeom>
      </xdr:spPr>
    </xdr:pic>
    <xdr:clientData/>
  </xdr:twoCellAnchor>
  <xdr:twoCellAnchor>
    <xdr:from>
      <xdr:col>9</xdr:col>
      <xdr:colOff>6350</xdr:colOff>
      <xdr:row>4447</xdr:row>
      <xdr:rowOff>25400</xdr:rowOff>
    </xdr:from>
    <xdr:to>
      <xdr:col>9</xdr:col>
      <xdr:colOff>885190</xdr:colOff>
      <xdr:row>4447</xdr:row>
      <xdr:rowOff>1209040</xdr:rowOff>
    </xdr:to>
    <xdr:pic>
      <xdr:nvPicPr>
        <xdr:cNvPr id="8730" name="Изображение 8729" descr="resizeПП-00272989"/>
        <xdr:cNvPicPr>
          <a:picLocks noChangeAspect="1"/>
        </xdr:cNvPicPr>
      </xdr:nvPicPr>
      <xdr:blipFill>
        <a:blip xmlns:r="http://schemas.openxmlformats.org/officeDocument/2006/relationships" r:embed="rId3367"/>
        <a:stretch>
          <a:fillRect/>
        </a:stretch>
      </xdr:blipFill>
      <xdr:spPr>
        <a:xfrm>
          <a:off x="7235825" y="4452054850"/>
          <a:ext cx="878840" cy="1183640"/>
        </a:xfrm>
        <a:prstGeom prst="rect">
          <a:avLst/>
        </a:prstGeom>
      </xdr:spPr>
    </xdr:pic>
    <xdr:clientData/>
  </xdr:twoCellAnchor>
  <xdr:twoCellAnchor>
    <xdr:from>
      <xdr:col>9</xdr:col>
      <xdr:colOff>6350</xdr:colOff>
      <xdr:row>4448</xdr:row>
      <xdr:rowOff>25400</xdr:rowOff>
    </xdr:from>
    <xdr:to>
      <xdr:col>9</xdr:col>
      <xdr:colOff>885190</xdr:colOff>
      <xdr:row>4448</xdr:row>
      <xdr:rowOff>1209040</xdr:rowOff>
    </xdr:to>
    <xdr:pic>
      <xdr:nvPicPr>
        <xdr:cNvPr id="8731" name="Изображение 8730" descr="resizeПП-00272990"/>
        <xdr:cNvPicPr>
          <a:picLocks noChangeAspect="1"/>
        </xdr:cNvPicPr>
      </xdr:nvPicPr>
      <xdr:blipFill>
        <a:blip xmlns:r="http://schemas.openxmlformats.org/officeDocument/2006/relationships" r:embed="rId3368"/>
        <a:stretch>
          <a:fillRect/>
        </a:stretch>
      </xdr:blipFill>
      <xdr:spPr>
        <a:xfrm>
          <a:off x="7235825" y="4453277225"/>
          <a:ext cx="878840" cy="1183640"/>
        </a:xfrm>
        <a:prstGeom prst="rect">
          <a:avLst/>
        </a:prstGeom>
      </xdr:spPr>
    </xdr:pic>
    <xdr:clientData/>
  </xdr:twoCellAnchor>
  <xdr:twoCellAnchor>
    <xdr:from>
      <xdr:col>9</xdr:col>
      <xdr:colOff>6350</xdr:colOff>
      <xdr:row>4449</xdr:row>
      <xdr:rowOff>25400</xdr:rowOff>
    </xdr:from>
    <xdr:to>
      <xdr:col>9</xdr:col>
      <xdr:colOff>1189990</xdr:colOff>
      <xdr:row>4449</xdr:row>
      <xdr:rowOff>904240</xdr:rowOff>
    </xdr:to>
    <xdr:pic>
      <xdr:nvPicPr>
        <xdr:cNvPr id="8732" name="Изображение 8731" descr="resizeПП-00253578"/>
        <xdr:cNvPicPr>
          <a:picLocks noChangeAspect="1"/>
        </xdr:cNvPicPr>
      </xdr:nvPicPr>
      <xdr:blipFill>
        <a:blip xmlns:r="http://schemas.openxmlformats.org/officeDocument/2006/relationships" r:embed="rId3369"/>
        <a:stretch>
          <a:fillRect/>
        </a:stretch>
      </xdr:blipFill>
      <xdr:spPr>
        <a:xfrm>
          <a:off x="7235825" y="4454499600"/>
          <a:ext cx="1183640" cy="878840"/>
        </a:xfrm>
        <a:prstGeom prst="rect">
          <a:avLst/>
        </a:prstGeom>
      </xdr:spPr>
    </xdr:pic>
    <xdr:clientData/>
  </xdr:twoCellAnchor>
  <xdr:twoCellAnchor>
    <xdr:from>
      <xdr:col>9</xdr:col>
      <xdr:colOff>6350</xdr:colOff>
      <xdr:row>4450</xdr:row>
      <xdr:rowOff>25400</xdr:rowOff>
    </xdr:from>
    <xdr:to>
      <xdr:col>9</xdr:col>
      <xdr:colOff>885190</xdr:colOff>
      <xdr:row>4450</xdr:row>
      <xdr:rowOff>1209040</xdr:rowOff>
    </xdr:to>
    <xdr:pic>
      <xdr:nvPicPr>
        <xdr:cNvPr id="8733" name="Изображение 8732" descr="resizeПП-00233358"/>
        <xdr:cNvPicPr>
          <a:picLocks noChangeAspect="1"/>
        </xdr:cNvPicPr>
      </xdr:nvPicPr>
      <xdr:blipFill>
        <a:blip xmlns:r="http://schemas.openxmlformats.org/officeDocument/2006/relationships" r:embed="rId3370"/>
        <a:stretch>
          <a:fillRect/>
        </a:stretch>
      </xdr:blipFill>
      <xdr:spPr>
        <a:xfrm>
          <a:off x="7235825" y="4455721975"/>
          <a:ext cx="878840" cy="1183640"/>
        </a:xfrm>
        <a:prstGeom prst="rect">
          <a:avLst/>
        </a:prstGeom>
      </xdr:spPr>
    </xdr:pic>
    <xdr:clientData/>
  </xdr:twoCellAnchor>
  <xdr:twoCellAnchor>
    <xdr:from>
      <xdr:col>9</xdr:col>
      <xdr:colOff>6350</xdr:colOff>
      <xdr:row>4451</xdr:row>
      <xdr:rowOff>25400</xdr:rowOff>
    </xdr:from>
    <xdr:to>
      <xdr:col>9</xdr:col>
      <xdr:colOff>885190</xdr:colOff>
      <xdr:row>4451</xdr:row>
      <xdr:rowOff>1209040</xdr:rowOff>
    </xdr:to>
    <xdr:pic>
      <xdr:nvPicPr>
        <xdr:cNvPr id="8734" name="Изображение 8733" descr="resizeПП-00204829"/>
        <xdr:cNvPicPr>
          <a:picLocks noChangeAspect="1"/>
        </xdr:cNvPicPr>
      </xdr:nvPicPr>
      <xdr:blipFill>
        <a:blip xmlns:r="http://schemas.openxmlformats.org/officeDocument/2006/relationships" r:embed="rId3371"/>
        <a:stretch>
          <a:fillRect/>
        </a:stretch>
      </xdr:blipFill>
      <xdr:spPr>
        <a:xfrm>
          <a:off x="7235825" y="4456944350"/>
          <a:ext cx="878840" cy="1183640"/>
        </a:xfrm>
        <a:prstGeom prst="rect">
          <a:avLst/>
        </a:prstGeom>
      </xdr:spPr>
    </xdr:pic>
    <xdr:clientData/>
  </xdr:twoCellAnchor>
  <xdr:twoCellAnchor>
    <xdr:from>
      <xdr:col>9</xdr:col>
      <xdr:colOff>6350</xdr:colOff>
      <xdr:row>4452</xdr:row>
      <xdr:rowOff>25400</xdr:rowOff>
    </xdr:from>
    <xdr:to>
      <xdr:col>9</xdr:col>
      <xdr:colOff>885190</xdr:colOff>
      <xdr:row>4452</xdr:row>
      <xdr:rowOff>1209040</xdr:rowOff>
    </xdr:to>
    <xdr:pic>
      <xdr:nvPicPr>
        <xdr:cNvPr id="8735" name="Изображение 8734" descr="resizeПП-00204826"/>
        <xdr:cNvPicPr>
          <a:picLocks noChangeAspect="1"/>
        </xdr:cNvPicPr>
      </xdr:nvPicPr>
      <xdr:blipFill>
        <a:blip xmlns:r="http://schemas.openxmlformats.org/officeDocument/2006/relationships" r:embed="rId3372"/>
        <a:stretch>
          <a:fillRect/>
        </a:stretch>
      </xdr:blipFill>
      <xdr:spPr>
        <a:xfrm>
          <a:off x="7235825" y="4458166725"/>
          <a:ext cx="878840" cy="1183640"/>
        </a:xfrm>
        <a:prstGeom prst="rect">
          <a:avLst/>
        </a:prstGeom>
      </xdr:spPr>
    </xdr:pic>
    <xdr:clientData/>
  </xdr:twoCellAnchor>
  <xdr:twoCellAnchor>
    <xdr:from>
      <xdr:col>9</xdr:col>
      <xdr:colOff>6350</xdr:colOff>
      <xdr:row>4453</xdr:row>
      <xdr:rowOff>25400</xdr:rowOff>
    </xdr:from>
    <xdr:to>
      <xdr:col>9</xdr:col>
      <xdr:colOff>1189990</xdr:colOff>
      <xdr:row>4453</xdr:row>
      <xdr:rowOff>904240</xdr:rowOff>
    </xdr:to>
    <xdr:pic>
      <xdr:nvPicPr>
        <xdr:cNvPr id="8736" name="Изображение 8735" descr="resizeПП-00253586"/>
        <xdr:cNvPicPr>
          <a:picLocks noChangeAspect="1"/>
        </xdr:cNvPicPr>
      </xdr:nvPicPr>
      <xdr:blipFill>
        <a:blip xmlns:r="http://schemas.openxmlformats.org/officeDocument/2006/relationships" r:embed="rId3373"/>
        <a:stretch>
          <a:fillRect/>
        </a:stretch>
      </xdr:blipFill>
      <xdr:spPr>
        <a:xfrm>
          <a:off x="7235825" y="4459389100"/>
          <a:ext cx="1183640" cy="878840"/>
        </a:xfrm>
        <a:prstGeom prst="rect">
          <a:avLst/>
        </a:prstGeom>
      </xdr:spPr>
    </xdr:pic>
    <xdr:clientData/>
  </xdr:twoCellAnchor>
  <xdr:twoCellAnchor>
    <xdr:from>
      <xdr:col>9</xdr:col>
      <xdr:colOff>6350</xdr:colOff>
      <xdr:row>4454</xdr:row>
      <xdr:rowOff>25400</xdr:rowOff>
    </xdr:from>
    <xdr:to>
      <xdr:col>9</xdr:col>
      <xdr:colOff>885190</xdr:colOff>
      <xdr:row>4454</xdr:row>
      <xdr:rowOff>1209040</xdr:rowOff>
    </xdr:to>
    <xdr:pic>
      <xdr:nvPicPr>
        <xdr:cNvPr id="8737" name="Изображение 8736" descr="resizeПП-00233331"/>
        <xdr:cNvPicPr>
          <a:picLocks noChangeAspect="1"/>
        </xdr:cNvPicPr>
      </xdr:nvPicPr>
      <xdr:blipFill>
        <a:blip xmlns:r="http://schemas.openxmlformats.org/officeDocument/2006/relationships" r:embed="rId3374"/>
        <a:stretch>
          <a:fillRect/>
        </a:stretch>
      </xdr:blipFill>
      <xdr:spPr>
        <a:xfrm>
          <a:off x="7235825" y="4460611475"/>
          <a:ext cx="878840" cy="1183640"/>
        </a:xfrm>
        <a:prstGeom prst="rect">
          <a:avLst/>
        </a:prstGeom>
      </xdr:spPr>
    </xdr:pic>
    <xdr:clientData/>
  </xdr:twoCellAnchor>
  <xdr:twoCellAnchor>
    <xdr:from>
      <xdr:col>9</xdr:col>
      <xdr:colOff>6350</xdr:colOff>
      <xdr:row>4455</xdr:row>
      <xdr:rowOff>25400</xdr:rowOff>
    </xdr:from>
    <xdr:to>
      <xdr:col>9</xdr:col>
      <xdr:colOff>1189990</xdr:colOff>
      <xdr:row>4455</xdr:row>
      <xdr:rowOff>904240</xdr:rowOff>
    </xdr:to>
    <xdr:pic>
      <xdr:nvPicPr>
        <xdr:cNvPr id="8738" name="Изображение 8737" descr="resizeПП-00253579"/>
        <xdr:cNvPicPr>
          <a:picLocks noChangeAspect="1"/>
        </xdr:cNvPicPr>
      </xdr:nvPicPr>
      <xdr:blipFill>
        <a:blip xmlns:r="http://schemas.openxmlformats.org/officeDocument/2006/relationships" r:embed="rId3375"/>
        <a:stretch>
          <a:fillRect/>
        </a:stretch>
      </xdr:blipFill>
      <xdr:spPr>
        <a:xfrm>
          <a:off x="7235825" y="4461833850"/>
          <a:ext cx="1183640" cy="878840"/>
        </a:xfrm>
        <a:prstGeom prst="rect">
          <a:avLst/>
        </a:prstGeom>
      </xdr:spPr>
    </xdr:pic>
    <xdr:clientData/>
  </xdr:twoCellAnchor>
  <xdr:twoCellAnchor>
    <xdr:from>
      <xdr:col>9</xdr:col>
      <xdr:colOff>6350</xdr:colOff>
      <xdr:row>4456</xdr:row>
      <xdr:rowOff>25400</xdr:rowOff>
    </xdr:from>
    <xdr:to>
      <xdr:col>9</xdr:col>
      <xdr:colOff>1189990</xdr:colOff>
      <xdr:row>4456</xdr:row>
      <xdr:rowOff>904240</xdr:rowOff>
    </xdr:to>
    <xdr:pic>
      <xdr:nvPicPr>
        <xdr:cNvPr id="8739" name="Изображение 8738" descr="resizeПП-00253582"/>
        <xdr:cNvPicPr>
          <a:picLocks noChangeAspect="1"/>
        </xdr:cNvPicPr>
      </xdr:nvPicPr>
      <xdr:blipFill>
        <a:blip xmlns:r="http://schemas.openxmlformats.org/officeDocument/2006/relationships" r:embed="rId3376"/>
        <a:stretch>
          <a:fillRect/>
        </a:stretch>
      </xdr:blipFill>
      <xdr:spPr>
        <a:xfrm>
          <a:off x="7235825" y="4463056225"/>
          <a:ext cx="1183640" cy="878840"/>
        </a:xfrm>
        <a:prstGeom prst="rect">
          <a:avLst/>
        </a:prstGeom>
      </xdr:spPr>
    </xdr:pic>
    <xdr:clientData/>
  </xdr:twoCellAnchor>
  <xdr:twoCellAnchor>
    <xdr:from>
      <xdr:col>9</xdr:col>
      <xdr:colOff>6350</xdr:colOff>
      <xdr:row>4457</xdr:row>
      <xdr:rowOff>25400</xdr:rowOff>
    </xdr:from>
    <xdr:to>
      <xdr:col>9</xdr:col>
      <xdr:colOff>1189990</xdr:colOff>
      <xdr:row>4457</xdr:row>
      <xdr:rowOff>904240</xdr:rowOff>
    </xdr:to>
    <xdr:pic>
      <xdr:nvPicPr>
        <xdr:cNvPr id="8740" name="Изображение 8739" descr="resizeПП-00253581"/>
        <xdr:cNvPicPr>
          <a:picLocks noChangeAspect="1"/>
        </xdr:cNvPicPr>
      </xdr:nvPicPr>
      <xdr:blipFill>
        <a:blip xmlns:r="http://schemas.openxmlformats.org/officeDocument/2006/relationships" r:embed="rId3377"/>
        <a:stretch>
          <a:fillRect/>
        </a:stretch>
      </xdr:blipFill>
      <xdr:spPr>
        <a:xfrm>
          <a:off x="7235825" y="4464278600"/>
          <a:ext cx="1183640" cy="878840"/>
        </a:xfrm>
        <a:prstGeom prst="rect">
          <a:avLst/>
        </a:prstGeom>
      </xdr:spPr>
    </xdr:pic>
    <xdr:clientData/>
  </xdr:twoCellAnchor>
  <xdr:twoCellAnchor>
    <xdr:from>
      <xdr:col>9</xdr:col>
      <xdr:colOff>6350</xdr:colOff>
      <xdr:row>4458</xdr:row>
      <xdr:rowOff>25400</xdr:rowOff>
    </xdr:from>
    <xdr:to>
      <xdr:col>9</xdr:col>
      <xdr:colOff>1189990</xdr:colOff>
      <xdr:row>4458</xdr:row>
      <xdr:rowOff>904240</xdr:rowOff>
    </xdr:to>
    <xdr:pic>
      <xdr:nvPicPr>
        <xdr:cNvPr id="8741" name="Изображение 8740" descr="resizeПП-00253583"/>
        <xdr:cNvPicPr>
          <a:picLocks noChangeAspect="1"/>
        </xdr:cNvPicPr>
      </xdr:nvPicPr>
      <xdr:blipFill>
        <a:blip xmlns:r="http://schemas.openxmlformats.org/officeDocument/2006/relationships" r:embed="rId3378"/>
        <a:stretch>
          <a:fillRect/>
        </a:stretch>
      </xdr:blipFill>
      <xdr:spPr>
        <a:xfrm>
          <a:off x="7235825" y="4465500975"/>
          <a:ext cx="1183640" cy="878840"/>
        </a:xfrm>
        <a:prstGeom prst="rect">
          <a:avLst/>
        </a:prstGeom>
      </xdr:spPr>
    </xdr:pic>
    <xdr:clientData/>
  </xdr:twoCellAnchor>
  <xdr:twoCellAnchor>
    <xdr:from>
      <xdr:col>9</xdr:col>
      <xdr:colOff>6350</xdr:colOff>
      <xdr:row>4459</xdr:row>
      <xdr:rowOff>25400</xdr:rowOff>
    </xdr:from>
    <xdr:to>
      <xdr:col>9</xdr:col>
      <xdr:colOff>1189990</xdr:colOff>
      <xdr:row>4459</xdr:row>
      <xdr:rowOff>904240</xdr:rowOff>
    </xdr:to>
    <xdr:pic>
      <xdr:nvPicPr>
        <xdr:cNvPr id="8742" name="Изображение 8741" descr="resizeПП-00253587"/>
        <xdr:cNvPicPr>
          <a:picLocks noChangeAspect="1"/>
        </xdr:cNvPicPr>
      </xdr:nvPicPr>
      <xdr:blipFill>
        <a:blip xmlns:r="http://schemas.openxmlformats.org/officeDocument/2006/relationships" r:embed="rId3379"/>
        <a:stretch>
          <a:fillRect/>
        </a:stretch>
      </xdr:blipFill>
      <xdr:spPr>
        <a:xfrm>
          <a:off x="7235825" y="4466723350"/>
          <a:ext cx="1183640" cy="878840"/>
        </a:xfrm>
        <a:prstGeom prst="rect">
          <a:avLst/>
        </a:prstGeom>
      </xdr:spPr>
    </xdr:pic>
    <xdr:clientData/>
  </xdr:twoCellAnchor>
  <xdr:twoCellAnchor>
    <xdr:from>
      <xdr:col>9</xdr:col>
      <xdr:colOff>6350</xdr:colOff>
      <xdr:row>4460</xdr:row>
      <xdr:rowOff>25400</xdr:rowOff>
    </xdr:from>
    <xdr:to>
      <xdr:col>9</xdr:col>
      <xdr:colOff>1189990</xdr:colOff>
      <xdr:row>4460</xdr:row>
      <xdr:rowOff>904240</xdr:rowOff>
    </xdr:to>
    <xdr:pic>
      <xdr:nvPicPr>
        <xdr:cNvPr id="8743" name="Изображение 8742" descr="resizeПП-00253589"/>
        <xdr:cNvPicPr>
          <a:picLocks noChangeAspect="1"/>
        </xdr:cNvPicPr>
      </xdr:nvPicPr>
      <xdr:blipFill>
        <a:blip xmlns:r="http://schemas.openxmlformats.org/officeDocument/2006/relationships" r:embed="rId3380"/>
        <a:stretch>
          <a:fillRect/>
        </a:stretch>
      </xdr:blipFill>
      <xdr:spPr>
        <a:xfrm>
          <a:off x="7235825" y="4467945725"/>
          <a:ext cx="1183640" cy="878840"/>
        </a:xfrm>
        <a:prstGeom prst="rect">
          <a:avLst/>
        </a:prstGeom>
      </xdr:spPr>
    </xdr:pic>
    <xdr:clientData/>
  </xdr:twoCellAnchor>
  <xdr:twoCellAnchor>
    <xdr:from>
      <xdr:col>9</xdr:col>
      <xdr:colOff>6350</xdr:colOff>
      <xdr:row>4461</xdr:row>
      <xdr:rowOff>25400</xdr:rowOff>
    </xdr:from>
    <xdr:to>
      <xdr:col>9</xdr:col>
      <xdr:colOff>1189990</xdr:colOff>
      <xdr:row>4461</xdr:row>
      <xdr:rowOff>904240</xdr:rowOff>
    </xdr:to>
    <xdr:pic>
      <xdr:nvPicPr>
        <xdr:cNvPr id="8744" name="Изображение 8743" descr="resizeПП-00253590"/>
        <xdr:cNvPicPr>
          <a:picLocks noChangeAspect="1"/>
        </xdr:cNvPicPr>
      </xdr:nvPicPr>
      <xdr:blipFill>
        <a:blip xmlns:r="http://schemas.openxmlformats.org/officeDocument/2006/relationships" r:embed="rId3381"/>
        <a:stretch>
          <a:fillRect/>
        </a:stretch>
      </xdr:blipFill>
      <xdr:spPr>
        <a:xfrm>
          <a:off x="7235825" y="4469168100"/>
          <a:ext cx="1183640" cy="878840"/>
        </a:xfrm>
        <a:prstGeom prst="rect">
          <a:avLst/>
        </a:prstGeom>
      </xdr:spPr>
    </xdr:pic>
    <xdr:clientData/>
  </xdr:twoCellAnchor>
  <xdr:twoCellAnchor>
    <xdr:from>
      <xdr:col>9</xdr:col>
      <xdr:colOff>6350</xdr:colOff>
      <xdr:row>4462</xdr:row>
      <xdr:rowOff>25400</xdr:rowOff>
    </xdr:from>
    <xdr:to>
      <xdr:col>9</xdr:col>
      <xdr:colOff>885190</xdr:colOff>
      <xdr:row>4462</xdr:row>
      <xdr:rowOff>1209040</xdr:rowOff>
    </xdr:to>
    <xdr:pic>
      <xdr:nvPicPr>
        <xdr:cNvPr id="8745" name="Изображение 8744" descr="resizeПП-00233341"/>
        <xdr:cNvPicPr>
          <a:picLocks noChangeAspect="1"/>
        </xdr:cNvPicPr>
      </xdr:nvPicPr>
      <xdr:blipFill>
        <a:blip xmlns:r="http://schemas.openxmlformats.org/officeDocument/2006/relationships" r:embed="rId3382"/>
        <a:stretch>
          <a:fillRect/>
        </a:stretch>
      </xdr:blipFill>
      <xdr:spPr>
        <a:xfrm>
          <a:off x="7235825" y="4470390475"/>
          <a:ext cx="878840" cy="1183640"/>
        </a:xfrm>
        <a:prstGeom prst="rect">
          <a:avLst/>
        </a:prstGeom>
      </xdr:spPr>
    </xdr:pic>
    <xdr:clientData/>
  </xdr:twoCellAnchor>
  <xdr:twoCellAnchor>
    <xdr:from>
      <xdr:col>9</xdr:col>
      <xdr:colOff>6350</xdr:colOff>
      <xdr:row>4463</xdr:row>
      <xdr:rowOff>25400</xdr:rowOff>
    </xdr:from>
    <xdr:to>
      <xdr:col>9</xdr:col>
      <xdr:colOff>1189990</xdr:colOff>
      <xdr:row>4463</xdr:row>
      <xdr:rowOff>904240</xdr:rowOff>
    </xdr:to>
    <xdr:pic>
      <xdr:nvPicPr>
        <xdr:cNvPr id="8746" name="Изображение 8745" descr="resizeПП-00253588"/>
        <xdr:cNvPicPr>
          <a:picLocks noChangeAspect="1"/>
        </xdr:cNvPicPr>
      </xdr:nvPicPr>
      <xdr:blipFill>
        <a:blip xmlns:r="http://schemas.openxmlformats.org/officeDocument/2006/relationships" r:embed="rId3383"/>
        <a:stretch>
          <a:fillRect/>
        </a:stretch>
      </xdr:blipFill>
      <xdr:spPr>
        <a:xfrm>
          <a:off x="7235825" y="4471612850"/>
          <a:ext cx="1183640" cy="878840"/>
        </a:xfrm>
        <a:prstGeom prst="rect">
          <a:avLst/>
        </a:prstGeom>
      </xdr:spPr>
    </xdr:pic>
    <xdr:clientData/>
  </xdr:twoCellAnchor>
  <xdr:twoCellAnchor>
    <xdr:from>
      <xdr:col>9</xdr:col>
      <xdr:colOff>6350</xdr:colOff>
      <xdr:row>4464</xdr:row>
      <xdr:rowOff>25400</xdr:rowOff>
    </xdr:from>
    <xdr:to>
      <xdr:col>9</xdr:col>
      <xdr:colOff>885190</xdr:colOff>
      <xdr:row>4464</xdr:row>
      <xdr:rowOff>1209040</xdr:rowOff>
    </xdr:to>
    <xdr:pic>
      <xdr:nvPicPr>
        <xdr:cNvPr id="8747" name="Изображение 8746" descr="resizeПП-00133815"/>
        <xdr:cNvPicPr>
          <a:picLocks noChangeAspect="1"/>
        </xdr:cNvPicPr>
      </xdr:nvPicPr>
      <xdr:blipFill>
        <a:blip xmlns:r="http://schemas.openxmlformats.org/officeDocument/2006/relationships" r:embed="rId3384"/>
        <a:stretch>
          <a:fillRect/>
        </a:stretch>
      </xdr:blipFill>
      <xdr:spPr>
        <a:xfrm>
          <a:off x="7235825" y="4472835225"/>
          <a:ext cx="878840" cy="1183640"/>
        </a:xfrm>
        <a:prstGeom prst="rect">
          <a:avLst/>
        </a:prstGeom>
      </xdr:spPr>
    </xdr:pic>
    <xdr:clientData/>
  </xdr:twoCellAnchor>
  <xdr:twoCellAnchor>
    <xdr:from>
      <xdr:col>9</xdr:col>
      <xdr:colOff>6350</xdr:colOff>
      <xdr:row>4465</xdr:row>
      <xdr:rowOff>25400</xdr:rowOff>
    </xdr:from>
    <xdr:to>
      <xdr:col>9</xdr:col>
      <xdr:colOff>1189990</xdr:colOff>
      <xdr:row>4465</xdr:row>
      <xdr:rowOff>904240</xdr:rowOff>
    </xdr:to>
    <xdr:pic>
      <xdr:nvPicPr>
        <xdr:cNvPr id="8748" name="Изображение 8747" descr="resizeПП-00253580"/>
        <xdr:cNvPicPr>
          <a:picLocks noChangeAspect="1"/>
        </xdr:cNvPicPr>
      </xdr:nvPicPr>
      <xdr:blipFill>
        <a:blip xmlns:r="http://schemas.openxmlformats.org/officeDocument/2006/relationships" r:embed="rId3385"/>
        <a:stretch>
          <a:fillRect/>
        </a:stretch>
      </xdr:blipFill>
      <xdr:spPr>
        <a:xfrm>
          <a:off x="7235825" y="4474057600"/>
          <a:ext cx="1183640" cy="878840"/>
        </a:xfrm>
        <a:prstGeom prst="rect">
          <a:avLst/>
        </a:prstGeom>
      </xdr:spPr>
    </xdr:pic>
    <xdr:clientData/>
  </xdr:twoCellAnchor>
  <xdr:twoCellAnchor>
    <xdr:from>
      <xdr:col>9</xdr:col>
      <xdr:colOff>6350</xdr:colOff>
      <xdr:row>4466</xdr:row>
      <xdr:rowOff>25400</xdr:rowOff>
    </xdr:from>
    <xdr:to>
      <xdr:col>9</xdr:col>
      <xdr:colOff>885190</xdr:colOff>
      <xdr:row>4466</xdr:row>
      <xdr:rowOff>1209040</xdr:rowOff>
    </xdr:to>
    <xdr:pic>
      <xdr:nvPicPr>
        <xdr:cNvPr id="8749" name="Изображение 8748" descr="resizeПП-00233337"/>
        <xdr:cNvPicPr>
          <a:picLocks noChangeAspect="1"/>
        </xdr:cNvPicPr>
      </xdr:nvPicPr>
      <xdr:blipFill>
        <a:blip xmlns:r="http://schemas.openxmlformats.org/officeDocument/2006/relationships" r:embed="rId3386"/>
        <a:stretch>
          <a:fillRect/>
        </a:stretch>
      </xdr:blipFill>
      <xdr:spPr>
        <a:xfrm>
          <a:off x="7235825" y="4475279975"/>
          <a:ext cx="878840" cy="1183640"/>
        </a:xfrm>
        <a:prstGeom prst="rect">
          <a:avLst/>
        </a:prstGeom>
      </xdr:spPr>
    </xdr:pic>
    <xdr:clientData/>
  </xdr:twoCellAnchor>
  <xdr:twoCellAnchor>
    <xdr:from>
      <xdr:col>9</xdr:col>
      <xdr:colOff>6350</xdr:colOff>
      <xdr:row>4467</xdr:row>
      <xdr:rowOff>25400</xdr:rowOff>
    </xdr:from>
    <xdr:to>
      <xdr:col>9</xdr:col>
      <xdr:colOff>1189990</xdr:colOff>
      <xdr:row>4467</xdr:row>
      <xdr:rowOff>904240</xdr:rowOff>
    </xdr:to>
    <xdr:pic>
      <xdr:nvPicPr>
        <xdr:cNvPr id="8750" name="Изображение 8749" descr="resizeПП-00253591"/>
        <xdr:cNvPicPr>
          <a:picLocks noChangeAspect="1"/>
        </xdr:cNvPicPr>
      </xdr:nvPicPr>
      <xdr:blipFill>
        <a:blip xmlns:r="http://schemas.openxmlformats.org/officeDocument/2006/relationships" r:embed="rId3387"/>
        <a:stretch>
          <a:fillRect/>
        </a:stretch>
      </xdr:blipFill>
      <xdr:spPr>
        <a:xfrm>
          <a:off x="7235825" y="4476502350"/>
          <a:ext cx="1183640" cy="878840"/>
        </a:xfrm>
        <a:prstGeom prst="rect">
          <a:avLst/>
        </a:prstGeom>
      </xdr:spPr>
    </xdr:pic>
    <xdr:clientData/>
  </xdr:twoCellAnchor>
  <xdr:twoCellAnchor>
    <xdr:from>
      <xdr:col>9</xdr:col>
      <xdr:colOff>6350</xdr:colOff>
      <xdr:row>4468</xdr:row>
      <xdr:rowOff>25400</xdr:rowOff>
    </xdr:from>
    <xdr:to>
      <xdr:col>9</xdr:col>
      <xdr:colOff>885190</xdr:colOff>
      <xdr:row>4468</xdr:row>
      <xdr:rowOff>1209040</xdr:rowOff>
    </xdr:to>
    <xdr:pic>
      <xdr:nvPicPr>
        <xdr:cNvPr id="8751" name="Изображение 8750" descr="resizeПП-00272995"/>
        <xdr:cNvPicPr>
          <a:picLocks noChangeAspect="1"/>
        </xdr:cNvPicPr>
      </xdr:nvPicPr>
      <xdr:blipFill>
        <a:blip xmlns:r="http://schemas.openxmlformats.org/officeDocument/2006/relationships" r:embed="rId3388"/>
        <a:stretch>
          <a:fillRect/>
        </a:stretch>
      </xdr:blipFill>
      <xdr:spPr>
        <a:xfrm>
          <a:off x="7235825" y="4477724725"/>
          <a:ext cx="878840" cy="1183640"/>
        </a:xfrm>
        <a:prstGeom prst="rect">
          <a:avLst/>
        </a:prstGeom>
      </xdr:spPr>
    </xdr:pic>
    <xdr:clientData/>
  </xdr:twoCellAnchor>
  <xdr:twoCellAnchor>
    <xdr:from>
      <xdr:col>9</xdr:col>
      <xdr:colOff>6350</xdr:colOff>
      <xdr:row>4469</xdr:row>
      <xdr:rowOff>25400</xdr:rowOff>
    </xdr:from>
    <xdr:to>
      <xdr:col>9</xdr:col>
      <xdr:colOff>885190</xdr:colOff>
      <xdr:row>4469</xdr:row>
      <xdr:rowOff>1209040</xdr:rowOff>
    </xdr:to>
    <xdr:pic>
      <xdr:nvPicPr>
        <xdr:cNvPr id="8752" name="Изображение 8751" descr="resizeПП-00272994"/>
        <xdr:cNvPicPr>
          <a:picLocks noChangeAspect="1"/>
        </xdr:cNvPicPr>
      </xdr:nvPicPr>
      <xdr:blipFill>
        <a:blip xmlns:r="http://schemas.openxmlformats.org/officeDocument/2006/relationships" r:embed="rId3389"/>
        <a:stretch>
          <a:fillRect/>
        </a:stretch>
      </xdr:blipFill>
      <xdr:spPr>
        <a:xfrm>
          <a:off x="7235825" y="4478947100"/>
          <a:ext cx="878840" cy="1183640"/>
        </a:xfrm>
        <a:prstGeom prst="rect">
          <a:avLst/>
        </a:prstGeom>
      </xdr:spPr>
    </xdr:pic>
    <xdr:clientData/>
  </xdr:twoCellAnchor>
  <xdr:twoCellAnchor>
    <xdr:from>
      <xdr:col>9</xdr:col>
      <xdr:colOff>6350</xdr:colOff>
      <xdr:row>4471</xdr:row>
      <xdr:rowOff>25400</xdr:rowOff>
    </xdr:from>
    <xdr:to>
      <xdr:col>9</xdr:col>
      <xdr:colOff>885190</xdr:colOff>
      <xdr:row>4471</xdr:row>
      <xdr:rowOff>1209040</xdr:rowOff>
    </xdr:to>
    <xdr:pic>
      <xdr:nvPicPr>
        <xdr:cNvPr id="8753" name="Изображение 8752" descr="resizeПП-00211255"/>
        <xdr:cNvPicPr>
          <a:picLocks noChangeAspect="1"/>
        </xdr:cNvPicPr>
      </xdr:nvPicPr>
      <xdr:blipFill>
        <a:blip xmlns:r="http://schemas.openxmlformats.org/officeDocument/2006/relationships" r:embed="rId3390"/>
        <a:stretch>
          <a:fillRect/>
        </a:stretch>
      </xdr:blipFill>
      <xdr:spPr>
        <a:xfrm>
          <a:off x="7235825" y="4480321875"/>
          <a:ext cx="878840" cy="1183640"/>
        </a:xfrm>
        <a:prstGeom prst="rect">
          <a:avLst/>
        </a:prstGeom>
      </xdr:spPr>
    </xdr:pic>
    <xdr:clientData/>
  </xdr:twoCellAnchor>
  <xdr:twoCellAnchor>
    <xdr:from>
      <xdr:col>9</xdr:col>
      <xdr:colOff>6350</xdr:colOff>
      <xdr:row>4472</xdr:row>
      <xdr:rowOff>25400</xdr:rowOff>
    </xdr:from>
    <xdr:to>
      <xdr:col>9</xdr:col>
      <xdr:colOff>885190</xdr:colOff>
      <xdr:row>4472</xdr:row>
      <xdr:rowOff>1209040</xdr:rowOff>
    </xdr:to>
    <xdr:pic>
      <xdr:nvPicPr>
        <xdr:cNvPr id="8754" name="Изображение 8753" descr="resizeПП-00211250"/>
        <xdr:cNvPicPr>
          <a:picLocks noChangeAspect="1"/>
        </xdr:cNvPicPr>
      </xdr:nvPicPr>
      <xdr:blipFill>
        <a:blip xmlns:r="http://schemas.openxmlformats.org/officeDocument/2006/relationships" r:embed="rId3391"/>
        <a:stretch>
          <a:fillRect/>
        </a:stretch>
      </xdr:blipFill>
      <xdr:spPr>
        <a:xfrm>
          <a:off x="7235825" y="4481544250"/>
          <a:ext cx="878840" cy="1183640"/>
        </a:xfrm>
        <a:prstGeom prst="rect">
          <a:avLst/>
        </a:prstGeom>
      </xdr:spPr>
    </xdr:pic>
    <xdr:clientData/>
  </xdr:twoCellAnchor>
  <xdr:twoCellAnchor>
    <xdr:from>
      <xdr:col>9</xdr:col>
      <xdr:colOff>6350</xdr:colOff>
      <xdr:row>4474</xdr:row>
      <xdr:rowOff>25400</xdr:rowOff>
    </xdr:from>
    <xdr:to>
      <xdr:col>9</xdr:col>
      <xdr:colOff>885190</xdr:colOff>
      <xdr:row>4474</xdr:row>
      <xdr:rowOff>1209040</xdr:rowOff>
    </xdr:to>
    <xdr:pic>
      <xdr:nvPicPr>
        <xdr:cNvPr id="8755" name="Изображение 8754" descr="resizeПП-00273012"/>
        <xdr:cNvPicPr>
          <a:picLocks noChangeAspect="1"/>
        </xdr:cNvPicPr>
      </xdr:nvPicPr>
      <xdr:blipFill>
        <a:blip xmlns:r="http://schemas.openxmlformats.org/officeDocument/2006/relationships" r:embed="rId3392"/>
        <a:stretch>
          <a:fillRect/>
        </a:stretch>
      </xdr:blipFill>
      <xdr:spPr>
        <a:xfrm>
          <a:off x="7235825" y="4482919025"/>
          <a:ext cx="878840" cy="1183640"/>
        </a:xfrm>
        <a:prstGeom prst="rect">
          <a:avLst/>
        </a:prstGeom>
      </xdr:spPr>
    </xdr:pic>
    <xdr:clientData/>
  </xdr:twoCellAnchor>
  <xdr:twoCellAnchor>
    <xdr:from>
      <xdr:col>9</xdr:col>
      <xdr:colOff>6350</xdr:colOff>
      <xdr:row>4475</xdr:row>
      <xdr:rowOff>25400</xdr:rowOff>
    </xdr:from>
    <xdr:to>
      <xdr:col>9</xdr:col>
      <xdr:colOff>885190</xdr:colOff>
      <xdr:row>4475</xdr:row>
      <xdr:rowOff>1209040</xdr:rowOff>
    </xdr:to>
    <xdr:pic>
      <xdr:nvPicPr>
        <xdr:cNvPr id="8756" name="Изображение 8755" descr="resizeПП-00204796"/>
        <xdr:cNvPicPr>
          <a:picLocks noChangeAspect="1"/>
        </xdr:cNvPicPr>
      </xdr:nvPicPr>
      <xdr:blipFill>
        <a:blip xmlns:r="http://schemas.openxmlformats.org/officeDocument/2006/relationships" r:embed="rId3393"/>
        <a:stretch>
          <a:fillRect/>
        </a:stretch>
      </xdr:blipFill>
      <xdr:spPr>
        <a:xfrm>
          <a:off x="7235825" y="4484141400"/>
          <a:ext cx="878840" cy="1183640"/>
        </a:xfrm>
        <a:prstGeom prst="rect">
          <a:avLst/>
        </a:prstGeom>
      </xdr:spPr>
    </xdr:pic>
    <xdr:clientData/>
  </xdr:twoCellAnchor>
  <xdr:twoCellAnchor>
    <xdr:from>
      <xdr:col>9</xdr:col>
      <xdr:colOff>6350</xdr:colOff>
      <xdr:row>4476</xdr:row>
      <xdr:rowOff>25400</xdr:rowOff>
    </xdr:from>
    <xdr:to>
      <xdr:col>9</xdr:col>
      <xdr:colOff>885190</xdr:colOff>
      <xdr:row>4476</xdr:row>
      <xdr:rowOff>1209040</xdr:rowOff>
    </xdr:to>
    <xdr:pic>
      <xdr:nvPicPr>
        <xdr:cNvPr id="8757" name="Изображение 8756" descr="resizeПП-00273019"/>
        <xdr:cNvPicPr>
          <a:picLocks noChangeAspect="1"/>
        </xdr:cNvPicPr>
      </xdr:nvPicPr>
      <xdr:blipFill>
        <a:blip xmlns:r="http://schemas.openxmlformats.org/officeDocument/2006/relationships" r:embed="rId3394"/>
        <a:stretch>
          <a:fillRect/>
        </a:stretch>
      </xdr:blipFill>
      <xdr:spPr>
        <a:xfrm>
          <a:off x="7235825" y="4485363775"/>
          <a:ext cx="878840" cy="1183640"/>
        </a:xfrm>
        <a:prstGeom prst="rect">
          <a:avLst/>
        </a:prstGeom>
      </xdr:spPr>
    </xdr:pic>
    <xdr:clientData/>
  </xdr:twoCellAnchor>
  <xdr:twoCellAnchor>
    <xdr:from>
      <xdr:col>9</xdr:col>
      <xdr:colOff>6350</xdr:colOff>
      <xdr:row>4477</xdr:row>
      <xdr:rowOff>25400</xdr:rowOff>
    </xdr:from>
    <xdr:to>
      <xdr:col>9</xdr:col>
      <xdr:colOff>885190</xdr:colOff>
      <xdr:row>4477</xdr:row>
      <xdr:rowOff>1209040</xdr:rowOff>
    </xdr:to>
    <xdr:pic>
      <xdr:nvPicPr>
        <xdr:cNvPr id="8758" name="Изображение 8757" descr="resizeПП-00273016"/>
        <xdr:cNvPicPr>
          <a:picLocks noChangeAspect="1"/>
        </xdr:cNvPicPr>
      </xdr:nvPicPr>
      <xdr:blipFill>
        <a:blip xmlns:r="http://schemas.openxmlformats.org/officeDocument/2006/relationships" r:embed="rId3395"/>
        <a:stretch>
          <a:fillRect/>
        </a:stretch>
      </xdr:blipFill>
      <xdr:spPr>
        <a:xfrm>
          <a:off x="7235825" y="4486586150"/>
          <a:ext cx="878840" cy="1183640"/>
        </a:xfrm>
        <a:prstGeom prst="rect">
          <a:avLst/>
        </a:prstGeom>
      </xdr:spPr>
    </xdr:pic>
    <xdr:clientData/>
  </xdr:twoCellAnchor>
  <xdr:twoCellAnchor>
    <xdr:from>
      <xdr:col>9</xdr:col>
      <xdr:colOff>6350</xdr:colOff>
      <xdr:row>4478</xdr:row>
      <xdr:rowOff>25400</xdr:rowOff>
    </xdr:from>
    <xdr:to>
      <xdr:col>9</xdr:col>
      <xdr:colOff>885190</xdr:colOff>
      <xdr:row>4478</xdr:row>
      <xdr:rowOff>1209040</xdr:rowOff>
    </xdr:to>
    <xdr:pic>
      <xdr:nvPicPr>
        <xdr:cNvPr id="8759" name="Изображение 8758" descr="resizeПП-00273015"/>
        <xdr:cNvPicPr>
          <a:picLocks noChangeAspect="1"/>
        </xdr:cNvPicPr>
      </xdr:nvPicPr>
      <xdr:blipFill>
        <a:blip xmlns:r="http://schemas.openxmlformats.org/officeDocument/2006/relationships" r:embed="rId3396"/>
        <a:stretch>
          <a:fillRect/>
        </a:stretch>
      </xdr:blipFill>
      <xdr:spPr>
        <a:xfrm>
          <a:off x="7235825" y="4487808525"/>
          <a:ext cx="878840" cy="1183640"/>
        </a:xfrm>
        <a:prstGeom prst="rect">
          <a:avLst/>
        </a:prstGeom>
      </xdr:spPr>
    </xdr:pic>
    <xdr:clientData/>
  </xdr:twoCellAnchor>
  <xdr:twoCellAnchor>
    <xdr:from>
      <xdr:col>9</xdr:col>
      <xdr:colOff>6350</xdr:colOff>
      <xdr:row>4479</xdr:row>
      <xdr:rowOff>25400</xdr:rowOff>
    </xdr:from>
    <xdr:to>
      <xdr:col>9</xdr:col>
      <xdr:colOff>885190</xdr:colOff>
      <xdr:row>4479</xdr:row>
      <xdr:rowOff>1209040</xdr:rowOff>
    </xdr:to>
    <xdr:pic>
      <xdr:nvPicPr>
        <xdr:cNvPr id="8760" name="Изображение 8759" descr="resizeПП-00273014"/>
        <xdr:cNvPicPr>
          <a:picLocks noChangeAspect="1"/>
        </xdr:cNvPicPr>
      </xdr:nvPicPr>
      <xdr:blipFill>
        <a:blip xmlns:r="http://schemas.openxmlformats.org/officeDocument/2006/relationships" r:embed="rId3397"/>
        <a:stretch>
          <a:fillRect/>
        </a:stretch>
      </xdr:blipFill>
      <xdr:spPr>
        <a:xfrm>
          <a:off x="7235825" y="4489030900"/>
          <a:ext cx="878840" cy="1183640"/>
        </a:xfrm>
        <a:prstGeom prst="rect">
          <a:avLst/>
        </a:prstGeom>
      </xdr:spPr>
    </xdr:pic>
    <xdr:clientData/>
  </xdr:twoCellAnchor>
  <xdr:twoCellAnchor>
    <xdr:from>
      <xdr:col>9</xdr:col>
      <xdr:colOff>6350</xdr:colOff>
      <xdr:row>4480</xdr:row>
      <xdr:rowOff>25400</xdr:rowOff>
    </xdr:from>
    <xdr:to>
      <xdr:col>9</xdr:col>
      <xdr:colOff>885190</xdr:colOff>
      <xdr:row>4480</xdr:row>
      <xdr:rowOff>1209040</xdr:rowOff>
    </xdr:to>
    <xdr:pic>
      <xdr:nvPicPr>
        <xdr:cNvPr id="8761" name="Изображение 8760" descr="resizeПП-00273013"/>
        <xdr:cNvPicPr>
          <a:picLocks noChangeAspect="1"/>
        </xdr:cNvPicPr>
      </xdr:nvPicPr>
      <xdr:blipFill>
        <a:blip xmlns:r="http://schemas.openxmlformats.org/officeDocument/2006/relationships" r:embed="rId3398"/>
        <a:stretch>
          <a:fillRect/>
        </a:stretch>
      </xdr:blipFill>
      <xdr:spPr>
        <a:xfrm>
          <a:off x="7235825" y="4490253275"/>
          <a:ext cx="878840" cy="1183640"/>
        </a:xfrm>
        <a:prstGeom prst="rect">
          <a:avLst/>
        </a:prstGeom>
      </xdr:spPr>
    </xdr:pic>
    <xdr:clientData/>
  </xdr:twoCellAnchor>
  <xdr:twoCellAnchor>
    <xdr:from>
      <xdr:col>9</xdr:col>
      <xdr:colOff>6350</xdr:colOff>
      <xdr:row>4481</xdr:row>
      <xdr:rowOff>25400</xdr:rowOff>
    </xdr:from>
    <xdr:to>
      <xdr:col>9</xdr:col>
      <xdr:colOff>885190</xdr:colOff>
      <xdr:row>4481</xdr:row>
      <xdr:rowOff>1209040</xdr:rowOff>
    </xdr:to>
    <xdr:pic>
      <xdr:nvPicPr>
        <xdr:cNvPr id="8762" name="Изображение 8761" descr="resizeПП-00273017"/>
        <xdr:cNvPicPr>
          <a:picLocks noChangeAspect="1"/>
        </xdr:cNvPicPr>
      </xdr:nvPicPr>
      <xdr:blipFill>
        <a:blip xmlns:r="http://schemas.openxmlformats.org/officeDocument/2006/relationships" r:embed="rId3399"/>
        <a:stretch>
          <a:fillRect/>
        </a:stretch>
      </xdr:blipFill>
      <xdr:spPr>
        <a:xfrm>
          <a:off x="7235825" y="4491475650"/>
          <a:ext cx="878840" cy="1183640"/>
        </a:xfrm>
        <a:prstGeom prst="rect">
          <a:avLst/>
        </a:prstGeom>
      </xdr:spPr>
    </xdr:pic>
    <xdr:clientData/>
  </xdr:twoCellAnchor>
  <xdr:twoCellAnchor>
    <xdr:from>
      <xdr:col>9</xdr:col>
      <xdr:colOff>6350</xdr:colOff>
      <xdr:row>4482</xdr:row>
      <xdr:rowOff>25400</xdr:rowOff>
    </xdr:from>
    <xdr:to>
      <xdr:col>9</xdr:col>
      <xdr:colOff>885190</xdr:colOff>
      <xdr:row>4482</xdr:row>
      <xdr:rowOff>1209040</xdr:rowOff>
    </xdr:to>
    <xdr:pic>
      <xdr:nvPicPr>
        <xdr:cNvPr id="8763" name="Изображение 8762" descr="resizeПП-00204793"/>
        <xdr:cNvPicPr>
          <a:picLocks noChangeAspect="1"/>
        </xdr:cNvPicPr>
      </xdr:nvPicPr>
      <xdr:blipFill>
        <a:blip xmlns:r="http://schemas.openxmlformats.org/officeDocument/2006/relationships" r:embed="rId3400"/>
        <a:stretch>
          <a:fillRect/>
        </a:stretch>
      </xdr:blipFill>
      <xdr:spPr>
        <a:xfrm>
          <a:off x="7235825" y="4492698025"/>
          <a:ext cx="878840" cy="1183640"/>
        </a:xfrm>
        <a:prstGeom prst="rect">
          <a:avLst/>
        </a:prstGeom>
      </xdr:spPr>
    </xdr:pic>
    <xdr:clientData/>
  </xdr:twoCellAnchor>
  <xdr:twoCellAnchor>
    <xdr:from>
      <xdr:col>9</xdr:col>
      <xdr:colOff>6350</xdr:colOff>
      <xdr:row>4483</xdr:row>
      <xdr:rowOff>25400</xdr:rowOff>
    </xdr:from>
    <xdr:to>
      <xdr:col>9</xdr:col>
      <xdr:colOff>885190</xdr:colOff>
      <xdr:row>4483</xdr:row>
      <xdr:rowOff>1209040</xdr:rowOff>
    </xdr:to>
    <xdr:pic>
      <xdr:nvPicPr>
        <xdr:cNvPr id="8764" name="Изображение 8763" descr="resizeПП-00204792"/>
        <xdr:cNvPicPr>
          <a:picLocks noChangeAspect="1"/>
        </xdr:cNvPicPr>
      </xdr:nvPicPr>
      <xdr:blipFill>
        <a:blip xmlns:r="http://schemas.openxmlformats.org/officeDocument/2006/relationships" r:embed="rId3401"/>
        <a:stretch>
          <a:fillRect/>
        </a:stretch>
      </xdr:blipFill>
      <xdr:spPr>
        <a:xfrm>
          <a:off x="7235825" y="4493920400"/>
          <a:ext cx="878840" cy="1183640"/>
        </a:xfrm>
        <a:prstGeom prst="rect">
          <a:avLst/>
        </a:prstGeom>
      </xdr:spPr>
    </xdr:pic>
    <xdr:clientData/>
  </xdr:twoCellAnchor>
  <xdr:twoCellAnchor>
    <xdr:from>
      <xdr:col>9</xdr:col>
      <xdr:colOff>6350</xdr:colOff>
      <xdr:row>4484</xdr:row>
      <xdr:rowOff>25400</xdr:rowOff>
    </xdr:from>
    <xdr:to>
      <xdr:col>9</xdr:col>
      <xdr:colOff>885190</xdr:colOff>
      <xdr:row>4484</xdr:row>
      <xdr:rowOff>1209040</xdr:rowOff>
    </xdr:to>
    <xdr:pic>
      <xdr:nvPicPr>
        <xdr:cNvPr id="8765" name="Изображение 8764" descr="resizeПП-00204058"/>
        <xdr:cNvPicPr>
          <a:picLocks noChangeAspect="1"/>
        </xdr:cNvPicPr>
      </xdr:nvPicPr>
      <xdr:blipFill>
        <a:blip xmlns:r="http://schemas.openxmlformats.org/officeDocument/2006/relationships" r:embed="rId3402"/>
        <a:stretch>
          <a:fillRect/>
        </a:stretch>
      </xdr:blipFill>
      <xdr:spPr>
        <a:xfrm>
          <a:off x="7235825" y="4495142775"/>
          <a:ext cx="878840" cy="1183640"/>
        </a:xfrm>
        <a:prstGeom prst="rect">
          <a:avLst/>
        </a:prstGeom>
      </xdr:spPr>
    </xdr:pic>
    <xdr:clientData/>
  </xdr:twoCellAnchor>
  <xdr:twoCellAnchor>
    <xdr:from>
      <xdr:col>9</xdr:col>
      <xdr:colOff>6350</xdr:colOff>
      <xdr:row>4485</xdr:row>
      <xdr:rowOff>25400</xdr:rowOff>
    </xdr:from>
    <xdr:to>
      <xdr:col>9</xdr:col>
      <xdr:colOff>1189990</xdr:colOff>
      <xdr:row>4485</xdr:row>
      <xdr:rowOff>904240</xdr:rowOff>
    </xdr:to>
    <xdr:pic>
      <xdr:nvPicPr>
        <xdr:cNvPr id="8766" name="Изображение 8765" descr="resizeПП-00227427"/>
        <xdr:cNvPicPr>
          <a:picLocks noChangeAspect="1"/>
        </xdr:cNvPicPr>
      </xdr:nvPicPr>
      <xdr:blipFill>
        <a:blip xmlns:r="http://schemas.openxmlformats.org/officeDocument/2006/relationships" r:embed="rId3403"/>
        <a:stretch>
          <a:fillRect/>
        </a:stretch>
      </xdr:blipFill>
      <xdr:spPr>
        <a:xfrm>
          <a:off x="7235825" y="4496365150"/>
          <a:ext cx="1183640" cy="878840"/>
        </a:xfrm>
        <a:prstGeom prst="rect">
          <a:avLst/>
        </a:prstGeom>
      </xdr:spPr>
    </xdr:pic>
    <xdr:clientData/>
  </xdr:twoCellAnchor>
  <xdr:twoCellAnchor>
    <xdr:from>
      <xdr:col>9</xdr:col>
      <xdr:colOff>6350</xdr:colOff>
      <xdr:row>4486</xdr:row>
      <xdr:rowOff>25400</xdr:rowOff>
    </xdr:from>
    <xdr:to>
      <xdr:col>9</xdr:col>
      <xdr:colOff>1189990</xdr:colOff>
      <xdr:row>4486</xdr:row>
      <xdr:rowOff>904240</xdr:rowOff>
    </xdr:to>
    <xdr:pic>
      <xdr:nvPicPr>
        <xdr:cNvPr id="8767" name="Изображение 8766" descr="resizeПП-00227426"/>
        <xdr:cNvPicPr>
          <a:picLocks noChangeAspect="1"/>
        </xdr:cNvPicPr>
      </xdr:nvPicPr>
      <xdr:blipFill>
        <a:blip xmlns:r="http://schemas.openxmlformats.org/officeDocument/2006/relationships" r:embed="rId3404"/>
        <a:stretch>
          <a:fillRect/>
        </a:stretch>
      </xdr:blipFill>
      <xdr:spPr>
        <a:xfrm>
          <a:off x="7235825" y="4497587525"/>
          <a:ext cx="1183640" cy="878840"/>
        </a:xfrm>
        <a:prstGeom prst="rect">
          <a:avLst/>
        </a:prstGeom>
      </xdr:spPr>
    </xdr:pic>
    <xdr:clientData/>
  </xdr:twoCellAnchor>
  <xdr:twoCellAnchor>
    <xdr:from>
      <xdr:col>9</xdr:col>
      <xdr:colOff>6350</xdr:colOff>
      <xdr:row>4487</xdr:row>
      <xdr:rowOff>25400</xdr:rowOff>
    </xdr:from>
    <xdr:to>
      <xdr:col>9</xdr:col>
      <xdr:colOff>1189990</xdr:colOff>
      <xdr:row>4487</xdr:row>
      <xdr:rowOff>904240</xdr:rowOff>
    </xdr:to>
    <xdr:pic>
      <xdr:nvPicPr>
        <xdr:cNvPr id="8768" name="Изображение 8767" descr="resizeПП-00227425"/>
        <xdr:cNvPicPr>
          <a:picLocks noChangeAspect="1"/>
        </xdr:cNvPicPr>
      </xdr:nvPicPr>
      <xdr:blipFill>
        <a:blip xmlns:r="http://schemas.openxmlformats.org/officeDocument/2006/relationships" r:embed="rId3405"/>
        <a:stretch>
          <a:fillRect/>
        </a:stretch>
      </xdr:blipFill>
      <xdr:spPr>
        <a:xfrm>
          <a:off x="7235825" y="4498809900"/>
          <a:ext cx="1183640" cy="878840"/>
        </a:xfrm>
        <a:prstGeom prst="rect">
          <a:avLst/>
        </a:prstGeom>
      </xdr:spPr>
    </xdr:pic>
    <xdr:clientData/>
  </xdr:twoCellAnchor>
  <xdr:twoCellAnchor>
    <xdr:from>
      <xdr:col>9</xdr:col>
      <xdr:colOff>6350</xdr:colOff>
      <xdr:row>4488</xdr:row>
      <xdr:rowOff>25400</xdr:rowOff>
    </xdr:from>
    <xdr:to>
      <xdr:col>9</xdr:col>
      <xdr:colOff>1189990</xdr:colOff>
      <xdr:row>4488</xdr:row>
      <xdr:rowOff>904240</xdr:rowOff>
    </xdr:to>
    <xdr:pic>
      <xdr:nvPicPr>
        <xdr:cNvPr id="8769" name="Изображение 8768" descr="resizeПП-00227424"/>
        <xdr:cNvPicPr>
          <a:picLocks noChangeAspect="1"/>
        </xdr:cNvPicPr>
      </xdr:nvPicPr>
      <xdr:blipFill>
        <a:blip xmlns:r="http://schemas.openxmlformats.org/officeDocument/2006/relationships" r:embed="rId3406"/>
        <a:stretch>
          <a:fillRect/>
        </a:stretch>
      </xdr:blipFill>
      <xdr:spPr>
        <a:xfrm>
          <a:off x="7235825" y="4500032275"/>
          <a:ext cx="1183640" cy="878840"/>
        </a:xfrm>
        <a:prstGeom prst="rect">
          <a:avLst/>
        </a:prstGeom>
      </xdr:spPr>
    </xdr:pic>
    <xdr:clientData/>
  </xdr:twoCellAnchor>
  <xdr:twoCellAnchor>
    <xdr:from>
      <xdr:col>9</xdr:col>
      <xdr:colOff>6350</xdr:colOff>
      <xdr:row>4489</xdr:row>
      <xdr:rowOff>25400</xdr:rowOff>
    </xdr:from>
    <xdr:to>
      <xdr:col>9</xdr:col>
      <xdr:colOff>885190</xdr:colOff>
      <xdr:row>4489</xdr:row>
      <xdr:rowOff>1209040</xdr:rowOff>
    </xdr:to>
    <xdr:pic>
      <xdr:nvPicPr>
        <xdr:cNvPr id="8770" name="Изображение 8769" descr="resizeПП-00062199"/>
        <xdr:cNvPicPr>
          <a:picLocks noChangeAspect="1"/>
        </xdr:cNvPicPr>
      </xdr:nvPicPr>
      <xdr:blipFill>
        <a:blip xmlns:r="http://schemas.openxmlformats.org/officeDocument/2006/relationships" r:embed="rId3407"/>
        <a:stretch>
          <a:fillRect/>
        </a:stretch>
      </xdr:blipFill>
      <xdr:spPr>
        <a:xfrm>
          <a:off x="7235825" y="4501254650"/>
          <a:ext cx="878840" cy="1183640"/>
        </a:xfrm>
        <a:prstGeom prst="rect">
          <a:avLst/>
        </a:prstGeom>
      </xdr:spPr>
    </xdr:pic>
    <xdr:clientData/>
  </xdr:twoCellAnchor>
  <xdr:twoCellAnchor>
    <xdr:from>
      <xdr:col>9</xdr:col>
      <xdr:colOff>6350</xdr:colOff>
      <xdr:row>4490</xdr:row>
      <xdr:rowOff>25400</xdr:rowOff>
    </xdr:from>
    <xdr:to>
      <xdr:col>9</xdr:col>
      <xdr:colOff>1189990</xdr:colOff>
      <xdr:row>4490</xdr:row>
      <xdr:rowOff>904240</xdr:rowOff>
    </xdr:to>
    <xdr:pic>
      <xdr:nvPicPr>
        <xdr:cNvPr id="8771" name="Изображение 8770" descr="resizeПП-00253601"/>
        <xdr:cNvPicPr>
          <a:picLocks noChangeAspect="1"/>
        </xdr:cNvPicPr>
      </xdr:nvPicPr>
      <xdr:blipFill>
        <a:blip xmlns:r="http://schemas.openxmlformats.org/officeDocument/2006/relationships" r:embed="rId3408"/>
        <a:stretch>
          <a:fillRect/>
        </a:stretch>
      </xdr:blipFill>
      <xdr:spPr>
        <a:xfrm>
          <a:off x="7235825" y="4502477025"/>
          <a:ext cx="1183640" cy="878840"/>
        </a:xfrm>
        <a:prstGeom prst="rect">
          <a:avLst/>
        </a:prstGeom>
      </xdr:spPr>
    </xdr:pic>
    <xdr:clientData/>
  </xdr:twoCellAnchor>
  <xdr:twoCellAnchor>
    <xdr:from>
      <xdr:col>9</xdr:col>
      <xdr:colOff>6350</xdr:colOff>
      <xdr:row>4491</xdr:row>
      <xdr:rowOff>25400</xdr:rowOff>
    </xdr:from>
    <xdr:to>
      <xdr:col>9</xdr:col>
      <xdr:colOff>1189990</xdr:colOff>
      <xdr:row>4491</xdr:row>
      <xdr:rowOff>904240</xdr:rowOff>
    </xdr:to>
    <xdr:pic>
      <xdr:nvPicPr>
        <xdr:cNvPr id="8772" name="Изображение 8771" descr="resizeПП-00253602"/>
        <xdr:cNvPicPr>
          <a:picLocks noChangeAspect="1"/>
        </xdr:cNvPicPr>
      </xdr:nvPicPr>
      <xdr:blipFill>
        <a:blip xmlns:r="http://schemas.openxmlformats.org/officeDocument/2006/relationships" r:embed="rId3409"/>
        <a:stretch>
          <a:fillRect/>
        </a:stretch>
      </xdr:blipFill>
      <xdr:spPr>
        <a:xfrm>
          <a:off x="7235825" y="4503699400"/>
          <a:ext cx="1183640" cy="878840"/>
        </a:xfrm>
        <a:prstGeom prst="rect">
          <a:avLst/>
        </a:prstGeom>
      </xdr:spPr>
    </xdr:pic>
    <xdr:clientData/>
  </xdr:twoCellAnchor>
  <xdr:twoCellAnchor>
    <xdr:from>
      <xdr:col>9</xdr:col>
      <xdr:colOff>6350</xdr:colOff>
      <xdr:row>4492</xdr:row>
      <xdr:rowOff>25400</xdr:rowOff>
    </xdr:from>
    <xdr:to>
      <xdr:col>9</xdr:col>
      <xdr:colOff>1189990</xdr:colOff>
      <xdr:row>4492</xdr:row>
      <xdr:rowOff>904240</xdr:rowOff>
    </xdr:to>
    <xdr:pic>
      <xdr:nvPicPr>
        <xdr:cNvPr id="8773" name="Изображение 8772" descr="resizeПП-00253599"/>
        <xdr:cNvPicPr>
          <a:picLocks noChangeAspect="1"/>
        </xdr:cNvPicPr>
      </xdr:nvPicPr>
      <xdr:blipFill>
        <a:blip xmlns:r="http://schemas.openxmlformats.org/officeDocument/2006/relationships" r:embed="rId3410"/>
        <a:stretch>
          <a:fillRect/>
        </a:stretch>
      </xdr:blipFill>
      <xdr:spPr>
        <a:xfrm>
          <a:off x="7235825" y="4504921775"/>
          <a:ext cx="1183640" cy="878840"/>
        </a:xfrm>
        <a:prstGeom prst="rect">
          <a:avLst/>
        </a:prstGeom>
      </xdr:spPr>
    </xdr:pic>
    <xdr:clientData/>
  </xdr:twoCellAnchor>
  <xdr:twoCellAnchor>
    <xdr:from>
      <xdr:col>9</xdr:col>
      <xdr:colOff>6350</xdr:colOff>
      <xdr:row>4493</xdr:row>
      <xdr:rowOff>25400</xdr:rowOff>
    </xdr:from>
    <xdr:to>
      <xdr:col>9</xdr:col>
      <xdr:colOff>885190</xdr:colOff>
      <xdr:row>4493</xdr:row>
      <xdr:rowOff>1209040</xdr:rowOff>
    </xdr:to>
    <xdr:pic>
      <xdr:nvPicPr>
        <xdr:cNvPr id="8774" name="Изображение 8773" descr="resizeПП-00204794"/>
        <xdr:cNvPicPr>
          <a:picLocks noChangeAspect="1"/>
        </xdr:cNvPicPr>
      </xdr:nvPicPr>
      <xdr:blipFill>
        <a:blip xmlns:r="http://schemas.openxmlformats.org/officeDocument/2006/relationships" r:embed="rId3411"/>
        <a:stretch>
          <a:fillRect/>
        </a:stretch>
      </xdr:blipFill>
      <xdr:spPr>
        <a:xfrm>
          <a:off x="7235825" y="4506144150"/>
          <a:ext cx="878840" cy="1183640"/>
        </a:xfrm>
        <a:prstGeom prst="rect">
          <a:avLst/>
        </a:prstGeom>
      </xdr:spPr>
    </xdr:pic>
    <xdr:clientData/>
  </xdr:twoCellAnchor>
  <xdr:twoCellAnchor>
    <xdr:from>
      <xdr:col>9</xdr:col>
      <xdr:colOff>6350</xdr:colOff>
      <xdr:row>4494</xdr:row>
      <xdr:rowOff>25400</xdr:rowOff>
    </xdr:from>
    <xdr:to>
      <xdr:col>9</xdr:col>
      <xdr:colOff>1189990</xdr:colOff>
      <xdr:row>4494</xdr:row>
      <xdr:rowOff>904240</xdr:rowOff>
    </xdr:to>
    <xdr:pic>
      <xdr:nvPicPr>
        <xdr:cNvPr id="8775" name="Изображение 8774" descr="resizeПП-00253605"/>
        <xdr:cNvPicPr>
          <a:picLocks noChangeAspect="1"/>
        </xdr:cNvPicPr>
      </xdr:nvPicPr>
      <xdr:blipFill>
        <a:blip xmlns:r="http://schemas.openxmlformats.org/officeDocument/2006/relationships" r:embed="rId3412"/>
        <a:stretch>
          <a:fillRect/>
        </a:stretch>
      </xdr:blipFill>
      <xdr:spPr>
        <a:xfrm>
          <a:off x="7235825" y="4507366525"/>
          <a:ext cx="1183640" cy="878840"/>
        </a:xfrm>
        <a:prstGeom prst="rect">
          <a:avLst/>
        </a:prstGeom>
      </xdr:spPr>
    </xdr:pic>
    <xdr:clientData/>
  </xdr:twoCellAnchor>
  <xdr:twoCellAnchor>
    <xdr:from>
      <xdr:col>9</xdr:col>
      <xdr:colOff>6350</xdr:colOff>
      <xdr:row>4495</xdr:row>
      <xdr:rowOff>25400</xdr:rowOff>
    </xdr:from>
    <xdr:to>
      <xdr:col>9</xdr:col>
      <xdr:colOff>1189990</xdr:colOff>
      <xdr:row>4495</xdr:row>
      <xdr:rowOff>904240</xdr:rowOff>
    </xdr:to>
    <xdr:pic>
      <xdr:nvPicPr>
        <xdr:cNvPr id="8776" name="Изображение 8775" descr="resizeПП-00253600"/>
        <xdr:cNvPicPr>
          <a:picLocks noChangeAspect="1"/>
        </xdr:cNvPicPr>
      </xdr:nvPicPr>
      <xdr:blipFill>
        <a:blip xmlns:r="http://schemas.openxmlformats.org/officeDocument/2006/relationships" r:embed="rId3413"/>
        <a:stretch>
          <a:fillRect/>
        </a:stretch>
      </xdr:blipFill>
      <xdr:spPr>
        <a:xfrm>
          <a:off x="7235825" y="4508588900"/>
          <a:ext cx="1183640" cy="878840"/>
        </a:xfrm>
        <a:prstGeom prst="rect">
          <a:avLst/>
        </a:prstGeom>
      </xdr:spPr>
    </xdr:pic>
    <xdr:clientData/>
  </xdr:twoCellAnchor>
  <xdr:twoCellAnchor>
    <xdr:from>
      <xdr:col>9</xdr:col>
      <xdr:colOff>6350</xdr:colOff>
      <xdr:row>4496</xdr:row>
      <xdr:rowOff>25400</xdr:rowOff>
    </xdr:from>
    <xdr:to>
      <xdr:col>9</xdr:col>
      <xdr:colOff>885190</xdr:colOff>
      <xdr:row>4496</xdr:row>
      <xdr:rowOff>1209040</xdr:rowOff>
    </xdr:to>
    <xdr:pic>
      <xdr:nvPicPr>
        <xdr:cNvPr id="8777" name="Изображение 8776" descr="resizeПП-00233387"/>
        <xdr:cNvPicPr>
          <a:picLocks noChangeAspect="1"/>
        </xdr:cNvPicPr>
      </xdr:nvPicPr>
      <xdr:blipFill>
        <a:blip xmlns:r="http://schemas.openxmlformats.org/officeDocument/2006/relationships" r:embed="rId3414"/>
        <a:stretch>
          <a:fillRect/>
        </a:stretch>
      </xdr:blipFill>
      <xdr:spPr>
        <a:xfrm>
          <a:off x="7235825" y="4509811275"/>
          <a:ext cx="878840" cy="1183640"/>
        </a:xfrm>
        <a:prstGeom prst="rect">
          <a:avLst/>
        </a:prstGeom>
      </xdr:spPr>
    </xdr:pic>
    <xdr:clientData/>
  </xdr:twoCellAnchor>
  <xdr:twoCellAnchor>
    <xdr:from>
      <xdr:col>9</xdr:col>
      <xdr:colOff>6350</xdr:colOff>
      <xdr:row>4498</xdr:row>
      <xdr:rowOff>25400</xdr:rowOff>
    </xdr:from>
    <xdr:to>
      <xdr:col>9</xdr:col>
      <xdr:colOff>885190</xdr:colOff>
      <xdr:row>4498</xdr:row>
      <xdr:rowOff>1209040</xdr:rowOff>
    </xdr:to>
    <xdr:pic>
      <xdr:nvPicPr>
        <xdr:cNvPr id="8778" name="Изображение 8777" descr="resizeПП-00273008"/>
        <xdr:cNvPicPr>
          <a:picLocks noChangeAspect="1"/>
        </xdr:cNvPicPr>
      </xdr:nvPicPr>
      <xdr:blipFill>
        <a:blip xmlns:r="http://schemas.openxmlformats.org/officeDocument/2006/relationships" r:embed="rId3415"/>
        <a:stretch>
          <a:fillRect/>
        </a:stretch>
      </xdr:blipFill>
      <xdr:spPr>
        <a:xfrm>
          <a:off x="7235825" y="4511186050"/>
          <a:ext cx="878840" cy="1183640"/>
        </a:xfrm>
        <a:prstGeom prst="rect">
          <a:avLst/>
        </a:prstGeom>
      </xdr:spPr>
    </xdr:pic>
    <xdr:clientData/>
  </xdr:twoCellAnchor>
  <xdr:twoCellAnchor>
    <xdr:from>
      <xdr:col>9</xdr:col>
      <xdr:colOff>6350</xdr:colOff>
      <xdr:row>4499</xdr:row>
      <xdr:rowOff>25400</xdr:rowOff>
    </xdr:from>
    <xdr:to>
      <xdr:col>9</xdr:col>
      <xdr:colOff>885190</xdr:colOff>
      <xdr:row>4499</xdr:row>
      <xdr:rowOff>1209040</xdr:rowOff>
    </xdr:to>
    <xdr:pic>
      <xdr:nvPicPr>
        <xdr:cNvPr id="8779" name="Изображение 8778" descr="resizeПП-00273009"/>
        <xdr:cNvPicPr>
          <a:picLocks noChangeAspect="1"/>
        </xdr:cNvPicPr>
      </xdr:nvPicPr>
      <xdr:blipFill>
        <a:blip xmlns:r="http://schemas.openxmlformats.org/officeDocument/2006/relationships" r:embed="rId3416"/>
        <a:stretch>
          <a:fillRect/>
        </a:stretch>
      </xdr:blipFill>
      <xdr:spPr>
        <a:xfrm>
          <a:off x="7235825" y="4512408425"/>
          <a:ext cx="878840" cy="1183640"/>
        </a:xfrm>
        <a:prstGeom prst="rect">
          <a:avLst/>
        </a:prstGeom>
      </xdr:spPr>
    </xdr:pic>
    <xdr:clientData/>
  </xdr:twoCellAnchor>
  <xdr:twoCellAnchor>
    <xdr:from>
      <xdr:col>9</xdr:col>
      <xdr:colOff>6350</xdr:colOff>
      <xdr:row>4500</xdr:row>
      <xdr:rowOff>25400</xdr:rowOff>
    </xdr:from>
    <xdr:to>
      <xdr:col>9</xdr:col>
      <xdr:colOff>885190</xdr:colOff>
      <xdr:row>4500</xdr:row>
      <xdr:rowOff>1209040</xdr:rowOff>
    </xdr:to>
    <xdr:pic>
      <xdr:nvPicPr>
        <xdr:cNvPr id="8780" name="Изображение 8779" descr="resizeПП-00273010"/>
        <xdr:cNvPicPr>
          <a:picLocks noChangeAspect="1"/>
        </xdr:cNvPicPr>
      </xdr:nvPicPr>
      <xdr:blipFill>
        <a:blip xmlns:r="http://schemas.openxmlformats.org/officeDocument/2006/relationships" r:embed="rId3417"/>
        <a:stretch>
          <a:fillRect/>
        </a:stretch>
      </xdr:blipFill>
      <xdr:spPr>
        <a:xfrm>
          <a:off x="7235825" y="4513630800"/>
          <a:ext cx="878840" cy="1183640"/>
        </a:xfrm>
        <a:prstGeom prst="rect">
          <a:avLst/>
        </a:prstGeom>
      </xdr:spPr>
    </xdr:pic>
    <xdr:clientData/>
  </xdr:twoCellAnchor>
  <xdr:twoCellAnchor>
    <xdr:from>
      <xdr:col>9</xdr:col>
      <xdr:colOff>6350</xdr:colOff>
      <xdr:row>4501</xdr:row>
      <xdr:rowOff>25400</xdr:rowOff>
    </xdr:from>
    <xdr:to>
      <xdr:col>9</xdr:col>
      <xdr:colOff>885190</xdr:colOff>
      <xdr:row>4501</xdr:row>
      <xdr:rowOff>1209040</xdr:rowOff>
    </xdr:to>
    <xdr:pic>
      <xdr:nvPicPr>
        <xdr:cNvPr id="8781" name="Изображение 8780" descr="resizeПП-00233382"/>
        <xdr:cNvPicPr>
          <a:picLocks noChangeAspect="1"/>
        </xdr:cNvPicPr>
      </xdr:nvPicPr>
      <xdr:blipFill>
        <a:blip xmlns:r="http://schemas.openxmlformats.org/officeDocument/2006/relationships" r:embed="rId3418"/>
        <a:stretch>
          <a:fillRect/>
        </a:stretch>
      </xdr:blipFill>
      <xdr:spPr>
        <a:xfrm>
          <a:off x="7235825" y="4514853175"/>
          <a:ext cx="878840" cy="1183640"/>
        </a:xfrm>
        <a:prstGeom prst="rect">
          <a:avLst/>
        </a:prstGeom>
      </xdr:spPr>
    </xdr:pic>
    <xdr:clientData/>
  </xdr:twoCellAnchor>
  <xdr:twoCellAnchor>
    <xdr:from>
      <xdr:col>9</xdr:col>
      <xdr:colOff>6350</xdr:colOff>
      <xdr:row>4502</xdr:row>
      <xdr:rowOff>25400</xdr:rowOff>
    </xdr:from>
    <xdr:to>
      <xdr:col>9</xdr:col>
      <xdr:colOff>1189990</xdr:colOff>
      <xdr:row>4502</xdr:row>
      <xdr:rowOff>904240</xdr:rowOff>
    </xdr:to>
    <xdr:pic>
      <xdr:nvPicPr>
        <xdr:cNvPr id="8782" name="Изображение 8781" descr="resizeПП-00227466"/>
        <xdr:cNvPicPr>
          <a:picLocks noChangeAspect="1"/>
        </xdr:cNvPicPr>
      </xdr:nvPicPr>
      <xdr:blipFill>
        <a:blip xmlns:r="http://schemas.openxmlformats.org/officeDocument/2006/relationships" r:embed="rId3419"/>
        <a:stretch>
          <a:fillRect/>
        </a:stretch>
      </xdr:blipFill>
      <xdr:spPr>
        <a:xfrm>
          <a:off x="7235825" y="4516075550"/>
          <a:ext cx="1183640" cy="878840"/>
        </a:xfrm>
        <a:prstGeom prst="rect">
          <a:avLst/>
        </a:prstGeom>
      </xdr:spPr>
    </xdr:pic>
    <xdr:clientData/>
  </xdr:twoCellAnchor>
  <xdr:twoCellAnchor>
    <xdr:from>
      <xdr:col>9</xdr:col>
      <xdr:colOff>6350</xdr:colOff>
      <xdr:row>4503</xdr:row>
      <xdr:rowOff>25400</xdr:rowOff>
    </xdr:from>
    <xdr:to>
      <xdr:col>9</xdr:col>
      <xdr:colOff>1189990</xdr:colOff>
      <xdr:row>4503</xdr:row>
      <xdr:rowOff>904240</xdr:rowOff>
    </xdr:to>
    <xdr:pic>
      <xdr:nvPicPr>
        <xdr:cNvPr id="8783" name="Изображение 8782" descr="resizeПП-00253598"/>
        <xdr:cNvPicPr>
          <a:picLocks noChangeAspect="1"/>
        </xdr:cNvPicPr>
      </xdr:nvPicPr>
      <xdr:blipFill>
        <a:blip xmlns:r="http://schemas.openxmlformats.org/officeDocument/2006/relationships" r:embed="rId3420"/>
        <a:stretch>
          <a:fillRect/>
        </a:stretch>
      </xdr:blipFill>
      <xdr:spPr>
        <a:xfrm>
          <a:off x="7235825" y="4517297925"/>
          <a:ext cx="1183640" cy="878840"/>
        </a:xfrm>
        <a:prstGeom prst="rect">
          <a:avLst/>
        </a:prstGeom>
      </xdr:spPr>
    </xdr:pic>
    <xdr:clientData/>
  </xdr:twoCellAnchor>
  <xdr:twoCellAnchor>
    <xdr:from>
      <xdr:col>9</xdr:col>
      <xdr:colOff>6350</xdr:colOff>
      <xdr:row>4504</xdr:row>
      <xdr:rowOff>25400</xdr:rowOff>
    </xdr:from>
    <xdr:to>
      <xdr:col>9</xdr:col>
      <xdr:colOff>885190</xdr:colOff>
      <xdr:row>4504</xdr:row>
      <xdr:rowOff>1209040</xdr:rowOff>
    </xdr:to>
    <xdr:pic>
      <xdr:nvPicPr>
        <xdr:cNvPr id="8784" name="Изображение 8783" descr="resizeПП-00233381"/>
        <xdr:cNvPicPr>
          <a:picLocks noChangeAspect="1"/>
        </xdr:cNvPicPr>
      </xdr:nvPicPr>
      <xdr:blipFill>
        <a:blip xmlns:r="http://schemas.openxmlformats.org/officeDocument/2006/relationships" r:embed="rId3421"/>
        <a:stretch>
          <a:fillRect/>
        </a:stretch>
      </xdr:blipFill>
      <xdr:spPr>
        <a:xfrm>
          <a:off x="7235825" y="4518520300"/>
          <a:ext cx="878840" cy="1183640"/>
        </a:xfrm>
        <a:prstGeom prst="rect">
          <a:avLst/>
        </a:prstGeom>
      </xdr:spPr>
    </xdr:pic>
    <xdr:clientData/>
  </xdr:twoCellAnchor>
  <xdr:twoCellAnchor>
    <xdr:from>
      <xdr:col>9</xdr:col>
      <xdr:colOff>6350</xdr:colOff>
      <xdr:row>4505</xdr:row>
      <xdr:rowOff>25400</xdr:rowOff>
    </xdr:from>
    <xdr:to>
      <xdr:col>9</xdr:col>
      <xdr:colOff>1189990</xdr:colOff>
      <xdr:row>4505</xdr:row>
      <xdr:rowOff>904240</xdr:rowOff>
    </xdr:to>
    <xdr:pic>
      <xdr:nvPicPr>
        <xdr:cNvPr id="8785" name="Изображение 8784" descr="resizeПП-00253596"/>
        <xdr:cNvPicPr>
          <a:picLocks noChangeAspect="1"/>
        </xdr:cNvPicPr>
      </xdr:nvPicPr>
      <xdr:blipFill>
        <a:blip xmlns:r="http://schemas.openxmlformats.org/officeDocument/2006/relationships" r:embed="rId3422"/>
        <a:stretch>
          <a:fillRect/>
        </a:stretch>
      </xdr:blipFill>
      <xdr:spPr>
        <a:xfrm>
          <a:off x="7235825" y="4519742675"/>
          <a:ext cx="1183640" cy="878840"/>
        </a:xfrm>
        <a:prstGeom prst="rect">
          <a:avLst/>
        </a:prstGeom>
      </xdr:spPr>
    </xdr:pic>
    <xdr:clientData/>
  </xdr:twoCellAnchor>
  <xdr:twoCellAnchor>
    <xdr:from>
      <xdr:col>9</xdr:col>
      <xdr:colOff>6350</xdr:colOff>
      <xdr:row>4506</xdr:row>
      <xdr:rowOff>25400</xdr:rowOff>
    </xdr:from>
    <xdr:to>
      <xdr:col>9</xdr:col>
      <xdr:colOff>1189990</xdr:colOff>
      <xdr:row>4506</xdr:row>
      <xdr:rowOff>904240</xdr:rowOff>
    </xdr:to>
    <xdr:pic>
      <xdr:nvPicPr>
        <xdr:cNvPr id="8786" name="Изображение 8785" descr="resizeПП-00253597"/>
        <xdr:cNvPicPr>
          <a:picLocks noChangeAspect="1"/>
        </xdr:cNvPicPr>
      </xdr:nvPicPr>
      <xdr:blipFill>
        <a:blip xmlns:r="http://schemas.openxmlformats.org/officeDocument/2006/relationships" r:embed="rId3423"/>
        <a:stretch>
          <a:fillRect/>
        </a:stretch>
      </xdr:blipFill>
      <xdr:spPr>
        <a:xfrm>
          <a:off x="7235825" y="4520965050"/>
          <a:ext cx="1183640" cy="878840"/>
        </a:xfrm>
        <a:prstGeom prst="rect">
          <a:avLst/>
        </a:prstGeom>
      </xdr:spPr>
    </xdr:pic>
    <xdr:clientData/>
  </xdr:twoCellAnchor>
  <xdr:twoCellAnchor>
    <xdr:from>
      <xdr:col>9</xdr:col>
      <xdr:colOff>6350</xdr:colOff>
      <xdr:row>4507</xdr:row>
      <xdr:rowOff>25400</xdr:rowOff>
    </xdr:from>
    <xdr:to>
      <xdr:col>9</xdr:col>
      <xdr:colOff>1189990</xdr:colOff>
      <xdr:row>4507</xdr:row>
      <xdr:rowOff>904240</xdr:rowOff>
    </xdr:to>
    <xdr:pic>
      <xdr:nvPicPr>
        <xdr:cNvPr id="8787" name="Изображение 8786" descr="resizeПП-00253594"/>
        <xdr:cNvPicPr>
          <a:picLocks noChangeAspect="1"/>
        </xdr:cNvPicPr>
      </xdr:nvPicPr>
      <xdr:blipFill>
        <a:blip xmlns:r="http://schemas.openxmlformats.org/officeDocument/2006/relationships" r:embed="rId3424"/>
        <a:stretch>
          <a:fillRect/>
        </a:stretch>
      </xdr:blipFill>
      <xdr:spPr>
        <a:xfrm>
          <a:off x="7235825" y="4522187425"/>
          <a:ext cx="1183640" cy="878840"/>
        </a:xfrm>
        <a:prstGeom prst="rect">
          <a:avLst/>
        </a:prstGeom>
      </xdr:spPr>
    </xdr:pic>
    <xdr:clientData/>
  </xdr:twoCellAnchor>
  <xdr:twoCellAnchor>
    <xdr:from>
      <xdr:col>9</xdr:col>
      <xdr:colOff>6350</xdr:colOff>
      <xdr:row>4508</xdr:row>
      <xdr:rowOff>25400</xdr:rowOff>
    </xdr:from>
    <xdr:to>
      <xdr:col>9</xdr:col>
      <xdr:colOff>1189990</xdr:colOff>
      <xdr:row>4508</xdr:row>
      <xdr:rowOff>904240</xdr:rowOff>
    </xdr:to>
    <xdr:pic>
      <xdr:nvPicPr>
        <xdr:cNvPr id="8788" name="Изображение 8787" descr="resizeПП-00253595"/>
        <xdr:cNvPicPr>
          <a:picLocks noChangeAspect="1"/>
        </xdr:cNvPicPr>
      </xdr:nvPicPr>
      <xdr:blipFill>
        <a:blip xmlns:r="http://schemas.openxmlformats.org/officeDocument/2006/relationships" r:embed="rId3425"/>
        <a:stretch>
          <a:fillRect/>
        </a:stretch>
      </xdr:blipFill>
      <xdr:spPr>
        <a:xfrm>
          <a:off x="7235825" y="4523409800"/>
          <a:ext cx="1183640" cy="878840"/>
        </a:xfrm>
        <a:prstGeom prst="rect">
          <a:avLst/>
        </a:prstGeom>
      </xdr:spPr>
    </xdr:pic>
    <xdr:clientData/>
  </xdr:twoCellAnchor>
  <xdr:twoCellAnchor>
    <xdr:from>
      <xdr:col>9</xdr:col>
      <xdr:colOff>6350</xdr:colOff>
      <xdr:row>4511</xdr:row>
      <xdr:rowOff>25400</xdr:rowOff>
    </xdr:from>
    <xdr:to>
      <xdr:col>9</xdr:col>
      <xdr:colOff>885190</xdr:colOff>
      <xdr:row>4511</xdr:row>
      <xdr:rowOff>1209040</xdr:rowOff>
    </xdr:to>
    <xdr:pic>
      <xdr:nvPicPr>
        <xdr:cNvPr id="8789" name="Изображение 8788" descr="resizeПП-00272977"/>
        <xdr:cNvPicPr>
          <a:picLocks noChangeAspect="1"/>
        </xdr:cNvPicPr>
      </xdr:nvPicPr>
      <xdr:blipFill>
        <a:blip xmlns:r="http://schemas.openxmlformats.org/officeDocument/2006/relationships" r:embed="rId3426"/>
        <a:stretch>
          <a:fillRect/>
        </a:stretch>
      </xdr:blipFill>
      <xdr:spPr>
        <a:xfrm>
          <a:off x="7235825" y="4524936975"/>
          <a:ext cx="878840" cy="1183640"/>
        </a:xfrm>
        <a:prstGeom prst="rect">
          <a:avLst/>
        </a:prstGeom>
      </xdr:spPr>
    </xdr:pic>
    <xdr:clientData/>
  </xdr:twoCellAnchor>
  <xdr:twoCellAnchor>
    <xdr:from>
      <xdr:col>9</xdr:col>
      <xdr:colOff>6350</xdr:colOff>
      <xdr:row>4512</xdr:row>
      <xdr:rowOff>25400</xdr:rowOff>
    </xdr:from>
    <xdr:to>
      <xdr:col>9</xdr:col>
      <xdr:colOff>885190</xdr:colOff>
      <xdr:row>4512</xdr:row>
      <xdr:rowOff>1209040</xdr:rowOff>
    </xdr:to>
    <xdr:pic>
      <xdr:nvPicPr>
        <xdr:cNvPr id="8790" name="Изображение 8789" descr="resizeПП-00272978"/>
        <xdr:cNvPicPr>
          <a:picLocks noChangeAspect="1"/>
        </xdr:cNvPicPr>
      </xdr:nvPicPr>
      <xdr:blipFill>
        <a:blip xmlns:r="http://schemas.openxmlformats.org/officeDocument/2006/relationships" r:embed="rId3427"/>
        <a:stretch>
          <a:fillRect/>
        </a:stretch>
      </xdr:blipFill>
      <xdr:spPr>
        <a:xfrm>
          <a:off x="7235825" y="4526159350"/>
          <a:ext cx="878840" cy="1183640"/>
        </a:xfrm>
        <a:prstGeom prst="rect">
          <a:avLst/>
        </a:prstGeom>
      </xdr:spPr>
    </xdr:pic>
    <xdr:clientData/>
  </xdr:twoCellAnchor>
  <xdr:twoCellAnchor>
    <xdr:from>
      <xdr:col>9</xdr:col>
      <xdr:colOff>6350</xdr:colOff>
      <xdr:row>4513</xdr:row>
      <xdr:rowOff>25400</xdr:rowOff>
    </xdr:from>
    <xdr:to>
      <xdr:col>9</xdr:col>
      <xdr:colOff>885190</xdr:colOff>
      <xdr:row>4513</xdr:row>
      <xdr:rowOff>1209040</xdr:rowOff>
    </xdr:to>
    <xdr:pic>
      <xdr:nvPicPr>
        <xdr:cNvPr id="8791" name="Изображение 8790" descr="resizeПП-00253607"/>
        <xdr:cNvPicPr>
          <a:picLocks noChangeAspect="1"/>
        </xdr:cNvPicPr>
      </xdr:nvPicPr>
      <xdr:blipFill>
        <a:blip xmlns:r="http://schemas.openxmlformats.org/officeDocument/2006/relationships" r:embed="rId3428"/>
        <a:stretch>
          <a:fillRect/>
        </a:stretch>
      </xdr:blipFill>
      <xdr:spPr>
        <a:xfrm>
          <a:off x="7235825" y="4527381725"/>
          <a:ext cx="878840" cy="1183640"/>
        </a:xfrm>
        <a:prstGeom prst="rect">
          <a:avLst/>
        </a:prstGeom>
      </xdr:spPr>
    </xdr:pic>
    <xdr:clientData/>
  </xdr:twoCellAnchor>
  <xdr:twoCellAnchor>
    <xdr:from>
      <xdr:col>9</xdr:col>
      <xdr:colOff>6350</xdr:colOff>
      <xdr:row>4514</xdr:row>
      <xdr:rowOff>25400</xdr:rowOff>
    </xdr:from>
    <xdr:to>
      <xdr:col>9</xdr:col>
      <xdr:colOff>885190</xdr:colOff>
      <xdr:row>4514</xdr:row>
      <xdr:rowOff>1209040</xdr:rowOff>
    </xdr:to>
    <xdr:pic>
      <xdr:nvPicPr>
        <xdr:cNvPr id="8792" name="Изображение 8791" descr="resizeПП-00204832"/>
        <xdr:cNvPicPr>
          <a:picLocks noChangeAspect="1"/>
        </xdr:cNvPicPr>
      </xdr:nvPicPr>
      <xdr:blipFill>
        <a:blip xmlns:r="http://schemas.openxmlformats.org/officeDocument/2006/relationships" r:embed="rId3429"/>
        <a:stretch>
          <a:fillRect/>
        </a:stretch>
      </xdr:blipFill>
      <xdr:spPr>
        <a:xfrm>
          <a:off x="7235825" y="4528604100"/>
          <a:ext cx="878840" cy="1183640"/>
        </a:xfrm>
        <a:prstGeom prst="rect">
          <a:avLst/>
        </a:prstGeom>
      </xdr:spPr>
    </xdr:pic>
    <xdr:clientData/>
  </xdr:twoCellAnchor>
  <xdr:twoCellAnchor>
    <xdr:from>
      <xdr:col>9</xdr:col>
      <xdr:colOff>6350</xdr:colOff>
      <xdr:row>4516</xdr:row>
      <xdr:rowOff>25400</xdr:rowOff>
    </xdr:from>
    <xdr:to>
      <xdr:col>9</xdr:col>
      <xdr:colOff>885190</xdr:colOff>
      <xdr:row>4516</xdr:row>
      <xdr:rowOff>1209040</xdr:rowOff>
    </xdr:to>
    <xdr:pic>
      <xdr:nvPicPr>
        <xdr:cNvPr id="8793" name="Изображение 8792" descr="resizeПП-00211258"/>
        <xdr:cNvPicPr>
          <a:picLocks noChangeAspect="1"/>
        </xdr:cNvPicPr>
      </xdr:nvPicPr>
      <xdr:blipFill>
        <a:blip xmlns:r="http://schemas.openxmlformats.org/officeDocument/2006/relationships" r:embed="rId3430"/>
        <a:stretch>
          <a:fillRect/>
        </a:stretch>
      </xdr:blipFill>
      <xdr:spPr>
        <a:xfrm>
          <a:off x="7235825" y="4529978875"/>
          <a:ext cx="878840" cy="1183640"/>
        </a:xfrm>
        <a:prstGeom prst="rect">
          <a:avLst/>
        </a:prstGeom>
      </xdr:spPr>
    </xdr:pic>
    <xdr:clientData/>
  </xdr:twoCellAnchor>
  <xdr:twoCellAnchor>
    <xdr:from>
      <xdr:col>9</xdr:col>
      <xdr:colOff>6350</xdr:colOff>
      <xdr:row>4518</xdr:row>
      <xdr:rowOff>25400</xdr:rowOff>
    </xdr:from>
    <xdr:to>
      <xdr:col>9</xdr:col>
      <xdr:colOff>885190</xdr:colOff>
      <xdr:row>4518</xdr:row>
      <xdr:rowOff>1209040</xdr:rowOff>
    </xdr:to>
    <xdr:pic>
      <xdr:nvPicPr>
        <xdr:cNvPr id="8794" name="Изображение 8793" descr="resizeПП-00272975"/>
        <xdr:cNvPicPr>
          <a:picLocks noChangeAspect="1"/>
        </xdr:cNvPicPr>
      </xdr:nvPicPr>
      <xdr:blipFill>
        <a:blip xmlns:r="http://schemas.openxmlformats.org/officeDocument/2006/relationships" r:embed="rId3431"/>
        <a:stretch>
          <a:fillRect/>
        </a:stretch>
      </xdr:blipFill>
      <xdr:spPr>
        <a:xfrm>
          <a:off x="7235825" y="4531353650"/>
          <a:ext cx="878840" cy="1183640"/>
        </a:xfrm>
        <a:prstGeom prst="rect">
          <a:avLst/>
        </a:prstGeom>
      </xdr:spPr>
    </xdr:pic>
    <xdr:clientData/>
  </xdr:twoCellAnchor>
  <xdr:twoCellAnchor>
    <xdr:from>
      <xdr:col>9</xdr:col>
      <xdr:colOff>6350</xdr:colOff>
      <xdr:row>4519</xdr:row>
      <xdr:rowOff>25400</xdr:rowOff>
    </xdr:from>
    <xdr:to>
      <xdr:col>9</xdr:col>
      <xdr:colOff>885190</xdr:colOff>
      <xdr:row>4519</xdr:row>
      <xdr:rowOff>1209040</xdr:rowOff>
    </xdr:to>
    <xdr:pic>
      <xdr:nvPicPr>
        <xdr:cNvPr id="8795" name="Изображение 8794" descr="resizeПП-00204080"/>
        <xdr:cNvPicPr>
          <a:picLocks noChangeAspect="1"/>
        </xdr:cNvPicPr>
      </xdr:nvPicPr>
      <xdr:blipFill>
        <a:blip xmlns:r="http://schemas.openxmlformats.org/officeDocument/2006/relationships" r:embed="rId3432"/>
        <a:stretch>
          <a:fillRect/>
        </a:stretch>
      </xdr:blipFill>
      <xdr:spPr>
        <a:xfrm>
          <a:off x="7235825" y="4532576025"/>
          <a:ext cx="878840" cy="1183640"/>
        </a:xfrm>
        <a:prstGeom prst="rect">
          <a:avLst/>
        </a:prstGeom>
      </xdr:spPr>
    </xdr:pic>
    <xdr:clientData/>
  </xdr:twoCellAnchor>
  <xdr:twoCellAnchor>
    <xdr:from>
      <xdr:col>9</xdr:col>
      <xdr:colOff>6350</xdr:colOff>
      <xdr:row>4520</xdr:row>
      <xdr:rowOff>25400</xdr:rowOff>
    </xdr:from>
    <xdr:to>
      <xdr:col>9</xdr:col>
      <xdr:colOff>885190</xdr:colOff>
      <xdr:row>4520</xdr:row>
      <xdr:rowOff>1209040</xdr:rowOff>
    </xdr:to>
    <xdr:pic>
      <xdr:nvPicPr>
        <xdr:cNvPr id="8796" name="Изображение 8795" descr="resizeПП-00227452"/>
        <xdr:cNvPicPr>
          <a:picLocks noChangeAspect="1"/>
        </xdr:cNvPicPr>
      </xdr:nvPicPr>
      <xdr:blipFill>
        <a:blip xmlns:r="http://schemas.openxmlformats.org/officeDocument/2006/relationships" r:embed="rId3433"/>
        <a:stretch>
          <a:fillRect/>
        </a:stretch>
      </xdr:blipFill>
      <xdr:spPr>
        <a:xfrm>
          <a:off x="7235825" y="4533798400"/>
          <a:ext cx="878840" cy="1183640"/>
        </a:xfrm>
        <a:prstGeom prst="rect">
          <a:avLst/>
        </a:prstGeom>
      </xdr:spPr>
    </xdr:pic>
    <xdr:clientData/>
  </xdr:twoCellAnchor>
  <xdr:twoCellAnchor>
    <xdr:from>
      <xdr:col>9</xdr:col>
      <xdr:colOff>6350</xdr:colOff>
      <xdr:row>4521</xdr:row>
      <xdr:rowOff>25400</xdr:rowOff>
    </xdr:from>
    <xdr:to>
      <xdr:col>9</xdr:col>
      <xdr:colOff>885190</xdr:colOff>
      <xdr:row>4521</xdr:row>
      <xdr:rowOff>1209040</xdr:rowOff>
    </xdr:to>
    <xdr:pic>
      <xdr:nvPicPr>
        <xdr:cNvPr id="8797" name="Изображение 8796" descr="resizeПП-00253606"/>
        <xdr:cNvPicPr>
          <a:picLocks noChangeAspect="1"/>
        </xdr:cNvPicPr>
      </xdr:nvPicPr>
      <xdr:blipFill>
        <a:blip xmlns:r="http://schemas.openxmlformats.org/officeDocument/2006/relationships" r:embed="rId3434"/>
        <a:stretch>
          <a:fillRect/>
        </a:stretch>
      </xdr:blipFill>
      <xdr:spPr>
        <a:xfrm>
          <a:off x="7235825" y="4535020775"/>
          <a:ext cx="878840" cy="1183640"/>
        </a:xfrm>
        <a:prstGeom prst="rect">
          <a:avLst/>
        </a:prstGeom>
      </xdr:spPr>
    </xdr:pic>
    <xdr:clientData/>
  </xdr:twoCellAnchor>
  <xdr:twoCellAnchor>
    <xdr:from>
      <xdr:col>9</xdr:col>
      <xdr:colOff>6350</xdr:colOff>
      <xdr:row>4522</xdr:row>
      <xdr:rowOff>25400</xdr:rowOff>
    </xdr:from>
    <xdr:to>
      <xdr:col>9</xdr:col>
      <xdr:colOff>885190</xdr:colOff>
      <xdr:row>4522</xdr:row>
      <xdr:rowOff>1209040</xdr:rowOff>
    </xdr:to>
    <xdr:pic>
      <xdr:nvPicPr>
        <xdr:cNvPr id="8798" name="Изображение 8797" descr="resizeПП-00272976"/>
        <xdr:cNvPicPr>
          <a:picLocks noChangeAspect="1"/>
        </xdr:cNvPicPr>
      </xdr:nvPicPr>
      <xdr:blipFill>
        <a:blip xmlns:r="http://schemas.openxmlformats.org/officeDocument/2006/relationships" r:embed="rId3435"/>
        <a:stretch>
          <a:fillRect/>
        </a:stretch>
      </xdr:blipFill>
      <xdr:spPr>
        <a:xfrm>
          <a:off x="7235825" y="4536243150"/>
          <a:ext cx="878840" cy="1183640"/>
        </a:xfrm>
        <a:prstGeom prst="rect">
          <a:avLst/>
        </a:prstGeom>
      </xdr:spPr>
    </xdr:pic>
    <xdr:clientData/>
  </xdr:twoCellAnchor>
  <xdr:twoCellAnchor>
    <xdr:from>
      <xdr:col>9</xdr:col>
      <xdr:colOff>6350</xdr:colOff>
      <xdr:row>4527</xdr:row>
      <xdr:rowOff>25400</xdr:rowOff>
    </xdr:from>
    <xdr:to>
      <xdr:col>9</xdr:col>
      <xdr:colOff>885190</xdr:colOff>
      <xdr:row>4527</xdr:row>
      <xdr:rowOff>1209040</xdr:rowOff>
    </xdr:to>
    <xdr:pic>
      <xdr:nvPicPr>
        <xdr:cNvPr id="8799" name="Изображение 8798" descr="resizeПП-00233619"/>
        <xdr:cNvPicPr>
          <a:picLocks noChangeAspect="1"/>
        </xdr:cNvPicPr>
      </xdr:nvPicPr>
      <xdr:blipFill>
        <a:blip xmlns:r="http://schemas.openxmlformats.org/officeDocument/2006/relationships" r:embed="rId3436"/>
        <a:stretch>
          <a:fillRect/>
        </a:stretch>
      </xdr:blipFill>
      <xdr:spPr>
        <a:xfrm>
          <a:off x="7235825" y="4538075125"/>
          <a:ext cx="878840" cy="1183640"/>
        </a:xfrm>
        <a:prstGeom prst="rect">
          <a:avLst/>
        </a:prstGeom>
      </xdr:spPr>
    </xdr:pic>
    <xdr:clientData/>
  </xdr:twoCellAnchor>
  <xdr:twoCellAnchor>
    <xdr:from>
      <xdr:col>9</xdr:col>
      <xdr:colOff>6350</xdr:colOff>
      <xdr:row>4528</xdr:row>
      <xdr:rowOff>25400</xdr:rowOff>
    </xdr:from>
    <xdr:to>
      <xdr:col>9</xdr:col>
      <xdr:colOff>885190</xdr:colOff>
      <xdr:row>4528</xdr:row>
      <xdr:rowOff>1209040</xdr:rowOff>
    </xdr:to>
    <xdr:pic>
      <xdr:nvPicPr>
        <xdr:cNvPr id="8800" name="Изображение 8799" descr="resizeПП-00233616"/>
        <xdr:cNvPicPr>
          <a:picLocks noChangeAspect="1"/>
        </xdr:cNvPicPr>
      </xdr:nvPicPr>
      <xdr:blipFill>
        <a:blip xmlns:r="http://schemas.openxmlformats.org/officeDocument/2006/relationships" r:embed="rId3437"/>
        <a:stretch>
          <a:fillRect/>
        </a:stretch>
      </xdr:blipFill>
      <xdr:spPr>
        <a:xfrm>
          <a:off x="7235825" y="4539297500"/>
          <a:ext cx="878840" cy="1183640"/>
        </a:xfrm>
        <a:prstGeom prst="rect">
          <a:avLst/>
        </a:prstGeom>
      </xdr:spPr>
    </xdr:pic>
    <xdr:clientData/>
  </xdr:twoCellAnchor>
  <xdr:twoCellAnchor>
    <xdr:from>
      <xdr:col>9</xdr:col>
      <xdr:colOff>6350</xdr:colOff>
      <xdr:row>4529</xdr:row>
      <xdr:rowOff>25400</xdr:rowOff>
    </xdr:from>
    <xdr:to>
      <xdr:col>9</xdr:col>
      <xdr:colOff>885190</xdr:colOff>
      <xdr:row>4529</xdr:row>
      <xdr:rowOff>1209040</xdr:rowOff>
    </xdr:to>
    <xdr:pic>
      <xdr:nvPicPr>
        <xdr:cNvPr id="8801" name="Изображение 8800" descr="resizeПП-00233613"/>
        <xdr:cNvPicPr>
          <a:picLocks noChangeAspect="1"/>
        </xdr:cNvPicPr>
      </xdr:nvPicPr>
      <xdr:blipFill>
        <a:blip xmlns:r="http://schemas.openxmlformats.org/officeDocument/2006/relationships" r:embed="rId3438"/>
        <a:stretch>
          <a:fillRect/>
        </a:stretch>
      </xdr:blipFill>
      <xdr:spPr>
        <a:xfrm>
          <a:off x="7235825" y="4540519875"/>
          <a:ext cx="878840" cy="1183640"/>
        </a:xfrm>
        <a:prstGeom prst="rect">
          <a:avLst/>
        </a:prstGeom>
      </xdr:spPr>
    </xdr:pic>
    <xdr:clientData/>
  </xdr:twoCellAnchor>
  <xdr:twoCellAnchor>
    <xdr:from>
      <xdr:col>9</xdr:col>
      <xdr:colOff>6350</xdr:colOff>
      <xdr:row>4530</xdr:row>
      <xdr:rowOff>25400</xdr:rowOff>
    </xdr:from>
    <xdr:to>
      <xdr:col>9</xdr:col>
      <xdr:colOff>885190</xdr:colOff>
      <xdr:row>4530</xdr:row>
      <xdr:rowOff>1209040</xdr:rowOff>
    </xdr:to>
    <xdr:pic>
      <xdr:nvPicPr>
        <xdr:cNvPr id="8802" name="Изображение 8801" descr="resizeПП-00253972"/>
        <xdr:cNvPicPr>
          <a:picLocks noChangeAspect="1"/>
        </xdr:cNvPicPr>
      </xdr:nvPicPr>
      <xdr:blipFill>
        <a:blip xmlns:r="http://schemas.openxmlformats.org/officeDocument/2006/relationships" r:embed="rId3439"/>
        <a:stretch>
          <a:fillRect/>
        </a:stretch>
      </xdr:blipFill>
      <xdr:spPr>
        <a:xfrm>
          <a:off x="7235825" y="4541742250"/>
          <a:ext cx="878840" cy="1183640"/>
        </a:xfrm>
        <a:prstGeom prst="rect">
          <a:avLst/>
        </a:prstGeom>
      </xdr:spPr>
    </xdr:pic>
    <xdr:clientData/>
  </xdr:twoCellAnchor>
  <xdr:twoCellAnchor>
    <xdr:from>
      <xdr:col>9</xdr:col>
      <xdr:colOff>6350</xdr:colOff>
      <xdr:row>4531</xdr:row>
      <xdr:rowOff>25400</xdr:rowOff>
    </xdr:from>
    <xdr:to>
      <xdr:col>9</xdr:col>
      <xdr:colOff>885190</xdr:colOff>
      <xdr:row>4531</xdr:row>
      <xdr:rowOff>1209040</xdr:rowOff>
    </xdr:to>
    <xdr:pic>
      <xdr:nvPicPr>
        <xdr:cNvPr id="8803" name="Изображение 8802" descr="resizeПП-00253846"/>
        <xdr:cNvPicPr>
          <a:picLocks noChangeAspect="1"/>
        </xdr:cNvPicPr>
      </xdr:nvPicPr>
      <xdr:blipFill>
        <a:blip xmlns:r="http://schemas.openxmlformats.org/officeDocument/2006/relationships" r:embed="rId3440"/>
        <a:stretch>
          <a:fillRect/>
        </a:stretch>
      </xdr:blipFill>
      <xdr:spPr>
        <a:xfrm>
          <a:off x="7235825" y="4542964625"/>
          <a:ext cx="878840" cy="1183640"/>
        </a:xfrm>
        <a:prstGeom prst="rect">
          <a:avLst/>
        </a:prstGeom>
      </xdr:spPr>
    </xdr:pic>
    <xdr:clientData/>
  </xdr:twoCellAnchor>
  <xdr:twoCellAnchor>
    <xdr:from>
      <xdr:col>9</xdr:col>
      <xdr:colOff>6350</xdr:colOff>
      <xdr:row>4532</xdr:row>
      <xdr:rowOff>25400</xdr:rowOff>
    </xdr:from>
    <xdr:to>
      <xdr:col>9</xdr:col>
      <xdr:colOff>885190</xdr:colOff>
      <xdr:row>4532</xdr:row>
      <xdr:rowOff>1209040</xdr:rowOff>
    </xdr:to>
    <xdr:pic>
      <xdr:nvPicPr>
        <xdr:cNvPr id="8804" name="Изображение 8803" descr="resizeПП-00253966"/>
        <xdr:cNvPicPr>
          <a:picLocks noChangeAspect="1"/>
        </xdr:cNvPicPr>
      </xdr:nvPicPr>
      <xdr:blipFill>
        <a:blip xmlns:r="http://schemas.openxmlformats.org/officeDocument/2006/relationships" r:embed="rId3441"/>
        <a:stretch>
          <a:fillRect/>
        </a:stretch>
      </xdr:blipFill>
      <xdr:spPr>
        <a:xfrm>
          <a:off x="7235825" y="4544187000"/>
          <a:ext cx="878840" cy="1183640"/>
        </a:xfrm>
        <a:prstGeom prst="rect">
          <a:avLst/>
        </a:prstGeom>
      </xdr:spPr>
    </xdr:pic>
    <xdr:clientData/>
  </xdr:twoCellAnchor>
  <xdr:twoCellAnchor>
    <xdr:from>
      <xdr:col>9</xdr:col>
      <xdr:colOff>6350</xdr:colOff>
      <xdr:row>4533</xdr:row>
      <xdr:rowOff>25400</xdr:rowOff>
    </xdr:from>
    <xdr:to>
      <xdr:col>9</xdr:col>
      <xdr:colOff>885190</xdr:colOff>
      <xdr:row>4533</xdr:row>
      <xdr:rowOff>1209040</xdr:rowOff>
    </xdr:to>
    <xdr:pic>
      <xdr:nvPicPr>
        <xdr:cNvPr id="8805" name="Изображение 8804" descr="resizeПП-00253970"/>
        <xdr:cNvPicPr>
          <a:picLocks noChangeAspect="1"/>
        </xdr:cNvPicPr>
      </xdr:nvPicPr>
      <xdr:blipFill>
        <a:blip xmlns:r="http://schemas.openxmlformats.org/officeDocument/2006/relationships" r:embed="rId3442"/>
        <a:stretch>
          <a:fillRect/>
        </a:stretch>
      </xdr:blipFill>
      <xdr:spPr>
        <a:xfrm>
          <a:off x="7235825" y="4545409375"/>
          <a:ext cx="878840" cy="1183640"/>
        </a:xfrm>
        <a:prstGeom prst="rect">
          <a:avLst/>
        </a:prstGeom>
      </xdr:spPr>
    </xdr:pic>
    <xdr:clientData/>
  </xdr:twoCellAnchor>
  <xdr:twoCellAnchor>
    <xdr:from>
      <xdr:col>9</xdr:col>
      <xdr:colOff>6350</xdr:colOff>
      <xdr:row>4534</xdr:row>
      <xdr:rowOff>25400</xdr:rowOff>
    </xdr:from>
    <xdr:to>
      <xdr:col>9</xdr:col>
      <xdr:colOff>885190</xdr:colOff>
      <xdr:row>4534</xdr:row>
      <xdr:rowOff>1209040</xdr:rowOff>
    </xdr:to>
    <xdr:pic>
      <xdr:nvPicPr>
        <xdr:cNvPr id="8806" name="Изображение 8805" descr="resizeПП-00253971"/>
        <xdr:cNvPicPr>
          <a:picLocks noChangeAspect="1"/>
        </xdr:cNvPicPr>
      </xdr:nvPicPr>
      <xdr:blipFill>
        <a:blip xmlns:r="http://schemas.openxmlformats.org/officeDocument/2006/relationships" r:embed="rId3443"/>
        <a:stretch>
          <a:fillRect/>
        </a:stretch>
      </xdr:blipFill>
      <xdr:spPr>
        <a:xfrm>
          <a:off x="7235825" y="4546631750"/>
          <a:ext cx="878840" cy="1183640"/>
        </a:xfrm>
        <a:prstGeom prst="rect">
          <a:avLst/>
        </a:prstGeom>
      </xdr:spPr>
    </xdr:pic>
    <xdr:clientData/>
  </xdr:twoCellAnchor>
  <xdr:twoCellAnchor>
    <xdr:from>
      <xdr:col>9</xdr:col>
      <xdr:colOff>6350</xdr:colOff>
      <xdr:row>4535</xdr:row>
      <xdr:rowOff>25400</xdr:rowOff>
    </xdr:from>
    <xdr:to>
      <xdr:col>9</xdr:col>
      <xdr:colOff>885190</xdr:colOff>
      <xdr:row>4535</xdr:row>
      <xdr:rowOff>1209040</xdr:rowOff>
    </xdr:to>
    <xdr:pic>
      <xdr:nvPicPr>
        <xdr:cNvPr id="8807" name="Изображение 8806" descr="resizeПП-00253852"/>
        <xdr:cNvPicPr>
          <a:picLocks noChangeAspect="1"/>
        </xdr:cNvPicPr>
      </xdr:nvPicPr>
      <xdr:blipFill>
        <a:blip xmlns:r="http://schemas.openxmlformats.org/officeDocument/2006/relationships" r:embed="rId3444"/>
        <a:stretch>
          <a:fillRect/>
        </a:stretch>
      </xdr:blipFill>
      <xdr:spPr>
        <a:xfrm>
          <a:off x="7235825" y="4547854125"/>
          <a:ext cx="878840" cy="1183640"/>
        </a:xfrm>
        <a:prstGeom prst="rect">
          <a:avLst/>
        </a:prstGeom>
      </xdr:spPr>
    </xdr:pic>
    <xdr:clientData/>
  </xdr:twoCellAnchor>
  <xdr:twoCellAnchor>
    <xdr:from>
      <xdr:col>9</xdr:col>
      <xdr:colOff>6350</xdr:colOff>
      <xdr:row>4536</xdr:row>
      <xdr:rowOff>25400</xdr:rowOff>
    </xdr:from>
    <xdr:to>
      <xdr:col>9</xdr:col>
      <xdr:colOff>885190</xdr:colOff>
      <xdr:row>4536</xdr:row>
      <xdr:rowOff>1209040</xdr:rowOff>
    </xdr:to>
    <xdr:pic>
      <xdr:nvPicPr>
        <xdr:cNvPr id="8808" name="Изображение 8807" descr="resizeПП-00253850"/>
        <xdr:cNvPicPr>
          <a:picLocks noChangeAspect="1"/>
        </xdr:cNvPicPr>
      </xdr:nvPicPr>
      <xdr:blipFill>
        <a:blip xmlns:r="http://schemas.openxmlformats.org/officeDocument/2006/relationships" r:embed="rId3445"/>
        <a:stretch>
          <a:fillRect/>
        </a:stretch>
      </xdr:blipFill>
      <xdr:spPr>
        <a:xfrm>
          <a:off x="7235825" y="4549076500"/>
          <a:ext cx="878840" cy="1183640"/>
        </a:xfrm>
        <a:prstGeom prst="rect">
          <a:avLst/>
        </a:prstGeom>
      </xdr:spPr>
    </xdr:pic>
    <xdr:clientData/>
  </xdr:twoCellAnchor>
  <xdr:twoCellAnchor>
    <xdr:from>
      <xdr:col>9</xdr:col>
      <xdr:colOff>6350</xdr:colOff>
      <xdr:row>4537</xdr:row>
      <xdr:rowOff>25400</xdr:rowOff>
    </xdr:from>
    <xdr:to>
      <xdr:col>9</xdr:col>
      <xdr:colOff>885190</xdr:colOff>
      <xdr:row>4537</xdr:row>
      <xdr:rowOff>1209040</xdr:rowOff>
    </xdr:to>
    <xdr:pic>
      <xdr:nvPicPr>
        <xdr:cNvPr id="8809" name="Изображение 8808" descr="resizeПП-00253849"/>
        <xdr:cNvPicPr>
          <a:picLocks noChangeAspect="1"/>
        </xdr:cNvPicPr>
      </xdr:nvPicPr>
      <xdr:blipFill>
        <a:blip xmlns:r="http://schemas.openxmlformats.org/officeDocument/2006/relationships" r:embed="rId3446"/>
        <a:stretch>
          <a:fillRect/>
        </a:stretch>
      </xdr:blipFill>
      <xdr:spPr>
        <a:xfrm>
          <a:off x="7235825" y="4550298875"/>
          <a:ext cx="878840" cy="1183640"/>
        </a:xfrm>
        <a:prstGeom prst="rect">
          <a:avLst/>
        </a:prstGeom>
      </xdr:spPr>
    </xdr:pic>
    <xdr:clientData/>
  </xdr:twoCellAnchor>
  <xdr:twoCellAnchor>
    <xdr:from>
      <xdr:col>9</xdr:col>
      <xdr:colOff>6350</xdr:colOff>
      <xdr:row>4538</xdr:row>
      <xdr:rowOff>25400</xdr:rowOff>
    </xdr:from>
    <xdr:to>
      <xdr:col>9</xdr:col>
      <xdr:colOff>885190</xdr:colOff>
      <xdr:row>4538</xdr:row>
      <xdr:rowOff>1209040</xdr:rowOff>
    </xdr:to>
    <xdr:pic>
      <xdr:nvPicPr>
        <xdr:cNvPr id="8810" name="Изображение 8809" descr="resizeПП-00253969"/>
        <xdr:cNvPicPr>
          <a:picLocks noChangeAspect="1"/>
        </xdr:cNvPicPr>
      </xdr:nvPicPr>
      <xdr:blipFill>
        <a:blip xmlns:r="http://schemas.openxmlformats.org/officeDocument/2006/relationships" r:embed="rId3447"/>
        <a:stretch>
          <a:fillRect/>
        </a:stretch>
      </xdr:blipFill>
      <xdr:spPr>
        <a:xfrm>
          <a:off x="7235825" y="4551521250"/>
          <a:ext cx="878840" cy="1183640"/>
        </a:xfrm>
        <a:prstGeom prst="rect">
          <a:avLst/>
        </a:prstGeom>
      </xdr:spPr>
    </xdr:pic>
    <xdr:clientData/>
  </xdr:twoCellAnchor>
  <xdr:twoCellAnchor>
    <xdr:from>
      <xdr:col>9</xdr:col>
      <xdr:colOff>6350</xdr:colOff>
      <xdr:row>4539</xdr:row>
      <xdr:rowOff>25400</xdr:rowOff>
    </xdr:from>
    <xdr:to>
      <xdr:col>9</xdr:col>
      <xdr:colOff>885190</xdr:colOff>
      <xdr:row>4539</xdr:row>
      <xdr:rowOff>1209040</xdr:rowOff>
    </xdr:to>
    <xdr:pic>
      <xdr:nvPicPr>
        <xdr:cNvPr id="8811" name="Изображение 8810" descr="resizeПП-00253968"/>
        <xdr:cNvPicPr>
          <a:picLocks noChangeAspect="1"/>
        </xdr:cNvPicPr>
      </xdr:nvPicPr>
      <xdr:blipFill>
        <a:blip xmlns:r="http://schemas.openxmlformats.org/officeDocument/2006/relationships" r:embed="rId3448"/>
        <a:stretch>
          <a:fillRect/>
        </a:stretch>
      </xdr:blipFill>
      <xdr:spPr>
        <a:xfrm>
          <a:off x="7235825" y="4552743625"/>
          <a:ext cx="878840" cy="1183640"/>
        </a:xfrm>
        <a:prstGeom prst="rect">
          <a:avLst/>
        </a:prstGeom>
      </xdr:spPr>
    </xdr:pic>
    <xdr:clientData/>
  </xdr:twoCellAnchor>
  <xdr:twoCellAnchor>
    <xdr:from>
      <xdr:col>9</xdr:col>
      <xdr:colOff>6350</xdr:colOff>
      <xdr:row>4540</xdr:row>
      <xdr:rowOff>25400</xdr:rowOff>
    </xdr:from>
    <xdr:to>
      <xdr:col>9</xdr:col>
      <xdr:colOff>885190</xdr:colOff>
      <xdr:row>4540</xdr:row>
      <xdr:rowOff>1209040</xdr:rowOff>
    </xdr:to>
    <xdr:pic>
      <xdr:nvPicPr>
        <xdr:cNvPr id="8812" name="Изображение 8811" descr="resizeПП-00253973"/>
        <xdr:cNvPicPr>
          <a:picLocks noChangeAspect="1"/>
        </xdr:cNvPicPr>
      </xdr:nvPicPr>
      <xdr:blipFill>
        <a:blip xmlns:r="http://schemas.openxmlformats.org/officeDocument/2006/relationships" r:embed="rId3449"/>
        <a:stretch>
          <a:fillRect/>
        </a:stretch>
      </xdr:blipFill>
      <xdr:spPr>
        <a:xfrm>
          <a:off x="7235825" y="4553966000"/>
          <a:ext cx="878840" cy="1183640"/>
        </a:xfrm>
        <a:prstGeom prst="rect">
          <a:avLst/>
        </a:prstGeom>
      </xdr:spPr>
    </xdr:pic>
    <xdr:clientData/>
  </xdr:twoCellAnchor>
  <xdr:twoCellAnchor>
    <xdr:from>
      <xdr:col>9</xdr:col>
      <xdr:colOff>6350</xdr:colOff>
      <xdr:row>4541</xdr:row>
      <xdr:rowOff>25400</xdr:rowOff>
    </xdr:from>
    <xdr:to>
      <xdr:col>9</xdr:col>
      <xdr:colOff>885190</xdr:colOff>
      <xdr:row>4541</xdr:row>
      <xdr:rowOff>1209040</xdr:rowOff>
    </xdr:to>
    <xdr:pic>
      <xdr:nvPicPr>
        <xdr:cNvPr id="8813" name="Изображение 8812" descr="resizeПП-00253967"/>
        <xdr:cNvPicPr>
          <a:picLocks noChangeAspect="1"/>
        </xdr:cNvPicPr>
      </xdr:nvPicPr>
      <xdr:blipFill>
        <a:blip xmlns:r="http://schemas.openxmlformats.org/officeDocument/2006/relationships" r:embed="rId3450"/>
        <a:stretch>
          <a:fillRect/>
        </a:stretch>
      </xdr:blipFill>
      <xdr:spPr>
        <a:xfrm>
          <a:off x="7235825" y="4555188375"/>
          <a:ext cx="878840" cy="1183640"/>
        </a:xfrm>
        <a:prstGeom prst="rect">
          <a:avLst/>
        </a:prstGeom>
      </xdr:spPr>
    </xdr:pic>
    <xdr:clientData/>
  </xdr:twoCellAnchor>
  <xdr:twoCellAnchor>
    <xdr:from>
      <xdr:col>9</xdr:col>
      <xdr:colOff>6350</xdr:colOff>
      <xdr:row>4542</xdr:row>
      <xdr:rowOff>25400</xdr:rowOff>
    </xdr:from>
    <xdr:to>
      <xdr:col>9</xdr:col>
      <xdr:colOff>885190</xdr:colOff>
      <xdr:row>4542</xdr:row>
      <xdr:rowOff>1209040</xdr:rowOff>
    </xdr:to>
    <xdr:pic>
      <xdr:nvPicPr>
        <xdr:cNvPr id="8814" name="Изображение 8813" descr="resizeПП-00253847"/>
        <xdr:cNvPicPr>
          <a:picLocks noChangeAspect="1"/>
        </xdr:cNvPicPr>
      </xdr:nvPicPr>
      <xdr:blipFill>
        <a:blip xmlns:r="http://schemas.openxmlformats.org/officeDocument/2006/relationships" r:embed="rId3451"/>
        <a:stretch>
          <a:fillRect/>
        </a:stretch>
      </xdr:blipFill>
      <xdr:spPr>
        <a:xfrm>
          <a:off x="7235825" y="4556410750"/>
          <a:ext cx="878840" cy="1183640"/>
        </a:xfrm>
        <a:prstGeom prst="rect">
          <a:avLst/>
        </a:prstGeom>
      </xdr:spPr>
    </xdr:pic>
    <xdr:clientData/>
  </xdr:twoCellAnchor>
  <xdr:twoCellAnchor>
    <xdr:from>
      <xdr:col>9</xdr:col>
      <xdr:colOff>6350</xdr:colOff>
      <xdr:row>4543</xdr:row>
      <xdr:rowOff>25400</xdr:rowOff>
    </xdr:from>
    <xdr:to>
      <xdr:col>9</xdr:col>
      <xdr:colOff>885190</xdr:colOff>
      <xdr:row>4543</xdr:row>
      <xdr:rowOff>1209040</xdr:rowOff>
    </xdr:to>
    <xdr:pic>
      <xdr:nvPicPr>
        <xdr:cNvPr id="8815" name="Изображение 8814" descr="resizeПП-00253848"/>
        <xdr:cNvPicPr>
          <a:picLocks noChangeAspect="1"/>
        </xdr:cNvPicPr>
      </xdr:nvPicPr>
      <xdr:blipFill>
        <a:blip xmlns:r="http://schemas.openxmlformats.org/officeDocument/2006/relationships" r:embed="rId3452"/>
        <a:stretch>
          <a:fillRect/>
        </a:stretch>
      </xdr:blipFill>
      <xdr:spPr>
        <a:xfrm>
          <a:off x="7235825" y="4557633125"/>
          <a:ext cx="878840" cy="1183640"/>
        </a:xfrm>
        <a:prstGeom prst="rect">
          <a:avLst/>
        </a:prstGeom>
      </xdr:spPr>
    </xdr:pic>
    <xdr:clientData/>
  </xdr:twoCellAnchor>
  <xdr:twoCellAnchor>
    <xdr:from>
      <xdr:col>9</xdr:col>
      <xdr:colOff>6350</xdr:colOff>
      <xdr:row>4545</xdr:row>
      <xdr:rowOff>25400</xdr:rowOff>
    </xdr:from>
    <xdr:to>
      <xdr:col>9</xdr:col>
      <xdr:colOff>885190</xdr:colOff>
      <xdr:row>4545</xdr:row>
      <xdr:rowOff>1209040</xdr:rowOff>
    </xdr:to>
    <xdr:pic>
      <xdr:nvPicPr>
        <xdr:cNvPr id="8816" name="Изображение 8815" descr="resizeПП-00257942"/>
        <xdr:cNvPicPr>
          <a:picLocks noChangeAspect="1"/>
        </xdr:cNvPicPr>
      </xdr:nvPicPr>
      <xdr:blipFill>
        <a:blip xmlns:r="http://schemas.openxmlformats.org/officeDocument/2006/relationships" r:embed="rId3453"/>
        <a:stretch>
          <a:fillRect/>
        </a:stretch>
      </xdr:blipFill>
      <xdr:spPr>
        <a:xfrm>
          <a:off x="7235825" y="4559007900"/>
          <a:ext cx="878840" cy="1183640"/>
        </a:xfrm>
        <a:prstGeom prst="rect">
          <a:avLst/>
        </a:prstGeom>
      </xdr:spPr>
    </xdr:pic>
    <xdr:clientData/>
  </xdr:twoCellAnchor>
  <xdr:twoCellAnchor>
    <xdr:from>
      <xdr:col>9</xdr:col>
      <xdr:colOff>6350</xdr:colOff>
      <xdr:row>4546</xdr:row>
      <xdr:rowOff>25400</xdr:rowOff>
    </xdr:from>
    <xdr:to>
      <xdr:col>9</xdr:col>
      <xdr:colOff>885190</xdr:colOff>
      <xdr:row>4546</xdr:row>
      <xdr:rowOff>1209040</xdr:rowOff>
    </xdr:to>
    <xdr:pic>
      <xdr:nvPicPr>
        <xdr:cNvPr id="8817" name="Изображение 8816" descr="resizeПП-00257945"/>
        <xdr:cNvPicPr>
          <a:picLocks noChangeAspect="1"/>
        </xdr:cNvPicPr>
      </xdr:nvPicPr>
      <xdr:blipFill>
        <a:blip xmlns:r="http://schemas.openxmlformats.org/officeDocument/2006/relationships" r:embed="rId3454"/>
        <a:stretch>
          <a:fillRect/>
        </a:stretch>
      </xdr:blipFill>
      <xdr:spPr>
        <a:xfrm>
          <a:off x="7235825" y="4560230275"/>
          <a:ext cx="878840" cy="1183640"/>
        </a:xfrm>
        <a:prstGeom prst="rect">
          <a:avLst/>
        </a:prstGeom>
      </xdr:spPr>
    </xdr:pic>
    <xdr:clientData/>
  </xdr:twoCellAnchor>
  <xdr:twoCellAnchor>
    <xdr:from>
      <xdr:col>9</xdr:col>
      <xdr:colOff>6350</xdr:colOff>
      <xdr:row>4547</xdr:row>
      <xdr:rowOff>25400</xdr:rowOff>
    </xdr:from>
    <xdr:to>
      <xdr:col>9</xdr:col>
      <xdr:colOff>885190</xdr:colOff>
      <xdr:row>4547</xdr:row>
      <xdr:rowOff>1209040</xdr:rowOff>
    </xdr:to>
    <xdr:pic>
      <xdr:nvPicPr>
        <xdr:cNvPr id="8818" name="Изображение 8817" descr="resizeПП-00257943"/>
        <xdr:cNvPicPr>
          <a:picLocks noChangeAspect="1"/>
        </xdr:cNvPicPr>
      </xdr:nvPicPr>
      <xdr:blipFill>
        <a:blip xmlns:r="http://schemas.openxmlformats.org/officeDocument/2006/relationships" r:embed="rId3455"/>
        <a:stretch>
          <a:fillRect/>
        </a:stretch>
      </xdr:blipFill>
      <xdr:spPr>
        <a:xfrm>
          <a:off x="7235825" y="4561452650"/>
          <a:ext cx="878840" cy="1183640"/>
        </a:xfrm>
        <a:prstGeom prst="rect">
          <a:avLst/>
        </a:prstGeom>
      </xdr:spPr>
    </xdr:pic>
    <xdr:clientData/>
  </xdr:twoCellAnchor>
  <xdr:twoCellAnchor>
    <xdr:from>
      <xdr:col>9</xdr:col>
      <xdr:colOff>6350</xdr:colOff>
      <xdr:row>4548</xdr:row>
      <xdr:rowOff>25400</xdr:rowOff>
    </xdr:from>
    <xdr:to>
      <xdr:col>9</xdr:col>
      <xdr:colOff>885190</xdr:colOff>
      <xdr:row>4548</xdr:row>
      <xdr:rowOff>1209040</xdr:rowOff>
    </xdr:to>
    <xdr:pic>
      <xdr:nvPicPr>
        <xdr:cNvPr id="8819" name="Изображение 8818" descr="resizeПП-00257950"/>
        <xdr:cNvPicPr>
          <a:picLocks noChangeAspect="1"/>
        </xdr:cNvPicPr>
      </xdr:nvPicPr>
      <xdr:blipFill>
        <a:blip xmlns:r="http://schemas.openxmlformats.org/officeDocument/2006/relationships" r:embed="rId3456"/>
        <a:stretch>
          <a:fillRect/>
        </a:stretch>
      </xdr:blipFill>
      <xdr:spPr>
        <a:xfrm>
          <a:off x="7235825" y="4562675025"/>
          <a:ext cx="878840" cy="1183640"/>
        </a:xfrm>
        <a:prstGeom prst="rect">
          <a:avLst/>
        </a:prstGeom>
      </xdr:spPr>
    </xdr:pic>
    <xdr:clientData/>
  </xdr:twoCellAnchor>
  <xdr:twoCellAnchor>
    <xdr:from>
      <xdr:col>9</xdr:col>
      <xdr:colOff>6350</xdr:colOff>
      <xdr:row>4549</xdr:row>
      <xdr:rowOff>25400</xdr:rowOff>
    </xdr:from>
    <xdr:to>
      <xdr:col>9</xdr:col>
      <xdr:colOff>885190</xdr:colOff>
      <xdr:row>4549</xdr:row>
      <xdr:rowOff>1209040</xdr:rowOff>
    </xdr:to>
    <xdr:pic>
      <xdr:nvPicPr>
        <xdr:cNvPr id="8820" name="Изображение 8819" descr="resizeПП-00257948"/>
        <xdr:cNvPicPr>
          <a:picLocks noChangeAspect="1"/>
        </xdr:cNvPicPr>
      </xdr:nvPicPr>
      <xdr:blipFill>
        <a:blip xmlns:r="http://schemas.openxmlformats.org/officeDocument/2006/relationships" r:embed="rId3457"/>
        <a:stretch>
          <a:fillRect/>
        </a:stretch>
      </xdr:blipFill>
      <xdr:spPr>
        <a:xfrm>
          <a:off x="7235825" y="4563897400"/>
          <a:ext cx="878840" cy="1183640"/>
        </a:xfrm>
        <a:prstGeom prst="rect">
          <a:avLst/>
        </a:prstGeom>
      </xdr:spPr>
    </xdr:pic>
    <xdr:clientData/>
  </xdr:twoCellAnchor>
  <xdr:twoCellAnchor>
    <xdr:from>
      <xdr:col>9</xdr:col>
      <xdr:colOff>6350</xdr:colOff>
      <xdr:row>4550</xdr:row>
      <xdr:rowOff>25400</xdr:rowOff>
    </xdr:from>
    <xdr:to>
      <xdr:col>9</xdr:col>
      <xdr:colOff>885190</xdr:colOff>
      <xdr:row>4550</xdr:row>
      <xdr:rowOff>1209040</xdr:rowOff>
    </xdr:to>
    <xdr:pic>
      <xdr:nvPicPr>
        <xdr:cNvPr id="8821" name="Изображение 8820" descr="resizeПП-00210803"/>
        <xdr:cNvPicPr>
          <a:picLocks noChangeAspect="1"/>
        </xdr:cNvPicPr>
      </xdr:nvPicPr>
      <xdr:blipFill>
        <a:blip xmlns:r="http://schemas.openxmlformats.org/officeDocument/2006/relationships" r:embed="rId3458"/>
        <a:stretch>
          <a:fillRect/>
        </a:stretch>
      </xdr:blipFill>
      <xdr:spPr>
        <a:xfrm>
          <a:off x="7235825" y="4565119775"/>
          <a:ext cx="878840" cy="1183640"/>
        </a:xfrm>
        <a:prstGeom prst="rect">
          <a:avLst/>
        </a:prstGeom>
      </xdr:spPr>
    </xdr:pic>
    <xdr:clientData/>
  </xdr:twoCellAnchor>
  <xdr:twoCellAnchor>
    <xdr:from>
      <xdr:col>9</xdr:col>
      <xdr:colOff>6350</xdr:colOff>
      <xdr:row>4551</xdr:row>
      <xdr:rowOff>25400</xdr:rowOff>
    </xdr:from>
    <xdr:to>
      <xdr:col>9</xdr:col>
      <xdr:colOff>885190</xdr:colOff>
      <xdr:row>4551</xdr:row>
      <xdr:rowOff>1209040</xdr:rowOff>
    </xdr:to>
    <xdr:pic>
      <xdr:nvPicPr>
        <xdr:cNvPr id="8822" name="Изображение 8821" descr="resizeПП-00210804"/>
        <xdr:cNvPicPr>
          <a:picLocks noChangeAspect="1"/>
        </xdr:cNvPicPr>
      </xdr:nvPicPr>
      <xdr:blipFill>
        <a:blip xmlns:r="http://schemas.openxmlformats.org/officeDocument/2006/relationships" r:embed="rId3459"/>
        <a:stretch>
          <a:fillRect/>
        </a:stretch>
      </xdr:blipFill>
      <xdr:spPr>
        <a:xfrm>
          <a:off x="7235825" y="4566342150"/>
          <a:ext cx="878840" cy="1183640"/>
        </a:xfrm>
        <a:prstGeom prst="rect">
          <a:avLst/>
        </a:prstGeom>
      </xdr:spPr>
    </xdr:pic>
    <xdr:clientData/>
  </xdr:twoCellAnchor>
  <xdr:twoCellAnchor>
    <xdr:from>
      <xdr:col>9</xdr:col>
      <xdr:colOff>6350</xdr:colOff>
      <xdr:row>4552</xdr:row>
      <xdr:rowOff>25400</xdr:rowOff>
    </xdr:from>
    <xdr:to>
      <xdr:col>9</xdr:col>
      <xdr:colOff>885190</xdr:colOff>
      <xdr:row>4552</xdr:row>
      <xdr:rowOff>1209040</xdr:rowOff>
    </xdr:to>
    <xdr:pic>
      <xdr:nvPicPr>
        <xdr:cNvPr id="8823" name="Изображение 8822" descr="resizeПП-00210807"/>
        <xdr:cNvPicPr>
          <a:picLocks noChangeAspect="1"/>
        </xdr:cNvPicPr>
      </xdr:nvPicPr>
      <xdr:blipFill>
        <a:blip xmlns:r="http://schemas.openxmlformats.org/officeDocument/2006/relationships" r:embed="rId3460"/>
        <a:stretch>
          <a:fillRect/>
        </a:stretch>
      </xdr:blipFill>
      <xdr:spPr>
        <a:xfrm>
          <a:off x="7235825" y="4567564525"/>
          <a:ext cx="878840" cy="1183640"/>
        </a:xfrm>
        <a:prstGeom prst="rect">
          <a:avLst/>
        </a:prstGeom>
      </xdr:spPr>
    </xdr:pic>
    <xdr:clientData/>
  </xdr:twoCellAnchor>
  <xdr:twoCellAnchor>
    <xdr:from>
      <xdr:col>9</xdr:col>
      <xdr:colOff>6350</xdr:colOff>
      <xdr:row>4553</xdr:row>
      <xdr:rowOff>25400</xdr:rowOff>
    </xdr:from>
    <xdr:to>
      <xdr:col>9</xdr:col>
      <xdr:colOff>885190</xdr:colOff>
      <xdr:row>4553</xdr:row>
      <xdr:rowOff>1209040</xdr:rowOff>
    </xdr:to>
    <xdr:pic>
      <xdr:nvPicPr>
        <xdr:cNvPr id="8824" name="Изображение 8823" descr="resizeПП-00210782"/>
        <xdr:cNvPicPr>
          <a:picLocks noChangeAspect="1"/>
        </xdr:cNvPicPr>
      </xdr:nvPicPr>
      <xdr:blipFill>
        <a:blip xmlns:r="http://schemas.openxmlformats.org/officeDocument/2006/relationships" r:embed="rId3461"/>
        <a:stretch>
          <a:fillRect/>
        </a:stretch>
      </xdr:blipFill>
      <xdr:spPr>
        <a:xfrm>
          <a:off x="7235825" y="4568786900"/>
          <a:ext cx="878840" cy="1183640"/>
        </a:xfrm>
        <a:prstGeom prst="rect">
          <a:avLst/>
        </a:prstGeom>
      </xdr:spPr>
    </xdr:pic>
    <xdr:clientData/>
  </xdr:twoCellAnchor>
  <xdr:twoCellAnchor>
    <xdr:from>
      <xdr:col>9</xdr:col>
      <xdr:colOff>6350</xdr:colOff>
      <xdr:row>4554</xdr:row>
      <xdr:rowOff>25400</xdr:rowOff>
    </xdr:from>
    <xdr:to>
      <xdr:col>9</xdr:col>
      <xdr:colOff>885190</xdr:colOff>
      <xdr:row>4554</xdr:row>
      <xdr:rowOff>1209040</xdr:rowOff>
    </xdr:to>
    <xdr:pic>
      <xdr:nvPicPr>
        <xdr:cNvPr id="8825" name="Изображение 8824" descr="resizeПП-00210780"/>
        <xdr:cNvPicPr>
          <a:picLocks noChangeAspect="1"/>
        </xdr:cNvPicPr>
      </xdr:nvPicPr>
      <xdr:blipFill>
        <a:blip xmlns:r="http://schemas.openxmlformats.org/officeDocument/2006/relationships" r:embed="rId3462"/>
        <a:stretch>
          <a:fillRect/>
        </a:stretch>
      </xdr:blipFill>
      <xdr:spPr>
        <a:xfrm>
          <a:off x="7235825" y="4570009275"/>
          <a:ext cx="878840" cy="1183640"/>
        </a:xfrm>
        <a:prstGeom prst="rect">
          <a:avLst/>
        </a:prstGeom>
      </xdr:spPr>
    </xdr:pic>
    <xdr:clientData/>
  </xdr:twoCellAnchor>
  <xdr:twoCellAnchor>
    <xdr:from>
      <xdr:col>9</xdr:col>
      <xdr:colOff>6350</xdr:colOff>
      <xdr:row>4555</xdr:row>
      <xdr:rowOff>25400</xdr:rowOff>
    </xdr:from>
    <xdr:to>
      <xdr:col>9</xdr:col>
      <xdr:colOff>885190</xdr:colOff>
      <xdr:row>4555</xdr:row>
      <xdr:rowOff>1209040</xdr:rowOff>
    </xdr:to>
    <xdr:pic>
      <xdr:nvPicPr>
        <xdr:cNvPr id="8826" name="Изображение 8825" descr="resizeПП-00234132"/>
        <xdr:cNvPicPr>
          <a:picLocks noChangeAspect="1"/>
        </xdr:cNvPicPr>
      </xdr:nvPicPr>
      <xdr:blipFill>
        <a:blip xmlns:r="http://schemas.openxmlformats.org/officeDocument/2006/relationships" r:embed="rId3463"/>
        <a:stretch>
          <a:fillRect/>
        </a:stretch>
      </xdr:blipFill>
      <xdr:spPr>
        <a:xfrm>
          <a:off x="7235825" y="4571231650"/>
          <a:ext cx="878840" cy="1183640"/>
        </a:xfrm>
        <a:prstGeom prst="rect">
          <a:avLst/>
        </a:prstGeom>
      </xdr:spPr>
    </xdr:pic>
    <xdr:clientData/>
  </xdr:twoCellAnchor>
  <xdr:twoCellAnchor>
    <xdr:from>
      <xdr:col>9</xdr:col>
      <xdr:colOff>6350</xdr:colOff>
      <xdr:row>4556</xdr:row>
      <xdr:rowOff>25400</xdr:rowOff>
    </xdr:from>
    <xdr:to>
      <xdr:col>9</xdr:col>
      <xdr:colOff>885190</xdr:colOff>
      <xdr:row>4556</xdr:row>
      <xdr:rowOff>1209040</xdr:rowOff>
    </xdr:to>
    <xdr:pic>
      <xdr:nvPicPr>
        <xdr:cNvPr id="8827" name="Изображение 8826" descr="resizeПП-00210810"/>
        <xdr:cNvPicPr>
          <a:picLocks noChangeAspect="1"/>
        </xdr:cNvPicPr>
      </xdr:nvPicPr>
      <xdr:blipFill>
        <a:blip xmlns:r="http://schemas.openxmlformats.org/officeDocument/2006/relationships" r:embed="rId3464"/>
        <a:stretch>
          <a:fillRect/>
        </a:stretch>
      </xdr:blipFill>
      <xdr:spPr>
        <a:xfrm>
          <a:off x="7235825" y="4572454025"/>
          <a:ext cx="878840" cy="1183640"/>
        </a:xfrm>
        <a:prstGeom prst="rect">
          <a:avLst/>
        </a:prstGeom>
      </xdr:spPr>
    </xdr:pic>
    <xdr:clientData/>
  </xdr:twoCellAnchor>
  <xdr:twoCellAnchor>
    <xdr:from>
      <xdr:col>9</xdr:col>
      <xdr:colOff>6350</xdr:colOff>
      <xdr:row>4559</xdr:row>
      <xdr:rowOff>25400</xdr:rowOff>
    </xdr:from>
    <xdr:to>
      <xdr:col>9</xdr:col>
      <xdr:colOff>885190</xdr:colOff>
      <xdr:row>4559</xdr:row>
      <xdr:rowOff>1209040</xdr:rowOff>
    </xdr:to>
    <xdr:pic>
      <xdr:nvPicPr>
        <xdr:cNvPr id="8828" name="Изображение 8827" descr="resizeПП-00227944"/>
        <xdr:cNvPicPr>
          <a:picLocks noChangeAspect="1"/>
        </xdr:cNvPicPr>
      </xdr:nvPicPr>
      <xdr:blipFill>
        <a:blip xmlns:r="http://schemas.openxmlformats.org/officeDocument/2006/relationships" r:embed="rId3465"/>
        <a:stretch>
          <a:fillRect/>
        </a:stretch>
      </xdr:blipFill>
      <xdr:spPr>
        <a:xfrm>
          <a:off x="7235825" y="4573981200"/>
          <a:ext cx="878840" cy="1183640"/>
        </a:xfrm>
        <a:prstGeom prst="rect">
          <a:avLst/>
        </a:prstGeom>
      </xdr:spPr>
    </xdr:pic>
    <xdr:clientData/>
  </xdr:twoCellAnchor>
  <xdr:twoCellAnchor>
    <xdr:from>
      <xdr:col>9</xdr:col>
      <xdr:colOff>6350</xdr:colOff>
      <xdr:row>4560</xdr:row>
      <xdr:rowOff>25400</xdr:rowOff>
    </xdr:from>
    <xdr:to>
      <xdr:col>9</xdr:col>
      <xdr:colOff>885190</xdr:colOff>
      <xdr:row>4560</xdr:row>
      <xdr:rowOff>1209040</xdr:rowOff>
    </xdr:to>
    <xdr:pic>
      <xdr:nvPicPr>
        <xdr:cNvPr id="8829" name="Изображение 8828" descr="resizeПП-00233590"/>
        <xdr:cNvPicPr>
          <a:picLocks noChangeAspect="1"/>
        </xdr:cNvPicPr>
      </xdr:nvPicPr>
      <xdr:blipFill>
        <a:blip xmlns:r="http://schemas.openxmlformats.org/officeDocument/2006/relationships" r:embed="rId3466"/>
        <a:stretch>
          <a:fillRect/>
        </a:stretch>
      </xdr:blipFill>
      <xdr:spPr>
        <a:xfrm>
          <a:off x="7235825" y="4575203575"/>
          <a:ext cx="878840" cy="1183640"/>
        </a:xfrm>
        <a:prstGeom prst="rect">
          <a:avLst/>
        </a:prstGeom>
      </xdr:spPr>
    </xdr:pic>
    <xdr:clientData/>
  </xdr:twoCellAnchor>
  <xdr:twoCellAnchor>
    <xdr:from>
      <xdr:col>9</xdr:col>
      <xdr:colOff>6350</xdr:colOff>
      <xdr:row>4561</xdr:row>
      <xdr:rowOff>25400</xdr:rowOff>
    </xdr:from>
    <xdr:to>
      <xdr:col>9</xdr:col>
      <xdr:colOff>885190</xdr:colOff>
      <xdr:row>4561</xdr:row>
      <xdr:rowOff>1209040</xdr:rowOff>
    </xdr:to>
    <xdr:pic>
      <xdr:nvPicPr>
        <xdr:cNvPr id="8830" name="Изображение 8829" descr="resizeПП-00204550"/>
        <xdr:cNvPicPr>
          <a:picLocks noChangeAspect="1"/>
        </xdr:cNvPicPr>
      </xdr:nvPicPr>
      <xdr:blipFill>
        <a:blip xmlns:r="http://schemas.openxmlformats.org/officeDocument/2006/relationships" r:embed="rId3467"/>
        <a:stretch>
          <a:fillRect/>
        </a:stretch>
      </xdr:blipFill>
      <xdr:spPr>
        <a:xfrm>
          <a:off x="7235825" y="4576425950"/>
          <a:ext cx="878840" cy="1183640"/>
        </a:xfrm>
        <a:prstGeom prst="rect">
          <a:avLst/>
        </a:prstGeom>
      </xdr:spPr>
    </xdr:pic>
    <xdr:clientData/>
  </xdr:twoCellAnchor>
  <xdr:twoCellAnchor>
    <xdr:from>
      <xdr:col>9</xdr:col>
      <xdr:colOff>6350</xdr:colOff>
      <xdr:row>4562</xdr:row>
      <xdr:rowOff>25400</xdr:rowOff>
    </xdr:from>
    <xdr:to>
      <xdr:col>9</xdr:col>
      <xdr:colOff>885190</xdr:colOff>
      <xdr:row>4562</xdr:row>
      <xdr:rowOff>1209040</xdr:rowOff>
    </xdr:to>
    <xdr:pic>
      <xdr:nvPicPr>
        <xdr:cNvPr id="8831" name="Изображение 8830" descr="resizeПП-00233588"/>
        <xdr:cNvPicPr>
          <a:picLocks noChangeAspect="1"/>
        </xdr:cNvPicPr>
      </xdr:nvPicPr>
      <xdr:blipFill>
        <a:blip xmlns:r="http://schemas.openxmlformats.org/officeDocument/2006/relationships" r:embed="rId3468"/>
        <a:stretch>
          <a:fillRect/>
        </a:stretch>
      </xdr:blipFill>
      <xdr:spPr>
        <a:xfrm>
          <a:off x="7235825" y="4577648325"/>
          <a:ext cx="878840" cy="1183640"/>
        </a:xfrm>
        <a:prstGeom prst="rect">
          <a:avLst/>
        </a:prstGeom>
      </xdr:spPr>
    </xdr:pic>
    <xdr:clientData/>
  </xdr:twoCellAnchor>
  <xdr:twoCellAnchor>
    <xdr:from>
      <xdr:col>9</xdr:col>
      <xdr:colOff>6350</xdr:colOff>
      <xdr:row>4563</xdr:row>
      <xdr:rowOff>25400</xdr:rowOff>
    </xdr:from>
    <xdr:to>
      <xdr:col>9</xdr:col>
      <xdr:colOff>885190</xdr:colOff>
      <xdr:row>4563</xdr:row>
      <xdr:rowOff>1209040</xdr:rowOff>
    </xdr:to>
    <xdr:pic>
      <xdr:nvPicPr>
        <xdr:cNvPr id="8832" name="Изображение 8831" descr="resizeПП-00253924"/>
        <xdr:cNvPicPr>
          <a:picLocks noChangeAspect="1"/>
        </xdr:cNvPicPr>
      </xdr:nvPicPr>
      <xdr:blipFill>
        <a:blip xmlns:r="http://schemas.openxmlformats.org/officeDocument/2006/relationships" r:embed="rId3469"/>
        <a:stretch>
          <a:fillRect/>
        </a:stretch>
      </xdr:blipFill>
      <xdr:spPr>
        <a:xfrm>
          <a:off x="7235825" y="4578870700"/>
          <a:ext cx="878840" cy="1183640"/>
        </a:xfrm>
        <a:prstGeom prst="rect">
          <a:avLst/>
        </a:prstGeom>
      </xdr:spPr>
    </xdr:pic>
    <xdr:clientData/>
  </xdr:twoCellAnchor>
  <xdr:twoCellAnchor>
    <xdr:from>
      <xdr:col>9</xdr:col>
      <xdr:colOff>6350</xdr:colOff>
      <xdr:row>4564</xdr:row>
      <xdr:rowOff>25400</xdr:rowOff>
    </xdr:from>
    <xdr:to>
      <xdr:col>9</xdr:col>
      <xdr:colOff>885190</xdr:colOff>
      <xdr:row>4564</xdr:row>
      <xdr:rowOff>1209040</xdr:rowOff>
    </xdr:to>
    <xdr:pic>
      <xdr:nvPicPr>
        <xdr:cNvPr id="8833" name="Изображение 8832" descr="resizeПП-00253824"/>
        <xdr:cNvPicPr>
          <a:picLocks noChangeAspect="1"/>
        </xdr:cNvPicPr>
      </xdr:nvPicPr>
      <xdr:blipFill>
        <a:blip xmlns:r="http://schemas.openxmlformats.org/officeDocument/2006/relationships" r:embed="rId3470"/>
        <a:stretch>
          <a:fillRect/>
        </a:stretch>
      </xdr:blipFill>
      <xdr:spPr>
        <a:xfrm>
          <a:off x="7235825" y="4580093075"/>
          <a:ext cx="878840" cy="1183640"/>
        </a:xfrm>
        <a:prstGeom prst="rect">
          <a:avLst/>
        </a:prstGeom>
      </xdr:spPr>
    </xdr:pic>
    <xdr:clientData/>
  </xdr:twoCellAnchor>
  <xdr:twoCellAnchor>
    <xdr:from>
      <xdr:col>9</xdr:col>
      <xdr:colOff>6350</xdr:colOff>
      <xdr:row>4565</xdr:row>
      <xdr:rowOff>25400</xdr:rowOff>
    </xdr:from>
    <xdr:to>
      <xdr:col>9</xdr:col>
      <xdr:colOff>885190</xdr:colOff>
      <xdr:row>4565</xdr:row>
      <xdr:rowOff>1209040</xdr:rowOff>
    </xdr:to>
    <xdr:pic>
      <xdr:nvPicPr>
        <xdr:cNvPr id="8834" name="Изображение 8833" descr="resizeПП-00253914"/>
        <xdr:cNvPicPr>
          <a:picLocks noChangeAspect="1"/>
        </xdr:cNvPicPr>
      </xdr:nvPicPr>
      <xdr:blipFill>
        <a:blip xmlns:r="http://schemas.openxmlformats.org/officeDocument/2006/relationships" r:embed="rId3471"/>
        <a:stretch>
          <a:fillRect/>
        </a:stretch>
      </xdr:blipFill>
      <xdr:spPr>
        <a:xfrm>
          <a:off x="7235825" y="4581315450"/>
          <a:ext cx="878840" cy="1183640"/>
        </a:xfrm>
        <a:prstGeom prst="rect">
          <a:avLst/>
        </a:prstGeom>
      </xdr:spPr>
    </xdr:pic>
    <xdr:clientData/>
  </xdr:twoCellAnchor>
  <xdr:twoCellAnchor>
    <xdr:from>
      <xdr:col>9</xdr:col>
      <xdr:colOff>6350</xdr:colOff>
      <xdr:row>4566</xdr:row>
      <xdr:rowOff>25400</xdr:rowOff>
    </xdr:from>
    <xdr:to>
      <xdr:col>9</xdr:col>
      <xdr:colOff>885190</xdr:colOff>
      <xdr:row>4566</xdr:row>
      <xdr:rowOff>1209040</xdr:rowOff>
    </xdr:to>
    <xdr:pic>
      <xdr:nvPicPr>
        <xdr:cNvPr id="8835" name="Изображение 8834" descr="resizeПП-00204549"/>
        <xdr:cNvPicPr>
          <a:picLocks noChangeAspect="1"/>
        </xdr:cNvPicPr>
      </xdr:nvPicPr>
      <xdr:blipFill>
        <a:blip xmlns:r="http://schemas.openxmlformats.org/officeDocument/2006/relationships" r:embed="rId3472"/>
        <a:stretch>
          <a:fillRect/>
        </a:stretch>
      </xdr:blipFill>
      <xdr:spPr>
        <a:xfrm>
          <a:off x="7235825" y="4582537825"/>
          <a:ext cx="878840" cy="1183640"/>
        </a:xfrm>
        <a:prstGeom prst="rect">
          <a:avLst/>
        </a:prstGeom>
      </xdr:spPr>
    </xdr:pic>
    <xdr:clientData/>
  </xdr:twoCellAnchor>
  <xdr:twoCellAnchor>
    <xdr:from>
      <xdr:col>9</xdr:col>
      <xdr:colOff>6350</xdr:colOff>
      <xdr:row>4567</xdr:row>
      <xdr:rowOff>25400</xdr:rowOff>
    </xdr:from>
    <xdr:to>
      <xdr:col>9</xdr:col>
      <xdr:colOff>885190</xdr:colOff>
      <xdr:row>4567</xdr:row>
      <xdr:rowOff>1209040</xdr:rowOff>
    </xdr:to>
    <xdr:pic>
      <xdr:nvPicPr>
        <xdr:cNvPr id="8836" name="Изображение 8835" descr="resizeПП-00253833"/>
        <xdr:cNvPicPr>
          <a:picLocks noChangeAspect="1"/>
        </xdr:cNvPicPr>
      </xdr:nvPicPr>
      <xdr:blipFill>
        <a:blip xmlns:r="http://schemas.openxmlformats.org/officeDocument/2006/relationships" r:embed="rId3473"/>
        <a:stretch>
          <a:fillRect/>
        </a:stretch>
      </xdr:blipFill>
      <xdr:spPr>
        <a:xfrm>
          <a:off x="7235825" y="4583760200"/>
          <a:ext cx="878840" cy="1183640"/>
        </a:xfrm>
        <a:prstGeom prst="rect">
          <a:avLst/>
        </a:prstGeom>
      </xdr:spPr>
    </xdr:pic>
    <xdr:clientData/>
  </xdr:twoCellAnchor>
  <xdr:twoCellAnchor>
    <xdr:from>
      <xdr:col>9</xdr:col>
      <xdr:colOff>6350</xdr:colOff>
      <xdr:row>4568</xdr:row>
      <xdr:rowOff>25400</xdr:rowOff>
    </xdr:from>
    <xdr:to>
      <xdr:col>9</xdr:col>
      <xdr:colOff>885190</xdr:colOff>
      <xdr:row>4568</xdr:row>
      <xdr:rowOff>1209040</xdr:rowOff>
    </xdr:to>
    <xdr:pic>
      <xdr:nvPicPr>
        <xdr:cNvPr id="8837" name="Изображение 8836" descr="resizeПП-00253836"/>
        <xdr:cNvPicPr>
          <a:picLocks noChangeAspect="1"/>
        </xdr:cNvPicPr>
      </xdr:nvPicPr>
      <xdr:blipFill>
        <a:blip xmlns:r="http://schemas.openxmlformats.org/officeDocument/2006/relationships" r:embed="rId3474"/>
        <a:stretch>
          <a:fillRect/>
        </a:stretch>
      </xdr:blipFill>
      <xdr:spPr>
        <a:xfrm>
          <a:off x="7235825" y="4584982575"/>
          <a:ext cx="878840" cy="1183640"/>
        </a:xfrm>
        <a:prstGeom prst="rect">
          <a:avLst/>
        </a:prstGeom>
      </xdr:spPr>
    </xdr:pic>
    <xdr:clientData/>
  </xdr:twoCellAnchor>
  <xdr:twoCellAnchor>
    <xdr:from>
      <xdr:col>9</xdr:col>
      <xdr:colOff>6350</xdr:colOff>
      <xdr:row>4569</xdr:row>
      <xdr:rowOff>25400</xdr:rowOff>
    </xdr:from>
    <xdr:to>
      <xdr:col>9</xdr:col>
      <xdr:colOff>885190</xdr:colOff>
      <xdr:row>4569</xdr:row>
      <xdr:rowOff>1209040</xdr:rowOff>
    </xdr:to>
    <xdr:pic>
      <xdr:nvPicPr>
        <xdr:cNvPr id="8838" name="Изображение 8837" descr="resizeПП-00253840"/>
        <xdr:cNvPicPr>
          <a:picLocks noChangeAspect="1"/>
        </xdr:cNvPicPr>
      </xdr:nvPicPr>
      <xdr:blipFill>
        <a:blip xmlns:r="http://schemas.openxmlformats.org/officeDocument/2006/relationships" r:embed="rId3475"/>
        <a:stretch>
          <a:fillRect/>
        </a:stretch>
      </xdr:blipFill>
      <xdr:spPr>
        <a:xfrm>
          <a:off x="7235825" y="4586204950"/>
          <a:ext cx="878840" cy="1183640"/>
        </a:xfrm>
        <a:prstGeom prst="rect">
          <a:avLst/>
        </a:prstGeom>
      </xdr:spPr>
    </xdr:pic>
    <xdr:clientData/>
  </xdr:twoCellAnchor>
  <xdr:twoCellAnchor>
    <xdr:from>
      <xdr:col>9</xdr:col>
      <xdr:colOff>6350</xdr:colOff>
      <xdr:row>4570</xdr:row>
      <xdr:rowOff>25400</xdr:rowOff>
    </xdr:from>
    <xdr:to>
      <xdr:col>9</xdr:col>
      <xdr:colOff>885190</xdr:colOff>
      <xdr:row>4570</xdr:row>
      <xdr:rowOff>1209040</xdr:rowOff>
    </xdr:to>
    <xdr:pic>
      <xdr:nvPicPr>
        <xdr:cNvPr id="8839" name="Изображение 8838" descr="resizeПП-00253839"/>
        <xdr:cNvPicPr>
          <a:picLocks noChangeAspect="1"/>
        </xdr:cNvPicPr>
      </xdr:nvPicPr>
      <xdr:blipFill>
        <a:blip xmlns:r="http://schemas.openxmlformats.org/officeDocument/2006/relationships" r:embed="rId3476"/>
        <a:stretch>
          <a:fillRect/>
        </a:stretch>
      </xdr:blipFill>
      <xdr:spPr>
        <a:xfrm>
          <a:off x="7235825" y="4587427325"/>
          <a:ext cx="878840" cy="1183640"/>
        </a:xfrm>
        <a:prstGeom prst="rect">
          <a:avLst/>
        </a:prstGeom>
      </xdr:spPr>
    </xdr:pic>
    <xdr:clientData/>
  </xdr:twoCellAnchor>
  <xdr:twoCellAnchor>
    <xdr:from>
      <xdr:col>9</xdr:col>
      <xdr:colOff>6350</xdr:colOff>
      <xdr:row>4571</xdr:row>
      <xdr:rowOff>25400</xdr:rowOff>
    </xdr:from>
    <xdr:to>
      <xdr:col>9</xdr:col>
      <xdr:colOff>885190</xdr:colOff>
      <xdr:row>4571</xdr:row>
      <xdr:rowOff>1209040</xdr:rowOff>
    </xdr:to>
    <xdr:pic>
      <xdr:nvPicPr>
        <xdr:cNvPr id="8840" name="Изображение 8839" descr="resizeПП-00253834"/>
        <xdr:cNvPicPr>
          <a:picLocks noChangeAspect="1"/>
        </xdr:cNvPicPr>
      </xdr:nvPicPr>
      <xdr:blipFill>
        <a:blip xmlns:r="http://schemas.openxmlformats.org/officeDocument/2006/relationships" r:embed="rId3477"/>
        <a:stretch>
          <a:fillRect/>
        </a:stretch>
      </xdr:blipFill>
      <xdr:spPr>
        <a:xfrm>
          <a:off x="7235825" y="4588649700"/>
          <a:ext cx="878840" cy="1183640"/>
        </a:xfrm>
        <a:prstGeom prst="rect">
          <a:avLst/>
        </a:prstGeom>
      </xdr:spPr>
    </xdr:pic>
    <xdr:clientData/>
  </xdr:twoCellAnchor>
  <xdr:twoCellAnchor>
    <xdr:from>
      <xdr:col>9</xdr:col>
      <xdr:colOff>6350</xdr:colOff>
      <xdr:row>4572</xdr:row>
      <xdr:rowOff>25400</xdr:rowOff>
    </xdr:from>
    <xdr:to>
      <xdr:col>9</xdr:col>
      <xdr:colOff>885190</xdr:colOff>
      <xdr:row>4572</xdr:row>
      <xdr:rowOff>1209040</xdr:rowOff>
    </xdr:to>
    <xdr:pic>
      <xdr:nvPicPr>
        <xdr:cNvPr id="8841" name="Изображение 8840" descr="resizeПП-00253921"/>
        <xdr:cNvPicPr>
          <a:picLocks noChangeAspect="1"/>
        </xdr:cNvPicPr>
      </xdr:nvPicPr>
      <xdr:blipFill>
        <a:blip xmlns:r="http://schemas.openxmlformats.org/officeDocument/2006/relationships" r:embed="rId3478"/>
        <a:stretch>
          <a:fillRect/>
        </a:stretch>
      </xdr:blipFill>
      <xdr:spPr>
        <a:xfrm>
          <a:off x="7235825" y="4589872075"/>
          <a:ext cx="878840" cy="1183640"/>
        </a:xfrm>
        <a:prstGeom prst="rect">
          <a:avLst/>
        </a:prstGeom>
      </xdr:spPr>
    </xdr:pic>
    <xdr:clientData/>
  </xdr:twoCellAnchor>
  <xdr:twoCellAnchor>
    <xdr:from>
      <xdr:col>9</xdr:col>
      <xdr:colOff>6350</xdr:colOff>
      <xdr:row>4573</xdr:row>
      <xdr:rowOff>25400</xdr:rowOff>
    </xdr:from>
    <xdr:to>
      <xdr:col>9</xdr:col>
      <xdr:colOff>885190</xdr:colOff>
      <xdr:row>4573</xdr:row>
      <xdr:rowOff>1209040</xdr:rowOff>
    </xdr:to>
    <xdr:pic>
      <xdr:nvPicPr>
        <xdr:cNvPr id="8842" name="Изображение 8841" descr="resizeПП-00253918"/>
        <xdr:cNvPicPr>
          <a:picLocks noChangeAspect="1"/>
        </xdr:cNvPicPr>
      </xdr:nvPicPr>
      <xdr:blipFill>
        <a:blip xmlns:r="http://schemas.openxmlformats.org/officeDocument/2006/relationships" r:embed="rId3479"/>
        <a:stretch>
          <a:fillRect/>
        </a:stretch>
      </xdr:blipFill>
      <xdr:spPr>
        <a:xfrm>
          <a:off x="7235825" y="4591094450"/>
          <a:ext cx="878840" cy="1183640"/>
        </a:xfrm>
        <a:prstGeom prst="rect">
          <a:avLst/>
        </a:prstGeom>
      </xdr:spPr>
    </xdr:pic>
    <xdr:clientData/>
  </xdr:twoCellAnchor>
  <xdr:twoCellAnchor>
    <xdr:from>
      <xdr:col>9</xdr:col>
      <xdr:colOff>6350</xdr:colOff>
      <xdr:row>4574</xdr:row>
      <xdr:rowOff>25400</xdr:rowOff>
    </xdr:from>
    <xdr:to>
      <xdr:col>9</xdr:col>
      <xdr:colOff>885190</xdr:colOff>
      <xdr:row>4574</xdr:row>
      <xdr:rowOff>1209040</xdr:rowOff>
    </xdr:to>
    <xdr:pic>
      <xdr:nvPicPr>
        <xdr:cNvPr id="8843" name="Изображение 8842" descr="resizeПП-00253928"/>
        <xdr:cNvPicPr>
          <a:picLocks noChangeAspect="1"/>
        </xdr:cNvPicPr>
      </xdr:nvPicPr>
      <xdr:blipFill>
        <a:blip xmlns:r="http://schemas.openxmlformats.org/officeDocument/2006/relationships" r:embed="rId3480"/>
        <a:stretch>
          <a:fillRect/>
        </a:stretch>
      </xdr:blipFill>
      <xdr:spPr>
        <a:xfrm>
          <a:off x="7235825" y="4592316825"/>
          <a:ext cx="878840" cy="1183640"/>
        </a:xfrm>
        <a:prstGeom prst="rect">
          <a:avLst/>
        </a:prstGeom>
      </xdr:spPr>
    </xdr:pic>
    <xdr:clientData/>
  </xdr:twoCellAnchor>
  <xdr:twoCellAnchor>
    <xdr:from>
      <xdr:col>9</xdr:col>
      <xdr:colOff>6350</xdr:colOff>
      <xdr:row>4575</xdr:row>
      <xdr:rowOff>25400</xdr:rowOff>
    </xdr:from>
    <xdr:to>
      <xdr:col>9</xdr:col>
      <xdr:colOff>885190</xdr:colOff>
      <xdr:row>4575</xdr:row>
      <xdr:rowOff>1209040</xdr:rowOff>
    </xdr:to>
    <xdr:pic>
      <xdr:nvPicPr>
        <xdr:cNvPr id="8844" name="Изображение 8843" descr="resizeПП-00253827"/>
        <xdr:cNvPicPr>
          <a:picLocks noChangeAspect="1"/>
        </xdr:cNvPicPr>
      </xdr:nvPicPr>
      <xdr:blipFill>
        <a:blip xmlns:r="http://schemas.openxmlformats.org/officeDocument/2006/relationships" r:embed="rId3481"/>
        <a:stretch>
          <a:fillRect/>
        </a:stretch>
      </xdr:blipFill>
      <xdr:spPr>
        <a:xfrm>
          <a:off x="7235825" y="4593539200"/>
          <a:ext cx="878840" cy="1183640"/>
        </a:xfrm>
        <a:prstGeom prst="rect">
          <a:avLst/>
        </a:prstGeom>
      </xdr:spPr>
    </xdr:pic>
    <xdr:clientData/>
  </xdr:twoCellAnchor>
  <xdr:twoCellAnchor>
    <xdr:from>
      <xdr:col>9</xdr:col>
      <xdr:colOff>6350</xdr:colOff>
      <xdr:row>4576</xdr:row>
      <xdr:rowOff>25400</xdr:rowOff>
    </xdr:from>
    <xdr:to>
      <xdr:col>9</xdr:col>
      <xdr:colOff>885190</xdr:colOff>
      <xdr:row>4576</xdr:row>
      <xdr:rowOff>1209040</xdr:rowOff>
    </xdr:to>
    <xdr:pic>
      <xdr:nvPicPr>
        <xdr:cNvPr id="8845" name="Изображение 8844" descr="resizeПП-00253826"/>
        <xdr:cNvPicPr>
          <a:picLocks noChangeAspect="1"/>
        </xdr:cNvPicPr>
      </xdr:nvPicPr>
      <xdr:blipFill>
        <a:blip xmlns:r="http://schemas.openxmlformats.org/officeDocument/2006/relationships" r:embed="rId3482"/>
        <a:stretch>
          <a:fillRect/>
        </a:stretch>
      </xdr:blipFill>
      <xdr:spPr>
        <a:xfrm>
          <a:off x="7235825" y="4594761575"/>
          <a:ext cx="878840" cy="1183640"/>
        </a:xfrm>
        <a:prstGeom prst="rect">
          <a:avLst/>
        </a:prstGeom>
      </xdr:spPr>
    </xdr:pic>
    <xdr:clientData/>
  </xdr:twoCellAnchor>
  <xdr:twoCellAnchor>
    <xdr:from>
      <xdr:col>9</xdr:col>
      <xdr:colOff>6350</xdr:colOff>
      <xdr:row>4577</xdr:row>
      <xdr:rowOff>25400</xdr:rowOff>
    </xdr:from>
    <xdr:to>
      <xdr:col>9</xdr:col>
      <xdr:colOff>885190</xdr:colOff>
      <xdr:row>4577</xdr:row>
      <xdr:rowOff>1209040</xdr:rowOff>
    </xdr:to>
    <xdr:pic>
      <xdr:nvPicPr>
        <xdr:cNvPr id="8846" name="Изображение 8845" descr="resizeПП-00253829"/>
        <xdr:cNvPicPr>
          <a:picLocks noChangeAspect="1"/>
        </xdr:cNvPicPr>
      </xdr:nvPicPr>
      <xdr:blipFill>
        <a:blip xmlns:r="http://schemas.openxmlformats.org/officeDocument/2006/relationships" r:embed="rId3483"/>
        <a:stretch>
          <a:fillRect/>
        </a:stretch>
      </xdr:blipFill>
      <xdr:spPr>
        <a:xfrm>
          <a:off x="7235825" y="4595983950"/>
          <a:ext cx="878840" cy="1183640"/>
        </a:xfrm>
        <a:prstGeom prst="rect">
          <a:avLst/>
        </a:prstGeom>
      </xdr:spPr>
    </xdr:pic>
    <xdr:clientData/>
  </xdr:twoCellAnchor>
  <xdr:twoCellAnchor>
    <xdr:from>
      <xdr:col>9</xdr:col>
      <xdr:colOff>6350</xdr:colOff>
      <xdr:row>4579</xdr:row>
      <xdr:rowOff>25400</xdr:rowOff>
    </xdr:from>
    <xdr:to>
      <xdr:col>9</xdr:col>
      <xdr:colOff>885190</xdr:colOff>
      <xdr:row>4579</xdr:row>
      <xdr:rowOff>1209040</xdr:rowOff>
    </xdr:to>
    <xdr:pic>
      <xdr:nvPicPr>
        <xdr:cNvPr id="8847" name="Изображение 8846" descr="resizeПП-00233608"/>
        <xdr:cNvPicPr>
          <a:picLocks noChangeAspect="1"/>
        </xdr:cNvPicPr>
      </xdr:nvPicPr>
      <xdr:blipFill>
        <a:blip xmlns:r="http://schemas.openxmlformats.org/officeDocument/2006/relationships" r:embed="rId3468"/>
        <a:stretch>
          <a:fillRect/>
        </a:stretch>
      </xdr:blipFill>
      <xdr:spPr>
        <a:xfrm>
          <a:off x="7235825" y="4597358725"/>
          <a:ext cx="878840" cy="1183640"/>
        </a:xfrm>
        <a:prstGeom prst="rect">
          <a:avLst/>
        </a:prstGeom>
      </xdr:spPr>
    </xdr:pic>
    <xdr:clientData/>
  </xdr:twoCellAnchor>
  <xdr:twoCellAnchor>
    <xdr:from>
      <xdr:col>9</xdr:col>
      <xdr:colOff>6350</xdr:colOff>
      <xdr:row>4580</xdr:row>
      <xdr:rowOff>25400</xdr:rowOff>
    </xdr:from>
    <xdr:to>
      <xdr:col>9</xdr:col>
      <xdr:colOff>885190</xdr:colOff>
      <xdr:row>4580</xdr:row>
      <xdr:rowOff>1209040</xdr:rowOff>
    </xdr:to>
    <xdr:pic>
      <xdr:nvPicPr>
        <xdr:cNvPr id="8848" name="Изображение 8847" descr="resizeПП-00233609"/>
        <xdr:cNvPicPr>
          <a:picLocks noChangeAspect="1"/>
        </xdr:cNvPicPr>
      </xdr:nvPicPr>
      <xdr:blipFill>
        <a:blip xmlns:r="http://schemas.openxmlformats.org/officeDocument/2006/relationships" r:embed="rId3466"/>
        <a:stretch>
          <a:fillRect/>
        </a:stretch>
      </xdr:blipFill>
      <xdr:spPr>
        <a:xfrm>
          <a:off x="7235825" y="4598581100"/>
          <a:ext cx="878840" cy="1183640"/>
        </a:xfrm>
        <a:prstGeom prst="rect">
          <a:avLst/>
        </a:prstGeom>
      </xdr:spPr>
    </xdr:pic>
    <xdr:clientData/>
  </xdr:twoCellAnchor>
  <xdr:twoCellAnchor>
    <xdr:from>
      <xdr:col>9</xdr:col>
      <xdr:colOff>6350</xdr:colOff>
      <xdr:row>4581</xdr:row>
      <xdr:rowOff>25400</xdr:rowOff>
    </xdr:from>
    <xdr:to>
      <xdr:col>9</xdr:col>
      <xdr:colOff>885190</xdr:colOff>
      <xdr:row>4581</xdr:row>
      <xdr:rowOff>1209040</xdr:rowOff>
    </xdr:to>
    <xdr:pic>
      <xdr:nvPicPr>
        <xdr:cNvPr id="8849" name="Изображение 8848" descr="resizeПП-00204584"/>
        <xdr:cNvPicPr>
          <a:picLocks noChangeAspect="1"/>
        </xdr:cNvPicPr>
      </xdr:nvPicPr>
      <xdr:blipFill>
        <a:blip xmlns:r="http://schemas.openxmlformats.org/officeDocument/2006/relationships" r:embed="rId3484"/>
        <a:stretch>
          <a:fillRect/>
        </a:stretch>
      </xdr:blipFill>
      <xdr:spPr>
        <a:xfrm>
          <a:off x="7235825" y="4599803475"/>
          <a:ext cx="878840" cy="1183640"/>
        </a:xfrm>
        <a:prstGeom prst="rect">
          <a:avLst/>
        </a:prstGeom>
      </xdr:spPr>
    </xdr:pic>
    <xdr:clientData/>
  </xdr:twoCellAnchor>
  <xdr:twoCellAnchor>
    <xdr:from>
      <xdr:col>9</xdr:col>
      <xdr:colOff>6350</xdr:colOff>
      <xdr:row>4582</xdr:row>
      <xdr:rowOff>25400</xdr:rowOff>
    </xdr:from>
    <xdr:to>
      <xdr:col>9</xdr:col>
      <xdr:colOff>885190</xdr:colOff>
      <xdr:row>4582</xdr:row>
      <xdr:rowOff>1209040</xdr:rowOff>
    </xdr:to>
    <xdr:pic>
      <xdr:nvPicPr>
        <xdr:cNvPr id="8850" name="Изображение 8849" descr="resizeПП-00233606"/>
        <xdr:cNvPicPr>
          <a:picLocks noChangeAspect="1"/>
        </xdr:cNvPicPr>
      </xdr:nvPicPr>
      <xdr:blipFill>
        <a:blip xmlns:r="http://schemas.openxmlformats.org/officeDocument/2006/relationships" r:embed="rId3485"/>
        <a:stretch>
          <a:fillRect/>
        </a:stretch>
      </xdr:blipFill>
      <xdr:spPr>
        <a:xfrm>
          <a:off x="7235825" y="4601025850"/>
          <a:ext cx="878840" cy="1183640"/>
        </a:xfrm>
        <a:prstGeom prst="rect">
          <a:avLst/>
        </a:prstGeom>
      </xdr:spPr>
    </xdr:pic>
    <xdr:clientData/>
  </xdr:twoCellAnchor>
  <xdr:twoCellAnchor>
    <xdr:from>
      <xdr:col>9</xdr:col>
      <xdr:colOff>6350</xdr:colOff>
      <xdr:row>4583</xdr:row>
      <xdr:rowOff>25400</xdr:rowOff>
    </xdr:from>
    <xdr:to>
      <xdr:col>9</xdr:col>
      <xdr:colOff>885190</xdr:colOff>
      <xdr:row>4583</xdr:row>
      <xdr:rowOff>1209040</xdr:rowOff>
    </xdr:to>
    <xdr:pic>
      <xdr:nvPicPr>
        <xdr:cNvPr id="8851" name="Изображение 8850" descr="resizeПП-00233605"/>
        <xdr:cNvPicPr>
          <a:picLocks noChangeAspect="1"/>
        </xdr:cNvPicPr>
      </xdr:nvPicPr>
      <xdr:blipFill>
        <a:blip xmlns:r="http://schemas.openxmlformats.org/officeDocument/2006/relationships" r:embed="rId3486"/>
        <a:stretch>
          <a:fillRect/>
        </a:stretch>
      </xdr:blipFill>
      <xdr:spPr>
        <a:xfrm>
          <a:off x="7235825" y="4602248225"/>
          <a:ext cx="878840" cy="1183640"/>
        </a:xfrm>
        <a:prstGeom prst="rect">
          <a:avLst/>
        </a:prstGeom>
      </xdr:spPr>
    </xdr:pic>
    <xdr:clientData/>
  </xdr:twoCellAnchor>
  <xdr:twoCellAnchor>
    <xdr:from>
      <xdr:col>9</xdr:col>
      <xdr:colOff>6350</xdr:colOff>
      <xdr:row>4584</xdr:row>
      <xdr:rowOff>25400</xdr:rowOff>
    </xdr:from>
    <xdr:to>
      <xdr:col>9</xdr:col>
      <xdr:colOff>885190</xdr:colOff>
      <xdr:row>4584</xdr:row>
      <xdr:rowOff>1209040</xdr:rowOff>
    </xdr:to>
    <xdr:pic>
      <xdr:nvPicPr>
        <xdr:cNvPr id="8852" name="Изображение 8851" descr="resizeПП-00204580"/>
        <xdr:cNvPicPr>
          <a:picLocks noChangeAspect="1"/>
        </xdr:cNvPicPr>
      </xdr:nvPicPr>
      <xdr:blipFill>
        <a:blip xmlns:r="http://schemas.openxmlformats.org/officeDocument/2006/relationships" r:embed="rId3487"/>
        <a:stretch>
          <a:fillRect/>
        </a:stretch>
      </xdr:blipFill>
      <xdr:spPr>
        <a:xfrm>
          <a:off x="7235825" y="4603470600"/>
          <a:ext cx="878840" cy="1183640"/>
        </a:xfrm>
        <a:prstGeom prst="rect">
          <a:avLst/>
        </a:prstGeom>
      </xdr:spPr>
    </xdr:pic>
    <xdr:clientData/>
  </xdr:twoCellAnchor>
  <xdr:twoCellAnchor>
    <xdr:from>
      <xdr:col>9</xdr:col>
      <xdr:colOff>6350</xdr:colOff>
      <xdr:row>4585</xdr:row>
      <xdr:rowOff>25400</xdr:rowOff>
    </xdr:from>
    <xdr:to>
      <xdr:col>9</xdr:col>
      <xdr:colOff>885190</xdr:colOff>
      <xdr:row>4585</xdr:row>
      <xdr:rowOff>1209040</xdr:rowOff>
    </xdr:to>
    <xdr:pic>
      <xdr:nvPicPr>
        <xdr:cNvPr id="8853" name="Изображение 8852" descr="resizeПП-00253963"/>
        <xdr:cNvPicPr>
          <a:picLocks noChangeAspect="1"/>
        </xdr:cNvPicPr>
      </xdr:nvPicPr>
      <xdr:blipFill>
        <a:blip xmlns:r="http://schemas.openxmlformats.org/officeDocument/2006/relationships" r:embed="rId3488"/>
        <a:stretch>
          <a:fillRect/>
        </a:stretch>
      </xdr:blipFill>
      <xdr:spPr>
        <a:xfrm>
          <a:off x="7235825" y="4604692975"/>
          <a:ext cx="878840" cy="1183640"/>
        </a:xfrm>
        <a:prstGeom prst="rect">
          <a:avLst/>
        </a:prstGeom>
      </xdr:spPr>
    </xdr:pic>
    <xdr:clientData/>
  </xdr:twoCellAnchor>
  <xdr:twoCellAnchor>
    <xdr:from>
      <xdr:col>9</xdr:col>
      <xdr:colOff>6350</xdr:colOff>
      <xdr:row>4586</xdr:row>
      <xdr:rowOff>25400</xdr:rowOff>
    </xdr:from>
    <xdr:to>
      <xdr:col>9</xdr:col>
      <xdr:colOff>885190</xdr:colOff>
      <xdr:row>4586</xdr:row>
      <xdr:rowOff>1209040</xdr:rowOff>
    </xdr:to>
    <xdr:pic>
      <xdr:nvPicPr>
        <xdr:cNvPr id="8854" name="Изображение 8853" descr="resizeПП-00227954"/>
        <xdr:cNvPicPr>
          <a:picLocks noChangeAspect="1"/>
        </xdr:cNvPicPr>
      </xdr:nvPicPr>
      <xdr:blipFill>
        <a:blip xmlns:r="http://schemas.openxmlformats.org/officeDocument/2006/relationships" r:embed="rId3465"/>
        <a:stretch>
          <a:fillRect/>
        </a:stretch>
      </xdr:blipFill>
      <xdr:spPr>
        <a:xfrm>
          <a:off x="7235825" y="4605915350"/>
          <a:ext cx="878840" cy="1183640"/>
        </a:xfrm>
        <a:prstGeom prst="rect">
          <a:avLst/>
        </a:prstGeom>
      </xdr:spPr>
    </xdr:pic>
    <xdr:clientData/>
  </xdr:twoCellAnchor>
  <xdr:twoCellAnchor>
    <xdr:from>
      <xdr:col>9</xdr:col>
      <xdr:colOff>6350</xdr:colOff>
      <xdr:row>4587</xdr:row>
      <xdr:rowOff>25400</xdr:rowOff>
    </xdr:from>
    <xdr:to>
      <xdr:col>9</xdr:col>
      <xdr:colOff>885190</xdr:colOff>
      <xdr:row>4587</xdr:row>
      <xdr:rowOff>1209040</xdr:rowOff>
    </xdr:to>
    <xdr:pic>
      <xdr:nvPicPr>
        <xdr:cNvPr id="8855" name="Изображение 8854" descr="resizeПП-00253841"/>
        <xdr:cNvPicPr>
          <a:picLocks noChangeAspect="1"/>
        </xdr:cNvPicPr>
      </xdr:nvPicPr>
      <xdr:blipFill>
        <a:blip xmlns:r="http://schemas.openxmlformats.org/officeDocument/2006/relationships" r:embed="rId3489"/>
        <a:stretch>
          <a:fillRect/>
        </a:stretch>
      </xdr:blipFill>
      <xdr:spPr>
        <a:xfrm>
          <a:off x="7235825" y="4607137725"/>
          <a:ext cx="878840" cy="1183640"/>
        </a:xfrm>
        <a:prstGeom prst="rect">
          <a:avLst/>
        </a:prstGeom>
      </xdr:spPr>
    </xdr:pic>
    <xdr:clientData/>
  </xdr:twoCellAnchor>
  <xdr:twoCellAnchor>
    <xdr:from>
      <xdr:col>9</xdr:col>
      <xdr:colOff>6350</xdr:colOff>
      <xdr:row>4588</xdr:row>
      <xdr:rowOff>25400</xdr:rowOff>
    </xdr:from>
    <xdr:to>
      <xdr:col>9</xdr:col>
      <xdr:colOff>885190</xdr:colOff>
      <xdr:row>4588</xdr:row>
      <xdr:rowOff>1209040</xdr:rowOff>
    </xdr:to>
    <xdr:pic>
      <xdr:nvPicPr>
        <xdr:cNvPr id="8856" name="Изображение 8855" descr="resizeПП-00253935"/>
        <xdr:cNvPicPr>
          <a:picLocks noChangeAspect="1"/>
        </xdr:cNvPicPr>
      </xdr:nvPicPr>
      <xdr:blipFill>
        <a:blip xmlns:r="http://schemas.openxmlformats.org/officeDocument/2006/relationships" r:embed="rId3490"/>
        <a:stretch>
          <a:fillRect/>
        </a:stretch>
      </xdr:blipFill>
      <xdr:spPr>
        <a:xfrm>
          <a:off x="7235825" y="4608360100"/>
          <a:ext cx="878840" cy="1183640"/>
        </a:xfrm>
        <a:prstGeom prst="rect">
          <a:avLst/>
        </a:prstGeom>
      </xdr:spPr>
    </xdr:pic>
    <xdr:clientData/>
  </xdr:twoCellAnchor>
  <xdr:twoCellAnchor>
    <xdr:from>
      <xdr:col>9</xdr:col>
      <xdr:colOff>6350</xdr:colOff>
      <xdr:row>4589</xdr:row>
      <xdr:rowOff>25400</xdr:rowOff>
    </xdr:from>
    <xdr:to>
      <xdr:col>9</xdr:col>
      <xdr:colOff>885190</xdr:colOff>
      <xdr:row>4589</xdr:row>
      <xdr:rowOff>1209040</xdr:rowOff>
    </xdr:to>
    <xdr:pic>
      <xdr:nvPicPr>
        <xdr:cNvPr id="8857" name="Изображение 8856" descr="resizeПП-00253948"/>
        <xdr:cNvPicPr>
          <a:picLocks noChangeAspect="1"/>
        </xdr:cNvPicPr>
      </xdr:nvPicPr>
      <xdr:blipFill>
        <a:blip xmlns:r="http://schemas.openxmlformats.org/officeDocument/2006/relationships" r:embed="rId3491"/>
        <a:stretch>
          <a:fillRect/>
        </a:stretch>
      </xdr:blipFill>
      <xdr:spPr>
        <a:xfrm>
          <a:off x="7235825" y="4609582475"/>
          <a:ext cx="878840" cy="1183640"/>
        </a:xfrm>
        <a:prstGeom prst="rect">
          <a:avLst/>
        </a:prstGeom>
      </xdr:spPr>
    </xdr:pic>
    <xdr:clientData/>
  </xdr:twoCellAnchor>
  <xdr:twoCellAnchor>
    <xdr:from>
      <xdr:col>9</xdr:col>
      <xdr:colOff>6350</xdr:colOff>
      <xdr:row>4590</xdr:row>
      <xdr:rowOff>25400</xdr:rowOff>
    </xdr:from>
    <xdr:to>
      <xdr:col>9</xdr:col>
      <xdr:colOff>885190</xdr:colOff>
      <xdr:row>4590</xdr:row>
      <xdr:rowOff>1209040</xdr:rowOff>
    </xdr:to>
    <xdr:pic>
      <xdr:nvPicPr>
        <xdr:cNvPr id="8858" name="Изображение 8857" descr="resizeПП-00253957"/>
        <xdr:cNvPicPr>
          <a:picLocks noChangeAspect="1"/>
        </xdr:cNvPicPr>
      </xdr:nvPicPr>
      <xdr:blipFill>
        <a:blip xmlns:r="http://schemas.openxmlformats.org/officeDocument/2006/relationships" r:embed="rId3492"/>
        <a:stretch>
          <a:fillRect/>
        </a:stretch>
      </xdr:blipFill>
      <xdr:spPr>
        <a:xfrm>
          <a:off x="7235825" y="4610804850"/>
          <a:ext cx="878840" cy="1183640"/>
        </a:xfrm>
        <a:prstGeom prst="rect">
          <a:avLst/>
        </a:prstGeom>
      </xdr:spPr>
    </xdr:pic>
    <xdr:clientData/>
  </xdr:twoCellAnchor>
  <xdr:twoCellAnchor>
    <xdr:from>
      <xdr:col>9</xdr:col>
      <xdr:colOff>6350</xdr:colOff>
      <xdr:row>4591</xdr:row>
      <xdr:rowOff>25400</xdr:rowOff>
    </xdr:from>
    <xdr:to>
      <xdr:col>9</xdr:col>
      <xdr:colOff>885190</xdr:colOff>
      <xdr:row>4591</xdr:row>
      <xdr:rowOff>1209040</xdr:rowOff>
    </xdr:to>
    <xdr:pic>
      <xdr:nvPicPr>
        <xdr:cNvPr id="8859" name="Изображение 8858" descr="resizeПП-00253965"/>
        <xdr:cNvPicPr>
          <a:picLocks noChangeAspect="1"/>
        </xdr:cNvPicPr>
      </xdr:nvPicPr>
      <xdr:blipFill>
        <a:blip xmlns:r="http://schemas.openxmlformats.org/officeDocument/2006/relationships" r:embed="rId3493"/>
        <a:stretch>
          <a:fillRect/>
        </a:stretch>
      </xdr:blipFill>
      <xdr:spPr>
        <a:xfrm>
          <a:off x="7235825" y="4612027225"/>
          <a:ext cx="878840" cy="1183640"/>
        </a:xfrm>
        <a:prstGeom prst="rect">
          <a:avLst/>
        </a:prstGeom>
      </xdr:spPr>
    </xdr:pic>
    <xdr:clientData/>
  </xdr:twoCellAnchor>
  <xdr:twoCellAnchor>
    <xdr:from>
      <xdr:col>9</xdr:col>
      <xdr:colOff>6350</xdr:colOff>
      <xdr:row>4592</xdr:row>
      <xdr:rowOff>25400</xdr:rowOff>
    </xdr:from>
    <xdr:to>
      <xdr:col>9</xdr:col>
      <xdr:colOff>885190</xdr:colOff>
      <xdr:row>4592</xdr:row>
      <xdr:rowOff>1209040</xdr:rowOff>
    </xdr:to>
    <xdr:pic>
      <xdr:nvPicPr>
        <xdr:cNvPr id="8860" name="Изображение 8859" descr="resizeПП-00253845"/>
        <xdr:cNvPicPr>
          <a:picLocks noChangeAspect="1"/>
        </xdr:cNvPicPr>
      </xdr:nvPicPr>
      <xdr:blipFill>
        <a:blip xmlns:r="http://schemas.openxmlformats.org/officeDocument/2006/relationships" r:embed="rId3494"/>
        <a:stretch>
          <a:fillRect/>
        </a:stretch>
      </xdr:blipFill>
      <xdr:spPr>
        <a:xfrm>
          <a:off x="7235825" y="4613249600"/>
          <a:ext cx="878840" cy="1183640"/>
        </a:xfrm>
        <a:prstGeom prst="rect">
          <a:avLst/>
        </a:prstGeom>
      </xdr:spPr>
    </xdr:pic>
    <xdr:clientData/>
  </xdr:twoCellAnchor>
  <xdr:twoCellAnchor>
    <xdr:from>
      <xdr:col>9</xdr:col>
      <xdr:colOff>6350</xdr:colOff>
      <xdr:row>4593</xdr:row>
      <xdr:rowOff>25400</xdr:rowOff>
    </xdr:from>
    <xdr:to>
      <xdr:col>9</xdr:col>
      <xdr:colOff>885190</xdr:colOff>
      <xdr:row>4593</xdr:row>
      <xdr:rowOff>1209040</xdr:rowOff>
    </xdr:to>
    <xdr:pic>
      <xdr:nvPicPr>
        <xdr:cNvPr id="8861" name="Изображение 8860" descr="resizeПП-00253952"/>
        <xdr:cNvPicPr>
          <a:picLocks noChangeAspect="1"/>
        </xdr:cNvPicPr>
      </xdr:nvPicPr>
      <xdr:blipFill>
        <a:blip xmlns:r="http://schemas.openxmlformats.org/officeDocument/2006/relationships" r:embed="rId3495"/>
        <a:stretch>
          <a:fillRect/>
        </a:stretch>
      </xdr:blipFill>
      <xdr:spPr>
        <a:xfrm>
          <a:off x="7235825" y="4614471975"/>
          <a:ext cx="878840" cy="1183640"/>
        </a:xfrm>
        <a:prstGeom prst="rect">
          <a:avLst/>
        </a:prstGeom>
      </xdr:spPr>
    </xdr:pic>
    <xdr:clientData/>
  </xdr:twoCellAnchor>
  <xdr:twoCellAnchor>
    <xdr:from>
      <xdr:col>9</xdr:col>
      <xdr:colOff>6350</xdr:colOff>
      <xdr:row>4594</xdr:row>
      <xdr:rowOff>25400</xdr:rowOff>
    </xdr:from>
    <xdr:to>
      <xdr:col>9</xdr:col>
      <xdr:colOff>885190</xdr:colOff>
      <xdr:row>4594</xdr:row>
      <xdr:rowOff>1209040</xdr:rowOff>
    </xdr:to>
    <xdr:pic>
      <xdr:nvPicPr>
        <xdr:cNvPr id="8862" name="Изображение 8861" descr="resizeПП-00253947"/>
        <xdr:cNvPicPr>
          <a:picLocks noChangeAspect="1"/>
        </xdr:cNvPicPr>
      </xdr:nvPicPr>
      <xdr:blipFill>
        <a:blip xmlns:r="http://schemas.openxmlformats.org/officeDocument/2006/relationships" r:embed="rId3478"/>
        <a:stretch>
          <a:fillRect/>
        </a:stretch>
      </xdr:blipFill>
      <xdr:spPr>
        <a:xfrm>
          <a:off x="7235825" y="4615694350"/>
          <a:ext cx="878840" cy="1183640"/>
        </a:xfrm>
        <a:prstGeom prst="rect">
          <a:avLst/>
        </a:prstGeom>
      </xdr:spPr>
    </xdr:pic>
    <xdr:clientData/>
  </xdr:twoCellAnchor>
  <xdr:twoCellAnchor>
    <xdr:from>
      <xdr:col>9</xdr:col>
      <xdr:colOff>6350</xdr:colOff>
      <xdr:row>4595</xdr:row>
      <xdr:rowOff>25400</xdr:rowOff>
    </xdr:from>
    <xdr:to>
      <xdr:col>9</xdr:col>
      <xdr:colOff>885190</xdr:colOff>
      <xdr:row>4595</xdr:row>
      <xdr:rowOff>1209040</xdr:rowOff>
    </xdr:to>
    <xdr:pic>
      <xdr:nvPicPr>
        <xdr:cNvPr id="8863" name="Изображение 8862" descr="resizeПП-00253941"/>
        <xdr:cNvPicPr>
          <a:picLocks noChangeAspect="1"/>
        </xdr:cNvPicPr>
      </xdr:nvPicPr>
      <xdr:blipFill>
        <a:blip xmlns:r="http://schemas.openxmlformats.org/officeDocument/2006/relationships" r:embed="rId3496"/>
        <a:stretch>
          <a:fillRect/>
        </a:stretch>
      </xdr:blipFill>
      <xdr:spPr>
        <a:xfrm>
          <a:off x="7235825" y="4616916725"/>
          <a:ext cx="878840" cy="1183640"/>
        </a:xfrm>
        <a:prstGeom prst="rect">
          <a:avLst/>
        </a:prstGeom>
      </xdr:spPr>
    </xdr:pic>
    <xdr:clientData/>
  </xdr:twoCellAnchor>
  <xdr:twoCellAnchor>
    <xdr:from>
      <xdr:col>9</xdr:col>
      <xdr:colOff>6350</xdr:colOff>
      <xdr:row>4596</xdr:row>
      <xdr:rowOff>25400</xdr:rowOff>
    </xdr:from>
    <xdr:to>
      <xdr:col>9</xdr:col>
      <xdr:colOff>885190</xdr:colOff>
      <xdr:row>4596</xdr:row>
      <xdr:rowOff>1209040</xdr:rowOff>
    </xdr:to>
    <xdr:pic>
      <xdr:nvPicPr>
        <xdr:cNvPr id="8864" name="Изображение 8863" descr="resizeПП-00253964"/>
        <xdr:cNvPicPr>
          <a:picLocks noChangeAspect="1"/>
        </xdr:cNvPicPr>
      </xdr:nvPicPr>
      <xdr:blipFill>
        <a:blip xmlns:r="http://schemas.openxmlformats.org/officeDocument/2006/relationships" r:embed="rId3497"/>
        <a:stretch>
          <a:fillRect/>
        </a:stretch>
      </xdr:blipFill>
      <xdr:spPr>
        <a:xfrm>
          <a:off x="7235825" y="4618139100"/>
          <a:ext cx="878840" cy="1183640"/>
        </a:xfrm>
        <a:prstGeom prst="rect">
          <a:avLst/>
        </a:prstGeom>
      </xdr:spPr>
    </xdr:pic>
    <xdr:clientData/>
  </xdr:twoCellAnchor>
  <xdr:twoCellAnchor>
    <xdr:from>
      <xdr:col>9</xdr:col>
      <xdr:colOff>6350</xdr:colOff>
      <xdr:row>4597</xdr:row>
      <xdr:rowOff>25400</xdr:rowOff>
    </xdr:from>
    <xdr:to>
      <xdr:col>9</xdr:col>
      <xdr:colOff>885190</xdr:colOff>
      <xdr:row>4597</xdr:row>
      <xdr:rowOff>1209040</xdr:rowOff>
    </xdr:to>
    <xdr:pic>
      <xdr:nvPicPr>
        <xdr:cNvPr id="8865" name="Изображение 8864" descr="resizeПП-00253937"/>
        <xdr:cNvPicPr>
          <a:picLocks noChangeAspect="1"/>
        </xdr:cNvPicPr>
      </xdr:nvPicPr>
      <xdr:blipFill>
        <a:blip xmlns:r="http://schemas.openxmlformats.org/officeDocument/2006/relationships" r:embed="rId3498"/>
        <a:stretch>
          <a:fillRect/>
        </a:stretch>
      </xdr:blipFill>
      <xdr:spPr>
        <a:xfrm>
          <a:off x="7235825" y="4619361475"/>
          <a:ext cx="878840" cy="1183640"/>
        </a:xfrm>
        <a:prstGeom prst="rect">
          <a:avLst/>
        </a:prstGeom>
      </xdr:spPr>
    </xdr:pic>
    <xdr:clientData/>
  </xdr:twoCellAnchor>
  <xdr:twoCellAnchor>
    <xdr:from>
      <xdr:col>9</xdr:col>
      <xdr:colOff>6350</xdr:colOff>
      <xdr:row>4598</xdr:row>
      <xdr:rowOff>25400</xdr:rowOff>
    </xdr:from>
    <xdr:to>
      <xdr:col>9</xdr:col>
      <xdr:colOff>885190</xdr:colOff>
      <xdr:row>4598</xdr:row>
      <xdr:rowOff>1209040</xdr:rowOff>
    </xdr:to>
    <xdr:pic>
      <xdr:nvPicPr>
        <xdr:cNvPr id="8866" name="Изображение 8865" descr="resizeПП-00253842"/>
        <xdr:cNvPicPr>
          <a:picLocks noChangeAspect="1"/>
        </xdr:cNvPicPr>
      </xdr:nvPicPr>
      <xdr:blipFill>
        <a:blip xmlns:r="http://schemas.openxmlformats.org/officeDocument/2006/relationships" r:embed="rId3499"/>
        <a:stretch>
          <a:fillRect/>
        </a:stretch>
      </xdr:blipFill>
      <xdr:spPr>
        <a:xfrm>
          <a:off x="7235825" y="4620583850"/>
          <a:ext cx="878840" cy="1183640"/>
        </a:xfrm>
        <a:prstGeom prst="rect">
          <a:avLst/>
        </a:prstGeom>
      </xdr:spPr>
    </xdr:pic>
    <xdr:clientData/>
  </xdr:twoCellAnchor>
  <xdr:twoCellAnchor>
    <xdr:from>
      <xdr:col>9</xdr:col>
      <xdr:colOff>6350</xdr:colOff>
      <xdr:row>4599</xdr:row>
      <xdr:rowOff>25400</xdr:rowOff>
    </xdr:from>
    <xdr:to>
      <xdr:col>9</xdr:col>
      <xdr:colOff>885190</xdr:colOff>
      <xdr:row>4599</xdr:row>
      <xdr:rowOff>1209040</xdr:rowOff>
    </xdr:to>
    <xdr:pic>
      <xdr:nvPicPr>
        <xdr:cNvPr id="8867" name="Изображение 8866" descr="resizeПП-00253844"/>
        <xdr:cNvPicPr>
          <a:picLocks noChangeAspect="1"/>
        </xdr:cNvPicPr>
      </xdr:nvPicPr>
      <xdr:blipFill>
        <a:blip xmlns:r="http://schemas.openxmlformats.org/officeDocument/2006/relationships" r:embed="rId3500"/>
        <a:stretch>
          <a:fillRect/>
        </a:stretch>
      </xdr:blipFill>
      <xdr:spPr>
        <a:xfrm>
          <a:off x="7235825" y="4621806225"/>
          <a:ext cx="878840" cy="1183640"/>
        </a:xfrm>
        <a:prstGeom prst="rect">
          <a:avLst/>
        </a:prstGeom>
      </xdr:spPr>
    </xdr:pic>
    <xdr:clientData/>
  </xdr:twoCellAnchor>
  <xdr:twoCellAnchor>
    <xdr:from>
      <xdr:col>9</xdr:col>
      <xdr:colOff>6350</xdr:colOff>
      <xdr:row>4602</xdr:row>
      <xdr:rowOff>25400</xdr:rowOff>
    </xdr:from>
    <xdr:to>
      <xdr:col>9</xdr:col>
      <xdr:colOff>885190</xdr:colOff>
      <xdr:row>4602</xdr:row>
      <xdr:rowOff>1209040</xdr:rowOff>
    </xdr:to>
    <xdr:pic>
      <xdr:nvPicPr>
        <xdr:cNvPr id="8868" name="Изображение 8867" descr="resizeПП-00208287"/>
        <xdr:cNvPicPr>
          <a:picLocks noChangeAspect="1"/>
        </xdr:cNvPicPr>
      </xdr:nvPicPr>
      <xdr:blipFill>
        <a:blip xmlns:r="http://schemas.openxmlformats.org/officeDocument/2006/relationships" r:embed="rId3501"/>
        <a:stretch>
          <a:fillRect/>
        </a:stretch>
      </xdr:blipFill>
      <xdr:spPr>
        <a:xfrm>
          <a:off x="7235825" y="4623333400"/>
          <a:ext cx="878840" cy="1183640"/>
        </a:xfrm>
        <a:prstGeom prst="rect">
          <a:avLst/>
        </a:prstGeom>
      </xdr:spPr>
    </xdr:pic>
    <xdr:clientData/>
  </xdr:twoCellAnchor>
  <xdr:twoCellAnchor>
    <xdr:from>
      <xdr:col>9</xdr:col>
      <xdr:colOff>6350</xdr:colOff>
      <xdr:row>4603</xdr:row>
      <xdr:rowOff>25400</xdr:rowOff>
    </xdr:from>
    <xdr:to>
      <xdr:col>9</xdr:col>
      <xdr:colOff>885190</xdr:colOff>
      <xdr:row>4603</xdr:row>
      <xdr:rowOff>1209040</xdr:rowOff>
    </xdr:to>
    <xdr:pic>
      <xdr:nvPicPr>
        <xdr:cNvPr id="8869" name="Изображение 8868" descr="resizeПП-00208288"/>
        <xdr:cNvPicPr>
          <a:picLocks noChangeAspect="1"/>
        </xdr:cNvPicPr>
      </xdr:nvPicPr>
      <xdr:blipFill>
        <a:blip xmlns:r="http://schemas.openxmlformats.org/officeDocument/2006/relationships" r:embed="rId3502"/>
        <a:stretch>
          <a:fillRect/>
        </a:stretch>
      </xdr:blipFill>
      <xdr:spPr>
        <a:xfrm>
          <a:off x="7235825" y="4624555775"/>
          <a:ext cx="878840" cy="1183640"/>
        </a:xfrm>
        <a:prstGeom prst="rect">
          <a:avLst/>
        </a:prstGeom>
      </xdr:spPr>
    </xdr:pic>
    <xdr:clientData/>
  </xdr:twoCellAnchor>
  <xdr:twoCellAnchor>
    <xdr:from>
      <xdr:col>9</xdr:col>
      <xdr:colOff>6350</xdr:colOff>
      <xdr:row>4605</xdr:row>
      <xdr:rowOff>25400</xdr:rowOff>
    </xdr:from>
    <xdr:to>
      <xdr:col>9</xdr:col>
      <xdr:colOff>885190</xdr:colOff>
      <xdr:row>4605</xdr:row>
      <xdr:rowOff>1209040</xdr:rowOff>
    </xdr:to>
    <xdr:pic>
      <xdr:nvPicPr>
        <xdr:cNvPr id="8870" name="Изображение 8869" descr="resizeПП-00208324"/>
        <xdr:cNvPicPr>
          <a:picLocks noChangeAspect="1"/>
        </xdr:cNvPicPr>
      </xdr:nvPicPr>
      <xdr:blipFill>
        <a:blip xmlns:r="http://schemas.openxmlformats.org/officeDocument/2006/relationships" r:embed="rId3503"/>
        <a:stretch>
          <a:fillRect/>
        </a:stretch>
      </xdr:blipFill>
      <xdr:spPr>
        <a:xfrm>
          <a:off x="7235825" y="4625930550"/>
          <a:ext cx="878840" cy="1183640"/>
        </a:xfrm>
        <a:prstGeom prst="rect">
          <a:avLst/>
        </a:prstGeom>
      </xdr:spPr>
    </xdr:pic>
    <xdr:clientData/>
  </xdr:twoCellAnchor>
  <xdr:twoCellAnchor>
    <xdr:from>
      <xdr:col>9</xdr:col>
      <xdr:colOff>6350</xdr:colOff>
      <xdr:row>4606</xdr:row>
      <xdr:rowOff>25400</xdr:rowOff>
    </xdr:from>
    <xdr:to>
      <xdr:col>9</xdr:col>
      <xdr:colOff>885190</xdr:colOff>
      <xdr:row>4606</xdr:row>
      <xdr:rowOff>1209040</xdr:rowOff>
    </xdr:to>
    <xdr:pic>
      <xdr:nvPicPr>
        <xdr:cNvPr id="8871" name="Изображение 8870" descr="resizeПП-00208274"/>
        <xdr:cNvPicPr>
          <a:picLocks noChangeAspect="1"/>
        </xdr:cNvPicPr>
      </xdr:nvPicPr>
      <xdr:blipFill>
        <a:blip xmlns:r="http://schemas.openxmlformats.org/officeDocument/2006/relationships" r:embed="rId3503"/>
        <a:stretch>
          <a:fillRect/>
        </a:stretch>
      </xdr:blipFill>
      <xdr:spPr>
        <a:xfrm>
          <a:off x="7235825" y="4627152925"/>
          <a:ext cx="878840" cy="1183640"/>
        </a:xfrm>
        <a:prstGeom prst="rect">
          <a:avLst/>
        </a:prstGeom>
      </xdr:spPr>
    </xdr:pic>
    <xdr:clientData/>
  </xdr:twoCellAnchor>
  <xdr:twoCellAnchor>
    <xdr:from>
      <xdr:col>9</xdr:col>
      <xdr:colOff>6350</xdr:colOff>
      <xdr:row>4607</xdr:row>
      <xdr:rowOff>25400</xdr:rowOff>
    </xdr:from>
    <xdr:to>
      <xdr:col>9</xdr:col>
      <xdr:colOff>885190</xdr:colOff>
      <xdr:row>4607</xdr:row>
      <xdr:rowOff>1209040</xdr:rowOff>
    </xdr:to>
    <xdr:pic>
      <xdr:nvPicPr>
        <xdr:cNvPr id="8872" name="Изображение 8871" descr="resizeПП-00208325"/>
        <xdr:cNvPicPr>
          <a:picLocks noChangeAspect="1"/>
        </xdr:cNvPicPr>
      </xdr:nvPicPr>
      <xdr:blipFill>
        <a:blip xmlns:r="http://schemas.openxmlformats.org/officeDocument/2006/relationships" r:embed="rId3502"/>
        <a:stretch>
          <a:fillRect/>
        </a:stretch>
      </xdr:blipFill>
      <xdr:spPr>
        <a:xfrm>
          <a:off x="7235825" y="4628375300"/>
          <a:ext cx="878840" cy="1183640"/>
        </a:xfrm>
        <a:prstGeom prst="rect">
          <a:avLst/>
        </a:prstGeom>
      </xdr:spPr>
    </xdr:pic>
    <xdr:clientData/>
  </xdr:twoCellAnchor>
  <xdr:twoCellAnchor>
    <xdr:from>
      <xdr:col>9</xdr:col>
      <xdr:colOff>6350</xdr:colOff>
      <xdr:row>4608</xdr:row>
      <xdr:rowOff>25400</xdr:rowOff>
    </xdr:from>
    <xdr:to>
      <xdr:col>9</xdr:col>
      <xdr:colOff>885190</xdr:colOff>
      <xdr:row>4608</xdr:row>
      <xdr:rowOff>1209040</xdr:rowOff>
    </xdr:to>
    <xdr:pic>
      <xdr:nvPicPr>
        <xdr:cNvPr id="8873" name="Изображение 8872" descr="resizeПП-00208276"/>
        <xdr:cNvPicPr>
          <a:picLocks noChangeAspect="1"/>
        </xdr:cNvPicPr>
      </xdr:nvPicPr>
      <xdr:blipFill>
        <a:blip xmlns:r="http://schemas.openxmlformats.org/officeDocument/2006/relationships" r:embed="rId3504"/>
        <a:stretch>
          <a:fillRect/>
        </a:stretch>
      </xdr:blipFill>
      <xdr:spPr>
        <a:xfrm>
          <a:off x="7235825" y="4629597675"/>
          <a:ext cx="878840" cy="1183640"/>
        </a:xfrm>
        <a:prstGeom prst="rect">
          <a:avLst/>
        </a:prstGeom>
      </xdr:spPr>
    </xdr:pic>
    <xdr:clientData/>
  </xdr:twoCellAnchor>
  <xdr:twoCellAnchor>
    <xdr:from>
      <xdr:col>9</xdr:col>
      <xdr:colOff>6350</xdr:colOff>
      <xdr:row>4609</xdr:row>
      <xdr:rowOff>25400</xdr:rowOff>
    </xdr:from>
    <xdr:to>
      <xdr:col>9</xdr:col>
      <xdr:colOff>885190</xdr:colOff>
      <xdr:row>4609</xdr:row>
      <xdr:rowOff>1209040</xdr:rowOff>
    </xdr:to>
    <xdr:pic>
      <xdr:nvPicPr>
        <xdr:cNvPr id="8874" name="Изображение 8873" descr="resizeПП-00234329"/>
        <xdr:cNvPicPr>
          <a:picLocks noChangeAspect="1"/>
        </xdr:cNvPicPr>
      </xdr:nvPicPr>
      <xdr:blipFill>
        <a:blip xmlns:r="http://schemas.openxmlformats.org/officeDocument/2006/relationships" r:embed="rId3505"/>
        <a:stretch>
          <a:fillRect/>
        </a:stretch>
      </xdr:blipFill>
      <xdr:spPr>
        <a:xfrm>
          <a:off x="7235825" y="4630820050"/>
          <a:ext cx="878840" cy="1183640"/>
        </a:xfrm>
        <a:prstGeom prst="rect">
          <a:avLst/>
        </a:prstGeom>
      </xdr:spPr>
    </xdr:pic>
    <xdr:clientData/>
  </xdr:twoCellAnchor>
  <xdr:twoCellAnchor>
    <xdr:from>
      <xdr:col>9</xdr:col>
      <xdr:colOff>6350</xdr:colOff>
      <xdr:row>4610</xdr:row>
      <xdr:rowOff>25400</xdr:rowOff>
    </xdr:from>
    <xdr:to>
      <xdr:col>9</xdr:col>
      <xdr:colOff>885190</xdr:colOff>
      <xdr:row>4610</xdr:row>
      <xdr:rowOff>1209040</xdr:rowOff>
    </xdr:to>
    <xdr:pic>
      <xdr:nvPicPr>
        <xdr:cNvPr id="8875" name="Изображение 8874" descr="resizeПП-00215955"/>
        <xdr:cNvPicPr>
          <a:picLocks noChangeAspect="1"/>
        </xdr:cNvPicPr>
      </xdr:nvPicPr>
      <xdr:blipFill>
        <a:blip xmlns:r="http://schemas.openxmlformats.org/officeDocument/2006/relationships" r:embed="rId3506"/>
        <a:stretch>
          <a:fillRect/>
        </a:stretch>
      </xdr:blipFill>
      <xdr:spPr>
        <a:xfrm>
          <a:off x="7235825" y="4632042425"/>
          <a:ext cx="878840" cy="1183640"/>
        </a:xfrm>
        <a:prstGeom prst="rect">
          <a:avLst/>
        </a:prstGeom>
      </xdr:spPr>
    </xdr:pic>
    <xdr:clientData/>
  </xdr:twoCellAnchor>
  <xdr:twoCellAnchor>
    <xdr:from>
      <xdr:col>9</xdr:col>
      <xdr:colOff>6350</xdr:colOff>
      <xdr:row>4611</xdr:row>
      <xdr:rowOff>25400</xdr:rowOff>
    </xdr:from>
    <xdr:to>
      <xdr:col>9</xdr:col>
      <xdr:colOff>885190</xdr:colOff>
      <xdr:row>4611</xdr:row>
      <xdr:rowOff>1209040</xdr:rowOff>
    </xdr:to>
    <xdr:pic>
      <xdr:nvPicPr>
        <xdr:cNvPr id="8876" name="Изображение 8875" descr="resizeПП-00215964"/>
        <xdr:cNvPicPr>
          <a:picLocks noChangeAspect="1"/>
        </xdr:cNvPicPr>
      </xdr:nvPicPr>
      <xdr:blipFill>
        <a:blip xmlns:r="http://schemas.openxmlformats.org/officeDocument/2006/relationships" r:embed="rId3507"/>
        <a:stretch>
          <a:fillRect/>
        </a:stretch>
      </xdr:blipFill>
      <xdr:spPr>
        <a:xfrm>
          <a:off x="7235825" y="4633264800"/>
          <a:ext cx="878840" cy="1183640"/>
        </a:xfrm>
        <a:prstGeom prst="rect">
          <a:avLst/>
        </a:prstGeom>
      </xdr:spPr>
    </xdr:pic>
    <xdr:clientData/>
  </xdr:twoCellAnchor>
  <xdr:twoCellAnchor>
    <xdr:from>
      <xdr:col>9</xdr:col>
      <xdr:colOff>6350</xdr:colOff>
      <xdr:row>4613</xdr:row>
      <xdr:rowOff>25400</xdr:rowOff>
    </xdr:from>
    <xdr:to>
      <xdr:col>9</xdr:col>
      <xdr:colOff>885190</xdr:colOff>
      <xdr:row>4613</xdr:row>
      <xdr:rowOff>1209040</xdr:rowOff>
    </xdr:to>
    <xdr:pic>
      <xdr:nvPicPr>
        <xdr:cNvPr id="8877" name="Изображение 8876" descr="resizeПП-00208315"/>
        <xdr:cNvPicPr>
          <a:picLocks noChangeAspect="1"/>
        </xdr:cNvPicPr>
      </xdr:nvPicPr>
      <xdr:blipFill>
        <a:blip xmlns:r="http://schemas.openxmlformats.org/officeDocument/2006/relationships" r:embed="rId3504"/>
        <a:stretch>
          <a:fillRect/>
        </a:stretch>
      </xdr:blipFill>
      <xdr:spPr>
        <a:xfrm>
          <a:off x="7235825" y="4634639575"/>
          <a:ext cx="878840" cy="1183640"/>
        </a:xfrm>
        <a:prstGeom prst="rect">
          <a:avLst/>
        </a:prstGeom>
      </xdr:spPr>
    </xdr:pic>
    <xdr:clientData/>
  </xdr:twoCellAnchor>
  <xdr:twoCellAnchor>
    <xdr:from>
      <xdr:col>9</xdr:col>
      <xdr:colOff>6350</xdr:colOff>
      <xdr:row>4614</xdr:row>
      <xdr:rowOff>25400</xdr:rowOff>
    </xdr:from>
    <xdr:to>
      <xdr:col>9</xdr:col>
      <xdr:colOff>885190</xdr:colOff>
      <xdr:row>4614</xdr:row>
      <xdr:rowOff>1209040</xdr:rowOff>
    </xdr:to>
    <xdr:pic>
      <xdr:nvPicPr>
        <xdr:cNvPr id="8878" name="Изображение 8877" descr="resizeПП-00234328"/>
        <xdr:cNvPicPr>
          <a:picLocks noChangeAspect="1"/>
        </xdr:cNvPicPr>
      </xdr:nvPicPr>
      <xdr:blipFill>
        <a:blip xmlns:r="http://schemas.openxmlformats.org/officeDocument/2006/relationships" r:embed="rId3505"/>
        <a:stretch>
          <a:fillRect/>
        </a:stretch>
      </xdr:blipFill>
      <xdr:spPr>
        <a:xfrm>
          <a:off x="7235825" y="4635861950"/>
          <a:ext cx="878840" cy="1183640"/>
        </a:xfrm>
        <a:prstGeom prst="rect">
          <a:avLst/>
        </a:prstGeom>
      </xdr:spPr>
    </xdr:pic>
    <xdr:clientData/>
  </xdr:twoCellAnchor>
  <xdr:twoCellAnchor>
    <xdr:from>
      <xdr:col>9</xdr:col>
      <xdr:colOff>6350</xdr:colOff>
      <xdr:row>4615</xdr:row>
      <xdr:rowOff>25400</xdr:rowOff>
    </xdr:from>
    <xdr:to>
      <xdr:col>9</xdr:col>
      <xdr:colOff>885190</xdr:colOff>
      <xdr:row>4615</xdr:row>
      <xdr:rowOff>1209040</xdr:rowOff>
    </xdr:to>
    <xdr:pic>
      <xdr:nvPicPr>
        <xdr:cNvPr id="8879" name="Изображение 8878" descr="resizeПП-00208314"/>
        <xdr:cNvPicPr>
          <a:picLocks noChangeAspect="1"/>
        </xdr:cNvPicPr>
      </xdr:nvPicPr>
      <xdr:blipFill>
        <a:blip xmlns:r="http://schemas.openxmlformats.org/officeDocument/2006/relationships" r:embed="rId3503"/>
        <a:stretch>
          <a:fillRect/>
        </a:stretch>
      </xdr:blipFill>
      <xdr:spPr>
        <a:xfrm>
          <a:off x="7235825" y="4637084325"/>
          <a:ext cx="878840" cy="1183640"/>
        </a:xfrm>
        <a:prstGeom prst="rect">
          <a:avLst/>
        </a:prstGeom>
      </xdr:spPr>
    </xdr:pic>
    <xdr:clientData/>
  </xdr:twoCellAnchor>
  <xdr:twoCellAnchor>
    <xdr:from>
      <xdr:col>9</xdr:col>
      <xdr:colOff>6350</xdr:colOff>
      <xdr:row>4617</xdr:row>
      <xdr:rowOff>25400</xdr:rowOff>
    </xdr:from>
    <xdr:to>
      <xdr:col>9</xdr:col>
      <xdr:colOff>885190</xdr:colOff>
      <xdr:row>4617</xdr:row>
      <xdr:rowOff>1209040</xdr:rowOff>
    </xdr:to>
    <xdr:pic>
      <xdr:nvPicPr>
        <xdr:cNvPr id="8880" name="Изображение 8879" descr="resizeПП-00208305"/>
        <xdr:cNvPicPr>
          <a:picLocks noChangeAspect="1"/>
        </xdr:cNvPicPr>
      </xdr:nvPicPr>
      <xdr:blipFill>
        <a:blip xmlns:r="http://schemas.openxmlformats.org/officeDocument/2006/relationships" r:embed="rId3503"/>
        <a:stretch>
          <a:fillRect/>
        </a:stretch>
      </xdr:blipFill>
      <xdr:spPr>
        <a:xfrm>
          <a:off x="7235825" y="4638459100"/>
          <a:ext cx="878840" cy="1183640"/>
        </a:xfrm>
        <a:prstGeom prst="rect">
          <a:avLst/>
        </a:prstGeom>
      </xdr:spPr>
    </xdr:pic>
    <xdr:clientData/>
  </xdr:twoCellAnchor>
  <xdr:twoCellAnchor>
    <xdr:from>
      <xdr:col>9</xdr:col>
      <xdr:colOff>6350</xdr:colOff>
      <xdr:row>4618</xdr:row>
      <xdr:rowOff>25400</xdr:rowOff>
    </xdr:from>
    <xdr:to>
      <xdr:col>9</xdr:col>
      <xdr:colOff>885190</xdr:colOff>
      <xdr:row>4618</xdr:row>
      <xdr:rowOff>1209040</xdr:rowOff>
    </xdr:to>
    <xdr:pic>
      <xdr:nvPicPr>
        <xdr:cNvPr id="8881" name="Изображение 8880" descr="resizeПП-00208306"/>
        <xdr:cNvPicPr>
          <a:picLocks noChangeAspect="1"/>
        </xdr:cNvPicPr>
      </xdr:nvPicPr>
      <xdr:blipFill>
        <a:blip xmlns:r="http://schemas.openxmlformats.org/officeDocument/2006/relationships" r:embed="rId3508"/>
        <a:stretch>
          <a:fillRect/>
        </a:stretch>
      </xdr:blipFill>
      <xdr:spPr>
        <a:xfrm>
          <a:off x="7235825" y="4639681475"/>
          <a:ext cx="878840" cy="1183640"/>
        </a:xfrm>
        <a:prstGeom prst="rect">
          <a:avLst/>
        </a:prstGeom>
      </xdr:spPr>
    </xdr:pic>
    <xdr:clientData/>
  </xdr:twoCellAnchor>
  <xdr:twoCellAnchor>
    <xdr:from>
      <xdr:col>9</xdr:col>
      <xdr:colOff>6350</xdr:colOff>
      <xdr:row>4619</xdr:row>
      <xdr:rowOff>25400</xdr:rowOff>
    </xdr:from>
    <xdr:to>
      <xdr:col>9</xdr:col>
      <xdr:colOff>885190</xdr:colOff>
      <xdr:row>4619</xdr:row>
      <xdr:rowOff>1209040</xdr:rowOff>
    </xdr:to>
    <xdr:pic>
      <xdr:nvPicPr>
        <xdr:cNvPr id="8882" name="Изображение 8881" descr="resizeПП-00234327"/>
        <xdr:cNvPicPr>
          <a:picLocks noChangeAspect="1"/>
        </xdr:cNvPicPr>
      </xdr:nvPicPr>
      <xdr:blipFill>
        <a:blip xmlns:r="http://schemas.openxmlformats.org/officeDocument/2006/relationships" r:embed="rId3505"/>
        <a:stretch>
          <a:fillRect/>
        </a:stretch>
      </xdr:blipFill>
      <xdr:spPr>
        <a:xfrm>
          <a:off x="7235825" y="4640903850"/>
          <a:ext cx="878840" cy="1183640"/>
        </a:xfrm>
        <a:prstGeom prst="rect">
          <a:avLst/>
        </a:prstGeom>
      </xdr:spPr>
    </xdr:pic>
    <xdr:clientData/>
  </xdr:twoCellAnchor>
  <xdr:twoCellAnchor>
    <xdr:from>
      <xdr:col>9</xdr:col>
      <xdr:colOff>6350</xdr:colOff>
      <xdr:row>4623</xdr:row>
      <xdr:rowOff>25400</xdr:rowOff>
    </xdr:from>
    <xdr:to>
      <xdr:col>9</xdr:col>
      <xdr:colOff>885190</xdr:colOff>
      <xdr:row>4623</xdr:row>
      <xdr:rowOff>1209040</xdr:rowOff>
    </xdr:to>
    <xdr:pic>
      <xdr:nvPicPr>
        <xdr:cNvPr id="8883" name="Изображение 8882" descr="resizeПП-00233627"/>
        <xdr:cNvPicPr>
          <a:picLocks noChangeAspect="1"/>
        </xdr:cNvPicPr>
      </xdr:nvPicPr>
      <xdr:blipFill>
        <a:blip xmlns:r="http://schemas.openxmlformats.org/officeDocument/2006/relationships" r:embed="rId3509"/>
        <a:stretch>
          <a:fillRect/>
        </a:stretch>
      </xdr:blipFill>
      <xdr:spPr>
        <a:xfrm>
          <a:off x="7235825" y="4642583425"/>
          <a:ext cx="878840" cy="1183640"/>
        </a:xfrm>
        <a:prstGeom prst="rect">
          <a:avLst/>
        </a:prstGeom>
      </xdr:spPr>
    </xdr:pic>
    <xdr:clientData/>
  </xdr:twoCellAnchor>
  <xdr:twoCellAnchor>
    <xdr:from>
      <xdr:col>9</xdr:col>
      <xdr:colOff>6350</xdr:colOff>
      <xdr:row>4624</xdr:row>
      <xdr:rowOff>25400</xdr:rowOff>
    </xdr:from>
    <xdr:to>
      <xdr:col>9</xdr:col>
      <xdr:colOff>885190</xdr:colOff>
      <xdr:row>4624</xdr:row>
      <xdr:rowOff>1209040</xdr:rowOff>
    </xdr:to>
    <xdr:pic>
      <xdr:nvPicPr>
        <xdr:cNvPr id="8884" name="Изображение 8883" descr="resizeПП-00233624"/>
        <xdr:cNvPicPr>
          <a:picLocks noChangeAspect="1"/>
        </xdr:cNvPicPr>
      </xdr:nvPicPr>
      <xdr:blipFill>
        <a:blip xmlns:r="http://schemas.openxmlformats.org/officeDocument/2006/relationships" r:embed="rId3510"/>
        <a:stretch>
          <a:fillRect/>
        </a:stretch>
      </xdr:blipFill>
      <xdr:spPr>
        <a:xfrm>
          <a:off x="7235825" y="4643805800"/>
          <a:ext cx="878840" cy="1183640"/>
        </a:xfrm>
        <a:prstGeom prst="rect">
          <a:avLst/>
        </a:prstGeom>
      </xdr:spPr>
    </xdr:pic>
    <xdr:clientData/>
  </xdr:twoCellAnchor>
  <xdr:twoCellAnchor>
    <xdr:from>
      <xdr:col>9</xdr:col>
      <xdr:colOff>6350</xdr:colOff>
      <xdr:row>4625</xdr:row>
      <xdr:rowOff>25400</xdr:rowOff>
    </xdr:from>
    <xdr:to>
      <xdr:col>9</xdr:col>
      <xdr:colOff>885190</xdr:colOff>
      <xdr:row>4625</xdr:row>
      <xdr:rowOff>1209040</xdr:rowOff>
    </xdr:to>
    <xdr:pic>
      <xdr:nvPicPr>
        <xdr:cNvPr id="8885" name="Изображение 8884" descr="resizeПП-00233635"/>
        <xdr:cNvPicPr>
          <a:picLocks noChangeAspect="1"/>
        </xdr:cNvPicPr>
      </xdr:nvPicPr>
      <xdr:blipFill>
        <a:blip xmlns:r="http://schemas.openxmlformats.org/officeDocument/2006/relationships" r:embed="rId3511"/>
        <a:stretch>
          <a:fillRect/>
        </a:stretch>
      </xdr:blipFill>
      <xdr:spPr>
        <a:xfrm>
          <a:off x="7235825" y="4645028175"/>
          <a:ext cx="878840" cy="1183640"/>
        </a:xfrm>
        <a:prstGeom prst="rect">
          <a:avLst/>
        </a:prstGeom>
      </xdr:spPr>
    </xdr:pic>
    <xdr:clientData/>
  </xdr:twoCellAnchor>
  <xdr:twoCellAnchor>
    <xdr:from>
      <xdr:col>9</xdr:col>
      <xdr:colOff>6350</xdr:colOff>
      <xdr:row>4626</xdr:row>
      <xdr:rowOff>25400</xdr:rowOff>
    </xdr:from>
    <xdr:to>
      <xdr:col>9</xdr:col>
      <xdr:colOff>885190</xdr:colOff>
      <xdr:row>4626</xdr:row>
      <xdr:rowOff>1209040</xdr:rowOff>
    </xdr:to>
    <xdr:pic>
      <xdr:nvPicPr>
        <xdr:cNvPr id="8886" name="Изображение 8885" descr="resizeПП-00233625"/>
        <xdr:cNvPicPr>
          <a:picLocks noChangeAspect="1"/>
        </xdr:cNvPicPr>
      </xdr:nvPicPr>
      <xdr:blipFill>
        <a:blip xmlns:r="http://schemas.openxmlformats.org/officeDocument/2006/relationships" r:embed="rId3512"/>
        <a:stretch>
          <a:fillRect/>
        </a:stretch>
      </xdr:blipFill>
      <xdr:spPr>
        <a:xfrm>
          <a:off x="7235825" y="4646250550"/>
          <a:ext cx="878840" cy="1183640"/>
        </a:xfrm>
        <a:prstGeom prst="rect">
          <a:avLst/>
        </a:prstGeom>
      </xdr:spPr>
    </xdr:pic>
    <xdr:clientData/>
  </xdr:twoCellAnchor>
  <xdr:twoCellAnchor>
    <xdr:from>
      <xdr:col>9</xdr:col>
      <xdr:colOff>6350</xdr:colOff>
      <xdr:row>4627</xdr:row>
      <xdr:rowOff>25400</xdr:rowOff>
    </xdr:from>
    <xdr:to>
      <xdr:col>9</xdr:col>
      <xdr:colOff>885190</xdr:colOff>
      <xdr:row>4627</xdr:row>
      <xdr:rowOff>1209040</xdr:rowOff>
    </xdr:to>
    <xdr:pic>
      <xdr:nvPicPr>
        <xdr:cNvPr id="8887" name="Изображение 8886" descr="resizeПП-00233623"/>
        <xdr:cNvPicPr>
          <a:picLocks noChangeAspect="1"/>
        </xdr:cNvPicPr>
      </xdr:nvPicPr>
      <xdr:blipFill>
        <a:blip xmlns:r="http://schemas.openxmlformats.org/officeDocument/2006/relationships" r:embed="rId3513"/>
        <a:stretch>
          <a:fillRect/>
        </a:stretch>
      </xdr:blipFill>
      <xdr:spPr>
        <a:xfrm>
          <a:off x="7235825" y="4647472925"/>
          <a:ext cx="878840" cy="1183640"/>
        </a:xfrm>
        <a:prstGeom prst="rect">
          <a:avLst/>
        </a:prstGeom>
      </xdr:spPr>
    </xdr:pic>
    <xdr:clientData/>
  </xdr:twoCellAnchor>
  <xdr:twoCellAnchor>
    <xdr:from>
      <xdr:col>9</xdr:col>
      <xdr:colOff>6350</xdr:colOff>
      <xdr:row>4628</xdr:row>
      <xdr:rowOff>25400</xdr:rowOff>
    </xdr:from>
    <xdr:to>
      <xdr:col>9</xdr:col>
      <xdr:colOff>885190</xdr:colOff>
      <xdr:row>4628</xdr:row>
      <xdr:rowOff>1209040</xdr:rowOff>
    </xdr:to>
    <xdr:pic>
      <xdr:nvPicPr>
        <xdr:cNvPr id="8888" name="Изображение 8887" descr="resizeПП-00253980"/>
        <xdr:cNvPicPr>
          <a:picLocks noChangeAspect="1"/>
        </xdr:cNvPicPr>
      </xdr:nvPicPr>
      <xdr:blipFill>
        <a:blip xmlns:r="http://schemas.openxmlformats.org/officeDocument/2006/relationships" r:embed="rId3514"/>
        <a:stretch>
          <a:fillRect/>
        </a:stretch>
      </xdr:blipFill>
      <xdr:spPr>
        <a:xfrm>
          <a:off x="7235825" y="4648695300"/>
          <a:ext cx="878840" cy="1183640"/>
        </a:xfrm>
        <a:prstGeom prst="rect">
          <a:avLst/>
        </a:prstGeom>
      </xdr:spPr>
    </xdr:pic>
    <xdr:clientData/>
  </xdr:twoCellAnchor>
  <xdr:twoCellAnchor>
    <xdr:from>
      <xdr:col>9</xdr:col>
      <xdr:colOff>6350</xdr:colOff>
      <xdr:row>4629</xdr:row>
      <xdr:rowOff>25400</xdr:rowOff>
    </xdr:from>
    <xdr:to>
      <xdr:col>9</xdr:col>
      <xdr:colOff>885190</xdr:colOff>
      <xdr:row>4629</xdr:row>
      <xdr:rowOff>1209040</xdr:rowOff>
    </xdr:to>
    <xdr:pic>
      <xdr:nvPicPr>
        <xdr:cNvPr id="8889" name="Изображение 8888" descr="resizeПП-00253856"/>
        <xdr:cNvPicPr>
          <a:picLocks noChangeAspect="1"/>
        </xdr:cNvPicPr>
      </xdr:nvPicPr>
      <xdr:blipFill>
        <a:blip xmlns:r="http://schemas.openxmlformats.org/officeDocument/2006/relationships" r:embed="rId3515"/>
        <a:stretch>
          <a:fillRect/>
        </a:stretch>
      </xdr:blipFill>
      <xdr:spPr>
        <a:xfrm>
          <a:off x="7235825" y="4649917675"/>
          <a:ext cx="878840" cy="1183640"/>
        </a:xfrm>
        <a:prstGeom prst="rect">
          <a:avLst/>
        </a:prstGeom>
      </xdr:spPr>
    </xdr:pic>
    <xdr:clientData/>
  </xdr:twoCellAnchor>
  <xdr:twoCellAnchor>
    <xdr:from>
      <xdr:col>9</xdr:col>
      <xdr:colOff>6350</xdr:colOff>
      <xdr:row>4630</xdr:row>
      <xdr:rowOff>25400</xdr:rowOff>
    </xdr:from>
    <xdr:to>
      <xdr:col>9</xdr:col>
      <xdr:colOff>885190</xdr:colOff>
      <xdr:row>4630</xdr:row>
      <xdr:rowOff>1209040</xdr:rowOff>
    </xdr:to>
    <xdr:pic>
      <xdr:nvPicPr>
        <xdr:cNvPr id="8890" name="Изображение 8889" descr="resizeПП-00233634"/>
        <xdr:cNvPicPr>
          <a:picLocks noChangeAspect="1"/>
        </xdr:cNvPicPr>
      </xdr:nvPicPr>
      <xdr:blipFill>
        <a:blip xmlns:r="http://schemas.openxmlformats.org/officeDocument/2006/relationships" r:embed="rId3516"/>
        <a:stretch>
          <a:fillRect/>
        </a:stretch>
      </xdr:blipFill>
      <xdr:spPr>
        <a:xfrm>
          <a:off x="7235825" y="4651140050"/>
          <a:ext cx="878840" cy="1183640"/>
        </a:xfrm>
        <a:prstGeom prst="rect">
          <a:avLst/>
        </a:prstGeom>
      </xdr:spPr>
    </xdr:pic>
    <xdr:clientData/>
  </xdr:twoCellAnchor>
  <xdr:twoCellAnchor>
    <xdr:from>
      <xdr:col>9</xdr:col>
      <xdr:colOff>6350</xdr:colOff>
      <xdr:row>4631</xdr:row>
      <xdr:rowOff>25400</xdr:rowOff>
    </xdr:from>
    <xdr:to>
      <xdr:col>9</xdr:col>
      <xdr:colOff>885190</xdr:colOff>
      <xdr:row>4631</xdr:row>
      <xdr:rowOff>1209040</xdr:rowOff>
    </xdr:to>
    <xdr:pic>
      <xdr:nvPicPr>
        <xdr:cNvPr id="8891" name="Изображение 8890" descr="resizeПП-00253974"/>
        <xdr:cNvPicPr>
          <a:picLocks noChangeAspect="1"/>
        </xdr:cNvPicPr>
      </xdr:nvPicPr>
      <xdr:blipFill>
        <a:blip xmlns:r="http://schemas.openxmlformats.org/officeDocument/2006/relationships" r:embed="rId3517"/>
        <a:stretch>
          <a:fillRect/>
        </a:stretch>
      </xdr:blipFill>
      <xdr:spPr>
        <a:xfrm>
          <a:off x="7235825" y="4652362425"/>
          <a:ext cx="878840" cy="1183640"/>
        </a:xfrm>
        <a:prstGeom prst="rect">
          <a:avLst/>
        </a:prstGeom>
      </xdr:spPr>
    </xdr:pic>
    <xdr:clientData/>
  </xdr:twoCellAnchor>
  <xdr:twoCellAnchor>
    <xdr:from>
      <xdr:col>9</xdr:col>
      <xdr:colOff>6350</xdr:colOff>
      <xdr:row>4632</xdr:row>
      <xdr:rowOff>25400</xdr:rowOff>
    </xdr:from>
    <xdr:to>
      <xdr:col>9</xdr:col>
      <xdr:colOff>885190</xdr:colOff>
      <xdr:row>4632</xdr:row>
      <xdr:rowOff>1209040</xdr:rowOff>
    </xdr:to>
    <xdr:pic>
      <xdr:nvPicPr>
        <xdr:cNvPr id="8892" name="Изображение 8891" descr="resizeПП-00253978"/>
        <xdr:cNvPicPr>
          <a:picLocks noChangeAspect="1"/>
        </xdr:cNvPicPr>
      </xdr:nvPicPr>
      <xdr:blipFill>
        <a:blip xmlns:r="http://schemas.openxmlformats.org/officeDocument/2006/relationships" r:embed="rId3518"/>
        <a:stretch>
          <a:fillRect/>
        </a:stretch>
      </xdr:blipFill>
      <xdr:spPr>
        <a:xfrm>
          <a:off x="7235825" y="4653584800"/>
          <a:ext cx="878840" cy="1183640"/>
        </a:xfrm>
        <a:prstGeom prst="rect">
          <a:avLst/>
        </a:prstGeom>
      </xdr:spPr>
    </xdr:pic>
    <xdr:clientData/>
  </xdr:twoCellAnchor>
  <xdr:twoCellAnchor>
    <xdr:from>
      <xdr:col>9</xdr:col>
      <xdr:colOff>6350</xdr:colOff>
      <xdr:row>4633</xdr:row>
      <xdr:rowOff>25400</xdr:rowOff>
    </xdr:from>
    <xdr:to>
      <xdr:col>9</xdr:col>
      <xdr:colOff>885190</xdr:colOff>
      <xdr:row>4633</xdr:row>
      <xdr:rowOff>1209040</xdr:rowOff>
    </xdr:to>
    <xdr:pic>
      <xdr:nvPicPr>
        <xdr:cNvPr id="8893" name="Изображение 8892" descr="resizeПП-00253979"/>
        <xdr:cNvPicPr>
          <a:picLocks noChangeAspect="1"/>
        </xdr:cNvPicPr>
      </xdr:nvPicPr>
      <xdr:blipFill>
        <a:blip xmlns:r="http://schemas.openxmlformats.org/officeDocument/2006/relationships" r:embed="rId3519"/>
        <a:stretch>
          <a:fillRect/>
        </a:stretch>
      </xdr:blipFill>
      <xdr:spPr>
        <a:xfrm>
          <a:off x="7235825" y="4654807175"/>
          <a:ext cx="878840" cy="1183640"/>
        </a:xfrm>
        <a:prstGeom prst="rect">
          <a:avLst/>
        </a:prstGeom>
      </xdr:spPr>
    </xdr:pic>
    <xdr:clientData/>
  </xdr:twoCellAnchor>
  <xdr:twoCellAnchor>
    <xdr:from>
      <xdr:col>9</xdr:col>
      <xdr:colOff>6350</xdr:colOff>
      <xdr:row>4634</xdr:row>
      <xdr:rowOff>25400</xdr:rowOff>
    </xdr:from>
    <xdr:to>
      <xdr:col>9</xdr:col>
      <xdr:colOff>885190</xdr:colOff>
      <xdr:row>4634</xdr:row>
      <xdr:rowOff>1209040</xdr:rowOff>
    </xdr:to>
    <xdr:pic>
      <xdr:nvPicPr>
        <xdr:cNvPr id="8894" name="Изображение 8893" descr="resizeПП-00253869"/>
        <xdr:cNvPicPr>
          <a:picLocks noChangeAspect="1"/>
        </xdr:cNvPicPr>
      </xdr:nvPicPr>
      <xdr:blipFill>
        <a:blip xmlns:r="http://schemas.openxmlformats.org/officeDocument/2006/relationships" r:embed="rId3520"/>
        <a:stretch>
          <a:fillRect/>
        </a:stretch>
      </xdr:blipFill>
      <xdr:spPr>
        <a:xfrm>
          <a:off x="7235825" y="4656029550"/>
          <a:ext cx="878840" cy="1183640"/>
        </a:xfrm>
        <a:prstGeom prst="rect">
          <a:avLst/>
        </a:prstGeom>
      </xdr:spPr>
    </xdr:pic>
    <xdr:clientData/>
  </xdr:twoCellAnchor>
  <xdr:twoCellAnchor>
    <xdr:from>
      <xdr:col>9</xdr:col>
      <xdr:colOff>6350</xdr:colOff>
      <xdr:row>4635</xdr:row>
      <xdr:rowOff>25400</xdr:rowOff>
    </xdr:from>
    <xdr:to>
      <xdr:col>9</xdr:col>
      <xdr:colOff>885190</xdr:colOff>
      <xdr:row>4635</xdr:row>
      <xdr:rowOff>1209040</xdr:rowOff>
    </xdr:to>
    <xdr:pic>
      <xdr:nvPicPr>
        <xdr:cNvPr id="8895" name="Изображение 8894" descr="resizeПП-00253867"/>
        <xdr:cNvPicPr>
          <a:picLocks noChangeAspect="1"/>
        </xdr:cNvPicPr>
      </xdr:nvPicPr>
      <xdr:blipFill>
        <a:blip xmlns:r="http://schemas.openxmlformats.org/officeDocument/2006/relationships" r:embed="rId3521"/>
        <a:stretch>
          <a:fillRect/>
        </a:stretch>
      </xdr:blipFill>
      <xdr:spPr>
        <a:xfrm>
          <a:off x="7235825" y="4657251925"/>
          <a:ext cx="878840" cy="1183640"/>
        </a:xfrm>
        <a:prstGeom prst="rect">
          <a:avLst/>
        </a:prstGeom>
      </xdr:spPr>
    </xdr:pic>
    <xdr:clientData/>
  </xdr:twoCellAnchor>
  <xdr:twoCellAnchor>
    <xdr:from>
      <xdr:col>9</xdr:col>
      <xdr:colOff>6350</xdr:colOff>
      <xdr:row>4636</xdr:row>
      <xdr:rowOff>25400</xdr:rowOff>
    </xdr:from>
    <xdr:to>
      <xdr:col>9</xdr:col>
      <xdr:colOff>885190</xdr:colOff>
      <xdr:row>4636</xdr:row>
      <xdr:rowOff>1209040</xdr:rowOff>
    </xdr:to>
    <xdr:pic>
      <xdr:nvPicPr>
        <xdr:cNvPr id="8896" name="Изображение 8895" descr="resizeПП-00253977"/>
        <xdr:cNvPicPr>
          <a:picLocks noChangeAspect="1"/>
        </xdr:cNvPicPr>
      </xdr:nvPicPr>
      <xdr:blipFill>
        <a:blip xmlns:r="http://schemas.openxmlformats.org/officeDocument/2006/relationships" r:embed="rId3522"/>
        <a:stretch>
          <a:fillRect/>
        </a:stretch>
      </xdr:blipFill>
      <xdr:spPr>
        <a:xfrm>
          <a:off x="7235825" y="4658474300"/>
          <a:ext cx="878840" cy="1183640"/>
        </a:xfrm>
        <a:prstGeom prst="rect">
          <a:avLst/>
        </a:prstGeom>
      </xdr:spPr>
    </xdr:pic>
    <xdr:clientData/>
  </xdr:twoCellAnchor>
  <xdr:twoCellAnchor>
    <xdr:from>
      <xdr:col>9</xdr:col>
      <xdr:colOff>6350</xdr:colOff>
      <xdr:row>4637</xdr:row>
      <xdr:rowOff>25400</xdr:rowOff>
    </xdr:from>
    <xdr:to>
      <xdr:col>9</xdr:col>
      <xdr:colOff>885190</xdr:colOff>
      <xdr:row>4637</xdr:row>
      <xdr:rowOff>1209040</xdr:rowOff>
    </xdr:to>
    <xdr:pic>
      <xdr:nvPicPr>
        <xdr:cNvPr id="8897" name="Изображение 8896" descr="resizeПП-00253976"/>
        <xdr:cNvPicPr>
          <a:picLocks noChangeAspect="1"/>
        </xdr:cNvPicPr>
      </xdr:nvPicPr>
      <xdr:blipFill>
        <a:blip xmlns:r="http://schemas.openxmlformats.org/officeDocument/2006/relationships" r:embed="rId3523"/>
        <a:stretch>
          <a:fillRect/>
        </a:stretch>
      </xdr:blipFill>
      <xdr:spPr>
        <a:xfrm>
          <a:off x="7235825" y="4659696675"/>
          <a:ext cx="878840" cy="1183640"/>
        </a:xfrm>
        <a:prstGeom prst="rect">
          <a:avLst/>
        </a:prstGeom>
      </xdr:spPr>
    </xdr:pic>
    <xdr:clientData/>
  </xdr:twoCellAnchor>
  <xdr:twoCellAnchor>
    <xdr:from>
      <xdr:col>9</xdr:col>
      <xdr:colOff>6350</xdr:colOff>
      <xdr:row>4638</xdr:row>
      <xdr:rowOff>25400</xdr:rowOff>
    </xdr:from>
    <xdr:to>
      <xdr:col>9</xdr:col>
      <xdr:colOff>885190</xdr:colOff>
      <xdr:row>4638</xdr:row>
      <xdr:rowOff>1209040</xdr:rowOff>
    </xdr:to>
    <xdr:pic>
      <xdr:nvPicPr>
        <xdr:cNvPr id="8898" name="Изображение 8897" descr="resizeПП-00253981"/>
        <xdr:cNvPicPr>
          <a:picLocks noChangeAspect="1"/>
        </xdr:cNvPicPr>
      </xdr:nvPicPr>
      <xdr:blipFill>
        <a:blip xmlns:r="http://schemas.openxmlformats.org/officeDocument/2006/relationships" r:embed="rId3524"/>
        <a:stretch>
          <a:fillRect/>
        </a:stretch>
      </xdr:blipFill>
      <xdr:spPr>
        <a:xfrm>
          <a:off x="7235825" y="4660919050"/>
          <a:ext cx="878840" cy="1183640"/>
        </a:xfrm>
        <a:prstGeom prst="rect">
          <a:avLst/>
        </a:prstGeom>
      </xdr:spPr>
    </xdr:pic>
    <xdr:clientData/>
  </xdr:twoCellAnchor>
  <xdr:twoCellAnchor>
    <xdr:from>
      <xdr:col>9</xdr:col>
      <xdr:colOff>6350</xdr:colOff>
      <xdr:row>4639</xdr:row>
      <xdr:rowOff>25400</xdr:rowOff>
    </xdr:from>
    <xdr:to>
      <xdr:col>9</xdr:col>
      <xdr:colOff>885190</xdr:colOff>
      <xdr:row>4639</xdr:row>
      <xdr:rowOff>1209040</xdr:rowOff>
    </xdr:to>
    <xdr:pic>
      <xdr:nvPicPr>
        <xdr:cNvPr id="8899" name="Изображение 8898" descr="resizeПП-00253975"/>
        <xdr:cNvPicPr>
          <a:picLocks noChangeAspect="1"/>
        </xdr:cNvPicPr>
      </xdr:nvPicPr>
      <xdr:blipFill>
        <a:blip xmlns:r="http://schemas.openxmlformats.org/officeDocument/2006/relationships" r:embed="rId3525"/>
        <a:stretch>
          <a:fillRect/>
        </a:stretch>
      </xdr:blipFill>
      <xdr:spPr>
        <a:xfrm>
          <a:off x="7235825" y="4662141425"/>
          <a:ext cx="878840" cy="1183640"/>
        </a:xfrm>
        <a:prstGeom prst="rect">
          <a:avLst/>
        </a:prstGeom>
      </xdr:spPr>
    </xdr:pic>
    <xdr:clientData/>
  </xdr:twoCellAnchor>
  <xdr:twoCellAnchor>
    <xdr:from>
      <xdr:col>9</xdr:col>
      <xdr:colOff>6350</xdr:colOff>
      <xdr:row>4640</xdr:row>
      <xdr:rowOff>25400</xdr:rowOff>
    </xdr:from>
    <xdr:to>
      <xdr:col>9</xdr:col>
      <xdr:colOff>885190</xdr:colOff>
      <xdr:row>4640</xdr:row>
      <xdr:rowOff>1209040</xdr:rowOff>
    </xdr:to>
    <xdr:pic>
      <xdr:nvPicPr>
        <xdr:cNvPr id="8900" name="Изображение 8899" descr="resizeПП-00253860"/>
        <xdr:cNvPicPr>
          <a:picLocks noChangeAspect="1"/>
        </xdr:cNvPicPr>
      </xdr:nvPicPr>
      <xdr:blipFill>
        <a:blip xmlns:r="http://schemas.openxmlformats.org/officeDocument/2006/relationships" r:embed="rId3526"/>
        <a:stretch>
          <a:fillRect/>
        </a:stretch>
      </xdr:blipFill>
      <xdr:spPr>
        <a:xfrm>
          <a:off x="7235825" y="4663363800"/>
          <a:ext cx="878840" cy="1183640"/>
        </a:xfrm>
        <a:prstGeom prst="rect">
          <a:avLst/>
        </a:prstGeom>
      </xdr:spPr>
    </xdr:pic>
    <xdr:clientData/>
  </xdr:twoCellAnchor>
  <xdr:twoCellAnchor>
    <xdr:from>
      <xdr:col>9</xdr:col>
      <xdr:colOff>6350</xdr:colOff>
      <xdr:row>4641</xdr:row>
      <xdr:rowOff>25400</xdr:rowOff>
    </xdr:from>
    <xdr:to>
      <xdr:col>9</xdr:col>
      <xdr:colOff>885190</xdr:colOff>
      <xdr:row>4641</xdr:row>
      <xdr:rowOff>1209040</xdr:rowOff>
    </xdr:to>
    <xdr:pic>
      <xdr:nvPicPr>
        <xdr:cNvPr id="8901" name="Изображение 8900" descr="resizeПП-00253863"/>
        <xdr:cNvPicPr>
          <a:picLocks noChangeAspect="1"/>
        </xdr:cNvPicPr>
      </xdr:nvPicPr>
      <xdr:blipFill>
        <a:blip xmlns:r="http://schemas.openxmlformats.org/officeDocument/2006/relationships" r:embed="rId3527"/>
        <a:stretch>
          <a:fillRect/>
        </a:stretch>
      </xdr:blipFill>
      <xdr:spPr>
        <a:xfrm>
          <a:off x="7235825" y="4664586175"/>
          <a:ext cx="878840" cy="1183640"/>
        </a:xfrm>
        <a:prstGeom prst="rect">
          <a:avLst/>
        </a:prstGeom>
      </xdr:spPr>
    </xdr:pic>
    <xdr:clientData/>
  </xdr:twoCellAnchor>
  <xdr:twoCellAnchor>
    <xdr:from>
      <xdr:col>9</xdr:col>
      <xdr:colOff>6350</xdr:colOff>
      <xdr:row>4644</xdr:row>
      <xdr:rowOff>25400</xdr:rowOff>
    </xdr:from>
    <xdr:to>
      <xdr:col>9</xdr:col>
      <xdr:colOff>885190</xdr:colOff>
      <xdr:row>4644</xdr:row>
      <xdr:rowOff>1209040</xdr:rowOff>
    </xdr:to>
    <xdr:pic>
      <xdr:nvPicPr>
        <xdr:cNvPr id="8902" name="Изображение 8901" descr="resizeПП-00204509"/>
        <xdr:cNvPicPr>
          <a:picLocks noChangeAspect="1"/>
        </xdr:cNvPicPr>
      </xdr:nvPicPr>
      <xdr:blipFill>
        <a:blip xmlns:r="http://schemas.openxmlformats.org/officeDocument/2006/relationships" r:embed="rId3528"/>
        <a:stretch>
          <a:fillRect/>
        </a:stretch>
      </xdr:blipFill>
      <xdr:spPr>
        <a:xfrm>
          <a:off x="7235825" y="4666113350"/>
          <a:ext cx="878840" cy="1183640"/>
        </a:xfrm>
        <a:prstGeom prst="rect">
          <a:avLst/>
        </a:prstGeom>
      </xdr:spPr>
    </xdr:pic>
    <xdr:clientData/>
  </xdr:twoCellAnchor>
  <xdr:twoCellAnchor>
    <xdr:from>
      <xdr:col>9</xdr:col>
      <xdr:colOff>6350</xdr:colOff>
      <xdr:row>4645</xdr:row>
      <xdr:rowOff>25400</xdr:rowOff>
    </xdr:from>
    <xdr:to>
      <xdr:col>9</xdr:col>
      <xdr:colOff>885190</xdr:colOff>
      <xdr:row>4645</xdr:row>
      <xdr:rowOff>1209040</xdr:rowOff>
    </xdr:to>
    <xdr:pic>
      <xdr:nvPicPr>
        <xdr:cNvPr id="8903" name="Изображение 8902" descr="resizeПП-00233550"/>
        <xdr:cNvPicPr>
          <a:picLocks noChangeAspect="1"/>
        </xdr:cNvPicPr>
      </xdr:nvPicPr>
      <xdr:blipFill>
        <a:blip xmlns:r="http://schemas.openxmlformats.org/officeDocument/2006/relationships" r:embed="rId3529"/>
        <a:stretch>
          <a:fillRect/>
        </a:stretch>
      </xdr:blipFill>
      <xdr:spPr>
        <a:xfrm>
          <a:off x="7235825" y="4667335725"/>
          <a:ext cx="878840" cy="1183640"/>
        </a:xfrm>
        <a:prstGeom prst="rect">
          <a:avLst/>
        </a:prstGeom>
      </xdr:spPr>
    </xdr:pic>
    <xdr:clientData/>
  </xdr:twoCellAnchor>
  <xdr:twoCellAnchor>
    <xdr:from>
      <xdr:col>9</xdr:col>
      <xdr:colOff>6350</xdr:colOff>
      <xdr:row>4646</xdr:row>
      <xdr:rowOff>25400</xdr:rowOff>
    </xdr:from>
    <xdr:to>
      <xdr:col>9</xdr:col>
      <xdr:colOff>885190</xdr:colOff>
      <xdr:row>4646</xdr:row>
      <xdr:rowOff>1209040</xdr:rowOff>
    </xdr:to>
    <xdr:pic>
      <xdr:nvPicPr>
        <xdr:cNvPr id="8904" name="Изображение 8903" descr="resizeПП-00233546"/>
        <xdr:cNvPicPr>
          <a:picLocks noChangeAspect="1"/>
        </xdr:cNvPicPr>
      </xdr:nvPicPr>
      <xdr:blipFill>
        <a:blip xmlns:r="http://schemas.openxmlformats.org/officeDocument/2006/relationships" r:embed="rId3530"/>
        <a:stretch>
          <a:fillRect/>
        </a:stretch>
      </xdr:blipFill>
      <xdr:spPr>
        <a:xfrm>
          <a:off x="7235825" y="4668558100"/>
          <a:ext cx="878840" cy="1183640"/>
        </a:xfrm>
        <a:prstGeom prst="rect">
          <a:avLst/>
        </a:prstGeom>
      </xdr:spPr>
    </xdr:pic>
    <xdr:clientData/>
  </xdr:twoCellAnchor>
  <xdr:twoCellAnchor>
    <xdr:from>
      <xdr:col>9</xdr:col>
      <xdr:colOff>6350</xdr:colOff>
      <xdr:row>4647</xdr:row>
      <xdr:rowOff>25400</xdr:rowOff>
    </xdr:from>
    <xdr:to>
      <xdr:col>9</xdr:col>
      <xdr:colOff>885190</xdr:colOff>
      <xdr:row>4647</xdr:row>
      <xdr:rowOff>1209040</xdr:rowOff>
    </xdr:to>
    <xdr:pic>
      <xdr:nvPicPr>
        <xdr:cNvPr id="8905" name="Изображение 8904" descr="resizeПП-00227931"/>
        <xdr:cNvPicPr>
          <a:picLocks noChangeAspect="1"/>
        </xdr:cNvPicPr>
      </xdr:nvPicPr>
      <xdr:blipFill>
        <a:blip xmlns:r="http://schemas.openxmlformats.org/officeDocument/2006/relationships" r:embed="rId3531"/>
        <a:stretch>
          <a:fillRect/>
        </a:stretch>
      </xdr:blipFill>
      <xdr:spPr>
        <a:xfrm>
          <a:off x="7235825" y="4669780475"/>
          <a:ext cx="878840" cy="1183640"/>
        </a:xfrm>
        <a:prstGeom prst="rect">
          <a:avLst/>
        </a:prstGeom>
      </xdr:spPr>
    </xdr:pic>
    <xdr:clientData/>
  </xdr:twoCellAnchor>
  <xdr:twoCellAnchor>
    <xdr:from>
      <xdr:col>9</xdr:col>
      <xdr:colOff>6350</xdr:colOff>
      <xdr:row>4648</xdr:row>
      <xdr:rowOff>25400</xdr:rowOff>
    </xdr:from>
    <xdr:to>
      <xdr:col>9</xdr:col>
      <xdr:colOff>885190</xdr:colOff>
      <xdr:row>4648</xdr:row>
      <xdr:rowOff>1209040</xdr:rowOff>
    </xdr:to>
    <xdr:pic>
      <xdr:nvPicPr>
        <xdr:cNvPr id="8906" name="Изображение 8905" descr="resizeПП-00253771"/>
        <xdr:cNvPicPr>
          <a:picLocks noChangeAspect="1"/>
        </xdr:cNvPicPr>
      </xdr:nvPicPr>
      <xdr:blipFill>
        <a:blip xmlns:r="http://schemas.openxmlformats.org/officeDocument/2006/relationships" r:embed="rId3532"/>
        <a:stretch>
          <a:fillRect/>
        </a:stretch>
      </xdr:blipFill>
      <xdr:spPr>
        <a:xfrm>
          <a:off x="7235825" y="4671002850"/>
          <a:ext cx="878840" cy="1183640"/>
        </a:xfrm>
        <a:prstGeom prst="rect">
          <a:avLst/>
        </a:prstGeom>
      </xdr:spPr>
    </xdr:pic>
    <xdr:clientData/>
  </xdr:twoCellAnchor>
  <xdr:twoCellAnchor>
    <xdr:from>
      <xdr:col>9</xdr:col>
      <xdr:colOff>6350</xdr:colOff>
      <xdr:row>4649</xdr:row>
      <xdr:rowOff>25400</xdr:rowOff>
    </xdr:from>
    <xdr:to>
      <xdr:col>9</xdr:col>
      <xdr:colOff>885190</xdr:colOff>
      <xdr:row>4649</xdr:row>
      <xdr:rowOff>1209040</xdr:rowOff>
    </xdr:to>
    <xdr:pic>
      <xdr:nvPicPr>
        <xdr:cNvPr id="8907" name="Изображение 8906" descr="resizeПП-00233552"/>
        <xdr:cNvPicPr>
          <a:picLocks noChangeAspect="1"/>
        </xdr:cNvPicPr>
      </xdr:nvPicPr>
      <xdr:blipFill>
        <a:blip xmlns:r="http://schemas.openxmlformats.org/officeDocument/2006/relationships" r:embed="rId3533"/>
        <a:stretch>
          <a:fillRect/>
        </a:stretch>
      </xdr:blipFill>
      <xdr:spPr>
        <a:xfrm>
          <a:off x="7235825" y="4672225225"/>
          <a:ext cx="878840" cy="1183640"/>
        </a:xfrm>
        <a:prstGeom prst="rect">
          <a:avLst/>
        </a:prstGeom>
      </xdr:spPr>
    </xdr:pic>
    <xdr:clientData/>
  </xdr:twoCellAnchor>
  <xdr:twoCellAnchor>
    <xdr:from>
      <xdr:col>9</xdr:col>
      <xdr:colOff>6350</xdr:colOff>
      <xdr:row>4650</xdr:row>
      <xdr:rowOff>25400</xdr:rowOff>
    </xdr:from>
    <xdr:to>
      <xdr:col>9</xdr:col>
      <xdr:colOff>885190</xdr:colOff>
      <xdr:row>4650</xdr:row>
      <xdr:rowOff>1209040</xdr:rowOff>
    </xdr:to>
    <xdr:pic>
      <xdr:nvPicPr>
        <xdr:cNvPr id="8908" name="Изображение 8907" descr="resizeПП-00253887"/>
        <xdr:cNvPicPr>
          <a:picLocks noChangeAspect="1"/>
        </xdr:cNvPicPr>
      </xdr:nvPicPr>
      <xdr:blipFill>
        <a:blip xmlns:r="http://schemas.openxmlformats.org/officeDocument/2006/relationships" r:embed="rId3534"/>
        <a:stretch>
          <a:fillRect/>
        </a:stretch>
      </xdr:blipFill>
      <xdr:spPr>
        <a:xfrm>
          <a:off x="7235825" y="4673447600"/>
          <a:ext cx="878840" cy="1183640"/>
        </a:xfrm>
        <a:prstGeom prst="rect">
          <a:avLst/>
        </a:prstGeom>
      </xdr:spPr>
    </xdr:pic>
    <xdr:clientData/>
  </xdr:twoCellAnchor>
  <xdr:twoCellAnchor>
    <xdr:from>
      <xdr:col>9</xdr:col>
      <xdr:colOff>6350</xdr:colOff>
      <xdr:row>4651</xdr:row>
      <xdr:rowOff>25400</xdr:rowOff>
    </xdr:from>
    <xdr:to>
      <xdr:col>9</xdr:col>
      <xdr:colOff>885190</xdr:colOff>
      <xdr:row>4651</xdr:row>
      <xdr:rowOff>1209040</xdr:rowOff>
    </xdr:to>
    <xdr:pic>
      <xdr:nvPicPr>
        <xdr:cNvPr id="8909" name="Изображение 8908" descr="resizeПП-00204508"/>
        <xdr:cNvPicPr>
          <a:picLocks noChangeAspect="1"/>
        </xdr:cNvPicPr>
      </xdr:nvPicPr>
      <xdr:blipFill>
        <a:blip xmlns:r="http://schemas.openxmlformats.org/officeDocument/2006/relationships" r:embed="rId3535"/>
        <a:stretch>
          <a:fillRect/>
        </a:stretch>
      </xdr:blipFill>
      <xdr:spPr>
        <a:xfrm>
          <a:off x="7235825" y="4674669975"/>
          <a:ext cx="878840" cy="1183640"/>
        </a:xfrm>
        <a:prstGeom prst="rect">
          <a:avLst/>
        </a:prstGeom>
      </xdr:spPr>
    </xdr:pic>
    <xdr:clientData/>
  </xdr:twoCellAnchor>
  <xdr:twoCellAnchor>
    <xdr:from>
      <xdr:col>9</xdr:col>
      <xdr:colOff>6350</xdr:colOff>
      <xdr:row>4652</xdr:row>
      <xdr:rowOff>25400</xdr:rowOff>
    </xdr:from>
    <xdr:to>
      <xdr:col>9</xdr:col>
      <xdr:colOff>885190</xdr:colOff>
      <xdr:row>4652</xdr:row>
      <xdr:rowOff>1209040</xdr:rowOff>
    </xdr:to>
    <xdr:pic>
      <xdr:nvPicPr>
        <xdr:cNvPr id="8910" name="Изображение 8909" descr="resizeПП-00253901"/>
        <xdr:cNvPicPr>
          <a:picLocks noChangeAspect="1"/>
        </xdr:cNvPicPr>
      </xdr:nvPicPr>
      <xdr:blipFill>
        <a:blip xmlns:r="http://schemas.openxmlformats.org/officeDocument/2006/relationships" r:embed="rId3536"/>
        <a:stretch>
          <a:fillRect/>
        </a:stretch>
      </xdr:blipFill>
      <xdr:spPr>
        <a:xfrm>
          <a:off x="7235825" y="4675892350"/>
          <a:ext cx="878840" cy="1183640"/>
        </a:xfrm>
        <a:prstGeom prst="rect">
          <a:avLst/>
        </a:prstGeom>
      </xdr:spPr>
    </xdr:pic>
    <xdr:clientData/>
  </xdr:twoCellAnchor>
  <xdr:twoCellAnchor>
    <xdr:from>
      <xdr:col>9</xdr:col>
      <xdr:colOff>6350</xdr:colOff>
      <xdr:row>4653</xdr:row>
      <xdr:rowOff>25400</xdr:rowOff>
    </xdr:from>
    <xdr:to>
      <xdr:col>9</xdr:col>
      <xdr:colOff>885190</xdr:colOff>
      <xdr:row>4653</xdr:row>
      <xdr:rowOff>1209040</xdr:rowOff>
    </xdr:to>
    <xdr:pic>
      <xdr:nvPicPr>
        <xdr:cNvPr id="8911" name="Изображение 8910" descr="resizeПП-00253903"/>
        <xdr:cNvPicPr>
          <a:picLocks noChangeAspect="1"/>
        </xdr:cNvPicPr>
      </xdr:nvPicPr>
      <xdr:blipFill>
        <a:blip xmlns:r="http://schemas.openxmlformats.org/officeDocument/2006/relationships" r:embed="rId3537"/>
        <a:stretch>
          <a:fillRect/>
        </a:stretch>
      </xdr:blipFill>
      <xdr:spPr>
        <a:xfrm>
          <a:off x="7235825" y="4677114725"/>
          <a:ext cx="878840" cy="1183640"/>
        </a:xfrm>
        <a:prstGeom prst="rect">
          <a:avLst/>
        </a:prstGeom>
      </xdr:spPr>
    </xdr:pic>
    <xdr:clientData/>
  </xdr:twoCellAnchor>
  <xdr:twoCellAnchor>
    <xdr:from>
      <xdr:col>9</xdr:col>
      <xdr:colOff>6350</xdr:colOff>
      <xdr:row>4654</xdr:row>
      <xdr:rowOff>25400</xdr:rowOff>
    </xdr:from>
    <xdr:to>
      <xdr:col>9</xdr:col>
      <xdr:colOff>885190</xdr:colOff>
      <xdr:row>4654</xdr:row>
      <xdr:rowOff>1209040</xdr:rowOff>
    </xdr:to>
    <xdr:pic>
      <xdr:nvPicPr>
        <xdr:cNvPr id="8912" name="Изображение 8911" descr="resizeПП-00253823"/>
        <xdr:cNvPicPr>
          <a:picLocks noChangeAspect="1"/>
        </xdr:cNvPicPr>
      </xdr:nvPicPr>
      <xdr:blipFill>
        <a:blip xmlns:r="http://schemas.openxmlformats.org/officeDocument/2006/relationships" r:embed="rId3538"/>
        <a:stretch>
          <a:fillRect/>
        </a:stretch>
      </xdr:blipFill>
      <xdr:spPr>
        <a:xfrm>
          <a:off x="7235825" y="4678337100"/>
          <a:ext cx="878840" cy="1183640"/>
        </a:xfrm>
        <a:prstGeom prst="rect">
          <a:avLst/>
        </a:prstGeom>
      </xdr:spPr>
    </xdr:pic>
    <xdr:clientData/>
  </xdr:twoCellAnchor>
  <xdr:twoCellAnchor>
    <xdr:from>
      <xdr:col>9</xdr:col>
      <xdr:colOff>6350</xdr:colOff>
      <xdr:row>4655</xdr:row>
      <xdr:rowOff>25400</xdr:rowOff>
    </xdr:from>
    <xdr:to>
      <xdr:col>9</xdr:col>
      <xdr:colOff>885190</xdr:colOff>
      <xdr:row>4655</xdr:row>
      <xdr:rowOff>1209040</xdr:rowOff>
    </xdr:to>
    <xdr:pic>
      <xdr:nvPicPr>
        <xdr:cNvPr id="8913" name="Изображение 8912" descr="resizeПП-00253817"/>
        <xdr:cNvPicPr>
          <a:picLocks noChangeAspect="1"/>
        </xdr:cNvPicPr>
      </xdr:nvPicPr>
      <xdr:blipFill>
        <a:blip xmlns:r="http://schemas.openxmlformats.org/officeDocument/2006/relationships" r:embed="rId3539"/>
        <a:stretch>
          <a:fillRect/>
        </a:stretch>
      </xdr:blipFill>
      <xdr:spPr>
        <a:xfrm>
          <a:off x="7235825" y="4679559475"/>
          <a:ext cx="878840" cy="1183640"/>
        </a:xfrm>
        <a:prstGeom prst="rect">
          <a:avLst/>
        </a:prstGeom>
      </xdr:spPr>
    </xdr:pic>
    <xdr:clientData/>
  </xdr:twoCellAnchor>
  <xdr:twoCellAnchor>
    <xdr:from>
      <xdr:col>9</xdr:col>
      <xdr:colOff>6350</xdr:colOff>
      <xdr:row>4656</xdr:row>
      <xdr:rowOff>25400</xdr:rowOff>
    </xdr:from>
    <xdr:to>
      <xdr:col>9</xdr:col>
      <xdr:colOff>885190</xdr:colOff>
      <xdr:row>4656</xdr:row>
      <xdr:rowOff>1209040</xdr:rowOff>
    </xdr:to>
    <xdr:pic>
      <xdr:nvPicPr>
        <xdr:cNvPr id="8914" name="Изображение 8913" descr="resizeПП-00253814"/>
        <xdr:cNvPicPr>
          <a:picLocks noChangeAspect="1"/>
        </xdr:cNvPicPr>
      </xdr:nvPicPr>
      <xdr:blipFill>
        <a:blip xmlns:r="http://schemas.openxmlformats.org/officeDocument/2006/relationships" r:embed="rId3540"/>
        <a:stretch>
          <a:fillRect/>
        </a:stretch>
      </xdr:blipFill>
      <xdr:spPr>
        <a:xfrm>
          <a:off x="7235825" y="4680781850"/>
          <a:ext cx="878840" cy="1183640"/>
        </a:xfrm>
        <a:prstGeom prst="rect">
          <a:avLst/>
        </a:prstGeom>
      </xdr:spPr>
    </xdr:pic>
    <xdr:clientData/>
  </xdr:twoCellAnchor>
  <xdr:twoCellAnchor>
    <xdr:from>
      <xdr:col>9</xdr:col>
      <xdr:colOff>6350</xdr:colOff>
      <xdr:row>4657</xdr:row>
      <xdr:rowOff>25400</xdr:rowOff>
    </xdr:from>
    <xdr:to>
      <xdr:col>9</xdr:col>
      <xdr:colOff>885190</xdr:colOff>
      <xdr:row>4657</xdr:row>
      <xdr:rowOff>1209040</xdr:rowOff>
    </xdr:to>
    <xdr:pic>
      <xdr:nvPicPr>
        <xdr:cNvPr id="8915" name="Изображение 8914" descr="resizeПП-00253899"/>
        <xdr:cNvPicPr>
          <a:picLocks noChangeAspect="1"/>
        </xdr:cNvPicPr>
      </xdr:nvPicPr>
      <xdr:blipFill>
        <a:blip xmlns:r="http://schemas.openxmlformats.org/officeDocument/2006/relationships" r:embed="rId3541"/>
        <a:stretch>
          <a:fillRect/>
        </a:stretch>
      </xdr:blipFill>
      <xdr:spPr>
        <a:xfrm>
          <a:off x="7235825" y="4682004225"/>
          <a:ext cx="878840" cy="1183640"/>
        </a:xfrm>
        <a:prstGeom prst="rect">
          <a:avLst/>
        </a:prstGeom>
      </xdr:spPr>
    </xdr:pic>
    <xdr:clientData/>
  </xdr:twoCellAnchor>
  <xdr:twoCellAnchor>
    <xdr:from>
      <xdr:col>9</xdr:col>
      <xdr:colOff>6350</xdr:colOff>
      <xdr:row>4658</xdr:row>
      <xdr:rowOff>25400</xdr:rowOff>
    </xdr:from>
    <xdr:to>
      <xdr:col>9</xdr:col>
      <xdr:colOff>885190</xdr:colOff>
      <xdr:row>4658</xdr:row>
      <xdr:rowOff>1209040</xdr:rowOff>
    </xdr:to>
    <xdr:pic>
      <xdr:nvPicPr>
        <xdr:cNvPr id="8916" name="Изображение 8915" descr="resizeПП-00253894"/>
        <xdr:cNvPicPr>
          <a:picLocks noChangeAspect="1"/>
        </xdr:cNvPicPr>
      </xdr:nvPicPr>
      <xdr:blipFill>
        <a:blip xmlns:r="http://schemas.openxmlformats.org/officeDocument/2006/relationships" r:embed="rId3542"/>
        <a:stretch>
          <a:fillRect/>
        </a:stretch>
      </xdr:blipFill>
      <xdr:spPr>
        <a:xfrm>
          <a:off x="7235825" y="4683226600"/>
          <a:ext cx="878840" cy="1183640"/>
        </a:xfrm>
        <a:prstGeom prst="rect">
          <a:avLst/>
        </a:prstGeom>
      </xdr:spPr>
    </xdr:pic>
    <xdr:clientData/>
  </xdr:twoCellAnchor>
  <xdr:twoCellAnchor>
    <xdr:from>
      <xdr:col>9</xdr:col>
      <xdr:colOff>6350</xdr:colOff>
      <xdr:row>4659</xdr:row>
      <xdr:rowOff>25400</xdr:rowOff>
    </xdr:from>
    <xdr:to>
      <xdr:col>9</xdr:col>
      <xdr:colOff>885190</xdr:colOff>
      <xdr:row>4659</xdr:row>
      <xdr:rowOff>1209040</xdr:rowOff>
    </xdr:to>
    <xdr:pic>
      <xdr:nvPicPr>
        <xdr:cNvPr id="8917" name="Изображение 8916" descr="resizeПП-00253909"/>
        <xdr:cNvPicPr>
          <a:picLocks noChangeAspect="1"/>
        </xdr:cNvPicPr>
      </xdr:nvPicPr>
      <xdr:blipFill>
        <a:blip xmlns:r="http://schemas.openxmlformats.org/officeDocument/2006/relationships" r:embed="rId3543"/>
        <a:stretch>
          <a:fillRect/>
        </a:stretch>
      </xdr:blipFill>
      <xdr:spPr>
        <a:xfrm>
          <a:off x="7235825" y="4684448975"/>
          <a:ext cx="878840" cy="1183640"/>
        </a:xfrm>
        <a:prstGeom prst="rect">
          <a:avLst/>
        </a:prstGeom>
      </xdr:spPr>
    </xdr:pic>
    <xdr:clientData/>
  </xdr:twoCellAnchor>
  <xdr:twoCellAnchor>
    <xdr:from>
      <xdr:col>9</xdr:col>
      <xdr:colOff>6350</xdr:colOff>
      <xdr:row>4660</xdr:row>
      <xdr:rowOff>25400</xdr:rowOff>
    </xdr:from>
    <xdr:to>
      <xdr:col>9</xdr:col>
      <xdr:colOff>885190</xdr:colOff>
      <xdr:row>4660</xdr:row>
      <xdr:rowOff>1209040</xdr:rowOff>
    </xdr:to>
    <xdr:pic>
      <xdr:nvPicPr>
        <xdr:cNvPr id="8918" name="Изображение 8917" descr="resizeПП-00253891"/>
        <xdr:cNvPicPr>
          <a:picLocks noChangeAspect="1"/>
        </xdr:cNvPicPr>
      </xdr:nvPicPr>
      <xdr:blipFill>
        <a:blip xmlns:r="http://schemas.openxmlformats.org/officeDocument/2006/relationships" r:embed="rId3544"/>
        <a:stretch>
          <a:fillRect/>
        </a:stretch>
      </xdr:blipFill>
      <xdr:spPr>
        <a:xfrm>
          <a:off x="7235825" y="4685671350"/>
          <a:ext cx="878840" cy="1183640"/>
        </a:xfrm>
        <a:prstGeom prst="rect">
          <a:avLst/>
        </a:prstGeom>
      </xdr:spPr>
    </xdr:pic>
    <xdr:clientData/>
  </xdr:twoCellAnchor>
  <xdr:twoCellAnchor>
    <xdr:from>
      <xdr:col>9</xdr:col>
      <xdr:colOff>6350</xdr:colOff>
      <xdr:row>4661</xdr:row>
      <xdr:rowOff>25400</xdr:rowOff>
    </xdr:from>
    <xdr:to>
      <xdr:col>9</xdr:col>
      <xdr:colOff>885190</xdr:colOff>
      <xdr:row>4661</xdr:row>
      <xdr:rowOff>1209040</xdr:rowOff>
    </xdr:to>
    <xdr:pic>
      <xdr:nvPicPr>
        <xdr:cNvPr id="8919" name="Изображение 8918" descr="resizeПП-00253905"/>
        <xdr:cNvPicPr>
          <a:picLocks noChangeAspect="1"/>
        </xdr:cNvPicPr>
      </xdr:nvPicPr>
      <xdr:blipFill>
        <a:blip xmlns:r="http://schemas.openxmlformats.org/officeDocument/2006/relationships" r:embed="rId3545"/>
        <a:stretch>
          <a:fillRect/>
        </a:stretch>
      </xdr:blipFill>
      <xdr:spPr>
        <a:xfrm>
          <a:off x="7235825" y="4686893725"/>
          <a:ext cx="878840" cy="1183640"/>
        </a:xfrm>
        <a:prstGeom prst="rect">
          <a:avLst/>
        </a:prstGeom>
      </xdr:spPr>
    </xdr:pic>
    <xdr:clientData/>
  </xdr:twoCellAnchor>
  <xdr:twoCellAnchor>
    <xdr:from>
      <xdr:col>9</xdr:col>
      <xdr:colOff>6350</xdr:colOff>
      <xdr:row>4662</xdr:row>
      <xdr:rowOff>25400</xdr:rowOff>
    </xdr:from>
    <xdr:to>
      <xdr:col>9</xdr:col>
      <xdr:colOff>885190</xdr:colOff>
      <xdr:row>4662</xdr:row>
      <xdr:rowOff>1209040</xdr:rowOff>
    </xdr:to>
    <xdr:pic>
      <xdr:nvPicPr>
        <xdr:cNvPr id="8920" name="Изображение 8919" descr="resizeПП-00253774"/>
        <xdr:cNvPicPr>
          <a:picLocks noChangeAspect="1"/>
        </xdr:cNvPicPr>
      </xdr:nvPicPr>
      <xdr:blipFill>
        <a:blip xmlns:r="http://schemas.openxmlformats.org/officeDocument/2006/relationships" r:embed="rId3546"/>
        <a:stretch>
          <a:fillRect/>
        </a:stretch>
      </xdr:blipFill>
      <xdr:spPr>
        <a:xfrm>
          <a:off x="7235825" y="4688116100"/>
          <a:ext cx="878840" cy="1183640"/>
        </a:xfrm>
        <a:prstGeom prst="rect">
          <a:avLst/>
        </a:prstGeom>
      </xdr:spPr>
    </xdr:pic>
    <xdr:clientData/>
  </xdr:twoCellAnchor>
  <xdr:twoCellAnchor>
    <xdr:from>
      <xdr:col>9</xdr:col>
      <xdr:colOff>6350</xdr:colOff>
      <xdr:row>4663</xdr:row>
      <xdr:rowOff>25400</xdr:rowOff>
    </xdr:from>
    <xdr:to>
      <xdr:col>9</xdr:col>
      <xdr:colOff>885190</xdr:colOff>
      <xdr:row>4663</xdr:row>
      <xdr:rowOff>1209040</xdr:rowOff>
    </xdr:to>
    <xdr:pic>
      <xdr:nvPicPr>
        <xdr:cNvPr id="8921" name="Изображение 8920" descr="resizeПП-00253811"/>
        <xdr:cNvPicPr>
          <a:picLocks noChangeAspect="1"/>
        </xdr:cNvPicPr>
      </xdr:nvPicPr>
      <xdr:blipFill>
        <a:blip xmlns:r="http://schemas.openxmlformats.org/officeDocument/2006/relationships" r:embed="rId3547"/>
        <a:stretch>
          <a:fillRect/>
        </a:stretch>
      </xdr:blipFill>
      <xdr:spPr>
        <a:xfrm>
          <a:off x="7235825" y="4689338475"/>
          <a:ext cx="878840" cy="1183640"/>
        </a:xfrm>
        <a:prstGeom prst="rect">
          <a:avLst/>
        </a:prstGeom>
      </xdr:spPr>
    </xdr:pic>
    <xdr:clientData/>
  </xdr:twoCellAnchor>
  <xdr:twoCellAnchor>
    <xdr:from>
      <xdr:col>9</xdr:col>
      <xdr:colOff>6350</xdr:colOff>
      <xdr:row>4666</xdr:row>
      <xdr:rowOff>25400</xdr:rowOff>
    </xdr:from>
    <xdr:to>
      <xdr:col>9</xdr:col>
      <xdr:colOff>885190</xdr:colOff>
      <xdr:row>4666</xdr:row>
      <xdr:rowOff>1209040</xdr:rowOff>
    </xdr:to>
    <xdr:pic>
      <xdr:nvPicPr>
        <xdr:cNvPr id="8922" name="Изображение 8921" descr="resizeПП-00208263"/>
        <xdr:cNvPicPr>
          <a:picLocks noChangeAspect="1"/>
        </xdr:cNvPicPr>
      </xdr:nvPicPr>
      <xdr:blipFill>
        <a:blip xmlns:r="http://schemas.openxmlformats.org/officeDocument/2006/relationships" r:embed="rId3548"/>
        <a:stretch>
          <a:fillRect/>
        </a:stretch>
      </xdr:blipFill>
      <xdr:spPr>
        <a:xfrm>
          <a:off x="7235825" y="4690865650"/>
          <a:ext cx="878840" cy="1183640"/>
        </a:xfrm>
        <a:prstGeom prst="rect">
          <a:avLst/>
        </a:prstGeom>
      </xdr:spPr>
    </xdr:pic>
    <xdr:clientData/>
  </xdr:twoCellAnchor>
  <xdr:twoCellAnchor>
    <xdr:from>
      <xdr:col>9</xdr:col>
      <xdr:colOff>6350</xdr:colOff>
      <xdr:row>4667</xdr:row>
      <xdr:rowOff>25400</xdr:rowOff>
    </xdr:from>
    <xdr:to>
      <xdr:col>9</xdr:col>
      <xdr:colOff>885190</xdr:colOff>
      <xdr:row>4667</xdr:row>
      <xdr:rowOff>1209040</xdr:rowOff>
    </xdr:to>
    <xdr:pic>
      <xdr:nvPicPr>
        <xdr:cNvPr id="8923" name="Изображение 8922" descr="resizeПП-00208264"/>
        <xdr:cNvPicPr>
          <a:picLocks noChangeAspect="1"/>
        </xdr:cNvPicPr>
      </xdr:nvPicPr>
      <xdr:blipFill>
        <a:blip xmlns:r="http://schemas.openxmlformats.org/officeDocument/2006/relationships" r:embed="rId3502"/>
        <a:stretch>
          <a:fillRect/>
        </a:stretch>
      </xdr:blipFill>
      <xdr:spPr>
        <a:xfrm>
          <a:off x="7235825" y="4692088025"/>
          <a:ext cx="878840" cy="1183640"/>
        </a:xfrm>
        <a:prstGeom prst="rect">
          <a:avLst/>
        </a:prstGeom>
      </xdr:spPr>
    </xdr:pic>
    <xdr:clientData/>
  </xdr:twoCellAnchor>
  <xdr:twoCellAnchor>
    <xdr:from>
      <xdr:col>9</xdr:col>
      <xdr:colOff>6350</xdr:colOff>
      <xdr:row>4669</xdr:row>
      <xdr:rowOff>25400</xdr:rowOff>
    </xdr:from>
    <xdr:to>
      <xdr:col>9</xdr:col>
      <xdr:colOff>885190</xdr:colOff>
      <xdr:row>4669</xdr:row>
      <xdr:rowOff>1209040</xdr:rowOff>
    </xdr:to>
    <xdr:pic>
      <xdr:nvPicPr>
        <xdr:cNvPr id="8924" name="Изображение 8923" descr="resizeПП-00208254"/>
        <xdr:cNvPicPr>
          <a:picLocks noChangeAspect="1"/>
        </xdr:cNvPicPr>
      </xdr:nvPicPr>
      <xdr:blipFill>
        <a:blip xmlns:r="http://schemas.openxmlformats.org/officeDocument/2006/relationships" r:embed="rId3503"/>
        <a:stretch>
          <a:fillRect/>
        </a:stretch>
      </xdr:blipFill>
      <xdr:spPr>
        <a:xfrm>
          <a:off x="7235825" y="4693462800"/>
          <a:ext cx="878840" cy="1183640"/>
        </a:xfrm>
        <a:prstGeom prst="rect">
          <a:avLst/>
        </a:prstGeom>
      </xdr:spPr>
    </xdr:pic>
    <xdr:clientData/>
  </xdr:twoCellAnchor>
  <xdr:twoCellAnchor>
    <xdr:from>
      <xdr:col>9</xdr:col>
      <xdr:colOff>6350</xdr:colOff>
      <xdr:row>4670</xdr:row>
      <xdr:rowOff>25400</xdr:rowOff>
    </xdr:from>
    <xdr:to>
      <xdr:col>9</xdr:col>
      <xdr:colOff>885190</xdr:colOff>
      <xdr:row>4670</xdr:row>
      <xdr:rowOff>1209040</xdr:rowOff>
    </xdr:to>
    <xdr:pic>
      <xdr:nvPicPr>
        <xdr:cNvPr id="8925" name="Изображение 8924" descr="resizeПП-00208255"/>
        <xdr:cNvPicPr>
          <a:picLocks noChangeAspect="1"/>
        </xdr:cNvPicPr>
      </xdr:nvPicPr>
      <xdr:blipFill>
        <a:blip xmlns:r="http://schemas.openxmlformats.org/officeDocument/2006/relationships" r:embed="rId3502"/>
        <a:stretch>
          <a:fillRect/>
        </a:stretch>
      </xdr:blipFill>
      <xdr:spPr>
        <a:xfrm>
          <a:off x="7235825" y="4694685175"/>
          <a:ext cx="878840" cy="1183640"/>
        </a:xfrm>
        <a:prstGeom prst="rect">
          <a:avLst/>
        </a:prstGeom>
      </xdr:spPr>
    </xdr:pic>
    <xdr:clientData/>
  </xdr:twoCellAnchor>
  <xdr:twoCellAnchor>
    <xdr:from>
      <xdr:col>9</xdr:col>
      <xdr:colOff>6350</xdr:colOff>
      <xdr:row>4671</xdr:row>
      <xdr:rowOff>25400</xdr:rowOff>
    </xdr:from>
    <xdr:to>
      <xdr:col>9</xdr:col>
      <xdr:colOff>885190</xdr:colOff>
      <xdr:row>4671</xdr:row>
      <xdr:rowOff>1209040</xdr:rowOff>
    </xdr:to>
    <xdr:pic>
      <xdr:nvPicPr>
        <xdr:cNvPr id="8926" name="Изображение 8925" descr="resizeПП-00234325"/>
        <xdr:cNvPicPr>
          <a:picLocks noChangeAspect="1"/>
        </xdr:cNvPicPr>
      </xdr:nvPicPr>
      <xdr:blipFill>
        <a:blip xmlns:r="http://schemas.openxmlformats.org/officeDocument/2006/relationships" r:embed="rId3549"/>
        <a:stretch>
          <a:fillRect/>
        </a:stretch>
      </xdr:blipFill>
      <xdr:spPr>
        <a:xfrm>
          <a:off x="7235825" y="4695907550"/>
          <a:ext cx="878840" cy="1183640"/>
        </a:xfrm>
        <a:prstGeom prst="rect">
          <a:avLst/>
        </a:prstGeom>
      </xdr:spPr>
    </xdr:pic>
    <xdr:clientData/>
  </xdr:twoCellAnchor>
  <xdr:twoCellAnchor>
    <xdr:from>
      <xdr:col>9</xdr:col>
      <xdr:colOff>6350</xdr:colOff>
      <xdr:row>4674</xdr:row>
      <xdr:rowOff>25400</xdr:rowOff>
    </xdr:from>
    <xdr:to>
      <xdr:col>9</xdr:col>
      <xdr:colOff>885190</xdr:colOff>
      <xdr:row>4674</xdr:row>
      <xdr:rowOff>1209040</xdr:rowOff>
    </xdr:to>
    <xdr:pic>
      <xdr:nvPicPr>
        <xdr:cNvPr id="8927" name="Изображение 8926" descr="resizeПП-00208245"/>
        <xdr:cNvPicPr>
          <a:picLocks noChangeAspect="1"/>
        </xdr:cNvPicPr>
      </xdr:nvPicPr>
      <xdr:blipFill>
        <a:blip xmlns:r="http://schemas.openxmlformats.org/officeDocument/2006/relationships" r:embed="rId3503"/>
        <a:stretch>
          <a:fillRect/>
        </a:stretch>
      </xdr:blipFill>
      <xdr:spPr>
        <a:xfrm>
          <a:off x="7235825" y="4697701425"/>
          <a:ext cx="878840" cy="1183640"/>
        </a:xfrm>
        <a:prstGeom prst="rect">
          <a:avLst/>
        </a:prstGeom>
      </xdr:spPr>
    </xdr:pic>
    <xdr:clientData/>
  </xdr:twoCellAnchor>
  <xdr:twoCellAnchor>
    <xdr:from>
      <xdr:col>9</xdr:col>
      <xdr:colOff>6350</xdr:colOff>
      <xdr:row>4675</xdr:row>
      <xdr:rowOff>25400</xdr:rowOff>
    </xdr:from>
    <xdr:to>
      <xdr:col>9</xdr:col>
      <xdr:colOff>885190</xdr:colOff>
      <xdr:row>4675</xdr:row>
      <xdr:rowOff>1209040</xdr:rowOff>
    </xdr:to>
    <xdr:pic>
      <xdr:nvPicPr>
        <xdr:cNvPr id="8928" name="Изображение 8927" descr="resizeПП-00208246"/>
        <xdr:cNvPicPr>
          <a:picLocks noChangeAspect="1"/>
        </xdr:cNvPicPr>
      </xdr:nvPicPr>
      <xdr:blipFill>
        <a:blip xmlns:r="http://schemas.openxmlformats.org/officeDocument/2006/relationships" r:embed="rId3502"/>
        <a:stretch>
          <a:fillRect/>
        </a:stretch>
      </xdr:blipFill>
      <xdr:spPr>
        <a:xfrm>
          <a:off x="7235825" y="4698923800"/>
          <a:ext cx="878840" cy="1183640"/>
        </a:xfrm>
        <a:prstGeom prst="rect">
          <a:avLst/>
        </a:prstGeom>
      </xdr:spPr>
    </xdr:pic>
    <xdr:clientData/>
  </xdr:twoCellAnchor>
  <xdr:twoCellAnchor>
    <xdr:from>
      <xdr:col>9</xdr:col>
      <xdr:colOff>6350</xdr:colOff>
      <xdr:row>4677</xdr:row>
      <xdr:rowOff>25400</xdr:rowOff>
    </xdr:from>
    <xdr:to>
      <xdr:col>9</xdr:col>
      <xdr:colOff>885190</xdr:colOff>
      <xdr:row>4677</xdr:row>
      <xdr:rowOff>1209040</xdr:rowOff>
    </xdr:to>
    <xdr:pic>
      <xdr:nvPicPr>
        <xdr:cNvPr id="8929" name="Изображение 8928" descr="resizeПП-00234324"/>
        <xdr:cNvPicPr>
          <a:picLocks noChangeAspect="1"/>
        </xdr:cNvPicPr>
      </xdr:nvPicPr>
      <xdr:blipFill>
        <a:blip xmlns:r="http://schemas.openxmlformats.org/officeDocument/2006/relationships" r:embed="rId3549"/>
        <a:stretch>
          <a:fillRect/>
        </a:stretch>
      </xdr:blipFill>
      <xdr:spPr>
        <a:xfrm>
          <a:off x="7235825" y="4700298575"/>
          <a:ext cx="878840" cy="1183640"/>
        </a:xfrm>
        <a:prstGeom prst="rect">
          <a:avLst/>
        </a:prstGeom>
      </xdr:spPr>
    </xdr:pic>
    <xdr:clientData/>
  </xdr:twoCellAnchor>
  <xdr:twoCellAnchor>
    <xdr:from>
      <xdr:col>9</xdr:col>
      <xdr:colOff>6350</xdr:colOff>
      <xdr:row>4682</xdr:row>
      <xdr:rowOff>25400</xdr:rowOff>
    </xdr:from>
    <xdr:to>
      <xdr:col>9</xdr:col>
      <xdr:colOff>885190</xdr:colOff>
      <xdr:row>4682</xdr:row>
      <xdr:rowOff>1209040</xdr:rowOff>
    </xdr:to>
    <xdr:pic>
      <xdr:nvPicPr>
        <xdr:cNvPr id="8930" name="Изображение 8929" descr="resizeПП-00212617"/>
        <xdr:cNvPicPr>
          <a:picLocks noChangeAspect="1"/>
        </xdr:cNvPicPr>
      </xdr:nvPicPr>
      <xdr:blipFill>
        <a:blip xmlns:r="http://schemas.openxmlformats.org/officeDocument/2006/relationships" r:embed="rId3550"/>
        <a:stretch>
          <a:fillRect/>
        </a:stretch>
      </xdr:blipFill>
      <xdr:spPr>
        <a:xfrm>
          <a:off x="7235825" y="4702397250"/>
          <a:ext cx="878840" cy="1183640"/>
        </a:xfrm>
        <a:prstGeom prst="rect">
          <a:avLst/>
        </a:prstGeom>
      </xdr:spPr>
    </xdr:pic>
    <xdr:clientData/>
  </xdr:twoCellAnchor>
  <xdr:twoCellAnchor>
    <xdr:from>
      <xdr:col>9</xdr:col>
      <xdr:colOff>6350</xdr:colOff>
      <xdr:row>4687</xdr:row>
      <xdr:rowOff>25400</xdr:rowOff>
    </xdr:from>
    <xdr:to>
      <xdr:col>9</xdr:col>
      <xdr:colOff>885190</xdr:colOff>
      <xdr:row>4687</xdr:row>
      <xdr:rowOff>1209040</xdr:rowOff>
    </xdr:to>
    <xdr:pic>
      <xdr:nvPicPr>
        <xdr:cNvPr id="8931" name="Изображение 8930" descr="resizeПП-00259219"/>
        <xdr:cNvPicPr>
          <a:picLocks noChangeAspect="1"/>
        </xdr:cNvPicPr>
      </xdr:nvPicPr>
      <xdr:blipFill>
        <a:blip xmlns:r="http://schemas.openxmlformats.org/officeDocument/2006/relationships" r:embed="rId3551"/>
        <a:stretch>
          <a:fillRect/>
        </a:stretch>
      </xdr:blipFill>
      <xdr:spPr>
        <a:xfrm>
          <a:off x="7235825" y="4704229225"/>
          <a:ext cx="878840" cy="1183640"/>
        </a:xfrm>
        <a:prstGeom prst="rect">
          <a:avLst/>
        </a:prstGeom>
      </xdr:spPr>
    </xdr:pic>
    <xdr:clientData/>
  </xdr:twoCellAnchor>
  <xdr:twoCellAnchor>
    <xdr:from>
      <xdr:col>9</xdr:col>
      <xdr:colOff>6350</xdr:colOff>
      <xdr:row>4688</xdr:row>
      <xdr:rowOff>25400</xdr:rowOff>
    </xdr:from>
    <xdr:to>
      <xdr:col>9</xdr:col>
      <xdr:colOff>885190</xdr:colOff>
      <xdr:row>4688</xdr:row>
      <xdr:rowOff>1209040</xdr:rowOff>
    </xdr:to>
    <xdr:pic>
      <xdr:nvPicPr>
        <xdr:cNvPr id="8932" name="Изображение 8931" descr="resizeПП-00259221"/>
        <xdr:cNvPicPr>
          <a:picLocks noChangeAspect="1"/>
        </xdr:cNvPicPr>
      </xdr:nvPicPr>
      <xdr:blipFill>
        <a:blip xmlns:r="http://schemas.openxmlformats.org/officeDocument/2006/relationships" r:embed="rId3552"/>
        <a:stretch>
          <a:fillRect/>
        </a:stretch>
      </xdr:blipFill>
      <xdr:spPr>
        <a:xfrm>
          <a:off x="7235825" y="4705451600"/>
          <a:ext cx="878840" cy="1183640"/>
        </a:xfrm>
        <a:prstGeom prst="rect">
          <a:avLst/>
        </a:prstGeom>
      </xdr:spPr>
    </xdr:pic>
    <xdr:clientData/>
  </xdr:twoCellAnchor>
  <xdr:twoCellAnchor>
    <xdr:from>
      <xdr:col>9</xdr:col>
      <xdr:colOff>6350</xdr:colOff>
      <xdr:row>4690</xdr:row>
      <xdr:rowOff>25400</xdr:rowOff>
    </xdr:from>
    <xdr:to>
      <xdr:col>9</xdr:col>
      <xdr:colOff>885190</xdr:colOff>
      <xdr:row>4690</xdr:row>
      <xdr:rowOff>1209040</xdr:rowOff>
    </xdr:to>
    <xdr:pic>
      <xdr:nvPicPr>
        <xdr:cNvPr id="8933" name="Изображение 8932" descr="resizeПП-00259195"/>
        <xdr:cNvPicPr>
          <a:picLocks noChangeAspect="1"/>
        </xdr:cNvPicPr>
      </xdr:nvPicPr>
      <xdr:blipFill>
        <a:blip xmlns:r="http://schemas.openxmlformats.org/officeDocument/2006/relationships" r:embed="rId3553"/>
        <a:stretch>
          <a:fillRect/>
        </a:stretch>
      </xdr:blipFill>
      <xdr:spPr>
        <a:xfrm>
          <a:off x="7235825" y="4706826375"/>
          <a:ext cx="878840" cy="1183640"/>
        </a:xfrm>
        <a:prstGeom prst="rect">
          <a:avLst/>
        </a:prstGeom>
      </xdr:spPr>
    </xdr:pic>
    <xdr:clientData/>
  </xdr:twoCellAnchor>
  <xdr:twoCellAnchor>
    <xdr:from>
      <xdr:col>9</xdr:col>
      <xdr:colOff>6350</xdr:colOff>
      <xdr:row>4691</xdr:row>
      <xdr:rowOff>25400</xdr:rowOff>
    </xdr:from>
    <xdr:to>
      <xdr:col>9</xdr:col>
      <xdr:colOff>885190</xdr:colOff>
      <xdr:row>4691</xdr:row>
      <xdr:rowOff>1209040</xdr:rowOff>
    </xdr:to>
    <xdr:pic>
      <xdr:nvPicPr>
        <xdr:cNvPr id="8934" name="Изображение 8933" descr="resizeПП-00259212"/>
        <xdr:cNvPicPr>
          <a:picLocks noChangeAspect="1"/>
        </xdr:cNvPicPr>
      </xdr:nvPicPr>
      <xdr:blipFill>
        <a:blip xmlns:r="http://schemas.openxmlformats.org/officeDocument/2006/relationships" r:embed="rId3554"/>
        <a:stretch>
          <a:fillRect/>
        </a:stretch>
      </xdr:blipFill>
      <xdr:spPr>
        <a:xfrm>
          <a:off x="7235825" y="4708048750"/>
          <a:ext cx="878840" cy="1183640"/>
        </a:xfrm>
        <a:prstGeom prst="rect">
          <a:avLst/>
        </a:prstGeom>
      </xdr:spPr>
    </xdr:pic>
    <xdr:clientData/>
  </xdr:twoCellAnchor>
  <xdr:twoCellAnchor>
    <xdr:from>
      <xdr:col>9</xdr:col>
      <xdr:colOff>6350</xdr:colOff>
      <xdr:row>4692</xdr:row>
      <xdr:rowOff>25400</xdr:rowOff>
    </xdr:from>
    <xdr:to>
      <xdr:col>9</xdr:col>
      <xdr:colOff>885190</xdr:colOff>
      <xdr:row>4692</xdr:row>
      <xdr:rowOff>1209040</xdr:rowOff>
    </xdr:to>
    <xdr:pic>
      <xdr:nvPicPr>
        <xdr:cNvPr id="8935" name="Изображение 8934" descr="resizeПП-00259204"/>
        <xdr:cNvPicPr>
          <a:picLocks noChangeAspect="1"/>
        </xdr:cNvPicPr>
      </xdr:nvPicPr>
      <xdr:blipFill>
        <a:blip xmlns:r="http://schemas.openxmlformats.org/officeDocument/2006/relationships" r:embed="rId3555"/>
        <a:stretch>
          <a:fillRect/>
        </a:stretch>
      </xdr:blipFill>
      <xdr:spPr>
        <a:xfrm>
          <a:off x="7235825" y="4709271125"/>
          <a:ext cx="878840" cy="1183640"/>
        </a:xfrm>
        <a:prstGeom prst="rect">
          <a:avLst/>
        </a:prstGeom>
      </xdr:spPr>
    </xdr:pic>
    <xdr:clientData/>
  </xdr:twoCellAnchor>
  <xdr:twoCellAnchor>
    <xdr:from>
      <xdr:col>9</xdr:col>
      <xdr:colOff>6350</xdr:colOff>
      <xdr:row>4693</xdr:row>
      <xdr:rowOff>25400</xdr:rowOff>
    </xdr:from>
    <xdr:to>
      <xdr:col>9</xdr:col>
      <xdr:colOff>885190</xdr:colOff>
      <xdr:row>4693</xdr:row>
      <xdr:rowOff>1209040</xdr:rowOff>
    </xdr:to>
    <xdr:pic>
      <xdr:nvPicPr>
        <xdr:cNvPr id="8936" name="Изображение 8935" descr="resizeПП-00259211"/>
        <xdr:cNvPicPr>
          <a:picLocks noChangeAspect="1"/>
        </xdr:cNvPicPr>
      </xdr:nvPicPr>
      <xdr:blipFill>
        <a:blip xmlns:r="http://schemas.openxmlformats.org/officeDocument/2006/relationships" r:embed="rId3556"/>
        <a:stretch>
          <a:fillRect/>
        </a:stretch>
      </xdr:blipFill>
      <xdr:spPr>
        <a:xfrm>
          <a:off x="7235825" y="4710493500"/>
          <a:ext cx="878840" cy="1183640"/>
        </a:xfrm>
        <a:prstGeom prst="rect">
          <a:avLst/>
        </a:prstGeom>
      </xdr:spPr>
    </xdr:pic>
    <xdr:clientData/>
  </xdr:twoCellAnchor>
  <xdr:twoCellAnchor>
    <xdr:from>
      <xdr:col>9</xdr:col>
      <xdr:colOff>6350</xdr:colOff>
      <xdr:row>4694</xdr:row>
      <xdr:rowOff>25400</xdr:rowOff>
    </xdr:from>
    <xdr:to>
      <xdr:col>9</xdr:col>
      <xdr:colOff>885190</xdr:colOff>
      <xdr:row>4694</xdr:row>
      <xdr:rowOff>1209040</xdr:rowOff>
    </xdr:to>
    <xdr:pic>
      <xdr:nvPicPr>
        <xdr:cNvPr id="8937" name="Изображение 8936" descr="resizeПП-00259199"/>
        <xdr:cNvPicPr>
          <a:picLocks noChangeAspect="1"/>
        </xdr:cNvPicPr>
      </xdr:nvPicPr>
      <xdr:blipFill>
        <a:blip xmlns:r="http://schemas.openxmlformats.org/officeDocument/2006/relationships" r:embed="rId3557"/>
        <a:stretch>
          <a:fillRect/>
        </a:stretch>
      </xdr:blipFill>
      <xdr:spPr>
        <a:xfrm>
          <a:off x="7235825" y="4711715875"/>
          <a:ext cx="878840" cy="1183640"/>
        </a:xfrm>
        <a:prstGeom prst="rect">
          <a:avLst/>
        </a:prstGeom>
      </xdr:spPr>
    </xdr:pic>
    <xdr:clientData/>
  </xdr:twoCellAnchor>
  <xdr:twoCellAnchor>
    <xdr:from>
      <xdr:col>9</xdr:col>
      <xdr:colOff>6350</xdr:colOff>
      <xdr:row>4695</xdr:row>
      <xdr:rowOff>25400</xdr:rowOff>
    </xdr:from>
    <xdr:to>
      <xdr:col>9</xdr:col>
      <xdr:colOff>885190</xdr:colOff>
      <xdr:row>4695</xdr:row>
      <xdr:rowOff>1209040</xdr:rowOff>
    </xdr:to>
    <xdr:pic>
      <xdr:nvPicPr>
        <xdr:cNvPr id="8938" name="Изображение 8937" descr="resizeПП-00259201"/>
        <xdr:cNvPicPr>
          <a:picLocks noChangeAspect="1"/>
        </xdr:cNvPicPr>
      </xdr:nvPicPr>
      <xdr:blipFill>
        <a:blip xmlns:r="http://schemas.openxmlformats.org/officeDocument/2006/relationships" r:embed="rId3558"/>
        <a:stretch>
          <a:fillRect/>
        </a:stretch>
      </xdr:blipFill>
      <xdr:spPr>
        <a:xfrm>
          <a:off x="7235825" y="4712938250"/>
          <a:ext cx="878840" cy="1183640"/>
        </a:xfrm>
        <a:prstGeom prst="rect">
          <a:avLst/>
        </a:prstGeom>
      </xdr:spPr>
    </xdr:pic>
    <xdr:clientData/>
  </xdr:twoCellAnchor>
  <xdr:twoCellAnchor>
    <xdr:from>
      <xdr:col>9</xdr:col>
      <xdr:colOff>6350</xdr:colOff>
      <xdr:row>4696</xdr:row>
      <xdr:rowOff>25400</xdr:rowOff>
    </xdr:from>
    <xdr:to>
      <xdr:col>9</xdr:col>
      <xdr:colOff>885190</xdr:colOff>
      <xdr:row>4696</xdr:row>
      <xdr:rowOff>1209040</xdr:rowOff>
    </xdr:to>
    <xdr:pic>
      <xdr:nvPicPr>
        <xdr:cNvPr id="8939" name="Изображение 8938" descr="resizeПП-00259207"/>
        <xdr:cNvPicPr>
          <a:picLocks noChangeAspect="1"/>
        </xdr:cNvPicPr>
      </xdr:nvPicPr>
      <xdr:blipFill>
        <a:blip xmlns:r="http://schemas.openxmlformats.org/officeDocument/2006/relationships" r:embed="rId3559"/>
        <a:stretch>
          <a:fillRect/>
        </a:stretch>
      </xdr:blipFill>
      <xdr:spPr>
        <a:xfrm>
          <a:off x="7235825" y="4714160625"/>
          <a:ext cx="878840" cy="1183640"/>
        </a:xfrm>
        <a:prstGeom prst="rect">
          <a:avLst/>
        </a:prstGeom>
      </xdr:spPr>
    </xdr:pic>
    <xdr:clientData/>
  </xdr:twoCellAnchor>
  <xdr:twoCellAnchor>
    <xdr:from>
      <xdr:col>9</xdr:col>
      <xdr:colOff>6350</xdr:colOff>
      <xdr:row>4698</xdr:row>
      <xdr:rowOff>25400</xdr:rowOff>
    </xdr:from>
    <xdr:to>
      <xdr:col>9</xdr:col>
      <xdr:colOff>885190</xdr:colOff>
      <xdr:row>4698</xdr:row>
      <xdr:rowOff>1209040</xdr:rowOff>
    </xdr:to>
    <xdr:pic>
      <xdr:nvPicPr>
        <xdr:cNvPr id="8940" name="Изображение 8939" descr="resizeПП-00275332"/>
        <xdr:cNvPicPr>
          <a:picLocks noChangeAspect="1"/>
        </xdr:cNvPicPr>
      </xdr:nvPicPr>
      <xdr:blipFill>
        <a:blip xmlns:r="http://schemas.openxmlformats.org/officeDocument/2006/relationships" r:embed="rId3560"/>
        <a:stretch>
          <a:fillRect/>
        </a:stretch>
      </xdr:blipFill>
      <xdr:spPr>
        <a:xfrm>
          <a:off x="7235825" y="4715535400"/>
          <a:ext cx="878840" cy="1183640"/>
        </a:xfrm>
        <a:prstGeom prst="rect">
          <a:avLst/>
        </a:prstGeom>
      </xdr:spPr>
    </xdr:pic>
    <xdr:clientData/>
  </xdr:twoCellAnchor>
  <xdr:twoCellAnchor>
    <xdr:from>
      <xdr:col>9</xdr:col>
      <xdr:colOff>6350</xdr:colOff>
      <xdr:row>4699</xdr:row>
      <xdr:rowOff>25400</xdr:rowOff>
    </xdr:from>
    <xdr:to>
      <xdr:col>9</xdr:col>
      <xdr:colOff>885190</xdr:colOff>
      <xdr:row>4699</xdr:row>
      <xdr:rowOff>1209040</xdr:rowOff>
    </xdr:to>
    <xdr:pic>
      <xdr:nvPicPr>
        <xdr:cNvPr id="8941" name="Изображение 8940" descr="resizeПП-00275328"/>
        <xdr:cNvPicPr>
          <a:picLocks noChangeAspect="1"/>
        </xdr:cNvPicPr>
      </xdr:nvPicPr>
      <xdr:blipFill>
        <a:blip xmlns:r="http://schemas.openxmlformats.org/officeDocument/2006/relationships" r:embed="rId3561"/>
        <a:stretch>
          <a:fillRect/>
        </a:stretch>
      </xdr:blipFill>
      <xdr:spPr>
        <a:xfrm>
          <a:off x="7235825" y="4716757775"/>
          <a:ext cx="878840" cy="1183640"/>
        </a:xfrm>
        <a:prstGeom prst="rect">
          <a:avLst/>
        </a:prstGeom>
      </xdr:spPr>
    </xdr:pic>
    <xdr:clientData/>
  </xdr:twoCellAnchor>
  <xdr:twoCellAnchor>
    <xdr:from>
      <xdr:col>9</xdr:col>
      <xdr:colOff>6350</xdr:colOff>
      <xdr:row>4700</xdr:row>
      <xdr:rowOff>25400</xdr:rowOff>
    </xdr:from>
    <xdr:to>
      <xdr:col>9</xdr:col>
      <xdr:colOff>885190</xdr:colOff>
      <xdr:row>4700</xdr:row>
      <xdr:rowOff>1209040</xdr:rowOff>
    </xdr:to>
    <xdr:pic>
      <xdr:nvPicPr>
        <xdr:cNvPr id="8942" name="Изображение 8941" descr="resizeПП-00275329"/>
        <xdr:cNvPicPr>
          <a:picLocks noChangeAspect="1"/>
        </xdr:cNvPicPr>
      </xdr:nvPicPr>
      <xdr:blipFill>
        <a:blip xmlns:r="http://schemas.openxmlformats.org/officeDocument/2006/relationships" r:embed="rId3562"/>
        <a:stretch>
          <a:fillRect/>
        </a:stretch>
      </xdr:blipFill>
      <xdr:spPr>
        <a:xfrm>
          <a:off x="7235825" y="4717980150"/>
          <a:ext cx="878840" cy="1183640"/>
        </a:xfrm>
        <a:prstGeom prst="rect">
          <a:avLst/>
        </a:prstGeom>
      </xdr:spPr>
    </xdr:pic>
    <xdr:clientData/>
  </xdr:twoCellAnchor>
  <xdr:twoCellAnchor>
    <xdr:from>
      <xdr:col>9</xdr:col>
      <xdr:colOff>6350</xdr:colOff>
      <xdr:row>4702</xdr:row>
      <xdr:rowOff>25400</xdr:rowOff>
    </xdr:from>
    <xdr:to>
      <xdr:col>9</xdr:col>
      <xdr:colOff>885190</xdr:colOff>
      <xdr:row>4702</xdr:row>
      <xdr:rowOff>1209040</xdr:rowOff>
    </xdr:to>
    <xdr:pic>
      <xdr:nvPicPr>
        <xdr:cNvPr id="8943" name="Изображение 8942" descr="resizeПП-00234099"/>
        <xdr:cNvPicPr>
          <a:picLocks noChangeAspect="1"/>
        </xdr:cNvPicPr>
      </xdr:nvPicPr>
      <xdr:blipFill>
        <a:blip xmlns:r="http://schemas.openxmlformats.org/officeDocument/2006/relationships" r:embed="rId3563"/>
        <a:stretch>
          <a:fillRect/>
        </a:stretch>
      </xdr:blipFill>
      <xdr:spPr>
        <a:xfrm>
          <a:off x="7235825" y="4719354925"/>
          <a:ext cx="878840" cy="1183640"/>
        </a:xfrm>
        <a:prstGeom prst="rect">
          <a:avLst/>
        </a:prstGeom>
      </xdr:spPr>
    </xdr:pic>
    <xdr:clientData/>
  </xdr:twoCellAnchor>
  <xdr:twoCellAnchor>
    <xdr:from>
      <xdr:col>9</xdr:col>
      <xdr:colOff>6350</xdr:colOff>
      <xdr:row>4703</xdr:row>
      <xdr:rowOff>25400</xdr:rowOff>
    </xdr:from>
    <xdr:to>
      <xdr:col>9</xdr:col>
      <xdr:colOff>885190</xdr:colOff>
      <xdr:row>4703</xdr:row>
      <xdr:rowOff>1209040</xdr:rowOff>
    </xdr:to>
    <xdr:pic>
      <xdr:nvPicPr>
        <xdr:cNvPr id="8944" name="Изображение 8943" descr="resizeПП-00210832"/>
        <xdr:cNvPicPr>
          <a:picLocks noChangeAspect="1"/>
        </xdr:cNvPicPr>
      </xdr:nvPicPr>
      <xdr:blipFill>
        <a:blip xmlns:r="http://schemas.openxmlformats.org/officeDocument/2006/relationships" r:embed="rId3564"/>
        <a:stretch>
          <a:fillRect/>
        </a:stretch>
      </xdr:blipFill>
      <xdr:spPr>
        <a:xfrm>
          <a:off x="7235825" y="4720577300"/>
          <a:ext cx="878840" cy="1183640"/>
        </a:xfrm>
        <a:prstGeom prst="rect">
          <a:avLst/>
        </a:prstGeom>
      </xdr:spPr>
    </xdr:pic>
    <xdr:clientData/>
  </xdr:twoCellAnchor>
  <xdr:twoCellAnchor>
    <xdr:from>
      <xdr:col>9</xdr:col>
      <xdr:colOff>6350</xdr:colOff>
      <xdr:row>4704</xdr:row>
      <xdr:rowOff>25400</xdr:rowOff>
    </xdr:from>
    <xdr:to>
      <xdr:col>9</xdr:col>
      <xdr:colOff>885190</xdr:colOff>
      <xdr:row>4704</xdr:row>
      <xdr:rowOff>1209040</xdr:rowOff>
    </xdr:to>
    <xdr:pic>
      <xdr:nvPicPr>
        <xdr:cNvPr id="8945" name="Изображение 8944" descr="resizeПП-00266830"/>
        <xdr:cNvPicPr>
          <a:picLocks noChangeAspect="1"/>
        </xdr:cNvPicPr>
      </xdr:nvPicPr>
      <xdr:blipFill>
        <a:blip xmlns:r="http://schemas.openxmlformats.org/officeDocument/2006/relationships" r:embed="rId3565"/>
        <a:stretch>
          <a:fillRect/>
        </a:stretch>
      </xdr:blipFill>
      <xdr:spPr>
        <a:xfrm>
          <a:off x="7235825" y="4721799675"/>
          <a:ext cx="878840" cy="1183640"/>
        </a:xfrm>
        <a:prstGeom prst="rect">
          <a:avLst/>
        </a:prstGeom>
      </xdr:spPr>
    </xdr:pic>
    <xdr:clientData/>
  </xdr:twoCellAnchor>
  <xdr:twoCellAnchor>
    <xdr:from>
      <xdr:col>9</xdr:col>
      <xdr:colOff>6350</xdr:colOff>
      <xdr:row>4705</xdr:row>
      <xdr:rowOff>25400</xdr:rowOff>
    </xdr:from>
    <xdr:to>
      <xdr:col>9</xdr:col>
      <xdr:colOff>885190</xdr:colOff>
      <xdr:row>4705</xdr:row>
      <xdr:rowOff>1209040</xdr:rowOff>
    </xdr:to>
    <xdr:pic>
      <xdr:nvPicPr>
        <xdr:cNvPr id="8946" name="Изображение 8945" descr="resizeПП-00210836"/>
        <xdr:cNvPicPr>
          <a:picLocks noChangeAspect="1"/>
        </xdr:cNvPicPr>
      </xdr:nvPicPr>
      <xdr:blipFill>
        <a:blip xmlns:r="http://schemas.openxmlformats.org/officeDocument/2006/relationships" r:embed="rId3566"/>
        <a:stretch>
          <a:fillRect/>
        </a:stretch>
      </xdr:blipFill>
      <xdr:spPr>
        <a:xfrm>
          <a:off x="7235825" y="4723022050"/>
          <a:ext cx="878840" cy="1183640"/>
        </a:xfrm>
        <a:prstGeom prst="rect">
          <a:avLst/>
        </a:prstGeom>
      </xdr:spPr>
    </xdr:pic>
    <xdr:clientData/>
  </xdr:twoCellAnchor>
  <xdr:twoCellAnchor>
    <xdr:from>
      <xdr:col>9</xdr:col>
      <xdr:colOff>6350</xdr:colOff>
      <xdr:row>4706</xdr:row>
      <xdr:rowOff>25400</xdr:rowOff>
    </xdr:from>
    <xdr:to>
      <xdr:col>9</xdr:col>
      <xdr:colOff>885190</xdr:colOff>
      <xdr:row>4706</xdr:row>
      <xdr:rowOff>1209040</xdr:rowOff>
    </xdr:to>
    <xdr:pic>
      <xdr:nvPicPr>
        <xdr:cNvPr id="8947" name="Изображение 8946" descr="resizeПП-00266828"/>
        <xdr:cNvPicPr>
          <a:picLocks noChangeAspect="1"/>
        </xdr:cNvPicPr>
      </xdr:nvPicPr>
      <xdr:blipFill>
        <a:blip xmlns:r="http://schemas.openxmlformats.org/officeDocument/2006/relationships" r:embed="rId3567"/>
        <a:stretch>
          <a:fillRect/>
        </a:stretch>
      </xdr:blipFill>
      <xdr:spPr>
        <a:xfrm>
          <a:off x="7235825" y="4724244425"/>
          <a:ext cx="878840" cy="1183640"/>
        </a:xfrm>
        <a:prstGeom prst="rect">
          <a:avLst/>
        </a:prstGeom>
      </xdr:spPr>
    </xdr:pic>
    <xdr:clientData/>
  </xdr:twoCellAnchor>
  <xdr:twoCellAnchor>
    <xdr:from>
      <xdr:col>9</xdr:col>
      <xdr:colOff>6350</xdr:colOff>
      <xdr:row>4707</xdr:row>
      <xdr:rowOff>25400</xdr:rowOff>
    </xdr:from>
    <xdr:to>
      <xdr:col>9</xdr:col>
      <xdr:colOff>885190</xdr:colOff>
      <xdr:row>4707</xdr:row>
      <xdr:rowOff>1209040</xdr:rowOff>
    </xdr:to>
    <xdr:pic>
      <xdr:nvPicPr>
        <xdr:cNvPr id="8948" name="Изображение 8947" descr="resizeПП-00266832"/>
        <xdr:cNvPicPr>
          <a:picLocks noChangeAspect="1"/>
        </xdr:cNvPicPr>
      </xdr:nvPicPr>
      <xdr:blipFill>
        <a:blip xmlns:r="http://schemas.openxmlformats.org/officeDocument/2006/relationships" r:embed="rId3568"/>
        <a:stretch>
          <a:fillRect/>
        </a:stretch>
      </xdr:blipFill>
      <xdr:spPr>
        <a:xfrm>
          <a:off x="7235825" y="4725466800"/>
          <a:ext cx="878840" cy="1183640"/>
        </a:xfrm>
        <a:prstGeom prst="rect">
          <a:avLst/>
        </a:prstGeom>
      </xdr:spPr>
    </xdr:pic>
    <xdr:clientData/>
  </xdr:twoCellAnchor>
  <xdr:twoCellAnchor>
    <xdr:from>
      <xdr:col>9</xdr:col>
      <xdr:colOff>6350</xdr:colOff>
      <xdr:row>4708</xdr:row>
      <xdr:rowOff>25400</xdr:rowOff>
    </xdr:from>
    <xdr:to>
      <xdr:col>9</xdr:col>
      <xdr:colOff>885190</xdr:colOff>
      <xdr:row>4708</xdr:row>
      <xdr:rowOff>1209040</xdr:rowOff>
    </xdr:to>
    <xdr:pic>
      <xdr:nvPicPr>
        <xdr:cNvPr id="8949" name="Изображение 8948" descr="resizeПП-00266833"/>
        <xdr:cNvPicPr>
          <a:picLocks noChangeAspect="1"/>
        </xdr:cNvPicPr>
      </xdr:nvPicPr>
      <xdr:blipFill>
        <a:blip xmlns:r="http://schemas.openxmlformats.org/officeDocument/2006/relationships" r:embed="rId3569"/>
        <a:stretch>
          <a:fillRect/>
        </a:stretch>
      </xdr:blipFill>
      <xdr:spPr>
        <a:xfrm>
          <a:off x="7235825" y="4726689175"/>
          <a:ext cx="878840" cy="1183640"/>
        </a:xfrm>
        <a:prstGeom prst="rect">
          <a:avLst/>
        </a:prstGeom>
      </xdr:spPr>
    </xdr:pic>
    <xdr:clientData/>
  </xdr:twoCellAnchor>
  <xdr:twoCellAnchor>
    <xdr:from>
      <xdr:col>9</xdr:col>
      <xdr:colOff>6350</xdr:colOff>
      <xdr:row>4709</xdr:row>
      <xdr:rowOff>25400</xdr:rowOff>
    </xdr:from>
    <xdr:to>
      <xdr:col>9</xdr:col>
      <xdr:colOff>885190</xdr:colOff>
      <xdr:row>4709</xdr:row>
      <xdr:rowOff>1209040</xdr:rowOff>
    </xdr:to>
    <xdr:pic>
      <xdr:nvPicPr>
        <xdr:cNvPr id="8950" name="Изображение 8949" descr="resizeПП-00266824"/>
        <xdr:cNvPicPr>
          <a:picLocks noChangeAspect="1"/>
        </xdr:cNvPicPr>
      </xdr:nvPicPr>
      <xdr:blipFill>
        <a:blip xmlns:r="http://schemas.openxmlformats.org/officeDocument/2006/relationships" r:embed="rId3570"/>
        <a:stretch>
          <a:fillRect/>
        </a:stretch>
      </xdr:blipFill>
      <xdr:spPr>
        <a:xfrm>
          <a:off x="7235825" y="4727911550"/>
          <a:ext cx="878840" cy="1183640"/>
        </a:xfrm>
        <a:prstGeom prst="rect">
          <a:avLst/>
        </a:prstGeom>
      </xdr:spPr>
    </xdr:pic>
    <xdr:clientData/>
  </xdr:twoCellAnchor>
  <xdr:twoCellAnchor>
    <xdr:from>
      <xdr:col>9</xdr:col>
      <xdr:colOff>6350</xdr:colOff>
      <xdr:row>4710</xdr:row>
      <xdr:rowOff>25400</xdr:rowOff>
    </xdr:from>
    <xdr:to>
      <xdr:col>9</xdr:col>
      <xdr:colOff>885190</xdr:colOff>
      <xdr:row>4710</xdr:row>
      <xdr:rowOff>1209040</xdr:rowOff>
    </xdr:to>
    <xdr:pic>
      <xdr:nvPicPr>
        <xdr:cNvPr id="8951" name="Изображение 8950" descr="resizeПП-00234097"/>
        <xdr:cNvPicPr>
          <a:picLocks noChangeAspect="1"/>
        </xdr:cNvPicPr>
      </xdr:nvPicPr>
      <xdr:blipFill>
        <a:blip xmlns:r="http://schemas.openxmlformats.org/officeDocument/2006/relationships" r:embed="rId3571"/>
        <a:stretch>
          <a:fillRect/>
        </a:stretch>
      </xdr:blipFill>
      <xdr:spPr>
        <a:xfrm>
          <a:off x="7235825" y="4729133925"/>
          <a:ext cx="878840" cy="1183640"/>
        </a:xfrm>
        <a:prstGeom prst="rect">
          <a:avLst/>
        </a:prstGeom>
      </xdr:spPr>
    </xdr:pic>
    <xdr:clientData/>
  </xdr:twoCellAnchor>
  <xdr:twoCellAnchor>
    <xdr:from>
      <xdr:col>9</xdr:col>
      <xdr:colOff>6350</xdr:colOff>
      <xdr:row>4711</xdr:row>
      <xdr:rowOff>25400</xdr:rowOff>
    </xdr:from>
    <xdr:to>
      <xdr:col>9</xdr:col>
      <xdr:colOff>885190</xdr:colOff>
      <xdr:row>4711</xdr:row>
      <xdr:rowOff>1209040</xdr:rowOff>
    </xdr:to>
    <xdr:pic>
      <xdr:nvPicPr>
        <xdr:cNvPr id="8952" name="Изображение 8951" descr="resizeПП-00275327"/>
        <xdr:cNvPicPr>
          <a:picLocks noChangeAspect="1"/>
        </xdr:cNvPicPr>
      </xdr:nvPicPr>
      <xdr:blipFill>
        <a:blip xmlns:r="http://schemas.openxmlformats.org/officeDocument/2006/relationships" r:embed="rId3572"/>
        <a:stretch>
          <a:fillRect/>
        </a:stretch>
      </xdr:blipFill>
      <xdr:spPr>
        <a:xfrm>
          <a:off x="7235825" y="4730356300"/>
          <a:ext cx="878840" cy="1183640"/>
        </a:xfrm>
        <a:prstGeom prst="rect">
          <a:avLst/>
        </a:prstGeom>
      </xdr:spPr>
    </xdr:pic>
    <xdr:clientData/>
  </xdr:twoCellAnchor>
  <xdr:twoCellAnchor>
    <xdr:from>
      <xdr:col>9</xdr:col>
      <xdr:colOff>6350</xdr:colOff>
      <xdr:row>4712</xdr:row>
      <xdr:rowOff>25400</xdr:rowOff>
    </xdr:from>
    <xdr:to>
      <xdr:col>9</xdr:col>
      <xdr:colOff>885190</xdr:colOff>
      <xdr:row>4712</xdr:row>
      <xdr:rowOff>1209040</xdr:rowOff>
    </xdr:to>
    <xdr:pic>
      <xdr:nvPicPr>
        <xdr:cNvPr id="8953" name="Изображение 8952" descr="resizeПП-00275326"/>
        <xdr:cNvPicPr>
          <a:picLocks noChangeAspect="1"/>
        </xdr:cNvPicPr>
      </xdr:nvPicPr>
      <xdr:blipFill>
        <a:blip xmlns:r="http://schemas.openxmlformats.org/officeDocument/2006/relationships" r:embed="rId3573"/>
        <a:stretch>
          <a:fillRect/>
        </a:stretch>
      </xdr:blipFill>
      <xdr:spPr>
        <a:xfrm>
          <a:off x="7235825" y="4731578675"/>
          <a:ext cx="878840" cy="1183640"/>
        </a:xfrm>
        <a:prstGeom prst="rect">
          <a:avLst/>
        </a:prstGeom>
      </xdr:spPr>
    </xdr:pic>
    <xdr:clientData/>
  </xdr:twoCellAnchor>
  <xdr:twoCellAnchor>
    <xdr:from>
      <xdr:col>9</xdr:col>
      <xdr:colOff>6350</xdr:colOff>
      <xdr:row>4714</xdr:row>
      <xdr:rowOff>25400</xdr:rowOff>
    </xdr:from>
    <xdr:to>
      <xdr:col>9</xdr:col>
      <xdr:colOff>885190</xdr:colOff>
      <xdr:row>4714</xdr:row>
      <xdr:rowOff>1209040</xdr:rowOff>
    </xdr:to>
    <xdr:pic>
      <xdr:nvPicPr>
        <xdr:cNvPr id="8954" name="Изображение 8953" descr="resizeПП-00266835"/>
        <xdr:cNvPicPr>
          <a:picLocks noChangeAspect="1"/>
        </xdr:cNvPicPr>
      </xdr:nvPicPr>
      <xdr:blipFill>
        <a:blip xmlns:r="http://schemas.openxmlformats.org/officeDocument/2006/relationships" r:embed="rId3574"/>
        <a:stretch>
          <a:fillRect/>
        </a:stretch>
      </xdr:blipFill>
      <xdr:spPr>
        <a:xfrm>
          <a:off x="7235825" y="4732953450"/>
          <a:ext cx="878840" cy="1183640"/>
        </a:xfrm>
        <a:prstGeom prst="rect">
          <a:avLst/>
        </a:prstGeom>
      </xdr:spPr>
    </xdr:pic>
    <xdr:clientData/>
  </xdr:twoCellAnchor>
  <xdr:twoCellAnchor>
    <xdr:from>
      <xdr:col>9</xdr:col>
      <xdr:colOff>6350</xdr:colOff>
      <xdr:row>4715</xdr:row>
      <xdr:rowOff>25400</xdr:rowOff>
    </xdr:from>
    <xdr:to>
      <xdr:col>9</xdr:col>
      <xdr:colOff>885190</xdr:colOff>
      <xdr:row>4715</xdr:row>
      <xdr:rowOff>1209040</xdr:rowOff>
    </xdr:to>
    <xdr:pic>
      <xdr:nvPicPr>
        <xdr:cNvPr id="8955" name="Изображение 8954" descr="resizeПП-00266836"/>
        <xdr:cNvPicPr>
          <a:picLocks noChangeAspect="1"/>
        </xdr:cNvPicPr>
      </xdr:nvPicPr>
      <xdr:blipFill>
        <a:blip xmlns:r="http://schemas.openxmlformats.org/officeDocument/2006/relationships" r:embed="rId3575"/>
        <a:stretch>
          <a:fillRect/>
        </a:stretch>
      </xdr:blipFill>
      <xdr:spPr>
        <a:xfrm>
          <a:off x="7235825" y="4734175825"/>
          <a:ext cx="878840" cy="1183640"/>
        </a:xfrm>
        <a:prstGeom prst="rect">
          <a:avLst/>
        </a:prstGeom>
      </xdr:spPr>
    </xdr:pic>
    <xdr:clientData/>
  </xdr:twoCellAnchor>
  <xdr:twoCellAnchor>
    <xdr:from>
      <xdr:col>9</xdr:col>
      <xdr:colOff>6350</xdr:colOff>
      <xdr:row>4718</xdr:row>
      <xdr:rowOff>25400</xdr:rowOff>
    </xdr:from>
    <xdr:to>
      <xdr:col>9</xdr:col>
      <xdr:colOff>885190</xdr:colOff>
      <xdr:row>4718</xdr:row>
      <xdr:rowOff>1209040</xdr:rowOff>
    </xdr:to>
    <xdr:pic>
      <xdr:nvPicPr>
        <xdr:cNvPr id="8956" name="Изображение 8955" descr="resizeПП-00096690"/>
        <xdr:cNvPicPr>
          <a:picLocks noChangeAspect="1"/>
        </xdr:cNvPicPr>
      </xdr:nvPicPr>
      <xdr:blipFill>
        <a:blip xmlns:r="http://schemas.openxmlformats.org/officeDocument/2006/relationships" r:embed="rId3576"/>
        <a:stretch>
          <a:fillRect/>
        </a:stretch>
      </xdr:blipFill>
      <xdr:spPr>
        <a:xfrm>
          <a:off x="7235825" y="4735703000"/>
          <a:ext cx="878840" cy="1183640"/>
        </a:xfrm>
        <a:prstGeom prst="rect">
          <a:avLst/>
        </a:prstGeom>
      </xdr:spPr>
    </xdr:pic>
    <xdr:clientData/>
  </xdr:twoCellAnchor>
  <xdr:twoCellAnchor>
    <xdr:from>
      <xdr:col>9</xdr:col>
      <xdr:colOff>6350</xdr:colOff>
      <xdr:row>4719</xdr:row>
      <xdr:rowOff>25400</xdr:rowOff>
    </xdr:from>
    <xdr:to>
      <xdr:col>9</xdr:col>
      <xdr:colOff>885190</xdr:colOff>
      <xdr:row>4719</xdr:row>
      <xdr:rowOff>1209040</xdr:rowOff>
    </xdr:to>
    <xdr:pic>
      <xdr:nvPicPr>
        <xdr:cNvPr id="8957" name="Изображение 8956" descr="resizeПП-00096690"/>
        <xdr:cNvPicPr>
          <a:picLocks noChangeAspect="1"/>
        </xdr:cNvPicPr>
      </xdr:nvPicPr>
      <xdr:blipFill>
        <a:blip xmlns:r="http://schemas.openxmlformats.org/officeDocument/2006/relationships" r:embed="rId3576"/>
        <a:stretch>
          <a:fillRect/>
        </a:stretch>
      </xdr:blipFill>
      <xdr:spPr>
        <a:xfrm>
          <a:off x="7235825" y="4736925375"/>
          <a:ext cx="878840" cy="1183640"/>
        </a:xfrm>
        <a:prstGeom prst="rect">
          <a:avLst/>
        </a:prstGeom>
      </xdr:spPr>
    </xdr:pic>
    <xdr:clientData/>
  </xdr:twoCellAnchor>
  <xdr:twoCellAnchor>
    <xdr:from>
      <xdr:col>9</xdr:col>
      <xdr:colOff>6350</xdr:colOff>
      <xdr:row>4720</xdr:row>
      <xdr:rowOff>25400</xdr:rowOff>
    </xdr:from>
    <xdr:to>
      <xdr:col>9</xdr:col>
      <xdr:colOff>885190</xdr:colOff>
      <xdr:row>4720</xdr:row>
      <xdr:rowOff>1209040</xdr:rowOff>
    </xdr:to>
    <xdr:pic>
      <xdr:nvPicPr>
        <xdr:cNvPr id="8958" name="Изображение 8957" descr="resizeПП-00094946"/>
        <xdr:cNvPicPr>
          <a:picLocks noChangeAspect="1"/>
        </xdr:cNvPicPr>
      </xdr:nvPicPr>
      <xdr:blipFill>
        <a:blip xmlns:r="http://schemas.openxmlformats.org/officeDocument/2006/relationships" r:embed="rId3577"/>
        <a:stretch>
          <a:fillRect/>
        </a:stretch>
      </xdr:blipFill>
      <xdr:spPr>
        <a:xfrm>
          <a:off x="7235825" y="4738147750"/>
          <a:ext cx="878840" cy="1183640"/>
        </a:xfrm>
        <a:prstGeom prst="rect">
          <a:avLst/>
        </a:prstGeom>
      </xdr:spPr>
    </xdr:pic>
    <xdr:clientData/>
  </xdr:twoCellAnchor>
  <xdr:twoCellAnchor>
    <xdr:from>
      <xdr:col>9</xdr:col>
      <xdr:colOff>6350</xdr:colOff>
      <xdr:row>4721</xdr:row>
      <xdr:rowOff>25400</xdr:rowOff>
    </xdr:from>
    <xdr:to>
      <xdr:col>9</xdr:col>
      <xdr:colOff>885190</xdr:colOff>
      <xdr:row>4721</xdr:row>
      <xdr:rowOff>1209040</xdr:rowOff>
    </xdr:to>
    <xdr:pic>
      <xdr:nvPicPr>
        <xdr:cNvPr id="8959" name="Изображение 8958" descr="resizeПП-00094957"/>
        <xdr:cNvPicPr>
          <a:picLocks noChangeAspect="1"/>
        </xdr:cNvPicPr>
      </xdr:nvPicPr>
      <xdr:blipFill>
        <a:blip xmlns:r="http://schemas.openxmlformats.org/officeDocument/2006/relationships" r:embed="rId3578"/>
        <a:stretch>
          <a:fillRect/>
        </a:stretch>
      </xdr:blipFill>
      <xdr:spPr>
        <a:xfrm>
          <a:off x="7235825" y="4739370125"/>
          <a:ext cx="878840" cy="1183640"/>
        </a:xfrm>
        <a:prstGeom prst="rect">
          <a:avLst/>
        </a:prstGeom>
      </xdr:spPr>
    </xdr:pic>
    <xdr:clientData/>
  </xdr:twoCellAnchor>
  <xdr:twoCellAnchor>
    <xdr:from>
      <xdr:col>9</xdr:col>
      <xdr:colOff>6350</xdr:colOff>
      <xdr:row>4722</xdr:row>
      <xdr:rowOff>25400</xdr:rowOff>
    </xdr:from>
    <xdr:to>
      <xdr:col>9</xdr:col>
      <xdr:colOff>885190</xdr:colOff>
      <xdr:row>4722</xdr:row>
      <xdr:rowOff>1209040</xdr:rowOff>
    </xdr:to>
    <xdr:pic>
      <xdr:nvPicPr>
        <xdr:cNvPr id="8960" name="Изображение 8959" descr="resizeПП-00096684"/>
        <xdr:cNvPicPr>
          <a:picLocks noChangeAspect="1"/>
        </xdr:cNvPicPr>
      </xdr:nvPicPr>
      <xdr:blipFill>
        <a:blip xmlns:r="http://schemas.openxmlformats.org/officeDocument/2006/relationships" r:embed="rId3579"/>
        <a:stretch>
          <a:fillRect/>
        </a:stretch>
      </xdr:blipFill>
      <xdr:spPr>
        <a:xfrm>
          <a:off x="7235825" y="4740592500"/>
          <a:ext cx="878840" cy="1183640"/>
        </a:xfrm>
        <a:prstGeom prst="rect">
          <a:avLst/>
        </a:prstGeom>
      </xdr:spPr>
    </xdr:pic>
    <xdr:clientData/>
  </xdr:twoCellAnchor>
  <xdr:twoCellAnchor>
    <xdr:from>
      <xdr:col>9</xdr:col>
      <xdr:colOff>6350</xdr:colOff>
      <xdr:row>4723</xdr:row>
      <xdr:rowOff>25400</xdr:rowOff>
    </xdr:from>
    <xdr:to>
      <xdr:col>9</xdr:col>
      <xdr:colOff>885190</xdr:colOff>
      <xdr:row>4723</xdr:row>
      <xdr:rowOff>1209040</xdr:rowOff>
    </xdr:to>
    <xdr:pic>
      <xdr:nvPicPr>
        <xdr:cNvPr id="8961" name="Изображение 8960" descr="resizeПП-00094964"/>
        <xdr:cNvPicPr>
          <a:picLocks noChangeAspect="1"/>
        </xdr:cNvPicPr>
      </xdr:nvPicPr>
      <xdr:blipFill>
        <a:blip xmlns:r="http://schemas.openxmlformats.org/officeDocument/2006/relationships" r:embed="rId3580"/>
        <a:stretch>
          <a:fillRect/>
        </a:stretch>
      </xdr:blipFill>
      <xdr:spPr>
        <a:xfrm>
          <a:off x="7235825" y="4741814875"/>
          <a:ext cx="878840" cy="1183640"/>
        </a:xfrm>
        <a:prstGeom prst="rect">
          <a:avLst/>
        </a:prstGeom>
      </xdr:spPr>
    </xdr:pic>
    <xdr:clientData/>
  </xdr:twoCellAnchor>
  <xdr:twoCellAnchor>
    <xdr:from>
      <xdr:col>9</xdr:col>
      <xdr:colOff>6350</xdr:colOff>
      <xdr:row>4724</xdr:row>
      <xdr:rowOff>25400</xdr:rowOff>
    </xdr:from>
    <xdr:to>
      <xdr:col>9</xdr:col>
      <xdr:colOff>1189990</xdr:colOff>
      <xdr:row>4724</xdr:row>
      <xdr:rowOff>904240</xdr:rowOff>
    </xdr:to>
    <xdr:pic>
      <xdr:nvPicPr>
        <xdr:cNvPr id="8962" name="Изображение 8961" descr="resizeПП-00122761"/>
        <xdr:cNvPicPr>
          <a:picLocks noChangeAspect="1"/>
        </xdr:cNvPicPr>
      </xdr:nvPicPr>
      <xdr:blipFill>
        <a:blip xmlns:r="http://schemas.openxmlformats.org/officeDocument/2006/relationships" r:embed="rId3581"/>
        <a:stretch>
          <a:fillRect/>
        </a:stretch>
      </xdr:blipFill>
      <xdr:spPr>
        <a:xfrm>
          <a:off x="7235825" y="4743037250"/>
          <a:ext cx="1183640" cy="878840"/>
        </a:xfrm>
        <a:prstGeom prst="rect">
          <a:avLst/>
        </a:prstGeom>
      </xdr:spPr>
    </xdr:pic>
    <xdr:clientData/>
  </xdr:twoCellAnchor>
  <xdr:twoCellAnchor>
    <xdr:from>
      <xdr:col>9</xdr:col>
      <xdr:colOff>6350</xdr:colOff>
      <xdr:row>4725</xdr:row>
      <xdr:rowOff>25400</xdr:rowOff>
    </xdr:from>
    <xdr:to>
      <xdr:col>9</xdr:col>
      <xdr:colOff>885190</xdr:colOff>
      <xdr:row>4725</xdr:row>
      <xdr:rowOff>1209040</xdr:rowOff>
    </xdr:to>
    <xdr:pic>
      <xdr:nvPicPr>
        <xdr:cNvPr id="8963" name="Изображение 8962" descr="resizeПП-00122770"/>
        <xdr:cNvPicPr>
          <a:picLocks noChangeAspect="1"/>
        </xdr:cNvPicPr>
      </xdr:nvPicPr>
      <xdr:blipFill>
        <a:blip xmlns:r="http://schemas.openxmlformats.org/officeDocument/2006/relationships" r:embed="rId3582"/>
        <a:stretch>
          <a:fillRect/>
        </a:stretch>
      </xdr:blipFill>
      <xdr:spPr>
        <a:xfrm>
          <a:off x="7235825" y="4744259625"/>
          <a:ext cx="878840" cy="1183640"/>
        </a:xfrm>
        <a:prstGeom prst="rect">
          <a:avLst/>
        </a:prstGeom>
      </xdr:spPr>
    </xdr:pic>
    <xdr:clientData/>
  </xdr:twoCellAnchor>
  <xdr:twoCellAnchor>
    <xdr:from>
      <xdr:col>9</xdr:col>
      <xdr:colOff>6350</xdr:colOff>
      <xdr:row>4726</xdr:row>
      <xdr:rowOff>25400</xdr:rowOff>
    </xdr:from>
    <xdr:to>
      <xdr:col>9</xdr:col>
      <xdr:colOff>885190</xdr:colOff>
      <xdr:row>4726</xdr:row>
      <xdr:rowOff>1209040</xdr:rowOff>
    </xdr:to>
    <xdr:pic>
      <xdr:nvPicPr>
        <xdr:cNvPr id="8964" name="Изображение 8963" descr="resizeПП-00122767"/>
        <xdr:cNvPicPr>
          <a:picLocks noChangeAspect="1"/>
        </xdr:cNvPicPr>
      </xdr:nvPicPr>
      <xdr:blipFill>
        <a:blip xmlns:r="http://schemas.openxmlformats.org/officeDocument/2006/relationships" r:embed="rId3583"/>
        <a:stretch>
          <a:fillRect/>
        </a:stretch>
      </xdr:blipFill>
      <xdr:spPr>
        <a:xfrm>
          <a:off x="7235825" y="4745482000"/>
          <a:ext cx="878840" cy="1183640"/>
        </a:xfrm>
        <a:prstGeom prst="rect">
          <a:avLst/>
        </a:prstGeom>
      </xdr:spPr>
    </xdr:pic>
    <xdr:clientData/>
  </xdr:twoCellAnchor>
  <xdr:twoCellAnchor>
    <xdr:from>
      <xdr:col>9</xdr:col>
      <xdr:colOff>6350</xdr:colOff>
      <xdr:row>4727</xdr:row>
      <xdr:rowOff>25400</xdr:rowOff>
    </xdr:from>
    <xdr:to>
      <xdr:col>9</xdr:col>
      <xdr:colOff>885190</xdr:colOff>
      <xdr:row>4727</xdr:row>
      <xdr:rowOff>1209040</xdr:rowOff>
    </xdr:to>
    <xdr:pic>
      <xdr:nvPicPr>
        <xdr:cNvPr id="8965" name="Изображение 8964" descr="resizeПП-00122771"/>
        <xdr:cNvPicPr>
          <a:picLocks noChangeAspect="1"/>
        </xdr:cNvPicPr>
      </xdr:nvPicPr>
      <xdr:blipFill>
        <a:blip xmlns:r="http://schemas.openxmlformats.org/officeDocument/2006/relationships" r:embed="rId3584"/>
        <a:stretch>
          <a:fillRect/>
        </a:stretch>
      </xdr:blipFill>
      <xdr:spPr>
        <a:xfrm>
          <a:off x="7235825" y="4746704375"/>
          <a:ext cx="878840" cy="1183640"/>
        </a:xfrm>
        <a:prstGeom prst="rect">
          <a:avLst/>
        </a:prstGeom>
      </xdr:spPr>
    </xdr:pic>
    <xdr:clientData/>
  </xdr:twoCellAnchor>
  <xdr:twoCellAnchor>
    <xdr:from>
      <xdr:col>9</xdr:col>
      <xdr:colOff>6350</xdr:colOff>
      <xdr:row>4728</xdr:row>
      <xdr:rowOff>25400</xdr:rowOff>
    </xdr:from>
    <xdr:to>
      <xdr:col>9</xdr:col>
      <xdr:colOff>885190</xdr:colOff>
      <xdr:row>4728</xdr:row>
      <xdr:rowOff>1209040</xdr:rowOff>
    </xdr:to>
    <xdr:pic>
      <xdr:nvPicPr>
        <xdr:cNvPr id="8966" name="Изображение 8965" descr="resizeПП-00122777"/>
        <xdr:cNvPicPr>
          <a:picLocks noChangeAspect="1"/>
        </xdr:cNvPicPr>
      </xdr:nvPicPr>
      <xdr:blipFill>
        <a:blip xmlns:r="http://schemas.openxmlformats.org/officeDocument/2006/relationships" r:embed="rId3585"/>
        <a:stretch>
          <a:fillRect/>
        </a:stretch>
      </xdr:blipFill>
      <xdr:spPr>
        <a:xfrm>
          <a:off x="7235825" y="4747926750"/>
          <a:ext cx="878840" cy="1183640"/>
        </a:xfrm>
        <a:prstGeom prst="rect">
          <a:avLst/>
        </a:prstGeom>
      </xdr:spPr>
    </xdr:pic>
    <xdr:clientData/>
  </xdr:twoCellAnchor>
  <xdr:twoCellAnchor>
    <xdr:from>
      <xdr:col>9</xdr:col>
      <xdr:colOff>6350</xdr:colOff>
      <xdr:row>4729</xdr:row>
      <xdr:rowOff>25400</xdr:rowOff>
    </xdr:from>
    <xdr:to>
      <xdr:col>9</xdr:col>
      <xdr:colOff>885190</xdr:colOff>
      <xdr:row>4729</xdr:row>
      <xdr:rowOff>1209040</xdr:rowOff>
    </xdr:to>
    <xdr:pic>
      <xdr:nvPicPr>
        <xdr:cNvPr id="8967" name="Изображение 8966" descr="resizeПП-00122775"/>
        <xdr:cNvPicPr>
          <a:picLocks noChangeAspect="1"/>
        </xdr:cNvPicPr>
      </xdr:nvPicPr>
      <xdr:blipFill>
        <a:blip xmlns:r="http://schemas.openxmlformats.org/officeDocument/2006/relationships" r:embed="rId3586"/>
        <a:stretch>
          <a:fillRect/>
        </a:stretch>
      </xdr:blipFill>
      <xdr:spPr>
        <a:xfrm>
          <a:off x="7235825" y="4749149125"/>
          <a:ext cx="878840" cy="1183640"/>
        </a:xfrm>
        <a:prstGeom prst="rect">
          <a:avLst/>
        </a:prstGeom>
      </xdr:spPr>
    </xdr:pic>
    <xdr:clientData/>
  </xdr:twoCellAnchor>
  <xdr:twoCellAnchor>
    <xdr:from>
      <xdr:col>9</xdr:col>
      <xdr:colOff>6350</xdr:colOff>
      <xdr:row>4730</xdr:row>
      <xdr:rowOff>25400</xdr:rowOff>
    </xdr:from>
    <xdr:to>
      <xdr:col>9</xdr:col>
      <xdr:colOff>885190</xdr:colOff>
      <xdr:row>4730</xdr:row>
      <xdr:rowOff>1209040</xdr:rowOff>
    </xdr:to>
    <xdr:pic>
      <xdr:nvPicPr>
        <xdr:cNvPr id="8968" name="Изображение 8967" descr="resizeПП-00094967"/>
        <xdr:cNvPicPr>
          <a:picLocks noChangeAspect="1"/>
        </xdr:cNvPicPr>
      </xdr:nvPicPr>
      <xdr:blipFill>
        <a:blip xmlns:r="http://schemas.openxmlformats.org/officeDocument/2006/relationships" r:embed="rId3587"/>
        <a:stretch>
          <a:fillRect/>
        </a:stretch>
      </xdr:blipFill>
      <xdr:spPr>
        <a:xfrm>
          <a:off x="7235825" y="4750371500"/>
          <a:ext cx="878840" cy="1183640"/>
        </a:xfrm>
        <a:prstGeom prst="rect">
          <a:avLst/>
        </a:prstGeom>
      </xdr:spPr>
    </xdr:pic>
    <xdr:clientData/>
  </xdr:twoCellAnchor>
  <xdr:twoCellAnchor>
    <xdr:from>
      <xdr:col>9</xdr:col>
      <xdr:colOff>6350</xdr:colOff>
      <xdr:row>4731</xdr:row>
      <xdr:rowOff>25400</xdr:rowOff>
    </xdr:from>
    <xdr:to>
      <xdr:col>9</xdr:col>
      <xdr:colOff>885190</xdr:colOff>
      <xdr:row>4731</xdr:row>
      <xdr:rowOff>1209040</xdr:rowOff>
    </xdr:to>
    <xdr:pic>
      <xdr:nvPicPr>
        <xdr:cNvPr id="8969" name="Изображение 8968" descr="resizeПП-00094968"/>
        <xdr:cNvPicPr>
          <a:picLocks noChangeAspect="1"/>
        </xdr:cNvPicPr>
      </xdr:nvPicPr>
      <xdr:blipFill>
        <a:blip xmlns:r="http://schemas.openxmlformats.org/officeDocument/2006/relationships" r:embed="rId3588"/>
        <a:stretch>
          <a:fillRect/>
        </a:stretch>
      </xdr:blipFill>
      <xdr:spPr>
        <a:xfrm>
          <a:off x="7235825" y="4751593875"/>
          <a:ext cx="878840" cy="1183640"/>
        </a:xfrm>
        <a:prstGeom prst="rect">
          <a:avLst/>
        </a:prstGeom>
      </xdr:spPr>
    </xdr:pic>
    <xdr:clientData/>
  </xdr:twoCellAnchor>
  <xdr:twoCellAnchor>
    <xdr:from>
      <xdr:col>9</xdr:col>
      <xdr:colOff>6350</xdr:colOff>
      <xdr:row>4732</xdr:row>
      <xdr:rowOff>25400</xdr:rowOff>
    </xdr:from>
    <xdr:to>
      <xdr:col>9</xdr:col>
      <xdr:colOff>885190</xdr:colOff>
      <xdr:row>4732</xdr:row>
      <xdr:rowOff>1209040</xdr:rowOff>
    </xdr:to>
    <xdr:pic>
      <xdr:nvPicPr>
        <xdr:cNvPr id="8970" name="Изображение 8969" descr="resizeПП-00094977"/>
        <xdr:cNvPicPr>
          <a:picLocks noChangeAspect="1"/>
        </xdr:cNvPicPr>
      </xdr:nvPicPr>
      <xdr:blipFill>
        <a:blip xmlns:r="http://schemas.openxmlformats.org/officeDocument/2006/relationships" r:embed="rId3589"/>
        <a:stretch>
          <a:fillRect/>
        </a:stretch>
      </xdr:blipFill>
      <xdr:spPr>
        <a:xfrm>
          <a:off x="7235825" y="4752816250"/>
          <a:ext cx="878840" cy="1183640"/>
        </a:xfrm>
        <a:prstGeom prst="rect">
          <a:avLst/>
        </a:prstGeom>
      </xdr:spPr>
    </xdr:pic>
    <xdr:clientData/>
  </xdr:twoCellAnchor>
  <xdr:twoCellAnchor>
    <xdr:from>
      <xdr:col>9</xdr:col>
      <xdr:colOff>6350</xdr:colOff>
      <xdr:row>4733</xdr:row>
      <xdr:rowOff>25400</xdr:rowOff>
    </xdr:from>
    <xdr:to>
      <xdr:col>9</xdr:col>
      <xdr:colOff>885190</xdr:colOff>
      <xdr:row>4733</xdr:row>
      <xdr:rowOff>1209040</xdr:rowOff>
    </xdr:to>
    <xdr:pic>
      <xdr:nvPicPr>
        <xdr:cNvPr id="8971" name="Изображение 8970" descr="resizeПП-00094990"/>
        <xdr:cNvPicPr>
          <a:picLocks noChangeAspect="1"/>
        </xdr:cNvPicPr>
      </xdr:nvPicPr>
      <xdr:blipFill>
        <a:blip xmlns:r="http://schemas.openxmlformats.org/officeDocument/2006/relationships" r:embed="rId3590"/>
        <a:stretch>
          <a:fillRect/>
        </a:stretch>
      </xdr:blipFill>
      <xdr:spPr>
        <a:xfrm>
          <a:off x="7235825" y="4754038625"/>
          <a:ext cx="878840" cy="1183640"/>
        </a:xfrm>
        <a:prstGeom prst="rect">
          <a:avLst/>
        </a:prstGeom>
      </xdr:spPr>
    </xdr:pic>
    <xdr:clientData/>
  </xdr:twoCellAnchor>
  <xdr:twoCellAnchor>
    <xdr:from>
      <xdr:col>9</xdr:col>
      <xdr:colOff>6350</xdr:colOff>
      <xdr:row>4734</xdr:row>
      <xdr:rowOff>25400</xdr:rowOff>
    </xdr:from>
    <xdr:to>
      <xdr:col>9</xdr:col>
      <xdr:colOff>885190</xdr:colOff>
      <xdr:row>4734</xdr:row>
      <xdr:rowOff>1209040</xdr:rowOff>
    </xdr:to>
    <xdr:pic>
      <xdr:nvPicPr>
        <xdr:cNvPr id="8972" name="Изображение 8971" descr="resizeПП-00094985"/>
        <xdr:cNvPicPr>
          <a:picLocks noChangeAspect="1"/>
        </xdr:cNvPicPr>
      </xdr:nvPicPr>
      <xdr:blipFill>
        <a:blip xmlns:r="http://schemas.openxmlformats.org/officeDocument/2006/relationships" r:embed="rId3591"/>
        <a:stretch>
          <a:fillRect/>
        </a:stretch>
      </xdr:blipFill>
      <xdr:spPr>
        <a:xfrm>
          <a:off x="7235825" y="4755261000"/>
          <a:ext cx="878840" cy="1183640"/>
        </a:xfrm>
        <a:prstGeom prst="rect">
          <a:avLst/>
        </a:prstGeom>
      </xdr:spPr>
    </xdr:pic>
    <xdr:clientData/>
  </xdr:twoCellAnchor>
  <xdr:twoCellAnchor>
    <xdr:from>
      <xdr:col>9</xdr:col>
      <xdr:colOff>6350</xdr:colOff>
      <xdr:row>4735</xdr:row>
      <xdr:rowOff>25400</xdr:rowOff>
    </xdr:from>
    <xdr:to>
      <xdr:col>9</xdr:col>
      <xdr:colOff>885190</xdr:colOff>
      <xdr:row>4735</xdr:row>
      <xdr:rowOff>1209040</xdr:rowOff>
    </xdr:to>
    <xdr:pic>
      <xdr:nvPicPr>
        <xdr:cNvPr id="8973" name="Изображение 8972" descr="resizeПП-00094983"/>
        <xdr:cNvPicPr>
          <a:picLocks noChangeAspect="1"/>
        </xdr:cNvPicPr>
      </xdr:nvPicPr>
      <xdr:blipFill>
        <a:blip xmlns:r="http://schemas.openxmlformats.org/officeDocument/2006/relationships" r:embed="rId3592"/>
        <a:stretch>
          <a:fillRect/>
        </a:stretch>
      </xdr:blipFill>
      <xdr:spPr>
        <a:xfrm>
          <a:off x="7235825" y="4756483375"/>
          <a:ext cx="878840" cy="1183640"/>
        </a:xfrm>
        <a:prstGeom prst="rect">
          <a:avLst/>
        </a:prstGeom>
      </xdr:spPr>
    </xdr:pic>
    <xdr:clientData/>
  </xdr:twoCellAnchor>
  <xdr:twoCellAnchor>
    <xdr:from>
      <xdr:col>9</xdr:col>
      <xdr:colOff>6350</xdr:colOff>
      <xdr:row>4738</xdr:row>
      <xdr:rowOff>25400</xdr:rowOff>
    </xdr:from>
    <xdr:to>
      <xdr:col>9</xdr:col>
      <xdr:colOff>885190</xdr:colOff>
      <xdr:row>4738</xdr:row>
      <xdr:rowOff>1209040</xdr:rowOff>
    </xdr:to>
    <xdr:pic>
      <xdr:nvPicPr>
        <xdr:cNvPr id="8974" name="Изображение 8973" descr="resizeПП-00122506"/>
        <xdr:cNvPicPr>
          <a:picLocks noChangeAspect="1"/>
        </xdr:cNvPicPr>
      </xdr:nvPicPr>
      <xdr:blipFill>
        <a:blip xmlns:r="http://schemas.openxmlformats.org/officeDocument/2006/relationships" r:embed="rId3593"/>
        <a:stretch>
          <a:fillRect/>
        </a:stretch>
      </xdr:blipFill>
      <xdr:spPr>
        <a:xfrm>
          <a:off x="7235825" y="4758010550"/>
          <a:ext cx="878840" cy="1183640"/>
        </a:xfrm>
        <a:prstGeom prst="rect">
          <a:avLst/>
        </a:prstGeom>
      </xdr:spPr>
    </xdr:pic>
    <xdr:clientData/>
  </xdr:twoCellAnchor>
  <xdr:twoCellAnchor>
    <xdr:from>
      <xdr:col>9</xdr:col>
      <xdr:colOff>6350</xdr:colOff>
      <xdr:row>4739</xdr:row>
      <xdr:rowOff>25400</xdr:rowOff>
    </xdr:from>
    <xdr:to>
      <xdr:col>9</xdr:col>
      <xdr:colOff>885190</xdr:colOff>
      <xdr:row>4739</xdr:row>
      <xdr:rowOff>1209040</xdr:rowOff>
    </xdr:to>
    <xdr:pic>
      <xdr:nvPicPr>
        <xdr:cNvPr id="8975" name="Изображение 8974" descr="resizeПП-00122510"/>
        <xdr:cNvPicPr>
          <a:picLocks noChangeAspect="1"/>
        </xdr:cNvPicPr>
      </xdr:nvPicPr>
      <xdr:blipFill>
        <a:blip xmlns:r="http://schemas.openxmlformats.org/officeDocument/2006/relationships" r:embed="rId3594"/>
        <a:stretch>
          <a:fillRect/>
        </a:stretch>
      </xdr:blipFill>
      <xdr:spPr>
        <a:xfrm>
          <a:off x="7235825" y="4759232925"/>
          <a:ext cx="878840" cy="1183640"/>
        </a:xfrm>
        <a:prstGeom prst="rect">
          <a:avLst/>
        </a:prstGeom>
      </xdr:spPr>
    </xdr:pic>
    <xdr:clientData/>
  </xdr:twoCellAnchor>
  <xdr:twoCellAnchor>
    <xdr:from>
      <xdr:col>9</xdr:col>
      <xdr:colOff>6350</xdr:colOff>
      <xdr:row>4740</xdr:row>
      <xdr:rowOff>25400</xdr:rowOff>
    </xdr:from>
    <xdr:to>
      <xdr:col>9</xdr:col>
      <xdr:colOff>885190</xdr:colOff>
      <xdr:row>4740</xdr:row>
      <xdr:rowOff>1209040</xdr:rowOff>
    </xdr:to>
    <xdr:pic>
      <xdr:nvPicPr>
        <xdr:cNvPr id="8976" name="Изображение 8975" descr="resizeПП-00122503"/>
        <xdr:cNvPicPr>
          <a:picLocks noChangeAspect="1"/>
        </xdr:cNvPicPr>
      </xdr:nvPicPr>
      <xdr:blipFill>
        <a:blip xmlns:r="http://schemas.openxmlformats.org/officeDocument/2006/relationships" r:embed="rId3595"/>
        <a:stretch>
          <a:fillRect/>
        </a:stretch>
      </xdr:blipFill>
      <xdr:spPr>
        <a:xfrm>
          <a:off x="7235825" y="4760455300"/>
          <a:ext cx="878840" cy="1183640"/>
        </a:xfrm>
        <a:prstGeom prst="rect">
          <a:avLst/>
        </a:prstGeom>
      </xdr:spPr>
    </xdr:pic>
    <xdr:clientData/>
  </xdr:twoCellAnchor>
  <xdr:twoCellAnchor>
    <xdr:from>
      <xdr:col>9</xdr:col>
      <xdr:colOff>6350</xdr:colOff>
      <xdr:row>4741</xdr:row>
      <xdr:rowOff>25400</xdr:rowOff>
    </xdr:from>
    <xdr:to>
      <xdr:col>9</xdr:col>
      <xdr:colOff>885190</xdr:colOff>
      <xdr:row>4741</xdr:row>
      <xdr:rowOff>1209040</xdr:rowOff>
    </xdr:to>
    <xdr:pic>
      <xdr:nvPicPr>
        <xdr:cNvPr id="8977" name="Изображение 8976" descr="resizeПП-00122512"/>
        <xdr:cNvPicPr>
          <a:picLocks noChangeAspect="1"/>
        </xdr:cNvPicPr>
      </xdr:nvPicPr>
      <xdr:blipFill>
        <a:blip xmlns:r="http://schemas.openxmlformats.org/officeDocument/2006/relationships" r:embed="rId3596"/>
        <a:stretch>
          <a:fillRect/>
        </a:stretch>
      </xdr:blipFill>
      <xdr:spPr>
        <a:xfrm>
          <a:off x="7235825" y="4761677675"/>
          <a:ext cx="878840" cy="1183640"/>
        </a:xfrm>
        <a:prstGeom prst="rect">
          <a:avLst/>
        </a:prstGeom>
      </xdr:spPr>
    </xdr:pic>
    <xdr:clientData/>
  </xdr:twoCellAnchor>
  <xdr:twoCellAnchor>
    <xdr:from>
      <xdr:col>9</xdr:col>
      <xdr:colOff>6350</xdr:colOff>
      <xdr:row>4742</xdr:row>
      <xdr:rowOff>25400</xdr:rowOff>
    </xdr:from>
    <xdr:to>
      <xdr:col>9</xdr:col>
      <xdr:colOff>885190</xdr:colOff>
      <xdr:row>4742</xdr:row>
      <xdr:rowOff>1209040</xdr:rowOff>
    </xdr:to>
    <xdr:pic>
      <xdr:nvPicPr>
        <xdr:cNvPr id="8978" name="Изображение 8977" descr="resizeПП-00122504"/>
        <xdr:cNvPicPr>
          <a:picLocks noChangeAspect="1"/>
        </xdr:cNvPicPr>
      </xdr:nvPicPr>
      <xdr:blipFill>
        <a:blip xmlns:r="http://schemas.openxmlformats.org/officeDocument/2006/relationships" r:embed="rId3597"/>
        <a:stretch>
          <a:fillRect/>
        </a:stretch>
      </xdr:blipFill>
      <xdr:spPr>
        <a:xfrm>
          <a:off x="7235825" y="4762900050"/>
          <a:ext cx="878840" cy="1183640"/>
        </a:xfrm>
        <a:prstGeom prst="rect">
          <a:avLst/>
        </a:prstGeom>
      </xdr:spPr>
    </xdr:pic>
    <xdr:clientData/>
  </xdr:twoCellAnchor>
  <xdr:twoCellAnchor>
    <xdr:from>
      <xdr:col>9</xdr:col>
      <xdr:colOff>6350</xdr:colOff>
      <xdr:row>4743</xdr:row>
      <xdr:rowOff>25400</xdr:rowOff>
    </xdr:from>
    <xdr:to>
      <xdr:col>9</xdr:col>
      <xdr:colOff>885190</xdr:colOff>
      <xdr:row>4743</xdr:row>
      <xdr:rowOff>1209040</xdr:rowOff>
    </xdr:to>
    <xdr:pic>
      <xdr:nvPicPr>
        <xdr:cNvPr id="8979" name="Изображение 8978" descr="resizeПП-00122509"/>
        <xdr:cNvPicPr>
          <a:picLocks noChangeAspect="1"/>
        </xdr:cNvPicPr>
      </xdr:nvPicPr>
      <xdr:blipFill>
        <a:blip xmlns:r="http://schemas.openxmlformats.org/officeDocument/2006/relationships" r:embed="rId3598"/>
        <a:stretch>
          <a:fillRect/>
        </a:stretch>
      </xdr:blipFill>
      <xdr:spPr>
        <a:xfrm>
          <a:off x="7235825" y="4764122425"/>
          <a:ext cx="878840" cy="1183640"/>
        </a:xfrm>
        <a:prstGeom prst="rect">
          <a:avLst/>
        </a:prstGeom>
      </xdr:spPr>
    </xdr:pic>
    <xdr:clientData/>
  </xdr:twoCellAnchor>
  <xdr:twoCellAnchor>
    <xdr:from>
      <xdr:col>9</xdr:col>
      <xdr:colOff>6350</xdr:colOff>
      <xdr:row>4744</xdr:row>
      <xdr:rowOff>25400</xdr:rowOff>
    </xdr:from>
    <xdr:to>
      <xdr:col>9</xdr:col>
      <xdr:colOff>885190</xdr:colOff>
      <xdr:row>4744</xdr:row>
      <xdr:rowOff>1209040</xdr:rowOff>
    </xdr:to>
    <xdr:pic>
      <xdr:nvPicPr>
        <xdr:cNvPr id="8980" name="Изображение 8979" descr="resizeПП-00222848"/>
        <xdr:cNvPicPr>
          <a:picLocks noChangeAspect="1"/>
        </xdr:cNvPicPr>
      </xdr:nvPicPr>
      <xdr:blipFill>
        <a:blip xmlns:r="http://schemas.openxmlformats.org/officeDocument/2006/relationships" r:embed="rId3599"/>
        <a:stretch>
          <a:fillRect/>
        </a:stretch>
      </xdr:blipFill>
      <xdr:spPr>
        <a:xfrm>
          <a:off x="7235825" y="4765344800"/>
          <a:ext cx="878840" cy="1183640"/>
        </a:xfrm>
        <a:prstGeom prst="rect">
          <a:avLst/>
        </a:prstGeom>
      </xdr:spPr>
    </xdr:pic>
    <xdr:clientData/>
  </xdr:twoCellAnchor>
  <xdr:twoCellAnchor>
    <xdr:from>
      <xdr:col>9</xdr:col>
      <xdr:colOff>6350</xdr:colOff>
      <xdr:row>4745</xdr:row>
      <xdr:rowOff>25400</xdr:rowOff>
    </xdr:from>
    <xdr:to>
      <xdr:col>9</xdr:col>
      <xdr:colOff>885190</xdr:colOff>
      <xdr:row>4745</xdr:row>
      <xdr:rowOff>1209040</xdr:rowOff>
    </xdr:to>
    <xdr:pic>
      <xdr:nvPicPr>
        <xdr:cNvPr id="8981" name="Изображение 8980" descr="resizeПП-00122518"/>
        <xdr:cNvPicPr>
          <a:picLocks noChangeAspect="1"/>
        </xdr:cNvPicPr>
      </xdr:nvPicPr>
      <xdr:blipFill>
        <a:blip xmlns:r="http://schemas.openxmlformats.org/officeDocument/2006/relationships" r:embed="rId3600"/>
        <a:stretch>
          <a:fillRect/>
        </a:stretch>
      </xdr:blipFill>
      <xdr:spPr>
        <a:xfrm>
          <a:off x="7235825" y="4766567175"/>
          <a:ext cx="878840" cy="1183640"/>
        </a:xfrm>
        <a:prstGeom prst="rect">
          <a:avLst/>
        </a:prstGeom>
      </xdr:spPr>
    </xdr:pic>
    <xdr:clientData/>
  </xdr:twoCellAnchor>
  <xdr:twoCellAnchor>
    <xdr:from>
      <xdr:col>9</xdr:col>
      <xdr:colOff>6350</xdr:colOff>
      <xdr:row>4746</xdr:row>
      <xdr:rowOff>25400</xdr:rowOff>
    </xdr:from>
    <xdr:to>
      <xdr:col>9</xdr:col>
      <xdr:colOff>885190</xdr:colOff>
      <xdr:row>4746</xdr:row>
      <xdr:rowOff>1209040</xdr:rowOff>
    </xdr:to>
    <xdr:pic>
      <xdr:nvPicPr>
        <xdr:cNvPr id="8982" name="Изображение 8981" descr="resizeПП-00122519"/>
        <xdr:cNvPicPr>
          <a:picLocks noChangeAspect="1"/>
        </xdr:cNvPicPr>
      </xdr:nvPicPr>
      <xdr:blipFill>
        <a:blip xmlns:r="http://schemas.openxmlformats.org/officeDocument/2006/relationships" r:embed="rId3601"/>
        <a:stretch>
          <a:fillRect/>
        </a:stretch>
      </xdr:blipFill>
      <xdr:spPr>
        <a:xfrm>
          <a:off x="7235825" y="4767789550"/>
          <a:ext cx="878840" cy="1183640"/>
        </a:xfrm>
        <a:prstGeom prst="rect">
          <a:avLst/>
        </a:prstGeom>
      </xdr:spPr>
    </xdr:pic>
    <xdr:clientData/>
  </xdr:twoCellAnchor>
  <xdr:twoCellAnchor>
    <xdr:from>
      <xdr:col>9</xdr:col>
      <xdr:colOff>6350</xdr:colOff>
      <xdr:row>4748</xdr:row>
      <xdr:rowOff>25400</xdr:rowOff>
    </xdr:from>
    <xdr:to>
      <xdr:col>9</xdr:col>
      <xdr:colOff>885190</xdr:colOff>
      <xdr:row>4748</xdr:row>
      <xdr:rowOff>1209040</xdr:rowOff>
    </xdr:to>
    <xdr:pic>
      <xdr:nvPicPr>
        <xdr:cNvPr id="8983" name="Изображение 8982" descr="resizeПП-00108833"/>
        <xdr:cNvPicPr>
          <a:picLocks noChangeAspect="1"/>
        </xdr:cNvPicPr>
      </xdr:nvPicPr>
      <xdr:blipFill>
        <a:blip xmlns:r="http://schemas.openxmlformats.org/officeDocument/2006/relationships" r:embed="rId3602"/>
        <a:stretch>
          <a:fillRect/>
        </a:stretch>
      </xdr:blipFill>
      <xdr:spPr>
        <a:xfrm>
          <a:off x="7235825" y="4769164325"/>
          <a:ext cx="878840" cy="1183640"/>
        </a:xfrm>
        <a:prstGeom prst="rect">
          <a:avLst/>
        </a:prstGeom>
      </xdr:spPr>
    </xdr:pic>
    <xdr:clientData/>
  </xdr:twoCellAnchor>
  <xdr:twoCellAnchor>
    <xdr:from>
      <xdr:col>9</xdr:col>
      <xdr:colOff>6350</xdr:colOff>
      <xdr:row>4749</xdr:row>
      <xdr:rowOff>25400</xdr:rowOff>
    </xdr:from>
    <xdr:to>
      <xdr:col>9</xdr:col>
      <xdr:colOff>885190</xdr:colOff>
      <xdr:row>4749</xdr:row>
      <xdr:rowOff>1209040</xdr:rowOff>
    </xdr:to>
    <xdr:pic>
      <xdr:nvPicPr>
        <xdr:cNvPr id="8984" name="Изображение 8983" descr="resizeПП-00108822"/>
        <xdr:cNvPicPr>
          <a:picLocks noChangeAspect="1"/>
        </xdr:cNvPicPr>
      </xdr:nvPicPr>
      <xdr:blipFill>
        <a:blip xmlns:r="http://schemas.openxmlformats.org/officeDocument/2006/relationships" r:embed="rId3603"/>
        <a:stretch>
          <a:fillRect/>
        </a:stretch>
      </xdr:blipFill>
      <xdr:spPr>
        <a:xfrm>
          <a:off x="7235825" y="4770386700"/>
          <a:ext cx="878840" cy="1183640"/>
        </a:xfrm>
        <a:prstGeom prst="rect">
          <a:avLst/>
        </a:prstGeom>
      </xdr:spPr>
    </xdr:pic>
    <xdr:clientData/>
  </xdr:twoCellAnchor>
  <xdr:twoCellAnchor>
    <xdr:from>
      <xdr:col>9</xdr:col>
      <xdr:colOff>6350</xdr:colOff>
      <xdr:row>4750</xdr:row>
      <xdr:rowOff>25400</xdr:rowOff>
    </xdr:from>
    <xdr:to>
      <xdr:col>9</xdr:col>
      <xdr:colOff>885190</xdr:colOff>
      <xdr:row>4750</xdr:row>
      <xdr:rowOff>1209040</xdr:rowOff>
    </xdr:to>
    <xdr:pic>
      <xdr:nvPicPr>
        <xdr:cNvPr id="8985" name="Изображение 8984" descr="resizeПП-00108834"/>
        <xdr:cNvPicPr>
          <a:picLocks noChangeAspect="1"/>
        </xdr:cNvPicPr>
      </xdr:nvPicPr>
      <xdr:blipFill>
        <a:blip xmlns:r="http://schemas.openxmlformats.org/officeDocument/2006/relationships" r:embed="rId3604"/>
        <a:stretch>
          <a:fillRect/>
        </a:stretch>
      </xdr:blipFill>
      <xdr:spPr>
        <a:xfrm>
          <a:off x="7235825" y="4771609075"/>
          <a:ext cx="878840" cy="1183640"/>
        </a:xfrm>
        <a:prstGeom prst="rect">
          <a:avLst/>
        </a:prstGeom>
      </xdr:spPr>
    </xdr:pic>
    <xdr:clientData/>
  </xdr:twoCellAnchor>
  <xdr:twoCellAnchor>
    <xdr:from>
      <xdr:col>9</xdr:col>
      <xdr:colOff>6350</xdr:colOff>
      <xdr:row>4751</xdr:row>
      <xdr:rowOff>25400</xdr:rowOff>
    </xdr:from>
    <xdr:to>
      <xdr:col>9</xdr:col>
      <xdr:colOff>885190</xdr:colOff>
      <xdr:row>4751</xdr:row>
      <xdr:rowOff>1209040</xdr:rowOff>
    </xdr:to>
    <xdr:pic>
      <xdr:nvPicPr>
        <xdr:cNvPr id="8986" name="Изображение 8985" descr="resizeПП-00108826"/>
        <xdr:cNvPicPr>
          <a:picLocks noChangeAspect="1"/>
        </xdr:cNvPicPr>
      </xdr:nvPicPr>
      <xdr:blipFill>
        <a:blip xmlns:r="http://schemas.openxmlformats.org/officeDocument/2006/relationships" r:embed="rId3605"/>
        <a:stretch>
          <a:fillRect/>
        </a:stretch>
      </xdr:blipFill>
      <xdr:spPr>
        <a:xfrm>
          <a:off x="7235825" y="4772831450"/>
          <a:ext cx="878840" cy="1183640"/>
        </a:xfrm>
        <a:prstGeom prst="rect">
          <a:avLst/>
        </a:prstGeom>
      </xdr:spPr>
    </xdr:pic>
    <xdr:clientData/>
  </xdr:twoCellAnchor>
  <xdr:twoCellAnchor>
    <xdr:from>
      <xdr:col>9</xdr:col>
      <xdr:colOff>6350</xdr:colOff>
      <xdr:row>4752</xdr:row>
      <xdr:rowOff>25400</xdr:rowOff>
    </xdr:from>
    <xdr:to>
      <xdr:col>9</xdr:col>
      <xdr:colOff>885190</xdr:colOff>
      <xdr:row>4752</xdr:row>
      <xdr:rowOff>1209040</xdr:rowOff>
    </xdr:to>
    <xdr:pic>
      <xdr:nvPicPr>
        <xdr:cNvPr id="8987" name="Изображение 8986" descr="resizeПП-00108832"/>
        <xdr:cNvPicPr>
          <a:picLocks noChangeAspect="1"/>
        </xdr:cNvPicPr>
      </xdr:nvPicPr>
      <xdr:blipFill>
        <a:blip xmlns:r="http://schemas.openxmlformats.org/officeDocument/2006/relationships" r:embed="rId3606"/>
        <a:stretch>
          <a:fillRect/>
        </a:stretch>
      </xdr:blipFill>
      <xdr:spPr>
        <a:xfrm>
          <a:off x="7235825" y="4774053825"/>
          <a:ext cx="878840" cy="1183640"/>
        </a:xfrm>
        <a:prstGeom prst="rect">
          <a:avLst/>
        </a:prstGeom>
      </xdr:spPr>
    </xdr:pic>
    <xdr:clientData/>
  </xdr:twoCellAnchor>
  <xdr:twoCellAnchor>
    <xdr:from>
      <xdr:col>9</xdr:col>
      <xdr:colOff>6350</xdr:colOff>
      <xdr:row>4753</xdr:row>
      <xdr:rowOff>25400</xdr:rowOff>
    </xdr:from>
    <xdr:to>
      <xdr:col>9</xdr:col>
      <xdr:colOff>885190</xdr:colOff>
      <xdr:row>4753</xdr:row>
      <xdr:rowOff>1209040</xdr:rowOff>
    </xdr:to>
    <xdr:pic>
      <xdr:nvPicPr>
        <xdr:cNvPr id="8988" name="Изображение 8987" descr="resizeПП-00108827"/>
        <xdr:cNvPicPr>
          <a:picLocks noChangeAspect="1"/>
        </xdr:cNvPicPr>
      </xdr:nvPicPr>
      <xdr:blipFill>
        <a:blip xmlns:r="http://schemas.openxmlformats.org/officeDocument/2006/relationships" r:embed="rId3607"/>
        <a:stretch>
          <a:fillRect/>
        </a:stretch>
      </xdr:blipFill>
      <xdr:spPr>
        <a:xfrm>
          <a:off x="7235825" y="4775276200"/>
          <a:ext cx="878840" cy="1183640"/>
        </a:xfrm>
        <a:prstGeom prst="rect">
          <a:avLst/>
        </a:prstGeom>
      </xdr:spPr>
    </xdr:pic>
    <xdr:clientData/>
  </xdr:twoCellAnchor>
  <xdr:twoCellAnchor>
    <xdr:from>
      <xdr:col>9</xdr:col>
      <xdr:colOff>6350</xdr:colOff>
      <xdr:row>4754</xdr:row>
      <xdr:rowOff>25400</xdr:rowOff>
    </xdr:from>
    <xdr:to>
      <xdr:col>9</xdr:col>
      <xdr:colOff>885190</xdr:colOff>
      <xdr:row>4754</xdr:row>
      <xdr:rowOff>1209040</xdr:rowOff>
    </xdr:to>
    <xdr:pic>
      <xdr:nvPicPr>
        <xdr:cNvPr id="8989" name="Изображение 8988" descr="resizeПП-00108828"/>
        <xdr:cNvPicPr>
          <a:picLocks noChangeAspect="1"/>
        </xdr:cNvPicPr>
      </xdr:nvPicPr>
      <xdr:blipFill>
        <a:blip xmlns:r="http://schemas.openxmlformats.org/officeDocument/2006/relationships" r:embed="rId3608"/>
        <a:stretch>
          <a:fillRect/>
        </a:stretch>
      </xdr:blipFill>
      <xdr:spPr>
        <a:xfrm>
          <a:off x="7235825" y="4776498575"/>
          <a:ext cx="878840" cy="1183640"/>
        </a:xfrm>
        <a:prstGeom prst="rect">
          <a:avLst/>
        </a:prstGeom>
      </xdr:spPr>
    </xdr:pic>
    <xdr:clientData/>
  </xdr:twoCellAnchor>
  <xdr:twoCellAnchor>
    <xdr:from>
      <xdr:col>9</xdr:col>
      <xdr:colOff>6350</xdr:colOff>
      <xdr:row>4755</xdr:row>
      <xdr:rowOff>25400</xdr:rowOff>
    </xdr:from>
    <xdr:to>
      <xdr:col>9</xdr:col>
      <xdr:colOff>885190</xdr:colOff>
      <xdr:row>4755</xdr:row>
      <xdr:rowOff>1209040</xdr:rowOff>
    </xdr:to>
    <xdr:pic>
      <xdr:nvPicPr>
        <xdr:cNvPr id="8990" name="Изображение 8989" descr="resizeПП-00108823"/>
        <xdr:cNvPicPr>
          <a:picLocks noChangeAspect="1"/>
        </xdr:cNvPicPr>
      </xdr:nvPicPr>
      <xdr:blipFill>
        <a:blip xmlns:r="http://schemas.openxmlformats.org/officeDocument/2006/relationships" r:embed="rId3609"/>
        <a:stretch>
          <a:fillRect/>
        </a:stretch>
      </xdr:blipFill>
      <xdr:spPr>
        <a:xfrm>
          <a:off x="7235825" y="4777720950"/>
          <a:ext cx="878840" cy="1183640"/>
        </a:xfrm>
        <a:prstGeom prst="rect">
          <a:avLst/>
        </a:prstGeom>
      </xdr:spPr>
    </xdr:pic>
    <xdr:clientData/>
  </xdr:twoCellAnchor>
  <xdr:twoCellAnchor>
    <xdr:from>
      <xdr:col>9</xdr:col>
      <xdr:colOff>6350</xdr:colOff>
      <xdr:row>4756</xdr:row>
      <xdr:rowOff>25400</xdr:rowOff>
    </xdr:from>
    <xdr:to>
      <xdr:col>9</xdr:col>
      <xdr:colOff>885190</xdr:colOff>
      <xdr:row>4756</xdr:row>
      <xdr:rowOff>1209040</xdr:rowOff>
    </xdr:to>
    <xdr:pic>
      <xdr:nvPicPr>
        <xdr:cNvPr id="8991" name="Изображение 8990" descr="resizeПП-00108831"/>
        <xdr:cNvPicPr>
          <a:picLocks noChangeAspect="1"/>
        </xdr:cNvPicPr>
      </xdr:nvPicPr>
      <xdr:blipFill>
        <a:blip xmlns:r="http://schemas.openxmlformats.org/officeDocument/2006/relationships" r:embed="rId3610"/>
        <a:stretch>
          <a:fillRect/>
        </a:stretch>
      </xdr:blipFill>
      <xdr:spPr>
        <a:xfrm>
          <a:off x="7235825" y="4778943325"/>
          <a:ext cx="878840" cy="1183640"/>
        </a:xfrm>
        <a:prstGeom prst="rect">
          <a:avLst/>
        </a:prstGeom>
      </xdr:spPr>
    </xdr:pic>
    <xdr:clientData/>
  </xdr:twoCellAnchor>
  <xdr:twoCellAnchor>
    <xdr:from>
      <xdr:col>9</xdr:col>
      <xdr:colOff>6350</xdr:colOff>
      <xdr:row>4757</xdr:row>
      <xdr:rowOff>25400</xdr:rowOff>
    </xdr:from>
    <xdr:to>
      <xdr:col>9</xdr:col>
      <xdr:colOff>885190</xdr:colOff>
      <xdr:row>4757</xdr:row>
      <xdr:rowOff>1209040</xdr:rowOff>
    </xdr:to>
    <xdr:pic>
      <xdr:nvPicPr>
        <xdr:cNvPr id="8992" name="Изображение 8991" descr="resizeПП-00222708"/>
        <xdr:cNvPicPr>
          <a:picLocks noChangeAspect="1"/>
        </xdr:cNvPicPr>
      </xdr:nvPicPr>
      <xdr:blipFill>
        <a:blip xmlns:r="http://schemas.openxmlformats.org/officeDocument/2006/relationships" r:embed="rId3611"/>
        <a:stretch>
          <a:fillRect/>
        </a:stretch>
      </xdr:blipFill>
      <xdr:spPr>
        <a:xfrm>
          <a:off x="7235825" y="4780165700"/>
          <a:ext cx="878840" cy="1183640"/>
        </a:xfrm>
        <a:prstGeom prst="rect">
          <a:avLst/>
        </a:prstGeom>
      </xdr:spPr>
    </xdr:pic>
    <xdr:clientData/>
  </xdr:twoCellAnchor>
  <xdr:twoCellAnchor>
    <xdr:from>
      <xdr:col>9</xdr:col>
      <xdr:colOff>6350</xdr:colOff>
      <xdr:row>4758</xdr:row>
      <xdr:rowOff>25400</xdr:rowOff>
    </xdr:from>
    <xdr:to>
      <xdr:col>9</xdr:col>
      <xdr:colOff>885190</xdr:colOff>
      <xdr:row>4758</xdr:row>
      <xdr:rowOff>1209040</xdr:rowOff>
    </xdr:to>
    <xdr:pic>
      <xdr:nvPicPr>
        <xdr:cNvPr id="8993" name="Изображение 8992" descr="resizeПП-00222710"/>
        <xdr:cNvPicPr>
          <a:picLocks noChangeAspect="1"/>
        </xdr:cNvPicPr>
      </xdr:nvPicPr>
      <xdr:blipFill>
        <a:blip xmlns:r="http://schemas.openxmlformats.org/officeDocument/2006/relationships" r:embed="rId3612"/>
        <a:stretch>
          <a:fillRect/>
        </a:stretch>
      </xdr:blipFill>
      <xdr:spPr>
        <a:xfrm>
          <a:off x="7235825" y="4781388075"/>
          <a:ext cx="878840" cy="1183640"/>
        </a:xfrm>
        <a:prstGeom prst="rect">
          <a:avLst/>
        </a:prstGeom>
      </xdr:spPr>
    </xdr:pic>
    <xdr:clientData/>
  </xdr:twoCellAnchor>
  <xdr:twoCellAnchor>
    <xdr:from>
      <xdr:col>9</xdr:col>
      <xdr:colOff>6350</xdr:colOff>
      <xdr:row>4759</xdr:row>
      <xdr:rowOff>25400</xdr:rowOff>
    </xdr:from>
    <xdr:to>
      <xdr:col>9</xdr:col>
      <xdr:colOff>885190</xdr:colOff>
      <xdr:row>4759</xdr:row>
      <xdr:rowOff>1209040</xdr:rowOff>
    </xdr:to>
    <xdr:pic>
      <xdr:nvPicPr>
        <xdr:cNvPr id="8994" name="Изображение 8993" descr="resizeПП-00222709"/>
        <xdr:cNvPicPr>
          <a:picLocks noChangeAspect="1"/>
        </xdr:cNvPicPr>
      </xdr:nvPicPr>
      <xdr:blipFill>
        <a:blip xmlns:r="http://schemas.openxmlformats.org/officeDocument/2006/relationships" r:embed="rId3613"/>
        <a:stretch>
          <a:fillRect/>
        </a:stretch>
      </xdr:blipFill>
      <xdr:spPr>
        <a:xfrm>
          <a:off x="7235825" y="4782610450"/>
          <a:ext cx="878840" cy="1183640"/>
        </a:xfrm>
        <a:prstGeom prst="rect">
          <a:avLst/>
        </a:prstGeom>
      </xdr:spPr>
    </xdr:pic>
    <xdr:clientData/>
  </xdr:twoCellAnchor>
  <xdr:twoCellAnchor>
    <xdr:from>
      <xdr:col>9</xdr:col>
      <xdr:colOff>6350</xdr:colOff>
      <xdr:row>4760</xdr:row>
      <xdr:rowOff>25400</xdr:rowOff>
    </xdr:from>
    <xdr:to>
      <xdr:col>9</xdr:col>
      <xdr:colOff>885190</xdr:colOff>
      <xdr:row>4760</xdr:row>
      <xdr:rowOff>1209040</xdr:rowOff>
    </xdr:to>
    <xdr:pic>
      <xdr:nvPicPr>
        <xdr:cNvPr id="8995" name="Изображение 8994" descr="resizeПП-00095009"/>
        <xdr:cNvPicPr>
          <a:picLocks noChangeAspect="1"/>
        </xdr:cNvPicPr>
      </xdr:nvPicPr>
      <xdr:blipFill>
        <a:blip xmlns:r="http://schemas.openxmlformats.org/officeDocument/2006/relationships" r:embed="rId3614"/>
        <a:stretch>
          <a:fillRect/>
        </a:stretch>
      </xdr:blipFill>
      <xdr:spPr>
        <a:xfrm>
          <a:off x="7235825" y="4783832825"/>
          <a:ext cx="878840" cy="1183640"/>
        </a:xfrm>
        <a:prstGeom prst="rect">
          <a:avLst/>
        </a:prstGeom>
      </xdr:spPr>
    </xdr:pic>
    <xdr:clientData/>
  </xdr:twoCellAnchor>
  <xdr:twoCellAnchor>
    <xdr:from>
      <xdr:col>9</xdr:col>
      <xdr:colOff>6350</xdr:colOff>
      <xdr:row>4761</xdr:row>
      <xdr:rowOff>25400</xdr:rowOff>
    </xdr:from>
    <xdr:to>
      <xdr:col>9</xdr:col>
      <xdr:colOff>885190</xdr:colOff>
      <xdr:row>4761</xdr:row>
      <xdr:rowOff>1209040</xdr:rowOff>
    </xdr:to>
    <xdr:pic>
      <xdr:nvPicPr>
        <xdr:cNvPr id="8996" name="Изображение 8995" descr="resizeПП-00095006"/>
        <xdr:cNvPicPr>
          <a:picLocks noChangeAspect="1"/>
        </xdr:cNvPicPr>
      </xdr:nvPicPr>
      <xdr:blipFill>
        <a:blip xmlns:r="http://schemas.openxmlformats.org/officeDocument/2006/relationships" r:embed="rId3615"/>
        <a:stretch>
          <a:fillRect/>
        </a:stretch>
      </xdr:blipFill>
      <xdr:spPr>
        <a:xfrm>
          <a:off x="7235825" y="4785055200"/>
          <a:ext cx="878840" cy="1183640"/>
        </a:xfrm>
        <a:prstGeom prst="rect">
          <a:avLst/>
        </a:prstGeom>
      </xdr:spPr>
    </xdr:pic>
    <xdr:clientData/>
  </xdr:twoCellAnchor>
  <xdr:twoCellAnchor>
    <xdr:from>
      <xdr:col>9</xdr:col>
      <xdr:colOff>6350</xdr:colOff>
      <xdr:row>4762</xdr:row>
      <xdr:rowOff>25400</xdr:rowOff>
    </xdr:from>
    <xdr:to>
      <xdr:col>9</xdr:col>
      <xdr:colOff>885190</xdr:colOff>
      <xdr:row>4762</xdr:row>
      <xdr:rowOff>1209040</xdr:rowOff>
    </xdr:to>
    <xdr:pic>
      <xdr:nvPicPr>
        <xdr:cNvPr id="8997" name="Изображение 8996" descr="resizeПП-00095011"/>
        <xdr:cNvPicPr>
          <a:picLocks noChangeAspect="1"/>
        </xdr:cNvPicPr>
      </xdr:nvPicPr>
      <xdr:blipFill>
        <a:blip xmlns:r="http://schemas.openxmlformats.org/officeDocument/2006/relationships" r:embed="rId3616"/>
        <a:stretch>
          <a:fillRect/>
        </a:stretch>
      </xdr:blipFill>
      <xdr:spPr>
        <a:xfrm>
          <a:off x="7235825" y="4786277575"/>
          <a:ext cx="878840" cy="1183640"/>
        </a:xfrm>
        <a:prstGeom prst="rect">
          <a:avLst/>
        </a:prstGeom>
      </xdr:spPr>
    </xdr:pic>
    <xdr:clientData/>
  </xdr:twoCellAnchor>
  <xdr:twoCellAnchor>
    <xdr:from>
      <xdr:col>9</xdr:col>
      <xdr:colOff>6350</xdr:colOff>
      <xdr:row>4764</xdr:row>
      <xdr:rowOff>25400</xdr:rowOff>
    </xdr:from>
    <xdr:to>
      <xdr:col>9</xdr:col>
      <xdr:colOff>885190</xdr:colOff>
      <xdr:row>4764</xdr:row>
      <xdr:rowOff>1209040</xdr:rowOff>
    </xdr:to>
    <xdr:pic>
      <xdr:nvPicPr>
        <xdr:cNvPr id="8998" name="Изображение 8997" descr="resizeПП-00122526"/>
        <xdr:cNvPicPr>
          <a:picLocks noChangeAspect="1"/>
        </xdr:cNvPicPr>
      </xdr:nvPicPr>
      <xdr:blipFill>
        <a:blip xmlns:r="http://schemas.openxmlformats.org/officeDocument/2006/relationships" r:embed="rId3617"/>
        <a:stretch>
          <a:fillRect/>
        </a:stretch>
      </xdr:blipFill>
      <xdr:spPr>
        <a:xfrm>
          <a:off x="7235825" y="4787652350"/>
          <a:ext cx="878840" cy="1183640"/>
        </a:xfrm>
        <a:prstGeom prst="rect">
          <a:avLst/>
        </a:prstGeom>
      </xdr:spPr>
    </xdr:pic>
    <xdr:clientData/>
  </xdr:twoCellAnchor>
  <xdr:twoCellAnchor>
    <xdr:from>
      <xdr:col>9</xdr:col>
      <xdr:colOff>6350</xdr:colOff>
      <xdr:row>4765</xdr:row>
      <xdr:rowOff>25400</xdr:rowOff>
    </xdr:from>
    <xdr:to>
      <xdr:col>9</xdr:col>
      <xdr:colOff>885190</xdr:colOff>
      <xdr:row>4765</xdr:row>
      <xdr:rowOff>1209040</xdr:rowOff>
    </xdr:to>
    <xdr:pic>
      <xdr:nvPicPr>
        <xdr:cNvPr id="8999" name="Изображение 8998" descr="resizeПП-00122528"/>
        <xdr:cNvPicPr>
          <a:picLocks noChangeAspect="1"/>
        </xdr:cNvPicPr>
      </xdr:nvPicPr>
      <xdr:blipFill>
        <a:blip xmlns:r="http://schemas.openxmlformats.org/officeDocument/2006/relationships" r:embed="rId3618"/>
        <a:stretch>
          <a:fillRect/>
        </a:stretch>
      </xdr:blipFill>
      <xdr:spPr>
        <a:xfrm>
          <a:off x="7235825" y="4788874725"/>
          <a:ext cx="878840" cy="1183640"/>
        </a:xfrm>
        <a:prstGeom prst="rect">
          <a:avLst/>
        </a:prstGeom>
      </xdr:spPr>
    </xdr:pic>
    <xdr:clientData/>
  </xdr:twoCellAnchor>
  <xdr:twoCellAnchor>
    <xdr:from>
      <xdr:col>9</xdr:col>
      <xdr:colOff>6350</xdr:colOff>
      <xdr:row>4766</xdr:row>
      <xdr:rowOff>25400</xdr:rowOff>
    </xdr:from>
    <xdr:to>
      <xdr:col>9</xdr:col>
      <xdr:colOff>885190</xdr:colOff>
      <xdr:row>4766</xdr:row>
      <xdr:rowOff>1209040</xdr:rowOff>
    </xdr:to>
    <xdr:pic>
      <xdr:nvPicPr>
        <xdr:cNvPr id="9000" name="Изображение 8999" descr="resizeПП-00122528"/>
        <xdr:cNvPicPr>
          <a:picLocks noChangeAspect="1"/>
        </xdr:cNvPicPr>
      </xdr:nvPicPr>
      <xdr:blipFill>
        <a:blip xmlns:r="http://schemas.openxmlformats.org/officeDocument/2006/relationships" r:embed="rId3618"/>
        <a:stretch>
          <a:fillRect/>
        </a:stretch>
      </xdr:blipFill>
      <xdr:spPr>
        <a:xfrm>
          <a:off x="7235825" y="4790097100"/>
          <a:ext cx="878840" cy="1183640"/>
        </a:xfrm>
        <a:prstGeom prst="rect">
          <a:avLst/>
        </a:prstGeom>
      </xdr:spPr>
    </xdr:pic>
    <xdr:clientData/>
  </xdr:twoCellAnchor>
  <xdr:twoCellAnchor>
    <xdr:from>
      <xdr:col>9</xdr:col>
      <xdr:colOff>6350</xdr:colOff>
      <xdr:row>4767</xdr:row>
      <xdr:rowOff>25400</xdr:rowOff>
    </xdr:from>
    <xdr:to>
      <xdr:col>9</xdr:col>
      <xdr:colOff>885190</xdr:colOff>
      <xdr:row>4767</xdr:row>
      <xdr:rowOff>1209040</xdr:rowOff>
    </xdr:to>
    <xdr:pic>
      <xdr:nvPicPr>
        <xdr:cNvPr id="9001" name="Изображение 9000" descr="resizeПП-00122528"/>
        <xdr:cNvPicPr>
          <a:picLocks noChangeAspect="1"/>
        </xdr:cNvPicPr>
      </xdr:nvPicPr>
      <xdr:blipFill>
        <a:blip xmlns:r="http://schemas.openxmlformats.org/officeDocument/2006/relationships" r:embed="rId3618"/>
        <a:stretch>
          <a:fillRect/>
        </a:stretch>
      </xdr:blipFill>
      <xdr:spPr>
        <a:xfrm>
          <a:off x="7235825" y="4791319475"/>
          <a:ext cx="878840" cy="1183640"/>
        </a:xfrm>
        <a:prstGeom prst="rect">
          <a:avLst/>
        </a:prstGeom>
      </xdr:spPr>
    </xdr:pic>
    <xdr:clientData/>
  </xdr:twoCellAnchor>
  <xdr:twoCellAnchor>
    <xdr:from>
      <xdr:col>9</xdr:col>
      <xdr:colOff>6350</xdr:colOff>
      <xdr:row>4768</xdr:row>
      <xdr:rowOff>25400</xdr:rowOff>
    </xdr:from>
    <xdr:to>
      <xdr:col>9</xdr:col>
      <xdr:colOff>885190</xdr:colOff>
      <xdr:row>4768</xdr:row>
      <xdr:rowOff>1209040</xdr:rowOff>
    </xdr:to>
    <xdr:pic>
      <xdr:nvPicPr>
        <xdr:cNvPr id="9002" name="Изображение 9001" descr="resizeПП-00122523"/>
        <xdr:cNvPicPr>
          <a:picLocks noChangeAspect="1"/>
        </xdr:cNvPicPr>
      </xdr:nvPicPr>
      <xdr:blipFill>
        <a:blip xmlns:r="http://schemas.openxmlformats.org/officeDocument/2006/relationships" r:embed="rId3619"/>
        <a:stretch>
          <a:fillRect/>
        </a:stretch>
      </xdr:blipFill>
      <xdr:spPr>
        <a:xfrm>
          <a:off x="7235825" y="4792541850"/>
          <a:ext cx="878840" cy="1183640"/>
        </a:xfrm>
        <a:prstGeom prst="rect">
          <a:avLst/>
        </a:prstGeom>
      </xdr:spPr>
    </xdr:pic>
    <xdr:clientData/>
  </xdr:twoCellAnchor>
  <xdr:twoCellAnchor>
    <xdr:from>
      <xdr:col>9</xdr:col>
      <xdr:colOff>6350</xdr:colOff>
      <xdr:row>4769</xdr:row>
      <xdr:rowOff>25400</xdr:rowOff>
    </xdr:from>
    <xdr:to>
      <xdr:col>9</xdr:col>
      <xdr:colOff>885190</xdr:colOff>
      <xdr:row>4769</xdr:row>
      <xdr:rowOff>1209040</xdr:rowOff>
    </xdr:to>
    <xdr:pic>
      <xdr:nvPicPr>
        <xdr:cNvPr id="9003" name="Изображение 9002" descr="resizeПП-00122527"/>
        <xdr:cNvPicPr>
          <a:picLocks noChangeAspect="1"/>
        </xdr:cNvPicPr>
      </xdr:nvPicPr>
      <xdr:blipFill>
        <a:blip xmlns:r="http://schemas.openxmlformats.org/officeDocument/2006/relationships" r:embed="rId3620"/>
        <a:stretch>
          <a:fillRect/>
        </a:stretch>
      </xdr:blipFill>
      <xdr:spPr>
        <a:xfrm>
          <a:off x="7235825" y="4793764225"/>
          <a:ext cx="878840" cy="1183640"/>
        </a:xfrm>
        <a:prstGeom prst="rect">
          <a:avLst/>
        </a:prstGeom>
      </xdr:spPr>
    </xdr:pic>
    <xdr:clientData/>
  </xdr:twoCellAnchor>
  <xdr:twoCellAnchor>
    <xdr:from>
      <xdr:col>9</xdr:col>
      <xdr:colOff>6350</xdr:colOff>
      <xdr:row>4770</xdr:row>
      <xdr:rowOff>25400</xdr:rowOff>
    </xdr:from>
    <xdr:to>
      <xdr:col>9</xdr:col>
      <xdr:colOff>885190</xdr:colOff>
      <xdr:row>4770</xdr:row>
      <xdr:rowOff>1209040</xdr:rowOff>
    </xdr:to>
    <xdr:pic>
      <xdr:nvPicPr>
        <xdr:cNvPr id="9004" name="Изображение 9003" descr="resizeПП-00122527"/>
        <xdr:cNvPicPr>
          <a:picLocks noChangeAspect="1"/>
        </xdr:cNvPicPr>
      </xdr:nvPicPr>
      <xdr:blipFill>
        <a:blip xmlns:r="http://schemas.openxmlformats.org/officeDocument/2006/relationships" r:embed="rId3620"/>
        <a:stretch>
          <a:fillRect/>
        </a:stretch>
      </xdr:blipFill>
      <xdr:spPr>
        <a:xfrm>
          <a:off x="7235825" y="4794986600"/>
          <a:ext cx="878840" cy="1183640"/>
        </a:xfrm>
        <a:prstGeom prst="rect">
          <a:avLst/>
        </a:prstGeom>
      </xdr:spPr>
    </xdr:pic>
    <xdr:clientData/>
  </xdr:twoCellAnchor>
  <xdr:twoCellAnchor>
    <xdr:from>
      <xdr:col>9</xdr:col>
      <xdr:colOff>6350</xdr:colOff>
      <xdr:row>4772</xdr:row>
      <xdr:rowOff>25400</xdr:rowOff>
    </xdr:from>
    <xdr:to>
      <xdr:col>9</xdr:col>
      <xdr:colOff>885190</xdr:colOff>
      <xdr:row>4772</xdr:row>
      <xdr:rowOff>1209040</xdr:rowOff>
    </xdr:to>
    <xdr:pic>
      <xdr:nvPicPr>
        <xdr:cNvPr id="9005" name="Изображение 9004" descr="resizeПП-00163647"/>
        <xdr:cNvPicPr>
          <a:picLocks noChangeAspect="1"/>
        </xdr:cNvPicPr>
      </xdr:nvPicPr>
      <xdr:blipFill>
        <a:blip xmlns:r="http://schemas.openxmlformats.org/officeDocument/2006/relationships" r:embed="rId3621"/>
        <a:stretch>
          <a:fillRect/>
        </a:stretch>
      </xdr:blipFill>
      <xdr:spPr>
        <a:xfrm>
          <a:off x="7235825" y="4796361375"/>
          <a:ext cx="878840" cy="1183640"/>
        </a:xfrm>
        <a:prstGeom prst="rect">
          <a:avLst/>
        </a:prstGeom>
      </xdr:spPr>
    </xdr:pic>
    <xdr:clientData/>
  </xdr:twoCellAnchor>
  <xdr:twoCellAnchor>
    <xdr:from>
      <xdr:col>9</xdr:col>
      <xdr:colOff>6350</xdr:colOff>
      <xdr:row>4773</xdr:row>
      <xdr:rowOff>25400</xdr:rowOff>
    </xdr:from>
    <xdr:to>
      <xdr:col>9</xdr:col>
      <xdr:colOff>885190</xdr:colOff>
      <xdr:row>4773</xdr:row>
      <xdr:rowOff>1209040</xdr:rowOff>
    </xdr:to>
    <xdr:pic>
      <xdr:nvPicPr>
        <xdr:cNvPr id="9006" name="Изображение 9005" descr="resizeПП-00163654"/>
        <xdr:cNvPicPr>
          <a:picLocks noChangeAspect="1"/>
        </xdr:cNvPicPr>
      </xdr:nvPicPr>
      <xdr:blipFill>
        <a:blip xmlns:r="http://schemas.openxmlformats.org/officeDocument/2006/relationships" r:embed="rId3622"/>
        <a:stretch>
          <a:fillRect/>
        </a:stretch>
      </xdr:blipFill>
      <xdr:spPr>
        <a:xfrm>
          <a:off x="7235825" y="4797583750"/>
          <a:ext cx="878840" cy="1183640"/>
        </a:xfrm>
        <a:prstGeom prst="rect">
          <a:avLst/>
        </a:prstGeom>
      </xdr:spPr>
    </xdr:pic>
    <xdr:clientData/>
  </xdr:twoCellAnchor>
  <xdr:twoCellAnchor>
    <xdr:from>
      <xdr:col>9</xdr:col>
      <xdr:colOff>6350</xdr:colOff>
      <xdr:row>4774</xdr:row>
      <xdr:rowOff>25400</xdr:rowOff>
    </xdr:from>
    <xdr:to>
      <xdr:col>9</xdr:col>
      <xdr:colOff>885190</xdr:colOff>
      <xdr:row>4774</xdr:row>
      <xdr:rowOff>1209040</xdr:rowOff>
    </xdr:to>
    <xdr:pic>
      <xdr:nvPicPr>
        <xdr:cNvPr id="9007" name="Изображение 9006" descr="resizeПП-00163651"/>
        <xdr:cNvPicPr>
          <a:picLocks noChangeAspect="1"/>
        </xdr:cNvPicPr>
      </xdr:nvPicPr>
      <xdr:blipFill>
        <a:blip xmlns:r="http://schemas.openxmlformats.org/officeDocument/2006/relationships" r:embed="rId3623"/>
        <a:stretch>
          <a:fillRect/>
        </a:stretch>
      </xdr:blipFill>
      <xdr:spPr>
        <a:xfrm>
          <a:off x="7235825" y="4798806125"/>
          <a:ext cx="878840" cy="1183640"/>
        </a:xfrm>
        <a:prstGeom prst="rect">
          <a:avLst/>
        </a:prstGeom>
      </xdr:spPr>
    </xdr:pic>
    <xdr:clientData/>
  </xdr:twoCellAnchor>
  <xdr:twoCellAnchor>
    <xdr:from>
      <xdr:col>9</xdr:col>
      <xdr:colOff>6350</xdr:colOff>
      <xdr:row>4775</xdr:row>
      <xdr:rowOff>25400</xdr:rowOff>
    </xdr:from>
    <xdr:to>
      <xdr:col>9</xdr:col>
      <xdr:colOff>885190</xdr:colOff>
      <xdr:row>4775</xdr:row>
      <xdr:rowOff>1209040</xdr:rowOff>
    </xdr:to>
    <xdr:pic>
      <xdr:nvPicPr>
        <xdr:cNvPr id="9008" name="Изображение 9007" descr="resizeПП-00163652"/>
        <xdr:cNvPicPr>
          <a:picLocks noChangeAspect="1"/>
        </xdr:cNvPicPr>
      </xdr:nvPicPr>
      <xdr:blipFill>
        <a:blip xmlns:r="http://schemas.openxmlformats.org/officeDocument/2006/relationships" r:embed="rId3624"/>
        <a:stretch>
          <a:fillRect/>
        </a:stretch>
      </xdr:blipFill>
      <xdr:spPr>
        <a:xfrm>
          <a:off x="7235825" y="4800028500"/>
          <a:ext cx="878840" cy="1183640"/>
        </a:xfrm>
        <a:prstGeom prst="rect">
          <a:avLst/>
        </a:prstGeom>
      </xdr:spPr>
    </xdr:pic>
    <xdr:clientData/>
  </xdr:twoCellAnchor>
  <xdr:twoCellAnchor>
    <xdr:from>
      <xdr:col>9</xdr:col>
      <xdr:colOff>6350</xdr:colOff>
      <xdr:row>4776</xdr:row>
      <xdr:rowOff>25400</xdr:rowOff>
    </xdr:from>
    <xdr:to>
      <xdr:col>9</xdr:col>
      <xdr:colOff>885190</xdr:colOff>
      <xdr:row>4776</xdr:row>
      <xdr:rowOff>1209040</xdr:rowOff>
    </xdr:to>
    <xdr:pic>
      <xdr:nvPicPr>
        <xdr:cNvPr id="9009" name="Изображение 9008" descr="resizeПП-00163674"/>
        <xdr:cNvPicPr>
          <a:picLocks noChangeAspect="1"/>
        </xdr:cNvPicPr>
      </xdr:nvPicPr>
      <xdr:blipFill>
        <a:blip xmlns:r="http://schemas.openxmlformats.org/officeDocument/2006/relationships" r:embed="rId3625"/>
        <a:stretch>
          <a:fillRect/>
        </a:stretch>
      </xdr:blipFill>
      <xdr:spPr>
        <a:xfrm>
          <a:off x="7235825" y="4801250875"/>
          <a:ext cx="878840" cy="1183640"/>
        </a:xfrm>
        <a:prstGeom prst="rect">
          <a:avLst/>
        </a:prstGeom>
      </xdr:spPr>
    </xdr:pic>
    <xdr:clientData/>
  </xdr:twoCellAnchor>
  <xdr:twoCellAnchor>
    <xdr:from>
      <xdr:col>9</xdr:col>
      <xdr:colOff>6350</xdr:colOff>
      <xdr:row>4777</xdr:row>
      <xdr:rowOff>25400</xdr:rowOff>
    </xdr:from>
    <xdr:to>
      <xdr:col>9</xdr:col>
      <xdr:colOff>885190</xdr:colOff>
      <xdr:row>4777</xdr:row>
      <xdr:rowOff>1209040</xdr:rowOff>
    </xdr:to>
    <xdr:pic>
      <xdr:nvPicPr>
        <xdr:cNvPr id="9010" name="Изображение 9009" descr="resizeПП-00163665"/>
        <xdr:cNvPicPr>
          <a:picLocks noChangeAspect="1"/>
        </xdr:cNvPicPr>
      </xdr:nvPicPr>
      <xdr:blipFill>
        <a:blip xmlns:r="http://schemas.openxmlformats.org/officeDocument/2006/relationships" r:embed="rId3626"/>
        <a:stretch>
          <a:fillRect/>
        </a:stretch>
      </xdr:blipFill>
      <xdr:spPr>
        <a:xfrm>
          <a:off x="7235825" y="4802473250"/>
          <a:ext cx="878840" cy="1183640"/>
        </a:xfrm>
        <a:prstGeom prst="rect">
          <a:avLst/>
        </a:prstGeom>
      </xdr:spPr>
    </xdr:pic>
    <xdr:clientData/>
  </xdr:twoCellAnchor>
  <xdr:twoCellAnchor>
    <xdr:from>
      <xdr:col>9</xdr:col>
      <xdr:colOff>6350</xdr:colOff>
      <xdr:row>4778</xdr:row>
      <xdr:rowOff>25400</xdr:rowOff>
    </xdr:from>
    <xdr:to>
      <xdr:col>9</xdr:col>
      <xdr:colOff>885190</xdr:colOff>
      <xdr:row>4778</xdr:row>
      <xdr:rowOff>1209040</xdr:rowOff>
    </xdr:to>
    <xdr:pic>
      <xdr:nvPicPr>
        <xdr:cNvPr id="9011" name="Изображение 9010" descr="resizeПП-00163595"/>
        <xdr:cNvPicPr>
          <a:picLocks noChangeAspect="1"/>
        </xdr:cNvPicPr>
      </xdr:nvPicPr>
      <xdr:blipFill>
        <a:blip xmlns:r="http://schemas.openxmlformats.org/officeDocument/2006/relationships" r:embed="rId3627"/>
        <a:stretch>
          <a:fillRect/>
        </a:stretch>
      </xdr:blipFill>
      <xdr:spPr>
        <a:xfrm>
          <a:off x="7235825" y="4803695625"/>
          <a:ext cx="878840" cy="1183640"/>
        </a:xfrm>
        <a:prstGeom prst="rect">
          <a:avLst/>
        </a:prstGeom>
      </xdr:spPr>
    </xdr:pic>
    <xdr:clientData/>
  </xdr:twoCellAnchor>
  <xdr:twoCellAnchor>
    <xdr:from>
      <xdr:col>9</xdr:col>
      <xdr:colOff>6350</xdr:colOff>
      <xdr:row>4779</xdr:row>
      <xdr:rowOff>25400</xdr:rowOff>
    </xdr:from>
    <xdr:to>
      <xdr:col>9</xdr:col>
      <xdr:colOff>885190</xdr:colOff>
      <xdr:row>4779</xdr:row>
      <xdr:rowOff>1209040</xdr:rowOff>
    </xdr:to>
    <xdr:pic>
      <xdr:nvPicPr>
        <xdr:cNvPr id="9012" name="Изображение 9011" descr="resizeПП-00163588"/>
        <xdr:cNvPicPr>
          <a:picLocks noChangeAspect="1"/>
        </xdr:cNvPicPr>
      </xdr:nvPicPr>
      <xdr:blipFill>
        <a:blip xmlns:r="http://schemas.openxmlformats.org/officeDocument/2006/relationships" r:embed="rId3628"/>
        <a:stretch>
          <a:fillRect/>
        </a:stretch>
      </xdr:blipFill>
      <xdr:spPr>
        <a:xfrm>
          <a:off x="7235825" y="4804918000"/>
          <a:ext cx="878840" cy="1183640"/>
        </a:xfrm>
        <a:prstGeom prst="rect">
          <a:avLst/>
        </a:prstGeom>
      </xdr:spPr>
    </xdr:pic>
    <xdr:clientData/>
  </xdr:twoCellAnchor>
  <xdr:twoCellAnchor>
    <xdr:from>
      <xdr:col>9</xdr:col>
      <xdr:colOff>6350</xdr:colOff>
      <xdr:row>4780</xdr:row>
      <xdr:rowOff>25400</xdr:rowOff>
    </xdr:from>
    <xdr:to>
      <xdr:col>9</xdr:col>
      <xdr:colOff>885190</xdr:colOff>
      <xdr:row>4780</xdr:row>
      <xdr:rowOff>1209040</xdr:rowOff>
    </xdr:to>
    <xdr:pic>
      <xdr:nvPicPr>
        <xdr:cNvPr id="9013" name="Изображение 9012" descr="resizeПП-00163588"/>
        <xdr:cNvPicPr>
          <a:picLocks noChangeAspect="1"/>
        </xdr:cNvPicPr>
      </xdr:nvPicPr>
      <xdr:blipFill>
        <a:blip xmlns:r="http://schemas.openxmlformats.org/officeDocument/2006/relationships" r:embed="rId3628"/>
        <a:stretch>
          <a:fillRect/>
        </a:stretch>
      </xdr:blipFill>
      <xdr:spPr>
        <a:xfrm>
          <a:off x="7235825" y="4806140375"/>
          <a:ext cx="878840" cy="1183640"/>
        </a:xfrm>
        <a:prstGeom prst="rect">
          <a:avLst/>
        </a:prstGeom>
      </xdr:spPr>
    </xdr:pic>
    <xdr:clientData/>
  </xdr:twoCellAnchor>
  <xdr:twoCellAnchor>
    <xdr:from>
      <xdr:col>9</xdr:col>
      <xdr:colOff>6350</xdr:colOff>
      <xdr:row>4781</xdr:row>
      <xdr:rowOff>25400</xdr:rowOff>
    </xdr:from>
    <xdr:to>
      <xdr:col>9</xdr:col>
      <xdr:colOff>885190</xdr:colOff>
      <xdr:row>4781</xdr:row>
      <xdr:rowOff>1209040</xdr:rowOff>
    </xdr:to>
    <xdr:pic>
      <xdr:nvPicPr>
        <xdr:cNvPr id="9014" name="Изображение 9013" descr="resizeПП-00163580"/>
        <xdr:cNvPicPr>
          <a:picLocks noChangeAspect="1"/>
        </xdr:cNvPicPr>
      </xdr:nvPicPr>
      <xdr:blipFill>
        <a:blip xmlns:r="http://schemas.openxmlformats.org/officeDocument/2006/relationships" r:embed="rId3629"/>
        <a:stretch>
          <a:fillRect/>
        </a:stretch>
      </xdr:blipFill>
      <xdr:spPr>
        <a:xfrm>
          <a:off x="7235825" y="4807362750"/>
          <a:ext cx="878840" cy="1183640"/>
        </a:xfrm>
        <a:prstGeom prst="rect">
          <a:avLst/>
        </a:prstGeom>
      </xdr:spPr>
    </xdr:pic>
    <xdr:clientData/>
  </xdr:twoCellAnchor>
  <xdr:twoCellAnchor>
    <xdr:from>
      <xdr:col>9</xdr:col>
      <xdr:colOff>6350</xdr:colOff>
      <xdr:row>4782</xdr:row>
      <xdr:rowOff>25400</xdr:rowOff>
    </xdr:from>
    <xdr:to>
      <xdr:col>9</xdr:col>
      <xdr:colOff>885190</xdr:colOff>
      <xdr:row>4782</xdr:row>
      <xdr:rowOff>1209040</xdr:rowOff>
    </xdr:to>
    <xdr:pic>
      <xdr:nvPicPr>
        <xdr:cNvPr id="9015" name="Изображение 9014" descr="resizeПП-00163580"/>
        <xdr:cNvPicPr>
          <a:picLocks noChangeAspect="1"/>
        </xdr:cNvPicPr>
      </xdr:nvPicPr>
      <xdr:blipFill>
        <a:blip xmlns:r="http://schemas.openxmlformats.org/officeDocument/2006/relationships" r:embed="rId3629"/>
        <a:stretch>
          <a:fillRect/>
        </a:stretch>
      </xdr:blipFill>
      <xdr:spPr>
        <a:xfrm>
          <a:off x="7235825" y="4808585125"/>
          <a:ext cx="878840" cy="1183640"/>
        </a:xfrm>
        <a:prstGeom prst="rect">
          <a:avLst/>
        </a:prstGeom>
      </xdr:spPr>
    </xdr:pic>
    <xdr:clientData/>
  </xdr:twoCellAnchor>
  <xdr:twoCellAnchor>
    <xdr:from>
      <xdr:col>9</xdr:col>
      <xdr:colOff>6350</xdr:colOff>
      <xdr:row>4783</xdr:row>
      <xdr:rowOff>25400</xdr:rowOff>
    </xdr:from>
    <xdr:to>
      <xdr:col>9</xdr:col>
      <xdr:colOff>885190</xdr:colOff>
      <xdr:row>4783</xdr:row>
      <xdr:rowOff>1209040</xdr:rowOff>
    </xdr:to>
    <xdr:pic>
      <xdr:nvPicPr>
        <xdr:cNvPr id="9016" name="Изображение 9015" descr="resizeПП-00163573"/>
        <xdr:cNvPicPr>
          <a:picLocks noChangeAspect="1"/>
        </xdr:cNvPicPr>
      </xdr:nvPicPr>
      <xdr:blipFill>
        <a:blip xmlns:r="http://schemas.openxmlformats.org/officeDocument/2006/relationships" r:embed="rId3630"/>
        <a:stretch>
          <a:fillRect/>
        </a:stretch>
      </xdr:blipFill>
      <xdr:spPr>
        <a:xfrm>
          <a:off x="7235825" y="4809807500"/>
          <a:ext cx="878840" cy="1183640"/>
        </a:xfrm>
        <a:prstGeom prst="rect">
          <a:avLst/>
        </a:prstGeom>
      </xdr:spPr>
    </xdr:pic>
    <xdr:clientData/>
  </xdr:twoCellAnchor>
  <xdr:twoCellAnchor>
    <xdr:from>
      <xdr:col>9</xdr:col>
      <xdr:colOff>6350</xdr:colOff>
      <xdr:row>4784</xdr:row>
      <xdr:rowOff>25400</xdr:rowOff>
    </xdr:from>
    <xdr:to>
      <xdr:col>9</xdr:col>
      <xdr:colOff>885190</xdr:colOff>
      <xdr:row>4784</xdr:row>
      <xdr:rowOff>1209040</xdr:rowOff>
    </xdr:to>
    <xdr:pic>
      <xdr:nvPicPr>
        <xdr:cNvPr id="9017" name="Изображение 9016" descr="resizeПП-00163573"/>
        <xdr:cNvPicPr>
          <a:picLocks noChangeAspect="1"/>
        </xdr:cNvPicPr>
      </xdr:nvPicPr>
      <xdr:blipFill>
        <a:blip xmlns:r="http://schemas.openxmlformats.org/officeDocument/2006/relationships" r:embed="rId3630"/>
        <a:stretch>
          <a:fillRect/>
        </a:stretch>
      </xdr:blipFill>
      <xdr:spPr>
        <a:xfrm>
          <a:off x="7235825" y="4811029875"/>
          <a:ext cx="878840" cy="1183640"/>
        </a:xfrm>
        <a:prstGeom prst="rect">
          <a:avLst/>
        </a:prstGeom>
      </xdr:spPr>
    </xdr:pic>
    <xdr:clientData/>
  </xdr:twoCellAnchor>
  <xdr:twoCellAnchor>
    <xdr:from>
      <xdr:col>9</xdr:col>
      <xdr:colOff>6350</xdr:colOff>
      <xdr:row>4785</xdr:row>
      <xdr:rowOff>25400</xdr:rowOff>
    </xdr:from>
    <xdr:to>
      <xdr:col>9</xdr:col>
      <xdr:colOff>885190</xdr:colOff>
      <xdr:row>4785</xdr:row>
      <xdr:rowOff>1209040</xdr:rowOff>
    </xdr:to>
    <xdr:pic>
      <xdr:nvPicPr>
        <xdr:cNvPr id="9018" name="Изображение 9017" descr="resizeПП-00163563"/>
        <xdr:cNvPicPr>
          <a:picLocks noChangeAspect="1"/>
        </xdr:cNvPicPr>
      </xdr:nvPicPr>
      <xdr:blipFill>
        <a:blip xmlns:r="http://schemas.openxmlformats.org/officeDocument/2006/relationships" r:embed="rId3631"/>
        <a:stretch>
          <a:fillRect/>
        </a:stretch>
      </xdr:blipFill>
      <xdr:spPr>
        <a:xfrm>
          <a:off x="7235825" y="4812252250"/>
          <a:ext cx="878840" cy="1183640"/>
        </a:xfrm>
        <a:prstGeom prst="rect">
          <a:avLst/>
        </a:prstGeom>
      </xdr:spPr>
    </xdr:pic>
    <xdr:clientData/>
  </xdr:twoCellAnchor>
  <xdr:twoCellAnchor>
    <xdr:from>
      <xdr:col>9</xdr:col>
      <xdr:colOff>6350</xdr:colOff>
      <xdr:row>4786</xdr:row>
      <xdr:rowOff>25400</xdr:rowOff>
    </xdr:from>
    <xdr:to>
      <xdr:col>9</xdr:col>
      <xdr:colOff>885190</xdr:colOff>
      <xdr:row>4786</xdr:row>
      <xdr:rowOff>1209040</xdr:rowOff>
    </xdr:to>
    <xdr:pic>
      <xdr:nvPicPr>
        <xdr:cNvPr id="9019" name="Изображение 9018" descr="resizeПП-00163589"/>
        <xdr:cNvPicPr>
          <a:picLocks noChangeAspect="1"/>
        </xdr:cNvPicPr>
      </xdr:nvPicPr>
      <xdr:blipFill>
        <a:blip xmlns:r="http://schemas.openxmlformats.org/officeDocument/2006/relationships" r:embed="rId3632"/>
        <a:stretch>
          <a:fillRect/>
        </a:stretch>
      </xdr:blipFill>
      <xdr:spPr>
        <a:xfrm>
          <a:off x="7235825" y="4813474625"/>
          <a:ext cx="878840" cy="1183640"/>
        </a:xfrm>
        <a:prstGeom prst="rect">
          <a:avLst/>
        </a:prstGeom>
      </xdr:spPr>
    </xdr:pic>
    <xdr:clientData/>
  </xdr:twoCellAnchor>
  <xdr:twoCellAnchor>
    <xdr:from>
      <xdr:col>9</xdr:col>
      <xdr:colOff>6350</xdr:colOff>
      <xdr:row>4787</xdr:row>
      <xdr:rowOff>25400</xdr:rowOff>
    </xdr:from>
    <xdr:to>
      <xdr:col>9</xdr:col>
      <xdr:colOff>885190</xdr:colOff>
      <xdr:row>4787</xdr:row>
      <xdr:rowOff>1209040</xdr:rowOff>
    </xdr:to>
    <xdr:pic>
      <xdr:nvPicPr>
        <xdr:cNvPr id="9020" name="Изображение 9019" descr="resizeПП-00163589"/>
        <xdr:cNvPicPr>
          <a:picLocks noChangeAspect="1"/>
        </xdr:cNvPicPr>
      </xdr:nvPicPr>
      <xdr:blipFill>
        <a:blip xmlns:r="http://schemas.openxmlformats.org/officeDocument/2006/relationships" r:embed="rId3632"/>
        <a:stretch>
          <a:fillRect/>
        </a:stretch>
      </xdr:blipFill>
      <xdr:spPr>
        <a:xfrm>
          <a:off x="7235825" y="4814697000"/>
          <a:ext cx="878840" cy="1183640"/>
        </a:xfrm>
        <a:prstGeom prst="rect">
          <a:avLst/>
        </a:prstGeom>
      </xdr:spPr>
    </xdr:pic>
    <xdr:clientData/>
  </xdr:twoCellAnchor>
  <xdr:twoCellAnchor>
    <xdr:from>
      <xdr:col>9</xdr:col>
      <xdr:colOff>6350</xdr:colOff>
      <xdr:row>4790</xdr:row>
      <xdr:rowOff>25400</xdr:rowOff>
    </xdr:from>
    <xdr:to>
      <xdr:col>9</xdr:col>
      <xdr:colOff>885190</xdr:colOff>
      <xdr:row>4790</xdr:row>
      <xdr:rowOff>1209040</xdr:rowOff>
    </xdr:to>
    <xdr:pic>
      <xdr:nvPicPr>
        <xdr:cNvPr id="9021" name="Изображение 9020" descr="resizeПП-00111331"/>
        <xdr:cNvPicPr>
          <a:picLocks noChangeAspect="1"/>
        </xdr:cNvPicPr>
      </xdr:nvPicPr>
      <xdr:blipFill>
        <a:blip xmlns:r="http://schemas.openxmlformats.org/officeDocument/2006/relationships" r:embed="rId3633"/>
        <a:stretch>
          <a:fillRect/>
        </a:stretch>
      </xdr:blipFill>
      <xdr:spPr>
        <a:xfrm>
          <a:off x="7235825" y="4816224175"/>
          <a:ext cx="878840" cy="1183640"/>
        </a:xfrm>
        <a:prstGeom prst="rect">
          <a:avLst/>
        </a:prstGeom>
      </xdr:spPr>
    </xdr:pic>
    <xdr:clientData/>
  </xdr:twoCellAnchor>
  <xdr:twoCellAnchor>
    <xdr:from>
      <xdr:col>9</xdr:col>
      <xdr:colOff>6350</xdr:colOff>
      <xdr:row>4791</xdr:row>
      <xdr:rowOff>25400</xdr:rowOff>
    </xdr:from>
    <xdr:to>
      <xdr:col>9</xdr:col>
      <xdr:colOff>1189990</xdr:colOff>
      <xdr:row>4791</xdr:row>
      <xdr:rowOff>904240</xdr:rowOff>
    </xdr:to>
    <xdr:pic>
      <xdr:nvPicPr>
        <xdr:cNvPr id="9022" name="Изображение 9021" descr="resizeПП-00111325"/>
        <xdr:cNvPicPr>
          <a:picLocks noChangeAspect="1"/>
        </xdr:cNvPicPr>
      </xdr:nvPicPr>
      <xdr:blipFill>
        <a:blip xmlns:r="http://schemas.openxmlformats.org/officeDocument/2006/relationships" r:embed="rId3634"/>
        <a:stretch>
          <a:fillRect/>
        </a:stretch>
      </xdr:blipFill>
      <xdr:spPr>
        <a:xfrm>
          <a:off x="7235825" y="4817446550"/>
          <a:ext cx="1183640" cy="878840"/>
        </a:xfrm>
        <a:prstGeom prst="rect">
          <a:avLst/>
        </a:prstGeom>
      </xdr:spPr>
    </xdr:pic>
    <xdr:clientData/>
  </xdr:twoCellAnchor>
  <xdr:twoCellAnchor>
    <xdr:from>
      <xdr:col>9</xdr:col>
      <xdr:colOff>6350</xdr:colOff>
      <xdr:row>4792</xdr:row>
      <xdr:rowOff>25400</xdr:rowOff>
    </xdr:from>
    <xdr:to>
      <xdr:col>9</xdr:col>
      <xdr:colOff>885190</xdr:colOff>
      <xdr:row>4792</xdr:row>
      <xdr:rowOff>1209040</xdr:rowOff>
    </xdr:to>
    <xdr:pic>
      <xdr:nvPicPr>
        <xdr:cNvPr id="9023" name="Изображение 9022" descr="resizeПП-00111319"/>
        <xdr:cNvPicPr>
          <a:picLocks noChangeAspect="1"/>
        </xdr:cNvPicPr>
      </xdr:nvPicPr>
      <xdr:blipFill>
        <a:blip xmlns:r="http://schemas.openxmlformats.org/officeDocument/2006/relationships" r:embed="rId3635"/>
        <a:stretch>
          <a:fillRect/>
        </a:stretch>
      </xdr:blipFill>
      <xdr:spPr>
        <a:xfrm>
          <a:off x="7235825" y="4818668925"/>
          <a:ext cx="878840" cy="1183640"/>
        </a:xfrm>
        <a:prstGeom prst="rect">
          <a:avLst/>
        </a:prstGeom>
      </xdr:spPr>
    </xdr:pic>
    <xdr:clientData/>
  </xdr:twoCellAnchor>
  <xdr:twoCellAnchor>
    <xdr:from>
      <xdr:col>9</xdr:col>
      <xdr:colOff>6350</xdr:colOff>
      <xdr:row>4793</xdr:row>
      <xdr:rowOff>25400</xdr:rowOff>
    </xdr:from>
    <xdr:to>
      <xdr:col>9</xdr:col>
      <xdr:colOff>885190</xdr:colOff>
      <xdr:row>4793</xdr:row>
      <xdr:rowOff>1209040</xdr:rowOff>
    </xdr:to>
    <xdr:pic>
      <xdr:nvPicPr>
        <xdr:cNvPr id="9024" name="Изображение 9023" descr="resizeПП-00111321"/>
        <xdr:cNvPicPr>
          <a:picLocks noChangeAspect="1"/>
        </xdr:cNvPicPr>
      </xdr:nvPicPr>
      <xdr:blipFill>
        <a:blip xmlns:r="http://schemas.openxmlformats.org/officeDocument/2006/relationships" r:embed="rId3636"/>
        <a:stretch>
          <a:fillRect/>
        </a:stretch>
      </xdr:blipFill>
      <xdr:spPr>
        <a:xfrm>
          <a:off x="7235825" y="4819891300"/>
          <a:ext cx="878840" cy="1183640"/>
        </a:xfrm>
        <a:prstGeom prst="rect">
          <a:avLst/>
        </a:prstGeom>
      </xdr:spPr>
    </xdr:pic>
    <xdr:clientData/>
  </xdr:twoCellAnchor>
  <xdr:twoCellAnchor>
    <xdr:from>
      <xdr:col>9</xdr:col>
      <xdr:colOff>6350</xdr:colOff>
      <xdr:row>4794</xdr:row>
      <xdr:rowOff>25400</xdr:rowOff>
    </xdr:from>
    <xdr:to>
      <xdr:col>9</xdr:col>
      <xdr:colOff>885190</xdr:colOff>
      <xdr:row>4794</xdr:row>
      <xdr:rowOff>1209040</xdr:rowOff>
    </xdr:to>
    <xdr:pic>
      <xdr:nvPicPr>
        <xdr:cNvPr id="9025" name="Изображение 9024" descr="resizeПП-00111324"/>
        <xdr:cNvPicPr>
          <a:picLocks noChangeAspect="1"/>
        </xdr:cNvPicPr>
      </xdr:nvPicPr>
      <xdr:blipFill>
        <a:blip xmlns:r="http://schemas.openxmlformats.org/officeDocument/2006/relationships" r:embed="rId3637"/>
        <a:stretch>
          <a:fillRect/>
        </a:stretch>
      </xdr:blipFill>
      <xdr:spPr>
        <a:xfrm>
          <a:off x="7235825" y="4821113675"/>
          <a:ext cx="878840" cy="1183640"/>
        </a:xfrm>
        <a:prstGeom prst="rect">
          <a:avLst/>
        </a:prstGeom>
      </xdr:spPr>
    </xdr:pic>
    <xdr:clientData/>
  </xdr:twoCellAnchor>
  <xdr:twoCellAnchor>
    <xdr:from>
      <xdr:col>9</xdr:col>
      <xdr:colOff>6350</xdr:colOff>
      <xdr:row>4795</xdr:row>
      <xdr:rowOff>25400</xdr:rowOff>
    </xdr:from>
    <xdr:to>
      <xdr:col>9</xdr:col>
      <xdr:colOff>885190</xdr:colOff>
      <xdr:row>4795</xdr:row>
      <xdr:rowOff>1209040</xdr:rowOff>
    </xdr:to>
    <xdr:pic>
      <xdr:nvPicPr>
        <xdr:cNvPr id="9026" name="Изображение 9025" descr="resizeПП-00111323"/>
        <xdr:cNvPicPr>
          <a:picLocks noChangeAspect="1"/>
        </xdr:cNvPicPr>
      </xdr:nvPicPr>
      <xdr:blipFill>
        <a:blip xmlns:r="http://schemas.openxmlformats.org/officeDocument/2006/relationships" r:embed="rId3638"/>
        <a:stretch>
          <a:fillRect/>
        </a:stretch>
      </xdr:blipFill>
      <xdr:spPr>
        <a:xfrm>
          <a:off x="7235825" y="4822336050"/>
          <a:ext cx="878840" cy="1183640"/>
        </a:xfrm>
        <a:prstGeom prst="rect">
          <a:avLst/>
        </a:prstGeom>
      </xdr:spPr>
    </xdr:pic>
    <xdr:clientData/>
  </xdr:twoCellAnchor>
  <xdr:twoCellAnchor>
    <xdr:from>
      <xdr:col>9</xdr:col>
      <xdr:colOff>6350</xdr:colOff>
      <xdr:row>4796</xdr:row>
      <xdr:rowOff>25400</xdr:rowOff>
    </xdr:from>
    <xdr:to>
      <xdr:col>9</xdr:col>
      <xdr:colOff>885190</xdr:colOff>
      <xdr:row>4796</xdr:row>
      <xdr:rowOff>1209040</xdr:rowOff>
    </xdr:to>
    <xdr:pic>
      <xdr:nvPicPr>
        <xdr:cNvPr id="9027" name="Изображение 9026" descr="resizeПП-00111326"/>
        <xdr:cNvPicPr>
          <a:picLocks noChangeAspect="1"/>
        </xdr:cNvPicPr>
      </xdr:nvPicPr>
      <xdr:blipFill>
        <a:blip xmlns:r="http://schemas.openxmlformats.org/officeDocument/2006/relationships" r:embed="rId3639"/>
        <a:stretch>
          <a:fillRect/>
        </a:stretch>
      </xdr:blipFill>
      <xdr:spPr>
        <a:xfrm>
          <a:off x="7235825" y="4823558425"/>
          <a:ext cx="878840" cy="1183640"/>
        </a:xfrm>
        <a:prstGeom prst="rect">
          <a:avLst/>
        </a:prstGeom>
      </xdr:spPr>
    </xdr:pic>
    <xdr:clientData/>
  </xdr:twoCellAnchor>
  <xdr:twoCellAnchor>
    <xdr:from>
      <xdr:col>9</xdr:col>
      <xdr:colOff>6350</xdr:colOff>
      <xdr:row>4797</xdr:row>
      <xdr:rowOff>25400</xdr:rowOff>
    </xdr:from>
    <xdr:to>
      <xdr:col>9</xdr:col>
      <xdr:colOff>885190</xdr:colOff>
      <xdr:row>4797</xdr:row>
      <xdr:rowOff>1209040</xdr:rowOff>
    </xdr:to>
    <xdr:pic>
      <xdr:nvPicPr>
        <xdr:cNvPr id="9028" name="Изображение 9027" descr="resizeПП-00111334"/>
        <xdr:cNvPicPr>
          <a:picLocks noChangeAspect="1"/>
        </xdr:cNvPicPr>
      </xdr:nvPicPr>
      <xdr:blipFill>
        <a:blip xmlns:r="http://schemas.openxmlformats.org/officeDocument/2006/relationships" r:embed="rId3640"/>
        <a:stretch>
          <a:fillRect/>
        </a:stretch>
      </xdr:blipFill>
      <xdr:spPr>
        <a:xfrm>
          <a:off x="7235825" y="4824780800"/>
          <a:ext cx="878840" cy="1183640"/>
        </a:xfrm>
        <a:prstGeom prst="rect">
          <a:avLst/>
        </a:prstGeom>
      </xdr:spPr>
    </xdr:pic>
    <xdr:clientData/>
  </xdr:twoCellAnchor>
  <xdr:twoCellAnchor>
    <xdr:from>
      <xdr:col>9</xdr:col>
      <xdr:colOff>6350</xdr:colOff>
      <xdr:row>4798</xdr:row>
      <xdr:rowOff>25400</xdr:rowOff>
    </xdr:from>
    <xdr:to>
      <xdr:col>9</xdr:col>
      <xdr:colOff>885190</xdr:colOff>
      <xdr:row>4798</xdr:row>
      <xdr:rowOff>1209040</xdr:rowOff>
    </xdr:to>
    <xdr:pic>
      <xdr:nvPicPr>
        <xdr:cNvPr id="9029" name="Изображение 9028" descr="resizeПП-00111333"/>
        <xdr:cNvPicPr>
          <a:picLocks noChangeAspect="1"/>
        </xdr:cNvPicPr>
      </xdr:nvPicPr>
      <xdr:blipFill>
        <a:blip xmlns:r="http://schemas.openxmlformats.org/officeDocument/2006/relationships" r:embed="rId3641"/>
        <a:stretch>
          <a:fillRect/>
        </a:stretch>
      </xdr:blipFill>
      <xdr:spPr>
        <a:xfrm>
          <a:off x="7235825" y="4826003175"/>
          <a:ext cx="878840" cy="1183640"/>
        </a:xfrm>
        <a:prstGeom prst="rect">
          <a:avLst/>
        </a:prstGeom>
      </xdr:spPr>
    </xdr:pic>
    <xdr:clientData/>
  </xdr:twoCellAnchor>
  <xdr:twoCellAnchor>
    <xdr:from>
      <xdr:col>9</xdr:col>
      <xdr:colOff>6350</xdr:colOff>
      <xdr:row>4799</xdr:row>
      <xdr:rowOff>25400</xdr:rowOff>
    </xdr:from>
    <xdr:to>
      <xdr:col>9</xdr:col>
      <xdr:colOff>885190</xdr:colOff>
      <xdr:row>4799</xdr:row>
      <xdr:rowOff>1209040</xdr:rowOff>
    </xdr:to>
    <xdr:pic>
      <xdr:nvPicPr>
        <xdr:cNvPr id="9030" name="Изображение 9029" descr="resizeПП-00111312"/>
        <xdr:cNvPicPr>
          <a:picLocks noChangeAspect="1"/>
        </xdr:cNvPicPr>
      </xdr:nvPicPr>
      <xdr:blipFill>
        <a:blip xmlns:r="http://schemas.openxmlformats.org/officeDocument/2006/relationships" r:embed="rId3642"/>
        <a:stretch>
          <a:fillRect/>
        </a:stretch>
      </xdr:blipFill>
      <xdr:spPr>
        <a:xfrm>
          <a:off x="7235825" y="4827225550"/>
          <a:ext cx="878840" cy="1183640"/>
        </a:xfrm>
        <a:prstGeom prst="rect">
          <a:avLst/>
        </a:prstGeom>
      </xdr:spPr>
    </xdr:pic>
    <xdr:clientData/>
  </xdr:twoCellAnchor>
  <xdr:twoCellAnchor>
    <xdr:from>
      <xdr:col>9</xdr:col>
      <xdr:colOff>6350</xdr:colOff>
      <xdr:row>4800</xdr:row>
      <xdr:rowOff>25400</xdr:rowOff>
    </xdr:from>
    <xdr:to>
      <xdr:col>9</xdr:col>
      <xdr:colOff>885190</xdr:colOff>
      <xdr:row>4800</xdr:row>
      <xdr:rowOff>1209040</xdr:rowOff>
    </xdr:to>
    <xdr:pic>
      <xdr:nvPicPr>
        <xdr:cNvPr id="9031" name="Изображение 9030" descr="resizeПП-00111317"/>
        <xdr:cNvPicPr>
          <a:picLocks noChangeAspect="1"/>
        </xdr:cNvPicPr>
      </xdr:nvPicPr>
      <xdr:blipFill>
        <a:blip xmlns:r="http://schemas.openxmlformats.org/officeDocument/2006/relationships" r:embed="rId3643"/>
        <a:stretch>
          <a:fillRect/>
        </a:stretch>
      </xdr:blipFill>
      <xdr:spPr>
        <a:xfrm>
          <a:off x="7235825" y="4828447925"/>
          <a:ext cx="878840" cy="1183640"/>
        </a:xfrm>
        <a:prstGeom prst="rect">
          <a:avLst/>
        </a:prstGeom>
      </xdr:spPr>
    </xdr:pic>
    <xdr:clientData/>
  </xdr:twoCellAnchor>
  <xdr:twoCellAnchor>
    <xdr:from>
      <xdr:col>9</xdr:col>
      <xdr:colOff>6350</xdr:colOff>
      <xdr:row>4801</xdr:row>
      <xdr:rowOff>25400</xdr:rowOff>
    </xdr:from>
    <xdr:to>
      <xdr:col>9</xdr:col>
      <xdr:colOff>885190</xdr:colOff>
      <xdr:row>4801</xdr:row>
      <xdr:rowOff>1209040</xdr:rowOff>
    </xdr:to>
    <xdr:pic>
      <xdr:nvPicPr>
        <xdr:cNvPr id="9032" name="Изображение 9031" descr="resizeПП-00111305"/>
        <xdr:cNvPicPr>
          <a:picLocks noChangeAspect="1"/>
        </xdr:cNvPicPr>
      </xdr:nvPicPr>
      <xdr:blipFill>
        <a:blip xmlns:r="http://schemas.openxmlformats.org/officeDocument/2006/relationships" r:embed="rId3644"/>
        <a:stretch>
          <a:fillRect/>
        </a:stretch>
      </xdr:blipFill>
      <xdr:spPr>
        <a:xfrm>
          <a:off x="7235825" y="4829670300"/>
          <a:ext cx="878840" cy="1183640"/>
        </a:xfrm>
        <a:prstGeom prst="rect">
          <a:avLst/>
        </a:prstGeom>
      </xdr:spPr>
    </xdr:pic>
    <xdr:clientData/>
  </xdr:twoCellAnchor>
  <xdr:twoCellAnchor>
    <xdr:from>
      <xdr:col>9</xdr:col>
      <xdr:colOff>6350</xdr:colOff>
      <xdr:row>4802</xdr:row>
      <xdr:rowOff>25400</xdr:rowOff>
    </xdr:from>
    <xdr:to>
      <xdr:col>9</xdr:col>
      <xdr:colOff>885190</xdr:colOff>
      <xdr:row>4802</xdr:row>
      <xdr:rowOff>1209040</xdr:rowOff>
    </xdr:to>
    <xdr:pic>
      <xdr:nvPicPr>
        <xdr:cNvPr id="9033" name="Изображение 9032" descr="resizeПП-00111314"/>
        <xdr:cNvPicPr>
          <a:picLocks noChangeAspect="1"/>
        </xdr:cNvPicPr>
      </xdr:nvPicPr>
      <xdr:blipFill>
        <a:blip xmlns:r="http://schemas.openxmlformats.org/officeDocument/2006/relationships" r:embed="rId3645"/>
        <a:stretch>
          <a:fillRect/>
        </a:stretch>
      </xdr:blipFill>
      <xdr:spPr>
        <a:xfrm>
          <a:off x="7235825" y="4830892675"/>
          <a:ext cx="878840" cy="1183640"/>
        </a:xfrm>
        <a:prstGeom prst="rect">
          <a:avLst/>
        </a:prstGeom>
      </xdr:spPr>
    </xdr:pic>
    <xdr:clientData/>
  </xdr:twoCellAnchor>
  <xdr:twoCellAnchor>
    <xdr:from>
      <xdr:col>9</xdr:col>
      <xdr:colOff>6350</xdr:colOff>
      <xdr:row>4803</xdr:row>
      <xdr:rowOff>25400</xdr:rowOff>
    </xdr:from>
    <xdr:to>
      <xdr:col>9</xdr:col>
      <xdr:colOff>885190</xdr:colOff>
      <xdr:row>4803</xdr:row>
      <xdr:rowOff>1209040</xdr:rowOff>
    </xdr:to>
    <xdr:pic>
      <xdr:nvPicPr>
        <xdr:cNvPr id="9034" name="Изображение 9033" descr="resizeПП-00111311"/>
        <xdr:cNvPicPr>
          <a:picLocks noChangeAspect="1"/>
        </xdr:cNvPicPr>
      </xdr:nvPicPr>
      <xdr:blipFill>
        <a:blip xmlns:r="http://schemas.openxmlformats.org/officeDocument/2006/relationships" r:embed="rId3646"/>
        <a:stretch>
          <a:fillRect/>
        </a:stretch>
      </xdr:blipFill>
      <xdr:spPr>
        <a:xfrm>
          <a:off x="7235825" y="4832115050"/>
          <a:ext cx="878840" cy="1183640"/>
        </a:xfrm>
        <a:prstGeom prst="rect">
          <a:avLst/>
        </a:prstGeom>
      </xdr:spPr>
    </xdr:pic>
    <xdr:clientData/>
  </xdr:twoCellAnchor>
  <xdr:twoCellAnchor>
    <xdr:from>
      <xdr:col>9</xdr:col>
      <xdr:colOff>6350</xdr:colOff>
      <xdr:row>4804</xdr:row>
      <xdr:rowOff>25400</xdr:rowOff>
    </xdr:from>
    <xdr:to>
      <xdr:col>9</xdr:col>
      <xdr:colOff>885190</xdr:colOff>
      <xdr:row>4804</xdr:row>
      <xdr:rowOff>1209040</xdr:rowOff>
    </xdr:to>
    <xdr:pic>
      <xdr:nvPicPr>
        <xdr:cNvPr id="9035" name="Изображение 9034" descr="resizeПП-00152765"/>
        <xdr:cNvPicPr>
          <a:picLocks noChangeAspect="1"/>
        </xdr:cNvPicPr>
      </xdr:nvPicPr>
      <xdr:blipFill>
        <a:blip xmlns:r="http://schemas.openxmlformats.org/officeDocument/2006/relationships" r:embed="rId3647"/>
        <a:stretch>
          <a:fillRect/>
        </a:stretch>
      </xdr:blipFill>
      <xdr:spPr>
        <a:xfrm>
          <a:off x="7235825" y="4833337425"/>
          <a:ext cx="878840" cy="1183640"/>
        </a:xfrm>
        <a:prstGeom prst="rect">
          <a:avLst/>
        </a:prstGeom>
      </xdr:spPr>
    </xdr:pic>
    <xdr:clientData/>
  </xdr:twoCellAnchor>
  <xdr:twoCellAnchor>
    <xdr:from>
      <xdr:col>9</xdr:col>
      <xdr:colOff>6350</xdr:colOff>
      <xdr:row>4805</xdr:row>
      <xdr:rowOff>25400</xdr:rowOff>
    </xdr:from>
    <xdr:to>
      <xdr:col>9</xdr:col>
      <xdr:colOff>885190</xdr:colOff>
      <xdr:row>4805</xdr:row>
      <xdr:rowOff>1209040</xdr:rowOff>
    </xdr:to>
    <xdr:pic>
      <xdr:nvPicPr>
        <xdr:cNvPr id="9036" name="Изображение 9035" descr="resizeПП-00113417"/>
        <xdr:cNvPicPr>
          <a:picLocks noChangeAspect="1"/>
        </xdr:cNvPicPr>
      </xdr:nvPicPr>
      <xdr:blipFill>
        <a:blip xmlns:r="http://schemas.openxmlformats.org/officeDocument/2006/relationships" r:embed="rId3648"/>
        <a:stretch>
          <a:fillRect/>
        </a:stretch>
      </xdr:blipFill>
      <xdr:spPr>
        <a:xfrm>
          <a:off x="7235825" y="4834559800"/>
          <a:ext cx="878840" cy="1183640"/>
        </a:xfrm>
        <a:prstGeom prst="rect">
          <a:avLst/>
        </a:prstGeom>
      </xdr:spPr>
    </xdr:pic>
    <xdr:clientData/>
  </xdr:twoCellAnchor>
  <xdr:twoCellAnchor>
    <xdr:from>
      <xdr:col>9</xdr:col>
      <xdr:colOff>6350</xdr:colOff>
      <xdr:row>4807</xdr:row>
      <xdr:rowOff>25400</xdr:rowOff>
    </xdr:from>
    <xdr:to>
      <xdr:col>9</xdr:col>
      <xdr:colOff>885190</xdr:colOff>
      <xdr:row>4807</xdr:row>
      <xdr:rowOff>1209040</xdr:rowOff>
    </xdr:to>
    <xdr:pic>
      <xdr:nvPicPr>
        <xdr:cNvPr id="9037" name="Изображение 9036" descr="resizeПП-00259154"/>
        <xdr:cNvPicPr>
          <a:picLocks noChangeAspect="1"/>
        </xdr:cNvPicPr>
      </xdr:nvPicPr>
      <xdr:blipFill>
        <a:blip xmlns:r="http://schemas.openxmlformats.org/officeDocument/2006/relationships" r:embed="rId3649"/>
        <a:stretch>
          <a:fillRect/>
        </a:stretch>
      </xdr:blipFill>
      <xdr:spPr>
        <a:xfrm>
          <a:off x="7235825" y="4835934575"/>
          <a:ext cx="878840" cy="1183640"/>
        </a:xfrm>
        <a:prstGeom prst="rect">
          <a:avLst/>
        </a:prstGeom>
      </xdr:spPr>
    </xdr:pic>
    <xdr:clientData/>
  </xdr:twoCellAnchor>
  <xdr:twoCellAnchor>
    <xdr:from>
      <xdr:col>9</xdr:col>
      <xdr:colOff>6350</xdr:colOff>
      <xdr:row>4808</xdr:row>
      <xdr:rowOff>25400</xdr:rowOff>
    </xdr:from>
    <xdr:to>
      <xdr:col>9</xdr:col>
      <xdr:colOff>885190</xdr:colOff>
      <xdr:row>4808</xdr:row>
      <xdr:rowOff>1209040</xdr:rowOff>
    </xdr:to>
    <xdr:pic>
      <xdr:nvPicPr>
        <xdr:cNvPr id="9038" name="Изображение 9037" descr="resizeПП-00259153"/>
        <xdr:cNvPicPr>
          <a:picLocks noChangeAspect="1"/>
        </xdr:cNvPicPr>
      </xdr:nvPicPr>
      <xdr:blipFill>
        <a:blip xmlns:r="http://schemas.openxmlformats.org/officeDocument/2006/relationships" r:embed="rId3650"/>
        <a:stretch>
          <a:fillRect/>
        </a:stretch>
      </xdr:blipFill>
      <xdr:spPr>
        <a:xfrm>
          <a:off x="7235825" y="4837156950"/>
          <a:ext cx="878840" cy="1183640"/>
        </a:xfrm>
        <a:prstGeom prst="rect">
          <a:avLst/>
        </a:prstGeom>
      </xdr:spPr>
    </xdr:pic>
    <xdr:clientData/>
  </xdr:twoCellAnchor>
  <xdr:twoCellAnchor>
    <xdr:from>
      <xdr:col>9</xdr:col>
      <xdr:colOff>6350</xdr:colOff>
      <xdr:row>4809</xdr:row>
      <xdr:rowOff>25400</xdr:rowOff>
    </xdr:from>
    <xdr:to>
      <xdr:col>9</xdr:col>
      <xdr:colOff>885190</xdr:colOff>
      <xdr:row>4809</xdr:row>
      <xdr:rowOff>1209040</xdr:rowOff>
    </xdr:to>
    <xdr:pic>
      <xdr:nvPicPr>
        <xdr:cNvPr id="9039" name="Изображение 9038" descr="resizeПП-00259155"/>
        <xdr:cNvPicPr>
          <a:picLocks noChangeAspect="1"/>
        </xdr:cNvPicPr>
      </xdr:nvPicPr>
      <xdr:blipFill>
        <a:blip xmlns:r="http://schemas.openxmlformats.org/officeDocument/2006/relationships" r:embed="rId3651"/>
        <a:stretch>
          <a:fillRect/>
        </a:stretch>
      </xdr:blipFill>
      <xdr:spPr>
        <a:xfrm>
          <a:off x="7235825" y="4838379325"/>
          <a:ext cx="878840" cy="1183640"/>
        </a:xfrm>
        <a:prstGeom prst="rect">
          <a:avLst/>
        </a:prstGeom>
      </xdr:spPr>
    </xdr:pic>
    <xdr:clientData/>
  </xdr:twoCellAnchor>
  <xdr:twoCellAnchor>
    <xdr:from>
      <xdr:col>9</xdr:col>
      <xdr:colOff>6350</xdr:colOff>
      <xdr:row>4811</xdr:row>
      <xdr:rowOff>25400</xdr:rowOff>
    </xdr:from>
    <xdr:to>
      <xdr:col>9</xdr:col>
      <xdr:colOff>885190</xdr:colOff>
      <xdr:row>4811</xdr:row>
      <xdr:rowOff>1209040</xdr:rowOff>
    </xdr:to>
    <xdr:pic>
      <xdr:nvPicPr>
        <xdr:cNvPr id="9040" name="Изображение 9039" descr="resizeПП-00249561"/>
        <xdr:cNvPicPr>
          <a:picLocks noChangeAspect="1"/>
        </xdr:cNvPicPr>
      </xdr:nvPicPr>
      <xdr:blipFill>
        <a:blip xmlns:r="http://schemas.openxmlformats.org/officeDocument/2006/relationships" r:embed="rId3652"/>
        <a:stretch>
          <a:fillRect/>
        </a:stretch>
      </xdr:blipFill>
      <xdr:spPr>
        <a:xfrm>
          <a:off x="7235825" y="4839754100"/>
          <a:ext cx="878840" cy="1183640"/>
        </a:xfrm>
        <a:prstGeom prst="rect">
          <a:avLst/>
        </a:prstGeom>
      </xdr:spPr>
    </xdr:pic>
    <xdr:clientData/>
  </xdr:twoCellAnchor>
  <xdr:twoCellAnchor>
    <xdr:from>
      <xdr:col>9</xdr:col>
      <xdr:colOff>6350</xdr:colOff>
      <xdr:row>4812</xdr:row>
      <xdr:rowOff>25400</xdr:rowOff>
    </xdr:from>
    <xdr:to>
      <xdr:col>9</xdr:col>
      <xdr:colOff>885190</xdr:colOff>
      <xdr:row>4812</xdr:row>
      <xdr:rowOff>1209040</xdr:rowOff>
    </xdr:to>
    <xdr:pic>
      <xdr:nvPicPr>
        <xdr:cNvPr id="9041" name="Изображение 9040" descr="resizeПП-00249566"/>
        <xdr:cNvPicPr>
          <a:picLocks noChangeAspect="1"/>
        </xdr:cNvPicPr>
      </xdr:nvPicPr>
      <xdr:blipFill>
        <a:blip xmlns:r="http://schemas.openxmlformats.org/officeDocument/2006/relationships" r:embed="rId3653"/>
        <a:stretch>
          <a:fillRect/>
        </a:stretch>
      </xdr:blipFill>
      <xdr:spPr>
        <a:xfrm>
          <a:off x="7235825" y="4840976475"/>
          <a:ext cx="878840" cy="1183640"/>
        </a:xfrm>
        <a:prstGeom prst="rect">
          <a:avLst/>
        </a:prstGeom>
      </xdr:spPr>
    </xdr:pic>
    <xdr:clientData/>
  </xdr:twoCellAnchor>
  <xdr:twoCellAnchor>
    <xdr:from>
      <xdr:col>9</xdr:col>
      <xdr:colOff>6350</xdr:colOff>
      <xdr:row>4813</xdr:row>
      <xdr:rowOff>25400</xdr:rowOff>
    </xdr:from>
    <xdr:to>
      <xdr:col>9</xdr:col>
      <xdr:colOff>885190</xdr:colOff>
      <xdr:row>4813</xdr:row>
      <xdr:rowOff>1209040</xdr:rowOff>
    </xdr:to>
    <xdr:pic>
      <xdr:nvPicPr>
        <xdr:cNvPr id="9042" name="Изображение 9041" descr="resizeПП-00249564"/>
        <xdr:cNvPicPr>
          <a:picLocks noChangeAspect="1"/>
        </xdr:cNvPicPr>
      </xdr:nvPicPr>
      <xdr:blipFill>
        <a:blip xmlns:r="http://schemas.openxmlformats.org/officeDocument/2006/relationships" r:embed="rId3654"/>
        <a:stretch>
          <a:fillRect/>
        </a:stretch>
      </xdr:blipFill>
      <xdr:spPr>
        <a:xfrm>
          <a:off x="7235825" y="4842198850"/>
          <a:ext cx="878840" cy="1183640"/>
        </a:xfrm>
        <a:prstGeom prst="rect">
          <a:avLst/>
        </a:prstGeom>
      </xdr:spPr>
    </xdr:pic>
    <xdr:clientData/>
  </xdr:twoCellAnchor>
  <xdr:twoCellAnchor>
    <xdr:from>
      <xdr:col>9</xdr:col>
      <xdr:colOff>6350</xdr:colOff>
      <xdr:row>4814</xdr:row>
      <xdr:rowOff>25400</xdr:rowOff>
    </xdr:from>
    <xdr:to>
      <xdr:col>9</xdr:col>
      <xdr:colOff>885190</xdr:colOff>
      <xdr:row>4814</xdr:row>
      <xdr:rowOff>1209040</xdr:rowOff>
    </xdr:to>
    <xdr:pic>
      <xdr:nvPicPr>
        <xdr:cNvPr id="9043" name="Изображение 9042" descr="resizeПП-00249555"/>
        <xdr:cNvPicPr>
          <a:picLocks noChangeAspect="1"/>
        </xdr:cNvPicPr>
      </xdr:nvPicPr>
      <xdr:blipFill>
        <a:blip xmlns:r="http://schemas.openxmlformats.org/officeDocument/2006/relationships" r:embed="rId3655"/>
        <a:stretch>
          <a:fillRect/>
        </a:stretch>
      </xdr:blipFill>
      <xdr:spPr>
        <a:xfrm>
          <a:off x="7235825" y="4843421225"/>
          <a:ext cx="878840" cy="1183640"/>
        </a:xfrm>
        <a:prstGeom prst="rect">
          <a:avLst/>
        </a:prstGeom>
      </xdr:spPr>
    </xdr:pic>
    <xdr:clientData/>
  </xdr:twoCellAnchor>
  <xdr:twoCellAnchor>
    <xdr:from>
      <xdr:col>9</xdr:col>
      <xdr:colOff>6350</xdr:colOff>
      <xdr:row>4815</xdr:row>
      <xdr:rowOff>25400</xdr:rowOff>
    </xdr:from>
    <xdr:to>
      <xdr:col>9</xdr:col>
      <xdr:colOff>1189990</xdr:colOff>
      <xdr:row>4815</xdr:row>
      <xdr:rowOff>904240</xdr:rowOff>
    </xdr:to>
    <xdr:pic>
      <xdr:nvPicPr>
        <xdr:cNvPr id="9044" name="Изображение 9043" descr="resizeПП-00249556"/>
        <xdr:cNvPicPr>
          <a:picLocks noChangeAspect="1"/>
        </xdr:cNvPicPr>
      </xdr:nvPicPr>
      <xdr:blipFill>
        <a:blip xmlns:r="http://schemas.openxmlformats.org/officeDocument/2006/relationships" r:embed="rId3656"/>
        <a:stretch>
          <a:fillRect/>
        </a:stretch>
      </xdr:blipFill>
      <xdr:spPr>
        <a:xfrm>
          <a:off x="7235825" y="4844643600"/>
          <a:ext cx="1183640" cy="878840"/>
        </a:xfrm>
        <a:prstGeom prst="rect">
          <a:avLst/>
        </a:prstGeom>
      </xdr:spPr>
    </xdr:pic>
    <xdr:clientData/>
  </xdr:twoCellAnchor>
  <xdr:twoCellAnchor>
    <xdr:from>
      <xdr:col>9</xdr:col>
      <xdr:colOff>6350</xdr:colOff>
      <xdr:row>4816</xdr:row>
      <xdr:rowOff>25400</xdr:rowOff>
    </xdr:from>
    <xdr:to>
      <xdr:col>9</xdr:col>
      <xdr:colOff>885190</xdr:colOff>
      <xdr:row>4816</xdr:row>
      <xdr:rowOff>1209040</xdr:rowOff>
    </xdr:to>
    <xdr:pic>
      <xdr:nvPicPr>
        <xdr:cNvPr id="9045" name="Изображение 9044" descr="resizeПП-00249557"/>
        <xdr:cNvPicPr>
          <a:picLocks noChangeAspect="1"/>
        </xdr:cNvPicPr>
      </xdr:nvPicPr>
      <xdr:blipFill>
        <a:blip xmlns:r="http://schemas.openxmlformats.org/officeDocument/2006/relationships" r:embed="rId3657"/>
        <a:stretch>
          <a:fillRect/>
        </a:stretch>
      </xdr:blipFill>
      <xdr:spPr>
        <a:xfrm>
          <a:off x="7235825" y="4845865975"/>
          <a:ext cx="878840" cy="1183640"/>
        </a:xfrm>
        <a:prstGeom prst="rect">
          <a:avLst/>
        </a:prstGeom>
      </xdr:spPr>
    </xdr:pic>
    <xdr:clientData/>
  </xdr:twoCellAnchor>
  <xdr:twoCellAnchor>
    <xdr:from>
      <xdr:col>9</xdr:col>
      <xdr:colOff>6350</xdr:colOff>
      <xdr:row>4817</xdr:row>
      <xdr:rowOff>25400</xdr:rowOff>
    </xdr:from>
    <xdr:to>
      <xdr:col>9</xdr:col>
      <xdr:colOff>885190</xdr:colOff>
      <xdr:row>4817</xdr:row>
      <xdr:rowOff>1209040</xdr:rowOff>
    </xdr:to>
    <xdr:pic>
      <xdr:nvPicPr>
        <xdr:cNvPr id="9046" name="Изображение 9045" descr="resizeПП-00249558"/>
        <xdr:cNvPicPr>
          <a:picLocks noChangeAspect="1"/>
        </xdr:cNvPicPr>
      </xdr:nvPicPr>
      <xdr:blipFill>
        <a:blip xmlns:r="http://schemas.openxmlformats.org/officeDocument/2006/relationships" r:embed="rId3658"/>
        <a:stretch>
          <a:fillRect/>
        </a:stretch>
      </xdr:blipFill>
      <xdr:spPr>
        <a:xfrm>
          <a:off x="7235825" y="4847088350"/>
          <a:ext cx="878840" cy="1183640"/>
        </a:xfrm>
        <a:prstGeom prst="rect">
          <a:avLst/>
        </a:prstGeom>
      </xdr:spPr>
    </xdr:pic>
    <xdr:clientData/>
  </xdr:twoCellAnchor>
  <xdr:twoCellAnchor>
    <xdr:from>
      <xdr:col>9</xdr:col>
      <xdr:colOff>6350</xdr:colOff>
      <xdr:row>4818</xdr:row>
      <xdr:rowOff>25400</xdr:rowOff>
    </xdr:from>
    <xdr:to>
      <xdr:col>9</xdr:col>
      <xdr:colOff>885190</xdr:colOff>
      <xdr:row>4818</xdr:row>
      <xdr:rowOff>1209040</xdr:rowOff>
    </xdr:to>
    <xdr:pic>
      <xdr:nvPicPr>
        <xdr:cNvPr id="9047" name="Изображение 9046" descr="resizeПП-00249559"/>
        <xdr:cNvPicPr>
          <a:picLocks noChangeAspect="1"/>
        </xdr:cNvPicPr>
      </xdr:nvPicPr>
      <xdr:blipFill>
        <a:blip xmlns:r="http://schemas.openxmlformats.org/officeDocument/2006/relationships" r:embed="rId3659"/>
        <a:stretch>
          <a:fillRect/>
        </a:stretch>
      </xdr:blipFill>
      <xdr:spPr>
        <a:xfrm>
          <a:off x="7235825" y="4848310725"/>
          <a:ext cx="878840" cy="1183640"/>
        </a:xfrm>
        <a:prstGeom prst="rect">
          <a:avLst/>
        </a:prstGeom>
      </xdr:spPr>
    </xdr:pic>
    <xdr:clientData/>
  </xdr:twoCellAnchor>
  <xdr:twoCellAnchor>
    <xdr:from>
      <xdr:col>9</xdr:col>
      <xdr:colOff>6350</xdr:colOff>
      <xdr:row>4819</xdr:row>
      <xdr:rowOff>25400</xdr:rowOff>
    </xdr:from>
    <xdr:to>
      <xdr:col>9</xdr:col>
      <xdr:colOff>885190</xdr:colOff>
      <xdr:row>4819</xdr:row>
      <xdr:rowOff>1209040</xdr:rowOff>
    </xdr:to>
    <xdr:pic>
      <xdr:nvPicPr>
        <xdr:cNvPr id="9048" name="Изображение 9047" descr="resizeПП-00249563"/>
        <xdr:cNvPicPr>
          <a:picLocks noChangeAspect="1"/>
        </xdr:cNvPicPr>
      </xdr:nvPicPr>
      <xdr:blipFill>
        <a:blip xmlns:r="http://schemas.openxmlformats.org/officeDocument/2006/relationships" r:embed="rId3660"/>
        <a:stretch>
          <a:fillRect/>
        </a:stretch>
      </xdr:blipFill>
      <xdr:spPr>
        <a:xfrm>
          <a:off x="7235825" y="4849533100"/>
          <a:ext cx="878840" cy="1183640"/>
        </a:xfrm>
        <a:prstGeom prst="rect">
          <a:avLst/>
        </a:prstGeom>
      </xdr:spPr>
    </xdr:pic>
    <xdr:clientData/>
  </xdr:twoCellAnchor>
  <xdr:twoCellAnchor>
    <xdr:from>
      <xdr:col>9</xdr:col>
      <xdr:colOff>6350</xdr:colOff>
      <xdr:row>4825</xdr:row>
      <xdr:rowOff>25400</xdr:rowOff>
    </xdr:from>
    <xdr:to>
      <xdr:col>9</xdr:col>
      <xdr:colOff>885190</xdr:colOff>
      <xdr:row>4825</xdr:row>
      <xdr:rowOff>1209040</xdr:rowOff>
    </xdr:to>
    <xdr:pic>
      <xdr:nvPicPr>
        <xdr:cNvPr id="9049" name="Изображение 9048" descr="resizeПП-00245649"/>
        <xdr:cNvPicPr>
          <a:picLocks noChangeAspect="1"/>
        </xdr:cNvPicPr>
      </xdr:nvPicPr>
      <xdr:blipFill>
        <a:blip xmlns:r="http://schemas.openxmlformats.org/officeDocument/2006/relationships" r:embed="rId3661"/>
        <a:stretch>
          <a:fillRect/>
        </a:stretch>
      </xdr:blipFill>
      <xdr:spPr>
        <a:xfrm>
          <a:off x="7235825" y="4851568275"/>
          <a:ext cx="878840" cy="1183640"/>
        </a:xfrm>
        <a:prstGeom prst="rect">
          <a:avLst/>
        </a:prstGeom>
      </xdr:spPr>
    </xdr:pic>
    <xdr:clientData/>
  </xdr:twoCellAnchor>
  <xdr:twoCellAnchor>
    <xdr:from>
      <xdr:col>9</xdr:col>
      <xdr:colOff>6350</xdr:colOff>
      <xdr:row>4826</xdr:row>
      <xdr:rowOff>25400</xdr:rowOff>
    </xdr:from>
    <xdr:to>
      <xdr:col>9</xdr:col>
      <xdr:colOff>885190</xdr:colOff>
      <xdr:row>4826</xdr:row>
      <xdr:rowOff>1209040</xdr:rowOff>
    </xdr:to>
    <xdr:pic>
      <xdr:nvPicPr>
        <xdr:cNvPr id="9050" name="Изображение 9049" descr="resizeПП-00245654"/>
        <xdr:cNvPicPr>
          <a:picLocks noChangeAspect="1"/>
        </xdr:cNvPicPr>
      </xdr:nvPicPr>
      <xdr:blipFill>
        <a:blip xmlns:r="http://schemas.openxmlformats.org/officeDocument/2006/relationships" r:embed="rId3662"/>
        <a:stretch>
          <a:fillRect/>
        </a:stretch>
      </xdr:blipFill>
      <xdr:spPr>
        <a:xfrm>
          <a:off x="7235825" y="4852790650"/>
          <a:ext cx="878840" cy="1183640"/>
        </a:xfrm>
        <a:prstGeom prst="rect">
          <a:avLst/>
        </a:prstGeom>
      </xdr:spPr>
    </xdr:pic>
    <xdr:clientData/>
  </xdr:twoCellAnchor>
  <xdr:twoCellAnchor>
    <xdr:from>
      <xdr:col>9</xdr:col>
      <xdr:colOff>6350</xdr:colOff>
      <xdr:row>4827</xdr:row>
      <xdr:rowOff>25400</xdr:rowOff>
    </xdr:from>
    <xdr:to>
      <xdr:col>9</xdr:col>
      <xdr:colOff>885190</xdr:colOff>
      <xdr:row>4827</xdr:row>
      <xdr:rowOff>1209040</xdr:rowOff>
    </xdr:to>
    <xdr:pic>
      <xdr:nvPicPr>
        <xdr:cNvPr id="9051" name="Изображение 9050" descr="resizeПП-00245656"/>
        <xdr:cNvPicPr>
          <a:picLocks noChangeAspect="1"/>
        </xdr:cNvPicPr>
      </xdr:nvPicPr>
      <xdr:blipFill>
        <a:blip xmlns:r="http://schemas.openxmlformats.org/officeDocument/2006/relationships" r:embed="rId3663"/>
        <a:stretch>
          <a:fillRect/>
        </a:stretch>
      </xdr:blipFill>
      <xdr:spPr>
        <a:xfrm>
          <a:off x="7235825" y="4854013025"/>
          <a:ext cx="878840" cy="1183640"/>
        </a:xfrm>
        <a:prstGeom prst="rect">
          <a:avLst/>
        </a:prstGeom>
      </xdr:spPr>
    </xdr:pic>
    <xdr:clientData/>
  </xdr:twoCellAnchor>
  <xdr:twoCellAnchor>
    <xdr:from>
      <xdr:col>9</xdr:col>
      <xdr:colOff>6350</xdr:colOff>
      <xdr:row>4829</xdr:row>
      <xdr:rowOff>25400</xdr:rowOff>
    </xdr:from>
    <xdr:to>
      <xdr:col>9</xdr:col>
      <xdr:colOff>885190</xdr:colOff>
      <xdr:row>4829</xdr:row>
      <xdr:rowOff>1209040</xdr:rowOff>
    </xdr:to>
    <xdr:pic>
      <xdr:nvPicPr>
        <xdr:cNvPr id="9052" name="Изображение 9051" descr="resizeПП-00256099"/>
        <xdr:cNvPicPr>
          <a:picLocks noChangeAspect="1"/>
        </xdr:cNvPicPr>
      </xdr:nvPicPr>
      <xdr:blipFill>
        <a:blip xmlns:r="http://schemas.openxmlformats.org/officeDocument/2006/relationships" r:embed="rId3664"/>
        <a:stretch>
          <a:fillRect/>
        </a:stretch>
      </xdr:blipFill>
      <xdr:spPr>
        <a:xfrm>
          <a:off x="7235825" y="4855387800"/>
          <a:ext cx="878840" cy="1183640"/>
        </a:xfrm>
        <a:prstGeom prst="rect">
          <a:avLst/>
        </a:prstGeom>
      </xdr:spPr>
    </xdr:pic>
    <xdr:clientData/>
  </xdr:twoCellAnchor>
  <xdr:twoCellAnchor>
    <xdr:from>
      <xdr:col>9</xdr:col>
      <xdr:colOff>6350</xdr:colOff>
      <xdr:row>4830</xdr:row>
      <xdr:rowOff>25400</xdr:rowOff>
    </xdr:from>
    <xdr:to>
      <xdr:col>9</xdr:col>
      <xdr:colOff>885190</xdr:colOff>
      <xdr:row>4830</xdr:row>
      <xdr:rowOff>1209040</xdr:rowOff>
    </xdr:to>
    <xdr:pic>
      <xdr:nvPicPr>
        <xdr:cNvPr id="9053" name="Изображение 9052" descr="resizeПП-00256097"/>
        <xdr:cNvPicPr>
          <a:picLocks noChangeAspect="1"/>
        </xdr:cNvPicPr>
      </xdr:nvPicPr>
      <xdr:blipFill>
        <a:blip xmlns:r="http://schemas.openxmlformats.org/officeDocument/2006/relationships" r:embed="rId3665"/>
        <a:stretch>
          <a:fillRect/>
        </a:stretch>
      </xdr:blipFill>
      <xdr:spPr>
        <a:xfrm>
          <a:off x="7235825" y="4856610175"/>
          <a:ext cx="878840" cy="1183640"/>
        </a:xfrm>
        <a:prstGeom prst="rect">
          <a:avLst/>
        </a:prstGeom>
      </xdr:spPr>
    </xdr:pic>
    <xdr:clientData/>
  </xdr:twoCellAnchor>
  <xdr:twoCellAnchor>
    <xdr:from>
      <xdr:col>9</xdr:col>
      <xdr:colOff>6350</xdr:colOff>
      <xdr:row>4833</xdr:row>
      <xdr:rowOff>25400</xdr:rowOff>
    </xdr:from>
    <xdr:to>
      <xdr:col>9</xdr:col>
      <xdr:colOff>885190</xdr:colOff>
      <xdr:row>4833</xdr:row>
      <xdr:rowOff>1209040</xdr:rowOff>
    </xdr:to>
    <xdr:pic>
      <xdr:nvPicPr>
        <xdr:cNvPr id="9054" name="Изображение 9053" descr="resizeПП-00245657"/>
        <xdr:cNvPicPr>
          <a:picLocks noChangeAspect="1"/>
        </xdr:cNvPicPr>
      </xdr:nvPicPr>
      <xdr:blipFill>
        <a:blip xmlns:r="http://schemas.openxmlformats.org/officeDocument/2006/relationships" r:embed="rId3666"/>
        <a:stretch>
          <a:fillRect/>
        </a:stretch>
      </xdr:blipFill>
      <xdr:spPr>
        <a:xfrm>
          <a:off x="7235825" y="4858137350"/>
          <a:ext cx="878840" cy="1183640"/>
        </a:xfrm>
        <a:prstGeom prst="rect">
          <a:avLst/>
        </a:prstGeom>
      </xdr:spPr>
    </xdr:pic>
    <xdr:clientData/>
  </xdr:twoCellAnchor>
  <xdr:twoCellAnchor>
    <xdr:from>
      <xdr:col>9</xdr:col>
      <xdr:colOff>6350</xdr:colOff>
      <xdr:row>4834</xdr:row>
      <xdr:rowOff>25400</xdr:rowOff>
    </xdr:from>
    <xdr:to>
      <xdr:col>9</xdr:col>
      <xdr:colOff>885190</xdr:colOff>
      <xdr:row>4834</xdr:row>
      <xdr:rowOff>1209040</xdr:rowOff>
    </xdr:to>
    <xdr:pic>
      <xdr:nvPicPr>
        <xdr:cNvPr id="9055" name="Изображение 9054" descr="resizeПП-00245660"/>
        <xdr:cNvPicPr>
          <a:picLocks noChangeAspect="1"/>
        </xdr:cNvPicPr>
      </xdr:nvPicPr>
      <xdr:blipFill>
        <a:blip xmlns:r="http://schemas.openxmlformats.org/officeDocument/2006/relationships" r:embed="rId3667"/>
        <a:stretch>
          <a:fillRect/>
        </a:stretch>
      </xdr:blipFill>
      <xdr:spPr>
        <a:xfrm>
          <a:off x="7235825" y="4859359725"/>
          <a:ext cx="878840" cy="1183640"/>
        </a:xfrm>
        <a:prstGeom prst="rect">
          <a:avLst/>
        </a:prstGeom>
      </xdr:spPr>
    </xdr:pic>
    <xdr:clientData/>
  </xdr:twoCellAnchor>
  <xdr:twoCellAnchor>
    <xdr:from>
      <xdr:col>9</xdr:col>
      <xdr:colOff>6350</xdr:colOff>
      <xdr:row>4835</xdr:row>
      <xdr:rowOff>25400</xdr:rowOff>
    </xdr:from>
    <xdr:to>
      <xdr:col>9</xdr:col>
      <xdr:colOff>885190</xdr:colOff>
      <xdr:row>4835</xdr:row>
      <xdr:rowOff>1209040</xdr:rowOff>
    </xdr:to>
    <xdr:pic>
      <xdr:nvPicPr>
        <xdr:cNvPr id="9056" name="Изображение 9055" descr="resizeПП-00245662"/>
        <xdr:cNvPicPr>
          <a:picLocks noChangeAspect="1"/>
        </xdr:cNvPicPr>
      </xdr:nvPicPr>
      <xdr:blipFill>
        <a:blip xmlns:r="http://schemas.openxmlformats.org/officeDocument/2006/relationships" r:embed="rId3668"/>
        <a:stretch>
          <a:fillRect/>
        </a:stretch>
      </xdr:blipFill>
      <xdr:spPr>
        <a:xfrm>
          <a:off x="7235825" y="4860582100"/>
          <a:ext cx="878840" cy="1183640"/>
        </a:xfrm>
        <a:prstGeom prst="rect">
          <a:avLst/>
        </a:prstGeom>
      </xdr:spPr>
    </xdr:pic>
    <xdr:clientData/>
  </xdr:twoCellAnchor>
  <xdr:twoCellAnchor>
    <xdr:from>
      <xdr:col>9</xdr:col>
      <xdr:colOff>6350</xdr:colOff>
      <xdr:row>4836</xdr:row>
      <xdr:rowOff>25400</xdr:rowOff>
    </xdr:from>
    <xdr:to>
      <xdr:col>9</xdr:col>
      <xdr:colOff>885190</xdr:colOff>
      <xdr:row>4836</xdr:row>
      <xdr:rowOff>1209040</xdr:rowOff>
    </xdr:to>
    <xdr:pic>
      <xdr:nvPicPr>
        <xdr:cNvPr id="9057" name="Изображение 9056" descr="resizeПП-00245658"/>
        <xdr:cNvPicPr>
          <a:picLocks noChangeAspect="1"/>
        </xdr:cNvPicPr>
      </xdr:nvPicPr>
      <xdr:blipFill>
        <a:blip xmlns:r="http://schemas.openxmlformats.org/officeDocument/2006/relationships" r:embed="rId3669"/>
        <a:stretch>
          <a:fillRect/>
        </a:stretch>
      </xdr:blipFill>
      <xdr:spPr>
        <a:xfrm>
          <a:off x="7235825" y="4861804475"/>
          <a:ext cx="878840" cy="1183640"/>
        </a:xfrm>
        <a:prstGeom prst="rect">
          <a:avLst/>
        </a:prstGeom>
      </xdr:spPr>
    </xdr:pic>
    <xdr:clientData/>
  </xdr:twoCellAnchor>
  <xdr:twoCellAnchor>
    <xdr:from>
      <xdr:col>9</xdr:col>
      <xdr:colOff>6350</xdr:colOff>
      <xdr:row>4840</xdr:row>
      <xdr:rowOff>25400</xdr:rowOff>
    </xdr:from>
    <xdr:to>
      <xdr:col>9</xdr:col>
      <xdr:colOff>885190</xdr:colOff>
      <xdr:row>4840</xdr:row>
      <xdr:rowOff>1209040</xdr:rowOff>
    </xdr:to>
    <xdr:pic>
      <xdr:nvPicPr>
        <xdr:cNvPr id="9058" name="Изображение 9057" descr="resizeПП-00245641"/>
        <xdr:cNvPicPr>
          <a:picLocks noChangeAspect="1"/>
        </xdr:cNvPicPr>
      </xdr:nvPicPr>
      <xdr:blipFill>
        <a:blip xmlns:r="http://schemas.openxmlformats.org/officeDocument/2006/relationships" r:embed="rId3670"/>
        <a:stretch>
          <a:fillRect/>
        </a:stretch>
      </xdr:blipFill>
      <xdr:spPr>
        <a:xfrm>
          <a:off x="7235825" y="4863484050"/>
          <a:ext cx="878840" cy="1183640"/>
        </a:xfrm>
        <a:prstGeom prst="rect">
          <a:avLst/>
        </a:prstGeom>
      </xdr:spPr>
    </xdr:pic>
    <xdr:clientData/>
  </xdr:twoCellAnchor>
  <xdr:twoCellAnchor>
    <xdr:from>
      <xdr:col>9</xdr:col>
      <xdr:colOff>6350</xdr:colOff>
      <xdr:row>4841</xdr:row>
      <xdr:rowOff>25400</xdr:rowOff>
    </xdr:from>
    <xdr:to>
      <xdr:col>9</xdr:col>
      <xdr:colOff>885190</xdr:colOff>
      <xdr:row>4841</xdr:row>
      <xdr:rowOff>1209040</xdr:rowOff>
    </xdr:to>
    <xdr:pic>
      <xdr:nvPicPr>
        <xdr:cNvPr id="9059" name="Изображение 9058" descr="resizeПП-00245872"/>
        <xdr:cNvPicPr>
          <a:picLocks noChangeAspect="1"/>
        </xdr:cNvPicPr>
      </xdr:nvPicPr>
      <xdr:blipFill>
        <a:blip xmlns:r="http://schemas.openxmlformats.org/officeDocument/2006/relationships" r:embed="rId3671"/>
        <a:stretch>
          <a:fillRect/>
        </a:stretch>
      </xdr:blipFill>
      <xdr:spPr>
        <a:xfrm>
          <a:off x="7235825" y="4864706425"/>
          <a:ext cx="878840" cy="1183640"/>
        </a:xfrm>
        <a:prstGeom prst="rect">
          <a:avLst/>
        </a:prstGeom>
      </xdr:spPr>
    </xdr:pic>
    <xdr:clientData/>
  </xdr:twoCellAnchor>
  <xdr:twoCellAnchor>
    <xdr:from>
      <xdr:col>9</xdr:col>
      <xdr:colOff>6350</xdr:colOff>
      <xdr:row>4842</xdr:row>
      <xdr:rowOff>25400</xdr:rowOff>
    </xdr:from>
    <xdr:to>
      <xdr:col>9</xdr:col>
      <xdr:colOff>885190</xdr:colOff>
      <xdr:row>4842</xdr:row>
      <xdr:rowOff>1209040</xdr:rowOff>
    </xdr:to>
    <xdr:pic>
      <xdr:nvPicPr>
        <xdr:cNvPr id="9060" name="Изображение 9059" descr="resizeПП-00245644"/>
        <xdr:cNvPicPr>
          <a:picLocks noChangeAspect="1"/>
        </xdr:cNvPicPr>
      </xdr:nvPicPr>
      <xdr:blipFill>
        <a:blip xmlns:r="http://schemas.openxmlformats.org/officeDocument/2006/relationships" r:embed="rId3672"/>
        <a:stretch>
          <a:fillRect/>
        </a:stretch>
      </xdr:blipFill>
      <xdr:spPr>
        <a:xfrm>
          <a:off x="7235825" y="4865928800"/>
          <a:ext cx="878840" cy="1183640"/>
        </a:xfrm>
        <a:prstGeom prst="rect">
          <a:avLst/>
        </a:prstGeom>
      </xdr:spPr>
    </xdr:pic>
    <xdr:clientData/>
  </xdr:twoCellAnchor>
  <xdr:twoCellAnchor>
    <xdr:from>
      <xdr:col>9</xdr:col>
      <xdr:colOff>6350</xdr:colOff>
      <xdr:row>4843</xdr:row>
      <xdr:rowOff>25400</xdr:rowOff>
    </xdr:from>
    <xdr:to>
      <xdr:col>9</xdr:col>
      <xdr:colOff>885190</xdr:colOff>
      <xdr:row>4843</xdr:row>
      <xdr:rowOff>1209040</xdr:rowOff>
    </xdr:to>
    <xdr:pic>
      <xdr:nvPicPr>
        <xdr:cNvPr id="9061" name="Изображение 9060" descr="resizeПП-00245645"/>
        <xdr:cNvPicPr>
          <a:picLocks noChangeAspect="1"/>
        </xdr:cNvPicPr>
      </xdr:nvPicPr>
      <xdr:blipFill>
        <a:blip xmlns:r="http://schemas.openxmlformats.org/officeDocument/2006/relationships" r:embed="rId3673"/>
        <a:stretch>
          <a:fillRect/>
        </a:stretch>
      </xdr:blipFill>
      <xdr:spPr>
        <a:xfrm>
          <a:off x="7235825" y="4867151175"/>
          <a:ext cx="878840" cy="1183640"/>
        </a:xfrm>
        <a:prstGeom prst="rect">
          <a:avLst/>
        </a:prstGeom>
      </xdr:spPr>
    </xdr:pic>
    <xdr:clientData/>
  </xdr:twoCellAnchor>
  <xdr:twoCellAnchor>
    <xdr:from>
      <xdr:col>9</xdr:col>
      <xdr:colOff>6350</xdr:colOff>
      <xdr:row>4844</xdr:row>
      <xdr:rowOff>25400</xdr:rowOff>
    </xdr:from>
    <xdr:to>
      <xdr:col>9</xdr:col>
      <xdr:colOff>885190</xdr:colOff>
      <xdr:row>4844</xdr:row>
      <xdr:rowOff>1209040</xdr:rowOff>
    </xdr:to>
    <xdr:pic>
      <xdr:nvPicPr>
        <xdr:cNvPr id="9062" name="Изображение 9061" descr="resizeПП-00245646"/>
        <xdr:cNvPicPr>
          <a:picLocks noChangeAspect="1"/>
        </xdr:cNvPicPr>
      </xdr:nvPicPr>
      <xdr:blipFill>
        <a:blip xmlns:r="http://schemas.openxmlformats.org/officeDocument/2006/relationships" r:embed="rId3674"/>
        <a:stretch>
          <a:fillRect/>
        </a:stretch>
      </xdr:blipFill>
      <xdr:spPr>
        <a:xfrm>
          <a:off x="7235825" y="4868373550"/>
          <a:ext cx="878840" cy="1183640"/>
        </a:xfrm>
        <a:prstGeom prst="rect">
          <a:avLst/>
        </a:prstGeom>
      </xdr:spPr>
    </xdr:pic>
    <xdr:clientData/>
  </xdr:twoCellAnchor>
  <xdr:twoCellAnchor>
    <xdr:from>
      <xdr:col>9</xdr:col>
      <xdr:colOff>6350</xdr:colOff>
      <xdr:row>4845</xdr:row>
      <xdr:rowOff>25400</xdr:rowOff>
    </xdr:from>
    <xdr:to>
      <xdr:col>9</xdr:col>
      <xdr:colOff>885190</xdr:colOff>
      <xdr:row>4845</xdr:row>
      <xdr:rowOff>1209040</xdr:rowOff>
    </xdr:to>
    <xdr:pic>
      <xdr:nvPicPr>
        <xdr:cNvPr id="9063" name="Изображение 9062" descr="resizeПП-00245648"/>
        <xdr:cNvPicPr>
          <a:picLocks noChangeAspect="1"/>
        </xdr:cNvPicPr>
      </xdr:nvPicPr>
      <xdr:blipFill>
        <a:blip xmlns:r="http://schemas.openxmlformats.org/officeDocument/2006/relationships" r:embed="rId3675"/>
        <a:stretch>
          <a:fillRect/>
        </a:stretch>
      </xdr:blipFill>
      <xdr:spPr>
        <a:xfrm>
          <a:off x="7235825" y="4869595925"/>
          <a:ext cx="878840" cy="1183640"/>
        </a:xfrm>
        <a:prstGeom prst="rect">
          <a:avLst/>
        </a:prstGeom>
      </xdr:spPr>
    </xdr:pic>
    <xdr:clientData/>
  </xdr:twoCellAnchor>
  <xdr:twoCellAnchor>
    <xdr:from>
      <xdr:col>9</xdr:col>
      <xdr:colOff>6350</xdr:colOff>
      <xdr:row>4847</xdr:row>
      <xdr:rowOff>25400</xdr:rowOff>
    </xdr:from>
    <xdr:to>
      <xdr:col>9</xdr:col>
      <xdr:colOff>885190</xdr:colOff>
      <xdr:row>4847</xdr:row>
      <xdr:rowOff>1209040</xdr:rowOff>
    </xdr:to>
    <xdr:pic>
      <xdr:nvPicPr>
        <xdr:cNvPr id="9064" name="Изображение 9063" descr="resizeПП-00245664"/>
        <xdr:cNvPicPr>
          <a:picLocks noChangeAspect="1"/>
        </xdr:cNvPicPr>
      </xdr:nvPicPr>
      <xdr:blipFill>
        <a:blip xmlns:r="http://schemas.openxmlformats.org/officeDocument/2006/relationships" r:embed="rId3676"/>
        <a:stretch>
          <a:fillRect/>
        </a:stretch>
      </xdr:blipFill>
      <xdr:spPr>
        <a:xfrm>
          <a:off x="7235825" y="4870970700"/>
          <a:ext cx="878840" cy="1183640"/>
        </a:xfrm>
        <a:prstGeom prst="rect">
          <a:avLst/>
        </a:prstGeom>
      </xdr:spPr>
    </xdr:pic>
    <xdr:clientData/>
  </xdr:twoCellAnchor>
  <xdr:twoCellAnchor>
    <xdr:from>
      <xdr:col>9</xdr:col>
      <xdr:colOff>6350</xdr:colOff>
      <xdr:row>4848</xdr:row>
      <xdr:rowOff>25400</xdr:rowOff>
    </xdr:from>
    <xdr:to>
      <xdr:col>9</xdr:col>
      <xdr:colOff>885190</xdr:colOff>
      <xdr:row>4848</xdr:row>
      <xdr:rowOff>1209040</xdr:rowOff>
    </xdr:to>
    <xdr:pic>
      <xdr:nvPicPr>
        <xdr:cNvPr id="9065" name="Изображение 9064" descr="resizeПП-00245667"/>
        <xdr:cNvPicPr>
          <a:picLocks noChangeAspect="1"/>
        </xdr:cNvPicPr>
      </xdr:nvPicPr>
      <xdr:blipFill>
        <a:blip xmlns:r="http://schemas.openxmlformats.org/officeDocument/2006/relationships" r:embed="rId3677"/>
        <a:stretch>
          <a:fillRect/>
        </a:stretch>
      </xdr:blipFill>
      <xdr:spPr>
        <a:xfrm>
          <a:off x="7235825" y="4872193075"/>
          <a:ext cx="878840" cy="1183640"/>
        </a:xfrm>
        <a:prstGeom prst="rect">
          <a:avLst/>
        </a:prstGeom>
      </xdr:spPr>
    </xdr:pic>
    <xdr:clientData/>
  </xdr:twoCellAnchor>
  <xdr:twoCellAnchor>
    <xdr:from>
      <xdr:col>9</xdr:col>
      <xdr:colOff>6350</xdr:colOff>
      <xdr:row>4849</xdr:row>
      <xdr:rowOff>25400</xdr:rowOff>
    </xdr:from>
    <xdr:to>
      <xdr:col>9</xdr:col>
      <xdr:colOff>885190</xdr:colOff>
      <xdr:row>4849</xdr:row>
      <xdr:rowOff>1209040</xdr:rowOff>
    </xdr:to>
    <xdr:pic>
      <xdr:nvPicPr>
        <xdr:cNvPr id="9066" name="Изображение 9065" descr="resizeПП-00245668"/>
        <xdr:cNvPicPr>
          <a:picLocks noChangeAspect="1"/>
        </xdr:cNvPicPr>
      </xdr:nvPicPr>
      <xdr:blipFill>
        <a:blip xmlns:r="http://schemas.openxmlformats.org/officeDocument/2006/relationships" r:embed="rId3678"/>
        <a:stretch>
          <a:fillRect/>
        </a:stretch>
      </xdr:blipFill>
      <xdr:spPr>
        <a:xfrm>
          <a:off x="7235825" y="4873415450"/>
          <a:ext cx="878840" cy="1183640"/>
        </a:xfrm>
        <a:prstGeom prst="rect">
          <a:avLst/>
        </a:prstGeom>
      </xdr:spPr>
    </xdr:pic>
    <xdr:clientData/>
  </xdr:twoCellAnchor>
  <xdr:twoCellAnchor>
    <xdr:from>
      <xdr:col>9</xdr:col>
      <xdr:colOff>6350</xdr:colOff>
      <xdr:row>4850</xdr:row>
      <xdr:rowOff>25400</xdr:rowOff>
    </xdr:from>
    <xdr:to>
      <xdr:col>9</xdr:col>
      <xdr:colOff>885190</xdr:colOff>
      <xdr:row>4850</xdr:row>
      <xdr:rowOff>1209040</xdr:rowOff>
    </xdr:to>
    <xdr:pic>
      <xdr:nvPicPr>
        <xdr:cNvPr id="9067" name="Изображение 9066" descr="resizeПП-00245670"/>
        <xdr:cNvPicPr>
          <a:picLocks noChangeAspect="1"/>
        </xdr:cNvPicPr>
      </xdr:nvPicPr>
      <xdr:blipFill>
        <a:blip xmlns:r="http://schemas.openxmlformats.org/officeDocument/2006/relationships" r:embed="rId3679"/>
        <a:stretch>
          <a:fillRect/>
        </a:stretch>
      </xdr:blipFill>
      <xdr:spPr>
        <a:xfrm>
          <a:off x="7235825" y="4874637825"/>
          <a:ext cx="878840" cy="1183640"/>
        </a:xfrm>
        <a:prstGeom prst="rect">
          <a:avLst/>
        </a:prstGeom>
      </xdr:spPr>
    </xdr:pic>
    <xdr:clientData/>
  </xdr:twoCellAnchor>
  <xdr:twoCellAnchor>
    <xdr:from>
      <xdr:col>9</xdr:col>
      <xdr:colOff>6350</xdr:colOff>
      <xdr:row>4851</xdr:row>
      <xdr:rowOff>25400</xdr:rowOff>
    </xdr:from>
    <xdr:to>
      <xdr:col>9</xdr:col>
      <xdr:colOff>885190</xdr:colOff>
      <xdr:row>4851</xdr:row>
      <xdr:rowOff>1209040</xdr:rowOff>
    </xdr:to>
    <xdr:pic>
      <xdr:nvPicPr>
        <xdr:cNvPr id="9068" name="Изображение 9067" descr="resizeПП-00245665"/>
        <xdr:cNvPicPr>
          <a:picLocks noChangeAspect="1"/>
        </xdr:cNvPicPr>
      </xdr:nvPicPr>
      <xdr:blipFill>
        <a:blip xmlns:r="http://schemas.openxmlformats.org/officeDocument/2006/relationships" r:embed="rId3680"/>
        <a:stretch>
          <a:fillRect/>
        </a:stretch>
      </xdr:blipFill>
      <xdr:spPr>
        <a:xfrm>
          <a:off x="7235825" y="4875860200"/>
          <a:ext cx="878840" cy="1183640"/>
        </a:xfrm>
        <a:prstGeom prst="rect">
          <a:avLst/>
        </a:prstGeom>
      </xdr:spPr>
    </xdr:pic>
    <xdr:clientData/>
  </xdr:twoCellAnchor>
  <xdr:twoCellAnchor>
    <xdr:from>
      <xdr:col>9</xdr:col>
      <xdr:colOff>6350</xdr:colOff>
      <xdr:row>4852</xdr:row>
      <xdr:rowOff>25400</xdr:rowOff>
    </xdr:from>
    <xdr:to>
      <xdr:col>9</xdr:col>
      <xdr:colOff>885190</xdr:colOff>
      <xdr:row>4852</xdr:row>
      <xdr:rowOff>1209040</xdr:rowOff>
    </xdr:to>
    <xdr:pic>
      <xdr:nvPicPr>
        <xdr:cNvPr id="9069" name="Изображение 9068" descr="resizeПП-00245669"/>
        <xdr:cNvPicPr>
          <a:picLocks noChangeAspect="1"/>
        </xdr:cNvPicPr>
      </xdr:nvPicPr>
      <xdr:blipFill>
        <a:blip xmlns:r="http://schemas.openxmlformats.org/officeDocument/2006/relationships" r:embed="rId3681"/>
        <a:stretch>
          <a:fillRect/>
        </a:stretch>
      </xdr:blipFill>
      <xdr:spPr>
        <a:xfrm>
          <a:off x="7235825" y="4877082575"/>
          <a:ext cx="878840" cy="1183640"/>
        </a:xfrm>
        <a:prstGeom prst="rect">
          <a:avLst/>
        </a:prstGeom>
      </xdr:spPr>
    </xdr:pic>
    <xdr:clientData/>
  </xdr:twoCellAnchor>
  <xdr:twoCellAnchor>
    <xdr:from>
      <xdr:col>9</xdr:col>
      <xdr:colOff>6350</xdr:colOff>
      <xdr:row>4853</xdr:row>
      <xdr:rowOff>25400</xdr:rowOff>
    </xdr:from>
    <xdr:to>
      <xdr:col>9</xdr:col>
      <xdr:colOff>885190</xdr:colOff>
      <xdr:row>4853</xdr:row>
      <xdr:rowOff>1209040</xdr:rowOff>
    </xdr:to>
    <xdr:pic>
      <xdr:nvPicPr>
        <xdr:cNvPr id="9070" name="Изображение 9069" descr="resizeПП-00245666"/>
        <xdr:cNvPicPr>
          <a:picLocks noChangeAspect="1"/>
        </xdr:cNvPicPr>
      </xdr:nvPicPr>
      <xdr:blipFill>
        <a:blip xmlns:r="http://schemas.openxmlformats.org/officeDocument/2006/relationships" r:embed="rId3682"/>
        <a:stretch>
          <a:fillRect/>
        </a:stretch>
      </xdr:blipFill>
      <xdr:spPr>
        <a:xfrm>
          <a:off x="7235825" y="4878304950"/>
          <a:ext cx="878840" cy="1183640"/>
        </a:xfrm>
        <a:prstGeom prst="rect">
          <a:avLst/>
        </a:prstGeom>
      </xdr:spPr>
    </xdr:pic>
    <xdr:clientData/>
  </xdr:twoCellAnchor>
  <xdr:twoCellAnchor>
    <xdr:from>
      <xdr:col>9</xdr:col>
      <xdr:colOff>6350</xdr:colOff>
      <xdr:row>4854</xdr:row>
      <xdr:rowOff>25400</xdr:rowOff>
    </xdr:from>
    <xdr:to>
      <xdr:col>9</xdr:col>
      <xdr:colOff>885190</xdr:colOff>
      <xdr:row>4854</xdr:row>
      <xdr:rowOff>1209040</xdr:rowOff>
    </xdr:to>
    <xdr:pic>
      <xdr:nvPicPr>
        <xdr:cNvPr id="9071" name="Изображение 9070" descr="resizeПП-00245671"/>
        <xdr:cNvPicPr>
          <a:picLocks noChangeAspect="1"/>
        </xdr:cNvPicPr>
      </xdr:nvPicPr>
      <xdr:blipFill>
        <a:blip xmlns:r="http://schemas.openxmlformats.org/officeDocument/2006/relationships" r:embed="rId3683"/>
        <a:stretch>
          <a:fillRect/>
        </a:stretch>
      </xdr:blipFill>
      <xdr:spPr>
        <a:xfrm>
          <a:off x="7235825" y="4879527325"/>
          <a:ext cx="878840" cy="1183640"/>
        </a:xfrm>
        <a:prstGeom prst="rect">
          <a:avLst/>
        </a:prstGeom>
      </xdr:spPr>
    </xdr:pic>
    <xdr:clientData/>
  </xdr:twoCellAnchor>
  <xdr:twoCellAnchor>
    <xdr:from>
      <xdr:col>9</xdr:col>
      <xdr:colOff>6350</xdr:colOff>
      <xdr:row>4857</xdr:row>
      <xdr:rowOff>25400</xdr:rowOff>
    </xdr:from>
    <xdr:to>
      <xdr:col>9</xdr:col>
      <xdr:colOff>885190</xdr:colOff>
      <xdr:row>4857</xdr:row>
      <xdr:rowOff>1209040</xdr:rowOff>
    </xdr:to>
    <xdr:pic>
      <xdr:nvPicPr>
        <xdr:cNvPr id="9072" name="Изображение 9071" descr="resizeПП-00163901"/>
        <xdr:cNvPicPr>
          <a:picLocks noChangeAspect="1"/>
        </xdr:cNvPicPr>
      </xdr:nvPicPr>
      <xdr:blipFill>
        <a:blip xmlns:r="http://schemas.openxmlformats.org/officeDocument/2006/relationships" r:embed="rId3684"/>
        <a:stretch>
          <a:fillRect/>
        </a:stretch>
      </xdr:blipFill>
      <xdr:spPr>
        <a:xfrm>
          <a:off x="7235825" y="4881054500"/>
          <a:ext cx="878840" cy="1183640"/>
        </a:xfrm>
        <a:prstGeom prst="rect">
          <a:avLst/>
        </a:prstGeom>
      </xdr:spPr>
    </xdr:pic>
    <xdr:clientData/>
  </xdr:twoCellAnchor>
  <xdr:twoCellAnchor>
    <xdr:from>
      <xdr:col>9</xdr:col>
      <xdr:colOff>6350</xdr:colOff>
      <xdr:row>4858</xdr:row>
      <xdr:rowOff>25400</xdr:rowOff>
    </xdr:from>
    <xdr:to>
      <xdr:col>9</xdr:col>
      <xdr:colOff>885190</xdr:colOff>
      <xdr:row>4858</xdr:row>
      <xdr:rowOff>1209040</xdr:rowOff>
    </xdr:to>
    <xdr:pic>
      <xdr:nvPicPr>
        <xdr:cNvPr id="9073" name="Изображение 9072" descr="resizeПП-00163904"/>
        <xdr:cNvPicPr>
          <a:picLocks noChangeAspect="1"/>
        </xdr:cNvPicPr>
      </xdr:nvPicPr>
      <xdr:blipFill>
        <a:blip xmlns:r="http://schemas.openxmlformats.org/officeDocument/2006/relationships" r:embed="rId3685"/>
        <a:stretch>
          <a:fillRect/>
        </a:stretch>
      </xdr:blipFill>
      <xdr:spPr>
        <a:xfrm>
          <a:off x="7235825" y="4882276875"/>
          <a:ext cx="878840" cy="1183640"/>
        </a:xfrm>
        <a:prstGeom prst="rect">
          <a:avLst/>
        </a:prstGeom>
      </xdr:spPr>
    </xdr:pic>
    <xdr:clientData/>
  </xdr:twoCellAnchor>
  <xdr:twoCellAnchor>
    <xdr:from>
      <xdr:col>9</xdr:col>
      <xdr:colOff>6350</xdr:colOff>
      <xdr:row>4859</xdr:row>
      <xdr:rowOff>25400</xdr:rowOff>
    </xdr:from>
    <xdr:to>
      <xdr:col>9</xdr:col>
      <xdr:colOff>885190</xdr:colOff>
      <xdr:row>4859</xdr:row>
      <xdr:rowOff>1209040</xdr:rowOff>
    </xdr:to>
    <xdr:pic>
      <xdr:nvPicPr>
        <xdr:cNvPr id="9074" name="Изображение 9073" descr="resizeПП-00163907"/>
        <xdr:cNvPicPr>
          <a:picLocks noChangeAspect="1"/>
        </xdr:cNvPicPr>
      </xdr:nvPicPr>
      <xdr:blipFill>
        <a:blip xmlns:r="http://schemas.openxmlformats.org/officeDocument/2006/relationships" r:embed="rId3686"/>
        <a:stretch>
          <a:fillRect/>
        </a:stretch>
      </xdr:blipFill>
      <xdr:spPr>
        <a:xfrm>
          <a:off x="7235825" y="4883499250"/>
          <a:ext cx="878840" cy="1183640"/>
        </a:xfrm>
        <a:prstGeom prst="rect">
          <a:avLst/>
        </a:prstGeom>
      </xdr:spPr>
    </xdr:pic>
    <xdr:clientData/>
  </xdr:twoCellAnchor>
  <xdr:twoCellAnchor>
    <xdr:from>
      <xdr:col>9</xdr:col>
      <xdr:colOff>6350</xdr:colOff>
      <xdr:row>4860</xdr:row>
      <xdr:rowOff>25400</xdr:rowOff>
    </xdr:from>
    <xdr:to>
      <xdr:col>9</xdr:col>
      <xdr:colOff>885190</xdr:colOff>
      <xdr:row>4860</xdr:row>
      <xdr:rowOff>1209040</xdr:rowOff>
    </xdr:to>
    <xdr:pic>
      <xdr:nvPicPr>
        <xdr:cNvPr id="9075" name="Изображение 9074" descr="resizeПП-00163909"/>
        <xdr:cNvPicPr>
          <a:picLocks noChangeAspect="1"/>
        </xdr:cNvPicPr>
      </xdr:nvPicPr>
      <xdr:blipFill>
        <a:blip xmlns:r="http://schemas.openxmlformats.org/officeDocument/2006/relationships" r:embed="rId3687"/>
        <a:stretch>
          <a:fillRect/>
        </a:stretch>
      </xdr:blipFill>
      <xdr:spPr>
        <a:xfrm>
          <a:off x="7235825" y="4884721625"/>
          <a:ext cx="878840" cy="1183640"/>
        </a:xfrm>
        <a:prstGeom prst="rect">
          <a:avLst/>
        </a:prstGeom>
      </xdr:spPr>
    </xdr:pic>
    <xdr:clientData/>
  </xdr:twoCellAnchor>
  <xdr:twoCellAnchor>
    <xdr:from>
      <xdr:col>9</xdr:col>
      <xdr:colOff>6350</xdr:colOff>
      <xdr:row>4861</xdr:row>
      <xdr:rowOff>25400</xdr:rowOff>
    </xdr:from>
    <xdr:to>
      <xdr:col>9</xdr:col>
      <xdr:colOff>885190</xdr:colOff>
      <xdr:row>4861</xdr:row>
      <xdr:rowOff>1209040</xdr:rowOff>
    </xdr:to>
    <xdr:pic>
      <xdr:nvPicPr>
        <xdr:cNvPr id="9076" name="Изображение 9075" descr="resizeПП-00163914"/>
        <xdr:cNvPicPr>
          <a:picLocks noChangeAspect="1"/>
        </xdr:cNvPicPr>
      </xdr:nvPicPr>
      <xdr:blipFill>
        <a:blip xmlns:r="http://schemas.openxmlformats.org/officeDocument/2006/relationships" r:embed="rId3688"/>
        <a:stretch>
          <a:fillRect/>
        </a:stretch>
      </xdr:blipFill>
      <xdr:spPr>
        <a:xfrm>
          <a:off x="7235825" y="4885944000"/>
          <a:ext cx="878840" cy="1183640"/>
        </a:xfrm>
        <a:prstGeom prst="rect">
          <a:avLst/>
        </a:prstGeom>
      </xdr:spPr>
    </xdr:pic>
    <xdr:clientData/>
  </xdr:twoCellAnchor>
  <xdr:twoCellAnchor>
    <xdr:from>
      <xdr:col>9</xdr:col>
      <xdr:colOff>6350</xdr:colOff>
      <xdr:row>4862</xdr:row>
      <xdr:rowOff>25400</xdr:rowOff>
    </xdr:from>
    <xdr:to>
      <xdr:col>9</xdr:col>
      <xdr:colOff>885190</xdr:colOff>
      <xdr:row>4862</xdr:row>
      <xdr:rowOff>1209040</xdr:rowOff>
    </xdr:to>
    <xdr:pic>
      <xdr:nvPicPr>
        <xdr:cNvPr id="9077" name="Изображение 9076" descr="resizeПП-00163918"/>
        <xdr:cNvPicPr>
          <a:picLocks noChangeAspect="1"/>
        </xdr:cNvPicPr>
      </xdr:nvPicPr>
      <xdr:blipFill>
        <a:blip xmlns:r="http://schemas.openxmlformats.org/officeDocument/2006/relationships" r:embed="rId3689"/>
        <a:stretch>
          <a:fillRect/>
        </a:stretch>
      </xdr:blipFill>
      <xdr:spPr>
        <a:xfrm>
          <a:off x="7235825" y="4887166375"/>
          <a:ext cx="878840" cy="1183640"/>
        </a:xfrm>
        <a:prstGeom prst="rect">
          <a:avLst/>
        </a:prstGeom>
      </xdr:spPr>
    </xdr:pic>
    <xdr:clientData/>
  </xdr:twoCellAnchor>
  <xdr:twoCellAnchor>
    <xdr:from>
      <xdr:col>9</xdr:col>
      <xdr:colOff>6350</xdr:colOff>
      <xdr:row>4863</xdr:row>
      <xdr:rowOff>25400</xdr:rowOff>
    </xdr:from>
    <xdr:to>
      <xdr:col>9</xdr:col>
      <xdr:colOff>885190</xdr:colOff>
      <xdr:row>4863</xdr:row>
      <xdr:rowOff>1209040</xdr:rowOff>
    </xdr:to>
    <xdr:pic>
      <xdr:nvPicPr>
        <xdr:cNvPr id="9078" name="Изображение 9077" descr="resizeПП-00163921"/>
        <xdr:cNvPicPr>
          <a:picLocks noChangeAspect="1"/>
        </xdr:cNvPicPr>
      </xdr:nvPicPr>
      <xdr:blipFill>
        <a:blip xmlns:r="http://schemas.openxmlformats.org/officeDocument/2006/relationships" r:embed="rId3690"/>
        <a:stretch>
          <a:fillRect/>
        </a:stretch>
      </xdr:blipFill>
      <xdr:spPr>
        <a:xfrm>
          <a:off x="7235825" y="4888388750"/>
          <a:ext cx="878840" cy="1183640"/>
        </a:xfrm>
        <a:prstGeom prst="rect">
          <a:avLst/>
        </a:prstGeom>
      </xdr:spPr>
    </xdr:pic>
    <xdr:clientData/>
  </xdr:twoCellAnchor>
  <xdr:twoCellAnchor>
    <xdr:from>
      <xdr:col>9</xdr:col>
      <xdr:colOff>6350</xdr:colOff>
      <xdr:row>4864</xdr:row>
      <xdr:rowOff>25400</xdr:rowOff>
    </xdr:from>
    <xdr:to>
      <xdr:col>9</xdr:col>
      <xdr:colOff>885190</xdr:colOff>
      <xdr:row>4864</xdr:row>
      <xdr:rowOff>1209040</xdr:rowOff>
    </xdr:to>
    <xdr:pic>
      <xdr:nvPicPr>
        <xdr:cNvPr id="9079" name="Изображение 9078" descr="resizeПП-00163923"/>
        <xdr:cNvPicPr>
          <a:picLocks noChangeAspect="1"/>
        </xdr:cNvPicPr>
      </xdr:nvPicPr>
      <xdr:blipFill>
        <a:blip xmlns:r="http://schemas.openxmlformats.org/officeDocument/2006/relationships" r:embed="rId3691"/>
        <a:stretch>
          <a:fillRect/>
        </a:stretch>
      </xdr:blipFill>
      <xdr:spPr>
        <a:xfrm>
          <a:off x="7235825" y="4889611125"/>
          <a:ext cx="878840" cy="1183640"/>
        </a:xfrm>
        <a:prstGeom prst="rect">
          <a:avLst/>
        </a:prstGeom>
      </xdr:spPr>
    </xdr:pic>
    <xdr:clientData/>
  </xdr:twoCellAnchor>
  <xdr:twoCellAnchor>
    <xdr:from>
      <xdr:col>9</xdr:col>
      <xdr:colOff>6350</xdr:colOff>
      <xdr:row>4865</xdr:row>
      <xdr:rowOff>25400</xdr:rowOff>
    </xdr:from>
    <xdr:to>
      <xdr:col>9</xdr:col>
      <xdr:colOff>885190</xdr:colOff>
      <xdr:row>4865</xdr:row>
      <xdr:rowOff>1209040</xdr:rowOff>
    </xdr:to>
    <xdr:pic>
      <xdr:nvPicPr>
        <xdr:cNvPr id="9080" name="Изображение 9079" descr="resizeПП-00163926"/>
        <xdr:cNvPicPr>
          <a:picLocks noChangeAspect="1"/>
        </xdr:cNvPicPr>
      </xdr:nvPicPr>
      <xdr:blipFill>
        <a:blip xmlns:r="http://schemas.openxmlformats.org/officeDocument/2006/relationships" r:embed="rId3692"/>
        <a:stretch>
          <a:fillRect/>
        </a:stretch>
      </xdr:blipFill>
      <xdr:spPr>
        <a:xfrm>
          <a:off x="7235825" y="4890833500"/>
          <a:ext cx="878840" cy="1183640"/>
        </a:xfrm>
        <a:prstGeom prst="rect">
          <a:avLst/>
        </a:prstGeom>
      </xdr:spPr>
    </xdr:pic>
    <xdr:clientData/>
  </xdr:twoCellAnchor>
  <xdr:twoCellAnchor>
    <xdr:from>
      <xdr:col>9</xdr:col>
      <xdr:colOff>6350</xdr:colOff>
      <xdr:row>4866</xdr:row>
      <xdr:rowOff>25400</xdr:rowOff>
    </xdr:from>
    <xdr:to>
      <xdr:col>9</xdr:col>
      <xdr:colOff>885190</xdr:colOff>
      <xdr:row>4866</xdr:row>
      <xdr:rowOff>1209040</xdr:rowOff>
    </xdr:to>
    <xdr:pic>
      <xdr:nvPicPr>
        <xdr:cNvPr id="9081" name="Изображение 9080" descr="resizeПП-00163927"/>
        <xdr:cNvPicPr>
          <a:picLocks noChangeAspect="1"/>
        </xdr:cNvPicPr>
      </xdr:nvPicPr>
      <xdr:blipFill>
        <a:blip xmlns:r="http://schemas.openxmlformats.org/officeDocument/2006/relationships" r:embed="rId3693"/>
        <a:stretch>
          <a:fillRect/>
        </a:stretch>
      </xdr:blipFill>
      <xdr:spPr>
        <a:xfrm>
          <a:off x="7235825" y="4892055875"/>
          <a:ext cx="878840" cy="1183640"/>
        </a:xfrm>
        <a:prstGeom prst="rect">
          <a:avLst/>
        </a:prstGeom>
      </xdr:spPr>
    </xdr:pic>
    <xdr:clientData/>
  </xdr:twoCellAnchor>
  <xdr:twoCellAnchor>
    <xdr:from>
      <xdr:col>9</xdr:col>
      <xdr:colOff>6350</xdr:colOff>
      <xdr:row>4867</xdr:row>
      <xdr:rowOff>25400</xdr:rowOff>
    </xdr:from>
    <xdr:to>
      <xdr:col>9</xdr:col>
      <xdr:colOff>885190</xdr:colOff>
      <xdr:row>4867</xdr:row>
      <xdr:rowOff>1209040</xdr:rowOff>
    </xdr:to>
    <xdr:pic>
      <xdr:nvPicPr>
        <xdr:cNvPr id="9082" name="Изображение 9081" descr="resizeПП-00182672"/>
        <xdr:cNvPicPr>
          <a:picLocks noChangeAspect="1"/>
        </xdr:cNvPicPr>
      </xdr:nvPicPr>
      <xdr:blipFill>
        <a:blip xmlns:r="http://schemas.openxmlformats.org/officeDocument/2006/relationships" r:embed="rId3694"/>
        <a:stretch>
          <a:fillRect/>
        </a:stretch>
      </xdr:blipFill>
      <xdr:spPr>
        <a:xfrm>
          <a:off x="7235825" y="4893278250"/>
          <a:ext cx="878840" cy="1183640"/>
        </a:xfrm>
        <a:prstGeom prst="rect">
          <a:avLst/>
        </a:prstGeom>
      </xdr:spPr>
    </xdr:pic>
    <xdr:clientData/>
  </xdr:twoCellAnchor>
  <xdr:twoCellAnchor>
    <xdr:from>
      <xdr:col>9</xdr:col>
      <xdr:colOff>6350</xdr:colOff>
      <xdr:row>4868</xdr:row>
      <xdr:rowOff>25400</xdr:rowOff>
    </xdr:from>
    <xdr:to>
      <xdr:col>9</xdr:col>
      <xdr:colOff>885190</xdr:colOff>
      <xdr:row>4868</xdr:row>
      <xdr:rowOff>1209040</xdr:rowOff>
    </xdr:to>
    <xdr:pic>
      <xdr:nvPicPr>
        <xdr:cNvPr id="9083" name="Изображение 9082" descr="resizeПП-00177042"/>
        <xdr:cNvPicPr>
          <a:picLocks noChangeAspect="1"/>
        </xdr:cNvPicPr>
      </xdr:nvPicPr>
      <xdr:blipFill>
        <a:blip xmlns:r="http://schemas.openxmlformats.org/officeDocument/2006/relationships" r:embed="rId3695"/>
        <a:stretch>
          <a:fillRect/>
        </a:stretch>
      </xdr:blipFill>
      <xdr:spPr>
        <a:xfrm>
          <a:off x="7235825" y="4894500625"/>
          <a:ext cx="878840" cy="1183640"/>
        </a:xfrm>
        <a:prstGeom prst="rect">
          <a:avLst/>
        </a:prstGeom>
      </xdr:spPr>
    </xdr:pic>
    <xdr:clientData/>
  </xdr:twoCellAnchor>
  <xdr:twoCellAnchor>
    <xdr:from>
      <xdr:col>9</xdr:col>
      <xdr:colOff>6350</xdr:colOff>
      <xdr:row>4869</xdr:row>
      <xdr:rowOff>25400</xdr:rowOff>
    </xdr:from>
    <xdr:to>
      <xdr:col>9</xdr:col>
      <xdr:colOff>885190</xdr:colOff>
      <xdr:row>4869</xdr:row>
      <xdr:rowOff>1209040</xdr:rowOff>
    </xdr:to>
    <xdr:pic>
      <xdr:nvPicPr>
        <xdr:cNvPr id="9084" name="Изображение 9083" descr="resizeПП-00177043"/>
        <xdr:cNvPicPr>
          <a:picLocks noChangeAspect="1"/>
        </xdr:cNvPicPr>
      </xdr:nvPicPr>
      <xdr:blipFill>
        <a:blip xmlns:r="http://schemas.openxmlformats.org/officeDocument/2006/relationships" r:embed="rId3696"/>
        <a:stretch>
          <a:fillRect/>
        </a:stretch>
      </xdr:blipFill>
      <xdr:spPr>
        <a:xfrm>
          <a:off x="7235825" y="4895723000"/>
          <a:ext cx="878840" cy="1183640"/>
        </a:xfrm>
        <a:prstGeom prst="rect">
          <a:avLst/>
        </a:prstGeom>
      </xdr:spPr>
    </xdr:pic>
    <xdr:clientData/>
  </xdr:twoCellAnchor>
  <xdr:twoCellAnchor>
    <xdr:from>
      <xdr:col>9</xdr:col>
      <xdr:colOff>6350</xdr:colOff>
      <xdr:row>4870</xdr:row>
      <xdr:rowOff>25400</xdr:rowOff>
    </xdr:from>
    <xdr:to>
      <xdr:col>9</xdr:col>
      <xdr:colOff>885190</xdr:colOff>
      <xdr:row>4870</xdr:row>
      <xdr:rowOff>1209040</xdr:rowOff>
    </xdr:to>
    <xdr:pic>
      <xdr:nvPicPr>
        <xdr:cNvPr id="9085" name="Изображение 9084" descr="resizeПП-00177048"/>
        <xdr:cNvPicPr>
          <a:picLocks noChangeAspect="1"/>
        </xdr:cNvPicPr>
      </xdr:nvPicPr>
      <xdr:blipFill>
        <a:blip xmlns:r="http://schemas.openxmlformats.org/officeDocument/2006/relationships" r:embed="rId3697"/>
        <a:stretch>
          <a:fillRect/>
        </a:stretch>
      </xdr:blipFill>
      <xdr:spPr>
        <a:xfrm>
          <a:off x="7235825" y="4896945375"/>
          <a:ext cx="878840" cy="1183640"/>
        </a:xfrm>
        <a:prstGeom prst="rect">
          <a:avLst/>
        </a:prstGeom>
      </xdr:spPr>
    </xdr:pic>
    <xdr:clientData/>
  </xdr:twoCellAnchor>
  <xdr:twoCellAnchor>
    <xdr:from>
      <xdr:col>9</xdr:col>
      <xdr:colOff>6350</xdr:colOff>
      <xdr:row>4871</xdr:row>
      <xdr:rowOff>25400</xdr:rowOff>
    </xdr:from>
    <xdr:to>
      <xdr:col>9</xdr:col>
      <xdr:colOff>885190</xdr:colOff>
      <xdr:row>4871</xdr:row>
      <xdr:rowOff>1209040</xdr:rowOff>
    </xdr:to>
    <xdr:pic>
      <xdr:nvPicPr>
        <xdr:cNvPr id="9086" name="Изображение 9085" descr="resizeПП-00177049"/>
        <xdr:cNvPicPr>
          <a:picLocks noChangeAspect="1"/>
        </xdr:cNvPicPr>
      </xdr:nvPicPr>
      <xdr:blipFill>
        <a:blip xmlns:r="http://schemas.openxmlformats.org/officeDocument/2006/relationships" r:embed="rId3698"/>
        <a:stretch>
          <a:fillRect/>
        </a:stretch>
      </xdr:blipFill>
      <xdr:spPr>
        <a:xfrm>
          <a:off x="7235825" y="4898167750"/>
          <a:ext cx="878840" cy="1183640"/>
        </a:xfrm>
        <a:prstGeom prst="rect">
          <a:avLst/>
        </a:prstGeom>
      </xdr:spPr>
    </xdr:pic>
    <xdr:clientData/>
  </xdr:twoCellAnchor>
  <xdr:twoCellAnchor>
    <xdr:from>
      <xdr:col>9</xdr:col>
      <xdr:colOff>6350</xdr:colOff>
      <xdr:row>4872</xdr:row>
      <xdr:rowOff>25400</xdr:rowOff>
    </xdr:from>
    <xdr:to>
      <xdr:col>9</xdr:col>
      <xdr:colOff>885190</xdr:colOff>
      <xdr:row>4872</xdr:row>
      <xdr:rowOff>1209040</xdr:rowOff>
    </xdr:to>
    <xdr:pic>
      <xdr:nvPicPr>
        <xdr:cNvPr id="9087" name="Изображение 9086" descr="resizeПП-00182670"/>
        <xdr:cNvPicPr>
          <a:picLocks noChangeAspect="1"/>
        </xdr:cNvPicPr>
      </xdr:nvPicPr>
      <xdr:blipFill>
        <a:blip xmlns:r="http://schemas.openxmlformats.org/officeDocument/2006/relationships" r:embed="rId3699"/>
        <a:stretch>
          <a:fillRect/>
        </a:stretch>
      </xdr:blipFill>
      <xdr:spPr>
        <a:xfrm>
          <a:off x="7235825" y="4899390125"/>
          <a:ext cx="878840" cy="1183640"/>
        </a:xfrm>
        <a:prstGeom prst="rect">
          <a:avLst/>
        </a:prstGeom>
      </xdr:spPr>
    </xdr:pic>
    <xdr:clientData/>
  </xdr:twoCellAnchor>
  <xdr:twoCellAnchor>
    <xdr:from>
      <xdr:col>9</xdr:col>
      <xdr:colOff>6350</xdr:colOff>
      <xdr:row>4873</xdr:row>
      <xdr:rowOff>25400</xdr:rowOff>
    </xdr:from>
    <xdr:to>
      <xdr:col>9</xdr:col>
      <xdr:colOff>885190</xdr:colOff>
      <xdr:row>4873</xdr:row>
      <xdr:rowOff>1209040</xdr:rowOff>
    </xdr:to>
    <xdr:pic>
      <xdr:nvPicPr>
        <xdr:cNvPr id="9088" name="Изображение 9087" descr="resizeПП-00182671"/>
        <xdr:cNvPicPr>
          <a:picLocks noChangeAspect="1"/>
        </xdr:cNvPicPr>
      </xdr:nvPicPr>
      <xdr:blipFill>
        <a:blip xmlns:r="http://schemas.openxmlformats.org/officeDocument/2006/relationships" r:embed="rId3700"/>
        <a:stretch>
          <a:fillRect/>
        </a:stretch>
      </xdr:blipFill>
      <xdr:spPr>
        <a:xfrm>
          <a:off x="7235825" y="4900612500"/>
          <a:ext cx="878840" cy="1183640"/>
        </a:xfrm>
        <a:prstGeom prst="rect">
          <a:avLst/>
        </a:prstGeom>
      </xdr:spPr>
    </xdr:pic>
    <xdr:clientData/>
  </xdr:twoCellAnchor>
  <xdr:twoCellAnchor>
    <xdr:from>
      <xdr:col>9</xdr:col>
      <xdr:colOff>6350</xdr:colOff>
      <xdr:row>4874</xdr:row>
      <xdr:rowOff>25400</xdr:rowOff>
    </xdr:from>
    <xdr:to>
      <xdr:col>9</xdr:col>
      <xdr:colOff>885190</xdr:colOff>
      <xdr:row>4874</xdr:row>
      <xdr:rowOff>1209040</xdr:rowOff>
    </xdr:to>
    <xdr:pic>
      <xdr:nvPicPr>
        <xdr:cNvPr id="9089" name="Изображение 9088" descr="resizeПП-00177039"/>
        <xdr:cNvPicPr>
          <a:picLocks noChangeAspect="1"/>
        </xdr:cNvPicPr>
      </xdr:nvPicPr>
      <xdr:blipFill>
        <a:blip xmlns:r="http://schemas.openxmlformats.org/officeDocument/2006/relationships" r:embed="rId3701"/>
        <a:stretch>
          <a:fillRect/>
        </a:stretch>
      </xdr:blipFill>
      <xdr:spPr>
        <a:xfrm>
          <a:off x="7235825" y="4901834875"/>
          <a:ext cx="878840" cy="1183640"/>
        </a:xfrm>
        <a:prstGeom prst="rect">
          <a:avLst/>
        </a:prstGeom>
      </xdr:spPr>
    </xdr:pic>
    <xdr:clientData/>
  </xdr:twoCellAnchor>
  <xdr:twoCellAnchor>
    <xdr:from>
      <xdr:col>9</xdr:col>
      <xdr:colOff>6350</xdr:colOff>
      <xdr:row>4875</xdr:row>
      <xdr:rowOff>25400</xdr:rowOff>
    </xdr:from>
    <xdr:to>
      <xdr:col>9</xdr:col>
      <xdr:colOff>885190</xdr:colOff>
      <xdr:row>4875</xdr:row>
      <xdr:rowOff>1209040</xdr:rowOff>
    </xdr:to>
    <xdr:pic>
      <xdr:nvPicPr>
        <xdr:cNvPr id="9090" name="Изображение 9089" descr="resizeПП-00177032"/>
        <xdr:cNvPicPr>
          <a:picLocks noChangeAspect="1"/>
        </xdr:cNvPicPr>
      </xdr:nvPicPr>
      <xdr:blipFill>
        <a:blip xmlns:r="http://schemas.openxmlformats.org/officeDocument/2006/relationships" r:embed="rId3702"/>
        <a:stretch>
          <a:fillRect/>
        </a:stretch>
      </xdr:blipFill>
      <xdr:spPr>
        <a:xfrm>
          <a:off x="7235825" y="4903057250"/>
          <a:ext cx="878840" cy="1183640"/>
        </a:xfrm>
        <a:prstGeom prst="rect">
          <a:avLst/>
        </a:prstGeom>
      </xdr:spPr>
    </xdr:pic>
    <xdr:clientData/>
  </xdr:twoCellAnchor>
  <xdr:twoCellAnchor>
    <xdr:from>
      <xdr:col>9</xdr:col>
      <xdr:colOff>6350</xdr:colOff>
      <xdr:row>4876</xdr:row>
      <xdr:rowOff>25400</xdr:rowOff>
    </xdr:from>
    <xdr:to>
      <xdr:col>9</xdr:col>
      <xdr:colOff>885190</xdr:colOff>
      <xdr:row>4876</xdr:row>
      <xdr:rowOff>1209040</xdr:rowOff>
    </xdr:to>
    <xdr:pic>
      <xdr:nvPicPr>
        <xdr:cNvPr id="9091" name="Изображение 9090" descr="resizeПП-00177035"/>
        <xdr:cNvPicPr>
          <a:picLocks noChangeAspect="1"/>
        </xdr:cNvPicPr>
      </xdr:nvPicPr>
      <xdr:blipFill>
        <a:blip xmlns:r="http://schemas.openxmlformats.org/officeDocument/2006/relationships" r:embed="rId3703"/>
        <a:stretch>
          <a:fillRect/>
        </a:stretch>
      </xdr:blipFill>
      <xdr:spPr>
        <a:xfrm>
          <a:off x="7235825" y="4904279625"/>
          <a:ext cx="878840" cy="1183640"/>
        </a:xfrm>
        <a:prstGeom prst="rect">
          <a:avLst/>
        </a:prstGeom>
      </xdr:spPr>
    </xdr:pic>
    <xdr:clientData/>
  </xdr:twoCellAnchor>
  <xdr:twoCellAnchor>
    <xdr:from>
      <xdr:col>9</xdr:col>
      <xdr:colOff>6350</xdr:colOff>
      <xdr:row>4877</xdr:row>
      <xdr:rowOff>25400</xdr:rowOff>
    </xdr:from>
    <xdr:to>
      <xdr:col>9</xdr:col>
      <xdr:colOff>885190</xdr:colOff>
      <xdr:row>4877</xdr:row>
      <xdr:rowOff>1209040</xdr:rowOff>
    </xdr:to>
    <xdr:pic>
      <xdr:nvPicPr>
        <xdr:cNvPr id="9092" name="Изображение 9091" descr="resizeПП-00177036"/>
        <xdr:cNvPicPr>
          <a:picLocks noChangeAspect="1"/>
        </xdr:cNvPicPr>
      </xdr:nvPicPr>
      <xdr:blipFill>
        <a:blip xmlns:r="http://schemas.openxmlformats.org/officeDocument/2006/relationships" r:embed="rId3704"/>
        <a:stretch>
          <a:fillRect/>
        </a:stretch>
      </xdr:blipFill>
      <xdr:spPr>
        <a:xfrm>
          <a:off x="7235825" y="4905502000"/>
          <a:ext cx="878840" cy="1183640"/>
        </a:xfrm>
        <a:prstGeom prst="rect">
          <a:avLst/>
        </a:prstGeom>
      </xdr:spPr>
    </xdr:pic>
    <xdr:clientData/>
  </xdr:twoCellAnchor>
  <xdr:twoCellAnchor>
    <xdr:from>
      <xdr:col>9</xdr:col>
      <xdr:colOff>6350</xdr:colOff>
      <xdr:row>4878</xdr:row>
      <xdr:rowOff>25400</xdr:rowOff>
    </xdr:from>
    <xdr:to>
      <xdr:col>9</xdr:col>
      <xdr:colOff>885190</xdr:colOff>
      <xdr:row>4878</xdr:row>
      <xdr:rowOff>1209040</xdr:rowOff>
    </xdr:to>
    <xdr:pic>
      <xdr:nvPicPr>
        <xdr:cNvPr id="9093" name="Изображение 9092" descr="resizeПП-00177037"/>
        <xdr:cNvPicPr>
          <a:picLocks noChangeAspect="1"/>
        </xdr:cNvPicPr>
      </xdr:nvPicPr>
      <xdr:blipFill>
        <a:blip xmlns:r="http://schemas.openxmlformats.org/officeDocument/2006/relationships" r:embed="rId3705"/>
        <a:stretch>
          <a:fillRect/>
        </a:stretch>
      </xdr:blipFill>
      <xdr:spPr>
        <a:xfrm>
          <a:off x="7235825" y="4906724375"/>
          <a:ext cx="878840" cy="1183640"/>
        </a:xfrm>
        <a:prstGeom prst="rect">
          <a:avLst/>
        </a:prstGeom>
      </xdr:spPr>
    </xdr:pic>
    <xdr:clientData/>
  </xdr:twoCellAnchor>
  <xdr:twoCellAnchor>
    <xdr:from>
      <xdr:col>9</xdr:col>
      <xdr:colOff>6350</xdr:colOff>
      <xdr:row>4879</xdr:row>
      <xdr:rowOff>25400</xdr:rowOff>
    </xdr:from>
    <xdr:to>
      <xdr:col>9</xdr:col>
      <xdr:colOff>885190</xdr:colOff>
      <xdr:row>4879</xdr:row>
      <xdr:rowOff>1209040</xdr:rowOff>
    </xdr:to>
    <xdr:pic>
      <xdr:nvPicPr>
        <xdr:cNvPr id="9094" name="Изображение 9093" descr="resizeПП-00177038"/>
        <xdr:cNvPicPr>
          <a:picLocks noChangeAspect="1"/>
        </xdr:cNvPicPr>
      </xdr:nvPicPr>
      <xdr:blipFill>
        <a:blip xmlns:r="http://schemas.openxmlformats.org/officeDocument/2006/relationships" r:embed="rId3706"/>
        <a:stretch>
          <a:fillRect/>
        </a:stretch>
      </xdr:blipFill>
      <xdr:spPr>
        <a:xfrm>
          <a:off x="7235825" y="4907946750"/>
          <a:ext cx="878840" cy="1183640"/>
        </a:xfrm>
        <a:prstGeom prst="rect">
          <a:avLst/>
        </a:prstGeom>
      </xdr:spPr>
    </xdr:pic>
    <xdr:clientData/>
  </xdr:twoCellAnchor>
  <xdr:twoCellAnchor>
    <xdr:from>
      <xdr:col>9</xdr:col>
      <xdr:colOff>6350</xdr:colOff>
      <xdr:row>4880</xdr:row>
      <xdr:rowOff>25400</xdr:rowOff>
    </xdr:from>
    <xdr:to>
      <xdr:col>9</xdr:col>
      <xdr:colOff>885190</xdr:colOff>
      <xdr:row>4880</xdr:row>
      <xdr:rowOff>1209040</xdr:rowOff>
    </xdr:to>
    <xdr:pic>
      <xdr:nvPicPr>
        <xdr:cNvPr id="9095" name="Изображение 9094" descr="resizeПП-00194370"/>
        <xdr:cNvPicPr>
          <a:picLocks noChangeAspect="1"/>
        </xdr:cNvPicPr>
      </xdr:nvPicPr>
      <xdr:blipFill>
        <a:blip xmlns:r="http://schemas.openxmlformats.org/officeDocument/2006/relationships" r:embed="rId3707"/>
        <a:stretch>
          <a:fillRect/>
        </a:stretch>
      </xdr:blipFill>
      <xdr:spPr>
        <a:xfrm>
          <a:off x="7235825" y="4909169125"/>
          <a:ext cx="878840" cy="1183640"/>
        </a:xfrm>
        <a:prstGeom prst="rect">
          <a:avLst/>
        </a:prstGeom>
      </xdr:spPr>
    </xdr:pic>
    <xdr:clientData/>
  </xdr:twoCellAnchor>
  <xdr:twoCellAnchor>
    <xdr:from>
      <xdr:col>9</xdr:col>
      <xdr:colOff>6350</xdr:colOff>
      <xdr:row>4881</xdr:row>
      <xdr:rowOff>25400</xdr:rowOff>
    </xdr:from>
    <xdr:to>
      <xdr:col>9</xdr:col>
      <xdr:colOff>885190</xdr:colOff>
      <xdr:row>4881</xdr:row>
      <xdr:rowOff>1209040</xdr:rowOff>
    </xdr:to>
    <xdr:pic>
      <xdr:nvPicPr>
        <xdr:cNvPr id="9096" name="Изображение 9095" descr="resizeПП-00072884"/>
        <xdr:cNvPicPr>
          <a:picLocks noChangeAspect="1"/>
        </xdr:cNvPicPr>
      </xdr:nvPicPr>
      <xdr:blipFill>
        <a:blip xmlns:r="http://schemas.openxmlformats.org/officeDocument/2006/relationships" r:embed="rId3708"/>
        <a:stretch>
          <a:fillRect/>
        </a:stretch>
      </xdr:blipFill>
      <xdr:spPr>
        <a:xfrm>
          <a:off x="7235825" y="4910391500"/>
          <a:ext cx="878840" cy="1183640"/>
        </a:xfrm>
        <a:prstGeom prst="rect">
          <a:avLst/>
        </a:prstGeom>
      </xdr:spPr>
    </xdr:pic>
    <xdr:clientData/>
  </xdr:twoCellAnchor>
  <xdr:twoCellAnchor>
    <xdr:from>
      <xdr:col>9</xdr:col>
      <xdr:colOff>6350</xdr:colOff>
      <xdr:row>4882</xdr:row>
      <xdr:rowOff>25400</xdr:rowOff>
    </xdr:from>
    <xdr:to>
      <xdr:col>9</xdr:col>
      <xdr:colOff>885190</xdr:colOff>
      <xdr:row>4882</xdr:row>
      <xdr:rowOff>1209040</xdr:rowOff>
    </xdr:to>
    <xdr:pic>
      <xdr:nvPicPr>
        <xdr:cNvPr id="9097" name="Изображение 9096" descr="resizeПП-00072885"/>
        <xdr:cNvPicPr>
          <a:picLocks noChangeAspect="1"/>
        </xdr:cNvPicPr>
      </xdr:nvPicPr>
      <xdr:blipFill>
        <a:blip xmlns:r="http://schemas.openxmlformats.org/officeDocument/2006/relationships" r:embed="rId3709"/>
        <a:stretch>
          <a:fillRect/>
        </a:stretch>
      </xdr:blipFill>
      <xdr:spPr>
        <a:xfrm>
          <a:off x="7235825" y="4911613875"/>
          <a:ext cx="878840" cy="1183640"/>
        </a:xfrm>
        <a:prstGeom prst="rect">
          <a:avLst/>
        </a:prstGeom>
      </xdr:spPr>
    </xdr:pic>
    <xdr:clientData/>
  </xdr:twoCellAnchor>
  <xdr:twoCellAnchor>
    <xdr:from>
      <xdr:col>9</xdr:col>
      <xdr:colOff>6350</xdr:colOff>
      <xdr:row>4883</xdr:row>
      <xdr:rowOff>25400</xdr:rowOff>
    </xdr:from>
    <xdr:to>
      <xdr:col>9</xdr:col>
      <xdr:colOff>885190</xdr:colOff>
      <xdr:row>4883</xdr:row>
      <xdr:rowOff>1209040</xdr:rowOff>
    </xdr:to>
    <xdr:pic>
      <xdr:nvPicPr>
        <xdr:cNvPr id="9098" name="Изображение 9097" descr="resizeПП-00072886"/>
        <xdr:cNvPicPr>
          <a:picLocks noChangeAspect="1"/>
        </xdr:cNvPicPr>
      </xdr:nvPicPr>
      <xdr:blipFill>
        <a:blip xmlns:r="http://schemas.openxmlformats.org/officeDocument/2006/relationships" r:embed="rId3710"/>
        <a:stretch>
          <a:fillRect/>
        </a:stretch>
      </xdr:blipFill>
      <xdr:spPr>
        <a:xfrm>
          <a:off x="7235825" y="4912836250"/>
          <a:ext cx="878840" cy="1183640"/>
        </a:xfrm>
        <a:prstGeom prst="rect">
          <a:avLst/>
        </a:prstGeom>
      </xdr:spPr>
    </xdr:pic>
    <xdr:clientData/>
  </xdr:twoCellAnchor>
  <xdr:twoCellAnchor>
    <xdr:from>
      <xdr:col>9</xdr:col>
      <xdr:colOff>6350</xdr:colOff>
      <xdr:row>4884</xdr:row>
      <xdr:rowOff>25400</xdr:rowOff>
    </xdr:from>
    <xdr:to>
      <xdr:col>9</xdr:col>
      <xdr:colOff>885190</xdr:colOff>
      <xdr:row>4884</xdr:row>
      <xdr:rowOff>1209040</xdr:rowOff>
    </xdr:to>
    <xdr:pic>
      <xdr:nvPicPr>
        <xdr:cNvPr id="9099" name="Изображение 9098" descr="resizeПП-00081459"/>
        <xdr:cNvPicPr>
          <a:picLocks noChangeAspect="1"/>
        </xdr:cNvPicPr>
      </xdr:nvPicPr>
      <xdr:blipFill>
        <a:blip xmlns:r="http://schemas.openxmlformats.org/officeDocument/2006/relationships" r:embed="rId3711"/>
        <a:stretch>
          <a:fillRect/>
        </a:stretch>
      </xdr:blipFill>
      <xdr:spPr>
        <a:xfrm>
          <a:off x="7235825" y="4914058625"/>
          <a:ext cx="878840" cy="1183640"/>
        </a:xfrm>
        <a:prstGeom prst="rect">
          <a:avLst/>
        </a:prstGeom>
      </xdr:spPr>
    </xdr:pic>
    <xdr:clientData/>
  </xdr:twoCellAnchor>
  <xdr:twoCellAnchor>
    <xdr:from>
      <xdr:col>9</xdr:col>
      <xdr:colOff>6350</xdr:colOff>
      <xdr:row>4885</xdr:row>
      <xdr:rowOff>25400</xdr:rowOff>
    </xdr:from>
    <xdr:to>
      <xdr:col>9</xdr:col>
      <xdr:colOff>885190</xdr:colOff>
      <xdr:row>4885</xdr:row>
      <xdr:rowOff>1209040</xdr:rowOff>
    </xdr:to>
    <xdr:pic>
      <xdr:nvPicPr>
        <xdr:cNvPr id="9100" name="Изображение 9099" descr="resizeПП-00072888"/>
        <xdr:cNvPicPr>
          <a:picLocks noChangeAspect="1"/>
        </xdr:cNvPicPr>
      </xdr:nvPicPr>
      <xdr:blipFill>
        <a:blip xmlns:r="http://schemas.openxmlformats.org/officeDocument/2006/relationships" r:embed="rId3712"/>
        <a:stretch>
          <a:fillRect/>
        </a:stretch>
      </xdr:blipFill>
      <xdr:spPr>
        <a:xfrm>
          <a:off x="7235825" y="4915281000"/>
          <a:ext cx="878840" cy="1183640"/>
        </a:xfrm>
        <a:prstGeom prst="rect">
          <a:avLst/>
        </a:prstGeom>
      </xdr:spPr>
    </xdr:pic>
    <xdr:clientData/>
  </xdr:twoCellAnchor>
  <xdr:twoCellAnchor>
    <xdr:from>
      <xdr:col>9</xdr:col>
      <xdr:colOff>6350</xdr:colOff>
      <xdr:row>4886</xdr:row>
      <xdr:rowOff>25400</xdr:rowOff>
    </xdr:from>
    <xdr:to>
      <xdr:col>9</xdr:col>
      <xdr:colOff>885190</xdr:colOff>
      <xdr:row>4886</xdr:row>
      <xdr:rowOff>1209040</xdr:rowOff>
    </xdr:to>
    <xdr:pic>
      <xdr:nvPicPr>
        <xdr:cNvPr id="9101" name="Изображение 9100" descr="resizeПП-00072889"/>
        <xdr:cNvPicPr>
          <a:picLocks noChangeAspect="1"/>
        </xdr:cNvPicPr>
      </xdr:nvPicPr>
      <xdr:blipFill>
        <a:blip xmlns:r="http://schemas.openxmlformats.org/officeDocument/2006/relationships" r:embed="rId3713"/>
        <a:stretch>
          <a:fillRect/>
        </a:stretch>
      </xdr:blipFill>
      <xdr:spPr>
        <a:xfrm>
          <a:off x="7235825" y="4916503375"/>
          <a:ext cx="878840" cy="1183640"/>
        </a:xfrm>
        <a:prstGeom prst="rect">
          <a:avLst/>
        </a:prstGeom>
      </xdr:spPr>
    </xdr:pic>
    <xdr:clientData/>
  </xdr:twoCellAnchor>
  <xdr:twoCellAnchor>
    <xdr:from>
      <xdr:col>9</xdr:col>
      <xdr:colOff>6350</xdr:colOff>
      <xdr:row>4887</xdr:row>
      <xdr:rowOff>25400</xdr:rowOff>
    </xdr:from>
    <xdr:to>
      <xdr:col>9</xdr:col>
      <xdr:colOff>885190</xdr:colOff>
      <xdr:row>4887</xdr:row>
      <xdr:rowOff>1209040</xdr:rowOff>
    </xdr:to>
    <xdr:pic>
      <xdr:nvPicPr>
        <xdr:cNvPr id="9102" name="Изображение 9101" descr="resizeПП-00072890"/>
        <xdr:cNvPicPr>
          <a:picLocks noChangeAspect="1"/>
        </xdr:cNvPicPr>
      </xdr:nvPicPr>
      <xdr:blipFill>
        <a:blip xmlns:r="http://schemas.openxmlformats.org/officeDocument/2006/relationships" r:embed="rId3714"/>
        <a:stretch>
          <a:fillRect/>
        </a:stretch>
      </xdr:blipFill>
      <xdr:spPr>
        <a:xfrm>
          <a:off x="7235825" y="4917725750"/>
          <a:ext cx="878840" cy="1183640"/>
        </a:xfrm>
        <a:prstGeom prst="rect">
          <a:avLst/>
        </a:prstGeom>
      </xdr:spPr>
    </xdr:pic>
    <xdr:clientData/>
  </xdr:twoCellAnchor>
  <xdr:twoCellAnchor>
    <xdr:from>
      <xdr:col>9</xdr:col>
      <xdr:colOff>6350</xdr:colOff>
      <xdr:row>4888</xdr:row>
      <xdr:rowOff>25400</xdr:rowOff>
    </xdr:from>
    <xdr:to>
      <xdr:col>9</xdr:col>
      <xdr:colOff>885190</xdr:colOff>
      <xdr:row>4888</xdr:row>
      <xdr:rowOff>1209040</xdr:rowOff>
    </xdr:to>
    <xdr:pic>
      <xdr:nvPicPr>
        <xdr:cNvPr id="9103" name="Изображение 9102" descr="resizeПП-00072891"/>
        <xdr:cNvPicPr>
          <a:picLocks noChangeAspect="1"/>
        </xdr:cNvPicPr>
      </xdr:nvPicPr>
      <xdr:blipFill>
        <a:blip xmlns:r="http://schemas.openxmlformats.org/officeDocument/2006/relationships" r:embed="rId3715"/>
        <a:stretch>
          <a:fillRect/>
        </a:stretch>
      </xdr:blipFill>
      <xdr:spPr>
        <a:xfrm>
          <a:off x="7235825" y="4918948125"/>
          <a:ext cx="878840" cy="1183640"/>
        </a:xfrm>
        <a:prstGeom prst="rect">
          <a:avLst/>
        </a:prstGeom>
      </xdr:spPr>
    </xdr:pic>
    <xdr:clientData/>
  </xdr:twoCellAnchor>
  <xdr:twoCellAnchor>
    <xdr:from>
      <xdr:col>9</xdr:col>
      <xdr:colOff>6350</xdr:colOff>
      <xdr:row>4889</xdr:row>
      <xdr:rowOff>25400</xdr:rowOff>
    </xdr:from>
    <xdr:to>
      <xdr:col>9</xdr:col>
      <xdr:colOff>885190</xdr:colOff>
      <xdr:row>4889</xdr:row>
      <xdr:rowOff>1209040</xdr:rowOff>
    </xdr:to>
    <xdr:pic>
      <xdr:nvPicPr>
        <xdr:cNvPr id="9104" name="Изображение 9103" descr="resizeПП-00081460"/>
        <xdr:cNvPicPr>
          <a:picLocks noChangeAspect="1"/>
        </xdr:cNvPicPr>
      </xdr:nvPicPr>
      <xdr:blipFill>
        <a:blip xmlns:r="http://schemas.openxmlformats.org/officeDocument/2006/relationships" r:embed="rId3716"/>
        <a:stretch>
          <a:fillRect/>
        </a:stretch>
      </xdr:blipFill>
      <xdr:spPr>
        <a:xfrm>
          <a:off x="7235825" y="4920170500"/>
          <a:ext cx="878840" cy="1183640"/>
        </a:xfrm>
        <a:prstGeom prst="rect">
          <a:avLst/>
        </a:prstGeom>
      </xdr:spPr>
    </xdr:pic>
    <xdr:clientData/>
  </xdr:twoCellAnchor>
  <xdr:twoCellAnchor>
    <xdr:from>
      <xdr:col>9</xdr:col>
      <xdr:colOff>6350</xdr:colOff>
      <xdr:row>4890</xdr:row>
      <xdr:rowOff>25400</xdr:rowOff>
    </xdr:from>
    <xdr:to>
      <xdr:col>9</xdr:col>
      <xdr:colOff>885190</xdr:colOff>
      <xdr:row>4890</xdr:row>
      <xdr:rowOff>1209040</xdr:rowOff>
    </xdr:to>
    <xdr:pic>
      <xdr:nvPicPr>
        <xdr:cNvPr id="9105" name="Изображение 9104" descr="resizeПП-00176991"/>
        <xdr:cNvPicPr>
          <a:picLocks noChangeAspect="1"/>
        </xdr:cNvPicPr>
      </xdr:nvPicPr>
      <xdr:blipFill>
        <a:blip xmlns:r="http://schemas.openxmlformats.org/officeDocument/2006/relationships" r:embed="rId3717"/>
        <a:stretch>
          <a:fillRect/>
        </a:stretch>
      </xdr:blipFill>
      <xdr:spPr>
        <a:xfrm>
          <a:off x="7235825" y="4921392875"/>
          <a:ext cx="878840" cy="1183640"/>
        </a:xfrm>
        <a:prstGeom prst="rect">
          <a:avLst/>
        </a:prstGeom>
      </xdr:spPr>
    </xdr:pic>
    <xdr:clientData/>
  </xdr:twoCellAnchor>
  <xdr:twoCellAnchor>
    <xdr:from>
      <xdr:col>9</xdr:col>
      <xdr:colOff>6350</xdr:colOff>
      <xdr:row>4891</xdr:row>
      <xdr:rowOff>25400</xdr:rowOff>
    </xdr:from>
    <xdr:to>
      <xdr:col>9</xdr:col>
      <xdr:colOff>885190</xdr:colOff>
      <xdr:row>4891</xdr:row>
      <xdr:rowOff>1209040</xdr:rowOff>
    </xdr:to>
    <xdr:pic>
      <xdr:nvPicPr>
        <xdr:cNvPr id="9106" name="Изображение 9105" descr="resizeПП-00177025"/>
        <xdr:cNvPicPr>
          <a:picLocks noChangeAspect="1"/>
        </xdr:cNvPicPr>
      </xdr:nvPicPr>
      <xdr:blipFill>
        <a:blip xmlns:r="http://schemas.openxmlformats.org/officeDocument/2006/relationships" r:embed="rId3718"/>
        <a:stretch>
          <a:fillRect/>
        </a:stretch>
      </xdr:blipFill>
      <xdr:spPr>
        <a:xfrm>
          <a:off x="7235825" y="4922615250"/>
          <a:ext cx="878840" cy="1183640"/>
        </a:xfrm>
        <a:prstGeom prst="rect">
          <a:avLst/>
        </a:prstGeom>
      </xdr:spPr>
    </xdr:pic>
    <xdr:clientData/>
  </xdr:twoCellAnchor>
  <xdr:twoCellAnchor>
    <xdr:from>
      <xdr:col>9</xdr:col>
      <xdr:colOff>6350</xdr:colOff>
      <xdr:row>4892</xdr:row>
      <xdr:rowOff>25400</xdr:rowOff>
    </xdr:from>
    <xdr:to>
      <xdr:col>9</xdr:col>
      <xdr:colOff>885190</xdr:colOff>
      <xdr:row>4892</xdr:row>
      <xdr:rowOff>1209040</xdr:rowOff>
    </xdr:to>
    <xdr:pic>
      <xdr:nvPicPr>
        <xdr:cNvPr id="9107" name="Изображение 9106" descr="resizeПП-00177019"/>
        <xdr:cNvPicPr>
          <a:picLocks noChangeAspect="1"/>
        </xdr:cNvPicPr>
      </xdr:nvPicPr>
      <xdr:blipFill>
        <a:blip xmlns:r="http://schemas.openxmlformats.org/officeDocument/2006/relationships" r:embed="rId3719"/>
        <a:stretch>
          <a:fillRect/>
        </a:stretch>
      </xdr:blipFill>
      <xdr:spPr>
        <a:xfrm>
          <a:off x="7235825" y="4923837625"/>
          <a:ext cx="878840" cy="1183640"/>
        </a:xfrm>
        <a:prstGeom prst="rect">
          <a:avLst/>
        </a:prstGeom>
      </xdr:spPr>
    </xdr:pic>
    <xdr:clientData/>
  </xdr:twoCellAnchor>
  <xdr:twoCellAnchor>
    <xdr:from>
      <xdr:col>9</xdr:col>
      <xdr:colOff>6350</xdr:colOff>
      <xdr:row>4893</xdr:row>
      <xdr:rowOff>25400</xdr:rowOff>
    </xdr:from>
    <xdr:to>
      <xdr:col>9</xdr:col>
      <xdr:colOff>885190</xdr:colOff>
      <xdr:row>4893</xdr:row>
      <xdr:rowOff>1209040</xdr:rowOff>
    </xdr:to>
    <xdr:pic>
      <xdr:nvPicPr>
        <xdr:cNvPr id="9108" name="Изображение 9107" descr="resizeПП-00177021"/>
        <xdr:cNvPicPr>
          <a:picLocks noChangeAspect="1"/>
        </xdr:cNvPicPr>
      </xdr:nvPicPr>
      <xdr:blipFill>
        <a:blip xmlns:r="http://schemas.openxmlformats.org/officeDocument/2006/relationships" r:embed="rId3720"/>
        <a:stretch>
          <a:fillRect/>
        </a:stretch>
      </xdr:blipFill>
      <xdr:spPr>
        <a:xfrm>
          <a:off x="7235825" y="4925060000"/>
          <a:ext cx="878840" cy="1183640"/>
        </a:xfrm>
        <a:prstGeom prst="rect">
          <a:avLst/>
        </a:prstGeom>
      </xdr:spPr>
    </xdr:pic>
    <xdr:clientData/>
  </xdr:twoCellAnchor>
  <xdr:twoCellAnchor>
    <xdr:from>
      <xdr:col>9</xdr:col>
      <xdr:colOff>6350</xdr:colOff>
      <xdr:row>4894</xdr:row>
      <xdr:rowOff>25400</xdr:rowOff>
    </xdr:from>
    <xdr:to>
      <xdr:col>9</xdr:col>
      <xdr:colOff>885190</xdr:colOff>
      <xdr:row>4894</xdr:row>
      <xdr:rowOff>1209040</xdr:rowOff>
    </xdr:to>
    <xdr:pic>
      <xdr:nvPicPr>
        <xdr:cNvPr id="9109" name="Изображение 9108" descr="resizeПП-00177023"/>
        <xdr:cNvPicPr>
          <a:picLocks noChangeAspect="1"/>
        </xdr:cNvPicPr>
      </xdr:nvPicPr>
      <xdr:blipFill>
        <a:blip xmlns:r="http://schemas.openxmlformats.org/officeDocument/2006/relationships" r:embed="rId3721"/>
        <a:stretch>
          <a:fillRect/>
        </a:stretch>
      </xdr:blipFill>
      <xdr:spPr>
        <a:xfrm>
          <a:off x="7235825" y="4926282375"/>
          <a:ext cx="878840" cy="1183640"/>
        </a:xfrm>
        <a:prstGeom prst="rect">
          <a:avLst/>
        </a:prstGeom>
      </xdr:spPr>
    </xdr:pic>
    <xdr:clientData/>
  </xdr:twoCellAnchor>
  <xdr:twoCellAnchor>
    <xdr:from>
      <xdr:col>9</xdr:col>
      <xdr:colOff>6350</xdr:colOff>
      <xdr:row>4895</xdr:row>
      <xdr:rowOff>25400</xdr:rowOff>
    </xdr:from>
    <xdr:to>
      <xdr:col>9</xdr:col>
      <xdr:colOff>885190</xdr:colOff>
      <xdr:row>4895</xdr:row>
      <xdr:rowOff>1209040</xdr:rowOff>
    </xdr:to>
    <xdr:pic>
      <xdr:nvPicPr>
        <xdr:cNvPr id="9110" name="Изображение 9109" descr="resizeПП-00176998"/>
        <xdr:cNvPicPr>
          <a:picLocks noChangeAspect="1"/>
        </xdr:cNvPicPr>
      </xdr:nvPicPr>
      <xdr:blipFill>
        <a:blip xmlns:r="http://schemas.openxmlformats.org/officeDocument/2006/relationships" r:embed="rId3722"/>
        <a:stretch>
          <a:fillRect/>
        </a:stretch>
      </xdr:blipFill>
      <xdr:spPr>
        <a:xfrm>
          <a:off x="7235825" y="4927504750"/>
          <a:ext cx="878840" cy="1183640"/>
        </a:xfrm>
        <a:prstGeom prst="rect">
          <a:avLst/>
        </a:prstGeom>
      </xdr:spPr>
    </xdr:pic>
    <xdr:clientData/>
  </xdr:twoCellAnchor>
  <xdr:twoCellAnchor>
    <xdr:from>
      <xdr:col>9</xdr:col>
      <xdr:colOff>6350</xdr:colOff>
      <xdr:row>4896</xdr:row>
      <xdr:rowOff>25400</xdr:rowOff>
    </xdr:from>
    <xdr:to>
      <xdr:col>9</xdr:col>
      <xdr:colOff>885190</xdr:colOff>
      <xdr:row>4896</xdr:row>
      <xdr:rowOff>1209040</xdr:rowOff>
    </xdr:to>
    <xdr:pic>
      <xdr:nvPicPr>
        <xdr:cNvPr id="9111" name="Изображение 9110" descr="resizeПП-00176983"/>
        <xdr:cNvPicPr>
          <a:picLocks noChangeAspect="1"/>
        </xdr:cNvPicPr>
      </xdr:nvPicPr>
      <xdr:blipFill>
        <a:blip xmlns:r="http://schemas.openxmlformats.org/officeDocument/2006/relationships" r:embed="rId3723"/>
        <a:stretch>
          <a:fillRect/>
        </a:stretch>
      </xdr:blipFill>
      <xdr:spPr>
        <a:xfrm>
          <a:off x="7235825" y="4928727125"/>
          <a:ext cx="878840" cy="1183640"/>
        </a:xfrm>
        <a:prstGeom prst="rect">
          <a:avLst/>
        </a:prstGeom>
      </xdr:spPr>
    </xdr:pic>
    <xdr:clientData/>
  </xdr:twoCellAnchor>
  <xdr:twoCellAnchor>
    <xdr:from>
      <xdr:col>9</xdr:col>
      <xdr:colOff>6350</xdr:colOff>
      <xdr:row>4897</xdr:row>
      <xdr:rowOff>25400</xdr:rowOff>
    </xdr:from>
    <xdr:to>
      <xdr:col>9</xdr:col>
      <xdr:colOff>885190</xdr:colOff>
      <xdr:row>4897</xdr:row>
      <xdr:rowOff>1209040</xdr:rowOff>
    </xdr:to>
    <xdr:pic>
      <xdr:nvPicPr>
        <xdr:cNvPr id="9112" name="Изображение 9111" descr="resizeПП-00176985"/>
        <xdr:cNvPicPr>
          <a:picLocks noChangeAspect="1"/>
        </xdr:cNvPicPr>
      </xdr:nvPicPr>
      <xdr:blipFill>
        <a:blip xmlns:r="http://schemas.openxmlformats.org/officeDocument/2006/relationships" r:embed="rId3724"/>
        <a:stretch>
          <a:fillRect/>
        </a:stretch>
      </xdr:blipFill>
      <xdr:spPr>
        <a:xfrm>
          <a:off x="7235825" y="4929949500"/>
          <a:ext cx="878840" cy="1183640"/>
        </a:xfrm>
        <a:prstGeom prst="rect">
          <a:avLst/>
        </a:prstGeom>
      </xdr:spPr>
    </xdr:pic>
    <xdr:clientData/>
  </xdr:twoCellAnchor>
  <xdr:twoCellAnchor>
    <xdr:from>
      <xdr:col>9</xdr:col>
      <xdr:colOff>6350</xdr:colOff>
      <xdr:row>4898</xdr:row>
      <xdr:rowOff>25400</xdr:rowOff>
    </xdr:from>
    <xdr:to>
      <xdr:col>9</xdr:col>
      <xdr:colOff>885190</xdr:colOff>
      <xdr:row>4898</xdr:row>
      <xdr:rowOff>1209040</xdr:rowOff>
    </xdr:to>
    <xdr:pic>
      <xdr:nvPicPr>
        <xdr:cNvPr id="9113" name="Изображение 9112" descr="resizeПП-00176987"/>
        <xdr:cNvPicPr>
          <a:picLocks noChangeAspect="1"/>
        </xdr:cNvPicPr>
      </xdr:nvPicPr>
      <xdr:blipFill>
        <a:blip xmlns:r="http://schemas.openxmlformats.org/officeDocument/2006/relationships" r:embed="rId3725"/>
        <a:stretch>
          <a:fillRect/>
        </a:stretch>
      </xdr:blipFill>
      <xdr:spPr>
        <a:xfrm>
          <a:off x="7235825" y="4931171875"/>
          <a:ext cx="878840" cy="1183640"/>
        </a:xfrm>
        <a:prstGeom prst="rect">
          <a:avLst/>
        </a:prstGeom>
      </xdr:spPr>
    </xdr:pic>
    <xdr:clientData/>
  </xdr:twoCellAnchor>
  <xdr:twoCellAnchor>
    <xdr:from>
      <xdr:col>9</xdr:col>
      <xdr:colOff>6350</xdr:colOff>
      <xdr:row>4899</xdr:row>
      <xdr:rowOff>25400</xdr:rowOff>
    </xdr:from>
    <xdr:to>
      <xdr:col>9</xdr:col>
      <xdr:colOff>885190</xdr:colOff>
      <xdr:row>4899</xdr:row>
      <xdr:rowOff>1209040</xdr:rowOff>
    </xdr:to>
    <xdr:pic>
      <xdr:nvPicPr>
        <xdr:cNvPr id="9114" name="Изображение 9113" descr="resizeПП-00176992"/>
        <xdr:cNvPicPr>
          <a:picLocks noChangeAspect="1"/>
        </xdr:cNvPicPr>
      </xdr:nvPicPr>
      <xdr:blipFill>
        <a:blip xmlns:r="http://schemas.openxmlformats.org/officeDocument/2006/relationships" r:embed="rId3726"/>
        <a:stretch>
          <a:fillRect/>
        </a:stretch>
      </xdr:blipFill>
      <xdr:spPr>
        <a:xfrm>
          <a:off x="7235825" y="4932394250"/>
          <a:ext cx="878840" cy="1183640"/>
        </a:xfrm>
        <a:prstGeom prst="rect">
          <a:avLst/>
        </a:prstGeom>
      </xdr:spPr>
    </xdr:pic>
    <xdr:clientData/>
  </xdr:twoCellAnchor>
  <xdr:twoCellAnchor>
    <xdr:from>
      <xdr:col>9</xdr:col>
      <xdr:colOff>6350</xdr:colOff>
      <xdr:row>4900</xdr:row>
      <xdr:rowOff>25400</xdr:rowOff>
    </xdr:from>
    <xdr:to>
      <xdr:col>9</xdr:col>
      <xdr:colOff>885190</xdr:colOff>
      <xdr:row>4900</xdr:row>
      <xdr:rowOff>1209040</xdr:rowOff>
    </xdr:to>
    <xdr:pic>
      <xdr:nvPicPr>
        <xdr:cNvPr id="9115" name="Изображение 9114" descr="resizeПП-00176995"/>
        <xdr:cNvPicPr>
          <a:picLocks noChangeAspect="1"/>
        </xdr:cNvPicPr>
      </xdr:nvPicPr>
      <xdr:blipFill>
        <a:blip xmlns:r="http://schemas.openxmlformats.org/officeDocument/2006/relationships" r:embed="rId3727"/>
        <a:stretch>
          <a:fillRect/>
        </a:stretch>
      </xdr:blipFill>
      <xdr:spPr>
        <a:xfrm>
          <a:off x="7235825" y="4933616625"/>
          <a:ext cx="878840" cy="1183640"/>
        </a:xfrm>
        <a:prstGeom prst="rect">
          <a:avLst/>
        </a:prstGeom>
      </xdr:spPr>
    </xdr:pic>
    <xdr:clientData/>
  </xdr:twoCellAnchor>
  <xdr:twoCellAnchor>
    <xdr:from>
      <xdr:col>9</xdr:col>
      <xdr:colOff>6350</xdr:colOff>
      <xdr:row>4901</xdr:row>
      <xdr:rowOff>25400</xdr:rowOff>
    </xdr:from>
    <xdr:to>
      <xdr:col>9</xdr:col>
      <xdr:colOff>885190</xdr:colOff>
      <xdr:row>4901</xdr:row>
      <xdr:rowOff>1209040</xdr:rowOff>
    </xdr:to>
    <xdr:pic>
      <xdr:nvPicPr>
        <xdr:cNvPr id="9116" name="Изображение 9115" descr="resizeПП-00176996"/>
        <xdr:cNvPicPr>
          <a:picLocks noChangeAspect="1"/>
        </xdr:cNvPicPr>
      </xdr:nvPicPr>
      <xdr:blipFill>
        <a:blip xmlns:r="http://schemas.openxmlformats.org/officeDocument/2006/relationships" r:embed="rId3728"/>
        <a:stretch>
          <a:fillRect/>
        </a:stretch>
      </xdr:blipFill>
      <xdr:spPr>
        <a:xfrm>
          <a:off x="7235825" y="4934839000"/>
          <a:ext cx="878840" cy="1183640"/>
        </a:xfrm>
        <a:prstGeom prst="rect">
          <a:avLst/>
        </a:prstGeom>
      </xdr:spPr>
    </xdr:pic>
    <xdr:clientData/>
  </xdr:twoCellAnchor>
  <xdr:twoCellAnchor>
    <xdr:from>
      <xdr:col>9</xdr:col>
      <xdr:colOff>6350</xdr:colOff>
      <xdr:row>4902</xdr:row>
      <xdr:rowOff>25400</xdr:rowOff>
    </xdr:from>
    <xdr:to>
      <xdr:col>9</xdr:col>
      <xdr:colOff>885190</xdr:colOff>
      <xdr:row>4902</xdr:row>
      <xdr:rowOff>1209040</xdr:rowOff>
    </xdr:to>
    <xdr:pic>
      <xdr:nvPicPr>
        <xdr:cNvPr id="9117" name="Изображение 9116" descr="resizeПП-00192863"/>
        <xdr:cNvPicPr>
          <a:picLocks noChangeAspect="1"/>
        </xdr:cNvPicPr>
      </xdr:nvPicPr>
      <xdr:blipFill>
        <a:blip xmlns:r="http://schemas.openxmlformats.org/officeDocument/2006/relationships" r:embed="rId3729"/>
        <a:stretch>
          <a:fillRect/>
        </a:stretch>
      </xdr:blipFill>
      <xdr:spPr>
        <a:xfrm>
          <a:off x="7235825" y="4936061375"/>
          <a:ext cx="878840" cy="1183640"/>
        </a:xfrm>
        <a:prstGeom prst="rect">
          <a:avLst/>
        </a:prstGeom>
      </xdr:spPr>
    </xdr:pic>
    <xdr:clientData/>
  </xdr:twoCellAnchor>
  <xdr:twoCellAnchor>
    <xdr:from>
      <xdr:col>9</xdr:col>
      <xdr:colOff>6350</xdr:colOff>
      <xdr:row>4903</xdr:row>
      <xdr:rowOff>25400</xdr:rowOff>
    </xdr:from>
    <xdr:to>
      <xdr:col>9</xdr:col>
      <xdr:colOff>885190</xdr:colOff>
      <xdr:row>4903</xdr:row>
      <xdr:rowOff>1209040</xdr:rowOff>
    </xdr:to>
    <xdr:pic>
      <xdr:nvPicPr>
        <xdr:cNvPr id="9118" name="Изображение 9117" descr="resizeПП-00192859"/>
        <xdr:cNvPicPr>
          <a:picLocks noChangeAspect="1"/>
        </xdr:cNvPicPr>
      </xdr:nvPicPr>
      <xdr:blipFill>
        <a:blip xmlns:r="http://schemas.openxmlformats.org/officeDocument/2006/relationships" r:embed="rId3730"/>
        <a:stretch>
          <a:fillRect/>
        </a:stretch>
      </xdr:blipFill>
      <xdr:spPr>
        <a:xfrm>
          <a:off x="7235825" y="4937283750"/>
          <a:ext cx="878840" cy="1183640"/>
        </a:xfrm>
        <a:prstGeom prst="rect">
          <a:avLst/>
        </a:prstGeom>
      </xdr:spPr>
    </xdr:pic>
    <xdr:clientData/>
  </xdr:twoCellAnchor>
  <xdr:twoCellAnchor>
    <xdr:from>
      <xdr:col>9</xdr:col>
      <xdr:colOff>6350</xdr:colOff>
      <xdr:row>4904</xdr:row>
      <xdr:rowOff>25400</xdr:rowOff>
    </xdr:from>
    <xdr:to>
      <xdr:col>9</xdr:col>
      <xdr:colOff>885190</xdr:colOff>
      <xdr:row>4904</xdr:row>
      <xdr:rowOff>1209040</xdr:rowOff>
    </xdr:to>
    <xdr:pic>
      <xdr:nvPicPr>
        <xdr:cNvPr id="9119" name="Изображение 9118" descr="resizeПП-00192860"/>
        <xdr:cNvPicPr>
          <a:picLocks noChangeAspect="1"/>
        </xdr:cNvPicPr>
      </xdr:nvPicPr>
      <xdr:blipFill>
        <a:blip xmlns:r="http://schemas.openxmlformats.org/officeDocument/2006/relationships" r:embed="rId3731"/>
        <a:stretch>
          <a:fillRect/>
        </a:stretch>
      </xdr:blipFill>
      <xdr:spPr>
        <a:xfrm>
          <a:off x="7235825" y="4938506125"/>
          <a:ext cx="878840" cy="1183640"/>
        </a:xfrm>
        <a:prstGeom prst="rect">
          <a:avLst/>
        </a:prstGeom>
      </xdr:spPr>
    </xdr:pic>
    <xdr:clientData/>
  </xdr:twoCellAnchor>
  <xdr:twoCellAnchor>
    <xdr:from>
      <xdr:col>9</xdr:col>
      <xdr:colOff>6350</xdr:colOff>
      <xdr:row>4905</xdr:row>
      <xdr:rowOff>25400</xdr:rowOff>
    </xdr:from>
    <xdr:to>
      <xdr:col>9</xdr:col>
      <xdr:colOff>885190</xdr:colOff>
      <xdr:row>4905</xdr:row>
      <xdr:rowOff>1209040</xdr:rowOff>
    </xdr:to>
    <xdr:pic>
      <xdr:nvPicPr>
        <xdr:cNvPr id="9120" name="Изображение 9119" descr="resizeПП-00194394"/>
        <xdr:cNvPicPr>
          <a:picLocks noChangeAspect="1"/>
        </xdr:cNvPicPr>
      </xdr:nvPicPr>
      <xdr:blipFill>
        <a:blip xmlns:r="http://schemas.openxmlformats.org/officeDocument/2006/relationships" r:embed="rId3732"/>
        <a:stretch>
          <a:fillRect/>
        </a:stretch>
      </xdr:blipFill>
      <xdr:spPr>
        <a:xfrm>
          <a:off x="7235825" y="4939728500"/>
          <a:ext cx="878840" cy="1183640"/>
        </a:xfrm>
        <a:prstGeom prst="rect">
          <a:avLst/>
        </a:prstGeom>
      </xdr:spPr>
    </xdr:pic>
    <xdr:clientData/>
  </xdr:twoCellAnchor>
  <xdr:twoCellAnchor>
    <xdr:from>
      <xdr:col>9</xdr:col>
      <xdr:colOff>6350</xdr:colOff>
      <xdr:row>4906</xdr:row>
      <xdr:rowOff>25400</xdr:rowOff>
    </xdr:from>
    <xdr:to>
      <xdr:col>9</xdr:col>
      <xdr:colOff>885190</xdr:colOff>
      <xdr:row>4906</xdr:row>
      <xdr:rowOff>1209040</xdr:rowOff>
    </xdr:to>
    <xdr:pic>
      <xdr:nvPicPr>
        <xdr:cNvPr id="9121" name="Изображение 9120" descr="resizeПП-00114045"/>
        <xdr:cNvPicPr>
          <a:picLocks noChangeAspect="1"/>
        </xdr:cNvPicPr>
      </xdr:nvPicPr>
      <xdr:blipFill>
        <a:blip xmlns:r="http://schemas.openxmlformats.org/officeDocument/2006/relationships" r:embed="rId3733"/>
        <a:stretch>
          <a:fillRect/>
        </a:stretch>
      </xdr:blipFill>
      <xdr:spPr>
        <a:xfrm>
          <a:off x="7235825" y="4940950875"/>
          <a:ext cx="878840" cy="1183640"/>
        </a:xfrm>
        <a:prstGeom prst="rect">
          <a:avLst/>
        </a:prstGeom>
      </xdr:spPr>
    </xdr:pic>
    <xdr:clientData/>
  </xdr:twoCellAnchor>
  <xdr:twoCellAnchor>
    <xdr:from>
      <xdr:col>9</xdr:col>
      <xdr:colOff>6350</xdr:colOff>
      <xdr:row>4907</xdr:row>
      <xdr:rowOff>25400</xdr:rowOff>
    </xdr:from>
    <xdr:to>
      <xdr:col>9</xdr:col>
      <xdr:colOff>885190</xdr:colOff>
      <xdr:row>4907</xdr:row>
      <xdr:rowOff>1209040</xdr:rowOff>
    </xdr:to>
    <xdr:pic>
      <xdr:nvPicPr>
        <xdr:cNvPr id="9122" name="Изображение 9121" descr="resizeПП-00114034"/>
        <xdr:cNvPicPr>
          <a:picLocks noChangeAspect="1"/>
        </xdr:cNvPicPr>
      </xdr:nvPicPr>
      <xdr:blipFill>
        <a:blip xmlns:r="http://schemas.openxmlformats.org/officeDocument/2006/relationships" r:embed="rId3734"/>
        <a:stretch>
          <a:fillRect/>
        </a:stretch>
      </xdr:blipFill>
      <xdr:spPr>
        <a:xfrm>
          <a:off x="7235825" y="4942173250"/>
          <a:ext cx="878840" cy="1183640"/>
        </a:xfrm>
        <a:prstGeom prst="rect">
          <a:avLst/>
        </a:prstGeom>
      </xdr:spPr>
    </xdr:pic>
    <xdr:clientData/>
  </xdr:twoCellAnchor>
  <xdr:twoCellAnchor>
    <xdr:from>
      <xdr:col>9</xdr:col>
      <xdr:colOff>6350</xdr:colOff>
      <xdr:row>4908</xdr:row>
      <xdr:rowOff>25400</xdr:rowOff>
    </xdr:from>
    <xdr:to>
      <xdr:col>9</xdr:col>
      <xdr:colOff>885190</xdr:colOff>
      <xdr:row>4908</xdr:row>
      <xdr:rowOff>1209040</xdr:rowOff>
    </xdr:to>
    <xdr:pic>
      <xdr:nvPicPr>
        <xdr:cNvPr id="9123" name="Изображение 9122" descr="resizeПП-00114046"/>
        <xdr:cNvPicPr>
          <a:picLocks noChangeAspect="1"/>
        </xdr:cNvPicPr>
      </xdr:nvPicPr>
      <xdr:blipFill>
        <a:blip xmlns:r="http://schemas.openxmlformats.org/officeDocument/2006/relationships" r:embed="rId3735"/>
        <a:stretch>
          <a:fillRect/>
        </a:stretch>
      </xdr:blipFill>
      <xdr:spPr>
        <a:xfrm>
          <a:off x="7235825" y="4943395625"/>
          <a:ext cx="878840" cy="1183640"/>
        </a:xfrm>
        <a:prstGeom prst="rect">
          <a:avLst/>
        </a:prstGeom>
      </xdr:spPr>
    </xdr:pic>
    <xdr:clientData/>
  </xdr:twoCellAnchor>
  <xdr:twoCellAnchor>
    <xdr:from>
      <xdr:col>9</xdr:col>
      <xdr:colOff>6350</xdr:colOff>
      <xdr:row>4909</xdr:row>
      <xdr:rowOff>25400</xdr:rowOff>
    </xdr:from>
    <xdr:to>
      <xdr:col>9</xdr:col>
      <xdr:colOff>885190</xdr:colOff>
      <xdr:row>4909</xdr:row>
      <xdr:rowOff>1209040</xdr:rowOff>
    </xdr:to>
    <xdr:pic>
      <xdr:nvPicPr>
        <xdr:cNvPr id="9124" name="Изображение 9123" descr="resizeПП-00114036"/>
        <xdr:cNvPicPr>
          <a:picLocks noChangeAspect="1"/>
        </xdr:cNvPicPr>
      </xdr:nvPicPr>
      <xdr:blipFill>
        <a:blip xmlns:r="http://schemas.openxmlformats.org/officeDocument/2006/relationships" r:embed="rId3736"/>
        <a:stretch>
          <a:fillRect/>
        </a:stretch>
      </xdr:blipFill>
      <xdr:spPr>
        <a:xfrm>
          <a:off x="7235825" y="4944618000"/>
          <a:ext cx="878840" cy="1183640"/>
        </a:xfrm>
        <a:prstGeom prst="rect">
          <a:avLst/>
        </a:prstGeom>
      </xdr:spPr>
    </xdr:pic>
    <xdr:clientData/>
  </xdr:twoCellAnchor>
  <xdr:twoCellAnchor>
    <xdr:from>
      <xdr:col>9</xdr:col>
      <xdr:colOff>6350</xdr:colOff>
      <xdr:row>4910</xdr:row>
      <xdr:rowOff>25400</xdr:rowOff>
    </xdr:from>
    <xdr:to>
      <xdr:col>9</xdr:col>
      <xdr:colOff>885190</xdr:colOff>
      <xdr:row>4910</xdr:row>
      <xdr:rowOff>1209040</xdr:rowOff>
    </xdr:to>
    <xdr:pic>
      <xdr:nvPicPr>
        <xdr:cNvPr id="9125" name="Изображение 9124" descr="resizeПП-00114047"/>
        <xdr:cNvPicPr>
          <a:picLocks noChangeAspect="1"/>
        </xdr:cNvPicPr>
      </xdr:nvPicPr>
      <xdr:blipFill>
        <a:blip xmlns:r="http://schemas.openxmlformats.org/officeDocument/2006/relationships" r:embed="rId3737"/>
        <a:stretch>
          <a:fillRect/>
        </a:stretch>
      </xdr:blipFill>
      <xdr:spPr>
        <a:xfrm>
          <a:off x="7235825" y="4945840375"/>
          <a:ext cx="878840" cy="1183640"/>
        </a:xfrm>
        <a:prstGeom prst="rect">
          <a:avLst/>
        </a:prstGeom>
      </xdr:spPr>
    </xdr:pic>
    <xdr:clientData/>
  </xdr:twoCellAnchor>
  <xdr:twoCellAnchor>
    <xdr:from>
      <xdr:col>9</xdr:col>
      <xdr:colOff>6350</xdr:colOff>
      <xdr:row>4911</xdr:row>
      <xdr:rowOff>25400</xdr:rowOff>
    </xdr:from>
    <xdr:to>
      <xdr:col>9</xdr:col>
      <xdr:colOff>885190</xdr:colOff>
      <xdr:row>4911</xdr:row>
      <xdr:rowOff>1209040</xdr:rowOff>
    </xdr:to>
    <xdr:pic>
      <xdr:nvPicPr>
        <xdr:cNvPr id="9126" name="Изображение 9125" descr="resizeПП-00114037"/>
        <xdr:cNvPicPr>
          <a:picLocks noChangeAspect="1"/>
        </xdr:cNvPicPr>
      </xdr:nvPicPr>
      <xdr:blipFill>
        <a:blip xmlns:r="http://schemas.openxmlformats.org/officeDocument/2006/relationships" r:embed="rId3738"/>
        <a:stretch>
          <a:fillRect/>
        </a:stretch>
      </xdr:blipFill>
      <xdr:spPr>
        <a:xfrm>
          <a:off x="7235825" y="4947062750"/>
          <a:ext cx="878840" cy="1183640"/>
        </a:xfrm>
        <a:prstGeom prst="rect">
          <a:avLst/>
        </a:prstGeom>
      </xdr:spPr>
    </xdr:pic>
    <xdr:clientData/>
  </xdr:twoCellAnchor>
  <xdr:twoCellAnchor>
    <xdr:from>
      <xdr:col>9</xdr:col>
      <xdr:colOff>6350</xdr:colOff>
      <xdr:row>4912</xdr:row>
      <xdr:rowOff>25400</xdr:rowOff>
    </xdr:from>
    <xdr:to>
      <xdr:col>9</xdr:col>
      <xdr:colOff>885190</xdr:colOff>
      <xdr:row>4912</xdr:row>
      <xdr:rowOff>1209040</xdr:rowOff>
    </xdr:to>
    <xdr:pic>
      <xdr:nvPicPr>
        <xdr:cNvPr id="9127" name="Изображение 9126" descr="resizeПП-00114048"/>
        <xdr:cNvPicPr>
          <a:picLocks noChangeAspect="1"/>
        </xdr:cNvPicPr>
      </xdr:nvPicPr>
      <xdr:blipFill>
        <a:blip xmlns:r="http://schemas.openxmlformats.org/officeDocument/2006/relationships" r:embed="rId3739"/>
        <a:stretch>
          <a:fillRect/>
        </a:stretch>
      </xdr:blipFill>
      <xdr:spPr>
        <a:xfrm>
          <a:off x="7235825" y="4948285125"/>
          <a:ext cx="878840" cy="1183640"/>
        </a:xfrm>
        <a:prstGeom prst="rect">
          <a:avLst/>
        </a:prstGeom>
      </xdr:spPr>
    </xdr:pic>
    <xdr:clientData/>
  </xdr:twoCellAnchor>
  <xdr:twoCellAnchor>
    <xdr:from>
      <xdr:col>9</xdr:col>
      <xdr:colOff>6350</xdr:colOff>
      <xdr:row>4913</xdr:row>
      <xdr:rowOff>25400</xdr:rowOff>
    </xdr:from>
    <xdr:to>
      <xdr:col>9</xdr:col>
      <xdr:colOff>885190</xdr:colOff>
      <xdr:row>4913</xdr:row>
      <xdr:rowOff>1209040</xdr:rowOff>
    </xdr:to>
    <xdr:pic>
      <xdr:nvPicPr>
        <xdr:cNvPr id="9128" name="Изображение 9127" descr="resizeПП-00114038"/>
        <xdr:cNvPicPr>
          <a:picLocks noChangeAspect="1"/>
        </xdr:cNvPicPr>
      </xdr:nvPicPr>
      <xdr:blipFill>
        <a:blip xmlns:r="http://schemas.openxmlformats.org/officeDocument/2006/relationships" r:embed="rId3740"/>
        <a:stretch>
          <a:fillRect/>
        </a:stretch>
      </xdr:blipFill>
      <xdr:spPr>
        <a:xfrm>
          <a:off x="7235825" y="4949507500"/>
          <a:ext cx="878840" cy="1183640"/>
        </a:xfrm>
        <a:prstGeom prst="rect">
          <a:avLst/>
        </a:prstGeom>
      </xdr:spPr>
    </xdr:pic>
    <xdr:clientData/>
  </xdr:twoCellAnchor>
  <xdr:twoCellAnchor>
    <xdr:from>
      <xdr:col>9</xdr:col>
      <xdr:colOff>6350</xdr:colOff>
      <xdr:row>4914</xdr:row>
      <xdr:rowOff>25400</xdr:rowOff>
    </xdr:from>
    <xdr:to>
      <xdr:col>9</xdr:col>
      <xdr:colOff>885190</xdr:colOff>
      <xdr:row>4914</xdr:row>
      <xdr:rowOff>1209040</xdr:rowOff>
    </xdr:to>
    <xdr:pic>
      <xdr:nvPicPr>
        <xdr:cNvPr id="9129" name="Изображение 9128" descr="resizeПП-00114049"/>
        <xdr:cNvPicPr>
          <a:picLocks noChangeAspect="1"/>
        </xdr:cNvPicPr>
      </xdr:nvPicPr>
      <xdr:blipFill>
        <a:blip xmlns:r="http://schemas.openxmlformats.org/officeDocument/2006/relationships" r:embed="rId3741"/>
        <a:stretch>
          <a:fillRect/>
        </a:stretch>
      </xdr:blipFill>
      <xdr:spPr>
        <a:xfrm>
          <a:off x="7235825" y="4950729875"/>
          <a:ext cx="878840" cy="1183640"/>
        </a:xfrm>
        <a:prstGeom prst="rect">
          <a:avLst/>
        </a:prstGeom>
      </xdr:spPr>
    </xdr:pic>
    <xdr:clientData/>
  </xdr:twoCellAnchor>
  <xdr:twoCellAnchor>
    <xdr:from>
      <xdr:col>9</xdr:col>
      <xdr:colOff>6350</xdr:colOff>
      <xdr:row>4915</xdr:row>
      <xdr:rowOff>25400</xdr:rowOff>
    </xdr:from>
    <xdr:to>
      <xdr:col>9</xdr:col>
      <xdr:colOff>885190</xdr:colOff>
      <xdr:row>4915</xdr:row>
      <xdr:rowOff>1209040</xdr:rowOff>
    </xdr:to>
    <xdr:pic>
      <xdr:nvPicPr>
        <xdr:cNvPr id="9130" name="Изображение 9129" descr="resizeПП-00114039"/>
        <xdr:cNvPicPr>
          <a:picLocks noChangeAspect="1"/>
        </xdr:cNvPicPr>
      </xdr:nvPicPr>
      <xdr:blipFill>
        <a:blip xmlns:r="http://schemas.openxmlformats.org/officeDocument/2006/relationships" r:embed="rId3742"/>
        <a:stretch>
          <a:fillRect/>
        </a:stretch>
      </xdr:blipFill>
      <xdr:spPr>
        <a:xfrm>
          <a:off x="7235825" y="4951952250"/>
          <a:ext cx="878840" cy="1183640"/>
        </a:xfrm>
        <a:prstGeom prst="rect">
          <a:avLst/>
        </a:prstGeom>
      </xdr:spPr>
    </xdr:pic>
    <xdr:clientData/>
  </xdr:twoCellAnchor>
  <xdr:twoCellAnchor>
    <xdr:from>
      <xdr:col>9</xdr:col>
      <xdr:colOff>6350</xdr:colOff>
      <xdr:row>4916</xdr:row>
      <xdr:rowOff>25400</xdr:rowOff>
    </xdr:from>
    <xdr:to>
      <xdr:col>9</xdr:col>
      <xdr:colOff>885190</xdr:colOff>
      <xdr:row>4916</xdr:row>
      <xdr:rowOff>1209040</xdr:rowOff>
    </xdr:to>
    <xdr:pic>
      <xdr:nvPicPr>
        <xdr:cNvPr id="9131" name="Изображение 9130" descr="resizeПП-00114050"/>
        <xdr:cNvPicPr>
          <a:picLocks noChangeAspect="1"/>
        </xdr:cNvPicPr>
      </xdr:nvPicPr>
      <xdr:blipFill>
        <a:blip xmlns:r="http://schemas.openxmlformats.org/officeDocument/2006/relationships" r:embed="rId3743"/>
        <a:stretch>
          <a:fillRect/>
        </a:stretch>
      </xdr:blipFill>
      <xdr:spPr>
        <a:xfrm>
          <a:off x="7235825" y="4953174625"/>
          <a:ext cx="878840" cy="1183640"/>
        </a:xfrm>
        <a:prstGeom prst="rect">
          <a:avLst/>
        </a:prstGeom>
      </xdr:spPr>
    </xdr:pic>
    <xdr:clientData/>
  </xdr:twoCellAnchor>
  <xdr:twoCellAnchor>
    <xdr:from>
      <xdr:col>9</xdr:col>
      <xdr:colOff>6350</xdr:colOff>
      <xdr:row>4917</xdr:row>
      <xdr:rowOff>25400</xdr:rowOff>
    </xdr:from>
    <xdr:to>
      <xdr:col>9</xdr:col>
      <xdr:colOff>885190</xdr:colOff>
      <xdr:row>4917</xdr:row>
      <xdr:rowOff>1209040</xdr:rowOff>
    </xdr:to>
    <xdr:pic>
      <xdr:nvPicPr>
        <xdr:cNvPr id="9132" name="Изображение 9131" descr="resizeПП-00114040"/>
        <xdr:cNvPicPr>
          <a:picLocks noChangeAspect="1"/>
        </xdr:cNvPicPr>
      </xdr:nvPicPr>
      <xdr:blipFill>
        <a:blip xmlns:r="http://schemas.openxmlformats.org/officeDocument/2006/relationships" r:embed="rId3744"/>
        <a:stretch>
          <a:fillRect/>
        </a:stretch>
      </xdr:blipFill>
      <xdr:spPr>
        <a:xfrm>
          <a:off x="7235825" y="4954397000"/>
          <a:ext cx="878840" cy="1183640"/>
        </a:xfrm>
        <a:prstGeom prst="rect">
          <a:avLst/>
        </a:prstGeom>
      </xdr:spPr>
    </xdr:pic>
    <xdr:clientData/>
  </xdr:twoCellAnchor>
  <xdr:twoCellAnchor>
    <xdr:from>
      <xdr:col>9</xdr:col>
      <xdr:colOff>6350</xdr:colOff>
      <xdr:row>4918</xdr:row>
      <xdr:rowOff>25400</xdr:rowOff>
    </xdr:from>
    <xdr:to>
      <xdr:col>9</xdr:col>
      <xdr:colOff>885190</xdr:colOff>
      <xdr:row>4918</xdr:row>
      <xdr:rowOff>1209040</xdr:rowOff>
    </xdr:to>
    <xdr:pic>
      <xdr:nvPicPr>
        <xdr:cNvPr id="9133" name="Изображение 9132" descr="resizeПП-00114051"/>
        <xdr:cNvPicPr>
          <a:picLocks noChangeAspect="1"/>
        </xdr:cNvPicPr>
      </xdr:nvPicPr>
      <xdr:blipFill>
        <a:blip xmlns:r="http://schemas.openxmlformats.org/officeDocument/2006/relationships" r:embed="rId3745"/>
        <a:stretch>
          <a:fillRect/>
        </a:stretch>
      </xdr:blipFill>
      <xdr:spPr>
        <a:xfrm>
          <a:off x="7235825" y="4955619375"/>
          <a:ext cx="878840" cy="1183640"/>
        </a:xfrm>
        <a:prstGeom prst="rect">
          <a:avLst/>
        </a:prstGeom>
      </xdr:spPr>
    </xdr:pic>
    <xdr:clientData/>
  </xdr:twoCellAnchor>
  <xdr:twoCellAnchor>
    <xdr:from>
      <xdr:col>9</xdr:col>
      <xdr:colOff>6350</xdr:colOff>
      <xdr:row>4919</xdr:row>
      <xdr:rowOff>25400</xdr:rowOff>
    </xdr:from>
    <xdr:to>
      <xdr:col>9</xdr:col>
      <xdr:colOff>885190</xdr:colOff>
      <xdr:row>4919</xdr:row>
      <xdr:rowOff>1209040</xdr:rowOff>
    </xdr:to>
    <xdr:pic>
      <xdr:nvPicPr>
        <xdr:cNvPr id="9134" name="Изображение 9133" descr="resizeПП-00114041"/>
        <xdr:cNvPicPr>
          <a:picLocks noChangeAspect="1"/>
        </xdr:cNvPicPr>
      </xdr:nvPicPr>
      <xdr:blipFill>
        <a:blip xmlns:r="http://schemas.openxmlformats.org/officeDocument/2006/relationships" r:embed="rId3746"/>
        <a:stretch>
          <a:fillRect/>
        </a:stretch>
      </xdr:blipFill>
      <xdr:spPr>
        <a:xfrm>
          <a:off x="7235825" y="4956841750"/>
          <a:ext cx="878840" cy="1183640"/>
        </a:xfrm>
        <a:prstGeom prst="rect">
          <a:avLst/>
        </a:prstGeom>
      </xdr:spPr>
    </xdr:pic>
    <xdr:clientData/>
  </xdr:twoCellAnchor>
  <xdr:twoCellAnchor>
    <xdr:from>
      <xdr:col>9</xdr:col>
      <xdr:colOff>6350</xdr:colOff>
      <xdr:row>4920</xdr:row>
      <xdr:rowOff>25400</xdr:rowOff>
    </xdr:from>
    <xdr:to>
      <xdr:col>9</xdr:col>
      <xdr:colOff>885190</xdr:colOff>
      <xdr:row>4920</xdr:row>
      <xdr:rowOff>1209040</xdr:rowOff>
    </xdr:to>
    <xdr:pic>
      <xdr:nvPicPr>
        <xdr:cNvPr id="9135" name="Изображение 9134" descr="resizeПП-00114053"/>
        <xdr:cNvPicPr>
          <a:picLocks noChangeAspect="1"/>
        </xdr:cNvPicPr>
      </xdr:nvPicPr>
      <xdr:blipFill>
        <a:blip xmlns:r="http://schemas.openxmlformats.org/officeDocument/2006/relationships" r:embed="rId3747"/>
        <a:stretch>
          <a:fillRect/>
        </a:stretch>
      </xdr:blipFill>
      <xdr:spPr>
        <a:xfrm>
          <a:off x="7235825" y="4958064125"/>
          <a:ext cx="878840" cy="1183640"/>
        </a:xfrm>
        <a:prstGeom prst="rect">
          <a:avLst/>
        </a:prstGeom>
      </xdr:spPr>
    </xdr:pic>
    <xdr:clientData/>
  </xdr:twoCellAnchor>
  <xdr:twoCellAnchor>
    <xdr:from>
      <xdr:col>9</xdr:col>
      <xdr:colOff>6350</xdr:colOff>
      <xdr:row>4921</xdr:row>
      <xdr:rowOff>25400</xdr:rowOff>
    </xdr:from>
    <xdr:to>
      <xdr:col>9</xdr:col>
      <xdr:colOff>885190</xdr:colOff>
      <xdr:row>4921</xdr:row>
      <xdr:rowOff>1209040</xdr:rowOff>
    </xdr:to>
    <xdr:pic>
      <xdr:nvPicPr>
        <xdr:cNvPr id="9136" name="Изображение 9135" descr="resizeПП-00114042"/>
        <xdr:cNvPicPr>
          <a:picLocks noChangeAspect="1"/>
        </xdr:cNvPicPr>
      </xdr:nvPicPr>
      <xdr:blipFill>
        <a:blip xmlns:r="http://schemas.openxmlformats.org/officeDocument/2006/relationships" r:embed="rId3748"/>
        <a:stretch>
          <a:fillRect/>
        </a:stretch>
      </xdr:blipFill>
      <xdr:spPr>
        <a:xfrm>
          <a:off x="7235825" y="4959286500"/>
          <a:ext cx="878840" cy="1183640"/>
        </a:xfrm>
        <a:prstGeom prst="rect">
          <a:avLst/>
        </a:prstGeom>
      </xdr:spPr>
    </xdr:pic>
    <xdr:clientData/>
  </xdr:twoCellAnchor>
  <xdr:twoCellAnchor>
    <xdr:from>
      <xdr:col>9</xdr:col>
      <xdr:colOff>6350</xdr:colOff>
      <xdr:row>4922</xdr:row>
      <xdr:rowOff>25400</xdr:rowOff>
    </xdr:from>
    <xdr:to>
      <xdr:col>9</xdr:col>
      <xdr:colOff>885190</xdr:colOff>
      <xdr:row>4922</xdr:row>
      <xdr:rowOff>1209040</xdr:rowOff>
    </xdr:to>
    <xdr:pic>
      <xdr:nvPicPr>
        <xdr:cNvPr id="9137" name="Изображение 9136" descr="resizeПП-00114054"/>
        <xdr:cNvPicPr>
          <a:picLocks noChangeAspect="1"/>
        </xdr:cNvPicPr>
      </xdr:nvPicPr>
      <xdr:blipFill>
        <a:blip xmlns:r="http://schemas.openxmlformats.org/officeDocument/2006/relationships" r:embed="rId3749"/>
        <a:stretch>
          <a:fillRect/>
        </a:stretch>
      </xdr:blipFill>
      <xdr:spPr>
        <a:xfrm>
          <a:off x="7235825" y="4960508875"/>
          <a:ext cx="878840" cy="1183640"/>
        </a:xfrm>
        <a:prstGeom prst="rect">
          <a:avLst/>
        </a:prstGeom>
      </xdr:spPr>
    </xdr:pic>
    <xdr:clientData/>
  </xdr:twoCellAnchor>
  <xdr:twoCellAnchor>
    <xdr:from>
      <xdr:col>9</xdr:col>
      <xdr:colOff>6350</xdr:colOff>
      <xdr:row>4923</xdr:row>
      <xdr:rowOff>25400</xdr:rowOff>
    </xdr:from>
    <xdr:to>
      <xdr:col>9</xdr:col>
      <xdr:colOff>885190</xdr:colOff>
      <xdr:row>4923</xdr:row>
      <xdr:rowOff>1209040</xdr:rowOff>
    </xdr:to>
    <xdr:pic>
      <xdr:nvPicPr>
        <xdr:cNvPr id="9138" name="Изображение 9137" descr="resizeПП-00114043"/>
        <xdr:cNvPicPr>
          <a:picLocks noChangeAspect="1"/>
        </xdr:cNvPicPr>
      </xdr:nvPicPr>
      <xdr:blipFill>
        <a:blip xmlns:r="http://schemas.openxmlformats.org/officeDocument/2006/relationships" r:embed="rId3750"/>
        <a:stretch>
          <a:fillRect/>
        </a:stretch>
      </xdr:blipFill>
      <xdr:spPr>
        <a:xfrm>
          <a:off x="7235825" y="4961731250"/>
          <a:ext cx="878840" cy="1183640"/>
        </a:xfrm>
        <a:prstGeom prst="rect">
          <a:avLst/>
        </a:prstGeom>
      </xdr:spPr>
    </xdr:pic>
    <xdr:clientData/>
  </xdr:twoCellAnchor>
  <xdr:twoCellAnchor>
    <xdr:from>
      <xdr:col>9</xdr:col>
      <xdr:colOff>6350</xdr:colOff>
      <xdr:row>4924</xdr:row>
      <xdr:rowOff>25400</xdr:rowOff>
    </xdr:from>
    <xdr:to>
      <xdr:col>9</xdr:col>
      <xdr:colOff>885190</xdr:colOff>
      <xdr:row>4924</xdr:row>
      <xdr:rowOff>1209040</xdr:rowOff>
    </xdr:to>
    <xdr:pic>
      <xdr:nvPicPr>
        <xdr:cNvPr id="9139" name="Изображение 9138" descr="resizeПП-00114055"/>
        <xdr:cNvPicPr>
          <a:picLocks noChangeAspect="1"/>
        </xdr:cNvPicPr>
      </xdr:nvPicPr>
      <xdr:blipFill>
        <a:blip xmlns:r="http://schemas.openxmlformats.org/officeDocument/2006/relationships" r:embed="rId3751"/>
        <a:stretch>
          <a:fillRect/>
        </a:stretch>
      </xdr:blipFill>
      <xdr:spPr>
        <a:xfrm>
          <a:off x="7235825" y="4962953625"/>
          <a:ext cx="878840" cy="1183640"/>
        </a:xfrm>
        <a:prstGeom prst="rect">
          <a:avLst/>
        </a:prstGeom>
      </xdr:spPr>
    </xdr:pic>
    <xdr:clientData/>
  </xdr:twoCellAnchor>
  <xdr:twoCellAnchor>
    <xdr:from>
      <xdr:col>9</xdr:col>
      <xdr:colOff>6350</xdr:colOff>
      <xdr:row>4925</xdr:row>
      <xdr:rowOff>25400</xdr:rowOff>
    </xdr:from>
    <xdr:to>
      <xdr:col>9</xdr:col>
      <xdr:colOff>885190</xdr:colOff>
      <xdr:row>4925</xdr:row>
      <xdr:rowOff>1209040</xdr:rowOff>
    </xdr:to>
    <xdr:pic>
      <xdr:nvPicPr>
        <xdr:cNvPr id="9140" name="Изображение 9139" descr="resizeПП-00114044"/>
        <xdr:cNvPicPr>
          <a:picLocks noChangeAspect="1"/>
        </xdr:cNvPicPr>
      </xdr:nvPicPr>
      <xdr:blipFill>
        <a:blip xmlns:r="http://schemas.openxmlformats.org/officeDocument/2006/relationships" r:embed="rId3752"/>
        <a:stretch>
          <a:fillRect/>
        </a:stretch>
      </xdr:blipFill>
      <xdr:spPr>
        <a:xfrm>
          <a:off x="7235825" y="4964176000"/>
          <a:ext cx="878840" cy="1183640"/>
        </a:xfrm>
        <a:prstGeom prst="rect">
          <a:avLst/>
        </a:prstGeom>
      </xdr:spPr>
    </xdr:pic>
    <xdr:clientData/>
  </xdr:twoCellAnchor>
  <xdr:twoCellAnchor>
    <xdr:from>
      <xdr:col>9</xdr:col>
      <xdr:colOff>6350</xdr:colOff>
      <xdr:row>4926</xdr:row>
      <xdr:rowOff>25400</xdr:rowOff>
    </xdr:from>
    <xdr:to>
      <xdr:col>9</xdr:col>
      <xdr:colOff>885190</xdr:colOff>
      <xdr:row>4926</xdr:row>
      <xdr:rowOff>1209040</xdr:rowOff>
    </xdr:to>
    <xdr:pic>
      <xdr:nvPicPr>
        <xdr:cNvPr id="9141" name="Изображение 9140" descr="resizeПП-00122668"/>
        <xdr:cNvPicPr>
          <a:picLocks noChangeAspect="1"/>
        </xdr:cNvPicPr>
      </xdr:nvPicPr>
      <xdr:blipFill>
        <a:blip xmlns:r="http://schemas.openxmlformats.org/officeDocument/2006/relationships" r:embed="rId3753"/>
        <a:stretch>
          <a:fillRect/>
        </a:stretch>
      </xdr:blipFill>
      <xdr:spPr>
        <a:xfrm>
          <a:off x="7235825" y="4965398375"/>
          <a:ext cx="878840" cy="1183640"/>
        </a:xfrm>
        <a:prstGeom prst="rect">
          <a:avLst/>
        </a:prstGeom>
      </xdr:spPr>
    </xdr:pic>
    <xdr:clientData/>
  </xdr:twoCellAnchor>
  <xdr:twoCellAnchor>
    <xdr:from>
      <xdr:col>9</xdr:col>
      <xdr:colOff>6350</xdr:colOff>
      <xdr:row>4927</xdr:row>
      <xdr:rowOff>25400</xdr:rowOff>
    </xdr:from>
    <xdr:to>
      <xdr:col>9</xdr:col>
      <xdr:colOff>885190</xdr:colOff>
      <xdr:row>4927</xdr:row>
      <xdr:rowOff>1209040</xdr:rowOff>
    </xdr:to>
    <xdr:pic>
      <xdr:nvPicPr>
        <xdr:cNvPr id="9142" name="Изображение 9141" descr="resizeПП-00122672"/>
        <xdr:cNvPicPr>
          <a:picLocks noChangeAspect="1"/>
        </xdr:cNvPicPr>
      </xdr:nvPicPr>
      <xdr:blipFill>
        <a:blip xmlns:r="http://schemas.openxmlformats.org/officeDocument/2006/relationships" r:embed="rId3754"/>
        <a:stretch>
          <a:fillRect/>
        </a:stretch>
      </xdr:blipFill>
      <xdr:spPr>
        <a:xfrm>
          <a:off x="7235825" y="4966620750"/>
          <a:ext cx="878840" cy="1183640"/>
        </a:xfrm>
        <a:prstGeom prst="rect">
          <a:avLst/>
        </a:prstGeom>
      </xdr:spPr>
    </xdr:pic>
    <xdr:clientData/>
  </xdr:twoCellAnchor>
  <xdr:twoCellAnchor>
    <xdr:from>
      <xdr:col>9</xdr:col>
      <xdr:colOff>6350</xdr:colOff>
      <xdr:row>4928</xdr:row>
      <xdr:rowOff>25400</xdr:rowOff>
    </xdr:from>
    <xdr:to>
      <xdr:col>9</xdr:col>
      <xdr:colOff>885190</xdr:colOff>
      <xdr:row>4928</xdr:row>
      <xdr:rowOff>1209040</xdr:rowOff>
    </xdr:to>
    <xdr:pic>
      <xdr:nvPicPr>
        <xdr:cNvPr id="9143" name="Изображение 9142" descr="resizeПП-00122674"/>
        <xdr:cNvPicPr>
          <a:picLocks noChangeAspect="1"/>
        </xdr:cNvPicPr>
      </xdr:nvPicPr>
      <xdr:blipFill>
        <a:blip xmlns:r="http://schemas.openxmlformats.org/officeDocument/2006/relationships" r:embed="rId3755"/>
        <a:stretch>
          <a:fillRect/>
        </a:stretch>
      </xdr:blipFill>
      <xdr:spPr>
        <a:xfrm>
          <a:off x="7235825" y="4967843125"/>
          <a:ext cx="878840" cy="1183640"/>
        </a:xfrm>
        <a:prstGeom prst="rect">
          <a:avLst/>
        </a:prstGeom>
      </xdr:spPr>
    </xdr:pic>
    <xdr:clientData/>
  </xdr:twoCellAnchor>
  <xdr:twoCellAnchor>
    <xdr:from>
      <xdr:col>9</xdr:col>
      <xdr:colOff>6350</xdr:colOff>
      <xdr:row>4929</xdr:row>
      <xdr:rowOff>25400</xdr:rowOff>
    </xdr:from>
    <xdr:to>
      <xdr:col>9</xdr:col>
      <xdr:colOff>885190</xdr:colOff>
      <xdr:row>4929</xdr:row>
      <xdr:rowOff>1209040</xdr:rowOff>
    </xdr:to>
    <xdr:pic>
      <xdr:nvPicPr>
        <xdr:cNvPr id="9144" name="Изображение 9143" descr="resizeПП-00122675"/>
        <xdr:cNvPicPr>
          <a:picLocks noChangeAspect="1"/>
        </xdr:cNvPicPr>
      </xdr:nvPicPr>
      <xdr:blipFill>
        <a:blip xmlns:r="http://schemas.openxmlformats.org/officeDocument/2006/relationships" r:embed="rId3756"/>
        <a:stretch>
          <a:fillRect/>
        </a:stretch>
      </xdr:blipFill>
      <xdr:spPr>
        <a:xfrm>
          <a:off x="7235825" y="4969065500"/>
          <a:ext cx="878840" cy="1183640"/>
        </a:xfrm>
        <a:prstGeom prst="rect">
          <a:avLst/>
        </a:prstGeom>
      </xdr:spPr>
    </xdr:pic>
    <xdr:clientData/>
  </xdr:twoCellAnchor>
  <xdr:twoCellAnchor>
    <xdr:from>
      <xdr:col>9</xdr:col>
      <xdr:colOff>6350</xdr:colOff>
      <xdr:row>4930</xdr:row>
      <xdr:rowOff>25400</xdr:rowOff>
    </xdr:from>
    <xdr:to>
      <xdr:col>9</xdr:col>
      <xdr:colOff>885190</xdr:colOff>
      <xdr:row>4930</xdr:row>
      <xdr:rowOff>1209040</xdr:rowOff>
    </xdr:to>
    <xdr:pic>
      <xdr:nvPicPr>
        <xdr:cNvPr id="9145" name="Изображение 9144" descr="resizeПП-00122676"/>
        <xdr:cNvPicPr>
          <a:picLocks noChangeAspect="1"/>
        </xdr:cNvPicPr>
      </xdr:nvPicPr>
      <xdr:blipFill>
        <a:blip xmlns:r="http://schemas.openxmlformats.org/officeDocument/2006/relationships" r:embed="rId3757"/>
        <a:stretch>
          <a:fillRect/>
        </a:stretch>
      </xdr:blipFill>
      <xdr:spPr>
        <a:xfrm>
          <a:off x="7235825" y="4970287875"/>
          <a:ext cx="878840" cy="1183640"/>
        </a:xfrm>
        <a:prstGeom prst="rect">
          <a:avLst/>
        </a:prstGeom>
      </xdr:spPr>
    </xdr:pic>
    <xdr:clientData/>
  </xdr:twoCellAnchor>
  <xdr:twoCellAnchor>
    <xdr:from>
      <xdr:col>9</xdr:col>
      <xdr:colOff>6350</xdr:colOff>
      <xdr:row>4931</xdr:row>
      <xdr:rowOff>25400</xdr:rowOff>
    </xdr:from>
    <xdr:to>
      <xdr:col>9</xdr:col>
      <xdr:colOff>885190</xdr:colOff>
      <xdr:row>4931</xdr:row>
      <xdr:rowOff>1209040</xdr:rowOff>
    </xdr:to>
    <xdr:pic>
      <xdr:nvPicPr>
        <xdr:cNvPr id="9146" name="Изображение 9145" descr="resizeПП-00122677"/>
        <xdr:cNvPicPr>
          <a:picLocks noChangeAspect="1"/>
        </xdr:cNvPicPr>
      </xdr:nvPicPr>
      <xdr:blipFill>
        <a:blip xmlns:r="http://schemas.openxmlformats.org/officeDocument/2006/relationships" r:embed="rId3758"/>
        <a:stretch>
          <a:fillRect/>
        </a:stretch>
      </xdr:blipFill>
      <xdr:spPr>
        <a:xfrm>
          <a:off x="7235825" y="4971510250"/>
          <a:ext cx="878840" cy="1183640"/>
        </a:xfrm>
        <a:prstGeom prst="rect">
          <a:avLst/>
        </a:prstGeom>
      </xdr:spPr>
    </xdr:pic>
    <xdr:clientData/>
  </xdr:twoCellAnchor>
  <xdr:twoCellAnchor>
    <xdr:from>
      <xdr:col>9</xdr:col>
      <xdr:colOff>6350</xdr:colOff>
      <xdr:row>4932</xdr:row>
      <xdr:rowOff>25400</xdr:rowOff>
    </xdr:from>
    <xdr:to>
      <xdr:col>9</xdr:col>
      <xdr:colOff>885190</xdr:colOff>
      <xdr:row>4932</xdr:row>
      <xdr:rowOff>1209040</xdr:rowOff>
    </xdr:to>
    <xdr:pic>
      <xdr:nvPicPr>
        <xdr:cNvPr id="9147" name="Изображение 9146" descr="resizeПП-00122678"/>
        <xdr:cNvPicPr>
          <a:picLocks noChangeAspect="1"/>
        </xdr:cNvPicPr>
      </xdr:nvPicPr>
      <xdr:blipFill>
        <a:blip xmlns:r="http://schemas.openxmlformats.org/officeDocument/2006/relationships" r:embed="rId3759"/>
        <a:stretch>
          <a:fillRect/>
        </a:stretch>
      </xdr:blipFill>
      <xdr:spPr>
        <a:xfrm>
          <a:off x="7235825" y="4972732625"/>
          <a:ext cx="878840" cy="1183640"/>
        </a:xfrm>
        <a:prstGeom prst="rect">
          <a:avLst/>
        </a:prstGeom>
      </xdr:spPr>
    </xdr:pic>
    <xdr:clientData/>
  </xdr:twoCellAnchor>
  <xdr:twoCellAnchor>
    <xdr:from>
      <xdr:col>9</xdr:col>
      <xdr:colOff>6350</xdr:colOff>
      <xdr:row>4933</xdr:row>
      <xdr:rowOff>25400</xdr:rowOff>
    </xdr:from>
    <xdr:to>
      <xdr:col>9</xdr:col>
      <xdr:colOff>885190</xdr:colOff>
      <xdr:row>4933</xdr:row>
      <xdr:rowOff>1209040</xdr:rowOff>
    </xdr:to>
    <xdr:pic>
      <xdr:nvPicPr>
        <xdr:cNvPr id="9148" name="Изображение 9147" descr="resizeПП-00122679"/>
        <xdr:cNvPicPr>
          <a:picLocks noChangeAspect="1"/>
        </xdr:cNvPicPr>
      </xdr:nvPicPr>
      <xdr:blipFill>
        <a:blip xmlns:r="http://schemas.openxmlformats.org/officeDocument/2006/relationships" r:embed="rId3760"/>
        <a:stretch>
          <a:fillRect/>
        </a:stretch>
      </xdr:blipFill>
      <xdr:spPr>
        <a:xfrm>
          <a:off x="7235825" y="4973955000"/>
          <a:ext cx="878840" cy="1183640"/>
        </a:xfrm>
        <a:prstGeom prst="rect">
          <a:avLst/>
        </a:prstGeom>
      </xdr:spPr>
    </xdr:pic>
    <xdr:clientData/>
  </xdr:twoCellAnchor>
  <xdr:twoCellAnchor>
    <xdr:from>
      <xdr:col>9</xdr:col>
      <xdr:colOff>6350</xdr:colOff>
      <xdr:row>4934</xdr:row>
      <xdr:rowOff>25400</xdr:rowOff>
    </xdr:from>
    <xdr:to>
      <xdr:col>9</xdr:col>
      <xdr:colOff>885190</xdr:colOff>
      <xdr:row>4934</xdr:row>
      <xdr:rowOff>1209040</xdr:rowOff>
    </xdr:to>
    <xdr:pic>
      <xdr:nvPicPr>
        <xdr:cNvPr id="9149" name="Изображение 9148" descr="resizeПП-00122680"/>
        <xdr:cNvPicPr>
          <a:picLocks noChangeAspect="1"/>
        </xdr:cNvPicPr>
      </xdr:nvPicPr>
      <xdr:blipFill>
        <a:blip xmlns:r="http://schemas.openxmlformats.org/officeDocument/2006/relationships" r:embed="rId3761"/>
        <a:stretch>
          <a:fillRect/>
        </a:stretch>
      </xdr:blipFill>
      <xdr:spPr>
        <a:xfrm>
          <a:off x="7235825" y="4975177375"/>
          <a:ext cx="878840" cy="1183640"/>
        </a:xfrm>
        <a:prstGeom prst="rect">
          <a:avLst/>
        </a:prstGeom>
      </xdr:spPr>
    </xdr:pic>
    <xdr:clientData/>
  </xdr:twoCellAnchor>
  <xdr:twoCellAnchor>
    <xdr:from>
      <xdr:col>9</xdr:col>
      <xdr:colOff>6350</xdr:colOff>
      <xdr:row>4935</xdr:row>
      <xdr:rowOff>25400</xdr:rowOff>
    </xdr:from>
    <xdr:to>
      <xdr:col>9</xdr:col>
      <xdr:colOff>885190</xdr:colOff>
      <xdr:row>4935</xdr:row>
      <xdr:rowOff>1209040</xdr:rowOff>
    </xdr:to>
    <xdr:pic>
      <xdr:nvPicPr>
        <xdr:cNvPr id="9150" name="Изображение 9149" descr="resizeПП-00122681"/>
        <xdr:cNvPicPr>
          <a:picLocks noChangeAspect="1"/>
        </xdr:cNvPicPr>
      </xdr:nvPicPr>
      <xdr:blipFill>
        <a:blip xmlns:r="http://schemas.openxmlformats.org/officeDocument/2006/relationships" r:embed="rId3762"/>
        <a:stretch>
          <a:fillRect/>
        </a:stretch>
      </xdr:blipFill>
      <xdr:spPr>
        <a:xfrm>
          <a:off x="7235825" y="4976399750"/>
          <a:ext cx="878840" cy="1183640"/>
        </a:xfrm>
        <a:prstGeom prst="rect">
          <a:avLst/>
        </a:prstGeom>
      </xdr:spPr>
    </xdr:pic>
    <xdr:clientData/>
  </xdr:twoCellAnchor>
  <xdr:twoCellAnchor>
    <xdr:from>
      <xdr:col>9</xdr:col>
      <xdr:colOff>6350</xdr:colOff>
      <xdr:row>4936</xdr:row>
      <xdr:rowOff>25400</xdr:rowOff>
    </xdr:from>
    <xdr:to>
      <xdr:col>9</xdr:col>
      <xdr:colOff>885190</xdr:colOff>
      <xdr:row>4936</xdr:row>
      <xdr:rowOff>1209040</xdr:rowOff>
    </xdr:to>
    <xdr:pic>
      <xdr:nvPicPr>
        <xdr:cNvPr id="9151" name="Изображение 9150" descr="resizeПП-00122682"/>
        <xdr:cNvPicPr>
          <a:picLocks noChangeAspect="1"/>
        </xdr:cNvPicPr>
      </xdr:nvPicPr>
      <xdr:blipFill>
        <a:blip xmlns:r="http://schemas.openxmlformats.org/officeDocument/2006/relationships" r:embed="rId3763"/>
        <a:stretch>
          <a:fillRect/>
        </a:stretch>
      </xdr:blipFill>
      <xdr:spPr>
        <a:xfrm>
          <a:off x="7235825" y="4977622125"/>
          <a:ext cx="878840" cy="1183640"/>
        </a:xfrm>
        <a:prstGeom prst="rect">
          <a:avLst/>
        </a:prstGeom>
      </xdr:spPr>
    </xdr:pic>
    <xdr:clientData/>
  </xdr:twoCellAnchor>
  <xdr:twoCellAnchor>
    <xdr:from>
      <xdr:col>9</xdr:col>
      <xdr:colOff>6350</xdr:colOff>
      <xdr:row>4937</xdr:row>
      <xdr:rowOff>25400</xdr:rowOff>
    </xdr:from>
    <xdr:to>
      <xdr:col>9</xdr:col>
      <xdr:colOff>885190</xdr:colOff>
      <xdr:row>4937</xdr:row>
      <xdr:rowOff>1209040</xdr:rowOff>
    </xdr:to>
    <xdr:pic>
      <xdr:nvPicPr>
        <xdr:cNvPr id="9152" name="Изображение 9151" descr="resizeПП-00122683"/>
        <xdr:cNvPicPr>
          <a:picLocks noChangeAspect="1"/>
        </xdr:cNvPicPr>
      </xdr:nvPicPr>
      <xdr:blipFill>
        <a:blip xmlns:r="http://schemas.openxmlformats.org/officeDocument/2006/relationships" r:embed="rId3764"/>
        <a:stretch>
          <a:fillRect/>
        </a:stretch>
      </xdr:blipFill>
      <xdr:spPr>
        <a:xfrm>
          <a:off x="7235825" y="4978844500"/>
          <a:ext cx="878840" cy="1183640"/>
        </a:xfrm>
        <a:prstGeom prst="rect">
          <a:avLst/>
        </a:prstGeom>
      </xdr:spPr>
    </xdr:pic>
    <xdr:clientData/>
  </xdr:twoCellAnchor>
  <xdr:twoCellAnchor>
    <xdr:from>
      <xdr:col>9</xdr:col>
      <xdr:colOff>6350</xdr:colOff>
      <xdr:row>4938</xdr:row>
      <xdr:rowOff>25400</xdr:rowOff>
    </xdr:from>
    <xdr:to>
      <xdr:col>9</xdr:col>
      <xdr:colOff>885190</xdr:colOff>
      <xdr:row>4938</xdr:row>
      <xdr:rowOff>1209040</xdr:rowOff>
    </xdr:to>
    <xdr:pic>
      <xdr:nvPicPr>
        <xdr:cNvPr id="9153" name="Изображение 9152" descr="resizeПП-00122684"/>
        <xdr:cNvPicPr>
          <a:picLocks noChangeAspect="1"/>
        </xdr:cNvPicPr>
      </xdr:nvPicPr>
      <xdr:blipFill>
        <a:blip xmlns:r="http://schemas.openxmlformats.org/officeDocument/2006/relationships" r:embed="rId3765"/>
        <a:stretch>
          <a:fillRect/>
        </a:stretch>
      </xdr:blipFill>
      <xdr:spPr>
        <a:xfrm>
          <a:off x="7235825" y="4980066875"/>
          <a:ext cx="878840" cy="1183640"/>
        </a:xfrm>
        <a:prstGeom prst="rect">
          <a:avLst/>
        </a:prstGeom>
      </xdr:spPr>
    </xdr:pic>
    <xdr:clientData/>
  </xdr:twoCellAnchor>
  <xdr:twoCellAnchor>
    <xdr:from>
      <xdr:col>9</xdr:col>
      <xdr:colOff>6350</xdr:colOff>
      <xdr:row>4939</xdr:row>
      <xdr:rowOff>25400</xdr:rowOff>
    </xdr:from>
    <xdr:to>
      <xdr:col>9</xdr:col>
      <xdr:colOff>885190</xdr:colOff>
      <xdr:row>4939</xdr:row>
      <xdr:rowOff>1209040</xdr:rowOff>
    </xdr:to>
    <xdr:pic>
      <xdr:nvPicPr>
        <xdr:cNvPr id="9154" name="Изображение 9153" descr="resizeПП-00122685"/>
        <xdr:cNvPicPr>
          <a:picLocks noChangeAspect="1"/>
        </xdr:cNvPicPr>
      </xdr:nvPicPr>
      <xdr:blipFill>
        <a:blip xmlns:r="http://schemas.openxmlformats.org/officeDocument/2006/relationships" r:embed="rId3766"/>
        <a:stretch>
          <a:fillRect/>
        </a:stretch>
      </xdr:blipFill>
      <xdr:spPr>
        <a:xfrm>
          <a:off x="7235825" y="4981289250"/>
          <a:ext cx="878840" cy="1183640"/>
        </a:xfrm>
        <a:prstGeom prst="rect">
          <a:avLst/>
        </a:prstGeom>
      </xdr:spPr>
    </xdr:pic>
    <xdr:clientData/>
  </xdr:twoCellAnchor>
  <xdr:twoCellAnchor>
    <xdr:from>
      <xdr:col>9</xdr:col>
      <xdr:colOff>6350</xdr:colOff>
      <xdr:row>4940</xdr:row>
      <xdr:rowOff>25400</xdr:rowOff>
    </xdr:from>
    <xdr:to>
      <xdr:col>9</xdr:col>
      <xdr:colOff>885190</xdr:colOff>
      <xdr:row>4940</xdr:row>
      <xdr:rowOff>1209040</xdr:rowOff>
    </xdr:to>
    <xdr:pic>
      <xdr:nvPicPr>
        <xdr:cNvPr id="9155" name="Изображение 9154" descr="resizeПП-00122686"/>
        <xdr:cNvPicPr>
          <a:picLocks noChangeAspect="1"/>
        </xdr:cNvPicPr>
      </xdr:nvPicPr>
      <xdr:blipFill>
        <a:blip xmlns:r="http://schemas.openxmlformats.org/officeDocument/2006/relationships" r:embed="rId3767"/>
        <a:stretch>
          <a:fillRect/>
        </a:stretch>
      </xdr:blipFill>
      <xdr:spPr>
        <a:xfrm>
          <a:off x="7235825" y="4982511625"/>
          <a:ext cx="878840" cy="1183640"/>
        </a:xfrm>
        <a:prstGeom prst="rect">
          <a:avLst/>
        </a:prstGeom>
      </xdr:spPr>
    </xdr:pic>
    <xdr:clientData/>
  </xdr:twoCellAnchor>
  <xdr:twoCellAnchor>
    <xdr:from>
      <xdr:col>9</xdr:col>
      <xdr:colOff>6350</xdr:colOff>
      <xdr:row>4941</xdr:row>
      <xdr:rowOff>25400</xdr:rowOff>
    </xdr:from>
    <xdr:to>
      <xdr:col>9</xdr:col>
      <xdr:colOff>885190</xdr:colOff>
      <xdr:row>4941</xdr:row>
      <xdr:rowOff>1209040</xdr:rowOff>
    </xdr:to>
    <xdr:pic>
      <xdr:nvPicPr>
        <xdr:cNvPr id="9156" name="Изображение 9155" descr="resizeПП-00122687"/>
        <xdr:cNvPicPr>
          <a:picLocks noChangeAspect="1"/>
        </xdr:cNvPicPr>
      </xdr:nvPicPr>
      <xdr:blipFill>
        <a:blip xmlns:r="http://schemas.openxmlformats.org/officeDocument/2006/relationships" r:embed="rId3768"/>
        <a:stretch>
          <a:fillRect/>
        </a:stretch>
      </xdr:blipFill>
      <xdr:spPr>
        <a:xfrm>
          <a:off x="7235825" y="4983734000"/>
          <a:ext cx="878840" cy="1183640"/>
        </a:xfrm>
        <a:prstGeom prst="rect">
          <a:avLst/>
        </a:prstGeom>
      </xdr:spPr>
    </xdr:pic>
    <xdr:clientData/>
  </xdr:twoCellAnchor>
  <xdr:twoCellAnchor>
    <xdr:from>
      <xdr:col>9</xdr:col>
      <xdr:colOff>6350</xdr:colOff>
      <xdr:row>4942</xdr:row>
      <xdr:rowOff>25400</xdr:rowOff>
    </xdr:from>
    <xdr:to>
      <xdr:col>9</xdr:col>
      <xdr:colOff>885190</xdr:colOff>
      <xdr:row>4942</xdr:row>
      <xdr:rowOff>1209040</xdr:rowOff>
    </xdr:to>
    <xdr:pic>
      <xdr:nvPicPr>
        <xdr:cNvPr id="9157" name="Изображение 9156" descr="resizeПП-00153314"/>
        <xdr:cNvPicPr>
          <a:picLocks noChangeAspect="1"/>
        </xdr:cNvPicPr>
      </xdr:nvPicPr>
      <xdr:blipFill>
        <a:blip xmlns:r="http://schemas.openxmlformats.org/officeDocument/2006/relationships" r:embed="rId3769"/>
        <a:stretch>
          <a:fillRect/>
        </a:stretch>
      </xdr:blipFill>
      <xdr:spPr>
        <a:xfrm>
          <a:off x="7235825" y="4984956375"/>
          <a:ext cx="878840" cy="1183640"/>
        </a:xfrm>
        <a:prstGeom prst="rect">
          <a:avLst/>
        </a:prstGeom>
      </xdr:spPr>
    </xdr:pic>
    <xdr:clientData/>
  </xdr:twoCellAnchor>
  <xdr:twoCellAnchor>
    <xdr:from>
      <xdr:col>9</xdr:col>
      <xdr:colOff>6350</xdr:colOff>
      <xdr:row>4943</xdr:row>
      <xdr:rowOff>25400</xdr:rowOff>
    </xdr:from>
    <xdr:to>
      <xdr:col>9</xdr:col>
      <xdr:colOff>885190</xdr:colOff>
      <xdr:row>4943</xdr:row>
      <xdr:rowOff>1209040</xdr:rowOff>
    </xdr:to>
    <xdr:pic>
      <xdr:nvPicPr>
        <xdr:cNvPr id="9158" name="Изображение 9157" descr="resizeПП-00153317"/>
        <xdr:cNvPicPr>
          <a:picLocks noChangeAspect="1"/>
        </xdr:cNvPicPr>
      </xdr:nvPicPr>
      <xdr:blipFill>
        <a:blip xmlns:r="http://schemas.openxmlformats.org/officeDocument/2006/relationships" r:embed="rId3770"/>
        <a:stretch>
          <a:fillRect/>
        </a:stretch>
      </xdr:blipFill>
      <xdr:spPr>
        <a:xfrm>
          <a:off x="7235825" y="4986178750"/>
          <a:ext cx="878840" cy="1183640"/>
        </a:xfrm>
        <a:prstGeom prst="rect">
          <a:avLst/>
        </a:prstGeom>
      </xdr:spPr>
    </xdr:pic>
    <xdr:clientData/>
  </xdr:twoCellAnchor>
  <xdr:twoCellAnchor>
    <xdr:from>
      <xdr:col>9</xdr:col>
      <xdr:colOff>6350</xdr:colOff>
      <xdr:row>4944</xdr:row>
      <xdr:rowOff>25400</xdr:rowOff>
    </xdr:from>
    <xdr:to>
      <xdr:col>9</xdr:col>
      <xdr:colOff>885190</xdr:colOff>
      <xdr:row>4944</xdr:row>
      <xdr:rowOff>1209040</xdr:rowOff>
    </xdr:to>
    <xdr:pic>
      <xdr:nvPicPr>
        <xdr:cNvPr id="9159" name="Изображение 9158" descr="resizeПП-00194395"/>
        <xdr:cNvPicPr>
          <a:picLocks noChangeAspect="1"/>
        </xdr:cNvPicPr>
      </xdr:nvPicPr>
      <xdr:blipFill>
        <a:blip xmlns:r="http://schemas.openxmlformats.org/officeDocument/2006/relationships" r:embed="rId3771"/>
        <a:stretch>
          <a:fillRect/>
        </a:stretch>
      </xdr:blipFill>
      <xdr:spPr>
        <a:xfrm>
          <a:off x="7235825" y="4987401125"/>
          <a:ext cx="878840" cy="1183640"/>
        </a:xfrm>
        <a:prstGeom prst="rect">
          <a:avLst/>
        </a:prstGeom>
      </xdr:spPr>
    </xdr:pic>
    <xdr:clientData/>
  </xdr:twoCellAnchor>
  <xdr:twoCellAnchor>
    <xdr:from>
      <xdr:col>9</xdr:col>
      <xdr:colOff>6350</xdr:colOff>
      <xdr:row>4945</xdr:row>
      <xdr:rowOff>25400</xdr:rowOff>
    </xdr:from>
    <xdr:to>
      <xdr:col>9</xdr:col>
      <xdr:colOff>885190</xdr:colOff>
      <xdr:row>4945</xdr:row>
      <xdr:rowOff>1209040</xdr:rowOff>
    </xdr:to>
    <xdr:pic>
      <xdr:nvPicPr>
        <xdr:cNvPr id="9160" name="Изображение 9159" descr="resizeПП-00194405"/>
        <xdr:cNvPicPr>
          <a:picLocks noChangeAspect="1"/>
        </xdr:cNvPicPr>
      </xdr:nvPicPr>
      <xdr:blipFill>
        <a:blip xmlns:r="http://schemas.openxmlformats.org/officeDocument/2006/relationships" r:embed="rId3772"/>
        <a:stretch>
          <a:fillRect/>
        </a:stretch>
      </xdr:blipFill>
      <xdr:spPr>
        <a:xfrm>
          <a:off x="7235825" y="4988623500"/>
          <a:ext cx="878840" cy="1183640"/>
        </a:xfrm>
        <a:prstGeom prst="rect">
          <a:avLst/>
        </a:prstGeom>
      </xdr:spPr>
    </xdr:pic>
    <xdr:clientData/>
  </xdr:twoCellAnchor>
  <xdr:twoCellAnchor>
    <xdr:from>
      <xdr:col>9</xdr:col>
      <xdr:colOff>6350</xdr:colOff>
      <xdr:row>4946</xdr:row>
      <xdr:rowOff>25400</xdr:rowOff>
    </xdr:from>
    <xdr:to>
      <xdr:col>9</xdr:col>
      <xdr:colOff>885190</xdr:colOff>
      <xdr:row>4946</xdr:row>
      <xdr:rowOff>1209040</xdr:rowOff>
    </xdr:to>
    <xdr:pic>
      <xdr:nvPicPr>
        <xdr:cNvPr id="9161" name="Изображение 9160" descr="resizeПП-00194406"/>
        <xdr:cNvPicPr>
          <a:picLocks noChangeAspect="1"/>
        </xdr:cNvPicPr>
      </xdr:nvPicPr>
      <xdr:blipFill>
        <a:blip xmlns:r="http://schemas.openxmlformats.org/officeDocument/2006/relationships" r:embed="rId3773"/>
        <a:stretch>
          <a:fillRect/>
        </a:stretch>
      </xdr:blipFill>
      <xdr:spPr>
        <a:xfrm>
          <a:off x="7235825" y="4989845875"/>
          <a:ext cx="878840" cy="1183640"/>
        </a:xfrm>
        <a:prstGeom prst="rect">
          <a:avLst/>
        </a:prstGeom>
      </xdr:spPr>
    </xdr:pic>
    <xdr:clientData/>
  </xdr:twoCellAnchor>
  <xdr:twoCellAnchor>
    <xdr:from>
      <xdr:col>9</xdr:col>
      <xdr:colOff>6350</xdr:colOff>
      <xdr:row>4947</xdr:row>
      <xdr:rowOff>25400</xdr:rowOff>
    </xdr:from>
    <xdr:to>
      <xdr:col>9</xdr:col>
      <xdr:colOff>885190</xdr:colOff>
      <xdr:row>4947</xdr:row>
      <xdr:rowOff>1209040</xdr:rowOff>
    </xdr:to>
    <xdr:pic>
      <xdr:nvPicPr>
        <xdr:cNvPr id="9162" name="Изображение 9161" descr="resizeПП-00194371"/>
        <xdr:cNvPicPr>
          <a:picLocks noChangeAspect="1"/>
        </xdr:cNvPicPr>
      </xdr:nvPicPr>
      <xdr:blipFill>
        <a:blip xmlns:r="http://schemas.openxmlformats.org/officeDocument/2006/relationships" r:embed="rId3774"/>
        <a:stretch>
          <a:fillRect/>
        </a:stretch>
      </xdr:blipFill>
      <xdr:spPr>
        <a:xfrm>
          <a:off x="7235825" y="4991068250"/>
          <a:ext cx="878840" cy="1183640"/>
        </a:xfrm>
        <a:prstGeom prst="rect">
          <a:avLst/>
        </a:prstGeom>
      </xdr:spPr>
    </xdr:pic>
    <xdr:clientData/>
  </xdr:twoCellAnchor>
  <xdr:twoCellAnchor>
    <xdr:from>
      <xdr:col>9</xdr:col>
      <xdr:colOff>6350</xdr:colOff>
      <xdr:row>4948</xdr:row>
      <xdr:rowOff>25400</xdr:rowOff>
    </xdr:from>
    <xdr:to>
      <xdr:col>9</xdr:col>
      <xdr:colOff>885190</xdr:colOff>
      <xdr:row>4948</xdr:row>
      <xdr:rowOff>1209040</xdr:rowOff>
    </xdr:to>
    <xdr:pic>
      <xdr:nvPicPr>
        <xdr:cNvPr id="9163" name="Изображение 9162" descr="resizeПП-00194390"/>
        <xdr:cNvPicPr>
          <a:picLocks noChangeAspect="1"/>
        </xdr:cNvPicPr>
      </xdr:nvPicPr>
      <xdr:blipFill>
        <a:blip xmlns:r="http://schemas.openxmlformats.org/officeDocument/2006/relationships" r:embed="rId3775"/>
        <a:stretch>
          <a:fillRect/>
        </a:stretch>
      </xdr:blipFill>
      <xdr:spPr>
        <a:xfrm>
          <a:off x="7235825" y="4992290625"/>
          <a:ext cx="878840" cy="1183640"/>
        </a:xfrm>
        <a:prstGeom prst="rect">
          <a:avLst/>
        </a:prstGeom>
      </xdr:spPr>
    </xdr:pic>
    <xdr:clientData/>
  </xdr:twoCellAnchor>
  <xdr:twoCellAnchor>
    <xdr:from>
      <xdr:col>9</xdr:col>
      <xdr:colOff>6350</xdr:colOff>
      <xdr:row>4949</xdr:row>
      <xdr:rowOff>25400</xdr:rowOff>
    </xdr:from>
    <xdr:to>
      <xdr:col>9</xdr:col>
      <xdr:colOff>885190</xdr:colOff>
      <xdr:row>4949</xdr:row>
      <xdr:rowOff>1209040</xdr:rowOff>
    </xdr:to>
    <xdr:pic>
      <xdr:nvPicPr>
        <xdr:cNvPr id="9164" name="Изображение 9163" descr="resizeПП-00194392"/>
        <xdr:cNvPicPr>
          <a:picLocks noChangeAspect="1"/>
        </xdr:cNvPicPr>
      </xdr:nvPicPr>
      <xdr:blipFill>
        <a:blip xmlns:r="http://schemas.openxmlformats.org/officeDocument/2006/relationships" r:embed="rId3776"/>
        <a:stretch>
          <a:fillRect/>
        </a:stretch>
      </xdr:blipFill>
      <xdr:spPr>
        <a:xfrm>
          <a:off x="7235825" y="4993513000"/>
          <a:ext cx="878840" cy="1183640"/>
        </a:xfrm>
        <a:prstGeom prst="rect">
          <a:avLst/>
        </a:prstGeom>
      </xdr:spPr>
    </xdr:pic>
    <xdr:clientData/>
  </xdr:twoCellAnchor>
  <xdr:twoCellAnchor>
    <xdr:from>
      <xdr:col>9</xdr:col>
      <xdr:colOff>6350</xdr:colOff>
      <xdr:row>4950</xdr:row>
      <xdr:rowOff>25400</xdr:rowOff>
    </xdr:from>
    <xdr:to>
      <xdr:col>9</xdr:col>
      <xdr:colOff>885190</xdr:colOff>
      <xdr:row>4950</xdr:row>
      <xdr:rowOff>1209040</xdr:rowOff>
    </xdr:to>
    <xdr:pic>
      <xdr:nvPicPr>
        <xdr:cNvPr id="9165" name="Изображение 9164" descr="resizeПП-00122855"/>
        <xdr:cNvPicPr>
          <a:picLocks noChangeAspect="1"/>
        </xdr:cNvPicPr>
      </xdr:nvPicPr>
      <xdr:blipFill>
        <a:blip xmlns:r="http://schemas.openxmlformats.org/officeDocument/2006/relationships" r:embed="rId3777"/>
        <a:stretch>
          <a:fillRect/>
        </a:stretch>
      </xdr:blipFill>
      <xdr:spPr>
        <a:xfrm>
          <a:off x="7235825" y="4994735375"/>
          <a:ext cx="878840" cy="1183640"/>
        </a:xfrm>
        <a:prstGeom prst="rect">
          <a:avLst/>
        </a:prstGeom>
      </xdr:spPr>
    </xdr:pic>
    <xdr:clientData/>
  </xdr:twoCellAnchor>
  <xdr:twoCellAnchor>
    <xdr:from>
      <xdr:col>9</xdr:col>
      <xdr:colOff>6350</xdr:colOff>
      <xdr:row>4951</xdr:row>
      <xdr:rowOff>25400</xdr:rowOff>
    </xdr:from>
    <xdr:to>
      <xdr:col>9</xdr:col>
      <xdr:colOff>885190</xdr:colOff>
      <xdr:row>4951</xdr:row>
      <xdr:rowOff>1209040</xdr:rowOff>
    </xdr:to>
    <xdr:pic>
      <xdr:nvPicPr>
        <xdr:cNvPr id="9166" name="Изображение 9165" descr="resizeПП-00122857"/>
        <xdr:cNvPicPr>
          <a:picLocks noChangeAspect="1"/>
        </xdr:cNvPicPr>
      </xdr:nvPicPr>
      <xdr:blipFill>
        <a:blip xmlns:r="http://schemas.openxmlformats.org/officeDocument/2006/relationships" r:embed="rId3778"/>
        <a:stretch>
          <a:fillRect/>
        </a:stretch>
      </xdr:blipFill>
      <xdr:spPr>
        <a:xfrm>
          <a:off x="7235825" y="4995957750"/>
          <a:ext cx="878840" cy="1183640"/>
        </a:xfrm>
        <a:prstGeom prst="rect">
          <a:avLst/>
        </a:prstGeom>
      </xdr:spPr>
    </xdr:pic>
    <xdr:clientData/>
  </xdr:twoCellAnchor>
  <xdr:twoCellAnchor>
    <xdr:from>
      <xdr:col>9</xdr:col>
      <xdr:colOff>6350</xdr:colOff>
      <xdr:row>4952</xdr:row>
      <xdr:rowOff>25400</xdr:rowOff>
    </xdr:from>
    <xdr:to>
      <xdr:col>9</xdr:col>
      <xdr:colOff>885190</xdr:colOff>
      <xdr:row>4952</xdr:row>
      <xdr:rowOff>1209040</xdr:rowOff>
    </xdr:to>
    <xdr:pic>
      <xdr:nvPicPr>
        <xdr:cNvPr id="9167" name="Изображение 9166" descr="resizeПП-00122859"/>
        <xdr:cNvPicPr>
          <a:picLocks noChangeAspect="1"/>
        </xdr:cNvPicPr>
      </xdr:nvPicPr>
      <xdr:blipFill>
        <a:blip xmlns:r="http://schemas.openxmlformats.org/officeDocument/2006/relationships" r:embed="rId3779"/>
        <a:stretch>
          <a:fillRect/>
        </a:stretch>
      </xdr:blipFill>
      <xdr:spPr>
        <a:xfrm>
          <a:off x="7235825" y="4997180125"/>
          <a:ext cx="878840" cy="1183640"/>
        </a:xfrm>
        <a:prstGeom prst="rect">
          <a:avLst/>
        </a:prstGeom>
      </xdr:spPr>
    </xdr:pic>
    <xdr:clientData/>
  </xdr:twoCellAnchor>
  <xdr:twoCellAnchor>
    <xdr:from>
      <xdr:col>9</xdr:col>
      <xdr:colOff>6350</xdr:colOff>
      <xdr:row>4953</xdr:row>
      <xdr:rowOff>25400</xdr:rowOff>
    </xdr:from>
    <xdr:to>
      <xdr:col>9</xdr:col>
      <xdr:colOff>885190</xdr:colOff>
      <xdr:row>4953</xdr:row>
      <xdr:rowOff>1209040</xdr:rowOff>
    </xdr:to>
    <xdr:pic>
      <xdr:nvPicPr>
        <xdr:cNvPr id="9168" name="Изображение 9167" descr="resizeПП-00122861"/>
        <xdr:cNvPicPr>
          <a:picLocks noChangeAspect="1"/>
        </xdr:cNvPicPr>
      </xdr:nvPicPr>
      <xdr:blipFill>
        <a:blip xmlns:r="http://schemas.openxmlformats.org/officeDocument/2006/relationships" r:embed="rId3780"/>
        <a:stretch>
          <a:fillRect/>
        </a:stretch>
      </xdr:blipFill>
      <xdr:spPr>
        <a:xfrm>
          <a:off x="7235825" y="4998402500"/>
          <a:ext cx="878840" cy="1183640"/>
        </a:xfrm>
        <a:prstGeom prst="rect">
          <a:avLst/>
        </a:prstGeom>
      </xdr:spPr>
    </xdr:pic>
    <xdr:clientData/>
  </xdr:twoCellAnchor>
  <xdr:twoCellAnchor>
    <xdr:from>
      <xdr:col>9</xdr:col>
      <xdr:colOff>6350</xdr:colOff>
      <xdr:row>4954</xdr:row>
      <xdr:rowOff>25400</xdr:rowOff>
    </xdr:from>
    <xdr:to>
      <xdr:col>9</xdr:col>
      <xdr:colOff>885190</xdr:colOff>
      <xdr:row>4954</xdr:row>
      <xdr:rowOff>1209040</xdr:rowOff>
    </xdr:to>
    <xdr:pic>
      <xdr:nvPicPr>
        <xdr:cNvPr id="9169" name="Изображение 9168" descr="resizeПП-00122864"/>
        <xdr:cNvPicPr>
          <a:picLocks noChangeAspect="1"/>
        </xdr:cNvPicPr>
      </xdr:nvPicPr>
      <xdr:blipFill>
        <a:blip xmlns:r="http://schemas.openxmlformats.org/officeDocument/2006/relationships" r:embed="rId3781"/>
        <a:stretch>
          <a:fillRect/>
        </a:stretch>
      </xdr:blipFill>
      <xdr:spPr>
        <a:xfrm>
          <a:off x="7235825" y="4999624875"/>
          <a:ext cx="878840" cy="1183640"/>
        </a:xfrm>
        <a:prstGeom prst="rect">
          <a:avLst/>
        </a:prstGeom>
      </xdr:spPr>
    </xdr:pic>
    <xdr:clientData/>
  </xdr:twoCellAnchor>
  <xdr:twoCellAnchor>
    <xdr:from>
      <xdr:col>9</xdr:col>
      <xdr:colOff>6350</xdr:colOff>
      <xdr:row>4955</xdr:row>
      <xdr:rowOff>25400</xdr:rowOff>
    </xdr:from>
    <xdr:to>
      <xdr:col>9</xdr:col>
      <xdr:colOff>885190</xdr:colOff>
      <xdr:row>4955</xdr:row>
      <xdr:rowOff>1209040</xdr:rowOff>
    </xdr:to>
    <xdr:pic>
      <xdr:nvPicPr>
        <xdr:cNvPr id="9170" name="Изображение 9169" descr="resizeПП-00122868"/>
        <xdr:cNvPicPr>
          <a:picLocks noChangeAspect="1"/>
        </xdr:cNvPicPr>
      </xdr:nvPicPr>
      <xdr:blipFill>
        <a:blip xmlns:r="http://schemas.openxmlformats.org/officeDocument/2006/relationships" r:embed="rId3782"/>
        <a:stretch>
          <a:fillRect/>
        </a:stretch>
      </xdr:blipFill>
      <xdr:spPr>
        <a:xfrm>
          <a:off x="7235825" y="5000847250"/>
          <a:ext cx="878840" cy="1183640"/>
        </a:xfrm>
        <a:prstGeom prst="rect">
          <a:avLst/>
        </a:prstGeom>
      </xdr:spPr>
    </xdr:pic>
    <xdr:clientData/>
  </xdr:twoCellAnchor>
  <xdr:twoCellAnchor>
    <xdr:from>
      <xdr:col>9</xdr:col>
      <xdr:colOff>6350</xdr:colOff>
      <xdr:row>4956</xdr:row>
      <xdr:rowOff>25400</xdr:rowOff>
    </xdr:from>
    <xdr:to>
      <xdr:col>9</xdr:col>
      <xdr:colOff>885190</xdr:colOff>
      <xdr:row>4956</xdr:row>
      <xdr:rowOff>1209040</xdr:rowOff>
    </xdr:to>
    <xdr:pic>
      <xdr:nvPicPr>
        <xdr:cNvPr id="9171" name="Изображение 9170" descr="resizeПП-00122871"/>
        <xdr:cNvPicPr>
          <a:picLocks noChangeAspect="1"/>
        </xdr:cNvPicPr>
      </xdr:nvPicPr>
      <xdr:blipFill>
        <a:blip xmlns:r="http://schemas.openxmlformats.org/officeDocument/2006/relationships" r:embed="rId3783"/>
        <a:stretch>
          <a:fillRect/>
        </a:stretch>
      </xdr:blipFill>
      <xdr:spPr>
        <a:xfrm>
          <a:off x="7235825" y="5002069625"/>
          <a:ext cx="878840" cy="1183640"/>
        </a:xfrm>
        <a:prstGeom prst="rect">
          <a:avLst/>
        </a:prstGeom>
      </xdr:spPr>
    </xdr:pic>
    <xdr:clientData/>
  </xdr:twoCellAnchor>
  <xdr:twoCellAnchor>
    <xdr:from>
      <xdr:col>9</xdr:col>
      <xdr:colOff>6350</xdr:colOff>
      <xdr:row>4957</xdr:row>
      <xdr:rowOff>25400</xdr:rowOff>
    </xdr:from>
    <xdr:to>
      <xdr:col>9</xdr:col>
      <xdr:colOff>885190</xdr:colOff>
      <xdr:row>4957</xdr:row>
      <xdr:rowOff>1209040</xdr:rowOff>
    </xdr:to>
    <xdr:pic>
      <xdr:nvPicPr>
        <xdr:cNvPr id="9172" name="Изображение 9171" descr="resizeПП-00122872"/>
        <xdr:cNvPicPr>
          <a:picLocks noChangeAspect="1"/>
        </xdr:cNvPicPr>
      </xdr:nvPicPr>
      <xdr:blipFill>
        <a:blip xmlns:r="http://schemas.openxmlformats.org/officeDocument/2006/relationships" r:embed="rId3784"/>
        <a:stretch>
          <a:fillRect/>
        </a:stretch>
      </xdr:blipFill>
      <xdr:spPr>
        <a:xfrm>
          <a:off x="7235825" y="5003292000"/>
          <a:ext cx="878840" cy="1183640"/>
        </a:xfrm>
        <a:prstGeom prst="rect">
          <a:avLst/>
        </a:prstGeom>
      </xdr:spPr>
    </xdr:pic>
    <xdr:clientData/>
  </xdr:twoCellAnchor>
  <xdr:twoCellAnchor>
    <xdr:from>
      <xdr:col>9</xdr:col>
      <xdr:colOff>6350</xdr:colOff>
      <xdr:row>4958</xdr:row>
      <xdr:rowOff>25400</xdr:rowOff>
    </xdr:from>
    <xdr:to>
      <xdr:col>9</xdr:col>
      <xdr:colOff>885190</xdr:colOff>
      <xdr:row>4958</xdr:row>
      <xdr:rowOff>1209040</xdr:rowOff>
    </xdr:to>
    <xdr:pic>
      <xdr:nvPicPr>
        <xdr:cNvPr id="9173" name="Изображение 9172" descr="resizeПП-00122853"/>
        <xdr:cNvPicPr>
          <a:picLocks noChangeAspect="1"/>
        </xdr:cNvPicPr>
      </xdr:nvPicPr>
      <xdr:blipFill>
        <a:blip xmlns:r="http://schemas.openxmlformats.org/officeDocument/2006/relationships" r:embed="rId3785"/>
        <a:stretch>
          <a:fillRect/>
        </a:stretch>
      </xdr:blipFill>
      <xdr:spPr>
        <a:xfrm>
          <a:off x="7235825" y="5004514375"/>
          <a:ext cx="878840" cy="1183640"/>
        </a:xfrm>
        <a:prstGeom prst="rect">
          <a:avLst/>
        </a:prstGeom>
      </xdr:spPr>
    </xdr:pic>
    <xdr:clientData/>
  </xdr:twoCellAnchor>
  <xdr:twoCellAnchor>
    <xdr:from>
      <xdr:col>9</xdr:col>
      <xdr:colOff>6350</xdr:colOff>
      <xdr:row>4959</xdr:row>
      <xdr:rowOff>25400</xdr:rowOff>
    </xdr:from>
    <xdr:to>
      <xdr:col>9</xdr:col>
      <xdr:colOff>885190</xdr:colOff>
      <xdr:row>4959</xdr:row>
      <xdr:rowOff>1209040</xdr:rowOff>
    </xdr:to>
    <xdr:pic>
      <xdr:nvPicPr>
        <xdr:cNvPr id="9174" name="Изображение 9173" descr="resizeПП-00122877"/>
        <xdr:cNvPicPr>
          <a:picLocks noChangeAspect="1"/>
        </xdr:cNvPicPr>
      </xdr:nvPicPr>
      <xdr:blipFill>
        <a:blip xmlns:r="http://schemas.openxmlformats.org/officeDocument/2006/relationships" r:embed="rId3786"/>
        <a:stretch>
          <a:fillRect/>
        </a:stretch>
      </xdr:blipFill>
      <xdr:spPr>
        <a:xfrm>
          <a:off x="7235825" y="5005736750"/>
          <a:ext cx="878840" cy="1183640"/>
        </a:xfrm>
        <a:prstGeom prst="rect">
          <a:avLst/>
        </a:prstGeom>
      </xdr:spPr>
    </xdr:pic>
    <xdr:clientData/>
  </xdr:twoCellAnchor>
  <xdr:twoCellAnchor>
    <xdr:from>
      <xdr:col>9</xdr:col>
      <xdr:colOff>6350</xdr:colOff>
      <xdr:row>4960</xdr:row>
      <xdr:rowOff>25400</xdr:rowOff>
    </xdr:from>
    <xdr:to>
      <xdr:col>9</xdr:col>
      <xdr:colOff>885190</xdr:colOff>
      <xdr:row>4960</xdr:row>
      <xdr:rowOff>1209040</xdr:rowOff>
    </xdr:to>
    <xdr:pic>
      <xdr:nvPicPr>
        <xdr:cNvPr id="9175" name="Изображение 9174" descr="resizeПП-00122879"/>
        <xdr:cNvPicPr>
          <a:picLocks noChangeAspect="1"/>
        </xdr:cNvPicPr>
      </xdr:nvPicPr>
      <xdr:blipFill>
        <a:blip xmlns:r="http://schemas.openxmlformats.org/officeDocument/2006/relationships" r:embed="rId3787"/>
        <a:stretch>
          <a:fillRect/>
        </a:stretch>
      </xdr:blipFill>
      <xdr:spPr>
        <a:xfrm>
          <a:off x="7235825" y="5006959125"/>
          <a:ext cx="878840" cy="1183640"/>
        </a:xfrm>
        <a:prstGeom prst="rect">
          <a:avLst/>
        </a:prstGeom>
      </xdr:spPr>
    </xdr:pic>
    <xdr:clientData/>
  </xdr:twoCellAnchor>
  <xdr:twoCellAnchor>
    <xdr:from>
      <xdr:col>9</xdr:col>
      <xdr:colOff>6350</xdr:colOff>
      <xdr:row>4961</xdr:row>
      <xdr:rowOff>25400</xdr:rowOff>
    </xdr:from>
    <xdr:to>
      <xdr:col>9</xdr:col>
      <xdr:colOff>885190</xdr:colOff>
      <xdr:row>4961</xdr:row>
      <xdr:rowOff>1209040</xdr:rowOff>
    </xdr:to>
    <xdr:pic>
      <xdr:nvPicPr>
        <xdr:cNvPr id="9176" name="Изображение 9175" descr="resizeПП-00122881"/>
        <xdr:cNvPicPr>
          <a:picLocks noChangeAspect="1"/>
        </xdr:cNvPicPr>
      </xdr:nvPicPr>
      <xdr:blipFill>
        <a:blip xmlns:r="http://schemas.openxmlformats.org/officeDocument/2006/relationships" r:embed="rId3788"/>
        <a:stretch>
          <a:fillRect/>
        </a:stretch>
      </xdr:blipFill>
      <xdr:spPr>
        <a:xfrm>
          <a:off x="7235825" y="5008181500"/>
          <a:ext cx="878840" cy="1183640"/>
        </a:xfrm>
        <a:prstGeom prst="rect">
          <a:avLst/>
        </a:prstGeom>
      </xdr:spPr>
    </xdr:pic>
    <xdr:clientData/>
  </xdr:twoCellAnchor>
  <xdr:twoCellAnchor>
    <xdr:from>
      <xdr:col>9</xdr:col>
      <xdr:colOff>6350</xdr:colOff>
      <xdr:row>4962</xdr:row>
      <xdr:rowOff>25400</xdr:rowOff>
    </xdr:from>
    <xdr:to>
      <xdr:col>9</xdr:col>
      <xdr:colOff>885190</xdr:colOff>
      <xdr:row>4962</xdr:row>
      <xdr:rowOff>1209040</xdr:rowOff>
    </xdr:to>
    <xdr:pic>
      <xdr:nvPicPr>
        <xdr:cNvPr id="9177" name="Изображение 9176" descr="resizeПП-00122888"/>
        <xdr:cNvPicPr>
          <a:picLocks noChangeAspect="1"/>
        </xdr:cNvPicPr>
      </xdr:nvPicPr>
      <xdr:blipFill>
        <a:blip xmlns:r="http://schemas.openxmlformats.org/officeDocument/2006/relationships" r:embed="rId3789"/>
        <a:stretch>
          <a:fillRect/>
        </a:stretch>
      </xdr:blipFill>
      <xdr:spPr>
        <a:xfrm>
          <a:off x="7235825" y="5009403875"/>
          <a:ext cx="878840" cy="1183640"/>
        </a:xfrm>
        <a:prstGeom prst="rect">
          <a:avLst/>
        </a:prstGeom>
      </xdr:spPr>
    </xdr:pic>
    <xdr:clientData/>
  </xdr:twoCellAnchor>
  <xdr:twoCellAnchor>
    <xdr:from>
      <xdr:col>9</xdr:col>
      <xdr:colOff>6350</xdr:colOff>
      <xdr:row>4963</xdr:row>
      <xdr:rowOff>25400</xdr:rowOff>
    </xdr:from>
    <xdr:to>
      <xdr:col>9</xdr:col>
      <xdr:colOff>885190</xdr:colOff>
      <xdr:row>4963</xdr:row>
      <xdr:rowOff>1209040</xdr:rowOff>
    </xdr:to>
    <xdr:pic>
      <xdr:nvPicPr>
        <xdr:cNvPr id="9178" name="Изображение 9177" descr="resizeПП-00122889"/>
        <xdr:cNvPicPr>
          <a:picLocks noChangeAspect="1"/>
        </xdr:cNvPicPr>
      </xdr:nvPicPr>
      <xdr:blipFill>
        <a:blip xmlns:r="http://schemas.openxmlformats.org/officeDocument/2006/relationships" r:embed="rId3790"/>
        <a:stretch>
          <a:fillRect/>
        </a:stretch>
      </xdr:blipFill>
      <xdr:spPr>
        <a:xfrm>
          <a:off x="7235825" y="5010626250"/>
          <a:ext cx="878840" cy="1183640"/>
        </a:xfrm>
        <a:prstGeom prst="rect">
          <a:avLst/>
        </a:prstGeom>
      </xdr:spPr>
    </xdr:pic>
    <xdr:clientData/>
  </xdr:twoCellAnchor>
  <xdr:twoCellAnchor>
    <xdr:from>
      <xdr:col>9</xdr:col>
      <xdr:colOff>6350</xdr:colOff>
      <xdr:row>4964</xdr:row>
      <xdr:rowOff>25400</xdr:rowOff>
    </xdr:from>
    <xdr:to>
      <xdr:col>9</xdr:col>
      <xdr:colOff>885190</xdr:colOff>
      <xdr:row>4964</xdr:row>
      <xdr:rowOff>1209040</xdr:rowOff>
    </xdr:to>
    <xdr:pic>
      <xdr:nvPicPr>
        <xdr:cNvPr id="9179" name="Изображение 9178" descr="resizeПП-00122890"/>
        <xdr:cNvPicPr>
          <a:picLocks noChangeAspect="1"/>
        </xdr:cNvPicPr>
      </xdr:nvPicPr>
      <xdr:blipFill>
        <a:blip xmlns:r="http://schemas.openxmlformats.org/officeDocument/2006/relationships" r:embed="rId3791"/>
        <a:stretch>
          <a:fillRect/>
        </a:stretch>
      </xdr:blipFill>
      <xdr:spPr>
        <a:xfrm>
          <a:off x="7235825" y="5011848625"/>
          <a:ext cx="878840" cy="1183640"/>
        </a:xfrm>
        <a:prstGeom prst="rect">
          <a:avLst/>
        </a:prstGeom>
      </xdr:spPr>
    </xdr:pic>
    <xdr:clientData/>
  </xdr:twoCellAnchor>
  <xdr:twoCellAnchor>
    <xdr:from>
      <xdr:col>9</xdr:col>
      <xdr:colOff>6350</xdr:colOff>
      <xdr:row>4965</xdr:row>
      <xdr:rowOff>25400</xdr:rowOff>
    </xdr:from>
    <xdr:to>
      <xdr:col>9</xdr:col>
      <xdr:colOff>885190</xdr:colOff>
      <xdr:row>4965</xdr:row>
      <xdr:rowOff>1209040</xdr:rowOff>
    </xdr:to>
    <xdr:pic>
      <xdr:nvPicPr>
        <xdr:cNvPr id="9180" name="Изображение 9179" descr="resizeПП-00122891"/>
        <xdr:cNvPicPr>
          <a:picLocks noChangeAspect="1"/>
        </xdr:cNvPicPr>
      </xdr:nvPicPr>
      <xdr:blipFill>
        <a:blip xmlns:r="http://schemas.openxmlformats.org/officeDocument/2006/relationships" r:embed="rId3792"/>
        <a:stretch>
          <a:fillRect/>
        </a:stretch>
      </xdr:blipFill>
      <xdr:spPr>
        <a:xfrm>
          <a:off x="7235825" y="5013071000"/>
          <a:ext cx="878840" cy="1183640"/>
        </a:xfrm>
        <a:prstGeom prst="rect">
          <a:avLst/>
        </a:prstGeom>
      </xdr:spPr>
    </xdr:pic>
    <xdr:clientData/>
  </xdr:twoCellAnchor>
  <xdr:twoCellAnchor>
    <xdr:from>
      <xdr:col>9</xdr:col>
      <xdr:colOff>6350</xdr:colOff>
      <xdr:row>4966</xdr:row>
      <xdr:rowOff>25400</xdr:rowOff>
    </xdr:from>
    <xdr:to>
      <xdr:col>9</xdr:col>
      <xdr:colOff>885190</xdr:colOff>
      <xdr:row>4966</xdr:row>
      <xdr:rowOff>1209040</xdr:rowOff>
    </xdr:to>
    <xdr:pic>
      <xdr:nvPicPr>
        <xdr:cNvPr id="9181" name="Изображение 9180" descr="resizeПП-00122892"/>
        <xdr:cNvPicPr>
          <a:picLocks noChangeAspect="1"/>
        </xdr:cNvPicPr>
      </xdr:nvPicPr>
      <xdr:blipFill>
        <a:blip xmlns:r="http://schemas.openxmlformats.org/officeDocument/2006/relationships" r:embed="rId3793"/>
        <a:stretch>
          <a:fillRect/>
        </a:stretch>
      </xdr:blipFill>
      <xdr:spPr>
        <a:xfrm>
          <a:off x="7235825" y="5014293375"/>
          <a:ext cx="878840" cy="1183640"/>
        </a:xfrm>
        <a:prstGeom prst="rect">
          <a:avLst/>
        </a:prstGeom>
      </xdr:spPr>
    </xdr:pic>
    <xdr:clientData/>
  </xdr:twoCellAnchor>
  <xdr:twoCellAnchor>
    <xdr:from>
      <xdr:col>9</xdr:col>
      <xdr:colOff>6350</xdr:colOff>
      <xdr:row>4967</xdr:row>
      <xdr:rowOff>25400</xdr:rowOff>
    </xdr:from>
    <xdr:to>
      <xdr:col>9</xdr:col>
      <xdr:colOff>885190</xdr:colOff>
      <xdr:row>4967</xdr:row>
      <xdr:rowOff>1209040</xdr:rowOff>
    </xdr:to>
    <xdr:pic>
      <xdr:nvPicPr>
        <xdr:cNvPr id="9182" name="Изображение 9181" descr="resizeПП-00122893"/>
        <xdr:cNvPicPr>
          <a:picLocks noChangeAspect="1"/>
        </xdr:cNvPicPr>
      </xdr:nvPicPr>
      <xdr:blipFill>
        <a:blip xmlns:r="http://schemas.openxmlformats.org/officeDocument/2006/relationships" r:embed="rId3794"/>
        <a:stretch>
          <a:fillRect/>
        </a:stretch>
      </xdr:blipFill>
      <xdr:spPr>
        <a:xfrm>
          <a:off x="7235825" y="5015515750"/>
          <a:ext cx="878840" cy="1183640"/>
        </a:xfrm>
        <a:prstGeom prst="rect">
          <a:avLst/>
        </a:prstGeom>
      </xdr:spPr>
    </xdr:pic>
    <xdr:clientData/>
  </xdr:twoCellAnchor>
  <xdr:twoCellAnchor>
    <xdr:from>
      <xdr:col>9</xdr:col>
      <xdr:colOff>6350</xdr:colOff>
      <xdr:row>4968</xdr:row>
      <xdr:rowOff>25400</xdr:rowOff>
    </xdr:from>
    <xdr:to>
      <xdr:col>9</xdr:col>
      <xdr:colOff>885190</xdr:colOff>
      <xdr:row>4968</xdr:row>
      <xdr:rowOff>1209040</xdr:rowOff>
    </xdr:to>
    <xdr:pic>
      <xdr:nvPicPr>
        <xdr:cNvPr id="9183" name="Изображение 9182" descr="resizeПП-00122874"/>
        <xdr:cNvPicPr>
          <a:picLocks noChangeAspect="1"/>
        </xdr:cNvPicPr>
      </xdr:nvPicPr>
      <xdr:blipFill>
        <a:blip xmlns:r="http://schemas.openxmlformats.org/officeDocument/2006/relationships" r:embed="rId3795"/>
        <a:stretch>
          <a:fillRect/>
        </a:stretch>
      </xdr:blipFill>
      <xdr:spPr>
        <a:xfrm>
          <a:off x="7235825" y="5016738125"/>
          <a:ext cx="878840" cy="1183640"/>
        </a:xfrm>
        <a:prstGeom prst="rect">
          <a:avLst/>
        </a:prstGeom>
      </xdr:spPr>
    </xdr:pic>
    <xdr:clientData/>
  </xdr:twoCellAnchor>
  <xdr:twoCellAnchor>
    <xdr:from>
      <xdr:col>9</xdr:col>
      <xdr:colOff>6350</xdr:colOff>
      <xdr:row>4969</xdr:row>
      <xdr:rowOff>25400</xdr:rowOff>
    </xdr:from>
    <xdr:to>
      <xdr:col>9</xdr:col>
      <xdr:colOff>885190</xdr:colOff>
      <xdr:row>4969</xdr:row>
      <xdr:rowOff>1209040</xdr:rowOff>
    </xdr:to>
    <xdr:pic>
      <xdr:nvPicPr>
        <xdr:cNvPr id="9184" name="Изображение 9183" descr="resizeПП-00096828"/>
        <xdr:cNvPicPr>
          <a:picLocks noChangeAspect="1"/>
        </xdr:cNvPicPr>
      </xdr:nvPicPr>
      <xdr:blipFill>
        <a:blip xmlns:r="http://schemas.openxmlformats.org/officeDocument/2006/relationships" r:embed="rId3796"/>
        <a:stretch>
          <a:fillRect/>
        </a:stretch>
      </xdr:blipFill>
      <xdr:spPr>
        <a:xfrm>
          <a:off x="7235825" y="5017960500"/>
          <a:ext cx="878840" cy="1183640"/>
        </a:xfrm>
        <a:prstGeom prst="rect">
          <a:avLst/>
        </a:prstGeom>
      </xdr:spPr>
    </xdr:pic>
    <xdr:clientData/>
  </xdr:twoCellAnchor>
  <xdr:twoCellAnchor>
    <xdr:from>
      <xdr:col>9</xdr:col>
      <xdr:colOff>6350</xdr:colOff>
      <xdr:row>4970</xdr:row>
      <xdr:rowOff>25400</xdr:rowOff>
    </xdr:from>
    <xdr:to>
      <xdr:col>9</xdr:col>
      <xdr:colOff>885190</xdr:colOff>
      <xdr:row>4970</xdr:row>
      <xdr:rowOff>1209040</xdr:rowOff>
    </xdr:to>
    <xdr:pic>
      <xdr:nvPicPr>
        <xdr:cNvPr id="9185" name="Изображение 9184" descr="resizeПП-00096829"/>
        <xdr:cNvPicPr>
          <a:picLocks noChangeAspect="1"/>
        </xdr:cNvPicPr>
      </xdr:nvPicPr>
      <xdr:blipFill>
        <a:blip xmlns:r="http://schemas.openxmlformats.org/officeDocument/2006/relationships" r:embed="rId3797"/>
        <a:stretch>
          <a:fillRect/>
        </a:stretch>
      </xdr:blipFill>
      <xdr:spPr>
        <a:xfrm>
          <a:off x="7235825" y="5019182875"/>
          <a:ext cx="878840" cy="1183640"/>
        </a:xfrm>
        <a:prstGeom prst="rect">
          <a:avLst/>
        </a:prstGeom>
      </xdr:spPr>
    </xdr:pic>
    <xdr:clientData/>
  </xdr:twoCellAnchor>
  <xdr:twoCellAnchor>
    <xdr:from>
      <xdr:col>9</xdr:col>
      <xdr:colOff>6350</xdr:colOff>
      <xdr:row>4971</xdr:row>
      <xdr:rowOff>25400</xdr:rowOff>
    </xdr:from>
    <xdr:to>
      <xdr:col>9</xdr:col>
      <xdr:colOff>885190</xdr:colOff>
      <xdr:row>4971</xdr:row>
      <xdr:rowOff>1209040</xdr:rowOff>
    </xdr:to>
    <xdr:pic>
      <xdr:nvPicPr>
        <xdr:cNvPr id="9186" name="Изображение 9185" descr="resizeПП-00096830"/>
        <xdr:cNvPicPr>
          <a:picLocks noChangeAspect="1"/>
        </xdr:cNvPicPr>
      </xdr:nvPicPr>
      <xdr:blipFill>
        <a:blip xmlns:r="http://schemas.openxmlformats.org/officeDocument/2006/relationships" r:embed="rId3798"/>
        <a:stretch>
          <a:fillRect/>
        </a:stretch>
      </xdr:blipFill>
      <xdr:spPr>
        <a:xfrm>
          <a:off x="7235825" y="5020405250"/>
          <a:ext cx="878840" cy="1183640"/>
        </a:xfrm>
        <a:prstGeom prst="rect">
          <a:avLst/>
        </a:prstGeom>
      </xdr:spPr>
    </xdr:pic>
    <xdr:clientData/>
  </xdr:twoCellAnchor>
  <xdr:twoCellAnchor>
    <xdr:from>
      <xdr:col>9</xdr:col>
      <xdr:colOff>6350</xdr:colOff>
      <xdr:row>4972</xdr:row>
      <xdr:rowOff>25400</xdr:rowOff>
    </xdr:from>
    <xdr:to>
      <xdr:col>9</xdr:col>
      <xdr:colOff>885190</xdr:colOff>
      <xdr:row>4972</xdr:row>
      <xdr:rowOff>1209040</xdr:rowOff>
    </xdr:to>
    <xdr:pic>
      <xdr:nvPicPr>
        <xdr:cNvPr id="9187" name="Изображение 9186" descr="resizeПП-00096831"/>
        <xdr:cNvPicPr>
          <a:picLocks noChangeAspect="1"/>
        </xdr:cNvPicPr>
      </xdr:nvPicPr>
      <xdr:blipFill>
        <a:blip xmlns:r="http://schemas.openxmlformats.org/officeDocument/2006/relationships" r:embed="rId3799"/>
        <a:stretch>
          <a:fillRect/>
        </a:stretch>
      </xdr:blipFill>
      <xdr:spPr>
        <a:xfrm>
          <a:off x="7235825" y="5021627625"/>
          <a:ext cx="878840" cy="1183640"/>
        </a:xfrm>
        <a:prstGeom prst="rect">
          <a:avLst/>
        </a:prstGeom>
      </xdr:spPr>
    </xdr:pic>
    <xdr:clientData/>
  </xdr:twoCellAnchor>
  <xdr:twoCellAnchor>
    <xdr:from>
      <xdr:col>9</xdr:col>
      <xdr:colOff>6350</xdr:colOff>
      <xdr:row>4973</xdr:row>
      <xdr:rowOff>25400</xdr:rowOff>
    </xdr:from>
    <xdr:to>
      <xdr:col>9</xdr:col>
      <xdr:colOff>885190</xdr:colOff>
      <xdr:row>4973</xdr:row>
      <xdr:rowOff>1209040</xdr:rowOff>
    </xdr:to>
    <xdr:pic>
      <xdr:nvPicPr>
        <xdr:cNvPr id="9188" name="Изображение 9187" descr="resizeПП-00096832"/>
        <xdr:cNvPicPr>
          <a:picLocks noChangeAspect="1"/>
        </xdr:cNvPicPr>
      </xdr:nvPicPr>
      <xdr:blipFill>
        <a:blip xmlns:r="http://schemas.openxmlformats.org/officeDocument/2006/relationships" r:embed="rId3800"/>
        <a:stretch>
          <a:fillRect/>
        </a:stretch>
      </xdr:blipFill>
      <xdr:spPr>
        <a:xfrm>
          <a:off x="7235825" y="5022850000"/>
          <a:ext cx="878840" cy="1183640"/>
        </a:xfrm>
        <a:prstGeom prst="rect">
          <a:avLst/>
        </a:prstGeom>
      </xdr:spPr>
    </xdr:pic>
    <xdr:clientData/>
  </xdr:twoCellAnchor>
  <xdr:twoCellAnchor>
    <xdr:from>
      <xdr:col>9</xdr:col>
      <xdr:colOff>6350</xdr:colOff>
      <xdr:row>4974</xdr:row>
      <xdr:rowOff>25400</xdr:rowOff>
    </xdr:from>
    <xdr:to>
      <xdr:col>9</xdr:col>
      <xdr:colOff>885190</xdr:colOff>
      <xdr:row>4974</xdr:row>
      <xdr:rowOff>1209040</xdr:rowOff>
    </xdr:to>
    <xdr:pic>
      <xdr:nvPicPr>
        <xdr:cNvPr id="9189" name="Изображение 9188" descr="resizeПП-00096833"/>
        <xdr:cNvPicPr>
          <a:picLocks noChangeAspect="1"/>
        </xdr:cNvPicPr>
      </xdr:nvPicPr>
      <xdr:blipFill>
        <a:blip xmlns:r="http://schemas.openxmlformats.org/officeDocument/2006/relationships" r:embed="rId3801"/>
        <a:stretch>
          <a:fillRect/>
        </a:stretch>
      </xdr:blipFill>
      <xdr:spPr>
        <a:xfrm>
          <a:off x="7235825" y="5024072375"/>
          <a:ext cx="878840" cy="1183640"/>
        </a:xfrm>
        <a:prstGeom prst="rect">
          <a:avLst/>
        </a:prstGeom>
      </xdr:spPr>
    </xdr:pic>
    <xdr:clientData/>
  </xdr:twoCellAnchor>
  <xdr:twoCellAnchor>
    <xdr:from>
      <xdr:col>9</xdr:col>
      <xdr:colOff>6350</xdr:colOff>
      <xdr:row>4975</xdr:row>
      <xdr:rowOff>25400</xdr:rowOff>
    </xdr:from>
    <xdr:to>
      <xdr:col>9</xdr:col>
      <xdr:colOff>885190</xdr:colOff>
      <xdr:row>4975</xdr:row>
      <xdr:rowOff>1209040</xdr:rowOff>
    </xdr:to>
    <xdr:pic>
      <xdr:nvPicPr>
        <xdr:cNvPr id="9190" name="Изображение 9189" descr="resizeПП-00096834"/>
        <xdr:cNvPicPr>
          <a:picLocks noChangeAspect="1"/>
        </xdr:cNvPicPr>
      </xdr:nvPicPr>
      <xdr:blipFill>
        <a:blip xmlns:r="http://schemas.openxmlformats.org/officeDocument/2006/relationships" r:embed="rId3802"/>
        <a:stretch>
          <a:fillRect/>
        </a:stretch>
      </xdr:blipFill>
      <xdr:spPr>
        <a:xfrm>
          <a:off x="7235825" y="5025294750"/>
          <a:ext cx="878840" cy="1183640"/>
        </a:xfrm>
        <a:prstGeom prst="rect">
          <a:avLst/>
        </a:prstGeom>
      </xdr:spPr>
    </xdr:pic>
    <xdr:clientData/>
  </xdr:twoCellAnchor>
  <xdr:twoCellAnchor>
    <xdr:from>
      <xdr:col>9</xdr:col>
      <xdr:colOff>6350</xdr:colOff>
      <xdr:row>4976</xdr:row>
      <xdr:rowOff>25400</xdr:rowOff>
    </xdr:from>
    <xdr:to>
      <xdr:col>9</xdr:col>
      <xdr:colOff>885190</xdr:colOff>
      <xdr:row>4976</xdr:row>
      <xdr:rowOff>1209040</xdr:rowOff>
    </xdr:to>
    <xdr:pic>
      <xdr:nvPicPr>
        <xdr:cNvPr id="9191" name="Изображение 9190" descr="resizeПП-00096835"/>
        <xdr:cNvPicPr>
          <a:picLocks noChangeAspect="1"/>
        </xdr:cNvPicPr>
      </xdr:nvPicPr>
      <xdr:blipFill>
        <a:blip xmlns:r="http://schemas.openxmlformats.org/officeDocument/2006/relationships" r:embed="rId3803"/>
        <a:stretch>
          <a:fillRect/>
        </a:stretch>
      </xdr:blipFill>
      <xdr:spPr>
        <a:xfrm>
          <a:off x="7235825" y="5026517125"/>
          <a:ext cx="878840" cy="1183640"/>
        </a:xfrm>
        <a:prstGeom prst="rect">
          <a:avLst/>
        </a:prstGeom>
      </xdr:spPr>
    </xdr:pic>
    <xdr:clientData/>
  </xdr:twoCellAnchor>
  <xdr:twoCellAnchor>
    <xdr:from>
      <xdr:col>9</xdr:col>
      <xdr:colOff>6350</xdr:colOff>
      <xdr:row>4977</xdr:row>
      <xdr:rowOff>25400</xdr:rowOff>
    </xdr:from>
    <xdr:to>
      <xdr:col>9</xdr:col>
      <xdr:colOff>885190</xdr:colOff>
      <xdr:row>4977</xdr:row>
      <xdr:rowOff>1209040</xdr:rowOff>
    </xdr:to>
    <xdr:pic>
      <xdr:nvPicPr>
        <xdr:cNvPr id="9192" name="Изображение 9191" descr="resizeПП-00096836"/>
        <xdr:cNvPicPr>
          <a:picLocks noChangeAspect="1"/>
        </xdr:cNvPicPr>
      </xdr:nvPicPr>
      <xdr:blipFill>
        <a:blip xmlns:r="http://schemas.openxmlformats.org/officeDocument/2006/relationships" r:embed="rId3804"/>
        <a:stretch>
          <a:fillRect/>
        </a:stretch>
      </xdr:blipFill>
      <xdr:spPr>
        <a:xfrm>
          <a:off x="7235825" y="5027739500"/>
          <a:ext cx="878840" cy="1183640"/>
        </a:xfrm>
        <a:prstGeom prst="rect">
          <a:avLst/>
        </a:prstGeom>
      </xdr:spPr>
    </xdr:pic>
    <xdr:clientData/>
  </xdr:twoCellAnchor>
  <xdr:twoCellAnchor>
    <xdr:from>
      <xdr:col>9</xdr:col>
      <xdr:colOff>6350</xdr:colOff>
      <xdr:row>4978</xdr:row>
      <xdr:rowOff>25400</xdr:rowOff>
    </xdr:from>
    <xdr:to>
      <xdr:col>9</xdr:col>
      <xdr:colOff>885190</xdr:colOff>
      <xdr:row>4978</xdr:row>
      <xdr:rowOff>1209040</xdr:rowOff>
    </xdr:to>
    <xdr:pic>
      <xdr:nvPicPr>
        <xdr:cNvPr id="9193" name="Изображение 9192" descr="resizeПП-00096837"/>
        <xdr:cNvPicPr>
          <a:picLocks noChangeAspect="1"/>
        </xdr:cNvPicPr>
      </xdr:nvPicPr>
      <xdr:blipFill>
        <a:blip xmlns:r="http://schemas.openxmlformats.org/officeDocument/2006/relationships" r:embed="rId3805"/>
        <a:stretch>
          <a:fillRect/>
        </a:stretch>
      </xdr:blipFill>
      <xdr:spPr>
        <a:xfrm>
          <a:off x="7235825" y="5028961875"/>
          <a:ext cx="878840" cy="1183640"/>
        </a:xfrm>
        <a:prstGeom prst="rect">
          <a:avLst/>
        </a:prstGeom>
      </xdr:spPr>
    </xdr:pic>
    <xdr:clientData/>
  </xdr:twoCellAnchor>
  <xdr:twoCellAnchor>
    <xdr:from>
      <xdr:col>9</xdr:col>
      <xdr:colOff>6350</xdr:colOff>
      <xdr:row>4979</xdr:row>
      <xdr:rowOff>25400</xdr:rowOff>
    </xdr:from>
    <xdr:to>
      <xdr:col>9</xdr:col>
      <xdr:colOff>885190</xdr:colOff>
      <xdr:row>4979</xdr:row>
      <xdr:rowOff>1209040</xdr:rowOff>
    </xdr:to>
    <xdr:pic>
      <xdr:nvPicPr>
        <xdr:cNvPr id="9194" name="Изображение 9193" descr="resizeПП-00096925"/>
        <xdr:cNvPicPr>
          <a:picLocks noChangeAspect="1"/>
        </xdr:cNvPicPr>
      </xdr:nvPicPr>
      <xdr:blipFill>
        <a:blip xmlns:r="http://schemas.openxmlformats.org/officeDocument/2006/relationships" r:embed="rId3806"/>
        <a:stretch>
          <a:fillRect/>
        </a:stretch>
      </xdr:blipFill>
      <xdr:spPr>
        <a:xfrm>
          <a:off x="7235825" y="5030184250"/>
          <a:ext cx="878840" cy="1183640"/>
        </a:xfrm>
        <a:prstGeom prst="rect">
          <a:avLst/>
        </a:prstGeom>
      </xdr:spPr>
    </xdr:pic>
    <xdr:clientData/>
  </xdr:twoCellAnchor>
  <xdr:twoCellAnchor>
    <xdr:from>
      <xdr:col>9</xdr:col>
      <xdr:colOff>6350</xdr:colOff>
      <xdr:row>4980</xdr:row>
      <xdr:rowOff>25400</xdr:rowOff>
    </xdr:from>
    <xdr:to>
      <xdr:col>9</xdr:col>
      <xdr:colOff>885190</xdr:colOff>
      <xdr:row>4980</xdr:row>
      <xdr:rowOff>1209040</xdr:rowOff>
    </xdr:to>
    <xdr:pic>
      <xdr:nvPicPr>
        <xdr:cNvPr id="9195" name="Изображение 9194" descr="resizeПП-00096926"/>
        <xdr:cNvPicPr>
          <a:picLocks noChangeAspect="1"/>
        </xdr:cNvPicPr>
      </xdr:nvPicPr>
      <xdr:blipFill>
        <a:blip xmlns:r="http://schemas.openxmlformats.org/officeDocument/2006/relationships" r:embed="rId3807"/>
        <a:stretch>
          <a:fillRect/>
        </a:stretch>
      </xdr:blipFill>
      <xdr:spPr>
        <a:xfrm>
          <a:off x="7235825" y="5031406625"/>
          <a:ext cx="878840" cy="1183640"/>
        </a:xfrm>
        <a:prstGeom prst="rect">
          <a:avLst/>
        </a:prstGeom>
      </xdr:spPr>
    </xdr:pic>
    <xdr:clientData/>
  </xdr:twoCellAnchor>
  <xdr:twoCellAnchor>
    <xdr:from>
      <xdr:col>9</xdr:col>
      <xdr:colOff>6350</xdr:colOff>
      <xdr:row>4981</xdr:row>
      <xdr:rowOff>25400</xdr:rowOff>
    </xdr:from>
    <xdr:to>
      <xdr:col>9</xdr:col>
      <xdr:colOff>885190</xdr:colOff>
      <xdr:row>4981</xdr:row>
      <xdr:rowOff>1209040</xdr:rowOff>
    </xdr:to>
    <xdr:pic>
      <xdr:nvPicPr>
        <xdr:cNvPr id="9196" name="Изображение 9195" descr="resizeПП-00096927"/>
        <xdr:cNvPicPr>
          <a:picLocks noChangeAspect="1"/>
        </xdr:cNvPicPr>
      </xdr:nvPicPr>
      <xdr:blipFill>
        <a:blip xmlns:r="http://schemas.openxmlformats.org/officeDocument/2006/relationships" r:embed="rId3808"/>
        <a:stretch>
          <a:fillRect/>
        </a:stretch>
      </xdr:blipFill>
      <xdr:spPr>
        <a:xfrm>
          <a:off x="7235825" y="5032629000"/>
          <a:ext cx="878840" cy="1183640"/>
        </a:xfrm>
        <a:prstGeom prst="rect">
          <a:avLst/>
        </a:prstGeom>
      </xdr:spPr>
    </xdr:pic>
    <xdr:clientData/>
  </xdr:twoCellAnchor>
  <xdr:twoCellAnchor>
    <xdr:from>
      <xdr:col>9</xdr:col>
      <xdr:colOff>6350</xdr:colOff>
      <xdr:row>4982</xdr:row>
      <xdr:rowOff>25400</xdr:rowOff>
    </xdr:from>
    <xdr:to>
      <xdr:col>9</xdr:col>
      <xdr:colOff>885190</xdr:colOff>
      <xdr:row>4982</xdr:row>
      <xdr:rowOff>1209040</xdr:rowOff>
    </xdr:to>
    <xdr:pic>
      <xdr:nvPicPr>
        <xdr:cNvPr id="9197" name="Изображение 9196" descr="resizeПП-00096928"/>
        <xdr:cNvPicPr>
          <a:picLocks noChangeAspect="1"/>
        </xdr:cNvPicPr>
      </xdr:nvPicPr>
      <xdr:blipFill>
        <a:blip xmlns:r="http://schemas.openxmlformats.org/officeDocument/2006/relationships" r:embed="rId3809"/>
        <a:stretch>
          <a:fillRect/>
        </a:stretch>
      </xdr:blipFill>
      <xdr:spPr>
        <a:xfrm>
          <a:off x="7235825" y="5033851375"/>
          <a:ext cx="878840" cy="1183640"/>
        </a:xfrm>
        <a:prstGeom prst="rect">
          <a:avLst/>
        </a:prstGeom>
      </xdr:spPr>
    </xdr:pic>
    <xdr:clientData/>
  </xdr:twoCellAnchor>
  <xdr:twoCellAnchor>
    <xdr:from>
      <xdr:col>9</xdr:col>
      <xdr:colOff>6350</xdr:colOff>
      <xdr:row>4983</xdr:row>
      <xdr:rowOff>25400</xdr:rowOff>
    </xdr:from>
    <xdr:to>
      <xdr:col>9</xdr:col>
      <xdr:colOff>885190</xdr:colOff>
      <xdr:row>4983</xdr:row>
      <xdr:rowOff>1209040</xdr:rowOff>
    </xdr:to>
    <xdr:pic>
      <xdr:nvPicPr>
        <xdr:cNvPr id="9198" name="Изображение 9197" descr="resizeПП-00096929"/>
        <xdr:cNvPicPr>
          <a:picLocks noChangeAspect="1"/>
        </xdr:cNvPicPr>
      </xdr:nvPicPr>
      <xdr:blipFill>
        <a:blip xmlns:r="http://schemas.openxmlformats.org/officeDocument/2006/relationships" r:embed="rId3810"/>
        <a:stretch>
          <a:fillRect/>
        </a:stretch>
      </xdr:blipFill>
      <xdr:spPr>
        <a:xfrm>
          <a:off x="7235825" y="5035073750"/>
          <a:ext cx="878840" cy="1183640"/>
        </a:xfrm>
        <a:prstGeom prst="rect">
          <a:avLst/>
        </a:prstGeom>
      </xdr:spPr>
    </xdr:pic>
    <xdr:clientData/>
  </xdr:twoCellAnchor>
  <xdr:twoCellAnchor>
    <xdr:from>
      <xdr:col>9</xdr:col>
      <xdr:colOff>6350</xdr:colOff>
      <xdr:row>4984</xdr:row>
      <xdr:rowOff>25400</xdr:rowOff>
    </xdr:from>
    <xdr:to>
      <xdr:col>9</xdr:col>
      <xdr:colOff>885190</xdr:colOff>
      <xdr:row>4984</xdr:row>
      <xdr:rowOff>1209040</xdr:rowOff>
    </xdr:to>
    <xdr:pic>
      <xdr:nvPicPr>
        <xdr:cNvPr id="9199" name="Изображение 9198" descr="resizeПП-00096930"/>
        <xdr:cNvPicPr>
          <a:picLocks noChangeAspect="1"/>
        </xdr:cNvPicPr>
      </xdr:nvPicPr>
      <xdr:blipFill>
        <a:blip xmlns:r="http://schemas.openxmlformats.org/officeDocument/2006/relationships" r:embed="rId3811"/>
        <a:stretch>
          <a:fillRect/>
        </a:stretch>
      </xdr:blipFill>
      <xdr:spPr>
        <a:xfrm>
          <a:off x="7235825" y="5036296125"/>
          <a:ext cx="878840" cy="1183640"/>
        </a:xfrm>
        <a:prstGeom prst="rect">
          <a:avLst/>
        </a:prstGeom>
      </xdr:spPr>
    </xdr:pic>
    <xdr:clientData/>
  </xdr:twoCellAnchor>
  <xdr:twoCellAnchor>
    <xdr:from>
      <xdr:col>9</xdr:col>
      <xdr:colOff>6350</xdr:colOff>
      <xdr:row>4985</xdr:row>
      <xdr:rowOff>25400</xdr:rowOff>
    </xdr:from>
    <xdr:to>
      <xdr:col>9</xdr:col>
      <xdr:colOff>885190</xdr:colOff>
      <xdr:row>4985</xdr:row>
      <xdr:rowOff>1209040</xdr:rowOff>
    </xdr:to>
    <xdr:pic>
      <xdr:nvPicPr>
        <xdr:cNvPr id="9200" name="Изображение 9199" descr="resizeПП-00096931"/>
        <xdr:cNvPicPr>
          <a:picLocks noChangeAspect="1"/>
        </xdr:cNvPicPr>
      </xdr:nvPicPr>
      <xdr:blipFill>
        <a:blip xmlns:r="http://schemas.openxmlformats.org/officeDocument/2006/relationships" r:embed="rId3812"/>
        <a:stretch>
          <a:fillRect/>
        </a:stretch>
      </xdr:blipFill>
      <xdr:spPr>
        <a:xfrm>
          <a:off x="7235825" y="5037518500"/>
          <a:ext cx="878840" cy="1183640"/>
        </a:xfrm>
        <a:prstGeom prst="rect">
          <a:avLst/>
        </a:prstGeom>
      </xdr:spPr>
    </xdr:pic>
    <xdr:clientData/>
  </xdr:twoCellAnchor>
  <xdr:twoCellAnchor>
    <xdr:from>
      <xdr:col>9</xdr:col>
      <xdr:colOff>6350</xdr:colOff>
      <xdr:row>4986</xdr:row>
      <xdr:rowOff>25400</xdr:rowOff>
    </xdr:from>
    <xdr:to>
      <xdr:col>9</xdr:col>
      <xdr:colOff>885190</xdr:colOff>
      <xdr:row>4986</xdr:row>
      <xdr:rowOff>1209040</xdr:rowOff>
    </xdr:to>
    <xdr:pic>
      <xdr:nvPicPr>
        <xdr:cNvPr id="9201" name="Изображение 9200" descr="resizeПП-00096932"/>
        <xdr:cNvPicPr>
          <a:picLocks noChangeAspect="1"/>
        </xdr:cNvPicPr>
      </xdr:nvPicPr>
      <xdr:blipFill>
        <a:blip xmlns:r="http://schemas.openxmlformats.org/officeDocument/2006/relationships" r:embed="rId3813"/>
        <a:stretch>
          <a:fillRect/>
        </a:stretch>
      </xdr:blipFill>
      <xdr:spPr>
        <a:xfrm>
          <a:off x="7235825" y="5038740875"/>
          <a:ext cx="878840" cy="1183640"/>
        </a:xfrm>
        <a:prstGeom prst="rect">
          <a:avLst/>
        </a:prstGeom>
      </xdr:spPr>
    </xdr:pic>
    <xdr:clientData/>
  </xdr:twoCellAnchor>
  <xdr:twoCellAnchor>
    <xdr:from>
      <xdr:col>9</xdr:col>
      <xdr:colOff>6350</xdr:colOff>
      <xdr:row>4987</xdr:row>
      <xdr:rowOff>25400</xdr:rowOff>
    </xdr:from>
    <xdr:to>
      <xdr:col>9</xdr:col>
      <xdr:colOff>885190</xdr:colOff>
      <xdr:row>4987</xdr:row>
      <xdr:rowOff>1209040</xdr:rowOff>
    </xdr:to>
    <xdr:pic>
      <xdr:nvPicPr>
        <xdr:cNvPr id="9202" name="Изображение 9201" descr="resizeПП-00096933"/>
        <xdr:cNvPicPr>
          <a:picLocks noChangeAspect="1"/>
        </xdr:cNvPicPr>
      </xdr:nvPicPr>
      <xdr:blipFill>
        <a:blip xmlns:r="http://schemas.openxmlformats.org/officeDocument/2006/relationships" r:embed="rId3814"/>
        <a:stretch>
          <a:fillRect/>
        </a:stretch>
      </xdr:blipFill>
      <xdr:spPr>
        <a:xfrm>
          <a:off x="7235825" y="5039963250"/>
          <a:ext cx="878840" cy="1183640"/>
        </a:xfrm>
        <a:prstGeom prst="rect">
          <a:avLst/>
        </a:prstGeom>
      </xdr:spPr>
    </xdr:pic>
    <xdr:clientData/>
  </xdr:twoCellAnchor>
  <xdr:twoCellAnchor>
    <xdr:from>
      <xdr:col>9</xdr:col>
      <xdr:colOff>6350</xdr:colOff>
      <xdr:row>4988</xdr:row>
      <xdr:rowOff>25400</xdr:rowOff>
    </xdr:from>
    <xdr:to>
      <xdr:col>9</xdr:col>
      <xdr:colOff>885190</xdr:colOff>
      <xdr:row>4988</xdr:row>
      <xdr:rowOff>1209040</xdr:rowOff>
    </xdr:to>
    <xdr:pic>
      <xdr:nvPicPr>
        <xdr:cNvPr id="9203" name="Изображение 9202" descr="resizeПП-00096934"/>
        <xdr:cNvPicPr>
          <a:picLocks noChangeAspect="1"/>
        </xdr:cNvPicPr>
      </xdr:nvPicPr>
      <xdr:blipFill>
        <a:blip xmlns:r="http://schemas.openxmlformats.org/officeDocument/2006/relationships" r:embed="rId3815"/>
        <a:stretch>
          <a:fillRect/>
        </a:stretch>
      </xdr:blipFill>
      <xdr:spPr>
        <a:xfrm>
          <a:off x="7235825" y="5041185625"/>
          <a:ext cx="878840" cy="1183640"/>
        </a:xfrm>
        <a:prstGeom prst="rect">
          <a:avLst/>
        </a:prstGeom>
      </xdr:spPr>
    </xdr:pic>
    <xdr:clientData/>
  </xdr:twoCellAnchor>
  <xdr:twoCellAnchor>
    <xdr:from>
      <xdr:col>9</xdr:col>
      <xdr:colOff>6350</xdr:colOff>
      <xdr:row>4989</xdr:row>
      <xdr:rowOff>25400</xdr:rowOff>
    </xdr:from>
    <xdr:to>
      <xdr:col>9</xdr:col>
      <xdr:colOff>885190</xdr:colOff>
      <xdr:row>4989</xdr:row>
      <xdr:rowOff>1209040</xdr:rowOff>
    </xdr:to>
    <xdr:pic>
      <xdr:nvPicPr>
        <xdr:cNvPr id="9204" name="Изображение 9203" descr="resizeПП-00096848"/>
        <xdr:cNvPicPr>
          <a:picLocks noChangeAspect="1"/>
        </xdr:cNvPicPr>
      </xdr:nvPicPr>
      <xdr:blipFill>
        <a:blip xmlns:r="http://schemas.openxmlformats.org/officeDocument/2006/relationships" r:embed="rId3816"/>
        <a:stretch>
          <a:fillRect/>
        </a:stretch>
      </xdr:blipFill>
      <xdr:spPr>
        <a:xfrm>
          <a:off x="7235825" y="5042408000"/>
          <a:ext cx="878840" cy="1183640"/>
        </a:xfrm>
        <a:prstGeom prst="rect">
          <a:avLst/>
        </a:prstGeom>
      </xdr:spPr>
    </xdr:pic>
    <xdr:clientData/>
  </xdr:twoCellAnchor>
  <xdr:twoCellAnchor>
    <xdr:from>
      <xdr:col>9</xdr:col>
      <xdr:colOff>6350</xdr:colOff>
      <xdr:row>4990</xdr:row>
      <xdr:rowOff>25400</xdr:rowOff>
    </xdr:from>
    <xdr:to>
      <xdr:col>9</xdr:col>
      <xdr:colOff>885190</xdr:colOff>
      <xdr:row>4990</xdr:row>
      <xdr:rowOff>1209040</xdr:rowOff>
    </xdr:to>
    <xdr:pic>
      <xdr:nvPicPr>
        <xdr:cNvPr id="9205" name="Изображение 9204" descr="resizeПП-00096849"/>
        <xdr:cNvPicPr>
          <a:picLocks noChangeAspect="1"/>
        </xdr:cNvPicPr>
      </xdr:nvPicPr>
      <xdr:blipFill>
        <a:blip xmlns:r="http://schemas.openxmlformats.org/officeDocument/2006/relationships" r:embed="rId3817"/>
        <a:stretch>
          <a:fillRect/>
        </a:stretch>
      </xdr:blipFill>
      <xdr:spPr>
        <a:xfrm>
          <a:off x="7235825" y="5043630375"/>
          <a:ext cx="878840" cy="1183640"/>
        </a:xfrm>
        <a:prstGeom prst="rect">
          <a:avLst/>
        </a:prstGeom>
      </xdr:spPr>
    </xdr:pic>
    <xdr:clientData/>
  </xdr:twoCellAnchor>
  <xdr:twoCellAnchor>
    <xdr:from>
      <xdr:col>9</xdr:col>
      <xdr:colOff>6350</xdr:colOff>
      <xdr:row>4991</xdr:row>
      <xdr:rowOff>25400</xdr:rowOff>
    </xdr:from>
    <xdr:to>
      <xdr:col>9</xdr:col>
      <xdr:colOff>885190</xdr:colOff>
      <xdr:row>4991</xdr:row>
      <xdr:rowOff>1209040</xdr:rowOff>
    </xdr:to>
    <xdr:pic>
      <xdr:nvPicPr>
        <xdr:cNvPr id="9206" name="Изображение 9205" descr="resizeПП-00096850"/>
        <xdr:cNvPicPr>
          <a:picLocks noChangeAspect="1"/>
        </xdr:cNvPicPr>
      </xdr:nvPicPr>
      <xdr:blipFill>
        <a:blip xmlns:r="http://schemas.openxmlformats.org/officeDocument/2006/relationships" r:embed="rId3818"/>
        <a:stretch>
          <a:fillRect/>
        </a:stretch>
      </xdr:blipFill>
      <xdr:spPr>
        <a:xfrm>
          <a:off x="7235825" y="5044852750"/>
          <a:ext cx="878840" cy="1183640"/>
        </a:xfrm>
        <a:prstGeom prst="rect">
          <a:avLst/>
        </a:prstGeom>
      </xdr:spPr>
    </xdr:pic>
    <xdr:clientData/>
  </xdr:twoCellAnchor>
  <xdr:twoCellAnchor>
    <xdr:from>
      <xdr:col>9</xdr:col>
      <xdr:colOff>6350</xdr:colOff>
      <xdr:row>4992</xdr:row>
      <xdr:rowOff>25400</xdr:rowOff>
    </xdr:from>
    <xdr:to>
      <xdr:col>9</xdr:col>
      <xdr:colOff>885190</xdr:colOff>
      <xdr:row>4992</xdr:row>
      <xdr:rowOff>1209040</xdr:rowOff>
    </xdr:to>
    <xdr:pic>
      <xdr:nvPicPr>
        <xdr:cNvPr id="9207" name="Изображение 9206" descr="resizeПП-00096851"/>
        <xdr:cNvPicPr>
          <a:picLocks noChangeAspect="1"/>
        </xdr:cNvPicPr>
      </xdr:nvPicPr>
      <xdr:blipFill>
        <a:blip xmlns:r="http://schemas.openxmlformats.org/officeDocument/2006/relationships" r:embed="rId3819"/>
        <a:stretch>
          <a:fillRect/>
        </a:stretch>
      </xdr:blipFill>
      <xdr:spPr>
        <a:xfrm>
          <a:off x="7235825" y="5046075125"/>
          <a:ext cx="878840" cy="1183640"/>
        </a:xfrm>
        <a:prstGeom prst="rect">
          <a:avLst/>
        </a:prstGeom>
      </xdr:spPr>
    </xdr:pic>
    <xdr:clientData/>
  </xdr:twoCellAnchor>
  <xdr:twoCellAnchor>
    <xdr:from>
      <xdr:col>9</xdr:col>
      <xdr:colOff>6350</xdr:colOff>
      <xdr:row>4993</xdr:row>
      <xdr:rowOff>25400</xdr:rowOff>
    </xdr:from>
    <xdr:to>
      <xdr:col>9</xdr:col>
      <xdr:colOff>885190</xdr:colOff>
      <xdr:row>4993</xdr:row>
      <xdr:rowOff>1209040</xdr:rowOff>
    </xdr:to>
    <xdr:pic>
      <xdr:nvPicPr>
        <xdr:cNvPr id="9208" name="Изображение 9207" descr="resizeПП-00096852"/>
        <xdr:cNvPicPr>
          <a:picLocks noChangeAspect="1"/>
        </xdr:cNvPicPr>
      </xdr:nvPicPr>
      <xdr:blipFill>
        <a:blip xmlns:r="http://schemas.openxmlformats.org/officeDocument/2006/relationships" r:embed="rId3820"/>
        <a:stretch>
          <a:fillRect/>
        </a:stretch>
      </xdr:blipFill>
      <xdr:spPr>
        <a:xfrm>
          <a:off x="7235825" y="5047297500"/>
          <a:ext cx="878840" cy="1183640"/>
        </a:xfrm>
        <a:prstGeom prst="rect">
          <a:avLst/>
        </a:prstGeom>
      </xdr:spPr>
    </xdr:pic>
    <xdr:clientData/>
  </xdr:twoCellAnchor>
  <xdr:twoCellAnchor>
    <xdr:from>
      <xdr:col>9</xdr:col>
      <xdr:colOff>6350</xdr:colOff>
      <xdr:row>4994</xdr:row>
      <xdr:rowOff>25400</xdr:rowOff>
    </xdr:from>
    <xdr:to>
      <xdr:col>9</xdr:col>
      <xdr:colOff>885190</xdr:colOff>
      <xdr:row>4994</xdr:row>
      <xdr:rowOff>1209040</xdr:rowOff>
    </xdr:to>
    <xdr:pic>
      <xdr:nvPicPr>
        <xdr:cNvPr id="9209" name="Изображение 9208" descr="resizeПП-00096853"/>
        <xdr:cNvPicPr>
          <a:picLocks noChangeAspect="1"/>
        </xdr:cNvPicPr>
      </xdr:nvPicPr>
      <xdr:blipFill>
        <a:blip xmlns:r="http://schemas.openxmlformats.org/officeDocument/2006/relationships" r:embed="rId3821"/>
        <a:stretch>
          <a:fillRect/>
        </a:stretch>
      </xdr:blipFill>
      <xdr:spPr>
        <a:xfrm>
          <a:off x="7235825" y="5048519875"/>
          <a:ext cx="878840" cy="1183640"/>
        </a:xfrm>
        <a:prstGeom prst="rect">
          <a:avLst/>
        </a:prstGeom>
      </xdr:spPr>
    </xdr:pic>
    <xdr:clientData/>
  </xdr:twoCellAnchor>
  <xdr:twoCellAnchor>
    <xdr:from>
      <xdr:col>9</xdr:col>
      <xdr:colOff>6350</xdr:colOff>
      <xdr:row>4995</xdr:row>
      <xdr:rowOff>25400</xdr:rowOff>
    </xdr:from>
    <xdr:to>
      <xdr:col>9</xdr:col>
      <xdr:colOff>885190</xdr:colOff>
      <xdr:row>4995</xdr:row>
      <xdr:rowOff>1209040</xdr:rowOff>
    </xdr:to>
    <xdr:pic>
      <xdr:nvPicPr>
        <xdr:cNvPr id="9210" name="Изображение 9209" descr="resizeПП-00096854"/>
        <xdr:cNvPicPr>
          <a:picLocks noChangeAspect="1"/>
        </xdr:cNvPicPr>
      </xdr:nvPicPr>
      <xdr:blipFill>
        <a:blip xmlns:r="http://schemas.openxmlformats.org/officeDocument/2006/relationships" r:embed="rId3822"/>
        <a:stretch>
          <a:fillRect/>
        </a:stretch>
      </xdr:blipFill>
      <xdr:spPr>
        <a:xfrm>
          <a:off x="7235825" y="5049742250"/>
          <a:ext cx="878840" cy="1183640"/>
        </a:xfrm>
        <a:prstGeom prst="rect">
          <a:avLst/>
        </a:prstGeom>
      </xdr:spPr>
    </xdr:pic>
    <xdr:clientData/>
  </xdr:twoCellAnchor>
  <xdr:twoCellAnchor>
    <xdr:from>
      <xdr:col>9</xdr:col>
      <xdr:colOff>6350</xdr:colOff>
      <xdr:row>4996</xdr:row>
      <xdr:rowOff>25400</xdr:rowOff>
    </xdr:from>
    <xdr:to>
      <xdr:col>9</xdr:col>
      <xdr:colOff>885190</xdr:colOff>
      <xdr:row>4996</xdr:row>
      <xdr:rowOff>1209040</xdr:rowOff>
    </xdr:to>
    <xdr:pic>
      <xdr:nvPicPr>
        <xdr:cNvPr id="9211" name="Изображение 9210" descr="resizeПП-00096855"/>
        <xdr:cNvPicPr>
          <a:picLocks noChangeAspect="1"/>
        </xdr:cNvPicPr>
      </xdr:nvPicPr>
      <xdr:blipFill>
        <a:blip xmlns:r="http://schemas.openxmlformats.org/officeDocument/2006/relationships" r:embed="rId3823"/>
        <a:stretch>
          <a:fillRect/>
        </a:stretch>
      </xdr:blipFill>
      <xdr:spPr>
        <a:xfrm>
          <a:off x="7235825" y="5050964625"/>
          <a:ext cx="878840" cy="1183640"/>
        </a:xfrm>
        <a:prstGeom prst="rect">
          <a:avLst/>
        </a:prstGeom>
      </xdr:spPr>
    </xdr:pic>
    <xdr:clientData/>
  </xdr:twoCellAnchor>
  <xdr:twoCellAnchor>
    <xdr:from>
      <xdr:col>9</xdr:col>
      <xdr:colOff>6350</xdr:colOff>
      <xdr:row>4997</xdr:row>
      <xdr:rowOff>25400</xdr:rowOff>
    </xdr:from>
    <xdr:to>
      <xdr:col>9</xdr:col>
      <xdr:colOff>885190</xdr:colOff>
      <xdr:row>4997</xdr:row>
      <xdr:rowOff>1209040</xdr:rowOff>
    </xdr:to>
    <xdr:pic>
      <xdr:nvPicPr>
        <xdr:cNvPr id="9212" name="Изображение 9211" descr="resizeПП-00096856"/>
        <xdr:cNvPicPr>
          <a:picLocks noChangeAspect="1"/>
        </xdr:cNvPicPr>
      </xdr:nvPicPr>
      <xdr:blipFill>
        <a:blip xmlns:r="http://schemas.openxmlformats.org/officeDocument/2006/relationships" r:embed="rId3824"/>
        <a:stretch>
          <a:fillRect/>
        </a:stretch>
      </xdr:blipFill>
      <xdr:spPr>
        <a:xfrm>
          <a:off x="7235825" y="5052187000"/>
          <a:ext cx="878840" cy="1183640"/>
        </a:xfrm>
        <a:prstGeom prst="rect">
          <a:avLst/>
        </a:prstGeom>
      </xdr:spPr>
    </xdr:pic>
    <xdr:clientData/>
  </xdr:twoCellAnchor>
  <xdr:twoCellAnchor>
    <xdr:from>
      <xdr:col>9</xdr:col>
      <xdr:colOff>6350</xdr:colOff>
      <xdr:row>4998</xdr:row>
      <xdr:rowOff>25400</xdr:rowOff>
    </xdr:from>
    <xdr:to>
      <xdr:col>9</xdr:col>
      <xdr:colOff>885190</xdr:colOff>
      <xdr:row>4998</xdr:row>
      <xdr:rowOff>1209040</xdr:rowOff>
    </xdr:to>
    <xdr:pic>
      <xdr:nvPicPr>
        <xdr:cNvPr id="9213" name="Изображение 9212" descr="resizeПП-00096857"/>
        <xdr:cNvPicPr>
          <a:picLocks noChangeAspect="1"/>
        </xdr:cNvPicPr>
      </xdr:nvPicPr>
      <xdr:blipFill>
        <a:blip xmlns:r="http://schemas.openxmlformats.org/officeDocument/2006/relationships" r:embed="rId3825"/>
        <a:stretch>
          <a:fillRect/>
        </a:stretch>
      </xdr:blipFill>
      <xdr:spPr>
        <a:xfrm>
          <a:off x="7235825" y="5053409375"/>
          <a:ext cx="878840" cy="1183640"/>
        </a:xfrm>
        <a:prstGeom prst="rect">
          <a:avLst/>
        </a:prstGeom>
      </xdr:spPr>
    </xdr:pic>
    <xdr:clientData/>
  </xdr:twoCellAnchor>
  <xdr:twoCellAnchor>
    <xdr:from>
      <xdr:col>9</xdr:col>
      <xdr:colOff>6350</xdr:colOff>
      <xdr:row>4999</xdr:row>
      <xdr:rowOff>25400</xdr:rowOff>
    </xdr:from>
    <xdr:to>
      <xdr:col>9</xdr:col>
      <xdr:colOff>885190</xdr:colOff>
      <xdr:row>4999</xdr:row>
      <xdr:rowOff>1209040</xdr:rowOff>
    </xdr:to>
    <xdr:pic>
      <xdr:nvPicPr>
        <xdr:cNvPr id="9214" name="Изображение 9213" descr="resizeПП-00122835"/>
        <xdr:cNvPicPr>
          <a:picLocks noChangeAspect="1"/>
        </xdr:cNvPicPr>
      </xdr:nvPicPr>
      <xdr:blipFill>
        <a:blip xmlns:r="http://schemas.openxmlformats.org/officeDocument/2006/relationships" r:embed="rId3826"/>
        <a:stretch>
          <a:fillRect/>
        </a:stretch>
      </xdr:blipFill>
      <xdr:spPr>
        <a:xfrm>
          <a:off x="7235825" y="5054631750"/>
          <a:ext cx="878840" cy="1183640"/>
        </a:xfrm>
        <a:prstGeom prst="rect">
          <a:avLst/>
        </a:prstGeom>
      </xdr:spPr>
    </xdr:pic>
    <xdr:clientData/>
  </xdr:twoCellAnchor>
  <xdr:twoCellAnchor>
    <xdr:from>
      <xdr:col>9</xdr:col>
      <xdr:colOff>6350</xdr:colOff>
      <xdr:row>5000</xdr:row>
      <xdr:rowOff>25400</xdr:rowOff>
    </xdr:from>
    <xdr:to>
      <xdr:col>9</xdr:col>
      <xdr:colOff>885190</xdr:colOff>
      <xdr:row>5000</xdr:row>
      <xdr:rowOff>1209040</xdr:rowOff>
    </xdr:to>
    <xdr:pic>
      <xdr:nvPicPr>
        <xdr:cNvPr id="9215" name="Изображение 9214" descr="resizeПП-00122837"/>
        <xdr:cNvPicPr>
          <a:picLocks noChangeAspect="1"/>
        </xdr:cNvPicPr>
      </xdr:nvPicPr>
      <xdr:blipFill>
        <a:blip xmlns:r="http://schemas.openxmlformats.org/officeDocument/2006/relationships" r:embed="rId3827"/>
        <a:stretch>
          <a:fillRect/>
        </a:stretch>
      </xdr:blipFill>
      <xdr:spPr>
        <a:xfrm>
          <a:off x="7235825" y="5055854125"/>
          <a:ext cx="878840" cy="1183640"/>
        </a:xfrm>
        <a:prstGeom prst="rect">
          <a:avLst/>
        </a:prstGeom>
      </xdr:spPr>
    </xdr:pic>
    <xdr:clientData/>
  </xdr:twoCellAnchor>
  <xdr:twoCellAnchor>
    <xdr:from>
      <xdr:col>9</xdr:col>
      <xdr:colOff>6350</xdr:colOff>
      <xdr:row>5001</xdr:row>
      <xdr:rowOff>25400</xdr:rowOff>
    </xdr:from>
    <xdr:to>
      <xdr:col>9</xdr:col>
      <xdr:colOff>885190</xdr:colOff>
      <xdr:row>5001</xdr:row>
      <xdr:rowOff>1209040</xdr:rowOff>
    </xdr:to>
    <xdr:pic>
      <xdr:nvPicPr>
        <xdr:cNvPr id="9216" name="Изображение 9215" descr="resizeПП-00122840"/>
        <xdr:cNvPicPr>
          <a:picLocks noChangeAspect="1"/>
        </xdr:cNvPicPr>
      </xdr:nvPicPr>
      <xdr:blipFill>
        <a:blip xmlns:r="http://schemas.openxmlformats.org/officeDocument/2006/relationships" r:embed="rId3828"/>
        <a:stretch>
          <a:fillRect/>
        </a:stretch>
      </xdr:blipFill>
      <xdr:spPr>
        <a:xfrm>
          <a:off x="7235825" y="5057076500"/>
          <a:ext cx="878840" cy="1183640"/>
        </a:xfrm>
        <a:prstGeom prst="rect">
          <a:avLst/>
        </a:prstGeom>
      </xdr:spPr>
    </xdr:pic>
    <xdr:clientData/>
  </xdr:twoCellAnchor>
  <xdr:twoCellAnchor>
    <xdr:from>
      <xdr:col>9</xdr:col>
      <xdr:colOff>6350</xdr:colOff>
      <xdr:row>5002</xdr:row>
      <xdr:rowOff>25400</xdr:rowOff>
    </xdr:from>
    <xdr:to>
      <xdr:col>9</xdr:col>
      <xdr:colOff>885190</xdr:colOff>
      <xdr:row>5002</xdr:row>
      <xdr:rowOff>1209040</xdr:rowOff>
    </xdr:to>
    <xdr:pic>
      <xdr:nvPicPr>
        <xdr:cNvPr id="9217" name="Изображение 9216" descr="resizeПП-00122841"/>
        <xdr:cNvPicPr>
          <a:picLocks noChangeAspect="1"/>
        </xdr:cNvPicPr>
      </xdr:nvPicPr>
      <xdr:blipFill>
        <a:blip xmlns:r="http://schemas.openxmlformats.org/officeDocument/2006/relationships" r:embed="rId3829"/>
        <a:stretch>
          <a:fillRect/>
        </a:stretch>
      </xdr:blipFill>
      <xdr:spPr>
        <a:xfrm>
          <a:off x="7235825" y="5058298875"/>
          <a:ext cx="878840" cy="1183640"/>
        </a:xfrm>
        <a:prstGeom prst="rect">
          <a:avLst/>
        </a:prstGeom>
      </xdr:spPr>
    </xdr:pic>
    <xdr:clientData/>
  </xdr:twoCellAnchor>
  <xdr:twoCellAnchor>
    <xdr:from>
      <xdr:col>9</xdr:col>
      <xdr:colOff>6350</xdr:colOff>
      <xdr:row>5003</xdr:row>
      <xdr:rowOff>25400</xdr:rowOff>
    </xdr:from>
    <xdr:to>
      <xdr:col>9</xdr:col>
      <xdr:colOff>885190</xdr:colOff>
      <xdr:row>5003</xdr:row>
      <xdr:rowOff>1209040</xdr:rowOff>
    </xdr:to>
    <xdr:pic>
      <xdr:nvPicPr>
        <xdr:cNvPr id="9218" name="Изображение 9217" descr="resizeПП-00122843"/>
        <xdr:cNvPicPr>
          <a:picLocks noChangeAspect="1"/>
        </xdr:cNvPicPr>
      </xdr:nvPicPr>
      <xdr:blipFill>
        <a:blip xmlns:r="http://schemas.openxmlformats.org/officeDocument/2006/relationships" r:embed="rId3830"/>
        <a:stretch>
          <a:fillRect/>
        </a:stretch>
      </xdr:blipFill>
      <xdr:spPr>
        <a:xfrm>
          <a:off x="7235825" y="5059521250"/>
          <a:ext cx="878840" cy="1183640"/>
        </a:xfrm>
        <a:prstGeom prst="rect">
          <a:avLst/>
        </a:prstGeom>
      </xdr:spPr>
    </xdr:pic>
    <xdr:clientData/>
  </xdr:twoCellAnchor>
  <xdr:twoCellAnchor>
    <xdr:from>
      <xdr:col>9</xdr:col>
      <xdr:colOff>6350</xdr:colOff>
      <xdr:row>5004</xdr:row>
      <xdr:rowOff>25400</xdr:rowOff>
    </xdr:from>
    <xdr:to>
      <xdr:col>9</xdr:col>
      <xdr:colOff>885190</xdr:colOff>
      <xdr:row>5004</xdr:row>
      <xdr:rowOff>1209040</xdr:rowOff>
    </xdr:to>
    <xdr:pic>
      <xdr:nvPicPr>
        <xdr:cNvPr id="9219" name="Изображение 9218" descr="resizeПП-00122844"/>
        <xdr:cNvPicPr>
          <a:picLocks noChangeAspect="1"/>
        </xdr:cNvPicPr>
      </xdr:nvPicPr>
      <xdr:blipFill>
        <a:blip xmlns:r="http://schemas.openxmlformats.org/officeDocument/2006/relationships" r:embed="rId3831"/>
        <a:stretch>
          <a:fillRect/>
        </a:stretch>
      </xdr:blipFill>
      <xdr:spPr>
        <a:xfrm>
          <a:off x="7235825" y="5060743625"/>
          <a:ext cx="878840" cy="1183640"/>
        </a:xfrm>
        <a:prstGeom prst="rect">
          <a:avLst/>
        </a:prstGeom>
      </xdr:spPr>
    </xdr:pic>
    <xdr:clientData/>
  </xdr:twoCellAnchor>
  <xdr:twoCellAnchor>
    <xdr:from>
      <xdr:col>9</xdr:col>
      <xdr:colOff>6350</xdr:colOff>
      <xdr:row>5005</xdr:row>
      <xdr:rowOff>25400</xdr:rowOff>
    </xdr:from>
    <xdr:to>
      <xdr:col>9</xdr:col>
      <xdr:colOff>885190</xdr:colOff>
      <xdr:row>5005</xdr:row>
      <xdr:rowOff>1209040</xdr:rowOff>
    </xdr:to>
    <xdr:pic>
      <xdr:nvPicPr>
        <xdr:cNvPr id="9220" name="Изображение 9219" descr="resizeПП-00122846"/>
        <xdr:cNvPicPr>
          <a:picLocks noChangeAspect="1"/>
        </xdr:cNvPicPr>
      </xdr:nvPicPr>
      <xdr:blipFill>
        <a:blip xmlns:r="http://schemas.openxmlformats.org/officeDocument/2006/relationships" r:embed="rId3832"/>
        <a:stretch>
          <a:fillRect/>
        </a:stretch>
      </xdr:blipFill>
      <xdr:spPr>
        <a:xfrm>
          <a:off x="7235825" y="5061966000"/>
          <a:ext cx="878840" cy="1183640"/>
        </a:xfrm>
        <a:prstGeom prst="rect">
          <a:avLst/>
        </a:prstGeom>
      </xdr:spPr>
    </xdr:pic>
    <xdr:clientData/>
  </xdr:twoCellAnchor>
  <xdr:twoCellAnchor>
    <xdr:from>
      <xdr:col>9</xdr:col>
      <xdr:colOff>6350</xdr:colOff>
      <xdr:row>5006</xdr:row>
      <xdr:rowOff>25400</xdr:rowOff>
    </xdr:from>
    <xdr:to>
      <xdr:col>9</xdr:col>
      <xdr:colOff>885190</xdr:colOff>
      <xdr:row>5006</xdr:row>
      <xdr:rowOff>1209040</xdr:rowOff>
    </xdr:to>
    <xdr:pic>
      <xdr:nvPicPr>
        <xdr:cNvPr id="9221" name="Изображение 9220" descr="resizeПП-00122847"/>
        <xdr:cNvPicPr>
          <a:picLocks noChangeAspect="1"/>
        </xdr:cNvPicPr>
      </xdr:nvPicPr>
      <xdr:blipFill>
        <a:blip xmlns:r="http://schemas.openxmlformats.org/officeDocument/2006/relationships" r:embed="rId3833"/>
        <a:stretch>
          <a:fillRect/>
        </a:stretch>
      </xdr:blipFill>
      <xdr:spPr>
        <a:xfrm>
          <a:off x="7235825" y="5063188375"/>
          <a:ext cx="878840" cy="1183640"/>
        </a:xfrm>
        <a:prstGeom prst="rect">
          <a:avLst/>
        </a:prstGeom>
      </xdr:spPr>
    </xdr:pic>
    <xdr:clientData/>
  </xdr:twoCellAnchor>
  <xdr:twoCellAnchor>
    <xdr:from>
      <xdr:col>9</xdr:col>
      <xdr:colOff>6350</xdr:colOff>
      <xdr:row>5007</xdr:row>
      <xdr:rowOff>25400</xdr:rowOff>
    </xdr:from>
    <xdr:to>
      <xdr:col>9</xdr:col>
      <xdr:colOff>885190</xdr:colOff>
      <xdr:row>5007</xdr:row>
      <xdr:rowOff>1209040</xdr:rowOff>
    </xdr:to>
    <xdr:pic>
      <xdr:nvPicPr>
        <xdr:cNvPr id="9222" name="Изображение 9221" descr="resizeПП-00122849"/>
        <xdr:cNvPicPr>
          <a:picLocks noChangeAspect="1"/>
        </xdr:cNvPicPr>
      </xdr:nvPicPr>
      <xdr:blipFill>
        <a:blip xmlns:r="http://schemas.openxmlformats.org/officeDocument/2006/relationships" r:embed="rId3834"/>
        <a:stretch>
          <a:fillRect/>
        </a:stretch>
      </xdr:blipFill>
      <xdr:spPr>
        <a:xfrm>
          <a:off x="7235825" y="5064410750"/>
          <a:ext cx="878840" cy="1183640"/>
        </a:xfrm>
        <a:prstGeom prst="rect">
          <a:avLst/>
        </a:prstGeom>
      </xdr:spPr>
    </xdr:pic>
    <xdr:clientData/>
  </xdr:twoCellAnchor>
  <xdr:twoCellAnchor>
    <xdr:from>
      <xdr:col>9</xdr:col>
      <xdr:colOff>6350</xdr:colOff>
      <xdr:row>5008</xdr:row>
      <xdr:rowOff>25400</xdr:rowOff>
    </xdr:from>
    <xdr:to>
      <xdr:col>9</xdr:col>
      <xdr:colOff>885190</xdr:colOff>
      <xdr:row>5008</xdr:row>
      <xdr:rowOff>1209040</xdr:rowOff>
    </xdr:to>
    <xdr:pic>
      <xdr:nvPicPr>
        <xdr:cNvPr id="9223" name="Изображение 9222" descr="resizeПП-00122850"/>
        <xdr:cNvPicPr>
          <a:picLocks noChangeAspect="1"/>
        </xdr:cNvPicPr>
      </xdr:nvPicPr>
      <xdr:blipFill>
        <a:blip xmlns:r="http://schemas.openxmlformats.org/officeDocument/2006/relationships" r:embed="rId3835"/>
        <a:stretch>
          <a:fillRect/>
        </a:stretch>
      </xdr:blipFill>
      <xdr:spPr>
        <a:xfrm>
          <a:off x="7235825" y="5065633125"/>
          <a:ext cx="878840" cy="1183640"/>
        </a:xfrm>
        <a:prstGeom prst="rect">
          <a:avLst/>
        </a:prstGeom>
      </xdr:spPr>
    </xdr:pic>
    <xdr:clientData/>
  </xdr:twoCellAnchor>
  <xdr:twoCellAnchor>
    <xdr:from>
      <xdr:col>9</xdr:col>
      <xdr:colOff>6350</xdr:colOff>
      <xdr:row>5009</xdr:row>
      <xdr:rowOff>25400</xdr:rowOff>
    </xdr:from>
    <xdr:to>
      <xdr:col>9</xdr:col>
      <xdr:colOff>885190</xdr:colOff>
      <xdr:row>5009</xdr:row>
      <xdr:rowOff>1209040</xdr:rowOff>
    </xdr:to>
    <xdr:pic>
      <xdr:nvPicPr>
        <xdr:cNvPr id="9224" name="Изображение 9223" descr="resizeПП-00096894"/>
        <xdr:cNvPicPr>
          <a:picLocks noChangeAspect="1"/>
        </xdr:cNvPicPr>
      </xdr:nvPicPr>
      <xdr:blipFill>
        <a:blip xmlns:r="http://schemas.openxmlformats.org/officeDocument/2006/relationships" r:embed="rId3836"/>
        <a:stretch>
          <a:fillRect/>
        </a:stretch>
      </xdr:blipFill>
      <xdr:spPr>
        <a:xfrm>
          <a:off x="7235825" y="5066855500"/>
          <a:ext cx="878840" cy="1183640"/>
        </a:xfrm>
        <a:prstGeom prst="rect">
          <a:avLst/>
        </a:prstGeom>
      </xdr:spPr>
    </xdr:pic>
    <xdr:clientData/>
  </xdr:twoCellAnchor>
  <xdr:twoCellAnchor>
    <xdr:from>
      <xdr:col>9</xdr:col>
      <xdr:colOff>6350</xdr:colOff>
      <xdr:row>5010</xdr:row>
      <xdr:rowOff>25400</xdr:rowOff>
    </xdr:from>
    <xdr:to>
      <xdr:col>9</xdr:col>
      <xdr:colOff>885190</xdr:colOff>
      <xdr:row>5010</xdr:row>
      <xdr:rowOff>1209040</xdr:rowOff>
    </xdr:to>
    <xdr:pic>
      <xdr:nvPicPr>
        <xdr:cNvPr id="9225" name="Изображение 9224" descr="resizeПП-00096896"/>
        <xdr:cNvPicPr>
          <a:picLocks noChangeAspect="1"/>
        </xdr:cNvPicPr>
      </xdr:nvPicPr>
      <xdr:blipFill>
        <a:blip xmlns:r="http://schemas.openxmlformats.org/officeDocument/2006/relationships" r:embed="rId3837"/>
        <a:stretch>
          <a:fillRect/>
        </a:stretch>
      </xdr:blipFill>
      <xdr:spPr>
        <a:xfrm>
          <a:off x="7235825" y="5068077875"/>
          <a:ext cx="878840" cy="1183640"/>
        </a:xfrm>
        <a:prstGeom prst="rect">
          <a:avLst/>
        </a:prstGeom>
      </xdr:spPr>
    </xdr:pic>
    <xdr:clientData/>
  </xdr:twoCellAnchor>
  <xdr:twoCellAnchor>
    <xdr:from>
      <xdr:col>9</xdr:col>
      <xdr:colOff>6350</xdr:colOff>
      <xdr:row>5011</xdr:row>
      <xdr:rowOff>25400</xdr:rowOff>
    </xdr:from>
    <xdr:to>
      <xdr:col>9</xdr:col>
      <xdr:colOff>885190</xdr:colOff>
      <xdr:row>5011</xdr:row>
      <xdr:rowOff>1209040</xdr:rowOff>
    </xdr:to>
    <xdr:pic>
      <xdr:nvPicPr>
        <xdr:cNvPr id="9226" name="Изображение 9225" descr="resizeПП-00096897"/>
        <xdr:cNvPicPr>
          <a:picLocks noChangeAspect="1"/>
        </xdr:cNvPicPr>
      </xdr:nvPicPr>
      <xdr:blipFill>
        <a:blip xmlns:r="http://schemas.openxmlformats.org/officeDocument/2006/relationships" r:embed="rId3838"/>
        <a:stretch>
          <a:fillRect/>
        </a:stretch>
      </xdr:blipFill>
      <xdr:spPr>
        <a:xfrm>
          <a:off x="7235825" y="5069300250"/>
          <a:ext cx="878840" cy="1183640"/>
        </a:xfrm>
        <a:prstGeom prst="rect">
          <a:avLst/>
        </a:prstGeom>
      </xdr:spPr>
    </xdr:pic>
    <xdr:clientData/>
  </xdr:twoCellAnchor>
  <xdr:twoCellAnchor>
    <xdr:from>
      <xdr:col>9</xdr:col>
      <xdr:colOff>6350</xdr:colOff>
      <xdr:row>5012</xdr:row>
      <xdr:rowOff>25400</xdr:rowOff>
    </xdr:from>
    <xdr:to>
      <xdr:col>9</xdr:col>
      <xdr:colOff>885190</xdr:colOff>
      <xdr:row>5012</xdr:row>
      <xdr:rowOff>1209040</xdr:rowOff>
    </xdr:to>
    <xdr:pic>
      <xdr:nvPicPr>
        <xdr:cNvPr id="9227" name="Изображение 9226" descr="resizeПП-00096898"/>
        <xdr:cNvPicPr>
          <a:picLocks noChangeAspect="1"/>
        </xdr:cNvPicPr>
      </xdr:nvPicPr>
      <xdr:blipFill>
        <a:blip xmlns:r="http://schemas.openxmlformats.org/officeDocument/2006/relationships" r:embed="rId3839"/>
        <a:stretch>
          <a:fillRect/>
        </a:stretch>
      </xdr:blipFill>
      <xdr:spPr>
        <a:xfrm>
          <a:off x="7235825" y="5070522625"/>
          <a:ext cx="878840" cy="1183640"/>
        </a:xfrm>
        <a:prstGeom prst="rect">
          <a:avLst/>
        </a:prstGeom>
      </xdr:spPr>
    </xdr:pic>
    <xdr:clientData/>
  </xdr:twoCellAnchor>
  <xdr:twoCellAnchor>
    <xdr:from>
      <xdr:col>9</xdr:col>
      <xdr:colOff>6350</xdr:colOff>
      <xdr:row>5013</xdr:row>
      <xdr:rowOff>25400</xdr:rowOff>
    </xdr:from>
    <xdr:to>
      <xdr:col>9</xdr:col>
      <xdr:colOff>885190</xdr:colOff>
      <xdr:row>5013</xdr:row>
      <xdr:rowOff>1209040</xdr:rowOff>
    </xdr:to>
    <xdr:pic>
      <xdr:nvPicPr>
        <xdr:cNvPr id="9228" name="Изображение 9227" descr="resizeПП-00096899"/>
        <xdr:cNvPicPr>
          <a:picLocks noChangeAspect="1"/>
        </xdr:cNvPicPr>
      </xdr:nvPicPr>
      <xdr:blipFill>
        <a:blip xmlns:r="http://schemas.openxmlformats.org/officeDocument/2006/relationships" r:embed="rId3840"/>
        <a:stretch>
          <a:fillRect/>
        </a:stretch>
      </xdr:blipFill>
      <xdr:spPr>
        <a:xfrm>
          <a:off x="7235825" y="5071745000"/>
          <a:ext cx="878840" cy="1183640"/>
        </a:xfrm>
        <a:prstGeom prst="rect">
          <a:avLst/>
        </a:prstGeom>
      </xdr:spPr>
    </xdr:pic>
    <xdr:clientData/>
  </xdr:twoCellAnchor>
  <xdr:twoCellAnchor>
    <xdr:from>
      <xdr:col>9</xdr:col>
      <xdr:colOff>6350</xdr:colOff>
      <xdr:row>5014</xdr:row>
      <xdr:rowOff>25400</xdr:rowOff>
    </xdr:from>
    <xdr:to>
      <xdr:col>9</xdr:col>
      <xdr:colOff>885190</xdr:colOff>
      <xdr:row>5014</xdr:row>
      <xdr:rowOff>1209040</xdr:rowOff>
    </xdr:to>
    <xdr:pic>
      <xdr:nvPicPr>
        <xdr:cNvPr id="9229" name="Изображение 9228" descr="resizeПП-00096900"/>
        <xdr:cNvPicPr>
          <a:picLocks noChangeAspect="1"/>
        </xdr:cNvPicPr>
      </xdr:nvPicPr>
      <xdr:blipFill>
        <a:blip xmlns:r="http://schemas.openxmlformats.org/officeDocument/2006/relationships" r:embed="rId3841"/>
        <a:stretch>
          <a:fillRect/>
        </a:stretch>
      </xdr:blipFill>
      <xdr:spPr>
        <a:xfrm>
          <a:off x="7235825" y="5072967375"/>
          <a:ext cx="878840" cy="1183640"/>
        </a:xfrm>
        <a:prstGeom prst="rect">
          <a:avLst/>
        </a:prstGeom>
      </xdr:spPr>
    </xdr:pic>
    <xdr:clientData/>
  </xdr:twoCellAnchor>
  <xdr:twoCellAnchor>
    <xdr:from>
      <xdr:col>9</xdr:col>
      <xdr:colOff>6350</xdr:colOff>
      <xdr:row>5015</xdr:row>
      <xdr:rowOff>25400</xdr:rowOff>
    </xdr:from>
    <xdr:to>
      <xdr:col>9</xdr:col>
      <xdr:colOff>885190</xdr:colOff>
      <xdr:row>5015</xdr:row>
      <xdr:rowOff>1209040</xdr:rowOff>
    </xdr:to>
    <xdr:pic>
      <xdr:nvPicPr>
        <xdr:cNvPr id="9230" name="Изображение 9229" descr="resizeПП-00096901"/>
        <xdr:cNvPicPr>
          <a:picLocks noChangeAspect="1"/>
        </xdr:cNvPicPr>
      </xdr:nvPicPr>
      <xdr:blipFill>
        <a:blip xmlns:r="http://schemas.openxmlformats.org/officeDocument/2006/relationships" r:embed="rId3842"/>
        <a:stretch>
          <a:fillRect/>
        </a:stretch>
      </xdr:blipFill>
      <xdr:spPr>
        <a:xfrm>
          <a:off x="7235825" y="5074189750"/>
          <a:ext cx="878840" cy="1183640"/>
        </a:xfrm>
        <a:prstGeom prst="rect">
          <a:avLst/>
        </a:prstGeom>
      </xdr:spPr>
    </xdr:pic>
    <xdr:clientData/>
  </xdr:twoCellAnchor>
  <xdr:twoCellAnchor>
    <xdr:from>
      <xdr:col>9</xdr:col>
      <xdr:colOff>6350</xdr:colOff>
      <xdr:row>5016</xdr:row>
      <xdr:rowOff>25400</xdr:rowOff>
    </xdr:from>
    <xdr:to>
      <xdr:col>9</xdr:col>
      <xdr:colOff>885190</xdr:colOff>
      <xdr:row>5016</xdr:row>
      <xdr:rowOff>1209040</xdr:rowOff>
    </xdr:to>
    <xdr:pic>
      <xdr:nvPicPr>
        <xdr:cNvPr id="9231" name="Изображение 9230" descr="resizeПП-00096903"/>
        <xdr:cNvPicPr>
          <a:picLocks noChangeAspect="1"/>
        </xdr:cNvPicPr>
      </xdr:nvPicPr>
      <xdr:blipFill>
        <a:blip xmlns:r="http://schemas.openxmlformats.org/officeDocument/2006/relationships" r:embed="rId3843"/>
        <a:stretch>
          <a:fillRect/>
        </a:stretch>
      </xdr:blipFill>
      <xdr:spPr>
        <a:xfrm>
          <a:off x="7235825" y="5075412125"/>
          <a:ext cx="878840" cy="1183640"/>
        </a:xfrm>
        <a:prstGeom prst="rect">
          <a:avLst/>
        </a:prstGeom>
      </xdr:spPr>
    </xdr:pic>
    <xdr:clientData/>
  </xdr:twoCellAnchor>
  <xdr:twoCellAnchor>
    <xdr:from>
      <xdr:col>9</xdr:col>
      <xdr:colOff>6350</xdr:colOff>
      <xdr:row>5017</xdr:row>
      <xdr:rowOff>25400</xdr:rowOff>
    </xdr:from>
    <xdr:to>
      <xdr:col>9</xdr:col>
      <xdr:colOff>885190</xdr:colOff>
      <xdr:row>5017</xdr:row>
      <xdr:rowOff>1209040</xdr:rowOff>
    </xdr:to>
    <xdr:pic>
      <xdr:nvPicPr>
        <xdr:cNvPr id="9232" name="Изображение 9231" descr="resizeПП-00096904"/>
        <xdr:cNvPicPr>
          <a:picLocks noChangeAspect="1"/>
        </xdr:cNvPicPr>
      </xdr:nvPicPr>
      <xdr:blipFill>
        <a:blip xmlns:r="http://schemas.openxmlformats.org/officeDocument/2006/relationships" r:embed="rId3844"/>
        <a:stretch>
          <a:fillRect/>
        </a:stretch>
      </xdr:blipFill>
      <xdr:spPr>
        <a:xfrm>
          <a:off x="7235825" y="5076634500"/>
          <a:ext cx="878840" cy="1183640"/>
        </a:xfrm>
        <a:prstGeom prst="rect">
          <a:avLst/>
        </a:prstGeom>
      </xdr:spPr>
    </xdr:pic>
    <xdr:clientData/>
  </xdr:twoCellAnchor>
  <xdr:twoCellAnchor>
    <xdr:from>
      <xdr:col>9</xdr:col>
      <xdr:colOff>6350</xdr:colOff>
      <xdr:row>5018</xdr:row>
      <xdr:rowOff>25400</xdr:rowOff>
    </xdr:from>
    <xdr:to>
      <xdr:col>9</xdr:col>
      <xdr:colOff>885190</xdr:colOff>
      <xdr:row>5018</xdr:row>
      <xdr:rowOff>1209040</xdr:rowOff>
    </xdr:to>
    <xdr:pic>
      <xdr:nvPicPr>
        <xdr:cNvPr id="9233" name="Изображение 9232" descr="resizeПП-00163794"/>
        <xdr:cNvPicPr>
          <a:picLocks noChangeAspect="1"/>
        </xdr:cNvPicPr>
      </xdr:nvPicPr>
      <xdr:blipFill>
        <a:blip xmlns:r="http://schemas.openxmlformats.org/officeDocument/2006/relationships" r:embed="rId3845"/>
        <a:stretch>
          <a:fillRect/>
        </a:stretch>
      </xdr:blipFill>
      <xdr:spPr>
        <a:xfrm>
          <a:off x="7235825" y="5077856875"/>
          <a:ext cx="878840" cy="1183640"/>
        </a:xfrm>
        <a:prstGeom prst="rect">
          <a:avLst/>
        </a:prstGeom>
      </xdr:spPr>
    </xdr:pic>
    <xdr:clientData/>
  </xdr:twoCellAnchor>
  <xdr:twoCellAnchor>
    <xdr:from>
      <xdr:col>9</xdr:col>
      <xdr:colOff>6350</xdr:colOff>
      <xdr:row>5019</xdr:row>
      <xdr:rowOff>25400</xdr:rowOff>
    </xdr:from>
    <xdr:to>
      <xdr:col>9</xdr:col>
      <xdr:colOff>885190</xdr:colOff>
      <xdr:row>5019</xdr:row>
      <xdr:rowOff>1209040</xdr:rowOff>
    </xdr:to>
    <xdr:pic>
      <xdr:nvPicPr>
        <xdr:cNvPr id="9234" name="Изображение 9233" descr="resizeПП-00163803"/>
        <xdr:cNvPicPr>
          <a:picLocks noChangeAspect="1"/>
        </xdr:cNvPicPr>
      </xdr:nvPicPr>
      <xdr:blipFill>
        <a:blip xmlns:r="http://schemas.openxmlformats.org/officeDocument/2006/relationships" r:embed="rId3846"/>
        <a:stretch>
          <a:fillRect/>
        </a:stretch>
      </xdr:blipFill>
      <xdr:spPr>
        <a:xfrm>
          <a:off x="7235825" y="5079079250"/>
          <a:ext cx="878840" cy="1183640"/>
        </a:xfrm>
        <a:prstGeom prst="rect">
          <a:avLst/>
        </a:prstGeom>
      </xdr:spPr>
    </xdr:pic>
    <xdr:clientData/>
  </xdr:twoCellAnchor>
  <xdr:twoCellAnchor>
    <xdr:from>
      <xdr:col>9</xdr:col>
      <xdr:colOff>6350</xdr:colOff>
      <xdr:row>5020</xdr:row>
      <xdr:rowOff>25400</xdr:rowOff>
    </xdr:from>
    <xdr:to>
      <xdr:col>9</xdr:col>
      <xdr:colOff>885190</xdr:colOff>
      <xdr:row>5020</xdr:row>
      <xdr:rowOff>1209040</xdr:rowOff>
    </xdr:to>
    <xdr:pic>
      <xdr:nvPicPr>
        <xdr:cNvPr id="9235" name="Изображение 9234" descr="resizeПП-00163805"/>
        <xdr:cNvPicPr>
          <a:picLocks noChangeAspect="1"/>
        </xdr:cNvPicPr>
      </xdr:nvPicPr>
      <xdr:blipFill>
        <a:blip xmlns:r="http://schemas.openxmlformats.org/officeDocument/2006/relationships" r:embed="rId3847"/>
        <a:stretch>
          <a:fillRect/>
        </a:stretch>
      </xdr:blipFill>
      <xdr:spPr>
        <a:xfrm>
          <a:off x="7235825" y="5080301625"/>
          <a:ext cx="878840" cy="1183640"/>
        </a:xfrm>
        <a:prstGeom prst="rect">
          <a:avLst/>
        </a:prstGeom>
      </xdr:spPr>
    </xdr:pic>
    <xdr:clientData/>
  </xdr:twoCellAnchor>
  <xdr:twoCellAnchor>
    <xdr:from>
      <xdr:col>9</xdr:col>
      <xdr:colOff>6350</xdr:colOff>
      <xdr:row>5021</xdr:row>
      <xdr:rowOff>25400</xdr:rowOff>
    </xdr:from>
    <xdr:to>
      <xdr:col>9</xdr:col>
      <xdr:colOff>885190</xdr:colOff>
      <xdr:row>5021</xdr:row>
      <xdr:rowOff>1209040</xdr:rowOff>
    </xdr:to>
    <xdr:pic>
      <xdr:nvPicPr>
        <xdr:cNvPr id="9236" name="Изображение 9235" descr="resizeПП-00163807"/>
        <xdr:cNvPicPr>
          <a:picLocks noChangeAspect="1"/>
        </xdr:cNvPicPr>
      </xdr:nvPicPr>
      <xdr:blipFill>
        <a:blip xmlns:r="http://schemas.openxmlformats.org/officeDocument/2006/relationships" r:embed="rId3848"/>
        <a:stretch>
          <a:fillRect/>
        </a:stretch>
      </xdr:blipFill>
      <xdr:spPr>
        <a:xfrm>
          <a:off x="7235825" y="5081524000"/>
          <a:ext cx="878840" cy="1183640"/>
        </a:xfrm>
        <a:prstGeom prst="rect">
          <a:avLst/>
        </a:prstGeom>
      </xdr:spPr>
    </xdr:pic>
    <xdr:clientData/>
  </xdr:twoCellAnchor>
  <xdr:twoCellAnchor>
    <xdr:from>
      <xdr:col>9</xdr:col>
      <xdr:colOff>6350</xdr:colOff>
      <xdr:row>5022</xdr:row>
      <xdr:rowOff>25400</xdr:rowOff>
    </xdr:from>
    <xdr:to>
      <xdr:col>9</xdr:col>
      <xdr:colOff>885190</xdr:colOff>
      <xdr:row>5022</xdr:row>
      <xdr:rowOff>1209040</xdr:rowOff>
    </xdr:to>
    <xdr:pic>
      <xdr:nvPicPr>
        <xdr:cNvPr id="9237" name="Изображение 9236" descr="resizeПП-00096881"/>
        <xdr:cNvPicPr>
          <a:picLocks noChangeAspect="1"/>
        </xdr:cNvPicPr>
      </xdr:nvPicPr>
      <xdr:blipFill>
        <a:blip xmlns:r="http://schemas.openxmlformats.org/officeDocument/2006/relationships" r:embed="rId3849"/>
        <a:stretch>
          <a:fillRect/>
        </a:stretch>
      </xdr:blipFill>
      <xdr:spPr>
        <a:xfrm>
          <a:off x="7235825" y="5082746375"/>
          <a:ext cx="878840" cy="1183640"/>
        </a:xfrm>
        <a:prstGeom prst="rect">
          <a:avLst/>
        </a:prstGeom>
      </xdr:spPr>
    </xdr:pic>
    <xdr:clientData/>
  </xdr:twoCellAnchor>
  <xdr:twoCellAnchor>
    <xdr:from>
      <xdr:col>9</xdr:col>
      <xdr:colOff>6350</xdr:colOff>
      <xdr:row>5023</xdr:row>
      <xdr:rowOff>25400</xdr:rowOff>
    </xdr:from>
    <xdr:to>
      <xdr:col>9</xdr:col>
      <xdr:colOff>885190</xdr:colOff>
      <xdr:row>5023</xdr:row>
      <xdr:rowOff>1209040</xdr:rowOff>
    </xdr:to>
    <xdr:pic>
      <xdr:nvPicPr>
        <xdr:cNvPr id="9238" name="Изображение 9237" descr="resizeПП-00096883"/>
        <xdr:cNvPicPr>
          <a:picLocks noChangeAspect="1"/>
        </xdr:cNvPicPr>
      </xdr:nvPicPr>
      <xdr:blipFill>
        <a:blip xmlns:r="http://schemas.openxmlformats.org/officeDocument/2006/relationships" r:embed="rId3850"/>
        <a:stretch>
          <a:fillRect/>
        </a:stretch>
      </xdr:blipFill>
      <xdr:spPr>
        <a:xfrm>
          <a:off x="7235825" y="5083968750"/>
          <a:ext cx="878840" cy="1183640"/>
        </a:xfrm>
        <a:prstGeom prst="rect">
          <a:avLst/>
        </a:prstGeom>
      </xdr:spPr>
    </xdr:pic>
    <xdr:clientData/>
  </xdr:twoCellAnchor>
  <xdr:twoCellAnchor>
    <xdr:from>
      <xdr:col>9</xdr:col>
      <xdr:colOff>6350</xdr:colOff>
      <xdr:row>5024</xdr:row>
      <xdr:rowOff>25400</xdr:rowOff>
    </xdr:from>
    <xdr:to>
      <xdr:col>9</xdr:col>
      <xdr:colOff>885190</xdr:colOff>
      <xdr:row>5024</xdr:row>
      <xdr:rowOff>1209040</xdr:rowOff>
    </xdr:to>
    <xdr:pic>
      <xdr:nvPicPr>
        <xdr:cNvPr id="9239" name="Изображение 9238" descr="resizeПП-00096884"/>
        <xdr:cNvPicPr>
          <a:picLocks noChangeAspect="1"/>
        </xdr:cNvPicPr>
      </xdr:nvPicPr>
      <xdr:blipFill>
        <a:blip xmlns:r="http://schemas.openxmlformats.org/officeDocument/2006/relationships" r:embed="rId3851"/>
        <a:stretch>
          <a:fillRect/>
        </a:stretch>
      </xdr:blipFill>
      <xdr:spPr>
        <a:xfrm>
          <a:off x="7235825" y="5085191125"/>
          <a:ext cx="878840" cy="1183640"/>
        </a:xfrm>
        <a:prstGeom prst="rect">
          <a:avLst/>
        </a:prstGeom>
      </xdr:spPr>
    </xdr:pic>
    <xdr:clientData/>
  </xdr:twoCellAnchor>
  <xdr:twoCellAnchor>
    <xdr:from>
      <xdr:col>9</xdr:col>
      <xdr:colOff>6350</xdr:colOff>
      <xdr:row>5025</xdr:row>
      <xdr:rowOff>25400</xdr:rowOff>
    </xdr:from>
    <xdr:to>
      <xdr:col>9</xdr:col>
      <xdr:colOff>885190</xdr:colOff>
      <xdr:row>5025</xdr:row>
      <xdr:rowOff>1209040</xdr:rowOff>
    </xdr:to>
    <xdr:pic>
      <xdr:nvPicPr>
        <xdr:cNvPr id="9240" name="Изображение 9239" descr="resizeПП-00096885"/>
        <xdr:cNvPicPr>
          <a:picLocks noChangeAspect="1"/>
        </xdr:cNvPicPr>
      </xdr:nvPicPr>
      <xdr:blipFill>
        <a:blip xmlns:r="http://schemas.openxmlformats.org/officeDocument/2006/relationships" r:embed="rId3852"/>
        <a:stretch>
          <a:fillRect/>
        </a:stretch>
      </xdr:blipFill>
      <xdr:spPr>
        <a:xfrm>
          <a:off x="7235825" y="5086413500"/>
          <a:ext cx="878840" cy="1183640"/>
        </a:xfrm>
        <a:prstGeom prst="rect">
          <a:avLst/>
        </a:prstGeom>
      </xdr:spPr>
    </xdr:pic>
    <xdr:clientData/>
  </xdr:twoCellAnchor>
  <xdr:twoCellAnchor>
    <xdr:from>
      <xdr:col>9</xdr:col>
      <xdr:colOff>6350</xdr:colOff>
      <xdr:row>5026</xdr:row>
      <xdr:rowOff>25400</xdr:rowOff>
    </xdr:from>
    <xdr:to>
      <xdr:col>9</xdr:col>
      <xdr:colOff>885190</xdr:colOff>
      <xdr:row>5026</xdr:row>
      <xdr:rowOff>1209040</xdr:rowOff>
    </xdr:to>
    <xdr:pic>
      <xdr:nvPicPr>
        <xdr:cNvPr id="9241" name="Изображение 9240" descr="resizeПП-00096886"/>
        <xdr:cNvPicPr>
          <a:picLocks noChangeAspect="1"/>
        </xdr:cNvPicPr>
      </xdr:nvPicPr>
      <xdr:blipFill>
        <a:blip xmlns:r="http://schemas.openxmlformats.org/officeDocument/2006/relationships" r:embed="rId3853"/>
        <a:stretch>
          <a:fillRect/>
        </a:stretch>
      </xdr:blipFill>
      <xdr:spPr>
        <a:xfrm>
          <a:off x="7235825" y="5087635875"/>
          <a:ext cx="878840" cy="1183640"/>
        </a:xfrm>
        <a:prstGeom prst="rect">
          <a:avLst/>
        </a:prstGeom>
      </xdr:spPr>
    </xdr:pic>
    <xdr:clientData/>
  </xdr:twoCellAnchor>
  <xdr:twoCellAnchor>
    <xdr:from>
      <xdr:col>9</xdr:col>
      <xdr:colOff>6350</xdr:colOff>
      <xdr:row>5027</xdr:row>
      <xdr:rowOff>25400</xdr:rowOff>
    </xdr:from>
    <xdr:to>
      <xdr:col>9</xdr:col>
      <xdr:colOff>885190</xdr:colOff>
      <xdr:row>5027</xdr:row>
      <xdr:rowOff>1209040</xdr:rowOff>
    </xdr:to>
    <xdr:pic>
      <xdr:nvPicPr>
        <xdr:cNvPr id="9242" name="Изображение 9241" descr="resizeПП-00096887"/>
        <xdr:cNvPicPr>
          <a:picLocks noChangeAspect="1"/>
        </xdr:cNvPicPr>
      </xdr:nvPicPr>
      <xdr:blipFill>
        <a:blip xmlns:r="http://schemas.openxmlformats.org/officeDocument/2006/relationships" r:embed="rId3854"/>
        <a:stretch>
          <a:fillRect/>
        </a:stretch>
      </xdr:blipFill>
      <xdr:spPr>
        <a:xfrm>
          <a:off x="7235825" y="5088858250"/>
          <a:ext cx="878840" cy="1183640"/>
        </a:xfrm>
        <a:prstGeom prst="rect">
          <a:avLst/>
        </a:prstGeom>
      </xdr:spPr>
    </xdr:pic>
    <xdr:clientData/>
  </xdr:twoCellAnchor>
  <xdr:twoCellAnchor>
    <xdr:from>
      <xdr:col>9</xdr:col>
      <xdr:colOff>6350</xdr:colOff>
      <xdr:row>5028</xdr:row>
      <xdr:rowOff>25400</xdr:rowOff>
    </xdr:from>
    <xdr:to>
      <xdr:col>9</xdr:col>
      <xdr:colOff>885190</xdr:colOff>
      <xdr:row>5028</xdr:row>
      <xdr:rowOff>1209040</xdr:rowOff>
    </xdr:to>
    <xdr:pic>
      <xdr:nvPicPr>
        <xdr:cNvPr id="9243" name="Изображение 9242" descr="resizeПП-00096891"/>
        <xdr:cNvPicPr>
          <a:picLocks noChangeAspect="1"/>
        </xdr:cNvPicPr>
      </xdr:nvPicPr>
      <xdr:blipFill>
        <a:blip xmlns:r="http://schemas.openxmlformats.org/officeDocument/2006/relationships" r:embed="rId3855"/>
        <a:stretch>
          <a:fillRect/>
        </a:stretch>
      </xdr:blipFill>
      <xdr:spPr>
        <a:xfrm>
          <a:off x="7235825" y="5090080625"/>
          <a:ext cx="878840" cy="1183640"/>
        </a:xfrm>
        <a:prstGeom prst="rect">
          <a:avLst/>
        </a:prstGeom>
      </xdr:spPr>
    </xdr:pic>
    <xdr:clientData/>
  </xdr:twoCellAnchor>
  <xdr:twoCellAnchor>
    <xdr:from>
      <xdr:col>9</xdr:col>
      <xdr:colOff>6350</xdr:colOff>
      <xdr:row>5029</xdr:row>
      <xdr:rowOff>25400</xdr:rowOff>
    </xdr:from>
    <xdr:to>
      <xdr:col>9</xdr:col>
      <xdr:colOff>885190</xdr:colOff>
      <xdr:row>5029</xdr:row>
      <xdr:rowOff>1209040</xdr:rowOff>
    </xdr:to>
    <xdr:pic>
      <xdr:nvPicPr>
        <xdr:cNvPr id="9244" name="Изображение 9243" descr="resizeПП-00096892"/>
        <xdr:cNvPicPr>
          <a:picLocks noChangeAspect="1"/>
        </xdr:cNvPicPr>
      </xdr:nvPicPr>
      <xdr:blipFill>
        <a:blip xmlns:r="http://schemas.openxmlformats.org/officeDocument/2006/relationships" r:embed="rId3856"/>
        <a:stretch>
          <a:fillRect/>
        </a:stretch>
      </xdr:blipFill>
      <xdr:spPr>
        <a:xfrm>
          <a:off x="7235825" y="5091303000"/>
          <a:ext cx="878840" cy="1183640"/>
        </a:xfrm>
        <a:prstGeom prst="rect">
          <a:avLst/>
        </a:prstGeom>
      </xdr:spPr>
    </xdr:pic>
    <xdr:clientData/>
  </xdr:twoCellAnchor>
  <xdr:twoCellAnchor>
    <xdr:from>
      <xdr:col>9</xdr:col>
      <xdr:colOff>6350</xdr:colOff>
      <xdr:row>5030</xdr:row>
      <xdr:rowOff>25400</xdr:rowOff>
    </xdr:from>
    <xdr:to>
      <xdr:col>9</xdr:col>
      <xdr:colOff>885190</xdr:colOff>
      <xdr:row>5030</xdr:row>
      <xdr:rowOff>1209040</xdr:rowOff>
    </xdr:to>
    <xdr:pic>
      <xdr:nvPicPr>
        <xdr:cNvPr id="9245" name="Изображение 9244" descr="resizeПП-00096893"/>
        <xdr:cNvPicPr>
          <a:picLocks noChangeAspect="1"/>
        </xdr:cNvPicPr>
      </xdr:nvPicPr>
      <xdr:blipFill>
        <a:blip xmlns:r="http://schemas.openxmlformats.org/officeDocument/2006/relationships" r:embed="rId3857"/>
        <a:stretch>
          <a:fillRect/>
        </a:stretch>
      </xdr:blipFill>
      <xdr:spPr>
        <a:xfrm>
          <a:off x="7235825" y="5092525375"/>
          <a:ext cx="878840" cy="1183640"/>
        </a:xfrm>
        <a:prstGeom prst="rect">
          <a:avLst/>
        </a:prstGeom>
      </xdr:spPr>
    </xdr:pic>
    <xdr:clientData/>
  </xdr:twoCellAnchor>
  <xdr:twoCellAnchor>
    <xdr:from>
      <xdr:col>9</xdr:col>
      <xdr:colOff>6350</xdr:colOff>
      <xdr:row>5031</xdr:row>
      <xdr:rowOff>25400</xdr:rowOff>
    </xdr:from>
    <xdr:to>
      <xdr:col>9</xdr:col>
      <xdr:colOff>885190</xdr:colOff>
      <xdr:row>5031</xdr:row>
      <xdr:rowOff>1209040</xdr:rowOff>
    </xdr:to>
    <xdr:pic>
      <xdr:nvPicPr>
        <xdr:cNvPr id="9246" name="Изображение 9245" descr="resizeПП-00122688"/>
        <xdr:cNvPicPr>
          <a:picLocks noChangeAspect="1"/>
        </xdr:cNvPicPr>
      </xdr:nvPicPr>
      <xdr:blipFill>
        <a:blip xmlns:r="http://schemas.openxmlformats.org/officeDocument/2006/relationships" r:embed="rId3858"/>
        <a:stretch>
          <a:fillRect/>
        </a:stretch>
      </xdr:blipFill>
      <xdr:spPr>
        <a:xfrm>
          <a:off x="7235825" y="5093747750"/>
          <a:ext cx="878840" cy="1183640"/>
        </a:xfrm>
        <a:prstGeom prst="rect">
          <a:avLst/>
        </a:prstGeom>
      </xdr:spPr>
    </xdr:pic>
    <xdr:clientData/>
  </xdr:twoCellAnchor>
  <xdr:twoCellAnchor>
    <xdr:from>
      <xdr:col>9</xdr:col>
      <xdr:colOff>6350</xdr:colOff>
      <xdr:row>5032</xdr:row>
      <xdr:rowOff>25400</xdr:rowOff>
    </xdr:from>
    <xdr:to>
      <xdr:col>9</xdr:col>
      <xdr:colOff>885190</xdr:colOff>
      <xdr:row>5032</xdr:row>
      <xdr:rowOff>1209040</xdr:rowOff>
    </xdr:to>
    <xdr:pic>
      <xdr:nvPicPr>
        <xdr:cNvPr id="9247" name="Изображение 9246" descr="resizeПП-00122689"/>
        <xdr:cNvPicPr>
          <a:picLocks noChangeAspect="1"/>
        </xdr:cNvPicPr>
      </xdr:nvPicPr>
      <xdr:blipFill>
        <a:blip xmlns:r="http://schemas.openxmlformats.org/officeDocument/2006/relationships" r:embed="rId3859"/>
        <a:stretch>
          <a:fillRect/>
        </a:stretch>
      </xdr:blipFill>
      <xdr:spPr>
        <a:xfrm>
          <a:off x="7235825" y="5094970125"/>
          <a:ext cx="878840" cy="1183640"/>
        </a:xfrm>
        <a:prstGeom prst="rect">
          <a:avLst/>
        </a:prstGeom>
      </xdr:spPr>
    </xdr:pic>
    <xdr:clientData/>
  </xdr:twoCellAnchor>
  <xdr:twoCellAnchor>
    <xdr:from>
      <xdr:col>9</xdr:col>
      <xdr:colOff>6350</xdr:colOff>
      <xdr:row>5033</xdr:row>
      <xdr:rowOff>25400</xdr:rowOff>
    </xdr:from>
    <xdr:to>
      <xdr:col>9</xdr:col>
      <xdr:colOff>885190</xdr:colOff>
      <xdr:row>5033</xdr:row>
      <xdr:rowOff>1209040</xdr:rowOff>
    </xdr:to>
    <xdr:pic>
      <xdr:nvPicPr>
        <xdr:cNvPr id="9248" name="Изображение 9247" descr="resizeПП-00122691"/>
        <xdr:cNvPicPr>
          <a:picLocks noChangeAspect="1"/>
        </xdr:cNvPicPr>
      </xdr:nvPicPr>
      <xdr:blipFill>
        <a:blip xmlns:r="http://schemas.openxmlformats.org/officeDocument/2006/relationships" r:embed="rId3860"/>
        <a:stretch>
          <a:fillRect/>
        </a:stretch>
      </xdr:blipFill>
      <xdr:spPr>
        <a:xfrm>
          <a:off x="7235825" y="5096192500"/>
          <a:ext cx="878840" cy="1183640"/>
        </a:xfrm>
        <a:prstGeom prst="rect">
          <a:avLst/>
        </a:prstGeom>
      </xdr:spPr>
    </xdr:pic>
    <xdr:clientData/>
  </xdr:twoCellAnchor>
  <xdr:twoCellAnchor>
    <xdr:from>
      <xdr:col>9</xdr:col>
      <xdr:colOff>6350</xdr:colOff>
      <xdr:row>5034</xdr:row>
      <xdr:rowOff>25400</xdr:rowOff>
    </xdr:from>
    <xdr:to>
      <xdr:col>9</xdr:col>
      <xdr:colOff>885190</xdr:colOff>
      <xdr:row>5034</xdr:row>
      <xdr:rowOff>1209040</xdr:rowOff>
    </xdr:to>
    <xdr:pic>
      <xdr:nvPicPr>
        <xdr:cNvPr id="9249" name="Изображение 9248" descr="resizeПП-00122692"/>
        <xdr:cNvPicPr>
          <a:picLocks noChangeAspect="1"/>
        </xdr:cNvPicPr>
      </xdr:nvPicPr>
      <xdr:blipFill>
        <a:blip xmlns:r="http://schemas.openxmlformats.org/officeDocument/2006/relationships" r:embed="rId3861"/>
        <a:stretch>
          <a:fillRect/>
        </a:stretch>
      </xdr:blipFill>
      <xdr:spPr>
        <a:xfrm>
          <a:off x="7235825" y="5097414875"/>
          <a:ext cx="878840" cy="1183640"/>
        </a:xfrm>
        <a:prstGeom prst="rect">
          <a:avLst/>
        </a:prstGeom>
      </xdr:spPr>
    </xdr:pic>
    <xdr:clientData/>
  </xdr:twoCellAnchor>
  <xdr:twoCellAnchor>
    <xdr:from>
      <xdr:col>9</xdr:col>
      <xdr:colOff>6350</xdr:colOff>
      <xdr:row>5035</xdr:row>
      <xdr:rowOff>25400</xdr:rowOff>
    </xdr:from>
    <xdr:to>
      <xdr:col>9</xdr:col>
      <xdr:colOff>885190</xdr:colOff>
      <xdr:row>5035</xdr:row>
      <xdr:rowOff>1209040</xdr:rowOff>
    </xdr:to>
    <xdr:pic>
      <xdr:nvPicPr>
        <xdr:cNvPr id="9250" name="Изображение 9249" descr="resizeПП-00122693"/>
        <xdr:cNvPicPr>
          <a:picLocks noChangeAspect="1"/>
        </xdr:cNvPicPr>
      </xdr:nvPicPr>
      <xdr:blipFill>
        <a:blip xmlns:r="http://schemas.openxmlformats.org/officeDocument/2006/relationships" r:embed="rId3862"/>
        <a:stretch>
          <a:fillRect/>
        </a:stretch>
      </xdr:blipFill>
      <xdr:spPr>
        <a:xfrm>
          <a:off x="7235825" y="5098637250"/>
          <a:ext cx="878840" cy="1183640"/>
        </a:xfrm>
        <a:prstGeom prst="rect">
          <a:avLst/>
        </a:prstGeom>
      </xdr:spPr>
    </xdr:pic>
    <xdr:clientData/>
  </xdr:twoCellAnchor>
  <xdr:twoCellAnchor>
    <xdr:from>
      <xdr:col>9</xdr:col>
      <xdr:colOff>6350</xdr:colOff>
      <xdr:row>5036</xdr:row>
      <xdr:rowOff>25400</xdr:rowOff>
    </xdr:from>
    <xdr:to>
      <xdr:col>9</xdr:col>
      <xdr:colOff>885190</xdr:colOff>
      <xdr:row>5036</xdr:row>
      <xdr:rowOff>1209040</xdr:rowOff>
    </xdr:to>
    <xdr:pic>
      <xdr:nvPicPr>
        <xdr:cNvPr id="9251" name="Изображение 9250" descr="resizeПП-00122694"/>
        <xdr:cNvPicPr>
          <a:picLocks noChangeAspect="1"/>
        </xdr:cNvPicPr>
      </xdr:nvPicPr>
      <xdr:blipFill>
        <a:blip xmlns:r="http://schemas.openxmlformats.org/officeDocument/2006/relationships" r:embed="rId3863"/>
        <a:stretch>
          <a:fillRect/>
        </a:stretch>
      </xdr:blipFill>
      <xdr:spPr>
        <a:xfrm>
          <a:off x="7235825" y="5099859625"/>
          <a:ext cx="878840" cy="1183640"/>
        </a:xfrm>
        <a:prstGeom prst="rect">
          <a:avLst/>
        </a:prstGeom>
      </xdr:spPr>
    </xdr:pic>
    <xdr:clientData/>
  </xdr:twoCellAnchor>
  <xdr:twoCellAnchor>
    <xdr:from>
      <xdr:col>9</xdr:col>
      <xdr:colOff>6350</xdr:colOff>
      <xdr:row>5037</xdr:row>
      <xdr:rowOff>25400</xdr:rowOff>
    </xdr:from>
    <xdr:to>
      <xdr:col>9</xdr:col>
      <xdr:colOff>885190</xdr:colOff>
      <xdr:row>5037</xdr:row>
      <xdr:rowOff>1209040</xdr:rowOff>
    </xdr:to>
    <xdr:pic>
      <xdr:nvPicPr>
        <xdr:cNvPr id="9252" name="Изображение 9251" descr="resizeПП-00122695"/>
        <xdr:cNvPicPr>
          <a:picLocks noChangeAspect="1"/>
        </xdr:cNvPicPr>
      </xdr:nvPicPr>
      <xdr:blipFill>
        <a:blip xmlns:r="http://schemas.openxmlformats.org/officeDocument/2006/relationships" r:embed="rId3864"/>
        <a:stretch>
          <a:fillRect/>
        </a:stretch>
      </xdr:blipFill>
      <xdr:spPr>
        <a:xfrm>
          <a:off x="7235825" y="5101082000"/>
          <a:ext cx="878840" cy="1183640"/>
        </a:xfrm>
        <a:prstGeom prst="rect">
          <a:avLst/>
        </a:prstGeom>
      </xdr:spPr>
    </xdr:pic>
    <xdr:clientData/>
  </xdr:twoCellAnchor>
  <xdr:twoCellAnchor>
    <xdr:from>
      <xdr:col>9</xdr:col>
      <xdr:colOff>6350</xdr:colOff>
      <xdr:row>5038</xdr:row>
      <xdr:rowOff>25400</xdr:rowOff>
    </xdr:from>
    <xdr:to>
      <xdr:col>9</xdr:col>
      <xdr:colOff>885190</xdr:colOff>
      <xdr:row>5038</xdr:row>
      <xdr:rowOff>1209040</xdr:rowOff>
    </xdr:to>
    <xdr:pic>
      <xdr:nvPicPr>
        <xdr:cNvPr id="9253" name="Изображение 9252" descr="resizeПП-00122696"/>
        <xdr:cNvPicPr>
          <a:picLocks noChangeAspect="1"/>
        </xdr:cNvPicPr>
      </xdr:nvPicPr>
      <xdr:blipFill>
        <a:blip xmlns:r="http://schemas.openxmlformats.org/officeDocument/2006/relationships" r:embed="rId3865"/>
        <a:stretch>
          <a:fillRect/>
        </a:stretch>
      </xdr:blipFill>
      <xdr:spPr>
        <a:xfrm>
          <a:off x="7235825" y="5102304375"/>
          <a:ext cx="878840" cy="1183640"/>
        </a:xfrm>
        <a:prstGeom prst="rect">
          <a:avLst/>
        </a:prstGeom>
      </xdr:spPr>
    </xdr:pic>
    <xdr:clientData/>
  </xdr:twoCellAnchor>
  <xdr:twoCellAnchor>
    <xdr:from>
      <xdr:col>9</xdr:col>
      <xdr:colOff>6350</xdr:colOff>
      <xdr:row>5039</xdr:row>
      <xdr:rowOff>25400</xdr:rowOff>
    </xdr:from>
    <xdr:to>
      <xdr:col>9</xdr:col>
      <xdr:colOff>885190</xdr:colOff>
      <xdr:row>5039</xdr:row>
      <xdr:rowOff>1209040</xdr:rowOff>
    </xdr:to>
    <xdr:pic>
      <xdr:nvPicPr>
        <xdr:cNvPr id="9254" name="Изображение 9253" descr="resizeПП-00122697"/>
        <xdr:cNvPicPr>
          <a:picLocks noChangeAspect="1"/>
        </xdr:cNvPicPr>
      </xdr:nvPicPr>
      <xdr:blipFill>
        <a:blip xmlns:r="http://schemas.openxmlformats.org/officeDocument/2006/relationships" r:embed="rId3866"/>
        <a:stretch>
          <a:fillRect/>
        </a:stretch>
      </xdr:blipFill>
      <xdr:spPr>
        <a:xfrm>
          <a:off x="7235825" y="5103526750"/>
          <a:ext cx="878840" cy="1183640"/>
        </a:xfrm>
        <a:prstGeom prst="rect">
          <a:avLst/>
        </a:prstGeom>
      </xdr:spPr>
    </xdr:pic>
    <xdr:clientData/>
  </xdr:twoCellAnchor>
  <xdr:twoCellAnchor>
    <xdr:from>
      <xdr:col>9</xdr:col>
      <xdr:colOff>6350</xdr:colOff>
      <xdr:row>5040</xdr:row>
      <xdr:rowOff>25400</xdr:rowOff>
    </xdr:from>
    <xdr:to>
      <xdr:col>9</xdr:col>
      <xdr:colOff>885190</xdr:colOff>
      <xdr:row>5040</xdr:row>
      <xdr:rowOff>1209040</xdr:rowOff>
    </xdr:to>
    <xdr:pic>
      <xdr:nvPicPr>
        <xdr:cNvPr id="9255" name="Изображение 9254" descr="resizeПП-00122698"/>
        <xdr:cNvPicPr>
          <a:picLocks noChangeAspect="1"/>
        </xdr:cNvPicPr>
      </xdr:nvPicPr>
      <xdr:blipFill>
        <a:blip xmlns:r="http://schemas.openxmlformats.org/officeDocument/2006/relationships" r:embed="rId3867"/>
        <a:stretch>
          <a:fillRect/>
        </a:stretch>
      </xdr:blipFill>
      <xdr:spPr>
        <a:xfrm>
          <a:off x="7235825" y="5104749125"/>
          <a:ext cx="878840" cy="1183640"/>
        </a:xfrm>
        <a:prstGeom prst="rect">
          <a:avLst/>
        </a:prstGeom>
      </xdr:spPr>
    </xdr:pic>
    <xdr:clientData/>
  </xdr:twoCellAnchor>
  <xdr:twoCellAnchor>
    <xdr:from>
      <xdr:col>9</xdr:col>
      <xdr:colOff>6350</xdr:colOff>
      <xdr:row>5041</xdr:row>
      <xdr:rowOff>25400</xdr:rowOff>
    </xdr:from>
    <xdr:to>
      <xdr:col>9</xdr:col>
      <xdr:colOff>885190</xdr:colOff>
      <xdr:row>5041</xdr:row>
      <xdr:rowOff>1209040</xdr:rowOff>
    </xdr:to>
    <xdr:pic>
      <xdr:nvPicPr>
        <xdr:cNvPr id="9256" name="Изображение 9255" descr="resizeПП-00194407"/>
        <xdr:cNvPicPr>
          <a:picLocks noChangeAspect="1"/>
        </xdr:cNvPicPr>
      </xdr:nvPicPr>
      <xdr:blipFill>
        <a:blip xmlns:r="http://schemas.openxmlformats.org/officeDocument/2006/relationships" r:embed="rId3868"/>
        <a:stretch>
          <a:fillRect/>
        </a:stretch>
      </xdr:blipFill>
      <xdr:spPr>
        <a:xfrm>
          <a:off x="7235825" y="5105971500"/>
          <a:ext cx="878840" cy="1183640"/>
        </a:xfrm>
        <a:prstGeom prst="rect">
          <a:avLst/>
        </a:prstGeom>
      </xdr:spPr>
    </xdr:pic>
    <xdr:clientData/>
  </xdr:twoCellAnchor>
  <xdr:twoCellAnchor>
    <xdr:from>
      <xdr:col>9</xdr:col>
      <xdr:colOff>6350</xdr:colOff>
      <xdr:row>5042</xdr:row>
      <xdr:rowOff>25400</xdr:rowOff>
    </xdr:from>
    <xdr:to>
      <xdr:col>9</xdr:col>
      <xdr:colOff>885190</xdr:colOff>
      <xdr:row>5042</xdr:row>
      <xdr:rowOff>1209040</xdr:rowOff>
    </xdr:to>
    <xdr:pic>
      <xdr:nvPicPr>
        <xdr:cNvPr id="9257" name="Изображение 9256" descr="resizeПП-00194410"/>
        <xdr:cNvPicPr>
          <a:picLocks noChangeAspect="1"/>
        </xdr:cNvPicPr>
      </xdr:nvPicPr>
      <xdr:blipFill>
        <a:blip xmlns:r="http://schemas.openxmlformats.org/officeDocument/2006/relationships" r:embed="rId3869"/>
        <a:stretch>
          <a:fillRect/>
        </a:stretch>
      </xdr:blipFill>
      <xdr:spPr>
        <a:xfrm>
          <a:off x="7235825" y="5107193875"/>
          <a:ext cx="878840" cy="1183640"/>
        </a:xfrm>
        <a:prstGeom prst="rect">
          <a:avLst/>
        </a:prstGeom>
      </xdr:spPr>
    </xdr:pic>
    <xdr:clientData/>
  </xdr:twoCellAnchor>
  <xdr:twoCellAnchor>
    <xdr:from>
      <xdr:col>9</xdr:col>
      <xdr:colOff>6350</xdr:colOff>
      <xdr:row>5043</xdr:row>
      <xdr:rowOff>25400</xdr:rowOff>
    </xdr:from>
    <xdr:to>
      <xdr:col>9</xdr:col>
      <xdr:colOff>885190</xdr:colOff>
      <xdr:row>5043</xdr:row>
      <xdr:rowOff>1209040</xdr:rowOff>
    </xdr:to>
    <xdr:pic>
      <xdr:nvPicPr>
        <xdr:cNvPr id="9258" name="Изображение 9257" descr="resizeПП-00194412"/>
        <xdr:cNvPicPr>
          <a:picLocks noChangeAspect="1"/>
        </xdr:cNvPicPr>
      </xdr:nvPicPr>
      <xdr:blipFill>
        <a:blip xmlns:r="http://schemas.openxmlformats.org/officeDocument/2006/relationships" r:embed="rId3870"/>
        <a:stretch>
          <a:fillRect/>
        </a:stretch>
      </xdr:blipFill>
      <xdr:spPr>
        <a:xfrm>
          <a:off x="7235825" y="5108416250"/>
          <a:ext cx="878840" cy="1183640"/>
        </a:xfrm>
        <a:prstGeom prst="rect">
          <a:avLst/>
        </a:prstGeom>
      </xdr:spPr>
    </xdr:pic>
    <xdr:clientData/>
  </xdr:twoCellAnchor>
  <xdr:twoCellAnchor>
    <xdr:from>
      <xdr:col>9</xdr:col>
      <xdr:colOff>6350</xdr:colOff>
      <xdr:row>5044</xdr:row>
      <xdr:rowOff>25400</xdr:rowOff>
    </xdr:from>
    <xdr:to>
      <xdr:col>9</xdr:col>
      <xdr:colOff>885190</xdr:colOff>
      <xdr:row>5044</xdr:row>
      <xdr:rowOff>1209040</xdr:rowOff>
    </xdr:to>
    <xdr:pic>
      <xdr:nvPicPr>
        <xdr:cNvPr id="9259" name="Изображение 9258" descr="resizeПП-00194417"/>
        <xdr:cNvPicPr>
          <a:picLocks noChangeAspect="1"/>
        </xdr:cNvPicPr>
      </xdr:nvPicPr>
      <xdr:blipFill>
        <a:blip xmlns:r="http://schemas.openxmlformats.org/officeDocument/2006/relationships" r:embed="rId3871"/>
        <a:stretch>
          <a:fillRect/>
        </a:stretch>
      </xdr:blipFill>
      <xdr:spPr>
        <a:xfrm>
          <a:off x="7235825" y="5109638625"/>
          <a:ext cx="878840" cy="1183640"/>
        </a:xfrm>
        <a:prstGeom prst="rect">
          <a:avLst/>
        </a:prstGeom>
      </xdr:spPr>
    </xdr:pic>
    <xdr:clientData/>
  </xdr:twoCellAnchor>
  <xdr:twoCellAnchor>
    <xdr:from>
      <xdr:col>9</xdr:col>
      <xdr:colOff>6350</xdr:colOff>
      <xdr:row>5045</xdr:row>
      <xdr:rowOff>25400</xdr:rowOff>
    </xdr:from>
    <xdr:to>
      <xdr:col>9</xdr:col>
      <xdr:colOff>885190</xdr:colOff>
      <xdr:row>5045</xdr:row>
      <xdr:rowOff>1209040</xdr:rowOff>
    </xdr:to>
    <xdr:pic>
      <xdr:nvPicPr>
        <xdr:cNvPr id="9260" name="Изображение 9259" descr="resizeПП-00194420"/>
        <xdr:cNvPicPr>
          <a:picLocks noChangeAspect="1"/>
        </xdr:cNvPicPr>
      </xdr:nvPicPr>
      <xdr:blipFill>
        <a:blip xmlns:r="http://schemas.openxmlformats.org/officeDocument/2006/relationships" r:embed="rId3872"/>
        <a:stretch>
          <a:fillRect/>
        </a:stretch>
      </xdr:blipFill>
      <xdr:spPr>
        <a:xfrm>
          <a:off x="7235825" y="5110861000"/>
          <a:ext cx="878840" cy="1183640"/>
        </a:xfrm>
        <a:prstGeom prst="rect">
          <a:avLst/>
        </a:prstGeom>
      </xdr:spPr>
    </xdr:pic>
    <xdr:clientData/>
  </xdr:twoCellAnchor>
  <xdr:twoCellAnchor>
    <xdr:from>
      <xdr:col>9</xdr:col>
      <xdr:colOff>6350</xdr:colOff>
      <xdr:row>5046</xdr:row>
      <xdr:rowOff>25400</xdr:rowOff>
    </xdr:from>
    <xdr:to>
      <xdr:col>9</xdr:col>
      <xdr:colOff>885190</xdr:colOff>
      <xdr:row>5046</xdr:row>
      <xdr:rowOff>1209040</xdr:rowOff>
    </xdr:to>
    <xdr:pic>
      <xdr:nvPicPr>
        <xdr:cNvPr id="9261" name="Изображение 9260" descr="resizeПП-00194421"/>
        <xdr:cNvPicPr>
          <a:picLocks noChangeAspect="1"/>
        </xdr:cNvPicPr>
      </xdr:nvPicPr>
      <xdr:blipFill>
        <a:blip xmlns:r="http://schemas.openxmlformats.org/officeDocument/2006/relationships" r:embed="rId3873"/>
        <a:stretch>
          <a:fillRect/>
        </a:stretch>
      </xdr:blipFill>
      <xdr:spPr>
        <a:xfrm>
          <a:off x="7235825" y="5112083375"/>
          <a:ext cx="878840" cy="1183640"/>
        </a:xfrm>
        <a:prstGeom prst="rect">
          <a:avLst/>
        </a:prstGeom>
      </xdr:spPr>
    </xdr:pic>
    <xdr:clientData/>
  </xdr:twoCellAnchor>
  <xdr:twoCellAnchor>
    <xdr:from>
      <xdr:col>9</xdr:col>
      <xdr:colOff>6350</xdr:colOff>
      <xdr:row>5047</xdr:row>
      <xdr:rowOff>25400</xdr:rowOff>
    </xdr:from>
    <xdr:to>
      <xdr:col>9</xdr:col>
      <xdr:colOff>885190</xdr:colOff>
      <xdr:row>5047</xdr:row>
      <xdr:rowOff>1209040</xdr:rowOff>
    </xdr:to>
    <xdr:pic>
      <xdr:nvPicPr>
        <xdr:cNvPr id="9262" name="Изображение 9261" descr="resizeПП-00194424"/>
        <xdr:cNvPicPr>
          <a:picLocks noChangeAspect="1"/>
        </xdr:cNvPicPr>
      </xdr:nvPicPr>
      <xdr:blipFill>
        <a:blip xmlns:r="http://schemas.openxmlformats.org/officeDocument/2006/relationships" r:embed="rId3874"/>
        <a:stretch>
          <a:fillRect/>
        </a:stretch>
      </xdr:blipFill>
      <xdr:spPr>
        <a:xfrm>
          <a:off x="7235825" y="5113305750"/>
          <a:ext cx="878840" cy="1183640"/>
        </a:xfrm>
        <a:prstGeom prst="rect">
          <a:avLst/>
        </a:prstGeom>
      </xdr:spPr>
    </xdr:pic>
    <xdr:clientData/>
  </xdr:twoCellAnchor>
  <xdr:twoCellAnchor>
    <xdr:from>
      <xdr:col>9</xdr:col>
      <xdr:colOff>6350</xdr:colOff>
      <xdr:row>5048</xdr:row>
      <xdr:rowOff>25400</xdr:rowOff>
    </xdr:from>
    <xdr:to>
      <xdr:col>9</xdr:col>
      <xdr:colOff>885190</xdr:colOff>
      <xdr:row>5048</xdr:row>
      <xdr:rowOff>1209040</xdr:rowOff>
    </xdr:to>
    <xdr:pic>
      <xdr:nvPicPr>
        <xdr:cNvPr id="9263" name="Изображение 9262" descr="resizeПП-00175697"/>
        <xdr:cNvPicPr>
          <a:picLocks noChangeAspect="1"/>
        </xdr:cNvPicPr>
      </xdr:nvPicPr>
      <xdr:blipFill>
        <a:blip xmlns:r="http://schemas.openxmlformats.org/officeDocument/2006/relationships" r:embed="rId3875"/>
        <a:stretch>
          <a:fillRect/>
        </a:stretch>
      </xdr:blipFill>
      <xdr:spPr>
        <a:xfrm>
          <a:off x="7235825" y="5114528125"/>
          <a:ext cx="878840" cy="1183640"/>
        </a:xfrm>
        <a:prstGeom prst="rect">
          <a:avLst/>
        </a:prstGeom>
      </xdr:spPr>
    </xdr:pic>
    <xdr:clientData/>
  </xdr:twoCellAnchor>
  <xdr:twoCellAnchor>
    <xdr:from>
      <xdr:col>9</xdr:col>
      <xdr:colOff>6350</xdr:colOff>
      <xdr:row>5049</xdr:row>
      <xdr:rowOff>25400</xdr:rowOff>
    </xdr:from>
    <xdr:to>
      <xdr:col>9</xdr:col>
      <xdr:colOff>885190</xdr:colOff>
      <xdr:row>5049</xdr:row>
      <xdr:rowOff>1209040</xdr:rowOff>
    </xdr:to>
    <xdr:pic>
      <xdr:nvPicPr>
        <xdr:cNvPr id="9264" name="Изображение 9263" descr="resizeПП-00175693"/>
        <xdr:cNvPicPr>
          <a:picLocks noChangeAspect="1"/>
        </xdr:cNvPicPr>
      </xdr:nvPicPr>
      <xdr:blipFill>
        <a:blip xmlns:r="http://schemas.openxmlformats.org/officeDocument/2006/relationships" r:embed="rId3876"/>
        <a:stretch>
          <a:fillRect/>
        </a:stretch>
      </xdr:blipFill>
      <xdr:spPr>
        <a:xfrm>
          <a:off x="7235825" y="5115750500"/>
          <a:ext cx="878840" cy="1183640"/>
        </a:xfrm>
        <a:prstGeom prst="rect">
          <a:avLst/>
        </a:prstGeom>
      </xdr:spPr>
    </xdr:pic>
    <xdr:clientData/>
  </xdr:twoCellAnchor>
  <xdr:twoCellAnchor>
    <xdr:from>
      <xdr:col>9</xdr:col>
      <xdr:colOff>6350</xdr:colOff>
      <xdr:row>5050</xdr:row>
      <xdr:rowOff>25400</xdr:rowOff>
    </xdr:from>
    <xdr:to>
      <xdr:col>9</xdr:col>
      <xdr:colOff>885190</xdr:colOff>
      <xdr:row>5050</xdr:row>
      <xdr:rowOff>1209040</xdr:rowOff>
    </xdr:to>
    <xdr:pic>
      <xdr:nvPicPr>
        <xdr:cNvPr id="9265" name="Изображение 9264" descr="resizeПП-00175695"/>
        <xdr:cNvPicPr>
          <a:picLocks noChangeAspect="1"/>
        </xdr:cNvPicPr>
      </xdr:nvPicPr>
      <xdr:blipFill>
        <a:blip xmlns:r="http://schemas.openxmlformats.org/officeDocument/2006/relationships" r:embed="rId3877"/>
        <a:stretch>
          <a:fillRect/>
        </a:stretch>
      </xdr:blipFill>
      <xdr:spPr>
        <a:xfrm>
          <a:off x="7235825" y="5116972875"/>
          <a:ext cx="878840" cy="1183640"/>
        </a:xfrm>
        <a:prstGeom prst="rect">
          <a:avLst/>
        </a:prstGeom>
      </xdr:spPr>
    </xdr:pic>
    <xdr:clientData/>
  </xdr:twoCellAnchor>
  <xdr:twoCellAnchor>
    <xdr:from>
      <xdr:col>9</xdr:col>
      <xdr:colOff>6350</xdr:colOff>
      <xdr:row>5051</xdr:row>
      <xdr:rowOff>25400</xdr:rowOff>
    </xdr:from>
    <xdr:to>
      <xdr:col>9</xdr:col>
      <xdr:colOff>885190</xdr:colOff>
      <xdr:row>5051</xdr:row>
      <xdr:rowOff>1209040</xdr:rowOff>
    </xdr:to>
    <xdr:pic>
      <xdr:nvPicPr>
        <xdr:cNvPr id="9266" name="Изображение 9265" descr="resizeПП-00175696"/>
        <xdr:cNvPicPr>
          <a:picLocks noChangeAspect="1"/>
        </xdr:cNvPicPr>
      </xdr:nvPicPr>
      <xdr:blipFill>
        <a:blip xmlns:r="http://schemas.openxmlformats.org/officeDocument/2006/relationships" r:embed="rId3878"/>
        <a:stretch>
          <a:fillRect/>
        </a:stretch>
      </xdr:blipFill>
      <xdr:spPr>
        <a:xfrm>
          <a:off x="7235825" y="5118195250"/>
          <a:ext cx="878840" cy="1183640"/>
        </a:xfrm>
        <a:prstGeom prst="rect">
          <a:avLst/>
        </a:prstGeom>
      </xdr:spPr>
    </xdr:pic>
    <xdr:clientData/>
  </xdr:twoCellAnchor>
  <xdr:twoCellAnchor>
    <xdr:from>
      <xdr:col>9</xdr:col>
      <xdr:colOff>6350</xdr:colOff>
      <xdr:row>5052</xdr:row>
      <xdr:rowOff>25400</xdr:rowOff>
    </xdr:from>
    <xdr:to>
      <xdr:col>9</xdr:col>
      <xdr:colOff>885190</xdr:colOff>
      <xdr:row>5052</xdr:row>
      <xdr:rowOff>1209040</xdr:rowOff>
    </xdr:to>
    <xdr:pic>
      <xdr:nvPicPr>
        <xdr:cNvPr id="9267" name="Изображение 9266" descr="resizeПП-00175646"/>
        <xdr:cNvPicPr>
          <a:picLocks noChangeAspect="1"/>
        </xdr:cNvPicPr>
      </xdr:nvPicPr>
      <xdr:blipFill>
        <a:blip xmlns:r="http://schemas.openxmlformats.org/officeDocument/2006/relationships" r:embed="rId3879"/>
        <a:stretch>
          <a:fillRect/>
        </a:stretch>
      </xdr:blipFill>
      <xdr:spPr>
        <a:xfrm>
          <a:off x="7235825" y="5119417625"/>
          <a:ext cx="878840" cy="1183640"/>
        </a:xfrm>
        <a:prstGeom prst="rect">
          <a:avLst/>
        </a:prstGeom>
      </xdr:spPr>
    </xdr:pic>
    <xdr:clientData/>
  </xdr:twoCellAnchor>
  <xdr:twoCellAnchor>
    <xdr:from>
      <xdr:col>9</xdr:col>
      <xdr:colOff>6350</xdr:colOff>
      <xdr:row>5053</xdr:row>
      <xdr:rowOff>25400</xdr:rowOff>
    </xdr:from>
    <xdr:to>
      <xdr:col>9</xdr:col>
      <xdr:colOff>885190</xdr:colOff>
      <xdr:row>5053</xdr:row>
      <xdr:rowOff>1209040</xdr:rowOff>
    </xdr:to>
    <xdr:pic>
      <xdr:nvPicPr>
        <xdr:cNvPr id="9268" name="Изображение 9267" descr="resizeПП-00175650"/>
        <xdr:cNvPicPr>
          <a:picLocks noChangeAspect="1"/>
        </xdr:cNvPicPr>
      </xdr:nvPicPr>
      <xdr:blipFill>
        <a:blip xmlns:r="http://schemas.openxmlformats.org/officeDocument/2006/relationships" r:embed="rId3880"/>
        <a:stretch>
          <a:fillRect/>
        </a:stretch>
      </xdr:blipFill>
      <xdr:spPr>
        <a:xfrm>
          <a:off x="7235825" y="5120640000"/>
          <a:ext cx="878840" cy="1183640"/>
        </a:xfrm>
        <a:prstGeom prst="rect">
          <a:avLst/>
        </a:prstGeom>
      </xdr:spPr>
    </xdr:pic>
    <xdr:clientData/>
  </xdr:twoCellAnchor>
  <xdr:twoCellAnchor>
    <xdr:from>
      <xdr:col>9</xdr:col>
      <xdr:colOff>6350</xdr:colOff>
      <xdr:row>5054</xdr:row>
      <xdr:rowOff>25400</xdr:rowOff>
    </xdr:from>
    <xdr:to>
      <xdr:col>9</xdr:col>
      <xdr:colOff>885190</xdr:colOff>
      <xdr:row>5054</xdr:row>
      <xdr:rowOff>1209040</xdr:rowOff>
    </xdr:to>
    <xdr:pic>
      <xdr:nvPicPr>
        <xdr:cNvPr id="9269" name="Изображение 9268" descr="resizeПП-00175653"/>
        <xdr:cNvPicPr>
          <a:picLocks noChangeAspect="1"/>
        </xdr:cNvPicPr>
      </xdr:nvPicPr>
      <xdr:blipFill>
        <a:blip xmlns:r="http://schemas.openxmlformats.org/officeDocument/2006/relationships" r:embed="rId3881"/>
        <a:stretch>
          <a:fillRect/>
        </a:stretch>
      </xdr:blipFill>
      <xdr:spPr>
        <a:xfrm>
          <a:off x="7235825" y="5121862375"/>
          <a:ext cx="878840" cy="1183640"/>
        </a:xfrm>
        <a:prstGeom prst="rect">
          <a:avLst/>
        </a:prstGeom>
      </xdr:spPr>
    </xdr:pic>
    <xdr:clientData/>
  </xdr:twoCellAnchor>
  <xdr:twoCellAnchor>
    <xdr:from>
      <xdr:col>9</xdr:col>
      <xdr:colOff>6350</xdr:colOff>
      <xdr:row>5055</xdr:row>
      <xdr:rowOff>25400</xdr:rowOff>
    </xdr:from>
    <xdr:to>
      <xdr:col>9</xdr:col>
      <xdr:colOff>885190</xdr:colOff>
      <xdr:row>5055</xdr:row>
      <xdr:rowOff>1209040</xdr:rowOff>
    </xdr:to>
    <xdr:pic>
      <xdr:nvPicPr>
        <xdr:cNvPr id="9270" name="Изображение 9269" descr="resizeПП-00175648"/>
        <xdr:cNvPicPr>
          <a:picLocks noChangeAspect="1"/>
        </xdr:cNvPicPr>
      </xdr:nvPicPr>
      <xdr:blipFill>
        <a:blip xmlns:r="http://schemas.openxmlformats.org/officeDocument/2006/relationships" r:embed="rId3882"/>
        <a:stretch>
          <a:fillRect/>
        </a:stretch>
      </xdr:blipFill>
      <xdr:spPr>
        <a:xfrm>
          <a:off x="7235825" y="5123084750"/>
          <a:ext cx="878840" cy="1183640"/>
        </a:xfrm>
        <a:prstGeom prst="rect">
          <a:avLst/>
        </a:prstGeom>
      </xdr:spPr>
    </xdr:pic>
    <xdr:clientData/>
  </xdr:twoCellAnchor>
  <xdr:twoCellAnchor>
    <xdr:from>
      <xdr:col>9</xdr:col>
      <xdr:colOff>6350</xdr:colOff>
      <xdr:row>5056</xdr:row>
      <xdr:rowOff>25400</xdr:rowOff>
    </xdr:from>
    <xdr:to>
      <xdr:col>9</xdr:col>
      <xdr:colOff>885190</xdr:colOff>
      <xdr:row>5056</xdr:row>
      <xdr:rowOff>1209040</xdr:rowOff>
    </xdr:to>
    <xdr:pic>
      <xdr:nvPicPr>
        <xdr:cNvPr id="9271" name="Изображение 9270" descr="resizeПП-00175666"/>
        <xdr:cNvPicPr>
          <a:picLocks noChangeAspect="1"/>
        </xdr:cNvPicPr>
      </xdr:nvPicPr>
      <xdr:blipFill>
        <a:blip xmlns:r="http://schemas.openxmlformats.org/officeDocument/2006/relationships" r:embed="rId3883"/>
        <a:stretch>
          <a:fillRect/>
        </a:stretch>
      </xdr:blipFill>
      <xdr:spPr>
        <a:xfrm>
          <a:off x="7235825" y="5124307125"/>
          <a:ext cx="878840" cy="1183640"/>
        </a:xfrm>
        <a:prstGeom prst="rect">
          <a:avLst/>
        </a:prstGeom>
      </xdr:spPr>
    </xdr:pic>
    <xdr:clientData/>
  </xdr:twoCellAnchor>
  <xdr:twoCellAnchor>
    <xdr:from>
      <xdr:col>9</xdr:col>
      <xdr:colOff>6350</xdr:colOff>
      <xdr:row>5057</xdr:row>
      <xdr:rowOff>25400</xdr:rowOff>
    </xdr:from>
    <xdr:to>
      <xdr:col>9</xdr:col>
      <xdr:colOff>885190</xdr:colOff>
      <xdr:row>5057</xdr:row>
      <xdr:rowOff>1209040</xdr:rowOff>
    </xdr:to>
    <xdr:pic>
      <xdr:nvPicPr>
        <xdr:cNvPr id="9272" name="Изображение 9271" descr="resizeПП-00122699"/>
        <xdr:cNvPicPr>
          <a:picLocks noChangeAspect="1"/>
        </xdr:cNvPicPr>
      </xdr:nvPicPr>
      <xdr:blipFill>
        <a:blip xmlns:r="http://schemas.openxmlformats.org/officeDocument/2006/relationships" r:embed="rId3884"/>
        <a:stretch>
          <a:fillRect/>
        </a:stretch>
      </xdr:blipFill>
      <xdr:spPr>
        <a:xfrm>
          <a:off x="7235825" y="5125529500"/>
          <a:ext cx="878840" cy="1183640"/>
        </a:xfrm>
        <a:prstGeom prst="rect">
          <a:avLst/>
        </a:prstGeom>
      </xdr:spPr>
    </xdr:pic>
    <xdr:clientData/>
  </xdr:twoCellAnchor>
  <xdr:twoCellAnchor>
    <xdr:from>
      <xdr:col>9</xdr:col>
      <xdr:colOff>6350</xdr:colOff>
      <xdr:row>5058</xdr:row>
      <xdr:rowOff>25400</xdr:rowOff>
    </xdr:from>
    <xdr:to>
      <xdr:col>9</xdr:col>
      <xdr:colOff>885190</xdr:colOff>
      <xdr:row>5058</xdr:row>
      <xdr:rowOff>1209040</xdr:rowOff>
    </xdr:to>
    <xdr:pic>
      <xdr:nvPicPr>
        <xdr:cNvPr id="9273" name="Изображение 9272" descr="resizeПП-00122702"/>
        <xdr:cNvPicPr>
          <a:picLocks noChangeAspect="1"/>
        </xdr:cNvPicPr>
      </xdr:nvPicPr>
      <xdr:blipFill>
        <a:blip xmlns:r="http://schemas.openxmlformats.org/officeDocument/2006/relationships" r:embed="rId3885"/>
        <a:stretch>
          <a:fillRect/>
        </a:stretch>
      </xdr:blipFill>
      <xdr:spPr>
        <a:xfrm>
          <a:off x="7235825" y="5126751875"/>
          <a:ext cx="878840" cy="1183640"/>
        </a:xfrm>
        <a:prstGeom prst="rect">
          <a:avLst/>
        </a:prstGeom>
      </xdr:spPr>
    </xdr:pic>
    <xdr:clientData/>
  </xdr:twoCellAnchor>
  <xdr:twoCellAnchor>
    <xdr:from>
      <xdr:col>9</xdr:col>
      <xdr:colOff>6350</xdr:colOff>
      <xdr:row>5059</xdr:row>
      <xdr:rowOff>25400</xdr:rowOff>
    </xdr:from>
    <xdr:to>
      <xdr:col>9</xdr:col>
      <xdr:colOff>885190</xdr:colOff>
      <xdr:row>5059</xdr:row>
      <xdr:rowOff>1209040</xdr:rowOff>
    </xdr:to>
    <xdr:pic>
      <xdr:nvPicPr>
        <xdr:cNvPr id="9274" name="Изображение 9273" descr="resizeПП-00122703"/>
        <xdr:cNvPicPr>
          <a:picLocks noChangeAspect="1"/>
        </xdr:cNvPicPr>
      </xdr:nvPicPr>
      <xdr:blipFill>
        <a:blip xmlns:r="http://schemas.openxmlformats.org/officeDocument/2006/relationships" r:embed="rId3886"/>
        <a:stretch>
          <a:fillRect/>
        </a:stretch>
      </xdr:blipFill>
      <xdr:spPr>
        <a:xfrm>
          <a:off x="7235825" y="5127974250"/>
          <a:ext cx="878840" cy="1183640"/>
        </a:xfrm>
        <a:prstGeom prst="rect">
          <a:avLst/>
        </a:prstGeom>
      </xdr:spPr>
    </xdr:pic>
    <xdr:clientData/>
  </xdr:twoCellAnchor>
  <xdr:twoCellAnchor>
    <xdr:from>
      <xdr:col>9</xdr:col>
      <xdr:colOff>6350</xdr:colOff>
      <xdr:row>5060</xdr:row>
      <xdr:rowOff>25400</xdr:rowOff>
    </xdr:from>
    <xdr:to>
      <xdr:col>9</xdr:col>
      <xdr:colOff>885190</xdr:colOff>
      <xdr:row>5060</xdr:row>
      <xdr:rowOff>1209040</xdr:rowOff>
    </xdr:to>
    <xdr:pic>
      <xdr:nvPicPr>
        <xdr:cNvPr id="9275" name="Изображение 9274" descr="resizeПП-00122704"/>
        <xdr:cNvPicPr>
          <a:picLocks noChangeAspect="1"/>
        </xdr:cNvPicPr>
      </xdr:nvPicPr>
      <xdr:blipFill>
        <a:blip xmlns:r="http://schemas.openxmlformats.org/officeDocument/2006/relationships" r:embed="rId3887"/>
        <a:stretch>
          <a:fillRect/>
        </a:stretch>
      </xdr:blipFill>
      <xdr:spPr>
        <a:xfrm>
          <a:off x="7235825" y="5129196625"/>
          <a:ext cx="878840" cy="1183640"/>
        </a:xfrm>
        <a:prstGeom prst="rect">
          <a:avLst/>
        </a:prstGeom>
      </xdr:spPr>
    </xdr:pic>
    <xdr:clientData/>
  </xdr:twoCellAnchor>
  <xdr:twoCellAnchor>
    <xdr:from>
      <xdr:col>9</xdr:col>
      <xdr:colOff>6350</xdr:colOff>
      <xdr:row>5061</xdr:row>
      <xdr:rowOff>25400</xdr:rowOff>
    </xdr:from>
    <xdr:to>
      <xdr:col>9</xdr:col>
      <xdr:colOff>885190</xdr:colOff>
      <xdr:row>5061</xdr:row>
      <xdr:rowOff>1209040</xdr:rowOff>
    </xdr:to>
    <xdr:pic>
      <xdr:nvPicPr>
        <xdr:cNvPr id="9276" name="Изображение 9275" descr="resizeПП-00122706"/>
        <xdr:cNvPicPr>
          <a:picLocks noChangeAspect="1"/>
        </xdr:cNvPicPr>
      </xdr:nvPicPr>
      <xdr:blipFill>
        <a:blip xmlns:r="http://schemas.openxmlformats.org/officeDocument/2006/relationships" r:embed="rId3888"/>
        <a:stretch>
          <a:fillRect/>
        </a:stretch>
      </xdr:blipFill>
      <xdr:spPr>
        <a:xfrm>
          <a:off x="7235825" y="5130419000"/>
          <a:ext cx="878840" cy="1183640"/>
        </a:xfrm>
        <a:prstGeom prst="rect">
          <a:avLst/>
        </a:prstGeom>
      </xdr:spPr>
    </xdr:pic>
    <xdr:clientData/>
  </xdr:twoCellAnchor>
  <xdr:twoCellAnchor>
    <xdr:from>
      <xdr:col>9</xdr:col>
      <xdr:colOff>6350</xdr:colOff>
      <xdr:row>5062</xdr:row>
      <xdr:rowOff>25400</xdr:rowOff>
    </xdr:from>
    <xdr:to>
      <xdr:col>9</xdr:col>
      <xdr:colOff>885190</xdr:colOff>
      <xdr:row>5062</xdr:row>
      <xdr:rowOff>1209040</xdr:rowOff>
    </xdr:to>
    <xdr:pic>
      <xdr:nvPicPr>
        <xdr:cNvPr id="9277" name="Изображение 9276" descr="resizeПП-00122707"/>
        <xdr:cNvPicPr>
          <a:picLocks noChangeAspect="1"/>
        </xdr:cNvPicPr>
      </xdr:nvPicPr>
      <xdr:blipFill>
        <a:blip xmlns:r="http://schemas.openxmlformats.org/officeDocument/2006/relationships" r:embed="rId3889"/>
        <a:stretch>
          <a:fillRect/>
        </a:stretch>
      </xdr:blipFill>
      <xdr:spPr>
        <a:xfrm>
          <a:off x="7235825" y="5131641375"/>
          <a:ext cx="878840" cy="1183640"/>
        </a:xfrm>
        <a:prstGeom prst="rect">
          <a:avLst/>
        </a:prstGeom>
      </xdr:spPr>
    </xdr:pic>
    <xdr:clientData/>
  </xdr:twoCellAnchor>
  <xdr:twoCellAnchor>
    <xdr:from>
      <xdr:col>9</xdr:col>
      <xdr:colOff>6350</xdr:colOff>
      <xdr:row>5063</xdr:row>
      <xdr:rowOff>25400</xdr:rowOff>
    </xdr:from>
    <xdr:to>
      <xdr:col>9</xdr:col>
      <xdr:colOff>885190</xdr:colOff>
      <xdr:row>5063</xdr:row>
      <xdr:rowOff>1209040</xdr:rowOff>
    </xdr:to>
    <xdr:pic>
      <xdr:nvPicPr>
        <xdr:cNvPr id="9278" name="Изображение 9277" descr="resizeПП-00122708"/>
        <xdr:cNvPicPr>
          <a:picLocks noChangeAspect="1"/>
        </xdr:cNvPicPr>
      </xdr:nvPicPr>
      <xdr:blipFill>
        <a:blip xmlns:r="http://schemas.openxmlformats.org/officeDocument/2006/relationships" r:embed="rId3890"/>
        <a:stretch>
          <a:fillRect/>
        </a:stretch>
      </xdr:blipFill>
      <xdr:spPr>
        <a:xfrm>
          <a:off x="7235825" y="5132863750"/>
          <a:ext cx="878840" cy="1183640"/>
        </a:xfrm>
        <a:prstGeom prst="rect">
          <a:avLst/>
        </a:prstGeom>
      </xdr:spPr>
    </xdr:pic>
    <xdr:clientData/>
  </xdr:twoCellAnchor>
  <xdr:twoCellAnchor>
    <xdr:from>
      <xdr:col>9</xdr:col>
      <xdr:colOff>6350</xdr:colOff>
      <xdr:row>5064</xdr:row>
      <xdr:rowOff>25400</xdr:rowOff>
    </xdr:from>
    <xdr:to>
      <xdr:col>9</xdr:col>
      <xdr:colOff>885190</xdr:colOff>
      <xdr:row>5064</xdr:row>
      <xdr:rowOff>1209040</xdr:rowOff>
    </xdr:to>
    <xdr:pic>
      <xdr:nvPicPr>
        <xdr:cNvPr id="9279" name="Изображение 9278" descr="resizeПП-00122709"/>
        <xdr:cNvPicPr>
          <a:picLocks noChangeAspect="1"/>
        </xdr:cNvPicPr>
      </xdr:nvPicPr>
      <xdr:blipFill>
        <a:blip xmlns:r="http://schemas.openxmlformats.org/officeDocument/2006/relationships" r:embed="rId3891"/>
        <a:stretch>
          <a:fillRect/>
        </a:stretch>
      </xdr:blipFill>
      <xdr:spPr>
        <a:xfrm>
          <a:off x="7235825" y="5134086125"/>
          <a:ext cx="878840" cy="1183640"/>
        </a:xfrm>
        <a:prstGeom prst="rect">
          <a:avLst/>
        </a:prstGeom>
      </xdr:spPr>
    </xdr:pic>
    <xdr:clientData/>
  </xdr:twoCellAnchor>
  <xdr:twoCellAnchor>
    <xdr:from>
      <xdr:col>9</xdr:col>
      <xdr:colOff>6350</xdr:colOff>
      <xdr:row>5065</xdr:row>
      <xdr:rowOff>25400</xdr:rowOff>
    </xdr:from>
    <xdr:to>
      <xdr:col>9</xdr:col>
      <xdr:colOff>885190</xdr:colOff>
      <xdr:row>5065</xdr:row>
      <xdr:rowOff>1209040</xdr:rowOff>
    </xdr:to>
    <xdr:pic>
      <xdr:nvPicPr>
        <xdr:cNvPr id="9280" name="Изображение 9279" descr="resizeПП-00131681"/>
        <xdr:cNvPicPr>
          <a:picLocks noChangeAspect="1"/>
        </xdr:cNvPicPr>
      </xdr:nvPicPr>
      <xdr:blipFill>
        <a:blip xmlns:r="http://schemas.openxmlformats.org/officeDocument/2006/relationships" r:embed="rId3892"/>
        <a:stretch>
          <a:fillRect/>
        </a:stretch>
      </xdr:blipFill>
      <xdr:spPr>
        <a:xfrm>
          <a:off x="7235825" y="5135308500"/>
          <a:ext cx="878840" cy="1183640"/>
        </a:xfrm>
        <a:prstGeom prst="rect">
          <a:avLst/>
        </a:prstGeom>
      </xdr:spPr>
    </xdr:pic>
    <xdr:clientData/>
  </xdr:twoCellAnchor>
  <xdr:twoCellAnchor>
    <xdr:from>
      <xdr:col>9</xdr:col>
      <xdr:colOff>6350</xdr:colOff>
      <xdr:row>5066</xdr:row>
      <xdr:rowOff>25400</xdr:rowOff>
    </xdr:from>
    <xdr:to>
      <xdr:col>9</xdr:col>
      <xdr:colOff>885190</xdr:colOff>
      <xdr:row>5066</xdr:row>
      <xdr:rowOff>1209040</xdr:rowOff>
    </xdr:to>
    <xdr:pic>
      <xdr:nvPicPr>
        <xdr:cNvPr id="9281" name="Изображение 9280" descr="resizeПП-00113965"/>
        <xdr:cNvPicPr>
          <a:picLocks noChangeAspect="1"/>
        </xdr:cNvPicPr>
      </xdr:nvPicPr>
      <xdr:blipFill>
        <a:blip xmlns:r="http://schemas.openxmlformats.org/officeDocument/2006/relationships" r:embed="rId3893"/>
        <a:stretch>
          <a:fillRect/>
        </a:stretch>
      </xdr:blipFill>
      <xdr:spPr>
        <a:xfrm>
          <a:off x="7235825" y="5136530875"/>
          <a:ext cx="878840" cy="1183640"/>
        </a:xfrm>
        <a:prstGeom prst="rect">
          <a:avLst/>
        </a:prstGeom>
      </xdr:spPr>
    </xdr:pic>
    <xdr:clientData/>
  </xdr:twoCellAnchor>
  <xdr:twoCellAnchor>
    <xdr:from>
      <xdr:col>9</xdr:col>
      <xdr:colOff>6350</xdr:colOff>
      <xdr:row>5067</xdr:row>
      <xdr:rowOff>25400</xdr:rowOff>
    </xdr:from>
    <xdr:to>
      <xdr:col>9</xdr:col>
      <xdr:colOff>885190</xdr:colOff>
      <xdr:row>5067</xdr:row>
      <xdr:rowOff>1209040</xdr:rowOff>
    </xdr:to>
    <xdr:pic>
      <xdr:nvPicPr>
        <xdr:cNvPr id="9282" name="Изображение 9281" descr="resizeПП-00113967"/>
        <xdr:cNvPicPr>
          <a:picLocks noChangeAspect="1"/>
        </xdr:cNvPicPr>
      </xdr:nvPicPr>
      <xdr:blipFill>
        <a:blip xmlns:r="http://schemas.openxmlformats.org/officeDocument/2006/relationships" r:embed="rId3894"/>
        <a:stretch>
          <a:fillRect/>
        </a:stretch>
      </xdr:blipFill>
      <xdr:spPr>
        <a:xfrm>
          <a:off x="7235825" y="5137753250"/>
          <a:ext cx="878840" cy="1183640"/>
        </a:xfrm>
        <a:prstGeom prst="rect">
          <a:avLst/>
        </a:prstGeom>
      </xdr:spPr>
    </xdr:pic>
    <xdr:clientData/>
  </xdr:twoCellAnchor>
  <xdr:twoCellAnchor>
    <xdr:from>
      <xdr:col>9</xdr:col>
      <xdr:colOff>6350</xdr:colOff>
      <xdr:row>5068</xdr:row>
      <xdr:rowOff>25400</xdr:rowOff>
    </xdr:from>
    <xdr:to>
      <xdr:col>9</xdr:col>
      <xdr:colOff>885190</xdr:colOff>
      <xdr:row>5068</xdr:row>
      <xdr:rowOff>1209040</xdr:rowOff>
    </xdr:to>
    <xdr:pic>
      <xdr:nvPicPr>
        <xdr:cNvPr id="9283" name="Изображение 9282" descr="resizeПП-00113968"/>
        <xdr:cNvPicPr>
          <a:picLocks noChangeAspect="1"/>
        </xdr:cNvPicPr>
      </xdr:nvPicPr>
      <xdr:blipFill>
        <a:blip xmlns:r="http://schemas.openxmlformats.org/officeDocument/2006/relationships" r:embed="rId3895"/>
        <a:stretch>
          <a:fillRect/>
        </a:stretch>
      </xdr:blipFill>
      <xdr:spPr>
        <a:xfrm>
          <a:off x="7235825" y="5138975625"/>
          <a:ext cx="878840" cy="1183640"/>
        </a:xfrm>
        <a:prstGeom prst="rect">
          <a:avLst/>
        </a:prstGeom>
      </xdr:spPr>
    </xdr:pic>
    <xdr:clientData/>
  </xdr:twoCellAnchor>
  <xdr:twoCellAnchor>
    <xdr:from>
      <xdr:col>9</xdr:col>
      <xdr:colOff>6350</xdr:colOff>
      <xdr:row>5069</xdr:row>
      <xdr:rowOff>25400</xdr:rowOff>
    </xdr:from>
    <xdr:to>
      <xdr:col>9</xdr:col>
      <xdr:colOff>885190</xdr:colOff>
      <xdr:row>5069</xdr:row>
      <xdr:rowOff>1209040</xdr:rowOff>
    </xdr:to>
    <xdr:pic>
      <xdr:nvPicPr>
        <xdr:cNvPr id="9284" name="Изображение 9283" descr="resizeПП-00113969"/>
        <xdr:cNvPicPr>
          <a:picLocks noChangeAspect="1"/>
        </xdr:cNvPicPr>
      </xdr:nvPicPr>
      <xdr:blipFill>
        <a:blip xmlns:r="http://schemas.openxmlformats.org/officeDocument/2006/relationships" r:embed="rId3896"/>
        <a:stretch>
          <a:fillRect/>
        </a:stretch>
      </xdr:blipFill>
      <xdr:spPr>
        <a:xfrm>
          <a:off x="7235825" y="5140198000"/>
          <a:ext cx="878840" cy="1183640"/>
        </a:xfrm>
        <a:prstGeom prst="rect">
          <a:avLst/>
        </a:prstGeom>
      </xdr:spPr>
    </xdr:pic>
    <xdr:clientData/>
  </xdr:twoCellAnchor>
  <xdr:twoCellAnchor>
    <xdr:from>
      <xdr:col>9</xdr:col>
      <xdr:colOff>6350</xdr:colOff>
      <xdr:row>5070</xdr:row>
      <xdr:rowOff>25400</xdr:rowOff>
    </xdr:from>
    <xdr:to>
      <xdr:col>9</xdr:col>
      <xdr:colOff>885190</xdr:colOff>
      <xdr:row>5070</xdr:row>
      <xdr:rowOff>1209040</xdr:rowOff>
    </xdr:to>
    <xdr:pic>
      <xdr:nvPicPr>
        <xdr:cNvPr id="9285" name="Изображение 9284" descr="resizeПП-00113970"/>
        <xdr:cNvPicPr>
          <a:picLocks noChangeAspect="1"/>
        </xdr:cNvPicPr>
      </xdr:nvPicPr>
      <xdr:blipFill>
        <a:blip xmlns:r="http://schemas.openxmlformats.org/officeDocument/2006/relationships" r:embed="rId3897"/>
        <a:stretch>
          <a:fillRect/>
        </a:stretch>
      </xdr:blipFill>
      <xdr:spPr>
        <a:xfrm>
          <a:off x="7235825" y="5141420375"/>
          <a:ext cx="878840" cy="1183640"/>
        </a:xfrm>
        <a:prstGeom prst="rect">
          <a:avLst/>
        </a:prstGeom>
      </xdr:spPr>
    </xdr:pic>
    <xdr:clientData/>
  </xdr:twoCellAnchor>
  <xdr:twoCellAnchor>
    <xdr:from>
      <xdr:col>9</xdr:col>
      <xdr:colOff>6350</xdr:colOff>
      <xdr:row>5071</xdr:row>
      <xdr:rowOff>25400</xdr:rowOff>
    </xdr:from>
    <xdr:to>
      <xdr:col>9</xdr:col>
      <xdr:colOff>885190</xdr:colOff>
      <xdr:row>5071</xdr:row>
      <xdr:rowOff>1209040</xdr:rowOff>
    </xdr:to>
    <xdr:pic>
      <xdr:nvPicPr>
        <xdr:cNvPr id="9286" name="Изображение 9285" descr="resizeПП-00113971"/>
        <xdr:cNvPicPr>
          <a:picLocks noChangeAspect="1"/>
        </xdr:cNvPicPr>
      </xdr:nvPicPr>
      <xdr:blipFill>
        <a:blip xmlns:r="http://schemas.openxmlformats.org/officeDocument/2006/relationships" r:embed="rId3898"/>
        <a:stretch>
          <a:fillRect/>
        </a:stretch>
      </xdr:blipFill>
      <xdr:spPr>
        <a:xfrm>
          <a:off x="7235825" y="5142642750"/>
          <a:ext cx="878840" cy="1183640"/>
        </a:xfrm>
        <a:prstGeom prst="rect">
          <a:avLst/>
        </a:prstGeom>
      </xdr:spPr>
    </xdr:pic>
    <xdr:clientData/>
  </xdr:twoCellAnchor>
  <xdr:twoCellAnchor>
    <xdr:from>
      <xdr:col>9</xdr:col>
      <xdr:colOff>6350</xdr:colOff>
      <xdr:row>5072</xdr:row>
      <xdr:rowOff>25400</xdr:rowOff>
    </xdr:from>
    <xdr:to>
      <xdr:col>9</xdr:col>
      <xdr:colOff>885190</xdr:colOff>
      <xdr:row>5072</xdr:row>
      <xdr:rowOff>1209040</xdr:rowOff>
    </xdr:to>
    <xdr:pic>
      <xdr:nvPicPr>
        <xdr:cNvPr id="9287" name="Изображение 9286" descr="resizeПП-00113972"/>
        <xdr:cNvPicPr>
          <a:picLocks noChangeAspect="1"/>
        </xdr:cNvPicPr>
      </xdr:nvPicPr>
      <xdr:blipFill>
        <a:blip xmlns:r="http://schemas.openxmlformats.org/officeDocument/2006/relationships" r:embed="rId3899"/>
        <a:stretch>
          <a:fillRect/>
        </a:stretch>
      </xdr:blipFill>
      <xdr:spPr>
        <a:xfrm>
          <a:off x="7235825" y="5143865125"/>
          <a:ext cx="878840" cy="1183640"/>
        </a:xfrm>
        <a:prstGeom prst="rect">
          <a:avLst/>
        </a:prstGeom>
      </xdr:spPr>
    </xdr:pic>
    <xdr:clientData/>
  </xdr:twoCellAnchor>
  <xdr:twoCellAnchor>
    <xdr:from>
      <xdr:col>9</xdr:col>
      <xdr:colOff>6350</xdr:colOff>
      <xdr:row>5073</xdr:row>
      <xdr:rowOff>25400</xdr:rowOff>
    </xdr:from>
    <xdr:to>
      <xdr:col>9</xdr:col>
      <xdr:colOff>885190</xdr:colOff>
      <xdr:row>5073</xdr:row>
      <xdr:rowOff>1209040</xdr:rowOff>
    </xdr:to>
    <xdr:pic>
      <xdr:nvPicPr>
        <xdr:cNvPr id="9288" name="Изображение 9287" descr="resizeПП-00113973"/>
        <xdr:cNvPicPr>
          <a:picLocks noChangeAspect="1"/>
        </xdr:cNvPicPr>
      </xdr:nvPicPr>
      <xdr:blipFill>
        <a:blip xmlns:r="http://schemas.openxmlformats.org/officeDocument/2006/relationships" r:embed="rId3900"/>
        <a:stretch>
          <a:fillRect/>
        </a:stretch>
      </xdr:blipFill>
      <xdr:spPr>
        <a:xfrm>
          <a:off x="7235825" y="5145087500"/>
          <a:ext cx="878840" cy="1183640"/>
        </a:xfrm>
        <a:prstGeom prst="rect">
          <a:avLst/>
        </a:prstGeom>
      </xdr:spPr>
    </xdr:pic>
    <xdr:clientData/>
  </xdr:twoCellAnchor>
  <xdr:twoCellAnchor>
    <xdr:from>
      <xdr:col>9</xdr:col>
      <xdr:colOff>6350</xdr:colOff>
      <xdr:row>5074</xdr:row>
      <xdr:rowOff>25400</xdr:rowOff>
    </xdr:from>
    <xdr:to>
      <xdr:col>9</xdr:col>
      <xdr:colOff>885190</xdr:colOff>
      <xdr:row>5074</xdr:row>
      <xdr:rowOff>1209040</xdr:rowOff>
    </xdr:to>
    <xdr:pic>
      <xdr:nvPicPr>
        <xdr:cNvPr id="9289" name="Изображение 9288" descr="resizeПП-00113974"/>
        <xdr:cNvPicPr>
          <a:picLocks noChangeAspect="1"/>
        </xdr:cNvPicPr>
      </xdr:nvPicPr>
      <xdr:blipFill>
        <a:blip xmlns:r="http://schemas.openxmlformats.org/officeDocument/2006/relationships" r:embed="rId3901"/>
        <a:stretch>
          <a:fillRect/>
        </a:stretch>
      </xdr:blipFill>
      <xdr:spPr>
        <a:xfrm>
          <a:off x="7235825" y="5146309875"/>
          <a:ext cx="878840" cy="1183640"/>
        </a:xfrm>
        <a:prstGeom prst="rect">
          <a:avLst/>
        </a:prstGeom>
      </xdr:spPr>
    </xdr:pic>
    <xdr:clientData/>
  </xdr:twoCellAnchor>
  <xdr:twoCellAnchor>
    <xdr:from>
      <xdr:col>9</xdr:col>
      <xdr:colOff>6350</xdr:colOff>
      <xdr:row>5075</xdr:row>
      <xdr:rowOff>25400</xdr:rowOff>
    </xdr:from>
    <xdr:to>
      <xdr:col>9</xdr:col>
      <xdr:colOff>885190</xdr:colOff>
      <xdr:row>5075</xdr:row>
      <xdr:rowOff>1209040</xdr:rowOff>
    </xdr:to>
    <xdr:pic>
      <xdr:nvPicPr>
        <xdr:cNvPr id="9290" name="Изображение 9289" descr="resizeПП-00113975"/>
        <xdr:cNvPicPr>
          <a:picLocks noChangeAspect="1"/>
        </xdr:cNvPicPr>
      </xdr:nvPicPr>
      <xdr:blipFill>
        <a:blip xmlns:r="http://schemas.openxmlformats.org/officeDocument/2006/relationships" r:embed="rId3902"/>
        <a:stretch>
          <a:fillRect/>
        </a:stretch>
      </xdr:blipFill>
      <xdr:spPr>
        <a:xfrm>
          <a:off x="7235825" y="5147532250"/>
          <a:ext cx="878840" cy="1183640"/>
        </a:xfrm>
        <a:prstGeom prst="rect">
          <a:avLst/>
        </a:prstGeom>
      </xdr:spPr>
    </xdr:pic>
    <xdr:clientData/>
  </xdr:twoCellAnchor>
  <xdr:twoCellAnchor>
    <xdr:from>
      <xdr:col>9</xdr:col>
      <xdr:colOff>6350</xdr:colOff>
      <xdr:row>5076</xdr:row>
      <xdr:rowOff>25400</xdr:rowOff>
    </xdr:from>
    <xdr:to>
      <xdr:col>9</xdr:col>
      <xdr:colOff>885190</xdr:colOff>
      <xdr:row>5076</xdr:row>
      <xdr:rowOff>1209040</xdr:rowOff>
    </xdr:to>
    <xdr:pic>
      <xdr:nvPicPr>
        <xdr:cNvPr id="9291" name="Изображение 9290" descr="resizeПП-00113977"/>
        <xdr:cNvPicPr>
          <a:picLocks noChangeAspect="1"/>
        </xdr:cNvPicPr>
      </xdr:nvPicPr>
      <xdr:blipFill>
        <a:blip xmlns:r="http://schemas.openxmlformats.org/officeDocument/2006/relationships" r:embed="rId3903"/>
        <a:stretch>
          <a:fillRect/>
        </a:stretch>
      </xdr:blipFill>
      <xdr:spPr>
        <a:xfrm>
          <a:off x="7235825" y="5148754625"/>
          <a:ext cx="878840" cy="1183640"/>
        </a:xfrm>
        <a:prstGeom prst="rect">
          <a:avLst/>
        </a:prstGeom>
      </xdr:spPr>
    </xdr:pic>
    <xdr:clientData/>
  </xdr:twoCellAnchor>
  <xdr:twoCellAnchor>
    <xdr:from>
      <xdr:col>9</xdr:col>
      <xdr:colOff>6350</xdr:colOff>
      <xdr:row>5077</xdr:row>
      <xdr:rowOff>25400</xdr:rowOff>
    </xdr:from>
    <xdr:to>
      <xdr:col>9</xdr:col>
      <xdr:colOff>885190</xdr:colOff>
      <xdr:row>5077</xdr:row>
      <xdr:rowOff>1209040</xdr:rowOff>
    </xdr:to>
    <xdr:pic>
      <xdr:nvPicPr>
        <xdr:cNvPr id="9292" name="Изображение 9291" descr="resizeПП-00113979"/>
        <xdr:cNvPicPr>
          <a:picLocks noChangeAspect="1"/>
        </xdr:cNvPicPr>
      </xdr:nvPicPr>
      <xdr:blipFill>
        <a:blip xmlns:r="http://schemas.openxmlformats.org/officeDocument/2006/relationships" r:embed="rId3904"/>
        <a:stretch>
          <a:fillRect/>
        </a:stretch>
      </xdr:blipFill>
      <xdr:spPr>
        <a:xfrm>
          <a:off x="7235825" y="5149977000"/>
          <a:ext cx="878840" cy="1183640"/>
        </a:xfrm>
        <a:prstGeom prst="rect">
          <a:avLst/>
        </a:prstGeom>
      </xdr:spPr>
    </xdr:pic>
    <xdr:clientData/>
  </xdr:twoCellAnchor>
  <xdr:twoCellAnchor>
    <xdr:from>
      <xdr:col>9</xdr:col>
      <xdr:colOff>6350</xdr:colOff>
      <xdr:row>5078</xdr:row>
      <xdr:rowOff>25400</xdr:rowOff>
    </xdr:from>
    <xdr:to>
      <xdr:col>9</xdr:col>
      <xdr:colOff>885190</xdr:colOff>
      <xdr:row>5078</xdr:row>
      <xdr:rowOff>1209040</xdr:rowOff>
    </xdr:to>
    <xdr:pic>
      <xdr:nvPicPr>
        <xdr:cNvPr id="9293" name="Изображение 9292" descr="resizeПП-00113958"/>
        <xdr:cNvPicPr>
          <a:picLocks noChangeAspect="1"/>
        </xdr:cNvPicPr>
      </xdr:nvPicPr>
      <xdr:blipFill>
        <a:blip xmlns:r="http://schemas.openxmlformats.org/officeDocument/2006/relationships" r:embed="rId3905"/>
        <a:stretch>
          <a:fillRect/>
        </a:stretch>
      </xdr:blipFill>
      <xdr:spPr>
        <a:xfrm>
          <a:off x="7235825" y="5151199375"/>
          <a:ext cx="878840" cy="1183640"/>
        </a:xfrm>
        <a:prstGeom prst="rect">
          <a:avLst/>
        </a:prstGeom>
      </xdr:spPr>
    </xdr:pic>
    <xdr:clientData/>
  </xdr:twoCellAnchor>
  <xdr:twoCellAnchor>
    <xdr:from>
      <xdr:col>9</xdr:col>
      <xdr:colOff>6350</xdr:colOff>
      <xdr:row>5079</xdr:row>
      <xdr:rowOff>25400</xdr:rowOff>
    </xdr:from>
    <xdr:to>
      <xdr:col>9</xdr:col>
      <xdr:colOff>885190</xdr:colOff>
      <xdr:row>5079</xdr:row>
      <xdr:rowOff>1209040</xdr:rowOff>
    </xdr:to>
    <xdr:pic>
      <xdr:nvPicPr>
        <xdr:cNvPr id="9294" name="Изображение 9293" descr="resizeПП-00113959"/>
        <xdr:cNvPicPr>
          <a:picLocks noChangeAspect="1"/>
        </xdr:cNvPicPr>
      </xdr:nvPicPr>
      <xdr:blipFill>
        <a:blip xmlns:r="http://schemas.openxmlformats.org/officeDocument/2006/relationships" r:embed="rId3906"/>
        <a:stretch>
          <a:fillRect/>
        </a:stretch>
      </xdr:blipFill>
      <xdr:spPr>
        <a:xfrm>
          <a:off x="7235825" y="5152421750"/>
          <a:ext cx="878840" cy="1183640"/>
        </a:xfrm>
        <a:prstGeom prst="rect">
          <a:avLst/>
        </a:prstGeom>
      </xdr:spPr>
    </xdr:pic>
    <xdr:clientData/>
  </xdr:twoCellAnchor>
  <xdr:twoCellAnchor>
    <xdr:from>
      <xdr:col>9</xdr:col>
      <xdr:colOff>6350</xdr:colOff>
      <xdr:row>5080</xdr:row>
      <xdr:rowOff>25400</xdr:rowOff>
    </xdr:from>
    <xdr:to>
      <xdr:col>9</xdr:col>
      <xdr:colOff>885190</xdr:colOff>
      <xdr:row>5080</xdr:row>
      <xdr:rowOff>1209040</xdr:rowOff>
    </xdr:to>
    <xdr:pic>
      <xdr:nvPicPr>
        <xdr:cNvPr id="9295" name="Изображение 9294" descr="resizeПП-00113961"/>
        <xdr:cNvPicPr>
          <a:picLocks noChangeAspect="1"/>
        </xdr:cNvPicPr>
      </xdr:nvPicPr>
      <xdr:blipFill>
        <a:blip xmlns:r="http://schemas.openxmlformats.org/officeDocument/2006/relationships" r:embed="rId3907"/>
        <a:stretch>
          <a:fillRect/>
        </a:stretch>
      </xdr:blipFill>
      <xdr:spPr>
        <a:xfrm>
          <a:off x="7235825" y="5153644125"/>
          <a:ext cx="878840" cy="1183640"/>
        </a:xfrm>
        <a:prstGeom prst="rect">
          <a:avLst/>
        </a:prstGeom>
      </xdr:spPr>
    </xdr:pic>
    <xdr:clientData/>
  </xdr:twoCellAnchor>
  <xdr:twoCellAnchor>
    <xdr:from>
      <xdr:col>9</xdr:col>
      <xdr:colOff>6350</xdr:colOff>
      <xdr:row>5081</xdr:row>
      <xdr:rowOff>25400</xdr:rowOff>
    </xdr:from>
    <xdr:to>
      <xdr:col>9</xdr:col>
      <xdr:colOff>885190</xdr:colOff>
      <xdr:row>5081</xdr:row>
      <xdr:rowOff>1209040</xdr:rowOff>
    </xdr:to>
    <xdr:pic>
      <xdr:nvPicPr>
        <xdr:cNvPr id="9296" name="Изображение 9295" descr="resizeПП-00113962"/>
        <xdr:cNvPicPr>
          <a:picLocks noChangeAspect="1"/>
        </xdr:cNvPicPr>
      </xdr:nvPicPr>
      <xdr:blipFill>
        <a:blip xmlns:r="http://schemas.openxmlformats.org/officeDocument/2006/relationships" r:embed="rId3908"/>
        <a:stretch>
          <a:fillRect/>
        </a:stretch>
      </xdr:blipFill>
      <xdr:spPr>
        <a:xfrm>
          <a:off x="7235825" y="5154866500"/>
          <a:ext cx="878840" cy="1183640"/>
        </a:xfrm>
        <a:prstGeom prst="rect">
          <a:avLst/>
        </a:prstGeom>
      </xdr:spPr>
    </xdr:pic>
    <xdr:clientData/>
  </xdr:twoCellAnchor>
  <xdr:twoCellAnchor>
    <xdr:from>
      <xdr:col>9</xdr:col>
      <xdr:colOff>6350</xdr:colOff>
      <xdr:row>5082</xdr:row>
      <xdr:rowOff>25400</xdr:rowOff>
    </xdr:from>
    <xdr:to>
      <xdr:col>9</xdr:col>
      <xdr:colOff>885190</xdr:colOff>
      <xdr:row>5082</xdr:row>
      <xdr:rowOff>1209040</xdr:rowOff>
    </xdr:to>
    <xdr:pic>
      <xdr:nvPicPr>
        <xdr:cNvPr id="9297" name="Изображение 9296" descr="resizeПП-00113964"/>
        <xdr:cNvPicPr>
          <a:picLocks noChangeAspect="1"/>
        </xdr:cNvPicPr>
      </xdr:nvPicPr>
      <xdr:blipFill>
        <a:blip xmlns:r="http://schemas.openxmlformats.org/officeDocument/2006/relationships" r:embed="rId3909"/>
        <a:stretch>
          <a:fillRect/>
        </a:stretch>
      </xdr:blipFill>
      <xdr:spPr>
        <a:xfrm>
          <a:off x="7235825" y="5156088875"/>
          <a:ext cx="878840" cy="1183640"/>
        </a:xfrm>
        <a:prstGeom prst="rect">
          <a:avLst/>
        </a:prstGeom>
      </xdr:spPr>
    </xdr:pic>
    <xdr:clientData/>
  </xdr:twoCellAnchor>
  <xdr:twoCellAnchor>
    <xdr:from>
      <xdr:col>9</xdr:col>
      <xdr:colOff>6350</xdr:colOff>
      <xdr:row>5083</xdr:row>
      <xdr:rowOff>25400</xdr:rowOff>
    </xdr:from>
    <xdr:to>
      <xdr:col>9</xdr:col>
      <xdr:colOff>885190</xdr:colOff>
      <xdr:row>5083</xdr:row>
      <xdr:rowOff>1209040</xdr:rowOff>
    </xdr:to>
    <xdr:pic>
      <xdr:nvPicPr>
        <xdr:cNvPr id="9298" name="Изображение 9297" descr="resizeПП-00122710"/>
        <xdr:cNvPicPr>
          <a:picLocks noChangeAspect="1"/>
        </xdr:cNvPicPr>
      </xdr:nvPicPr>
      <xdr:blipFill>
        <a:blip xmlns:r="http://schemas.openxmlformats.org/officeDocument/2006/relationships" r:embed="rId3910"/>
        <a:stretch>
          <a:fillRect/>
        </a:stretch>
      </xdr:blipFill>
      <xdr:spPr>
        <a:xfrm>
          <a:off x="7235825" y="5157311250"/>
          <a:ext cx="878840" cy="1183640"/>
        </a:xfrm>
        <a:prstGeom prst="rect">
          <a:avLst/>
        </a:prstGeom>
      </xdr:spPr>
    </xdr:pic>
    <xdr:clientData/>
  </xdr:twoCellAnchor>
  <xdr:twoCellAnchor>
    <xdr:from>
      <xdr:col>9</xdr:col>
      <xdr:colOff>6350</xdr:colOff>
      <xdr:row>5084</xdr:row>
      <xdr:rowOff>25400</xdr:rowOff>
    </xdr:from>
    <xdr:to>
      <xdr:col>9</xdr:col>
      <xdr:colOff>885190</xdr:colOff>
      <xdr:row>5084</xdr:row>
      <xdr:rowOff>1209040</xdr:rowOff>
    </xdr:to>
    <xdr:pic>
      <xdr:nvPicPr>
        <xdr:cNvPr id="9299" name="Изображение 9298" descr="resizeПП-00122808"/>
        <xdr:cNvPicPr>
          <a:picLocks noChangeAspect="1"/>
        </xdr:cNvPicPr>
      </xdr:nvPicPr>
      <xdr:blipFill>
        <a:blip xmlns:r="http://schemas.openxmlformats.org/officeDocument/2006/relationships" r:embed="rId3911"/>
        <a:stretch>
          <a:fillRect/>
        </a:stretch>
      </xdr:blipFill>
      <xdr:spPr>
        <a:xfrm>
          <a:off x="7235825" y="5158533625"/>
          <a:ext cx="878840" cy="1183640"/>
        </a:xfrm>
        <a:prstGeom prst="rect">
          <a:avLst/>
        </a:prstGeom>
      </xdr:spPr>
    </xdr:pic>
    <xdr:clientData/>
  </xdr:twoCellAnchor>
  <xdr:twoCellAnchor>
    <xdr:from>
      <xdr:col>9</xdr:col>
      <xdr:colOff>6350</xdr:colOff>
      <xdr:row>5085</xdr:row>
      <xdr:rowOff>25400</xdr:rowOff>
    </xdr:from>
    <xdr:to>
      <xdr:col>9</xdr:col>
      <xdr:colOff>885190</xdr:colOff>
      <xdr:row>5085</xdr:row>
      <xdr:rowOff>1209040</xdr:rowOff>
    </xdr:to>
    <xdr:pic>
      <xdr:nvPicPr>
        <xdr:cNvPr id="9300" name="Изображение 9299" descr="resizeПП-00122809"/>
        <xdr:cNvPicPr>
          <a:picLocks noChangeAspect="1"/>
        </xdr:cNvPicPr>
      </xdr:nvPicPr>
      <xdr:blipFill>
        <a:blip xmlns:r="http://schemas.openxmlformats.org/officeDocument/2006/relationships" r:embed="rId3912"/>
        <a:stretch>
          <a:fillRect/>
        </a:stretch>
      </xdr:blipFill>
      <xdr:spPr>
        <a:xfrm>
          <a:off x="7235825" y="5159756000"/>
          <a:ext cx="878840" cy="1183640"/>
        </a:xfrm>
        <a:prstGeom prst="rect">
          <a:avLst/>
        </a:prstGeom>
      </xdr:spPr>
    </xdr:pic>
    <xdr:clientData/>
  </xdr:twoCellAnchor>
  <xdr:twoCellAnchor>
    <xdr:from>
      <xdr:col>9</xdr:col>
      <xdr:colOff>6350</xdr:colOff>
      <xdr:row>5086</xdr:row>
      <xdr:rowOff>25400</xdr:rowOff>
    </xdr:from>
    <xdr:to>
      <xdr:col>9</xdr:col>
      <xdr:colOff>885190</xdr:colOff>
      <xdr:row>5086</xdr:row>
      <xdr:rowOff>1209040</xdr:rowOff>
    </xdr:to>
    <xdr:pic>
      <xdr:nvPicPr>
        <xdr:cNvPr id="9301" name="Изображение 9300" descr="resizeПП-00122810"/>
        <xdr:cNvPicPr>
          <a:picLocks noChangeAspect="1"/>
        </xdr:cNvPicPr>
      </xdr:nvPicPr>
      <xdr:blipFill>
        <a:blip xmlns:r="http://schemas.openxmlformats.org/officeDocument/2006/relationships" r:embed="rId3913"/>
        <a:stretch>
          <a:fillRect/>
        </a:stretch>
      </xdr:blipFill>
      <xdr:spPr>
        <a:xfrm>
          <a:off x="7235825" y="5160978375"/>
          <a:ext cx="878840" cy="1183640"/>
        </a:xfrm>
        <a:prstGeom prst="rect">
          <a:avLst/>
        </a:prstGeom>
      </xdr:spPr>
    </xdr:pic>
    <xdr:clientData/>
  </xdr:twoCellAnchor>
  <xdr:twoCellAnchor>
    <xdr:from>
      <xdr:col>9</xdr:col>
      <xdr:colOff>6350</xdr:colOff>
      <xdr:row>5087</xdr:row>
      <xdr:rowOff>25400</xdr:rowOff>
    </xdr:from>
    <xdr:to>
      <xdr:col>9</xdr:col>
      <xdr:colOff>885190</xdr:colOff>
      <xdr:row>5087</xdr:row>
      <xdr:rowOff>1209040</xdr:rowOff>
    </xdr:to>
    <xdr:pic>
      <xdr:nvPicPr>
        <xdr:cNvPr id="9302" name="Изображение 9301" descr="resizeПП-00122812"/>
        <xdr:cNvPicPr>
          <a:picLocks noChangeAspect="1"/>
        </xdr:cNvPicPr>
      </xdr:nvPicPr>
      <xdr:blipFill>
        <a:blip xmlns:r="http://schemas.openxmlformats.org/officeDocument/2006/relationships" r:embed="rId3914"/>
        <a:stretch>
          <a:fillRect/>
        </a:stretch>
      </xdr:blipFill>
      <xdr:spPr>
        <a:xfrm>
          <a:off x="7235825" y="5162200750"/>
          <a:ext cx="878840" cy="1183640"/>
        </a:xfrm>
        <a:prstGeom prst="rect">
          <a:avLst/>
        </a:prstGeom>
      </xdr:spPr>
    </xdr:pic>
    <xdr:clientData/>
  </xdr:twoCellAnchor>
  <xdr:twoCellAnchor>
    <xdr:from>
      <xdr:col>9</xdr:col>
      <xdr:colOff>6350</xdr:colOff>
      <xdr:row>5088</xdr:row>
      <xdr:rowOff>25400</xdr:rowOff>
    </xdr:from>
    <xdr:to>
      <xdr:col>9</xdr:col>
      <xdr:colOff>885190</xdr:colOff>
      <xdr:row>5088</xdr:row>
      <xdr:rowOff>1209040</xdr:rowOff>
    </xdr:to>
    <xdr:pic>
      <xdr:nvPicPr>
        <xdr:cNvPr id="9303" name="Изображение 9302" descr="resizeПП-00122813"/>
        <xdr:cNvPicPr>
          <a:picLocks noChangeAspect="1"/>
        </xdr:cNvPicPr>
      </xdr:nvPicPr>
      <xdr:blipFill>
        <a:blip xmlns:r="http://schemas.openxmlformats.org/officeDocument/2006/relationships" r:embed="rId3915"/>
        <a:stretch>
          <a:fillRect/>
        </a:stretch>
      </xdr:blipFill>
      <xdr:spPr>
        <a:xfrm>
          <a:off x="7235825" y="5163423125"/>
          <a:ext cx="878840" cy="1183640"/>
        </a:xfrm>
        <a:prstGeom prst="rect">
          <a:avLst/>
        </a:prstGeom>
      </xdr:spPr>
    </xdr:pic>
    <xdr:clientData/>
  </xdr:twoCellAnchor>
  <xdr:twoCellAnchor>
    <xdr:from>
      <xdr:col>9</xdr:col>
      <xdr:colOff>6350</xdr:colOff>
      <xdr:row>5089</xdr:row>
      <xdr:rowOff>25400</xdr:rowOff>
    </xdr:from>
    <xdr:to>
      <xdr:col>9</xdr:col>
      <xdr:colOff>885190</xdr:colOff>
      <xdr:row>5089</xdr:row>
      <xdr:rowOff>1209040</xdr:rowOff>
    </xdr:to>
    <xdr:pic>
      <xdr:nvPicPr>
        <xdr:cNvPr id="9304" name="Изображение 9303" descr="resizeПП-00122814"/>
        <xdr:cNvPicPr>
          <a:picLocks noChangeAspect="1"/>
        </xdr:cNvPicPr>
      </xdr:nvPicPr>
      <xdr:blipFill>
        <a:blip xmlns:r="http://schemas.openxmlformats.org/officeDocument/2006/relationships" r:embed="rId3916"/>
        <a:stretch>
          <a:fillRect/>
        </a:stretch>
      </xdr:blipFill>
      <xdr:spPr>
        <a:xfrm>
          <a:off x="7235825" y="5164645500"/>
          <a:ext cx="878840" cy="1183640"/>
        </a:xfrm>
        <a:prstGeom prst="rect">
          <a:avLst/>
        </a:prstGeom>
      </xdr:spPr>
    </xdr:pic>
    <xdr:clientData/>
  </xdr:twoCellAnchor>
  <xdr:twoCellAnchor>
    <xdr:from>
      <xdr:col>9</xdr:col>
      <xdr:colOff>6350</xdr:colOff>
      <xdr:row>5090</xdr:row>
      <xdr:rowOff>25400</xdr:rowOff>
    </xdr:from>
    <xdr:to>
      <xdr:col>9</xdr:col>
      <xdr:colOff>885190</xdr:colOff>
      <xdr:row>5090</xdr:row>
      <xdr:rowOff>1209040</xdr:rowOff>
    </xdr:to>
    <xdr:pic>
      <xdr:nvPicPr>
        <xdr:cNvPr id="9305" name="Изображение 9304" descr="resizeПП-00122815"/>
        <xdr:cNvPicPr>
          <a:picLocks noChangeAspect="1"/>
        </xdr:cNvPicPr>
      </xdr:nvPicPr>
      <xdr:blipFill>
        <a:blip xmlns:r="http://schemas.openxmlformats.org/officeDocument/2006/relationships" r:embed="rId3917"/>
        <a:stretch>
          <a:fillRect/>
        </a:stretch>
      </xdr:blipFill>
      <xdr:spPr>
        <a:xfrm>
          <a:off x="7235825" y="5165867875"/>
          <a:ext cx="878840" cy="1183640"/>
        </a:xfrm>
        <a:prstGeom prst="rect">
          <a:avLst/>
        </a:prstGeom>
      </xdr:spPr>
    </xdr:pic>
    <xdr:clientData/>
  </xdr:twoCellAnchor>
  <xdr:twoCellAnchor>
    <xdr:from>
      <xdr:col>9</xdr:col>
      <xdr:colOff>6350</xdr:colOff>
      <xdr:row>5091</xdr:row>
      <xdr:rowOff>25400</xdr:rowOff>
    </xdr:from>
    <xdr:to>
      <xdr:col>9</xdr:col>
      <xdr:colOff>885190</xdr:colOff>
      <xdr:row>5091</xdr:row>
      <xdr:rowOff>1209040</xdr:rowOff>
    </xdr:to>
    <xdr:pic>
      <xdr:nvPicPr>
        <xdr:cNvPr id="9306" name="Изображение 9305" descr="resizeПП-00122817"/>
        <xdr:cNvPicPr>
          <a:picLocks noChangeAspect="1"/>
        </xdr:cNvPicPr>
      </xdr:nvPicPr>
      <xdr:blipFill>
        <a:blip xmlns:r="http://schemas.openxmlformats.org/officeDocument/2006/relationships" r:embed="rId3918"/>
        <a:stretch>
          <a:fillRect/>
        </a:stretch>
      </xdr:blipFill>
      <xdr:spPr>
        <a:xfrm>
          <a:off x="7235825" y="5167090250"/>
          <a:ext cx="878840" cy="1183640"/>
        </a:xfrm>
        <a:prstGeom prst="rect">
          <a:avLst/>
        </a:prstGeom>
      </xdr:spPr>
    </xdr:pic>
    <xdr:clientData/>
  </xdr:twoCellAnchor>
  <xdr:twoCellAnchor>
    <xdr:from>
      <xdr:col>9</xdr:col>
      <xdr:colOff>6350</xdr:colOff>
      <xdr:row>5092</xdr:row>
      <xdr:rowOff>25400</xdr:rowOff>
    </xdr:from>
    <xdr:to>
      <xdr:col>9</xdr:col>
      <xdr:colOff>885190</xdr:colOff>
      <xdr:row>5092</xdr:row>
      <xdr:rowOff>1209040</xdr:rowOff>
    </xdr:to>
    <xdr:pic>
      <xdr:nvPicPr>
        <xdr:cNvPr id="9307" name="Изображение 9306" descr="resizeПП-00182673"/>
        <xdr:cNvPicPr>
          <a:picLocks noChangeAspect="1"/>
        </xdr:cNvPicPr>
      </xdr:nvPicPr>
      <xdr:blipFill>
        <a:blip xmlns:r="http://schemas.openxmlformats.org/officeDocument/2006/relationships" r:embed="rId3919"/>
        <a:stretch>
          <a:fillRect/>
        </a:stretch>
      </xdr:blipFill>
      <xdr:spPr>
        <a:xfrm>
          <a:off x="7235825" y="5168312625"/>
          <a:ext cx="878840" cy="1183640"/>
        </a:xfrm>
        <a:prstGeom prst="rect">
          <a:avLst/>
        </a:prstGeom>
      </xdr:spPr>
    </xdr:pic>
    <xdr:clientData/>
  </xdr:twoCellAnchor>
  <xdr:twoCellAnchor>
    <xdr:from>
      <xdr:col>9</xdr:col>
      <xdr:colOff>6350</xdr:colOff>
      <xdr:row>5093</xdr:row>
      <xdr:rowOff>25400</xdr:rowOff>
    </xdr:from>
    <xdr:to>
      <xdr:col>9</xdr:col>
      <xdr:colOff>885190</xdr:colOff>
      <xdr:row>5093</xdr:row>
      <xdr:rowOff>1209040</xdr:rowOff>
    </xdr:to>
    <xdr:pic>
      <xdr:nvPicPr>
        <xdr:cNvPr id="9308" name="Изображение 9307" descr="resizeПП-00131682"/>
        <xdr:cNvPicPr>
          <a:picLocks noChangeAspect="1"/>
        </xdr:cNvPicPr>
      </xdr:nvPicPr>
      <xdr:blipFill>
        <a:blip xmlns:r="http://schemas.openxmlformats.org/officeDocument/2006/relationships" r:embed="rId3920"/>
        <a:stretch>
          <a:fillRect/>
        </a:stretch>
      </xdr:blipFill>
      <xdr:spPr>
        <a:xfrm>
          <a:off x="7235825" y="5169535000"/>
          <a:ext cx="878840" cy="1183640"/>
        </a:xfrm>
        <a:prstGeom prst="rect">
          <a:avLst/>
        </a:prstGeom>
      </xdr:spPr>
    </xdr:pic>
    <xdr:clientData/>
  </xdr:twoCellAnchor>
  <xdr:twoCellAnchor>
    <xdr:from>
      <xdr:col>9</xdr:col>
      <xdr:colOff>6350</xdr:colOff>
      <xdr:row>5094</xdr:row>
      <xdr:rowOff>25400</xdr:rowOff>
    </xdr:from>
    <xdr:to>
      <xdr:col>9</xdr:col>
      <xdr:colOff>885190</xdr:colOff>
      <xdr:row>5094</xdr:row>
      <xdr:rowOff>1209040</xdr:rowOff>
    </xdr:to>
    <xdr:pic>
      <xdr:nvPicPr>
        <xdr:cNvPr id="9309" name="Изображение 9308" descr="resizeПП-00131683"/>
        <xdr:cNvPicPr>
          <a:picLocks noChangeAspect="1"/>
        </xdr:cNvPicPr>
      </xdr:nvPicPr>
      <xdr:blipFill>
        <a:blip xmlns:r="http://schemas.openxmlformats.org/officeDocument/2006/relationships" r:embed="rId3921"/>
        <a:stretch>
          <a:fillRect/>
        </a:stretch>
      </xdr:blipFill>
      <xdr:spPr>
        <a:xfrm>
          <a:off x="7235825" y="5170757375"/>
          <a:ext cx="878840" cy="1183640"/>
        </a:xfrm>
        <a:prstGeom prst="rect">
          <a:avLst/>
        </a:prstGeom>
      </xdr:spPr>
    </xdr:pic>
    <xdr:clientData/>
  </xdr:twoCellAnchor>
  <xdr:twoCellAnchor>
    <xdr:from>
      <xdr:col>9</xdr:col>
      <xdr:colOff>6350</xdr:colOff>
      <xdr:row>5095</xdr:row>
      <xdr:rowOff>25400</xdr:rowOff>
    </xdr:from>
    <xdr:to>
      <xdr:col>9</xdr:col>
      <xdr:colOff>885190</xdr:colOff>
      <xdr:row>5095</xdr:row>
      <xdr:rowOff>1209040</xdr:rowOff>
    </xdr:to>
    <xdr:pic>
      <xdr:nvPicPr>
        <xdr:cNvPr id="9310" name="Изображение 9309" descr="resizeПП-00131684"/>
        <xdr:cNvPicPr>
          <a:picLocks noChangeAspect="1"/>
        </xdr:cNvPicPr>
      </xdr:nvPicPr>
      <xdr:blipFill>
        <a:blip xmlns:r="http://schemas.openxmlformats.org/officeDocument/2006/relationships" r:embed="rId3922"/>
        <a:stretch>
          <a:fillRect/>
        </a:stretch>
      </xdr:blipFill>
      <xdr:spPr>
        <a:xfrm>
          <a:off x="7235825" y="5171979750"/>
          <a:ext cx="878840" cy="1183640"/>
        </a:xfrm>
        <a:prstGeom prst="rect">
          <a:avLst/>
        </a:prstGeom>
      </xdr:spPr>
    </xdr:pic>
    <xdr:clientData/>
  </xdr:twoCellAnchor>
  <xdr:twoCellAnchor>
    <xdr:from>
      <xdr:col>9</xdr:col>
      <xdr:colOff>6350</xdr:colOff>
      <xdr:row>5096</xdr:row>
      <xdr:rowOff>25400</xdr:rowOff>
    </xdr:from>
    <xdr:to>
      <xdr:col>9</xdr:col>
      <xdr:colOff>885190</xdr:colOff>
      <xdr:row>5096</xdr:row>
      <xdr:rowOff>1209040</xdr:rowOff>
    </xdr:to>
    <xdr:pic>
      <xdr:nvPicPr>
        <xdr:cNvPr id="9311" name="Изображение 9310" descr="resizeПП-00131685"/>
        <xdr:cNvPicPr>
          <a:picLocks noChangeAspect="1"/>
        </xdr:cNvPicPr>
      </xdr:nvPicPr>
      <xdr:blipFill>
        <a:blip xmlns:r="http://schemas.openxmlformats.org/officeDocument/2006/relationships" r:embed="rId3923"/>
        <a:stretch>
          <a:fillRect/>
        </a:stretch>
      </xdr:blipFill>
      <xdr:spPr>
        <a:xfrm>
          <a:off x="7235825" y="5173202125"/>
          <a:ext cx="878840" cy="1183640"/>
        </a:xfrm>
        <a:prstGeom prst="rect">
          <a:avLst/>
        </a:prstGeom>
      </xdr:spPr>
    </xdr:pic>
    <xdr:clientData/>
  </xdr:twoCellAnchor>
  <xdr:twoCellAnchor>
    <xdr:from>
      <xdr:col>9</xdr:col>
      <xdr:colOff>6350</xdr:colOff>
      <xdr:row>5097</xdr:row>
      <xdr:rowOff>25400</xdr:rowOff>
    </xdr:from>
    <xdr:to>
      <xdr:col>9</xdr:col>
      <xdr:colOff>885190</xdr:colOff>
      <xdr:row>5097</xdr:row>
      <xdr:rowOff>1209040</xdr:rowOff>
    </xdr:to>
    <xdr:pic>
      <xdr:nvPicPr>
        <xdr:cNvPr id="9312" name="Изображение 9311" descr="resizeПП-00131686"/>
        <xdr:cNvPicPr>
          <a:picLocks noChangeAspect="1"/>
        </xdr:cNvPicPr>
      </xdr:nvPicPr>
      <xdr:blipFill>
        <a:blip xmlns:r="http://schemas.openxmlformats.org/officeDocument/2006/relationships" r:embed="rId3924"/>
        <a:stretch>
          <a:fillRect/>
        </a:stretch>
      </xdr:blipFill>
      <xdr:spPr>
        <a:xfrm>
          <a:off x="7235825" y="5174424500"/>
          <a:ext cx="878840" cy="1183640"/>
        </a:xfrm>
        <a:prstGeom prst="rect">
          <a:avLst/>
        </a:prstGeom>
      </xdr:spPr>
    </xdr:pic>
    <xdr:clientData/>
  </xdr:twoCellAnchor>
  <xdr:twoCellAnchor>
    <xdr:from>
      <xdr:col>9</xdr:col>
      <xdr:colOff>6350</xdr:colOff>
      <xdr:row>5098</xdr:row>
      <xdr:rowOff>25400</xdr:rowOff>
    </xdr:from>
    <xdr:to>
      <xdr:col>9</xdr:col>
      <xdr:colOff>885190</xdr:colOff>
      <xdr:row>5098</xdr:row>
      <xdr:rowOff>1209040</xdr:rowOff>
    </xdr:to>
    <xdr:pic>
      <xdr:nvPicPr>
        <xdr:cNvPr id="9313" name="Изображение 9312" descr="resizeПП-00131687"/>
        <xdr:cNvPicPr>
          <a:picLocks noChangeAspect="1"/>
        </xdr:cNvPicPr>
      </xdr:nvPicPr>
      <xdr:blipFill>
        <a:blip xmlns:r="http://schemas.openxmlformats.org/officeDocument/2006/relationships" r:embed="rId3925"/>
        <a:stretch>
          <a:fillRect/>
        </a:stretch>
      </xdr:blipFill>
      <xdr:spPr>
        <a:xfrm>
          <a:off x="7235825" y="5175646875"/>
          <a:ext cx="878840" cy="1183640"/>
        </a:xfrm>
        <a:prstGeom prst="rect">
          <a:avLst/>
        </a:prstGeom>
      </xdr:spPr>
    </xdr:pic>
    <xdr:clientData/>
  </xdr:twoCellAnchor>
  <xdr:twoCellAnchor>
    <xdr:from>
      <xdr:col>9</xdr:col>
      <xdr:colOff>6350</xdr:colOff>
      <xdr:row>5099</xdr:row>
      <xdr:rowOff>25400</xdr:rowOff>
    </xdr:from>
    <xdr:to>
      <xdr:col>9</xdr:col>
      <xdr:colOff>885190</xdr:colOff>
      <xdr:row>5099</xdr:row>
      <xdr:rowOff>1209040</xdr:rowOff>
    </xdr:to>
    <xdr:pic>
      <xdr:nvPicPr>
        <xdr:cNvPr id="9314" name="Изображение 9313" descr="resizeПП-00131688"/>
        <xdr:cNvPicPr>
          <a:picLocks noChangeAspect="1"/>
        </xdr:cNvPicPr>
      </xdr:nvPicPr>
      <xdr:blipFill>
        <a:blip xmlns:r="http://schemas.openxmlformats.org/officeDocument/2006/relationships" r:embed="rId3926"/>
        <a:stretch>
          <a:fillRect/>
        </a:stretch>
      </xdr:blipFill>
      <xdr:spPr>
        <a:xfrm>
          <a:off x="7235825" y="5176869250"/>
          <a:ext cx="878840" cy="1183640"/>
        </a:xfrm>
        <a:prstGeom prst="rect">
          <a:avLst/>
        </a:prstGeom>
      </xdr:spPr>
    </xdr:pic>
    <xdr:clientData/>
  </xdr:twoCellAnchor>
  <xdr:twoCellAnchor>
    <xdr:from>
      <xdr:col>9</xdr:col>
      <xdr:colOff>6350</xdr:colOff>
      <xdr:row>5100</xdr:row>
      <xdr:rowOff>25400</xdr:rowOff>
    </xdr:from>
    <xdr:to>
      <xdr:col>9</xdr:col>
      <xdr:colOff>885190</xdr:colOff>
      <xdr:row>5100</xdr:row>
      <xdr:rowOff>1209040</xdr:rowOff>
    </xdr:to>
    <xdr:pic>
      <xdr:nvPicPr>
        <xdr:cNvPr id="9315" name="Изображение 9314" descr="resizeПП-00131689"/>
        <xdr:cNvPicPr>
          <a:picLocks noChangeAspect="1"/>
        </xdr:cNvPicPr>
      </xdr:nvPicPr>
      <xdr:blipFill>
        <a:blip xmlns:r="http://schemas.openxmlformats.org/officeDocument/2006/relationships" r:embed="rId3927"/>
        <a:stretch>
          <a:fillRect/>
        </a:stretch>
      </xdr:blipFill>
      <xdr:spPr>
        <a:xfrm>
          <a:off x="7235825" y="5178091625"/>
          <a:ext cx="878840" cy="1183640"/>
        </a:xfrm>
        <a:prstGeom prst="rect">
          <a:avLst/>
        </a:prstGeom>
      </xdr:spPr>
    </xdr:pic>
    <xdr:clientData/>
  </xdr:twoCellAnchor>
  <xdr:twoCellAnchor>
    <xdr:from>
      <xdr:col>9</xdr:col>
      <xdr:colOff>6350</xdr:colOff>
      <xdr:row>5101</xdr:row>
      <xdr:rowOff>25400</xdr:rowOff>
    </xdr:from>
    <xdr:to>
      <xdr:col>9</xdr:col>
      <xdr:colOff>885190</xdr:colOff>
      <xdr:row>5101</xdr:row>
      <xdr:rowOff>1209040</xdr:rowOff>
    </xdr:to>
    <xdr:pic>
      <xdr:nvPicPr>
        <xdr:cNvPr id="9316" name="Изображение 9315" descr="resizeПП-00096773"/>
        <xdr:cNvPicPr>
          <a:picLocks noChangeAspect="1"/>
        </xdr:cNvPicPr>
      </xdr:nvPicPr>
      <xdr:blipFill>
        <a:blip xmlns:r="http://schemas.openxmlformats.org/officeDocument/2006/relationships" r:embed="rId3928"/>
        <a:stretch>
          <a:fillRect/>
        </a:stretch>
      </xdr:blipFill>
      <xdr:spPr>
        <a:xfrm>
          <a:off x="7235825" y="5179314000"/>
          <a:ext cx="878840" cy="1183640"/>
        </a:xfrm>
        <a:prstGeom prst="rect">
          <a:avLst/>
        </a:prstGeom>
      </xdr:spPr>
    </xdr:pic>
    <xdr:clientData/>
  </xdr:twoCellAnchor>
  <xdr:twoCellAnchor>
    <xdr:from>
      <xdr:col>9</xdr:col>
      <xdr:colOff>6350</xdr:colOff>
      <xdr:row>5102</xdr:row>
      <xdr:rowOff>25400</xdr:rowOff>
    </xdr:from>
    <xdr:to>
      <xdr:col>9</xdr:col>
      <xdr:colOff>885190</xdr:colOff>
      <xdr:row>5102</xdr:row>
      <xdr:rowOff>1209040</xdr:rowOff>
    </xdr:to>
    <xdr:pic>
      <xdr:nvPicPr>
        <xdr:cNvPr id="9317" name="Изображение 9316" descr="resizeПП-00096838"/>
        <xdr:cNvPicPr>
          <a:picLocks noChangeAspect="1"/>
        </xdr:cNvPicPr>
      </xdr:nvPicPr>
      <xdr:blipFill>
        <a:blip xmlns:r="http://schemas.openxmlformats.org/officeDocument/2006/relationships" r:embed="rId3929"/>
        <a:stretch>
          <a:fillRect/>
        </a:stretch>
      </xdr:blipFill>
      <xdr:spPr>
        <a:xfrm>
          <a:off x="7235825" y="5180536375"/>
          <a:ext cx="878840" cy="1183640"/>
        </a:xfrm>
        <a:prstGeom prst="rect">
          <a:avLst/>
        </a:prstGeom>
      </xdr:spPr>
    </xdr:pic>
    <xdr:clientData/>
  </xdr:twoCellAnchor>
  <xdr:twoCellAnchor>
    <xdr:from>
      <xdr:col>9</xdr:col>
      <xdr:colOff>6350</xdr:colOff>
      <xdr:row>5103</xdr:row>
      <xdr:rowOff>25400</xdr:rowOff>
    </xdr:from>
    <xdr:to>
      <xdr:col>9</xdr:col>
      <xdr:colOff>885190</xdr:colOff>
      <xdr:row>5103</xdr:row>
      <xdr:rowOff>1209040</xdr:rowOff>
    </xdr:to>
    <xdr:pic>
      <xdr:nvPicPr>
        <xdr:cNvPr id="9318" name="Изображение 9317" descr="resizeПП-00096839"/>
        <xdr:cNvPicPr>
          <a:picLocks noChangeAspect="1"/>
        </xdr:cNvPicPr>
      </xdr:nvPicPr>
      <xdr:blipFill>
        <a:blip xmlns:r="http://schemas.openxmlformats.org/officeDocument/2006/relationships" r:embed="rId3930"/>
        <a:stretch>
          <a:fillRect/>
        </a:stretch>
      </xdr:blipFill>
      <xdr:spPr>
        <a:xfrm>
          <a:off x="7235825" y="5181758750"/>
          <a:ext cx="878840" cy="1183640"/>
        </a:xfrm>
        <a:prstGeom prst="rect">
          <a:avLst/>
        </a:prstGeom>
      </xdr:spPr>
    </xdr:pic>
    <xdr:clientData/>
  </xdr:twoCellAnchor>
  <xdr:twoCellAnchor>
    <xdr:from>
      <xdr:col>9</xdr:col>
      <xdr:colOff>6350</xdr:colOff>
      <xdr:row>5104</xdr:row>
      <xdr:rowOff>25400</xdr:rowOff>
    </xdr:from>
    <xdr:to>
      <xdr:col>9</xdr:col>
      <xdr:colOff>885190</xdr:colOff>
      <xdr:row>5104</xdr:row>
      <xdr:rowOff>1209040</xdr:rowOff>
    </xdr:to>
    <xdr:pic>
      <xdr:nvPicPr>
        <xdr:cNvPr id="9319" name="Изображение 9318" descr="resizeПП-00096840"/>
        <xdr:cNvPicPr>
          <a:picLocks noChangeAspect="1"/>
        </xdr:cNvPicPr>
      </xdr:nvPicPr>
      <xdr:blipFill>
        <a:blip xmlns:r="http://schemas.openxmlformats.org/officeDocument/2006/relationships" r:embed="rId3931"/>
        <a:stretch>
          <a:fillRect/>
        </a:stretch>
      </xdr:blipFill>
      <xdr:spPr>
        <a:xfrm>
          <a:off x="7235825" y="5182981125"/>
          <a:ext cx="878840" cy="1183640"/>
        </a:xfrm>
        <a:prstGeom prst="rect">
          <a:avLst/>
        </a:prstGeom>
      </xdr:spPr>
    </xdr:pic>
    <xdr:clientData/>
  </xdr:twoCellAnchor>
  <xdr:twoCellAnchor>
    <xdr:from>
      <xdr:col>9</xdr:col>
      <xdr:colOff>6350</xdr:colOff>
      <xdr:row>5105</xdr:row>
      <xdr:rowOff>25400</xdr:rowOff>
    </xdr:from>
    <xdr:to>
      <xdr:col>9</xdr:col>
      <xdr:colOff>885190</xdr:colOff>
      <xdr:row>5105</xdr:row>
      <xdr:rowOff>1209040</xdr:rowOff>
    </xdr:to>
    <xdr:pic>
      <xdr:nvPicPr>
        <xdr:cNvPr id="9320" name="Изображение 9319" descr="resizeПП-00096841"/>
        <xdr:cNvPicPr>
          <a:picLocks noChangeAspect="1"/>
        </xdr:cNvPicPr>
      </xdr:nvPicPr>
      <xdr:blipFill>
        <a:blip xmlns:r="http://schemas.openxmlformats.org/officeDocument/2006/relationships" r:embed="rId3932"/>
        <a:stretch>
          <a:fillRect/>
        </a:stretch>
      </xdr:blipFill>
      <xdr:spPr>
        <a:xfrm>
          <a:off x="7235825" y="5184203500"/>
          <a:ext cx="878840" cy="1183640"/>
        </a:xfrm>
        <a:prstGeom prst="rect">
          <a:avLst/>
        </a:prstGeom>
      </xdr:spPr>
    </xdr:pic>
    <xdr:clientData/>
  </xdr:twoCellAnchor>
  <xdr:twoCellAnchor>
    <xdr:from>
      <xdr:col>9</xdr:col>
      <xdr:colOff>6350</xdr:colOff>
      <xdr:row>5106</xdr:row>
      <xdr:rowOff>25400</xdr:rowOff>
    </xdr:from>
    <xdr:to>
      <xdr:col>9</xdr:col>
      <xdr:colOff>885190</xdr:colOff>
      <xdr:row>5106</xdr:row>
      <xdr:rowOff>1209040</xdr:rowOff>
    </xdr:to>
    <xdr:pic>
      <xdr:nvPicPr>
        <xdr:cNvPr id="9321" name="Изображение 9320" descr="resizeПП-00096842"/>
        <xdr:cNvPicPr>
          <a:picLocks noChangeAspect="1"/>
        </xdr:cNvPicPr>
      </xdr:nvPicPr>
      <xdr:blipFill>
        <a:blip xmlns:r="http://schemas.openxmlformats.org/officeDocument/2006/relationships" r:embed="rId3933"/>
        <a:stretch>
          <a:fillRect/>
        </a:stretch>
      </xdr:blipFill>
      <xdr:spPr>
        <a:xfrm>
          <a:off x="7235825" y="5185425875"/>
          <a:ext cx="878840" cy="1183640"/>
        </a:xfrm>
        <a:prstGeom prst="rect">
          <a:avLst/>
        </a:prstGeom>
      </xdr:spPr>
    </xdr:pic>
    <xdr:clientData/>
  </xdr:twoCellAnchor>
  <xdr:twoCellAnchor>
    <xdr:from>
      <xdr:col>9</xdr:col>
      <xdr:colOff>6350</xdr:colOff>
      <xdr:row>5107</xdr:row>
      <xdr:rowOff>25400</xdr:rowOff>
    </xdr:from>
    <xdr:to>
      <xdr:col>9</xdr:col>
      <xdr:colOff>885190</xdr:colOff>
      <xdr:row>5107</xdr:row>
      <xdr:rowOff>1209040</xdr:rowOff>
    </xdr:to>
    <xdr:pic>
      <xdr:nvPicPr>
        <xdr:cNvPr id="9322" name="Изображение 9321" descr="resizeПП-00096843"/>
        <xdr:cNvPicPr>
          <a:picLocks noChangeAspect="1"/>
        </xdr:cNvPicPr>
      </xdr:nvPicPr>
      <xdr:blipFill>
        <a:blip xmlns:r="http://schemas.openxmlformats.org/officeDocument/2006/relationships" r:embed="rId3934"/>
        <a:stretch>
          <a:fillRect/>
        </a:stretch>
      </xdr:blipFill>
      <xdr:spPr>
        <a:xfrm>
          <a:off x="7235825" y="5186648250"/>
          <a:ext cx="878840" cy="1183640"/>
        </a:xfrm>
        <a:prstGeom prst="rect">
          <a:avLst/>
        </a:prstGeom>
      </xdr:spPr>
    </xdr:pic>
    <xdr:clientData/>
  </xdr:twoCellAnchor>
  <xdr:twoCellAnchor>
    <xdr:from>
      <xdr:col>9</xdr:col>
      <xdr:colOff>6350</xdr:colOff>
      <xdr:row>5108</xdr:row>
      <xdr:rowOff>25400</xdr:rowOff>
    </xdr:from>
    <xdr:to>
      <xdr:col>9</xdr:col>
      <xdr:colOff>885190</xdr:colOff>
      <xdr:row>5108</xdr:row>
      <xdr:rowOff>1209040</xdr:rowOff>
    </xdr:to>
    <xdr:pic>
      <xdr:nvPicPr>
        <xdr:cNvPr id="9323" name="Изображение 9322" descr="resizeПП-00096844"/>
        <xdr:cNvPicPr>
          <a:picLocks noChangeAspect="1"/>
        </xdr:cNvPicPr>
      </xdr:nvPicPr>
      <xdr:blipFill>
        <a:blip xmlns:r="http://schemas.openxmlformats.org/officeDocument/2006/relationships" r:embed="rId3935"/>
        <a:stretch>
          <a:fillRect/>
        </a:stretch>
      </xdr:blipFill>
      <xdr:spPr>
        <a:xfrm>
          <a:off x="7235825" y="5187870625"/>
          <a:ext cx="878840" cy="1183640"/>
        </a:xfrm>
        <a:prstGeom prst="rect">
          <a:avLst/>
        </a:prstGeom>
      </xdr:spPr>
    </xdr:pic>
    <xdr:clientData/>
  </xdr:twoCellAnchor>
  <xdr:twoCellAnchor>
    <xdr:from>
      <xdr:col>9</xdr:col>
      <xdr:colOff>6350</xdr:colOff>
      <xdr:row>5109</xdr:row>
      <xdr:rowOff>25400</xdr:rowOff>
    </xdr:from>
    <xdr:to>
      <xdr:col>9</xdr:col>
      <xdr:colOff>885190</xdr:colOff>
      <xdr:row>5109</xdr:row>
      <xdr:rowOff>1209040</xdr:rowOff>
    </xdr:to>
    <xdr:pic>
      <xdr:nvPicPr>
        <xdr:cNvPr id="9324" name="Изображение 9323" descr="resizeПП-00096845"/>
        <xdr:cNvPicPr>
          <a:picLocks noChangeAspect="1"/>
        </xdr:cNvPicPr>
      </xdr:nvPicPr>
      <xdr:blipFill>
        <a:blip xmlns:r="http://schemas.openxmlformats.org/officeDocument/2006/relationships" r:embed="rId3936"/>
        <a:stretch>
          <a:fillRect/>
        </a:stretch>
      </xdr:blipFill>
      <xdr:spPr>
        <a:xfrm>
          <a:off x="7235825" y="5189093000"/>
          <a:ext cx="878840" cy="1183640"/>
        </a:xfrm>
        <a:prstGeom prst="rect">
          <a:avLst/>
        </a:prstGeom>
      </xdr:spPr>
    </xdr:pic>
    <xdr:clientData/>
  </xdr:twoCellAnchor>
  <xdr:twoCellAnchor>
    <xdr:from>
      <xdr:col>9</xdr:col>
      <xdr:colOff>6350</xdr:colOff>
      <xdr:row>5110</xdr:row>
      <xdr:rowOff>25400</xdr:rowOff>
    </xdr:from>
    <xdr:to>
      <xdr:col>9</xdr:col>
      <xdr:colOff>885190</xdr:colOff>
      <xdr:row>5110</xdr:row>
      <xdr:rowOff>1209040</xdr:rowOff>
    </xdr:to>
    <xdr:pic>
      <xdr:nvPicPr>
        <xdr:cNvPr id="9325" name="Изображение 9324" descr="resizeПП-00096846"/>
        <xdr:cNvPicPr>
          <a:picLocks noChangeAspect="1"/>
        </xdr:cNvPicPr>
      </xdr:nvPicPr>
      <xdr:blipFill>
        <a:blip xmlns:r="http://schemas.openxmlformats.org/officeDocument/2006/relationships" r:embed="rId3937"/>
        <a:stretch>
          <a:fillRect/>
        </a:stretch>
      </xdr:blipFill>
      <xdr:spPr>
        <a:xfrm>
          <a:off x="7235825" y="5190315375"/>
          <a:ext cx="878840" cy="1183640"/>
        </a:xfrm>
        <a:prstGeom prst="rect">
          <a:avLst/>
        </a:prstGeom>
      </xdr:spPr>
    </xdr:pic>
    <xdr:clientData/>
  </xdr:twoCellAnchor>
  <xdr:twoCellAnchor>
    <xdr:from>
      <xdr:col>9</xdr:col>
      <xdr:colOff>6350</xdr:colOff>
      <xdr:row>5111</xdr:row>
      <xdr:rowOff>25400</xdr:rowOff>
    </xdr:from>
    <xdr:to>
      <xdr:col>9</xdr:col>
      <xdr:colOff>885190</xdr:colOff>
      <xdr:row>5111</xdr:row>
      <xdr:rowOff>1209040</xdr:rowOff>
    </xdr:to>
    <xdr:pic>
      <xdr:nvPicPr>
        <xdr:cNvPr id="9326" name="Изображение 9325" descr="resizeПП-00096847"/>
        <xdr:cNvPicPr>
          <a:picLocks noChangeAspect="1"/>
        </xdr:cNvPicPr>
      </xdr:nvPicPr>
      <xdr:blipFill>
        <a:blip xmlns:r="http://schemas.openxmlformats.org/officeDocument/2006/relationships" r:embed="rId3938"/>
        <a:stretch>
          <a:fillRect/>
        </a:stretch>
      </xdr:blipFill>
      <xdr:spPr>
        <a:xfrm>
          <a:off x="7235825" y="5191537750"/>
          <a:ext cx="878840" cy="1183640"/>
        </a:xfrm>
        <a:prstGeom prst="rect">
          <a:avLst/>
        </a:prstGeom>
      </xdr:spPr>
    </xdr:pic>
    <xdr:clientData/>
  </xdr:twoCellAnchor>
  <xdr:twoCellAnchor>
    <xdr:from>
      <xdr:col>9</xdr:col>
      <xdr:colOff>6350</xdr:colOff>
      <xdr:row>5112</xdr:row>
      <xdr:rowOff>25400</xdr:rowOff>
    </xdr:from>
    <xdr:to>
      <xdr:col>9</xdr:col>
      <xdr:colOff>885190</xdr:colOff>
      <xdr:row>5112</xdr:row>
      <xdr:rowOff>1209040</xdr:rowOff>
    </xdr:to>
    <xdr:pic>
      <xdr:nvPicPr>
        <xdr:cNvPr id="9327" name="Изображение 9326" descr="resizeПП-00096915"/>
        <xdr:cNvPicPr>
          <a:picLocks noChangeAspect="1"/>
        </xdr:cNvPicPr>
      </xdr:nvPicPr>
      <xdr:blipFill>
        <a:blip xmlns:r="http://schemas.openxmlformats.org/officeDocument/2006/relationships" r:embed="rId3939"/>
        <a:stretch>
          <a:fillRect/>
        </a:stretch>
      </xdr:blipFill>
      <xdr:spPr>
        <a:xfrm>
          <a:off x="7235825" y="5192760125"/>
          <a:ext cx="878840" cy="1183640"/>
        </a:xfrm>
        <a:prstGeom prst="rect">
          <a:avLst/>
        </a:prstGeom>
      </xdr:spPr>
    </xdr:pic>
    <xdr:clientData/>
  </xdr:twoCellAnchor>
  <xdr:twoCellAnchor>
    <xdr:from>
      <xdr:col>9</xdr:col>
      <xdr:colOff>6350</xdr:colOff>
      <xdr:row>5113</xdr:row>
      <xdr:rowOff>25400</xdr:rowOff>
    </xdr:from>
    <xdr:to>
      <xdr:col>9</xdr:col>
      <xdr:colOff>885190</xdr:colOff>
      <xdr:row>5113</xdr:row>
      <xdr:rowOff>1209040</xdr:rowOff>
    </xdr:to>
    <xdr:pic>
      <xdr:nvPicPr>
        <xdr:cNvPr id="9328" name="Изображение 9327" descr="resizeПП-00096916"/>
        <xdr:cNvPicPr>
          <a:picLocks noChangeAspect="1"/>
        </xdr:cNvPicPr>
      </xdr:nvPicPr>
      <xdr:blipFill>
        <a:blip xmlns:r="http://schemas.openxmlformats.org/officeDocument/2006/relationships" r:embed="rId3940"/>
        <a:stretch>
          <a:fillRect/>
        </a:stretch>
      </xdr:blipFill>
      <xdr:spPr>
        <a:xfrm>
          <a:off x="7235825" y="5193982500"/>
          <a:ext cx="878840" cy="1183640"/>
        </a:xfrm>
        <a:prstGeom prst="rect">
          <a:avLst/>
        </a:prstGeom>
      </xdr:spPr>
    </xdr:pic>
    <xdr:clientData/>
  </xdr:twoCellAnchor>
  <xdr:twoCellAnchor>
    <xdr:from>
      <xdr:col>9</xdr:col>
      <xdr:colOff>6350</xdr:colOff>
      <xdr:row>5114</xdr:row>
      <xdr:rowOff>25400</xdr:rowOff>
    </xdr:from>
    <xdr:to>
      <xdr:col>9</xdr:col>
      <xdr:colOff>885190</xdr:colOff>
      <xdr:row>5114</xdr:row>
      <xdr:rowOff>1209040</xdr:rowOff>
    </xdr:to>
    <xdr:pic>
      <xdr:nvPicPr>
        <xdr:cNvPr id="9329" name="Изображение 9328" descr="resizeПП-00096917"/>
        <xdr:cNvPicPr>
          <a:picLocks noChangeAspect="1"/>
        </xdr:cNvPicPr>
      </xdr:nvPicPr>
      <xdr:blipFill>
        <a:blip xmlns:r="http://schemas.openxmlformats.org/officeDocument/2006/relationships" r:embed="rId3941"/>
        <a:stretch>
          <a:fillRect/>
        </a:stretch>
      </xdr:blipFill>
      <xdr:spPr>
        <a:xfrm>
          <a:off x="7235825" y="5195204875"/>
          <a:ext cx="878840" cy="1183640"/>
        </a:xfrm>
        <a:prstGeom prst="rect">
          <a:avLst/>
        </a:prstGeom>
      </xdr:spPr>
    </xdr:pic>
    <xdr:clientData/>
  </xdr:twoCellAnchor>
  <xdr:twoCellAnchor>
    <xdr:from>
      <xdr:col>9</xdr:col>
      <xdr:colOff>6350</xdr:colOff>
      <xdr:row>5115</xdr:row>
      <xdr:rowOff>25400</xdr:rowOff>
    </xdr:from>
    <xdr:to>
      <xdr:col>9</xdr:col>
      <xdr:colOff>885190</xdr:colOff>
      <xdr:row>5115</xdr:row>
      <xdr:rowOff>1209040</xdr:rowOff>
    </xdr:to>
    <xdr:pic>
      <xdr:nvPicPr>
        <xdr:cNvPr id="9330" name="Изображение 9329" descr="resizeПП-00096918"/>
        <xdr:cNvPicPr>
          <a:picLocks noChangeAspect="1"/>
        </xdr:cNvPicPr>
      </xdr:nvPicPr>
      <xdr:blipFill>
        <a:blip xmlns:r="http://schemas.openxmlformats.org/officeDocument/2006/relationships" r:embed="rId3942"/>
        <a:stretch>
          <a:fillRect/>
        </a:stretch>
      </xdr:blipFill>
      <xdr:spPr>
        <a:xfrm>
          <a:off x="7235825" y="5196427250"/>
          <a:ext cx="878840" cy="1183640"/>
        </a:xfrm>
        <a:prstGeom prst="rect">
          <a:avLst/>
        </a:prstGeom>
      </xdr:spPr>
    </xdr:pic>
    <xdr:clientData/>
  </xdr:twoCellAnchor>
  <xdr:twoCellAnchor>
    <xdr:from>
      <xdr:col>9</xdr:col>
      <xdr:colOff>6350</xdr:colOff>
      <xdr:row>5116</xdr:row>
      <xdr:rowOff>25400</xdr:rowOff>
    </xdr:from>
    <xdr:to>
      <xdr:col>9</xdr:col>
      <xdr:colOff>885190</xdr:colOff>
      <xdr:row>5116</xdr:row>
      <xdr:rowOff>1209040</xdr:rowOff>
    </xdr:to>
    <xdr:pic>
      <xdr:nvPicPr>
        <xdr:cNvPr id="9331" name="Изображение 9330" descr="resizeПП-00096919"/>
        <xdr:cNvPicPr>
          <a:picLocks noChangeAspect="1"/>
        </xdr:cNvPicPr>
      </xdr:nvPicPr>
      <xdr:blipFill>
        <a:blip xmlns:r="http://schemas.openxmlformats.org/officeDocument/2006/relationships" r:embed="rId3943"/>
        <a:stretch>
          <a:fillRect/>
        </a:stretch>
      </xdr:blipFill>
      <xdr:spPr>
        <a:xfrm>
          <a:off x="7235825" y="5197649625"/>
          <a:ext cx="878840" cy="1183640"/>
        </a:xfrm>
        <a:prstGeom prst="rect">
          <a:avLst/>
        </a:prstGeom>
      </xdr:spPr>
    </xdr:pic>
    <xdr:clientData/>
  </xdr:twoCellAnchor>
  <xdr:twoCellAnchor>
    <xdr:from>
      <xdr:col>9</xdr:col>
      <xdr:colOff>6350</xdr:colOff>
      <xdr:row>5117</xdr:row>
      <xdr:rowOff>25400</xdr:rowOff>
    </xdr:from>
    <xdr:to>
      <xdr:col>9</xdr:col>
      <xdr:colOff>885190</xdr:colOff>
      <xdr:row>5117</xdr:row>
      <xdr:rowOff>1209040</xdr:rowOff>
    </xdr:to>
    <xdr:pic>
      <xdr:nvPicPr>
        <xdr:cNvPr id="9332" name="Изображение 9331" descr="resizeПП-00096920"/>
        <xdr:cNvPicPr>
          <a:picLocks noChangeAspect="1"/>
        </xdr:cNvPicPr>
      </xdr:nvPicPr>
      <xdr:blipFill>
        <a:blip xmlns:r="http://schemas.openxmlformats.org/officeDocument/2006/relationships" r:embed="rId3944"/>
        <a:stretch>
          <a:fillRect/>
        </a:stretch>
      </xdr:blipFill>
      <xdr:spPr>
        <a:xfrm>
          <a:off x="7235825" y="5198872000"/>
          <a:ext cx="878840" cy="1183640"/>
        </a:xfrm>
        <a:prstGeom prst="rect">
          <a:avLst/>
        </a:prstGeom>
      </xdr:spPr>
    </xdr:pic>
    <xdr:clientData/>
  </xdr:twoCellAnchor>
  <xdr:twoCellAnchor>
    <xdr:from>
      <xdr:col>9</xdr:col>
      <xdr:colOff>6350</xdr:colOff>
      <xdr:row>5118</xdr:row>
      <xdr:rowOff>25400</xdr:rowOff>
    </xdr:from>
    <xdr:to>
      <xdr:col>9</xdr:col>
      <xdr:colOff>885190</xdr:colOff>
      <xdr:row>5118</xdr:row>
      <xdr:rowOff>1209040</xdr:rowOff>
    </xdr:to>
    <xdr:pic>
      <xdr:nvPicPr>
        <xdr:cNvPr id="9333" name="Изображение 9332" descr="resizeПП-00096921"/>
        <xdr:cNvPicPr>
          <a:picLocks noChangeAspect="1"/>
        </xdr:cNvPicPr>
      </xdr:nvPicPr>
      <xdr:blipFill>
        <a:blip xmlns:r="http://schemas.openxmlformats.org/officeDocument/2006/relationships" r:embed="rId3945"/>
        <a:stretch>
          <a:fillRect/>
        </a:stretch>
      </xdr:blipFill>
      <xdr:spPr>
        <a:xfrm>
          <a:off x="7235825" y="5200094375"/>
          <a:ext cx="878840" cy="1183640"/>
        </a:xfrm>
        <a:prstGeom prst="rect">
          <a:avLst/>
        </a:prstGeom>
      </xdr:spPr>
    </xdr:pic>
    <xdr:clientData/>
  </xdr:twoCellAnchor>
  <xdr:twoCellAnchor>
    <xdr:from>
      <xdr:col>9</xdr:col>
      <xdr:colOff>6350</xdr:colOff>
      <xdr:row>5119</xdr:row>
      <xdr:rowOff>25400</xdr:rowOff>
    </xdr:from>
    <xdr:to>
      <xdr:col>9</xdr:col>
      <xdr:colOff>885190</xdr:colOff>
      <xdr:row>5119</xdr:row>
      <xdr:rowOff>1209040</xdr:rowOff>
    </xdr:to>
    <xdr:pic>
      <xdr:nvPicPr>
        <xdr:cNvPr id="9334" name="Изображение 9333" descr="resizeПП-00096922"/>
        <xdr:cNvPicPr>
          <a:picLocks noChangeAspect="1"/>
        </xdr:cNvPicPr>
      </xdr:nvPicPr>
      <xdr:blipFill>
        <a:blip xmlns:r="http://schemas.openxmlformats.org/officeDocument/2006/relationships" r:embed="rId3946"/>
        <a:stretch>
          <a:fillRect/>
        </a:stretch>
      </xdr:blipFill>
      <xdr:spPr>
        <a:xfrm>
          <a:off x="7235825" y="5201316750"/>
          <a:ext cx="878840" cy="1183640"/>
        </a:xfrm>
        <a:prstGeom prst="rect">
          <a:avLst/>
        </a:prstGeom>
      </xdr:spPr>
    </xdr:pic>
    <xdr:clientData/>
  </xdr:twoCellAnchor>
  <xdr:twoCellAnchor>
    <xdr:from>
      <xdr:col>9</xdr:col>
      <xdr:colOff>6350</xdr:colOff>
      <xdr:row>5120</xdr:row>
      <xdr:rowOff>25400</xdr:rowOff>
    </xdr:from>
    <xdr:to>
      <xdr:col>9</xdr:col>
      <xdr:colOff>885190</xdr:colOff>
      <xdr:row>5120</xdr:row>
      <xdr:rowOff>1209040</xdr:rowOff>
    </xdr:to>
    <xdr:pic>
      <xdr:nvPicPr>
        <xdr:cNvPr id="9335" name="Изображение 9334" descr="resizeПП-00096923"/>
        <xdr:cNvPicPr>
          <a:picLocks noChangeAspect="1"/>
        </xdr:cNvPicPr>
      </xdr:nvPicPr>
      <xdr:blipFill>
        <a:blip xmlns:r="http://schemas.openxmlformats.org/officeDocument/2006/relationships" r:embed="rId3947"/>
        <a:stretch>
          <a:fillRect/>
        </a:stretch>
      </xdr:blipFill>
      <xdr:spPr>
        <a:xfrm>
          <a:off x="7235825" y="5202539125"/>
          <a:ext cx="878840" cy="1183640"/>
        </a:xfrm>
        <a:prstGeom prst="rect">
          <a:avLst/>
        </a:prstGeom>
      </xdr:spPr>
    </xdr:pic>
    <xdr:clientData/>
  </xdr:twoCellAnchor>
  <xdr:twoCellAnchor>
    <xdr:from>
      <xdr:col>9</xdr:col>
      <xdr:colOff>6350</xdr:colOff>
      <xdr:row>5121</xdr:row>
      <xdr:rowOff>25400</xdr:rowOff>
    </xdr:from>
    <xdr:to>
      <xdr:col>9</xdr:col>
      <xdr:colOff>885190</xdr:colOff>
      <xdr:row>5121</xdr:row>
      <xdr:rowOff>1209040</xdr:rowOff>
    </xdr:to>
    <xdr:pic>
      <xdr:nvPicPr>
        <xdr:cNvPr id="9336" name="Изображение 9335" descr="resizeПП-00096924"/>
        <xdr:cNvPicPr>
          <a:picLocks noChangeAspect="1"/>
        </xdr:cNvPicPr>
      </xdr:nvPicPr>
      <xdr:blipFill>
        <a:blip xmlns:r="http://schemas.openxmlformats.org/officeDocument/2006/relationships" r:embed="rId3948"/>
        <a:stretch>
          <a:fillRect/>
        </a:stretch>
      </xdr:blipFill>
      <xdr:spPr>
        <a:xfrm>
          <a:off x="7235825" y="5203761500"/>
          <a:ext cx="878840" cy="1183640"/>
        </a:xfrm>
        <a:prstGeom prst="rect">
          <a:avLst/>
        </a:prstGeom>
      </xdr:spPr>
    </xdr:pic>
    <xdr:clientData/>
  </xdr:twoCellAnchor>
  <xdr:twoCellAnchor>
    <xdr:from>
      <xdr:col>9</xdr:col>
      <xdr:colOff>6350</xdr:colOff>
      <xdr:row>5122</xdr:row>
      <xdr:rowOff>25400</xdr:rowOff>
    </xdr:from>
    <xdr:to>
      <xdr:col>9</xdr:col>
      <xdr:colOff>885190</xdr:colOff>
      <xdr:row>5122</xdr:row>
      <xdr:rowOff>1209040</xdr:rowOff>
    </xdr:to>
    <xdr:pic>
      <xdr:nvPicPr>
        <xdr:cNvPr id="9337" name="Изображение 9336" descr="resizeПП-00096858"/>
        <xdr:cNvPicPr>
          <a:picLocks noChangeAspect="1"/>
        </xdr:cNvPicPr>
      </xdr:nvPicPr>
      <xdr:blipFill>
        <a:blip xmlns:r="http://schemas.openxmlformats.org/officeDocument/2006/relationships" r:embed="rId3949"/>
        <a:stretch>
          <a:fillRect/>
        </a:stretch>
      </xdr:blipFill>
      <xdr:spPr>
        <a:xfrm>
          <a:off x="7235825" y="5204983875"/>
          <a:ext cx="878840" cy="1183640"/>
        </a:xfrm>
        <a:prstGeom prst="rect">
          <a:avLst/>
        </a:prstGeom>
      </xdr:spPr>
    </xdr:pic>
    <xdr:clientData/>
  </xdr:twoCellAnchor>
  <xdr:twoCellAnchor>
    <xdr:from>
      <xdr:col>9</xdr:col>
      <xdr:colOff>6350</xdr:colOff>
      <xdr:row>5123</xdr:row>
      <xdr:rowOff>25400</xdr:rowOff>
    </xdr:from>
    <xdr:to>
      <xdr:col>9</xdr:col>
      <xdr:colOff>885190</xdr:colOff>
      <xdr:row>5123</xdr:row>
      <xdr:rowOff>1209040</xdr:rowOff>
    </xdr:to>
    <xdr:pic>
      <xdr:nvPicPr>
        <xdr:cNvPr id="9338" name="Изображение 9337" descr="resizeПП-00096859"/>
        <xdr:cNvPicPr>
          <a:picLocks noChangeAspect="1"/>
        </xdr:cNvPicPr>
      </xdr:nvPicPr>
      <xdr:blipFill>
        <a:blip xmlns:r="http://schemas.openxmlformats.org/officeDocument/2006/relationships" r:embed="rId3950"/>
        <a:stretch>
          <a:fillRect/>
        </a:stretch>
      </xdr:blipFill>
      <xdr:spPr>
        <a:xfrm>
          <a:off x="7235825" y="5206206250"/>
          <a:ext cx="878840" cy="1183640"/>
        </a:xfrm>
        <a:prstGeom prst="rect">
          <a:avLst/>
        </a:prstGeom>
      </xdr:spPr>
    </xdr:pic>
    <xdr:clientData/>
  </xdr:twoCellAnchor>
  <xdr:twoCellAnchor>
    <xdr:from>
      <xdr:col>9</xdr:col>
      <xdr:colOff>6350</xdr:colOff>
      <xdr:row>5124</xdr:row>
      <xdr:rowOff>25400</xdr:rowOff>
    </xdr:from>
    <xdr:to>
      <xdr:col>9</xdr:col>
      <xdr:colOff>885190</xdr:colOff>
      <xdr:row>5124</xdr:row>
      <xdr:rowOff>1209040</xdr:rowOff>
    </xdr:to>
    <xdr:pic>
      <xdr:nvPicPr>
        <xdr:cNvPr id="9339" name="Изображение 9338" descr="resizeПП-00096860"/>
        <xdr:cNvPicPr>
          <a:picLocks noChangeAspect="1"/>
        </xdr:cNvPicPr>
      </xdr:nvPicPr>
      <xdr:blipFill>
        <a:blip xmlns:r="http://schemas.openxmlformats.org/officeDocument/2006/relationships" r:embed="rId3951"/>
        <a:stretch>
          <a:fillRect/>
        </a:stretch>
      </xdr:blipFill>
      <xdr:spPr>
        <a:xfrm>
          <a:off x="7235825" y="5207428625"/>
          <a:ext cx="878840" cy="1183640"/>
        </a:xfrm>
        <a:prstGeom prst="rect">
          <a:avLst/>
        </a:prstGeom>
      </xdr:spPr>
    </xdr:pic>
    <xdr:clientData/>
  </xdr:twoCellAnchor>
  <xdr:twoCellAnchor>
    <xdr:from>
      <xdr:col>9</xdr:col>
      <xdr:colOff>6350</xdr:colOff>
      <xdr:row>5125</xdr:row>
      <xdr:rowOff>25400</xdr:rowOff>
    </xdr:from>
    <xdr:to>
      <xdr:col>9</xdr:col>
      <xdr:colOff>885190</xdr:colOff>
      <xdr:row>5125</xdr:row>
      <xdr:rowOff>1209040</xdr:rowOff>
    </xdr:to>
    <xdr:pic>
      <xdr:nvPicPr>
        <xdr:cNvPr id="9340" name="Изображение 9339" descr="resizeПП-00096861"/>
        <xdr:cNvPicPr>
          <a:picLocks noChangeAspect="1"/>
        </xdr:cNvPicPr>
      </xdr:nvPicPr>
      <xdr:blipFill>
        <a:blip xmlns:r="http://schemas.openxmlformats.org/officeDocument/2006/relationships" r:embed="rId3952"/>
        <a:stretch>
          <a:fillRect/>
        </a:stretch>
      </xdr:blipFill>
      <xdr:spPr>
        <a:xfrm>
          <a:off x="7235825" y="5208651000"/>
          <a:ext cx="878840" cy="1183640"/>
        </a:xfrm>
        <a:prstGeom prst="rect">
          <a:avLst/>
        </a:prstGeom>
      </xdr:spPr>
    </xdr:pic>
    <xdr:clientData/>
  </xdr:twoCellAnchor>
  <xdr:twoCellAnchor>
    <xdr:from>
      <xdr:col>9</xdr:col>
      <xdr:colOff>6350</xdr:colOff>
      <xdr:row>5126</xdr:row>
      <xdr:rowOff>25400</xdr:rowOff>
    </xdr:from>
    <xdr:to>
      <xdr:col>9</xdr:col>
      <xdr:colOff>885190</xdr:colOff>
      <xdr:row>5126</xdr:row>
      <xdr:rowOff>1209040</xdr:rowOff>
    </xdr:to>
    <xdr:pic>
      <xdr:nvPicPr>
        <xdr:cNvPr id="9341" name="Изображение 9340" descr="resizeПП-00096862"/>
        <xdr:cNvPicPr>
          <a:picLocks noChangeAspect="1"/>
        </xdr:cNvPicPr>
      </xdr:nvPicPr>
      <xdr:blipFill>
        <a:blip xmlns:r="http://schemas.openxmlformats.org/officeDocument/2006/relationships" r:embed="rId3953"/>
        <a:stretch>
          <a:fillRect/>
        </a:stretch>
      </xdr:blipFill>
      <xdr:spPr>
        <a:xfrm>
          <a:off x="7235825" y="5209873375"/>
          <a:ext cx="878840" cy="1183640"/>
        </a:xfrm>
        <a:prstGeom prst="rect">
          <a:avLst/>
        </a:prstGeom>
      </xdr:spPr>
    </xdr:pic>
    <xdr:clientData/>
  </xdr:twoCellAnchor>
  <xdr:twoCellAnchor>
    <xdr:from>
      <xdr:col>9</xdr:col>
      <xdr:colOff>6350</xdr:colOff>
      <xdr:row>5127</xdr:row>
      <xdr:rowOff>25400</xdr:rowOff>
    </xdr:from>
    <xdr:to>
      <xdr:col>9</xdr:col>
      <xdr:colOff>885190</xdr:colOff>
      <xdr:row>5127</xdr:row>
      <xdr:rowOff>1209040</xdr:rowOff>
    </xdr:to>
    <xdr:pic>
      <xdr:nvPicPr>
        <xdr:cNvPr id="9342" name="Изображение 9341" descr="resizeПП-00096863"/>
        <xdr:cNvPicPr>
          <a:picLocks noChangeAspect="1"/>
        </xdr:cNvPicPr>
      </xdr:nvPicPr>
      <xdr:blipFill>
        <a:blip xmlns:r="http://schemas.openxmlformats.org/officeDocument/2006/relationships" r:embed="rId3954"/>
        <a:stretch>
          <a:fillRect/>
        </a:stretch>
      </xdr:blipFill>
      <xdr:spPr>
        <a:xfrm>
          <a:off x="7235825" y="5211095750"/>
          <a:ext cx="878840" cy="1183640"/>
        </a:xfrm>
        <a:prstGeom prst="rect">
          <a:avLst/>
        </a:prstGeom>
      </xdr:spPr>
    </xdr:pic>
    <xdr:clientData/>
  </xdr:twoCellAnchor>
  <xdr:twoCellAnchor>
    <xdr:from>
      <xdr:col>9</xdr:col>
      <xdr:colOff>6350</xdr:colOff>
      <xdr:row>5128</xdr:row>
      <xdr:rowOff>25400</xdr:rowOff>
    </xdr:from>
    <xdr:to>
      <xdr:col>9</xdr:col>
      <xdr:colOff>885190</xdr:colOff>
      <xdr:row>5128</xdr:row>
      <xdr:rowOff>1209040</xdr:rowOff>
    </xdr:to>
    <xdr:pic>
      <xdr:nvPicPr>
        <xdr:cNvPr id="9343" name="Изображение 9342" descr="resizeПП-00096864"/>
        <xdr:cNvPicPr>
          <a:picLocks noChangeAspect="1"/>
        </xdr:cNvPicPr>
      </xdr:nvPicPr>
      <xdr:blipFill>
        <a:blip xmlns:r="http://schemas.openxmlformats.org/officeDocument/2006/relationships" r:embed="rId3955"/>
        <a:stretch>
          <a:fillRect/>
        </a:stretch>
      </xdr:blipFill>
      <xdr:spPr>
        <a:xfrm>
          <a:off x="7235825" y="5212318125"/>
          <a:ext cx="878840" cy="1183640"/>
        </a:xfrm>
        <a:prstGeom prst="rect">
          <a:avLst/>
        </a:prstGeom>
      </xdr:spPr>
    </xdr:pic>
    <xdr:clientData/>
  </xdr:twoCellAnchor>
  <xdr:twoCellAnchor>
    <xdr:from>
      <xdr:col>9</xdr:col>
      <xdr:colOff>6350</xdr:colOff>
      <xdr:row>5129</xdr:row>
      <xdr:rowOff>25400</xdr:rowOff>
    </xdr:from>
    <xdr:to>
      <xdr:col>9</xdr:col>
      <xdr:colOff>885190</xdr:colOff>
      <xdr:row>5129</xdr:row>
      <xdr:rowOff>1209040</xdr:rowOff>
    </xdr:to>
    <xdr:pic>
      <xdr:nvPicPr>
        <xdr:cNvPr id="9344" name="Изображение 9343" descr="resizeПП-00096865"/>
        <xdr:cNvPicPr>
          <a:picLocks noChangeAspect="1"/>
        </xdr:cNvPicPr>
      </xdr:nvPicPr>
      <xdr:blipFill>
        <a:blip xmlns:r="http://schemas.openxmlformats.org/officeDocument/2006/relationships" r:embed="rId3956"/>
        <a:stretch>
          <a:fillRect/>
        </a:stretch>
      </xdr:blipFill>
      <xdr:spPr>
        <a:xfrm>
          <a:off x="7235825" y="5213540500"/>
          <a:ext cx="878840" cy="1183640"/>
        </a:xfrm>
        <a:prstGeom prst="rect">
          <a:avLst/>
        </a:prstGeom>
      </xdr:spPr>
    </xdr:pic>
    <xdr:clientData/>
  </xdr:twoCellAnchor>
  <xdr:twoCellAnchor>
    <xdr:from>
      <xdr:col>9</xdr:col>
      <xdr:colOff>6350</xdr:colOff>
      <xdr:row>5130</xdr:row>
      <xdr:rowOff>25400</xdr:rowOff>
    </xdr:from>
    <xdr:to>
      <xdr:col>9</xdr:col>
      <xdr:colOff>885190</xdr:colOff>
      <xdr:row>5130</xdr:row>
      <xdr:rowOff>1209040</xdr:rowOff>
    </xdr:to>
    <xdr:pic>
      <xdr:nvPicPr>
        <xdr:cNvPr id="9345" name="Изображение 9344" descr="resizeПП-00096866"/>
        <xdr:cNvPicPr>
          <a:picLocks noChangeAspect="1"/>
        </xdr:cNvPicPr>
      </xdr:nvPicPr>
      <xdr:blipFill>
        <a:blip xmlns:r="http://schemas.openxmlformats.org/officeDocument/2006/relationships" r:embed="rId3957"/>
        <a:stretch>
          <a:fillRect/>
        </a:stretch>
      </xdr:blipFill>
      <xdr:spPr>
        <a:xfrm>
          <a:off x="7235825" y="5214762875"/>
          <a:ext cx="878840" cy="1183640"/>
        </a:xfrm>
        <a:prstGeom prst="rect">
          <a:avLst/>
        </a:prstGeom>
      </xdr:spPr>
    </xdr:pic>
    <xdr:clientData/>
  </xdr:twoCellAnchor>
  <xdr:twoCellAnchor>
    <xdr:from>
      <xdr:col>9</xdr:col>
      <xdr:colOff>6350</xdr:colOff>
      <xdr:row>5131</xdr:row>
      <xdr:rowOff>25400</xdr:rowOff>
    </xdr:from>
    <xdr:to>
      <xdr:col>9</xdr:col>
      <xdr:colOff>885190</xdr:colOff>
      <xdr:row>5131</xdr:row>
      <xdr:rowOff>1209040</xdr:rowOff>
    </xdr:to>
    <xdr:pic>
      <xdr:nvPicPr>
        <xdr:cNvPr id="9346" name="Изображение 9345" descr="resizeПП-00096867"/>
        <xdr:cNvPicPr>
          <a:picLocks noChangeAspect="1"/>
        </xdr:cNvPicPr>
      </xdr:nvPicPr>
      <xdr:blipFill>
        <a:blip xmlns:r="http://schemas.openxmlformats.org/officeDocument/2006/relationships" r:embed="rId3958"/>
        <a:stretch>
          <a:fillRect/>
        </a:stretch>
      </xdr:blipFill>
      <xdr:spPr>
        <a:xfrm>
          <a:off x="7235825" y="5215985250"/>
          <a:ext cx="878840" cy="1183640"/>
        </a:xfrm>
        <a:prstGeom prst="rect">
          <a:avLst/>
        </a:prstGeom>
      </xdr:spPr>
    </xdr:pic>
    <xdr:clientData/>
  </xdr:twoCellAnchor>
  <xdr:twoCellAnchor>
    <xdr:from>
      <xdr:col>9</xdr:col>
      <xdr:colOff>6350</xdr:colOff>
      <xdr:row>5132</xdr:row>
      <xdr:rowOff>25400</xdr:rowOff>
    </xdr:from>
    <xdr:to>
      <xdr:col>9</xdr:col>
      <xdr:colOff>885190</xdr:colOff>
      <xdr:row>5132</xdr:row>
      <xdr:rowOff>1209040</xdr:rowOff>
    </xdr:to>
    <xdr:pic>
      <xdr:nvPicPr>
        <xdr:cNvPr id="9347" name="Изображение 9346" descr="resizeПП-00122818"/>
        <xdr:cNvPicPr>
          <a:picLocks noChangeAspect="1"/>
        </xdr:cNvPicPr>
      </xdr:nvPicPr>
      <xdr:blipFill>
        <a:blip xmlns:r="http://schemas.openxmlformats.org/officeDocument/2006/relationships" r:embed="rId3959"/>
        <a:stretch>
          <a:fillRect/>
        </a:stretch>
      </xdr:blipFill>
      <xdr:spPr>
        <a:xfrm>
          <a:off x="7235825" y="5217207625"/>
          <a:ext cx="878840" cy="1183640"/>
        </a:xfrm>
        <a:prstGeom prst="rect">
          <a:avLst/>
        </a:prstGeom>
      </xdr:spPr>
    </xdr:pic>
    <xdr:clientData/>
  </xdr:twoCellAnchor>
  <xdr:twoCellAnchor>
    <xdr:from>
      <xdr:col>9</xdr:col>
      <xdr:colOff>6350</xdr:colOff>
      <xdr:row>5133</xdr:row>
      <xdr:rowOff>25400</xdr:rowOff>
    </xdr:from>
    <xdr:to>
      <xdr:col>9</xdr:col>
      <xdr:colOff>885190</xdr:colOff>
      <xdr:row>5133</xdr:row>
      <xdr:rowOff>1209040</xdr:rowOff>
    </xdr:to>
    <xdr:pic>
      <xdr:nvPicPr>
        <xdr:cNvPr id="9348" name="Изображение 9347" descr="resizeПП-00122829"/>
        <xdr:cNvPicPr>
          <a:picLocks noChangeAspect="1"/>
        </xdr:cNvPicPr>
      </xdr:nvPicPr>
      <xdr:blipFill>
        <a:blip xmlns:r="http://schemas.openxmlformats.org/officeDocument/2006/relationships" r:embed="rId3960"/>
        <a:stretch>
          <a:fillRect/>
        </a:stretch>
      </xdr:blipFill>
      <xdr:spPr>
        <a:xfrm>
          <a:off x="7235825" y="5218430000"/>
          <a:ext cx="878840" cy="1183640"/>
        </a:xfrm>
        <a:prstGeom prst="rect">
          <a:avLst/>
        </a:prstGeom>
      </xdr:spPr>
    </xdr:pic>
    <xdr:clientData/>
  </xdr:twoCellAnchor>
  <xdr:twoCellAnchor>
    <xdr:from>
      <xdr:col>9</xdr:col>
      <xdr:colOff>6350</xdr:colOff>
      <xdr:row>5134</xdr:row>
      <xdr:rowOff>25400</xdr:rowOff>
    </xdr:from>
    <xdr:to>
      <xdr:col>9</xdr:col>
      <xdr:colOff>885190</xdr:colOff>
      <xdr:row>5134</xdr:row>
      <xdr:rowOff>1209040</xdr:rowOff>
    </xdr:to>
    <xdr:pic>
      <xdr:nvPicPr>
        <xdr:cNvPr id="9349" name="Изображение 9348" descr="resizeПП-00096905"/>
        <xdr:cNvPicPr>
          <a:picLocks noChangeAspect="1"/>
        </xdr:cNvPicPr>
      </xdr:nvPicPr>
      <xdr:blipFill>
        <a:blip xmlns:r="http://schemas.openxmlformats.org/officeDocument/2006/relationships" r:embed="rId3961"/>
        <a:stretch>
          <a:fillRect/>
        </a:stretch>
      </xdr:blipFill>
      <xdr:spPr>
        <a:xfrm>
          <a:off x="7235825" y="5219652375"/>
          <a:ext cx="878840" cy="1183640"/>
        </a:xfrm>
        <a:prstGeom prst="rect">
          <a:avLst/>
        </a:prstGeom>
      </xdr:spPr>
    </xdr:pic>
    <xdr:clientData/>
  </xdr:twoCellAnchor>
  <xdr:twoCellAnchor>
    <xdr:from>
      <xdr:col>9</xdr:col>
      <xdr:colOff>6350</xdr:colOff>
      <xdr:row>5135</xdr:row>
      <xdr:rowOff>25400</xdr:rowOff>
    </xdr:from>
    <xdr:to>
      <xdr:col>9</xdr:col>
      <xdr:colOff>885190</xdr:colOff>
      <xdr:row>5135</xdr:row>
      <xdr:rowOff>1209040</xdr:rowOff>
    </xdr:to>
    <xdr:pic>
      <xdr:nvPicPr>
        <xdr:cNvPr id="9350" name="Изображение 9349" descr="resizeПП-00096906"/>
        <xdr:cNvPicPr>
          <a:picLocks noChangeAspect="1"/>
        </xdr:cNvPicPr>
      </xdr:nvPicPr>
      <xdr:blipFill>
        <a:blip xmlns:r="http://schemas.openxmlformats.org/officeDocument/2006/relationships" r:embed="rId3962"/>
        <a:stretch>
          <a:fillRect/>
        </a:stretch>
      </xdr:blipFill>
      <xdr:spPr>
        <a:xfrm>
          <a:off x="7235825" y="5220874750"/>
          <a:ext cx="878840" cy="1183640"/>
        </a:xfrm>
        <a:prstGeom prst="rect">
          <a:avLst/>
        </a:prstGeom>
      </xdr:spPr>
    </xdr:pic>
    <xdr:clientData/>
  </xdr:twoCellAnchor>
  <xdr:twoCellAnchor>
    <xdr:from>
      <xdr:col>9</xdr:col>
      <xdr:colOff>6350</xdr:colOff>
      <xdr:row>5136</xdr:row>
      <xdr:rowOff>25400</xdr:rowOff>
    </xdr:from>
    <xdr:to>
      <xdr:col>9</xdr:col>
      <xdr:colOff>885190</xdr:colOff>
      <xdr:row>5136</xdr:row>
      <xdr:rowOff>1209040</xdr:rowOff>
    </xdr:to>
    <xdr:pic>
      <xdr:nvPicPr>
        <xdr:cNvPr id="9351" name="Изображение 9350" descr="resizeПП-00096907"/>
        <xdr:cNvPicPr>
          <a:picLocks noChangeAspect="1"/>
        </xdr:cNvPicPr>
      </xdr:nvPicPr>
      <xdr:blipFill>
        <a:blip xmlns:r="http://schemas.openxmlformats.org/officeDocument/2006/relationships" r:embed="rId3963"/>
        <a:stretch>
          <a:fillRect/>
        </a:stretch>
      </xdr:blipFill>
      <xdr:spPr>
        <a:xfrm>
          <a:off x="7235825" y="5222097125"/>
          <a:ext cx="878840" cy="1183640"/>
        </a:xfrm>
        <a:prstGeom prst="rect">
          <a:avLst/>
        </a:prstGeom>
      </xdr:spPr>
    </xdr:pic>
    <xdr:clientData/>
  </xdr:twoCellAnchor>
  <xdr:twoCellAnchor>
    <xdr:from>
      <xdr:col>9</xdr:col>
      <xdr:colOff>6350</xdr:colOff>
      <xdr:row>5137</xdr:row>
      <xdr:rowOff>25400</xdr:rowOff>
    </xdr:from>
    <xdr:to>
      <xdr:col>9</xdr:col>
      <xdr:colOff>885190</xdr:colOff>
      <xdr:row>5137</xdr:row>
      <xdr:rowOff>1209040</xdr:rowOff>
    </xdr:to>
    <xdr:pic>
      <xdr:nvPicPr>
        <xdr:cNvPr id="9352" name="Изображение 9351" descr="resizeПП-00096908"/>
        <xdr:cNvPicPr>
          <a:picLocks noChangeAspect="1"/>
        </xdr:cNvPicPr>
      </xdr:nvPicPr>
      <xdr:blipFill>
        <a:blip xmlns:r="http://schemas.openxmlformats.org/officeDocument/2006/relationships" r:embed="rId3964"/>
        <a:stretch>
          <a:fillRect/>
        </a:stretch>
      </xdr:blipFill>
      <xdr:spPr>
        <a:xfrm>
          <a:off x="7235825" y="5223319500"/>
          <a:ext cx="878840" cy="1183640"/>
        </a:xfrm>
        <a:prstGeom prst="rect">
          <a:avLst/>
        </a:prstGeom>
      </xdr:spPr>
    </xdr:pic>
    <xdr:clientData/>
  </xdr:twoCellAnchor>
  <xdr:twoCellAnchor>
    <xdr:from>
      <xdr:col>9</xdr:col>
      <xdr:colOff>6350</xdr:colOff>
      <xdr:row>5138</xdr:row>
      <xdr:rowOff>25400</xdr:rowOff>
    </xdr:from>
    <xdr:to>
      <xdr:col>9</xdr:col>
      <xdr:colOff>885190</xdr:colOff>
      <xdr:row>5138</xdr:row>
      <xdr:rowOff>1209040</xdr:rowOff>
    </xdr:to>
    <xdr:pic>
      <xdr:nvPicPr>
        <xdr:cNvPr id="9353" name="Изображение 9352" descr="resizeПП-00096909"/>
        <xdr:cNvPicPr>
          <a:picLocks noChangeAspect="1"/>
        </xdr:cNvPicPr>
      </xdr:nvPicPr>
      <xdr:blipFill>
        <a:blip xmlns:r="http://schemas.openxmlformats.org/officeDocument/2006/relationships" r:embed="rId3965"/>
        <a:stretch>
          <a:fillRect/>
        </a:stretch>
      </xdr:blipFill>
      <xdr:spPr>
        <a:xfrm>
          <a:off x="7235825" y="5224541875"/>
          <a:ext cx="878840" cy="1183640"/>
        </a:xfrm>
        <a:prstGeom prst="rect">
          <a:avLst/>
        </a:prstGeom>
      </xdr:spPr>
    </xdr:pic>
    <xdr:clientData/>
  </xdr:twoCellAnchor>
  <xdr:twoCellAnchor>
    <xdr:from>
      <xdr:col>9</xdr:col>
      <xdr:colOff>6350</xdr:colOff>
      <xdr:row>5139</xdr:row>
      <xdr:rowOff>25400</xdr:rowOff>
    </xdr:from>
    <xdr:to>
      <xdr:col>9</xdr:col>
      <xdr:colOff>885190</xdr:colOff>
      <xdr:row>5139</xdr:row>
      <xdr:rowOff>1209040</xdr:rowOff>
    </xdr:to>
    <xdr:pic>
      <xdr:nvPicPr>
        <xdr:cNvPr id="9354" name="Изображение 9353" descr="resizeПП-00096910"/>
        <xdr:cNvPicPr>
          <a:picLocks noChangeAspect="1"/>
        </xdr:cNvPicPr>
      </xdr:nvPicPr>
      <xdr:blipFill>
        <a:blip xmlns:r="http://schemas.openxmlformats.org/officeDocument/2006/relationships" r:embed="rId3966"/>
        <a:stretch>
          <a:fillRect/>
        </a:stretch>
      </xdr:blipFill>
      <xdr:spPr>
        <a:xfrm>
          <a:off x="7235825" y="5225764250"/>
          <a:ext cx="878840" cy="1183640"/>
        </a:xfrm>
        <a:prstGeom prst="rect">
          <a:avLst/>
        </a:prstGeom>
      </xdr:spPr>
    </xdr:pic>
    <xdr:clientData/>
  </xdr:twoCellAnchor>
  <xdr:twoCellAnchor>
    <xdr:from>
      <xdr:col>9</xdr:col>
      <xdr:colOff>6350</xdr:colOff>
      <xdr:row>5140</xdr:row>
      <xdr:rowOff>25400</xdr:rowOff>
    </xdr:from>
    <xdr:to>
      <xdr:col>9</xdr:col>
      <xdr:colOff>885190</xdr:colOff>
      <xdr:row>5140</xdr:row>
      <xdr:rowOff>1209040</xdr:rowOff>
    </xdr:to>
    <xdr:pic>
      <xdr:nvPicPr>
        <xdr:cNvPr id="9355" name="Изображение 9354" descr="resizeПП-00096911"/>
        <xdr:cNvPicPr>
          <a:picLocks noChangeAspect="1"/>
        </xdr:cNvPicPr>
      </xdr:nvPicPr>
      <xdr:blipFill>
        <a:blip xmlns:r="http://schemas.openxmlformats.org/officeDocument/2006/relationships" r:embed="rId3967"/>
        <a:stretch>
          <a:fillRect/>
        </a:stretch>
      </xdr:blipFill>
      <xdr:spPr>
        <a:xfrm>
          <a:off x="7235825" y="5226986625"/>
          <a:ext cx="878840" cy="1183640"/>
        </a:xfrm>
        <a:prstGeom prst="rect">
          <a:avLst/>
        </a:prstGeom>
      </xdr:spPr>
    </xdr:pic>
    <xdr:clientData/>
  </xdr:twoCellAnchor>
  <xdr:twoCellAnchor>
    <xdr:from>
      <xdr:col>9</xdr:col>
      <xdr:colOff>6350</xdr:colOff>
      <xdr:row>5141</xdr:row>
      <xdr:rowOff>25400</xdr:rowOff>
    </xdr:from>
    <xdr:to>
      <xdr:col>9</xdr:col>
      <xdr:colOff>885190</xdr:colOff>
      <xdr:row>5141</xdr:row>
      <xdr:rowOff>1209040</xdr:rowOff>
    </xdr:to>
    <xdr:pic>
      <xdr:nvPicPr>
        <xdr:cNvPr id="9356" name="Изображение 9355" descr="resizeПП-00096912"/>
        <xdr:cNvPicPr>
          <a:picLocks noChangeAspect="1"/>
        </xdr:cNvPicPr>
      </xdr:nvPicPr>
      <xdr:blipFill>
        <a:blip xmlns:r="http://schemas.openxmlformats.org/officeDocument/2006/relationships" r:embed="rId3968"/>
        <a:stretch>
          <a:fillRect/>
        </a:stretch>
      </xdr:blipFill>
      <xdr:spPr>
        <a:xfrm>
          <a:off x="7235825" y="5228209000"/>
          <a:ext cx="878840" cy="1183640"/>
        </a:xfrm>
        <a:prstGeom prst="rect">
          <a:avLst/>
        </a:prstGeom>
      </xdr:spPr>
    </xdr:pic>
    <xdr:clientData/>
  </xdr:twoCellAnchor>
  <xdr:twoCellAnchor>
    <xdr:from>
      <xdr:col>9</xdr:col>
      <xdr:colOff>6350</xdr:colOff>
      <xdr:row>5142</xdr:row>
      <xdr:rowOff>25400</xdr:rowOff>
    </xdr:from>
    <xdr:to>
      <xdr:col>9</xdr:col>
      <xdr:colOff>885190</xdr:colOff>
      <xdr:row>5142</xdr:row>
      <xdr:rowOff>1209040</xdr:rowOff>
    </xdr:to>
    <xdr:pic>
      <xdr:nvPicPr>
        <xdr:cNvPr id="9357" name="Изображение 9356" descr="resizeПП-00096913"/>
        <xdr:cNvPicPr>
          <a:picLocks noChangeAspect="1"/>
        </xdr:cNvPicPr>
      </xdr:nvPicPr>
      <xdr:blipFill>
        <a:blip xmlns:r="http://schemas.openxmlformats.org/officeDocument/2006/relationships" r:embed="rId3969"/>
        <a:stretch>
          <a:fillRect/>
        </a:stretch>
      </xdr:blipFill>
      <xdr:spPr>
        <a:xfrm>
          <a:off x="7235825" y="5229431375"/>
          <a:ext cx="878840" cy="1183640"/>
        </a:xfrm>
        <a:prstGeom prst="rect">
          <a:avLst/>
        </a:prstGeom>
      </xdr:spPr>
    </xdr:pic>
    <xdr:clientData/>
  </xdr:twoCellAnchor>
  <xdr:twoCellAnchor>
    <xdr:from>
      <xdr:col>9</xdr:col>
      <xdr:colOff>6350</xdr:colOff>
      <xdr:row>5143</xdr:row>
      <xdr:rowOff>25400</xdr:rowOff>
    </xdr:from>
    <xdr:to>
      <xdr:col>9</xdr:col>
      <xdr:colOff>885190</xdr:colOff>
      <xdr:row>5143</xdr:row>
      <xdr:rowOff>1209040</xdr:rowOff>
    </xdr:to>
    <xdr:pic>
      <xdr:nvPicPr>
        <xdr:cNvPr id="9358" name="Изображение 9357" descr="resizeПП-00096914"/>
        <xdr:cNvPicPr>
          <a:picLocks noChangeAspect="1"/>
        </xdr:cNvPicPr>
      </xdr:nvPicPr>
      <xdr:blipFill>
        <a:blip xmlns:r="http://schemas.openxmlformats.org/officeDocument/2006/relationships" r:embed="rId3970"/>
        <a:stretch>
          <a:fillRect/>
        </a:stretch>
      </xdr:blipFill>
      <xdr:spPr>
        <a:xfrm>
          <a:off x="7235825" y="5230653750"/>
          <a:ext cx="878840" cy="1183640"/>
        </a:xfrm>
        <a:prstGeom prst="rect">
          <a:avLst/>
        </a:prstGeom>
      </xdr:spPr>
    </xdr:pic>
    <xdr:clientData/>
  </xdr:twoCellAnchor>
  <xdr:twoCellAnchor>
    <xdr:from>
      <xdr:col>9</xdr:col>
      <xdr:colOff>6350</xdr:colOff>
      <xdr:row>5144</xdr:row>
      <xdr:rowOff>25400</xdr:rowOff>
    </xdr:from>
    <xdr:to>
      <xdr:col>9</xdr:col>
      <xdr:colOff>885190</xdr:colOff>
      <xdr:row>5144</xdr:row>
      <xdr:rowOff>1209040</xdr:rowOff>
    </xdr:to>
    <xdr:pic>
      <xdr:nvPicPr>
        <xdr:cNvPr id="9359" name="Изображение 9358" descr="resizeПП-00163891"/>
        <xdr:cNvPicPr>
          <a:picLocks noChangeAspect="1"/>
        </xdr:cNvPicPr>
      </xdr:nvPicPr>
      <xdr:blipFill>
        <a:blip xmlns:r="http://schemas.openxmlformats.org/officeDocument/2006/relationships" r:embed="rId3971"/>
        <a:stretch>
          <a:fillRect/>
        </a:stretch>
      </xdr:blipFill>
      <xdr:spPr>
        <a:xfrm>
          <a:off x="7235825" y="5231876125"/>
          <a:ext cx="878840" cy="1183640"/>
        </a:xfrm>
        <a:prstGeom prst="rect">
          <a:avLst/>
        </a:prstGeom>
      </xdr:spPr>
    </xdr:pic>
    <xdr:clientData/>
  </xdr:twoCellAnchor>
  <xdr:twoCellAnchor>
    <xdr:from>
      <xdr:col>9</xdr:col>
      <xdr:colOff>6350</xdr:colOff>
      <xdr:row>5145</xdr:row>
      <xdr:rowOff>25400</xdr:rowOff>
    </xdr:from>
    <xdr:to>
      <xdr:col>9</xdr:col>
      <xdr:colOff>885190</xdr:colOff>
      <xdr:row>5145</xdr:row>
      <xdr:rowOff>1209040</xdr:rowOff>
    </xdr:to>
    <xdr:pic>
      <xdr:nvPicPr>
        <xdr:cNvPr id="9360" name="Изображение 9359" descr="resizeПП-00163858"/>
        <xdr:cNvPicPr>
          <a:picLocks noChangeAspect="1"/>
        </xdr:cNvPicPr>
      </xdr:nvPicPr>
      <xdr:blipFill>
        <a:blip xmlns:r="http://schemas.openxmlformats.org/officeDocument/2006/relationships" r:embed="rId3972"/>
        <a:stretch>
          <a:fillRect/>
        </a:stretch>
      </xdr:blipFill>
      <xdr:spPr>
        <a:xfrm>
          <a:off x="7235825" y="5233098500"/>
          <a:ext cx="878840" cy="1183640"/>
        </a:xfrm>
        <a:prstGeom prst="rect">
          <a:avLst/>
        </a:prstGeom>
      </xdr:spPr>
    </xdr:pic>
    <xdr:clientData/>
  </xdr:twoCellAnchor>
  <xdr:twoCellAnchor>
    <xdr:from>
      <xdr:col>9</xdr:col>
      <xdr:colOff>6350</xdr:colOff>
      <xdr:row>5146</xdr:row>
      <xdr:rowOff>25400</xdr:rowOff>
    </xdr:from>
    <xdr:to>
      <xdr:col>9</xdr:col>
      <xdr:colOff>885190</xdr:colOff>
      <xdr:row>5146</xdr:row>
      <xdr:rowOff>1209040</xdr:rowOff>
    </xdr:to>
    <xdr:pic>
      <xdr:nvPicPr>
        <xdr:cNvPr id="9361" name="Изображение 9360" descr="resizeПП-00203123"/>
        <xdr:cNvPicPr>
          <a:picLocks noChangeAspect="1"/>
        </xdr:cNvPicPr>
      </xdr:nvPicPr>
      <xdr:blipFill>
        <a:blip xmlns:r="http://schemas.openxmlformats.org/officeDocument/2006/relationships" r:embed="rId3973"/>
        <a:stretch>
          <a:fillRect/>
        </a:stretch>
      </xdr:blipFill>
      <xdr:spPr>
        <a:xfrm>
          <a:off x="7235825" y="5234320875"/>
          <a:ext cx="878840" cy="1183640"/>
        </a:xfrm>
        <a:prstGeom prst="rect">
          <a:avLst/>
        </a:prstGeom>
      </xdr:spPr>
    </xdr:pic>
    <xdr:clientData/>
  </xdr:twoCellAnchor>
  <xdr:twoCellAnchor>
    <xdr:from>
      <xdr:col>9</xdr:col>
      <xdr:colOff>6350</xdr:colOff>
      <xdr:row>5147</xdr:row>
      <xdr:rowOff>25400</xdr:rowOff>
    </xdr:from>
    <xdr:to>
      <xdr:col>9</xdr:col>
      <xdr:colOff>885190</xdr:colOff>
      <xdr:row>5147</xdr:row>
      <xdr:rowOff>1209040</xdr:rowOff>
    </xdr:to>
    <xdr:pic>
      <xdr:nvPicPr>
        <xdr:cNvPr id="9362" name="Изображение 9361" descr="resizeПП-00203124"/>
        <xdr:cNvPicPr>
          <a:picLocks noChangeAspect="1"/>
        </xdr:cNvPicPr>
      </xdr:nvPicPr>
      <xdr:blipFill>
        <a:blip xmlns:r="http://schemas.openxmlformats.org/officeDocument/2006/relationships" r:embed="rId3974"/>
        <a:stretch>
          <a:fillRect/>
        </a:stretch>
      </xdr:blipFill>
      <xdr:spPr>
        <a:xfrm>
          <a:off x="7235825" y="5235543250"/>
          <a:ext cx="878840" cy="1183640"/>
        </a:xfrm>
        <a:prstGeom prst="rect">
          <a:avLst/>
        </a:prstGeom>
      </xdr:spPr>
    </xdr:pic>
    <xdr:clientData/>
  </xdr:twoCellAnchor>
  <xdr:twoCellAnchor>
    <xdr:from>
      <xdr:col>9</xdr:col>
      <xdr:colOff>6350</xdr:colOff>
      <xdr:row>5148</xdr:row>
      <xdr:rowOff>25400</xdr:rowOff>
    </xdr:from>
    <xdr:to>
      <xdr:col>9</xdr:col>
      <xdr:colOff>885190</xdr:colOff>
      <xdr:row>5148</xdr:row>
      <xdr:rowOff>1209040</xdr:rowOff>
    </xdr:to>
    <xdr:pic>
      <xdr:nvPicPr>
        <xdr:cNvPr id="9363" name="Изображение 9362" descr="resizeПП-00203125"/>
        <xdr:cNvPicPr>
          <a:picLocks noChangeAspect="1"/>
        </xdr:cNvPicPr>
      </xdr:nvPicPr>
      <xdr:blipFill>
        <a:blip xmlns:r="http://schemas.openxmlformats.org/officeDocument/2006/relationships" r:embed="rId3975"/>
        <a:stretch>
          <a:fillRect/>
        </a:stretch>
      </xdr:blipFill>
      <xdr:spPr>
        <a:xfrm>
          <a:off x="7235825" y="5236765625"/>
          <a:ext cx="878840" cy="1183640"/>
        </a:xfrm>
        <a:prstGeom prst="rect">
          <a:avLst/>
        </a:prstGeom>
      </xdr:spPr>
    </xdr:pic>
    <xdr:clientData/>
  </xdr:twoCellAnchor>
  <xdr:twoCellAnchor>
    <xdr:from>
      <xdr:col>9</xdr:col>
      <xdr:colOff>6350</xdr:colOff>
      <xdr:row>5149</xdr:row>
      <xdr:rowOff>25400</xdr:rowOff>
    </xdr:from>
    <xdr:to>
      <xdr:col>9</xdr:col>
      <xdr:colOff>885190</xdr:colOff>
      <xdr:row>5149</xdr:row>
      <xdr:rowOff>1209040</xdr:rowOff>
    </xdr:to>
    <xdr:pic>
      <xdr:nvPicPr>
        <xdr:cNvPr id="9364" name="Изображение 9363" descr="resizeПП-00203126"/>
        <xdr:cNvPicPr>
          <a:picLocks noChangeAspect="1"/>
        </xdr:cNvPicPr>
      </xdr:nvPicPr>
      <xdr:blipFill>
        <a:blip xmlns:r="http://schemas.openxmlformats.org/officeDocument/2006/relationships" r:embed="rId3976"/>
        <a:stretch>
          <a:fillRect/>
        </a:stretch>
      </xdr:blipFill>
      <xdr:spPr>
        <a:xfrm>
          <a:off x="7235825" y="5237988000"/>
          <a:ext cx="878840" cy="1183640"/>
        </a:xfrm>
        <a:prstGeom prst="rect">
          <a:avLst/>
        </a:prstGeom>
      </xdr:spPr>
    </xdr:pic>
    <xdr:clientData/>
  </xdr:twoCellAnchor>
  <xdr:twoCellAnchor>
    <xdr:from>
      <xdr:col>9</xdr:col>
      <xdr:colOff>6350</xdr:colOff>
      <xdr:row>5150</xdr:row>
      <xdr:rowOff>25400</xdr:rowOff>
    </xdr:from>
    <xdr:to>
      <xdr:col>9</xdr:col>
      <xdr:colOff>885190</xdr:colOff>
      <xdr:row>5150</xdr:row>
      <xdr:rowOff>1209040</xdr:rowOff>
    </xdr:to>
    <xdr:pic>
      <xdr:nvPicPr>
        <xdr:cNvPr id="9365" name="Изображение 9364" descr="resizeПП-00203127"/>
        <xdr:cNvPicPr>
          <a:picLocks noChangeAspect="1"/>
        </xdr:cNvPicPr>
      </xdr:nvPicPr>
      <xdr:blipFill>
        <a:blip xmlns:r="http://schemas.openxmlformats.org/officeDocument/2006/relationships" r:embed="rId3977"/>
        <a:stretch>
          <a:fillRect/>
        </a:stretch>
      </xdr:blipFill>
      <xdr:spPr>
        <a:xfrm>
          <a:off x="7235825" y="5239210375"/>
          <a:ext cx="878840" cy="1183640"/>
        </a:xfrm>
        <a:prstGeom prst="rect">
          <a:avLst/>
        </a:prstGeom>
      </xdr:spPr>
    </xdr:pic>
    <xdr:clientData/>
  </xdr:twoCellAnchor>
  <xdr:twoCellAnchor>
    <xdr:from>
      <xdr:col>9</xdr:col>
      <xdr:colOff>6350</xdr:colOff>
      <xdr:row>5151</xdr:row>
      <xdr:rowOff>25400</xdr:rowOff>
    </xdr:from>
    <xdr:to>
      <xdr:col>9</xdr:col>
      <xdr:colOff>885190</xdr:colOff>
      <xdr:row>5151</xdr:row>
      <xdr:rowOff>1209040</xdr:rowOff>
    </xdr:to>
    <xdr:pic>
      <xdr:nvPicPr>
        <xdr:cNvPr id="9366" name="Изображение 9365" descr="resizeПП-00203128"/>
        <xdr:cNvPicPr>
          <a:picLocks noChangeAspect="1"/>
        </xdr:cNvPicPr>
      </xdr:nvPicPr>
      <xdr:blipFill>
        <a:blip xmlns:r="http://schemas.openxmlformats.org/officeDocument/2006/relationships" r:embed="rId3978"/>
        <a:stretch>
          <a:fillRect/>
        </a:stretch>
      </xdr:blipFill>
      <xdr:spPr>
        <a:xfrm>
          <a:off x="7235825" y="5240432750"/>
          <a:ext cx="878840" cy="1183640"/>
        </a:xfrm>
        <a:prstGeom prst="rect">
          <a:avLst/>
        </a:prstGeom>
      </xdr:spPr>
    </xdr:pic>
    <xdr:clientData/>
  </xdr:twoCellAnchor>
  <xdr:twoCellAnchor>
    <xdr:from>
      <xdr:col>9</xdr:col>
      <xdr:colOff>6350</xdr:colOff>
      <xdr:row>5152</xdr:row>
      <xdr:rowOff>25400</xdr:rowOff>
    </xdr:from>
    <xdr:to>
      <xdr:col>9</xdr:col>
      <xdr:colOff>885190</xdr:colOff>
      <xdr:row>5152</xdr:row>
      <xdr:rowOff>1209040</xdr:rowOff>
    </xdr:to>
    <xdr:pic>
      <xdr:nvPicPr>
        <xdr:cNvPr id="9367" name="Изображение 9366" descr="resizeПП-00096868"/>
        <xdr:cNvPicPr>
          <a:picLocks noChangeAspect="1"/>
        </xdr:cNvPicPr>
      </xdr:nvPicPr>
      <xdr:blipFill>
        <a:blip xmlns:r="http://schemas.openxmlformats.org/officeDocument/2006/relationships" r:embed="rId3979"/>
        <a:stretch>
          <a:fillRect/>
        </a:stretch>
      </xdr:blipFill>
      <xdr:spPr>
        <a:xfrm>
          <a:off x="7235825" y="5241655125"/>
          <a:ext cx="878840" cy="1183640"/>
        </a:xfrm>
        <a:prstGeom prst="rect">
          <a:avLst/>
        </a:prstGeom>
      </xdr:spPr>
    </xdr:pic>
    <xdr:clientData/>
  </xdr:twoCellAnchor>
  <xdr:twoCellAnchor>
    <xdr:from>
      <xdr:col>9</xdr:col>
      <xdr:colOff>6350</xdr:colOff>
      <xdr:row>5153</xdr:row>
      <xdr:rowOff>25400</xdr:rowOff>
    </xdr:from>
    <xdr:to>
      <xdr:col>9</xdr:col>
      <xdr:colOff>885190</xdr:colOff>
      <xdr:row>5153</xdr:row>
      <xdr:rowOff>1209040</xdr:rowOff>
    </xdr:to>
    <xdr:pic>
      <xdr:nvPicPr>
        <xdr:cNvPr id="9368" name="Изображение 9367" descr="resizeПП-00096869"/>
        <xdr:cNvPicPr>
          <a:picLocks noChangeAspect="1"/>
        </xdr:cNvPicPr>
      </xdr:nvPicPr>
      <xdr:blipFill>
        <a:blip xmlns:r="http://schemas.openxmlformats.org/officeDocument/2006/relationships" r:embed="rId3980"/>
        <a:stretch>
          <a:fillRect/>
        </a:stretch>
      </xdr:blipFill>
      <xdr:spPr>
        <a:xfrm>
          <a:off x="7235825" y="5242877500"/>
          <a:ext cx="878840" cy="1183640"/>
        </a:xfrm>
        <a:prstGeom prst="rect">
          <a:avLst/>
        </a:prstGeom>
      </xdr:spPr>
    </xdr:pic>
    <xdr:clientData/>
  </xdr:twoCellAnchor>
  <xdr:twoCellAnchor>
    <xdr:from>
      <xdr:col>9</xdr:col>
      <xdr:colOff>6350</xdr:colOff>
      <xdr:row>5154</xdr:row>
      <xdr:rowOff>25400</xdr:rowOff>
    </xdr:from>
    <xdr:to>
      <xdr:col>9</xdr:col>
      <xdr:colOff>885190</xdr:colOff>
      <xdr:row>5154</xdr:row>
      <xdr:rowOff>1209040</xdr:rowOff>
    </xdr:to>
    <xdr:pic>
      <xdr:nvPicPr>
        <xdr:cNvPr id="9369" name="Изображение 9368" descr="resizeПП-00096870"/>
        <xdr:cNvPicPr>
          <a:picLocks noChangeAspect="1"/>
        </xdr:cNvPicPr>
      </xdr:nvPicPr>
      <xdr:blipFill>
        <a:blip xmlns:r="http://schemas.openxmlformats.org/officeDocument/2006/relationships" r:embed="rId3981"/>
        <a:stretch>
          <a:fillRect/>
        </a:stretch>
      </xdr:blipFill>
      <xdr:spPr>
        <a:xfrm>
          <a:off x="7235825" y="5244099875"/>
          <a:ext cx="878840" cy="1183640"/>
        </a:xfrm>
        <a:prstGeom prst="rect">
          <a:avLst/>
        </a:prstGeom>
      </xdr:spPr>
    </xdr:pic>
    <xdr:clientData/>
  </xdr:twoCellAnchor>
  <xdr:twoCellAnchor>
    <xdr:from>
      <xdr:col>9</xdr:col>
      <xdr:colOff>6350</xdr:colOff>
      <xdr:row>5155</xdr:row>
      <xdr:rowOff>25400</xdr:rowOff>
    </xdr:from>
    <xdr:to>
      <xdr:col>9</xdr:col>
      <xdr:colOff>885190</xdr:colOff>
      <xdr:row>5155</xdr:row>
      <xdr:rowOff>1209040</xdr:rowOff>
    </xdr:to>
    <xdr:pic>
      <xdr:nvPicPr>
        <xdr:cNvPr id="9370" name="Изображение 9369" descr="resizeПП-00096871"/>
        <xdr:cNvPicPr>
          <a:picLocks noChangeAspect="1"/>
        </xdr:cNvPicPr>
      </xdr:nvPicPr>
      <xdr:blipFill>
        <a:blip xmlns:r="http://schemas.openxmlformats.org/officeDocument/2006/relationships" r:embed="rId3982"/>
        <a:stretch>
          <a:fillRect/>
        </a:stretch>
      </xdr:blipFill>
      <xdr:spPr>
        <a:xfrm>
          <a:off x="7235825" y="5245322250"/>
          <a:ext cx="878840" cy="1183640"/>
        </a:xfrm>
        <a:prstGeom prst="rect">
          <a:avLst/>
        </a:prstGeom>
      </xdr:spPr>
    </xdr:pic>
    <xdr:clientData/>
  </xdr:twoCellAnchor>
  <xdr:twoCellAnchor>
    <xdr:from>
      <xdr:col>9</xdr:col>
      <xdr:colOff>6350</xdr:colOff>
      <xdr:row>5156</xdr:row>
      <xdr:rowOff>25400</xdr:rowOff>
    </xdr:from>
    <xdr:to>
      <xdr:col>9</xdr:col>
      <xdr:colOff>885190</xdr:colOff>
      <xdr:row>5156</xdr:row>
      <xdr:rowOff>1209040</xdr:rowOff>
    </xdr:to>
    <xdr:pic>
      <xdr:nvPicPr>
        <xdr:cNvPr id="9371" name="Изображение 9370" descr="resizeПП-00096872"/>
        <xdr:cNvPicPr>
          <a:picLocks noChangeAspect="1"/>
        </xdr:cNvPicPr>
      </xdr:nvPicPr>
      <xdr:blipFill>
        <a:blip xmlns:r="http://schemas.openxmlformats.org/officeDocument/2006/relationships" r:embed="rId3983"/>
        <a:stretch>
          <a:fillRect/>
        </a:stretch>
      </xdr:blipFill>
      <xdr:spPr>
        <a:xfrm>
          <a:off x="7235825" y="5246544625"/>
          <a:ext cx="878840" cy="1183640"/>
        </a:xfrm>
        <a:prstGeom prst="rect">
          <a:avLst/>
        </a:prstGeom>
      </xdr:spPr>
    </xdr:pic>
    <xdr:clientData/>
  </xdr:twoCellAnchor>
  <xdr:twoCellAnchor>
    <xdr:from>
      <xdr:col>9</xdr:col>
      <xdr:colOff>6350</xdr:colOff>
      <xdr:row>5157</xdr:row>
      <xdr:rowOff>25400</xdr:rowOff>
    </xdr:from>
    <xdr:to>
      <xdr:col>9</xdr:col>
      <xdr:colOff>885190</xdr:colOff>
      <xdr:row>5157</xdr:row>
      <xdr:rowOff>1209040</xdr:rowOff>
    </xdr:to>
    <xdr:pic>
      <xdr:nvPicPr>
        <xdr:cNvPr id="9372" name="Изображение 9371" descr="resizeПП-00096873"/>
        <xdr:cNvPicPr>
          <a:picLocks noChangeAspect="1"/>
        </xdr:cNvPicPr>
      </xdr:nvPicPr>
      <xdr:blipFill>
        <a:blip xmlns:r="http://schemas.openxmlformats.org/officeDocument/2006/relationships" r:embed="rId3984"/>
        <a:stretch>
          <a:fillRect/>
        </a:stretch>
      </xdr:blipFill>
      <xdr:spPr>
        <a:xfrm>
          <a:off x="7235825" y="5247767000"/>
          <a:ext cx="878840" cy="1183640"/>
        </a:xfrm>
        <a:prstGeom prst="rect">
          <a:avLst/>
        </a:prstGeom>
      </xdr:spPr>
    </xdr:pic>
    <xdr:clientData/>
  </xdr:twoCellAnchor>
  <xdr:twoCellAnchor>
    <xdr:from>
      <xdr:col>9</xdr:col>
      <xdr:colOff>6350</xdr:colOff>
      <xdr:row>5158</xdr:row>
      <xdr:rowOff>25400</xdr:rowOff>
    </xdr:from>
    <xdr:to>
      <xdr:col>9</xdr:col>
      <xdr:colOff>885190</xdr:colOff>
      <xdr:row>5158</xdr:row>
      <xdr:rowOff>1209040</xdr:rowOff>
    </xdr:to>
    <xdr:pic>
      <xdr:nvPicPr>
        <xdr:cNvPr id="9373" name="Изображение 9372" descr="resizeПП-00096874"/>
        <xdr:cNvPicPr>
          <a:picLocks noChangeAspect="1"/>
        </xdr:cNvPicPr>
      </xdr:nvPicPr>
      <xdr:blipFill>
        <a:blip xmlns:r="http://schemas.openxmlformats.org/officeDocument/2006/relationships" r:embed="rId3985"/>
        <a:stretch>
          <a:fillRect/>
        </a:stretch>
      </xdr:blipFill>
      <xdr:spPr>
        <a:xfrm>
          <a:off x="7235825" y="5248989375"/>
          <a:ext cx="878840" cy="1183640"/>
        </a:xfrm>
        <a:prstGeom prst="rect">
          <a:avLst/>
        </a:prstGeom>
      </xdr:spPr>
    </xdr:pic>
    <xdr:clientData/>
  </xdr:twoCellAnchor>
  <xdr:twoCellAnchor>
    <xdr:from>
      <xdr:col>9</xdr:col>
      <xdr:colOff>6350</xdr:colOff>
      <xdr:row>5159</xdr:row>
      <xdr:rowOff>25400</xdr:rowOff>
    </xdr:from>
    <xdr:to>
      <xdr:col>9</xdr:col>
      <xdr:colOff>885190</xdr:colOff>
      <xdr:row>5159</xdr:row>
      <xdr:rowOff>1209040</xdr:rowOff>
    </xdr:to>
    <xdr:pic>
      <xdr:nvPicPr>
        <xdr:cNvPr id="9374" name="Изображение 9373" descr="resizeПП-00096875"/>
        <xdr:cNvPicPr>
          <a:picLocks noChangeAspect="1"/>
        </xdr:cNvPicPr>
      </xdr:nvPicPr>
      <xdr:blipFill>
        <a:blip xmlns:r="http://schemas.openxmlformats.org/officeDocument/2006/relationships" r:embed="rId3986"/>
        <a:stretch>
          <a:fillRect/>
        </a:stretch>
      </xdr:blipFill>
      <xdr:spPr>
        <a:xfrm>
          <a:off x="7235825" y="5250211750"/>
          <a:ext cx="878840" cy="1183640"/>
        </a:xfrm>
        <a:prstGeom prst="rect">
          <a:avLst/>
        </a:prstGeom>
      </xdr:spPr>
    </xdr:pic>
    <xdr:clientData/>
  </xdr:twoCellAnchor>
  <xdr:twoCellAnchor>
    <xdr:from>
      <xdr:col>9</xdr:col>
      <xdr:colOff>6350</xdr:colOff>
      <xdr:row>5160</xdr:row>
      <xdr:rowOff>25400</xdr:rowOff>
    </xdr:from>
    <xdr:to>
      <xdr:col>9</xdr:col>
      <xdr:colOff>885190</xdr:colOff>
      <xdr:row>5160</xdr:row>
      <xdr:rowOff>1209040</xdr:rowOff>
    </xdr:to>
    <xdr:pic>
      <xdr:nvPicPr>
        <xdr:cNvPr id="9375" name="Изображение 9374" descr="resizeПП-00096876"/>
        <xdr:cNvPicPr>
          <a:picLocks noChangeAspect="1"/>
        </xdr:cNvPicPr>
      </xdr:nvPicPr>
      <xdr:blipFill>
        <a:blip xmlns:r="http://schemas.openxmlformats.org/officeDocument/2006/relationships" r:embed="rId3987"/>
        <a:stretch>
          <a:fillRect/>
        </a:stretch>
      </xdr:blipFill>
      <xdr:spPr>
        <a:xfrm>
          <a:off x="7235825" y="5251434125"/>
          <a:ext cx="878840" cy="1183640"/>
        </a:xfrm>
        <a:prstGeom prst="rect">
          <a:avLst/>
        </a:prstGeom>
      </xdr:spPr>
    </xdr:pic>
    <xdr:clientData/>
  </xdr:twoCellAnchor>
  <xdr:twoCellAnchor>
    <xdr:from>
      <xdr:col>9</xdr:col>
      <xdr:colOff>6350</xdr:colOff>
      <xdr:row>5161</xdr:row>
      <xdr:rowOff>25400</xdr:rowOff>
    </xdr:from>
    <xdr:to>
      <xdr:col>9</xdr:col>
      <xdr:colOff>885190</xdr:colOff>
      <xdr:row>5161</xdr:row>
      <xdr:rowOff>1209040</xdr:rowOff>
    </xdr:to>
    <xdr:pic>
      <xdr:nvPicPr>
        <xdr:cNvPr id="9376" name="Изображение 9375" descr="resizeПП-00096877"/>
        <xdr:cNvPicPr>
          <a:picLocks noChangeAspect="1"/>
        </xdr:cNvPicPr>
      </xdr:nvPicPr>
      <xdr:blipFill>
        <a:blip xmlns:r="http://schemas.openxmlformats.org/officeDocument/2006/relationships" r:embed="rId3988"/>
        <a:stretch>
          <a:fillRect/>
        </a:stretch>
      </xdr:blipFill>
      <xdr:spPr>
        <a:xfrm>
          <a:off x="7235825" y="5252656500"/>
          <a:ext cx="878840" cy="1183640"/>
        </a:xfrm>
        <a:prstGeom prst="rect">
          <a:avLst/>
        </a:prstGeom>
      </xdr:spPr>
    </xdr:pic>
    <xdr:clientData/>
  </xdr:twoCellAnchor>
  <xdr:twoCellAnchor>
    <xdr:from>
      <xdr:col>9</xdr:col>
      <xdr:colOff>6350</xdr:colOff>
      <xdr:row>5162</xdr:row>
      <xdr:rowOff>25400</xdr:rowOff>
    </xdr:from>
    <xdr:to>
      <xdr:col>9</xdr:col>
      <xdr:colOff>885190</xdr:colOff>
      <xdr:row>5162</xdr:row>
      <xdr:rowOff>1209040</xdr:rowOff>
    </xdr:to>
    <xdr:pic>
      <xdr:nvPicPr>
        <xdr:cNvPr id="9377" name="Изображение 9376" descr="resizeПП-00192890"/>
        <xdr:cNvPicPr>
          <a:picLocks noChangeAspect="1"/>
        </xdr:cNvPicPr>
      </xdr:nvPicPr>
      <xdr:blipFill>
        <a:blip xmlns:r="http://schemas.openxmlformats.org/officeDocument/2006/relationships" r:embed="rId3989"/>
        <a:stretch>
          <a:fillRect/>
        </a:stretch>
      </xdr:blipFill>
      <xdr:spPr>
        <a:xfrm>
          <a:off x="7235825" y="5253878875"/>
          <a:ext cx="878840" cy="1183640"/>
        </a:xfrm>
        <a:prstGeom prst="rect">
          <a:avLst/>
        </a:prstGeom>
      </xdr:spPr>
    </xdr:pic>
    <xdr:clientData/>
  </xdr:twoCellAnchor>
  <xdr:twoCellAnchor>
    <xdr:from>
      <xdr:col>9</xdr:col>
      <xdr:colOff>6350</xdr:colOff>
      <xdr:row>5163</xdr:row>
      <xdr:rowOff>25400</xdr:rowOff>
    </xdr:from>
    <xdr:to>
      <xdr:col>9</xdr:col>
      <xdr:colOff>885190</xdr:colOff>
      <xdr:row>5163</xdr:row>
      <xdr:rowOff>1209040</xdr:rowOff>
    </xdr:to>
    <xdr:pic>
      <xdr:nvPicPr>
        <xdr:cNvPr id="9378" name="Изображение 9377" descr="resizeПП-00192889"/>
        <xdr:cNvPicPr>
          <a:picLocks noChangeAspect="1"/>
        </xdr:cNvPicPr>
      </xdr:nvPicPr>
      <xdr:blipFill>
        <a:blip xmlns:r="http://schemas.openxmlformats.org/officeDocument/2006/relationships" r:embed="rId3990"/>
        <a:stretch>
          <a:fillRect/>
        </a:stretch>
      </xdr:blipFill>
      <xdr:spPr>
        <a:xfrm>
          <a:off x="7235825" y="5255101250"/>
          <a:ext cx="878840" cy="1183640"/>
        </a:xfrm>
        <a:prstGeom prst="rect">
          <a:avLst/>
        </a:prstGeom>
      </xdr:spPr>
    </xdr:pic>
    <xdr:clientData/>
  </xdr:twoCellAnchor>
  <xdr:twoCellAnchor>
    <xdr:from>
      <xdr:col>9</xdr:col>
      <xdr:colOff>6350</xdr:colOff>
      <xdr:row>5164</xdr:row>
      <xdr:rowOff>25400</xdr:rowOff>
    </xdr:from>
    <xdr:to>
      <xdr:col>9</xdr:col>
      <xdr:colOff>885190</xdr:colOff>
      <xdr:row>5164</xdr:row>
      <xdr:rowOff>1209040</xdr:rowOff>
    </xdr:to>
    <xdr:pic>
      <xdr:nvPicPr>
        <xdr:cNvPr id="9379" name="Изображение 9378" descr="resizeПП-00192902"/>
        <xdr:cNvPicPr>
          <a:picLocks noChangeAspect="1"/>
        </xdr:cNvPicPr>
      </xdr:nvPicPr>
      <xdr:blipFill>
        <a:blip xmlns:r="http://schemas.openxmlformats.org/officeDocument/2006/relationships" r:embed="rId3991"/>
        <a:stretch>
          <a:fillRect/>
        </a:stretch>
      </xdr:blipFill>
      <xdr:spPr>
        <a:xfrm>
          <a:off x="7235825" y="5256323625"/>
          <a:ext cx="878840" cy="1183640"/>
        </a:xfrm>
        <a:prstGeom prst="rect">
          <a:avLst/>
        </a:prstGeom>
      </xdr:spPr>
    </xdr:pic>
    <xdr:clientData/>
  </xdr:twoCellAnchor>
  <xdr:twoCellAnchor>
    <xdr:from>
      <xdr:col>9</xdr:col>
      <xdr:colOff>6350</xdr:colOff>
      <xdr:row>5165</xdr:row>
      <xdr:rowOff>25400</xdr:rowOff>
    </xdr:from>
    <xdr:to>
      <xdr:col>9</xdr:col>
      <xdr:colOff>885190</xdr:colOff>
      <xdr:row>5165</xdr:row>
      <xdr:rowOff>1209040</xdr:rowOff>
    </xdr:to>
    <xdr:pic>
      <xdr:nvPicPr>
        <xdr:cNvPr id="9380" name="Изображение 9379" descr="resizeПП-00192899"/>
        <xdr:cNvPicPr>
          <a:picLocks noChangeAspect="1"/>
        </xdr:cNvPicPr>
      </xdr:nvPicPr>
      <xdr:blipFill>
        <a:blip xmlns:r="http://schemas.openxmlformats.org/officeDocument/2006/relationships" r:embed="rId3992"/>
        <a:stretch>
          <a:fillRect/>
        </a:stretch>
      </xdr:blipFill>
      <xdr:spPr>
        <a:xfrm>
          <a:off x="7235825" y="5257546000"/>
          <a:ext cx="878840" cy="1183640"/>
        </a:xfrm>
        <a:prstGeom prst="rect">
          <a:avLst/>
        </a:prstGeom>
      </xdr:spPr>
    </xdr:pic>
    <xdr:clientData/>
  </xdr:twoCellAnchor>
  <xdr:twoCellAnchor>
    <xdr:from>
      <xdr:col>9</xdr:col>
      <xdr:colOff>6350</xdr:colOff>
      <xdr:row>5166</xdr:row>
      <xdr:rowOff>25400</xdr:rowOff>
    </xdr:from>
    <xdr:to>
      <xdr:col>9</xdr:col>
      <xdr:colOff>885190</xdr:colOff>
      <xdr:row>5166</xdr:row>
      <xdr:rowOff>1209040</xdr:rowOff>
    </xdr:to>
    <xdr:pic>
      <xdr:nvPicPr>
        <xdr:cNvPr id="9381" name="Изображение 9380" descr="resizeПП-00192901"/>
        <xdr:cNvPicPr>
          <a:picLocks noChangeAspect="1"/>
        </xdr:cNvPicPr>
      </xdr:nvPicPr>
      <xdr:blipFill>
        <a:blip xmlns:r="http://schemas.openxmlformats.org/officeDocument/2006/relationships" r:embed="rId3993"/>
        <a:stretch>
          <a:fillRect/>
        </a:stretch>
      </xdr:blipFill>
      <xdr:spPr>
        <a:xfrm>
          <a:off x="7235825" y="5258768375"/>
          <a:ext cx="878840" cy="1183640"/>
        </a:xfrm>
        <a:prstGeom prst="rect">
          <a:avLst/>
        </a:prstGeom>
      </xdr:spPr>
    </xdr:pic>
    <xdr:clientData/>
  </xdr:twoCellAnchor>
  <xdr:twoCellAnchor>
    <xdr:from>
      <xdr:col>9</xdr:col>
      <xdr:colOff>6350</xdr:colOff>
      <xdr:row>5167</xdr:row>
      <xdr:rowOff>25400</xdr:rowOff>
    </xdr:from>
    <xdr:to>
      <xdr:col>9</xdr:col>
      <xdr:colOff>885190</xdr:colOff>
      <xdr:row>5167</xdr:row>
      <xdr:rowOff>1209040</xdr:rowOff>
    </xdr:to>
    <xdr:pic>
      <xdr:nvPicPr>
        <xdr:cNvPr id="9382" name="Изображение 9381" descr="resizeПП-00192912"/>
        <xdr:cNvPicPr>
          <a:picLocks noChangeAspect="1"/>
        </xdr:cNvPicPr>
      </xdr:nvPicPr>
      <xdr:blipFill>
        <a:blip xmlns:r="http://schemas.openxmlformats.org/officeDocument/2006/relationships" r:embed="rId3994"/>
        <a:stretch>
          <a:fillRect/>
        </a:stretch>
      </xdr:blipFill>
      <xdr:spPr>
        <a:xfrm>
          <a:off x="7235825" y="5259990750"/>
          <a:ext cx="878840" cy="1183640"/>
        </a:xfrm>
        <a:prstGeom prst="rect">
          <a:avLst/>
        </a:prstGeom>
      </xdr:spPr>
    </xdr:pic>
    <xdr:clientData/>
  </xdr:twoCellAnchor>
  <xdr:twoCellAnchor>
    <xdr:from>
      <xdr:col>9</xdr:col>
      <xdr:colOff>6350</xdr:colOff>
      <xdr:row>5168</xdr:row>
      <xdr:rowOff>25400</xdr:rowOff>
    </xdr:from>
    <xdr:to>
      <xdr:col>9</xdr:col>
      <xdr:colOff>885190</xdr:colOff>
      <xdr:row>5168</xdr:row>
      <xdr:rowOff>1209040</xdr:rowOff>
    </xdr:to>
    <xdr:pic>
      <xdr:nvPicPr>
        <xdr:cNvPr id="9383" name="Изображение 9382" descr="resizeПП-00192904"/>
        <xdr:cNvPicPr>
          <a:picLocks noChangeAspect="1"/>
        </xdr:cNvPicPr>
      </xdr:nvPicPr>
      <xdr:blipFill>
        <a:blip xmlns:r="http://schemas.openxmlformats.org/officeDocument/2006/relationships" r:embed="rId3995"/>
        <a:stretch>
          <a:fillRect/>
        </a:stretch>
      </xdr:blipFill>
      <xdr:spPr>
        <a:xfrm>
          <a:off x="7235825" y="5261213125"/>
          <a:ext cx="878840" cy="1183640"/>
        </a:xfrm>
        <a:prstGeom prst="rect">
          <a:avLst/>
        </a:prstGeom>
      </xdr:spPr>
    </xdr:pic>
    <xdr:clientData/>
  </xdr:twoCellAnchor>
  <xdr:twoCellAnchor>
    <xdr:from>
      <xdr:col>9</xdr:col>
      <xdr:colOff>6350</xdr:colOff>
      <xdr:row>5169</xdr:row>
      <xdr:rowOff>25400</xdr:rowOff>
    </xdr:from>
    <xdr:to>
      <xdr:col>9</xdr:col>
      <xdr:colOff>885190</xdr:colOff>
      <xdr:row>5169</xdr:row>
      <xdr:rowOff>1209040</xdr:rowOff>
    </xdr:to>
    <xdr:pic>
      <xdr:nvPicPr>
        <xdr:cNvPr id="9384" name="Изображение 9383" descr="resizeПП-00192905"/>
        <xdr:cNvPicPr>
          <a:picLocks noChangeAspect="1"/>
        </xdr:cNvPicPr>
      </xdr:nvPicPr>
      <xdr:blipFill>
        <a:blip xmlns:r="http://schemas.openxmlformats.org/officeDocument/2006/relationships" r:embed="rId3996"/>
        <a:stretch>
          <a:fillRect/>
        </a:stretch>
      </xdr:blipFill>
      <xdr:spPr>
        <a:xfrm>
          <a:off x="7235825" y="5262435500"/>
          <a:ext cx="878840" cy="1183640"/>
        </a:xfrm>
        <a:prstGeom prst="rect">
          <a:avLst/>
        </a:prstGeom>
      </xdr:spPr>
    </xdr:pic>
    <xdr:clientData/>
  </xdr:twoCellAnchor>
  <xdr:twoCellAnchor>
    <xdr:from>
      <xdr:col>9</xdr:col>
      <xdr:colOff>6350</xdr:colOff>
      <xdr:row>5170</xdr:row>
      <xdr:rowOff>25400</xdr:rowOff>
    </xdr:from>
    <xdr:to>
      <xdr:col>9</xdr:col>
      <xdr:colOff>885190</xdr:colOff>
      <xdr:row>5170</xdr:row>
      <xdr:rowOff>1209040</xdr:rowOff>
    </xdr:to>
    <xdr:pic>
      <xdr:nvPicPr>
        <xdr:cNvPr id="9385" name="Изображение 9384" descr="resizeПП-00192906"/>
        <xdr:cNvPicPr>
          <a:picLocks noChangeAspect="1"/>
        </xdr:cNvPicPr>
      </xdr:nvPicPr>
      <xdr:blipFill>
        <a:blip xmlns:r="http://schemas.openxmlformats.org/officeDocument/2006/relationships" r:embed="rId3997"/>
        <a:stretch>
          <a:fillRect/>
        </a:stretch>
      </xdr:blipFill>
      <xdr:spPr>
        <a:xfrm>
          <a:off x="7235825" y="5263657875"/>
          <a:ext cx="878840" cy="1183640"/>
        </a:xfrm>
        <a:prstGeom prst="rect">
          <a:avLst/>
        </a:prstGeom>
      </xdr:spPr>
    </xdr:pic>
    <xdr:clientData/>
  </xdr:twoCellAnchor>
  <xdr:twoCellAnchor>
    <xdr:from>
      <xdr:col>9</xdr:col>
      <xdr:colOff>6350</xdr:colOff>
      <xdr:row>5171</xdr:row>
      <xdr:rowOff>25400</xdr:rowOff>
    </xdr:from>
    <xdr:to>
      <xdr:col>9</xdr:col>
      <xdr:colOff>885190</xdr:colOff>
      <xdr:row>5171</xdr:row>
      <xdr:rowOff>1209040</xdr:rowOff>
    </xdr:to>
    <xdr:pic>
      <xdr:nvPicPr>
        <xdr:cNvPr id="9386" name="Изображение 9385" descr="resizeПП-00192907"/>
        <xdr:cNvPicPr>
          <a:picLocks noChangeAspect="1"/>
        </xdr:cNvPicPr>
      </xdr:nvPicPr>
      <xdr:blipFill>
        <a:blip xmlns:r="http://schemas.openxmlformats.org/officeDocument/2006/relationships" r:embed="rId3998"/>
        <a:stretch>
          <a:fillRect/>
        </a:stretch>
      </xdr:blipFill>
      <xdr:spPr>
        <a:xfrm>
          <a:off x="7235825" y="5264880250"/>
          <a:ext cx="878840" cy="1183640"/>
        </a:xfrm>
        <a:prstGeom prst="rect">
          <a:avLst/>
        </a:prstGeom>
      </xdr:spPr>
    </xdr:pic>
    <xdr:clientData/>
  </xdr:twoCellAnchor>
  <xdr:twoCellAnchor>
    <xdr:from>
      <xdr:col>9</xdr:col>
      <xdr:colOff>6350</xdr:colOff>
      <xdr:row>5172</xdr:row>
      <xdr:rowOff>25400</xdr:rowOff>
    </xdr:from>
    <xdr:to>
      <xdr:col>9</xdr:col>
      <xdr:colOff>885190</xdr:colOff>
      <xdr:row>5172</xdr:row>
      <xdr:rowOff>1209040</xdr:rowOff>
    </xdr:to>
    <xdr:pic>
      <xdr:nvPicPr>
        <xdr:cNvPr id="9387" name="Изображение 9386" descr="resizeПП-00192908"/>
        <xdr:cNvPicPr>
          <a:picLocks noChangeAspect="1"/>
        </xdr:cNvPicPr>
      </xdr:nvPicPr>
      <xdr:blipFill>
        <a:blip xmlns:r="http://schemas.openxmlformats.org/officeDocument/2006/relationships" r:embed="rId3999"/>
        <a:stretch>
          <a:fillRect/>
        </a:stretch>
      </xdr:blipFill>
      <xdr:spPr>
        <a:xfrm>
          <a:off x="7235825" y="5266102625"/>
          <a:ext cx="878840" cy="1183640"/>
        </a:xfrm>
        <a:prstGeom prst="rect">
          <a:avLst/>
        </a:prstGeom>
      </xdr:spPr>
    </xdr:pic>
    <xdr:clientData/>
  </xdr:twoCellAnchor>
  <xdr:twoCellAnchor>
    <xdr:from>
      <xdr:col>9</xdr:col>
      <xdr:colOff>6350</xdr:colOff>
      <xdr:row>5173</xdr:row>
      <xdr:rowOff>25400</xdr:rowOff>
    </xdr:from>
    <xdr:to>
      <xdr:col>9</xdr:col>
      <xdr:colOff>885190</xdr:colOff>
      <xdr:row>5173</xdr:row>
      <xdr:rowOff>1209040</xdr:rowOff>
    </xdr:to>
    <xdr:pic>
      <xdr:nvPicPr>
        <xdr:cNvPr id="9388" name="Изображение 9387" descr="resizeПП-00192909"/>
        <xdr:cNvPicPr>
          <a:picLocks noChangeAspect="1"/>
        </xdr:cNvPicPr>
      </xdr:nvPicPr>
      <xdr:blipFill>
        <a:blip xmlns:r="http://schemas.openxmlformats.org/officeDocument/2006/relationships" r:embed="rId4000"/>
        <a:stretch>
          <a:fillRect/>
        </a:stretch>
      </xdr:blipFill>
      <xdr:spPr>
        <a:xfrm>
          <a:off x="7235825" y="5267325000"/>
          <a:ext cx="878840" cy="1183640"/>
        </a:xfrm>
        <a:prstGeom prst="rect">
          <a:avLst/>
        </a:prstGeom>
      </xdr:spPr>
    </xdr:pic>
    <xdr:clientData/>
  </xdr:twoCellAnchor>
  <xdr:twoCellAnchor>
    <xdr:from>
      <xdr:col>9</xdr:col>
      <xdr:colOff>6350</xdr:colOff>
      <xdr:row>5174</xdr:row>
      <xdr:rowOff>25400</xdr:rowOff>
    </xdr:from>
    <xdr:to>
      <xdr:col>9</xdr:col>
      <xdr:colOff>885190</xdr:colOff>
      <xdr:row>5174</xdr:row>
      <xdr:rowOff>1209040</xdr:rowOff>
    </xdr:to>
    <xdr:pic>
      <xdr:nvPicPr>
        <xdr:cNvPr id="9389" name="Изображение 9388" descr="resizeПП-00192910"/>
        <xdr:cNvPicPr>
          <a:picLocks noChangeAspect="1"/>
        </xdr:cNvPicPr>
      </xdr:nvPicPr>
      <xdr:blipFill>
        <a:blip xmlns:r="http://schemas.openxmlformats.org/officeDocument/2006/relationships" r:embed="rId4001"/>
        <a:stretch>
          <a:fillRect/>
        </a:stretch>
      </xdr:blipFill>
      <xdr:spPr>
        <a:xfrm>
          <a:off x="7235825" y="5268547375"/>
          <a:ext cx="878840" cy="1183640"/>
        </a:xfrm>
        <a:prstGeom prst="rect">
          <a:avLst/>
        </a:prstGeom>
      </xdr:spPr>
    </xdr:pic>
    <xdr:clientData/>
  </xdr:twoCellAnchor>
  <xdr:twoCellAnchor>
    <xdr:from>
      <xdr:col>9</xdr:col>
      <xdr:colOff>6350</xdr:colOff>
      <xdr:row>5175</xdr:row>
      <xdr:rowOff>25400</xdr:rowOff>
    </xdr:from>
    <xdr:to>
      <xdr:col>9</xdr:col>
      <xdr:colOff>885190</xdr:colOff>
      <xdr:row>5175</xdr:row>
      <xdr:rowOff>1209040</xdr:rowOff>
    </xdr:to>
    <xdr:pic>
      <xdr:nvPicPr>
        <xdr:cNvPr id="9390" name="Изображение 9389" descr="resizeПП-00192911"/>
        <xdr:cNvPicPr>
          <a:picLocks noChangeAspect="1"/>
        </xdr:cNvPicPr>
      </xdr:nvPicPr>
      <xdr:blipFill>
        <a:blip xmlns:r="http://schemas.openxmlformats.org/officeDocument/2006/relationships" r:embed="rId4002"/>
        <a:stretch>
          <a:fillRect/>
        </a:stretch>
      </xdr:blipFill>
      <xdr:spPr>
        <a:xfrm>
          <a:off x="7235825" y="5269769750"/>
          <a:ext cx="878840" cy="1183640"/>
        </a:xfrm>
        <a:prstGeom prst="rect">
          <a:avLst/>
        </a:prstGeom>
      </xdr:spPr>
    </xdr:pic>
    <xdr:clientData/>
  </xdr:twoCellAnchor>
  <xdr:twoCellAnchor>
    <xdr:from>
      <xdr:col>9</xdr:col>
      <xdr:colOff>6350</xdr:colOff>
      <xdr:row>5176</xdr:row>
      <xdr:rowOff>25400</xdr:rowOff>
    </xdr:from>
    <xdr:to>
      <xdr:col>9</xdr:col>
      <xdr:colOff>885190</xdr:colOff>
      <xdr:row>5176</xdr:row>
      <xdr:rowOff>1209040</xdr:rowOff>
    </xdr:to>
    <xdr:pic>
      <xdr:nvPicPr>
        <xdr:cNvPr id="9391" name="Изображение 9390" descr="resizeПП-00113998"/>
        <xdr:cNvPicPr>
          <a:picLocks noChangeAspect="1"/>
        </xdr:cNvPicPr>
      </xdr:nvPicPr>
      <xdr:blipFill>
        <a:blip xmlns:r="http://schemas.openxmlformats.org/officeDocument/2006/relationships" r:embed="rId4003"/>
        <a:stretch>
          <a:fillRect/>
        </a:stretch>
      </xdr:blipFill>
      <xdr:spPr>
        <a:xfrm>
          <a:off x="7235825" y="5270992125"/>
          <a:ext cx="878840" cy="1183640"/>
        </a:xfrm>
        <a:prstGeom prst="rect">
          <a:avLst/>
        </a:prstGeom>
      </xdr:spPr>
    </xdr:pic>
    <xdr:clientData/>
  </xdr:twoCellAnchor>
  <xdr:twoCellAnchor>
    <xdr:from>
      <xdr:col>9</xdr:col>
      <xdr:colOff>6350</xdr:colOff>
      <xdr:row>5177</xdr:row>
      <xdr:rowOff>25400</xdr:rowOff>
    </xdr:from>
    <xdr:to>
      <xdr:col>9</xdr:col>
      <xdr:colOff>885190</xdr:colOff>
      <xdr:row>5177</xdr:row>
      <xdr:rowOff>1209040</xdr:rowOff>
    </xdr:to>
    <xdr:pic>
      <xdr:nvPicPr>
        <xdr:cNvPr id="9392" name="Изображение 9391" descr="resizeПП-00180096"/>
        <xdr:cNvPicPr>
          <a:picLocks noChangeAspect="1"/>
        </xdr:cNvPicPr>
      </xdr:nvPicPr>
      <xdr:blipFill>
        <a:blip xmlns:r="http://schemas.openxmlformats.org/officeDocument/2006/relationships" r:embed="rId4004"/>
        <a:stretch>
          <a:fillRect/>
        </a:stretch>
      </xdr:blipFill>
      <xdr:spPr>
        <a:xfrm>
          <a:off x="7235825" y="5272214500"/>
          <a:ext cx="878840" cy="1183640"/>
        </a:xfrm>
        <a:prstGeom prst="rect">
          <a:avLst/>
        </a:prstGeom>
      </xdr:spPr>
    </xdr:pic>
    <xdr:clientData/>
  </xdr:twoCellAnchor>
  <xdr:twoCellAnchor>
    <xdr:from>
      <xdr:col>9</xdr:col>
      <xdr:colOff>6350</xdr:colOff>
      <xdr:row>5178</xdr:row>
      <xdr:rowOff>25400</xdr:rowOff>
    </xdr:from>
    <xdr:to>
      <xdr:col>9</xdr:col>
      <xdr:colOff>885190</xdr:colOff>
      <xdr:row>5178</xdr:row>
      <xdr:rowOff>1209040</xdr:rowOff>
    </xdr:to>
    <xdr:pic>
      <xdr:nvPicPr>
        <xdr:cNvPr id="9393" name="Изображение 9392" descr="resizeПП-00113991"/>
        <xdr:cNvPicPr>
          <a:picLocks noChangeAspect="1"/>
        </xdr:cNvPicPr>
      </xdr:nvPicPr>
      <xdr:blipFill>
        <a:blip xmlns:r="http://schemas.openxmlformats.org/officeDocument/2006/relationships" r:embed="rId4005"/>
        <a:stretch>
          <a:fillRect/>
        </a:stretch>
      </xdr:blipFill>
      <xdr:spPr>
        <a:xfrm>
          <a:off x="7235825" y="5273436875"/>
          <a:ext cx="878840" cy="1183640"/>
        </a:xfrm>
        <a:prstGeom prst="rect">
          <a:avLst/>
        </a:prstGeom>
      </xdr:spPr>
    </xdr:pic>
    <xdr:clientData/>
  </xdr:twoCellAnchor>
  <xdr:twoCellAnchor>
    <xdr:from>
      <xdr:col>9</xdr:col>
      <xdr:colOff>6350</xdr:colOff>
      <xdr:row>5179</xdr:row>
      <xdr:rowOff>25400</xdr:rowOff>
    </xdr:from>
    <xdr:to>
      <xdr:col>9</xdr:col>
      <xdr:colOff>885190</xdr:colOff>
      <xdr:row>5179</xdr:row>
      <xdr:rowOff>1209040</xdr:rowOff>
    </xdr:to>
    <xdr:pic>
      <xdr:nvPicPr>
        <xdr:cNvPr id="9394" name="Изображение 9393" descr="resizeПП-00113999"/>
        <xdr:cNvPicPr>
          <a:picLocks noChangeAspect="1"/>
        </xdr:cNvPicPr>
      </xdr:nvPicPr>
      <xdr:blipFill>
        <a:blip xmlns:r="http://schemas.openxmlformats.org/officeDocument/2006/relationships" r:embed="rId4006"/>
        <a:stretch>
          <a:fillRect/>
        </a:stretch>
      </xdr:blipFill>
      <xdr:spPr>
        <a:xfrm>
          <a:off x="7235825" y="5274659250"/>
          <a:ext cx="878840" cy="1183640"/>
        </a:xfrm>
        <a:prstGeom prst="rect">
          <a:avLst/>
        </a:prstGeom>
      </xdr:spPr>
    </xdr:pic>
    <xdr:clientData/>
  </xdr:twoCellAnchor>
  <xdr:twoCellAnchor>
    <xdr:from>
      <xdr:col>9</xdr:col>
      <xdr:colOff>6350</xdr:colOff>
      <xdr:row>5180</xdr:row>
      <xdr:rowOff>25400</xdr:rowOff>
    </xdr:from>
    <xdr:to>
      <xdr:col>9</xdr:col>
      <xdr:colOff>885190</xdr:colOff>
      <xdr:row>5180</xdr:row>
      <xdr:rowOff>1209040</xdr:rowOff>
    </xdr:to>
    <xdr:pic>
      <xdr:nvPicPr>
        <xdr:cNvPr id="9395" name="Изображение 9394" descr="resizeПП-00113985"/>
        <xdr:cNvPicPr>
          <a:picLocks noChangeAspect="1"/>
        </xdr:cNvPicPr>
      </xdr:nvPicPr>
      <xdr:blipFill>
        <a:blip xmlns:r="http://schemas.openxmlformats.org/officeDocument/2006/relationships" r:embed="rId4007"/>
        <a:stretch>
          <a:fillRect/>
        </a:stretch>
      </xdr:blipFill>
      <xdr:spPr>
        <a:xfrm>
          <a:off x="7235825" y="5275881625"/>
          <a:ext cx="878840" cy="1183640"/>
        </a:xfrm>
        <a:prstGeom prst="rect">
          <a:avLst/>
        </a:prstGeom>
      </xdr:spPr>
    </xdr:pic>
    <xdr:clientData/>
  </xdr:twoCellAnchor>
  <xdr:twoCellAnchor>
    <xdr:from>
      <xdr:col>9</xdr:col>
      <xdr:colOff>6350</xdr:colOff>
      <xdr:row>5181</xdr:row>
      <xdr:rowOff>25400</xdr:rowOff>
    </xdr:from>
    <xdr:to>
      <xdr:col>9</xdr:col>
      <xdr:colOff>885190</xdr:colOff>
      <xdr:row>5181</xdr:row>
      <xdr:rowOff>1209040</xdr:rowOff>
    </xdr:to>
    <xdr:pic>
      <xdr:nvPicPr>
        <xdr:cNvPr id="9396" name="Изображение 9395" descr="resizeПП-00180742"/>
        <xdr:cNvPicPr>
          <a:picLocks noChangeAspect="1"/>
        </xdr:cNvPicPr>
      </xdr:nvPicPr>
      <xdr:blipFill>
        <a:blip xmlns:r="http://schemas.openxmlformats.org/officeDocument/2006/relationships" r:embed="rId4008"/>
        <a:stretch>
          <a:fillRect/>
        </a:stretch>
      </xdr:blipFill>
      <xdr:spPr>
        <a:xfrm>
          <a:off x="7235825" y="5277104000"/>
          <a:ext cx="878840" cy="1183640"/>
        </a:xfrm>
        <a:prstGeom prst="rect">
          <a:avLst/>
        </a:prstGeom>
      </xdr:spPr>
    </xdr:pic>
    <xdr:clientData/>
  </xdr:twoCellAnchor>
  <xdr:twoCellAnchor>
    <xdr:from>
      <xdr:col>9</xdr:col>
      <xdr:colOff>6350</xdr:colOff>
      <xdr:row>5182</xdr:row>
      <xdr:rowOff>25400</xdr:rowOff>
    </xdr:from>
    <xdr:to>
      <xdr:col>9</xdr:col>
      <xdr:colOff>885190</xdr:colOff>
      <xdr:row>5182</xdr:row>
      <xdr:rowOff>1209040</xdr:rowOff>
    </xdr:to>
    <xdr:pic>
      <xdr:nvPicPr>
        <xdr:cNvPr id="9397" name="Изображение 9396" descr="resizeПП-00113992"/>
        <xdr:cNvPicPr>
          <a:picLocks noChangeAspect="1"/>
        </xdr:cNvPicPr>
      </xdr:nvPicPr>
      <xdr:blipFill>
        <a:blip xmlns:r="http://schemas.openxmlformats.org/officeDocument/2006/relationships" r:embed="rId4009"/>
        <a:stretch>
          <a:fillRect/>
        </a:stretch>
      </xdr:blipFill>
      <xdr:spPr>
        <a:xfrm>
          <a:off x="7235825" y="5278326375"/>
          <a:ext cx="878840" cy="1183640"/>
        </a:xfrm>
        <a:prstGeom prst="rect">
          <a:avLst/>
        </a:prstGeom>
      </xdr:spPr>
    </xdr:pic>
    <xdr:clientData/>
  </xdr:twoCellAnchor>
  <xdr:twoCellAnchor>
    <xdr:from>
      <xdr:col>9</xdr:col>
      <xdr:colOff>6350</xdr:colOff>
      <xdr:row>5183</xdr:row>
      <xdr:rowOff>25400</xdr:rowOff>
    </xdr:from>
    <xdr:to>
      <xdr:col>9</xdr:col>
      <xdr:colOff>885190</xdr:colOff>
      <xdr:row>5183</xdr:row>
      <xdr:rowOff>1209040</xdr:rowOff>
    </xdr:to>
    <xdr:pic>
      <xdr:nvPicPr>
        <xdr:cNvPr id="9398" name="Изображение 9397" descr="resizeПП-00114000"/>
        <xdr:cNvPicPr>
          <a:picLocks noChangeAspect="1"/>
        </xdr:cNvPicPr>
      </xdr:nvPicPr>
      <xdr:blipFill>
        <a:blip xmlns:r="http://schemas.openxmlformats.org/officeDocument/2006/relationships" r:embed="rId4010"/>
        <a:stretch>
          <a:fillRect/>
        </a:stretch>
      </xdr:blipFill>
      <xdr:spPr>
        <a:xfrm>
          <a:off x="7235825" y="5279548750"/>
          <a:ext cx="878840" cy="1183640"/>
        </a:xfrm>
        <a:prstGeom prst="rect">
          <a:avLst/>
        </a:prstGeom>
      </xdr:spPr>
    </xdr:pic>
    <xdr:clientData/>
  </xdr:twoCellAnchor>
  <xdr:twoCellAnchor>
    <xdr:from>
      <xdr:col>9</xdr:col>
      <xdr:colOff>6350</xdr:colOff>
      <xdr:row>5184</xdr:row>
      <xdr:rowOff>25400</xdr:rowOff>
    </xdr:from>
    <xdr:to>
      <xdr:col>9</xdr:col>
      <xdr:colOff>885190</xdr:colOff>
      <xdr:row>5184</xdr:row>
      <xdr:rowOff>1209040</xdr:rowOff>
    </xdr:to>
    <xdr:pic>
      <xdr:nvPicPr>
        <xdr:cNvPr id="9399" name="Изображение 9398" descr="resizeПП-00113986"/>
        <xdr:cNvPicPr>
          <a:picLocks noChangeAspect="1"/>
        </xdr:cNvPicPr>
      </xdr:nvPicPr>
      <xdr:blipFill>
        <a:blip xmlns:r="http://schemas.openxmlformats.org/officeDocument/2006/relationships" r:embed="rId4011"/>
        <a:stretch>
          <a:fillRect/>
        </a:stretch>
      </xdr:blipFill>
      <xdr:spPr>
        <a:xfrm>
          <a:off x="7235825" y="5280771125"/>
          <a:ext cx="878840" cy="1183640"/>
        </a:xfrm>
        <a:prstGeom prst="rect">
          <a:avLst/>
        </a:prstGeom>
      </xdr:spPr>
    </xdr:pic>
    <xdr:clientData/>
  </xdr:twoCellAnchor>
  <xdr:twoCellAnchor>
    <xdr:from>
      <xdr:col>9</xdr:col>
      <xdr:colOff>6350</xdr:colOff>
      <xdr:row>5185</xdr:row>
      <xdr:rowOff>25400</xdr:rowOff>
    </xdr:from>
    <xdr:to>
      <xdr:col>9</xdr:col>
      <xdr:colOff>885190</xdr:colOff>
      <xdr:row>5185</xdr:row>
      <xdr:rowOff>1209040</xdr:rowOff>
    </xdr:to>
    <xdr:pic>
      <xdr:nvPicPr>
        <xdr:cNvPr id="9400" name="Изображение 9399" descr="resizeПП-00180097"/>
        <xdr:cNvPicPr>
          <a:picLocks noChangeAspect="1"/>
        </xdr:cNvPicPr>
      </xdr:nvPicPr>
      <xdr:blipFill>
        <a:blip xmlns:r="http://schemas.openxmlformats.org/officeDocument/2006/relationships" r:embed="rId4012"/>
        <a:stretch>
          <a:fillRect/>
        </a:stretch>
      </xdr:blipFill>
      <xdr:spPr>
        <a:xfrm>
          <a:off x="7235825" y="5281993500"/>
          <a:ext cx="878840" cy="1183640"/>
        </a:xfrm>
        <a:prstGeom prst="rect">
          <a:avLst/>
        </a:prstGeom>
      </xdr:spPr>
    </xdr:pic>
    <xdr:clientData/>
  </xdr:twoCellAnchor>
  <xdr:twoCellAnchor>
    <xdr:from>
      <xdr:col>9</xdr:col>
      <xdr:colOff>6350</xdr:colOff>
      <xdr:row>5186</xdr:row>
      <xdr:rowOff>25400</xdr:rowOff>
    </xdr:from>
    <xdr:to>
      <xdr:col>9</xdr:col>
      <xdr:colOff>885190</xdr:colOff>
      <xdr:row>5186</xdr:row>
      <xdr:rowOff>1209040</xdr:rowOff>
    </xdr:to>
    <xdr:pic>
      <xdr:nvPicPr>
        <xdr:cNvPr id="9401" name="Изображение 9400" descr="resizeПП-00113993"/>
        <xdr:cNvPicPr>
          <a:picLocks noChangeAspect="1"/>
        </xdr:cNvPicPr>
      </xdr:nvPicPr>
      <xdr:blipFill>
        <a:blip xmlns:r="http://schemas.openxmlformats.org/officeDocument/2006/relationships" r:embed="rId4013"/>
        <a:stretch>
          <a:fillRect/>
        </a:stretch>
      </xdr:blipFill>
      <xdr:spPr>
        <a:xfrm>
          <a:off x="7235825" y="5283215875"/>
          <a:ext cx="878840" cy="1183640"/>
        </a:xfrm>
        <a:prstGeom prst="rect">
          <a:avLst/>
        </a:prstGeom>
      </xdr:spPr>
    </xdr:pic>
    <xdr:clientData/>
  </xdr:twoCellAnchor>
  <xdr:twoCellAnchor>
    <xdr:from>
      <xdr:col>9</xdr:col>
      <xdr:colOff>6350</xdr:colOff>
      <xdr:row>5187</xdr:row>
      <xdr:rowOff>25400</xdr:rowOff>
    </xdr:from>
    <xdr:to>
      <xdr:col>9</xdr:col>
      <xdr:colOff>885190</xdr:colOff>
      <xdr:row>5187</xdr:row>
      <xdr:rowOff>1209040</xdr:rowOff>
    </xdr:to>
    <xdr:pic>
      <xdr:nvPicPr>
        <xdr:cNvPr id="9402" name="Изображение 9401" descr="resizeПП-00113987"/>
        <xdr:cNvPicPr>
          <a:picLocks noChangeAspect="1"/>
        </xdr:cNvPicPr>
      </xdr:nvPicPr>
      <xdr:blipFill>
        <a:blip xmlns:r="http://schemas.openxmlformats.org/officeDocument/2006/relationships" r:embed="rId4014"/>
        <a:stretch>
          <a:fillRect/>
        </a:stretch>
      </xdr:blipFill>
      <xdr:spPr>
        <a:xfrm>
          <a:off x="7235825" y="5284438250"/>
          <a:ext cx="878840" cy="1183640"/>
        </a:xfrm>
        <a:prstGeom prst="rect">
          <a:avLst/>
        </a:prstGeom>
      </xdr:spPr>
    </xdr:pic>
    <xdr:clientData/>
  </xdr:twoCellAnchor>
  <xdr:twoCellAnchor>
    <xdr:from>
      <xdr:col>9</xdr:col>
      <xdr:colOff>6350</xdr:colOff>
      <xdr:row>5188</xdr:row>
      <xdr:rowOff>25400</xdr:rowOff>
    </xdr:from>
    <xdr:to>
      <xdr:col>9</xdr:col>
      <xdr:colOff>885190</xdr:colOff>
      <xdr:row>5188</xdr:row>
      <xdr:rowOff>1209040</xdr:rowOff>
    </xdr:to>
    <xdr:pic>
      <xdr:nvPicPr>
        <xdr:cNvPr id="9403" name="Изображение 9402" descr="resizeПП-00180098"/>
        <xdr:cNvPicPr>
          <a:picLocks noChangeAspect="1"/>
        </xdr:cNvPicPr>
      </xdr:nvPicPr>
      <xdr:blipFill>
        <a:blip xmlns:r="http://schemas.openxmlformats.org/officeDocument/2006/relationships" r:embed="rId4015"/>
        <a:stretch>
          <a:fillRect/>
        </a:stretch>
      </xdr:blipFill>
      <xdr:spPr>
        <a:xfrm>
          <a:off x="7235825" y="5285660625"/>
          <a:ext cx="878840" cy="1183640"/>
        </a:xfrm>
        <a:prstGeom prst="rect">
          <a:avLst/>
        </a:prstGeom>
      </xdr:spPr>
    </xdr:pic>
    <xdr:clientData/>
  </xdr:twoCellAnchor>
  <xdr:twoCellAnchor>
    <xdr:from>
      <xdr:col>9</xdr:col>
      <xdr:colOff>6350</xdr:colOff>
      <xdr:row>5189</xdr:row>
      <xdr:rowOff>25400</xdr:rowOff>
    </xdr:from>
    <xdr:to>
      <xdr:col>9</xdr:col>
      <xdr:colOff>885190</xdr:colOff>
      <xdr:row>5189</xdr:row>
      <xdr:rowOff>1209040</xdr:rowOff>
    </xdr:to>
    <xdr:pic>
      <xdr:nvPicPr>
        <xdr:cNvPr id="9404" name="Изображение 9403" descr="resizeПП-00113994"/>
        <xdr:cNvPicPr>
          <a:picLocks noChangeAspect="1"/>
        </xdr:cNvPicPr>
      </xdr:nvPicPr>
      <xdr:blipFill>
        <a:blip xmlns:r="http://schemas.openxmlformats.org/officeDocument/2006/relationships" r:embed="rId4016"/>
        <a:stretch>
          <a:fillRect/>
        </a:stretch>
      </xdr:blipFill>
      <xdr:spPr>
        <a:xfrm>
          <a:off x="7235825" y="5286883000"/>
          <a:ext cx="878840" cy="1183640"/>
        </a:xfrm>
        <a:prstGeom prst="rect">
          <a:avLst/>
        </a:prstGeom>
      </xdr:spPr>
    </xdr:pic>
    <xdr:clientData/>
  </xdr:twoCellAnchor>
  <xdr:twoCellAnchor>
    <xdr:from>
      <xdr:col>9</xdr:col>
      <xdr:colOff>6350</xdr:colOff>
      <xdr:row>5190</xdr:row>
      <xdr:rowOff>25400</xdr:rowOff>
    </xdr:from>
    <xdr:to>
      <xdr:col>9</xdr:col>
      <xdr:colOff>885190</xdr:colOff>
      <xdr:row>5190</xdr:row>
      <xdr:rowOff>1209040</xdr:rowOff>
    </xdr:to>
    <xdr:pic>
      <xdr:nvPicPr>
        <xdr:cNvPr id="9405" name="Изображение 9404" descr="resizeПП-00113988"/>
        <xdr:cNvPicPr>
          <a:picLocks noChangeAspect="1"/>
        </xdr:cNvPicPr>
      </xdr:nvPicPr>
      <xdr:blipFill>
        <a:blip xmlns:r="http://schemas.openxmlformats.org/officeDocument/2006/relationships" r:embed="rId4017"/>
        <a:stretch>
          <a:fillRect/>
        </a:stretch>
      </xdr:blipFill>
      <xdr:spPr>
        <a:xfrm>
          <a:off x="7235825" y="5288105375"/>
          <a:ext cx="878840" cy="1183640"/>
        </a:xfrm>
        <a:prstGeom prst="rect">
          <a:avLst/>
        </a:prstGeom>
      </xdr:spPr>
    </xdr:pic>
    <xdr:clientData/>
  </xdr:twoCellAnchor>
  <xdr:twoCellAnchor>
    <xdr:from>
      <xdr:col>9</xdr:col>
      <xdr:colOff>6350</xdr:colOff>
      <xdr:row>5191</xdr:row>
      <xdr:rowOff>25400</xdr:rowOff>
    </xdr:from>
    <xdr:to>
      <xdr:col>9</xdr:col>
      <xdr:colOff>885190</xdr:colOff>
      <xdr:row>5191</xdr:row>
      <xdr:rowOff>1209040</xdr:rowOff>
    </xdr:to>
    <xdr:pic>
      <xdr:nvPicPr>
        <xdr:cNvPr id="9406" name="Изображение 9405" descr="resizeПП-00180100"/>
        <xdr:cNvPicPr>
          <a:picLocks noChangeAspect="1"/>
        </xdr:cNvPicPr>
      </xdr:nvPicPr>
      <xdr:blipFill>
        <a:blip xmlns:r="http://schemas.openxmlformats.org/officeDocument/2006/relationships" r:embed="rId4018"/>
        <a:stretch>
          <a:fillRect/>
        </a:stretch>
      </xdr:blipFill>
      <xdr:spPr>
        <a:xfrm>
          <a:off x="7235825" y="5289327750"/>
          <a:ext cx="878840" cy="1183640"/>
        </a:xfrm>
        <a:prstGeom prst="rect">
          <a:avLst/>
        </a:prstGeom>
      </xdr:spPr>
    </xdr:pic>
    <xdr:clientData/>
  </xdr:twoCellAnchor>
  <xdr:twoCellAnchor>
    <xdr:from>
      <xdr:col>9</xdr:col>
      <xdr:colOff>6350</xdr:colOff>
      <xdr:row>5192</xdr:row>
      <xdr:rowOff>25400</xdr:rowOff>
    </xdr:from>
    <xdr:to>
      <xdr:col>9</xdr:col>
      <xdr:colOff>885190</xdr:colOff>
      <xdr:row>5192</xdr:row>
      <xdr:rowOff>1209040</xdr:rowOff>
    </xdr:to>
    <xdr:pic>
      <xdr:nvPicPr>
        <xdr:cNvPr id="9407" name="Изображение 9406" descr="resizeПП-00114006"/>
        <xdr:cNvPicPr>
          <a:picLocks noChangeAspect="1"/>
        </xdr:cNvPicPr>
      </xdr:nvPicPr>
      <xdr:blipFill>
        <a:blip xmlns:r="http://schemas.openxmlformats.org/officeDocument/2006/relationships" r:embed="rId4019"/>
        <a:stretch>
          <a:fillRect/>
        </a:stretch>
      </xdr:blipFill>
      <xdr:spPr>
        <a:xfrm>
          <a:off x="7235825" y="5290550125"/>
          <a:ext cx="878840" cy="1183640"/>
        </a:xfrm>
        <a:prstGeom prst="rect">
          <a:avLst/>
        </a:prstGeom>
      </xdr:spPr>
    </xdr:pic>
    <xdr:clientData/>
  </xdr:twoCellAnchor>
  <xdr:twoCellAnchor>
    <xdr:from>
      <xdr:col>9</xdr:col>
      <xdr:colOff>6350</xdr:colOff>
      <xdr:row>5193</xdr:row>
      <xdr:rowOff>25400</xdr:rowOff>
    </xdr:from>
    <xdr:to>
      <xdr:col>9</xdr:col>
      <xdr:colOff>885190</xdr:colOff>
      <xdr:row>5193</xdr:row>
      <xdr:rowOff>1209040</xdr:rowOff>
    </xdr:to>
    <xdr:pic>
      <xdr:nvPicPr>
        <xdr:cNvPr id="9408" name="Изображение 9407" descr="resizeПП-00113995"/>
        <xdr:cNvPicPr>
          <a:picLocks noChangeAspect="1"/>
        </xdr:cNvPicPr>
      </xdr:nvPicPr>
      <xdr:blipFill>
        <a:blip xmlns:r="http://schemas.openxmlformats.org/officeDocument/2006/relationships" r:embed="rId4020"/>
        <a:stretch>
          <a:fillRect/>
        </a:stretch>
      </xdr:blipFill>
      <xdr:spPr>
        <a:xfrm>
          <a:off x="7235825" y="5291772500"/>
          <a:ext cx="878840" cy="1183640"/>
        </a:xfrm>
        <a:prstGeom prst="rect">
          <a:avLst/>
        </a:prstGeom>
      </xdr:spPr>
    </xdr:pic>
    <xdr:clientData/>
  </xdr:twoCellAnchor>
  <xdr:twoCellAnchor>
    <xdr:from>
      <xdr:col>9</xdr:col>
      <xdr:colOff>6350</xdr:colOff>
      <xdr:row>5194</xdr:row>
      <xdr:rowOff>25400</xdr:rowOff>
    </xdr:from>
    <xdr:to>
      <xdr:col>9</xdr:col>
      <xdr:colOff>885190</xdr:colOff>
      <xdr:row>5194</xdr:row>
      <xdr:rowOff>1209040</xdr:rowOff>
    </xdr:to>
    <xdr:pic>
      <xdr:nvPicPr>
        <xdr:cNvPr id="9409" name="Изображение 9408" descr="resizeПП-00114003"/>
        <xdr:cNvPicPr>
          <a:picLocks noChangeAspect="1"/>
        </xdr:cNvPicPr>
      </xdr:nvPicPr>
      <xdr:blipFill>
        <a:blip xmlns:r="http://schemas.openxmlformats.org/officeDocument/2006/relationships" r:embed="rId4021"/>
        <a:stretch>
          <a:fillRect/>
        </a:stretch>
      </xdr:blipFill>
      <xdr:spPr>
        <a:xfrm>
          <a:off x="7235825" y="5292994875"/>
          <a:ext cx="878840" cy="1183640"/>
        </a:xfrm>
        <a:prstGeom prst="rect">
          <a:avLst/>
        </a:prstGeom>
      </xdr:spPr>
    </xdr:pic>
    <xdr:clientData/>
  </xdr:twoCellAnchor>
  <xdr:twoCellAnchor>
    <xdr:from>
      <xdr:col>9</xdr:col>
      <xdr:colOff>6350</xdr:colOff>
      <xdr:row>5195</xdr:row>
      <xdr:rowOff>25400</xdr:rowOff>
    </xdr:from>
    <xdr:to>
      <xdr:col>9</xdr:col>
      <xdr:colOff>885190</xdr:colOff>
      <xdr:row>5195</xdr:row>
      <xdr:rowOff>1209040</xdr:rowOff>
    </xdr:to>
    <xdr:pic>
      <xdr:nvPicPr>
        <xdr:cNvPr id="9410" name="Изображение 9409" descr="resizeПП-00113989"/>
        <xdr:cNvPicPr>
          <a:picLocks noChangeAspect="1"/>
        </xdr:cNvPicPr>
      </xdr:nvPicPr>
      <xdr:blipFill>
        <a:blip xmlns:r="http://schemas.openxmlformats.org/officeDocument/2006/relationships" r:embed="rId4022"/>
        <a:stretch>
          <a:fillRect/>
        </a:stretch>
      </xdr:blipFill>
      <xdr:spPr>
        <a:xfrm>
          <a:off x="7235825" y="5294217250"/>
          <a:ext cx="878840" cy="1183640"/>
        </a:xfrm>
        <a:prstGeom prst="rect">
          <a:avLst/>
        </a:prstGeom>
      </xdr:spPr>
    </xdr:pic>
    <xdr:clientData/>
  </xdr:twoCellAnchor>
  <xdr:twoCellAnchor>
    <xdr:from>
      <xdr:col>9</xdr:col>
      <xdr:colOff>6350</xdr:colOff>
      <xdr:row>5196</xdr:row>
      <xdr:rowOff>25400</xdr:rowOff>
    </xdr:from>
    <xdr:to>
      <xdr:col>9</xdr:col>
      <xdr:colOff>885190</xdr:colOff>
      <xdr:row>5196</xdr:row>
      <xdr:rowOff>1209040</xdr:rowOff>
    </xdr:to>
    <xdr:pic>
      <xdr:nvPicPr>
        <xdr:cNvPr id="9411" name="Изображение 9410" descr="resizeПП-00180103"/>
        <xdr:cNvPicPr>
          <a:picLocks noChangeAspect="1"/>
        </xdr:cNvPicPr>
      </xdr:nvPicPr>
      <xdr:blipFill>
        <a:blip xmlns:r="http://schemas.openxmlformats.org/officeDocument/2006/relationships" r:embed="rId4023"/>
        <a:stretch>
          <a:fillRect/>
        </a:stretch>
      </xdr:blipFill>
      <xdr:spPr>
        <a:xfrm>
          <a:off x="7235825" y="5295439625"/>
          <a:ext cx="878840" cy="1183640"/>
        </a:xfrm>
        <a:prstGeom prst="rect">
          <a:avLst/>
        </a:prstGeom>
      </xdr:spPr>
    </xdr:pic>
    <xdr:clientData/>
  </xdr:twoCellAnchor>
  <xdr:twoCellAnchor>
    <xdr:from>
      <xdr:col>9</xdr:col>
      <xdr:colOff>6350</xdr:colOff>
      <xdr:row>5197</xdr:row>
      <xdr:rowOff>25400</xdr:rowOff>
    </xdr:from>
    <xdr:to>
      <xdr:col>9</xdr:col>
      <xdr:colOff>885190</xdr:colOff>
      <xdr:row>5197</xdr:row>
      <xdr:rowOff>1209040</xdr:rowOff>
    </xdr:to>
    <xdr:pic>
      <xdr:nvPicPr>
        <xdr:cNvPr id="9412" name="Изображение 9411" descr="resizeПП-00114007"/>
        <xdr:cNvPicPr>
          <a:picLocks noChangeAspect="1"/>
        </xdr:cNvPicPr>
      </xdr:nvPicPr>
      <xdr:blipFill>
        <a:blip xmlns:r="http://schemas.openxmlformats.org/officeDocument/2006/relationships" r:embed="rId4024"/>
        <a:stretch>
          <a:fillRect/>
        </a:stretch>
      </xdr:blipFill>
      <xdr:spPr>
        <a:xfrm>
          <a:off x="7235825" y="5296662000"/>
          <a:ext cx="878840" cy="1183640"/>
        </a:xfrm>
        <a:prstGeom prst="rect">
          <a:avLst/>
        </a:prstGeom>
      </xdr:spPr>
    </xdr:pic>
    <xdr:clientData/>
  </xdr:twoCellAnchor>
  <xdr:twoCellAnchor>
    <xdr:from>
      <xdr:col>9</xdr:col>
      <xdr:colOff>6350</xdr:colOff>
      <xdr:row>5198</xdr:row>
      <xdr:rowOff>25400</xdr:rowOff>
    </xdr:from>
    <xdr:to>
      <xdr:col>9</xdr:col>
      <xdr:colOff>885190</xdr:colOff>
      <xdr:row>5198</xdr:row>
      <xdr:rowOff>1209040</xdr:rowOff>
    </xdr:to>
    <xdr:pic>
      <xdr:nvPicPr>
        <xdr:cNvPr id="9413" name="Изображение 9412" descr="resizeПП-00113996"/>
        <xdr:cNvPicPr>
          <a:picLocks noChangeAspect="1"/>
        </xdr:cNvPicPr>
      </xdr:nvPicPr>
      <xdr:blipFill>
        <a:blip xmlns:r="http://schemas.openxmlformats.org/officeDocument/2006/relationships" r:embed="rId4025"/>
        <a:stretch>
          <a:fillRect/>
        </a:stretch>
      </xdr:blipFill>
      <xdr:spPr>
        <a:xfrm>
          <a:off x="7235825" y="5297884375"/>
          <a:ext cx="878840" cy="1183640"/>
        </a:xfrm>
        <a:prstGeom prst="rect">
          <a:avLst/>
        </a:prstGeom>
      </xdr:spPr>
    </xdr:pic>
    <xdr:clientData/>
  </xdr:twoCellAnchor>
  <xdr:twoCellAnchor>
    <xdr:from>
      <xdr:col>9</xdr:col>
      <xdr:colOff>6350</xdr:colOff>
      <xdr:row>5199</xdr:row>
      <xdr:rowOff>25400</xdr:rowOff>
    </xdr:from>
    <xdr:to>
      <xdr:col>9</xdr:col>
      <xdr:colOff>885190</xdr:colOff>
      <xdr:row>5199</xdr:row>
      <xdr:rowOff>1209040</xdr:rowOff>
    </xdr:to>
    <xdr:pic>
      <xdr:nvPicPr>
        <xdr:cNvPr id="9414" name="Изображение 9413" descr="resizeПП-00113990"/>
        <xdr:cNvPicPr>
          <a:picLocks noChangeAspect="1"/>
        </xdr:cNvPicPr>
      </xdr:nvPicPr>
      <xdr:blipFill>
        <a:blip xmlns:r="http://schemas.openxmlformats.org/officeDocument/2006/relationships" r:embed="rId4026"/>
        <a:stretch>
          <a:fillRect/>
        </a:stretch>
      </xdr:blipFill>
      <xdr:spPr>
        <a:xfrm>
          <a:off x="7235825" y="5299106750"/>
          <a:ext cx="878840" cy="1183640"/>
        </a:xfrm>
        <a:prstGeom prst="rect">
          <a:avLst/>
        </a:prstGeom>
      </xdr:spPr>
    </xdr:pic>
    <xdr:clientData/>
  </xdr:twoCellAnchor>
  <xdr:twoCellAnchor>
    <xdr:from>
      <xdr:col>9</xdr:col>
      <xdr:colOff>6350</xdr:colOff>
      <xdr:row>5200</xdr:row>
      <xdr:rowOff>25400</xdr:rowOff>
    </xdr:from>
    <xdr:to>
      <xdr:col>9</xdr:col>
      <xdr:colOff>885190</xdr:colOff>
      <xdr:row>5200</xdr:row>
      <xdr:rowOff>1209040</xdr:rowOff>
    </xdr:to>
    <xdr:pic>
      <xdr:nvPicPr>
        <xdr:cNvPr id="9415" name="Изображение 9414" descr="resizeПП-00181702"/>
        <xdr:cNvPicPr>
          <a:picLocks noChangeAspect="1"/>
        </xdr:cNvPicPr>
      </xdr:nvPicPr>
      <xdr:blipFill>
        <a:blip xmlns:r="http://schemas.openxmlformats.org/officeDocument/2006/relationships" r:embed="rId4027"/>
        <a:stretch>
          <a:fillRect/>
        </a:stretch>
      </xdr:blipFill>
      <xdr:spPr>
        <a:xfrm>
          <a:off x="7235825" y="5300329125"/>
          <a:ext cx="878840" cy="1183640"/>
        </a:xfrm>
        <a:prstGeom prst="rect">
          <a:avLst/>
        </a:prstGeom>
      </xdr:spPr>
    </xdr:pic>
    <xdr:clientData/>
  </xdr:twoCellAnchor>
  <xdr:twoCellAnchor>
    <xdr:from>
      <xdr:col>9</xdr:col>
      <xdr:colOff>6350</xdr:colOff>
      <xdr:row>5201</xdr:row>
      <xdr:rowOff>25400</xdr:rowOff>
    </xdr:from>
    <xdr:to>
      <xdr:col>9</xdr:col>
      <xdr:colOff>885190</xdr:colOff>
      <xdr:row>5201</xdr:row>
      <xdr:rowOff>1209040</xdr:rowOff>
    </xdr:to>
    <xdr:pic>
      <xdr:nvPicPr>
        <xdr:cNvPr id="9416" name="Изображение 9415" descr="resizeПП-00114009"/>
        <xdr:cNvPicPr>
          <a:picLocks noChangeAspect="1"/>
        </xdr:cNvPicPr>
      </xdr:nvPicPr>
      <xdr:blipFill>
        <a:blip xmlns:r="http://schemas.openxmlformats.org/officeDocument/2006/relationships" r:embed="rId4028"/>
        <a:stretch>
          <a:fillRect/>
        </a:stretch>
      </xdr:blipFill>
      <xdr:spPr>
        <a:xfrm>
          <a:off x="7235825" y="5301551500"/>
          <a:ext cx="878840" cy="1183640"/>
        </a:xfrm>
        <a:prstGeom prst="rect">
          <a:avLst/>
        </a:prstGeom>
      </xdr:spPr>
    </xdr:pic>
    <xdr:clientData/>
  </xdr:twoCellAnchor>
  <xdr:twoCellAnchor>
    <xdr:from>
      <xdr:col>9</xdr:col>
      <xdr:colOff>6350</xdr:colOff>
      <xdr:row>5202</xdr:row>
      <xdr:rowOff>25400</xdr:rowOff>
    </xdr:from>
    <xdr:to>
      <xdr:col>9</xdr:col>
      <xdr:colOff>885190</xdr:colOff>
      <xdr:row>5202</xdr:row>
      <xdr:rowOff>1209040</xdr:rowOff>
    </xdr:to>
    <xdr:pic>
      <xdr:nvPicPr>
        <xdr:cNvPr id="9417" name="Изображение 9416" descr="resizeПП-00113997"/>
        <xdr:cNvPicPr>
          <a:picLocks noChangeAspect="1"/>
        </xdr:cNvPicPr>
      </xdr:nvPicPr>
      <xdr:blipFill>
        <a:blip xmlns:r="http://schemas.openxmlformats.org/officeDocument/2006/relationships" r:embed="rId4029"/>
        <a:stretch>
          <a:fillRect/>
        </a:stretch>
      </xdr:blipFill>
      <xdr:spPr>
        <a:xfrm>
          <a:off x="7235825" y="5302773875"/>
          <a:ext cx="878840" cy="1183640"/>
        </a:xfrm>
        <a:prstGeom prst="rect">
          <a:avLst/>
        </a:prstGeom>
      </xdr:spPr>
    </xdr:pic>
    <xdr:clientData/>
  </xdr:twoCellAnchor>
  <xdr:twoCellAnchor>
    <xdr:from>
      <xdr:col>9</xdr:col>
      <xdr:colOff>6350</xdr:colOff>
      <xdr:row>5203</xdr:row>
      <xdr:rowOff>25400</xdr:rowOff>
    </xdr:from>
    <xdr:to>
      <xdr:col>9</xdr:col>
      <xdr:colOff>885190</xdr:colOff>
      <xdr:row>5203</xdr:row>
      <xdr:rowOff>1209040</xdr:rowOff>
    </xdr:to>
    <xdr:pic>
      <xdr:nvPicPr>
        <xdr:cNvPr id="9418" name="Изображение 9417" descr="resizeПП-00114020"/>
        <xdr:cNvPicPr>
          <a:picLocks noChangeAspect="1"/>
        </xdr:cNvPicPr>
      </xdr:nvPicPr>
      <xdr:blipFill>
        <a:blip xmlns:r="http://schemas.openxmlformats.org/officeDocument/2006/relationships" r:embed="rId4030"/>
        <a:stretch>
          <a:fillRect/>
        </a:stretch>
      </xdr:blipFill>
      <xdr:spPr>
        <a:xfrm>
          <a:off x="7235825" y="5303996250"/>
          <a:ext cx="878840" cy="1183640"/>
        </a:xfrm>
        <a:prstGeom prst="rect">
          <a:avLst/>
        </a:prstGeom>
      </xdr:spPr>
    </xdr:pic>
    <xdr:clientData/>
  </xdr:twoCellAnchor>
  <xdr:twoCellAnchor>
    <xdr:from>
      <xdr:col>9</xdr:col>
      <xdr:colOff>6350</xdr:colOff>
      <xdr:row>5204</xdr:row>
      <xdr:rowOff>25400</xdr:rowOff>
    </xdr:from>
    <xdr:to>
      <xdr:col>9</xdr:col>
      <xdr:colOff>885190</xdr:colOff>
      <xdr:row>5204</xdr:row>
      <xdr:rowOff>1209040</xdr:rowOff>
    </xdr:to>
    <xdr:pic>
      <xdr:nvPicPr>
        <xdr:cNvPr id="9419" name="Изображение 9418" descr="resizeПП-00114010"/>
        <xdr:cNvPicPr>
          <a:picLocks noChangeAspect="1"/>
        </xdr:cNvPicPr>
      </xdr:nvPicPr>
      <xdr:blipFill>
        <a:blip xmlns:r="http://schemas.openxmlformats.org/officeDocument/2006/relationships" r:embed="rId4031"/>
        <a:stretch>
          <a:fillRect/>
        </a:stretch>
      </xdr:blipFill>
      <xdr:spPr>
        <a:xfrm>
          <a:off x="7235825" y="5305218625"/>
          <a:ext cx="878840" cy="1183640"/>
        </a:xfrm>
        <a:prstGeom prst="rect">
          <a:avLst/>
        </a:prstGeom>
      </xdr:spPr>
    </xdr:pic>
    <xdr:clientData/>
  </xdr:twoCellAnchor>
  <xdr:twoCellAnchor>
    <xdr:from>
      <xdr:col>9</xdr:col>
      <xdr:colOff>6350</xdr:colOff>
      <xdr:row>5205</xdr:row>
      <xdr:rowOff>25400</xdr:rowOff>
    </xdr:from>
    <xdr:to>
      <xdr:col>9</xdr:col>
      <xdr:colOff>885190</xdr:colOff>
      <xdr:row>5205</xdr:row>
      <xdr:rowOff>1209040</xdr:rowOff>
    </xdr:to>
    <xdr:pic>
      <xdr:nvPicPr>
        <xdr:cNvPr id="9420" name="Изображение 9419" descr="resizeПП-00114021"/>
        <xdr:cNvPicPr>
          <a:picLocks noChangeAspect="1"/>
        </xdr:cNvPicPr>
      </xdr:nvPicPr>
      <xdr:blipFill>
        <a:blip xmlns:r="http://schemas.openxmlformats.org/officeDocument/2006/relationships" r:embed="rId4032"/>
        <a:stretch>
          <a:fillRect/>
        </a:stretch>
      </xdr:blipFill>
      <xdr:spPr>
        <a:xfrm>
          <a:off x="7235825" y="5306441000"/>
          <a:ext cx="878840" cy="1183640"/>
        </a:xfrm>
        <a:prstGeom prst="rect">
          <a:avLst/>
        </a:prstGeom>
      </xdr:spPr>
    </xdr:pic>
    <xdr:clientData/>
  </xdr:twoCellAnchor>
  <xdr:twoCellAnchor>
    <xdr:from>
      <xdr:col>9</xdr:col>
      <xdr:colOff>6350</xdr:colOff>
      <xdr:row>5206</xdr:row>
      <xdr:rowOff>25400</xdr:rowOff>
    </xdr:from>
    <xdr:to>
      <xdr:col>9</xdr:col>
      <xdr:colOff>885190</xdr:colOff>
      <xdr:row>5206</xdr:row>
      <xdr:rowOff>1209040</xdr:rowOff>
    </xdr:to>
    <xdr:pic>
      <xdr:nvPicPr>
        <xdr:cNvPr id="9421" name="Изображение 9420" descr="resizeПП-00114011"/>
        <xdr:cNvPicPr>
          <a:picLocks noChangeAspect="1"/>
        </xdr:cNvPicPr>
      </xdr:nvPicPr>
      <xdr:blipFill>
        <a:blip xmlns:r="http://schemas.openxmlformats.org/officeDocument/2006/relationships" r:embed="rId4033"/>
        <a:stretch>
          <a:fillRect/>
        </a:stretch>
      </xdr:blipFill>
      <xdr:spPr>
        <a:xfrm>
          <a:off x="7235825" y="5307663375"/>
          <a:ext cx="878840" cy="1183640"/>
        </a:xfrm>
        <a:prstGeom prst="rect">
          <a:avLst/>
        </a:prstGeom>
      </xdr:spPr>
    </xdr:pic>
    <xdr:clientData/>
  </xdr:twoCellAnchor>
  <xdr:twoCellAnchor>
    <xdr:from>
      <xdr:col>9</xdr:col>
      <xdr:colOff>6350</xdr:colOff>
      <xdr:row>5207</xdr:row>
      <xdr:rowOff>25400</xdr:rowOff>
    </xdr:from>
    <xdr:to>
      <xdr:col>9</xdr:col>
      <xdr:colOff>885190</xdr:colOff>
      <xdr:row>5207</xdr:row>
      <xdr:rowOff>1209040</xdr:rowOff>
    </xdr:to>
    <xdr:pic>
      <xdr:nvPicPr>
        <xdr:cNvPr id="9422" name="Изображение 9421" descr="resizeПП-00114022"/>
        <xdr:cNvPicPr>
          <a:picLocks noChangeAspect="1"/>
        </xdr:cNvPicPr>
      </xdr:nvPicPr>
      <xdr:blipFill>
        <a:blip xmlns:r="http://schemas.openxmlformats.org/officeDocument/2006/relationships" r:embed="rId4034"/>
        <a:stretch>
          <a:fillRect/>
        </a:stretch>
      </xdr:blipFill>
      <xdr:spPr>
        <a:xfrm>
          <a:off x="7235825" y="5308885750"/>
          <a:ext cx="878840" cy="1183640"/>
        </a:xfrm>
        <a:prstGeom prst="rect">
          <a:avLst/>
        </a:prstGeom>
      </xdr:spPr>
    </xdr:pic>
    <xdr:clientData/>
  </xdr:twoCellAnchor>
  <xdr:twoCellAnchor>
    <xdr:from>
      <xdr:col>9</xdr:col>
      <xdr:colOff>6350</xdr:colOff>
      <xdr:row>5208</xdr:row>
      <xdr:rowOff>25400</xdr:rowOff>
    </xdr:from>
    <xdr:to>
      <xdr:col>9</xdr:col>
      <xdr:colOff>885190</xdr:colOff>
      <xdr:row>5208</xdr:row>
      <xdr:rowOff>1209040</xdr:rowOff>
    </xdr:to>
    <xdr:pic>
      <xdr:nvPicPr>
        <xdr:cNvPr id="9423" name="Изображение 9422" descr="resizeПП-00114012"/>
        <xdr:cNvPicPr>
          <a:picLocks noChangeAspect="1"/>
        </xdr:cNvPicPr>
      </xdr:nvPicPr>
      <xdr:blipFill>
        <a:blip xmlns:r="http://schemas.openxmlformats.org/officeDocument/2006/relationships" r:embed="rId4035"/>
        <a:stretch>
          <a:fillRect/>
        </a:stretch>
      </xdr:blipFill>
      <xdr:spPr>
        <a:xfrm>
          <a:off x="7235825" y="5310108125"/>
          <a:ext cx="878840" cy="1183640"/>
        </a:xfrm>
        <a:prstGeom prst="rect">
          <a:avLst/>
        </a:prstGeom>
      </xdr:spPr>
    </xdr:pic>
    <xdr:clientData/>
  </xdr:twoCellAnchor>
  <xdr:twoCellAnchor>
    <xdr:from>
      <xdr:col>9</xdr:col>
      <xdr:colOff>6350</xdr:colOff>
      <xdr:row>5209</xdr:row>
      <xdr:rowOff>25400</xdr:rowOff>
    </xdr:from>
    <xdr:to>
      <xdr:col>9</xdr:col>
      <xdr:colOff>885190</xdr:colOff>
      <xdr:row>5209</xdr:row>
      <xdr:rowOff>1209040</xdr:rowOff>
    </xdr:to>
    <xdr:pic>
      <xdr:nvPicPr>
        <xdr:cNvPr id="9424" name="Изображение 9423" descr="resizeПП-00114023"/>
        <xdr:cNvPicPr>
          <a:picLocks noChangeAspect="1"/>
        </xdr:cNvPicPr>
      </xdr:nvPicPr>
      <xdr:blipFill>
        <a:blip xmlns:r="http://schemas.openxmlformats.org/officeDocument/2006/relationships" r:embed="rId4036"/>
        <a:stretch>
          <a:fillRect/>
        </a:stretch>
      </xdr:blipFill>
      <xdr:spPr>
        <a:xfrm>
          <a:off x="7235825" y="5311330500"/>
          <a:ext cx="878840" cy="1183640"/>
        </a:xfrm>
        <a:prstGeom prst="rect">
          <a:avLst/>
        </a:prstGeom>
      </xdr:spPr>
    </xdr:pic>
    <xdr:clientData/>
  </xdr:twoCellAnchor>
  <xdr:twoCellAnchor>
    <xdr:from>
      <xdr:col>9</xdr:col>
      <xdr:colOff>6350</xdr:colOff>
      <xdr:row>5210</xdr:row>
      <xdr:rowOff>25400</xdr:rowOff>
    </xdr:from>
    <xdr:to>
      <xdr:col>9</xdr:col>
      <xdr:colOff>885190</xdr:colOff>
      <xdr:row>5210</xdr:row>
      <xdr:rowOff>1209040</xdr:rowOff>
    </xdr:to>
    <xdr:pic>
      <xdr:nvPicPr>
        <xdr:cNvPr id="9425" name="Изображение 9424" descr="resizeПП-00114013"/>
        <xdr:cNvPicPr>
          <a:picLocks noChangeAspect="1"/>
        </xdr:cNvPicPr>
      </xdr:nvPicPr>
      <xdr:blipFill>
        <a:blip xmlns:r="http://schemas.openxmlformats.org/officeDocument/2006/relationships" r:embed="rId4037"/>
        <a:stretch>
          <a:fillRect/>
        </a:stretch>
      </xdr:blipFill>
      <xdr:spPr>
        <a:xfrm>
          <a:off x="7235825" y="5312552875"/>
          <a:ext cx="878840" cy="1183640"/>
        </a:xfrm>
        <a:prstGeom prst="rect">
          <a:avLst/>
        </a:prstGeom>
      </xdr:spPr>
    </xdr:pic>
    <xdr:clientData/>
  </xdr:twoCellAnchor>
  <xdr:twoCellAnchor>
    <xdr:from>
      <xdr:col>9</xdr:col>
      <xdr:colOff>6350</xdr:colOff>
      <xdr:row>5211</xdr:row>
      <xdr:rowOff>25400</xdr:rowOff>
    </xdr:from>
    <xdr:to>
      <xdr:col>9</xdr:col>
      <xdr:colOff>885190</xdr:colOff>
      <xdr:row>5211</xdr:row>
      <xdr:rowOff>1209040</xdr:rowOff>
    </xdr:to>
    <xdr:pic>
      <xdr:nvPicPr>
        <xdr:cNvPr id="9426" name="Изображение 9425" descr="resizeПП-00114024"/>
        <xdr:cNvPicPr>
          <a:picLocks noChangeAspect="1"/>
        </xdr:cNvPicPr>
      </xdr:nvPicPr>
      <xdr:blipFill>
        <a:blip xmlns:r="http://schemas.openxmlformats.org/officeDocument/2006/relationships" r:embed="rId4038"/>
        <a:stretch>
          <a:fillRect/>
        </a:stretch>
      </xdr:blipFill>
      <xdr:spPr>
        <a:xfrm>
          <a:off x="7235825" y="5313775250"/>
          <a:ext cx="878840" cy="1183640"/>
        </a:xfrm>
        <a:prstGeom prst="rect">
          <a:avLst/>
        </a:prstGeom>
      </xdr:spPr>
    </xdr:pic>
    <xdr:clientData/>
  </xdr:twoCellAnchor>
  <xdr:twoCellAnchor>
    <xdr:from>
      <xdr:col>9</xdr:col>
      <xdr:colOff>6350</xdr:colOff>
      <xdr:row>5212</xdr:row>
      <xdr:rowOff>25400</xdr:rowOff>
    </xdr:from>
    <xdr:to>
      <xdr:col>9</xdr:col>
      <xdr:colOff>885190</xdr:colOff>
      <xdr:row>5212</xdr:row>
      <xdr:rowOff>1209040</xdr:rowOff>
    </xdr:to>
    <xdr:pic>
      <xdr:nvPicPr>
        <xdr:cNvPr id="9427" name="Изображение 9426" descr="resizeПП-00114014"/>
        <xdr:cNvPicPr>
          <a:picLocks noChangeAspect="1"/>
        </xdr:cNvPicPr>
      </xdr:nvPicPr>
      <xdr:blipFill>
        <a:blip xmlns:r="http://schemas.openxmlformats.org/officeDocument/2006/relationships" r:embed="rId4039"/>
        <a:stretch>
          <a:fillRect/>
        </a:stretch>
      </xdr:blipFill>
      <xdr:spPr>
        <a:xfrm>
          <a:off x="7235825" y="5314997625"/>
          <a:ext cx="878840" cy="1183640"/>
        </a:xfrm>
        <a:prstGeom prst="rect">
          <a:avLst/>
        </a:prstGeom>
      </xdr:spPr>
    </xdr:pic>
    <xdr:clientData/>
  </xdr:twoCellAnchor>
  <xdr:twoCellAnchor>
    <xdr:from>
      <xdr:col>9</xdr:col>
      <xdr:colOff>6350</xdr:colOff>
      <xdr:row>5213</xdr:row>
      <xdr:rowOff>25400</xdr:rowOff>
    </xdr:from>
    <xdr:to>
      <xdr:col>9</xdr:col>
      <xdr:colOff>885190</xdr:colOff>
      <xdr:row>5213</xdr:row>
      <xdr:rowOff>1209040</xdr:rowOff>
    </xdr:to>
    <xdr:pic>
      <xdr:nvPicPr>
        <xdr:cNvPr id="9428" name="Изображение 9427" descr="resizeПП-00114025"/>
        <xdr:cNvPicPr>
          <a:picLocks noChangeAspect="1"/>
        </xdr:cNvPicPr>
      </xdr:nvPicPr>
      <xdr:blipFill>
        <a:blip xmlns:r="http://schemas.openxmlformats.org/officeDocument/2006/relationships" r:embed="rId4040"/>
        <a:stretch>
          <a:fillRect/>
        </a:stretch>
      </xdr:blipFill>
      <xdr:spPr>
        <a:xfrm>
          <a:off x="7235825" y="5316220000"/>
          <a:ext cx="878840" cy="1183640"/>
        </a:xfrm>
        <a:prstGeom prst="rect">
          <a:avLst/>
        </a:prstGeom>
      </xdr:spPr>
    </xdr:pic>
    <xdr:clientData/>
  </xdr:twoCellAnchor>
  <xdr:twoCellAnchor>
    <xdr:from>
      <xdr:col>9</xdr:col>
      <xdr:colOff>6350</xdr:colOff>
      <xdr:row>5214</xdr:row>
      <xdr:rowOff>25400</xdr:rowOff>
    </xdr:from>
    <xdr:to>
      <xdr:col>9</xdr:col>
      <xdr:colOff>885190</xdr:colOff>
      <xdr:row>5214</xdr:row>
      <xdr:rowOff>1209040</xdr:rowOff>
    </xdr:to>
    <xdr:pic>
      <xdr:nvPicPr>
        <xdr:cNvPr id="9429" name="Изображение 9428" descr="resizeПП-00114015"/>
        <xdr:cNvPicPr>
          <a:picLocks noChangeAspect="1"/>
        </xdr:cNvPicPr>
      </xdr:nvPicPr>
      <xdr:blipFill>
        <a:blip xmlns:r="http://schemas.openxmlformats.org/officeDocument/2006/relationships" r:embed="rId4041"/>
        <a:stretch>
          <a:fillRect/>
        </a:stretch>
      </xdr:blipFill>
      <xdr:spPr>
        <a:xfrm>
          <a:off x="7235825" y="5317442375"/>
          <a:ext cx="878840" cy="1183640"/>
        </a:xfrm>
        <a:prstGeom prst="rect">
          <a:avLst/>
        </a:prstGeom>
      </xdr:spPr>
    </xdr:pic>
    <xdr:clientData/>
  </xdr:twoCellAnchor>
  <xdr:twoCellAnchor>
    <xdr:from>
      <xdr:col>9</xdr:col>
      <xdr:colOff>6350</xdr:colOff>
      <xdr:row>5215</xdr:row>
      <xdr:rowOff>25400</xdr:rowOff>
    </xdr:from>
    <xdr:to>
      <xdr:col>9</xdr:col>
      <xdr:colOff>885190</xdr:colOff>
      <xdr:row>5215</xdr:row>
      <xdr:rowOff>1209040</xdr:rowOff>
    </xdr:to>
    <xdr:pic>
      <xdr:nvPicPr>
        <xdr:cNvPr id="9430" name="Изображение 9429" descr="resizeПП-00114026"/>
        <xdr:cNvPicPr>
          <a:picLocks noChangeAspect="1"/>
        </xdr:cNvPicPr>
      </xdr:nvPicPr>
      <xdr:blipFill>
        <a:blip xmlns:r="http://schemas.openxmlformats.org/officeDocument/2006/relationships" r:embed="rId4042"/>
        <a:stretch>
          <a:fillRect/>
        </a:stretch>
      </xdr:blipFill>
      <xdr:spPr>
        <a:xfrm>
          <a:off x="7235825" y="5318664750"/>
          <a:ext cx="878840" cy="1183640"/>
        </a:xfrm>
        <a:prstGeom prst="rect">
          <a:avLst/>
        </a:prstGeom>
      </xdr:spPr>
    </xdr:pic>
    <xdr:clientData/>
  </xdr:twoCellAnchor>
  <xdr:twoCellAnchor>
    <xdr:from>
      <xdr:col>9</xdr:col>
      <xdr:colOff>6350</xdr:colOff>
      <xdr:row>5216</xdr:row>
      <xdr:rowOff>25400</xdr:rowOff>
    </xdr:from>
    <xdr:to>
      <xdr:col>9</xdr:col>
      <xdr:colOff>885190</xdr:colOff>
      <xdr:row>5216</xdr:row>
      <xdr:rowOff>1209040</xdr:rowOff>
    </xdr:to>
    <xdr:pic>
      <xdr:nvPicPr>
        <xdr:cNvPr id="9431" name="Изображение 9430" descr="resizeПП-00114016"/>
        <xdr:cNvPicPr>
          <a:picLocks noChangeAspect="1"/>
        </xdr:cNvPicPr>
      </xdr:nvPicPr>
      <xdr:blipFill>
        <a:blip xmlns:r="http://schemas.openxmlformats.org/officeDocument/2006/relationships" r:embed="rId4043"/>
        <a:stretch>
          <a:fillRect/>
        </a:stretch>
      </xdr:blipFill>
      <xdr:spPr>
        <a:xfrm>
          <a:off x="7235825" y="5319887125"/>
          <a:ext cx="878840" cy="1183640"/>
        </a:xfrm>
        <a:prstGeom prst="rect">
          <a:avLst/>
        </a:prstGeom>
      </xdr:spPr>
    </xdr:pic>
    <xdr:clientData/>
  </xdr:twoCellAnchor>
  <xdr:twoCellAnchor>
    <xdr:from>
      <xdr:col>9</xdr:col>
      <xdr:colOff>6350</xdr:colOff>
      <xdr:row>5217</xdr:row>
      <xdr:rowOff>25400</xdr:rowOff>
    </xdr:from>
    <xdr:to>
      <xdr:col>9</xdr:col>
      <xdr:colOff>885190</xdr:colOff>
      <xdr:row>5217</xdr:row>
      <xdr:rowOff>1209040</xdr:rowOff>
    </xdr:to>
    <xdr:pic>
      <xdr:nvPicPr>
        <xdr:cNvPr id="9432" name="Изображение 9431" descr="resizeПП-00114028"/>
        <xdr:cNvPicPr>
          <a:picLocks noChangeAspect="1"/>
        </xdr:cNvPicPr>
      </xdr:nvPicPr>
      <xdr:blipFill>
        <a:blip xmlns:r="http://schemas.openxmlformats.org/officeDocument/2006/relationships" r:embed="rId4044"/>
        <a:stretch>
          <a:fillRect/>
        </a:stretch>
      </xdr:blipFill>
      <xdr:spPr>
        <a:xfrm>
          <a:off x="7235825" y="5321109500"/>
          <a:ext cx="878840" cy="1183640"/>
        </a:xfrm>
        <a:prstGeom prst="rect">
          <a:avLst/>
        </a:prstGeom>
      </xdr:spPr>
    </xdr:pic>
    <xdr:clientData/>
  </xdr:twoCellAnchor>
  <xdr:twoCellAnchor>
    <xdr:from>
      <xdr:col>9</xdr:col>
      <xdr:colOff>6350</xdr:colOff>
      <xdr:row>5218</xdr:row>
      <xdr:rowOff>25400</xdr:rowOff>
    </xdr:from>
    <xdr:to>
      <xdr:col>9</xdr:col>
      <xdr:colOff>885190</xdr:colOff>
      <xdr:row>5218</xdr:row>
      <xdr:rowOff>1209040</xdr:rowOff>
    </xdr:to>
    <xdr:pic>
      <xdr:nvPicPr>
        <xdr:cNvPr id="9433" name="Изображение 9432" descr="resizeПП-00114017"/>
        <xdr:cNvPicPr>
          <a:picLocks noChangeAspect="1"/>
        </xdr:cNvPicPr>
      </xdr:nvPicPr>
      <xdr:blipFill>
        <a:blip xmlns:r="http://schemas.openxmlformats.org/officeDocument/2006/relationships" r:embed="rId4045"/>
        <a:stretch>
          <a:fillRect/>
        </a:stretch>
      </xdr:blipFill>
      <xdr:spPr>
        <a:xfrm>
          <a:off x="7235825" y="5322331875"/>
          <a:ext cx="878840" cy="1183640"/>
        </a:xfrm>
        <a:prstGeom prst="rect">
          <a:avLst/>
        </a:prstGeom>
      </xdr:spPr>
    </xdr:pic>
    <xdr:clientData/>
  </xdr:twoCellAnchor>
  <xdr:twoCellAnchor>
    <xdr:from>
      <xdr:col>9</xdr:col>
      <xdr:colOff>6350</xdr:colOff>
      <xdr:row>5219</xdr:row>
      <xdr:rowOff>25400</xdr:rowOff>
    </xdr:from>
    <xdr:to>
      <xdr:col>9</xdr:col>
      <xdr:colOff>885190</xdr:colOff>
      <xdr:row>5219</xdr:row>
      <xdr:rowOff>1209040</xdr:rowOff>
    </xdr:to>
    <xdr:pic>
      <xdr:nvPicPr>
        <xdr:cNvPr id="9434" name="Изображение 9433" descr="resizeПП-00114029"/>
        <xdr:cNvPicPr>
          <a:picLocks noChangeAspect="1"/>
        </xdr:cNvPicPr>
      </xdr:nvPicPr>
      <xdr:blipFill>
        <a:blip xmlns:r="http://schemas.openxmlformats.org/officeDocument/2006/relationships" r:embed="rId4046"/>
        <a:stretch>
          <a:fillRect/>
        </a:stretch>
      </xdr:blipFill>
      <xdr:spPr>
        <a:xfrm>
          <a:off x="7235825" y="5323554250"/>
          <a:ext cx="878840" cy="1183640"/>
        </a:xfrm>
        <a:prstGeom prst="rect">
          <a:avLst/>
        </a:prstGeom>
      </xdr:spPr>
    </xdr:pic>
    <xdr:clientData/>
  </xdr:twoCellAnchor>
  <xdr:twoCellAnchor>
    <xdr:from>
      <xdr:col>9</xdr:col>
      <xdr:colOff>6350</xdr:colOff>
      <xdr:row>5220</xdr:row>
      <xdr:rowOff>25400</xdr:rowOff>
    </xdr:from>
    <xdr:to>
      <xdr:col>9</xdr:col>
      <xdr:colOff>885190</xdr:colOff>
      <xdr:row>5220</xdr:row>
      <xdr:rowOff>1209040</xdr:rowOff>
    </xdr:to>
    <xdr:pic>
      <xdr:nvPicPr>
        <xdr:cNvPr id="9435" name="Изображение 9434" descr="resizeПП-00114018"/>
        <xdr:cNvPicPr>
          <a:picLocks noChangeAspect="1"/>
        </xdr:cNvPicPr>
      </xdr:nvPicPr>
      <xdr:blipFill>
        <a:blip xmlns:r="http://schemas.openxmlformats.org/officeDocument/2006/relationships" r:embed="rId4047"/>
        <a:stretch>
          <a:fillRect/>
        </a:stretch>
      </xdr:blipFill>
      <xdr:spPr>
        <a:xfrm>
          <a:off x="7235825" y="5324776625"/>
          <a:ext cx="878840" cy="1183640"/>
        </a:xfrm>
        <a:prstGeom prst="rect">
          <a:avLst/>
        </a:prstGeom>
      </xdr:spPr>
    </xdr:pic>
    <xdr:clientData/>
  </xdr:twoCellAnchor>
  <xdr:twoCellAnchor>
    <xdr:from>
      <xdr:col>9</xdr:col>
      <xdr:colOff>6350</xdr:colOff>
      <xdr:row>5221</xdr:row>
      <xdr:rowOff>25400</xdr:rowOff>
    </xdr:from>
    <xdr:to>
      <xdr:col>9</xdr:col>
      <xdr:colOff>885190</xdr:colOff>
      <xdr:row>5221</xdr:row>
      <xdr:rowOff>1209040</xdr:rowOff>
    </xdr:to>
    <xdr:pic>
      <xdr:nvPicPr>
        <xdr:cNvPr id="9436" name="Изображение 9435" descr="resizeПП-00114030"/>
        <xdr:cNvPicPr>
          <a:picLocks noChangeAspect="1"/>
        </xdr:cNvPicPr>
      </xdr:nvPicPr>
      <xdr:blipFill>
        <a:blip xmlns:r="http://schemas.openxmlformats.org/officeDocument/2006/relationships" r:embed="rId4048"/>
        <a:stretch>
          <a:fillRect/>
        </a:stretch>
      </xdr:blipFill>
      <xdr:spPr>
        <a:xfrm>
          <a:off x="7235825" y="5325999000"/>
          <a:ext cx="878840" cy="1183640"/>
        </a:xfrm>
        <a:prstGeom prst="rect">
          <a:avLst/>
        </a:prstGeom>
      </xdr:spPr>
    </xdr:pic>
    <xdr:clientData/>
  </xdr:twoCellAnchor>
  <xdr:twoCellAnchor>
    <xdr:from>
      <xdr:col>9</xdr:col>
      <xdr:colOff>6350</xdr:colOff>
      <xdr:row>5222</xdr:row>
      <xdr:rowOff>25400</xdr:rowOff>
    </xdr:from>
    <xdr:to>
      <xdr:col>9</xdr:col>
      <xdr:colOff>885190</xdr:colOff>
      <xdr:row>5222</xdr:row>
      <xdr:rowOff>1209040</xdr:rowOff>
    </xdr:to>
    <xdr:pic>
      <xdr:nvPicPr>
        <xdr:cNvPr id="9437" name="Изображение 9436" descr="resizeПП-00114019"/>
        <xdr:cNvPicPr>
          <a:picLocks noChangeAspect="1"/>
        </xdr:cNvPicPr>
      </xdr:nvPicPr>
      <xdr:blipFill>
        <a:blip xmlns:r="http://schemas.openxmlformats.org/officeDocument/2006/relationships" r:embed="rId4049"/>
        <a:stretch>
          <a:fillRect/>
        </a:stretch>
      </xdr:blipFill>
      <xdr:spPr>
        <a:xfrm>
          <a:off x="7235825" y="5327221375"/>
          <a:ext cx="878840" cy="1183640"/>
        </a:xfrm>
        <a:prstGeom prst="rect">
          <a:avLst/>
        </a:prstGeom>
      </xdr:spPr>
    </xdr:pic>
    <xdr:clientData/>
  </xdr:twoCellAnchor>
  <xdr:twoCellAnchor>
    <xdr:from>
      <xdr:col>9</xdr:col>
      <xdr:colOff>6350</xdr:colOff>
      <xdr:row>5223</xdr:row>
      <xdr:rowOff>25400</xdr:rowOff>
    </xdr:from>
    <xdr:to>
      <xdr:col>9</xdr:col>
      <xdr:colOff>885190</xdr:colOff>
      <xdr:row>5223</xdr:row>
      <xdr:rowOff>1209040</xdr:rowOff>
    </xdr:to>
    <xdr:pic>
      <xdr:nvPicPr>
        <xdr:cNvPr id="9438" name="Изображение 9437" descr="resizeПП-00072871"/>
        <xdr:cNvPicPr>
          <a:picLocks noChangeAspect="1"/>
        </xdr:cNvPicPr>
      </xdr:nvPicPr>
      <xdr:blipFill>
        <a:blip xmlns:r="http://schemas.openxmlformats.org/officeDocument/2006/relationships" r:embed="rId4050"/>
        <a:stretch>
          <a:fillRect/>
        </a:stretch>
      </xdr:blipFill>
      <xdr:spPr>
        <a:xfrm>
          <a:off x="7235825" y="5328443750"/>
          <a:ext cx="878840" cy="1183640"/>
        </a:xfrm>
        <a:prstGeom prst="rect">
          <a:avLst/>
        </a:prstGeom>
      </xdr:spPr>
    </xdr:pic>
    <xdr:clientData/>
  </xdr:twoCellAnchor>
  <xdr:twoCellAnchor>
    <xdr:from>
      <xdr:col>9</xdr:col>
      <xdr:colOff>6350</xdr:colOff>
      <xdr:row>5224</xdr:row>
      <xdr:rowOff>25400</xdr:rowOff>
    </xdr:from>
    <xdr:to>
      <xdr:col>9</xdr:col>
      <xdr:colOff>885190</xdr:colOff>
      <xdr:row>5224</xdr:row>
      <xdr:rowOff>1209040</xdr:rowOff>
    </xdr:to>
    <xdr:pic>
      <xdr:nvPicPr>
        <xdr:cNvPr id="9439" name="Изображение 9438" descr="resizeПП-00072872"/>
        <xdr:cNvPicPr>
          <a:picLocks noChangeAspect="1"/>
        </xdr:cNvPicPr>
      </xdr:nvPicPr>
      <xdr:blipFill>
        <a:blip xmlns:r="http://schemas.openxmlformats.org/officeDocument/2006/relationships" r:embed="rId4051"/>
        <a:stretch>
          <a:fillRect/>
        </a:stretch>
      </xdr:blipFill>
      <xdr:spPr>
        <a:xfrm>
          <a:off x="7235825" y="5329666125"/>
          <a:ext cx="878840" cy="1183640"/>
        </a:xfrm>
        <a:prstGeom prst="rect">
          <a:avLst/>
        </a:prstGeom>
      </xdr:spPr>
    </xdr:pic>
    <xdr:clientData/>
  </xdr:twoCellAnchor>
  <xdr:twoCellAnchor>
    <xdr:from>
      <xdr:col>9</xdr:col>
      <xdr:colOff>6350</xdr:colOff>
      <xdr:row>5225</xdr:row>
      <xdr:rowOff>25400</xdr:rowOff>
    </xdr:from>
    <xdr:to>
      <xdr:col>9</xdr:col>
      <xdr:colOff>885190</xdr:colOff>
      <xdr:row>5225</xdr:row>
      <xdr:rowOff>1209040</xdr:rowOff>
    </xdr:to>
    <xdr:pic>
      <xdr:nvPicPr>
        <xdr:cNvPr id="9440" name="Изображение 9439" descr="resizeПП-00072873"/>
        <xdr:cNvPicPr>
          <a:picLocks noChangeAspect="1"/>
        </xdr:cNvPicPr>
      </xdr:nvPicPr>
      <xdr:blipFill>
        <a:blip xmlns:r="http://schemas.openxmlformats.org/officeDocument/2006/relationships" r:embed="rId4052"/>
        <a:stretch>
          <a:fillRect/>
        </a:stretch>
      </xdr:blipFill>
      <xdr:spPr>
        <a:xfrm>
          <a:off x="7235825" y="5330888500"/>
          <a:ext cx="878840" cy="1183640"/>
        </a:xfrm>
        <a:prstGeom prst="rect">
          <a:avLst/>
        </a:prstGeom>
      </xdr:spPr>
    </xdr:pic>
    <xdr:clientData/>
  </xdr:twoCellAnchor>
  <xdr:twoCellAnchor>
    <xdr:from>
      <xdr:col>9</xdr:col>
      <xdr:colOff>6350</xdr:colOff>
      <xdr:row>5226</xdr:row>
      <xdr:rowOff>25400</xdr:rowOff>
    </xdr:from>
    <xdr:to>
      <xdr:col>9</xdr:col>
      <xdr:colOff>885190</xdr:colOff>
      <xdr:row>5226</xdr:row>
      <xdr:rowOff>1209040</xdr:rowOff>
    </xdr:to>
    <xdr:pic>
      <xdr:nvPicPr>
        <xdr:cNvPr id="9441" name="Изображение 9440" descr="resizeПП-00072874"/>
        <xdr:cNvPicPr>
          <a:picLocks noChangeAspect="1"/>
        </xdr:cNvPicPr>
      </xdr:nvPicPr>
      <xdr:blipFill>
        <a:blip xmlns:r="http://schemas.openxmlformats.org/officeDocument/2006/relationships" r:embed="rId4053"/>
        <a:stretch>
          <a:fillRect/>
        </a:stretch>
      </xdr:blipFill>
      <xdr:spPr>
        <a:xfrm>
          <a:off x="7235825" y="5332110875"/>
          <a:ext cx="878840" cy="1183640"/>
        </a:xfrm>
        <a:prstGeom prst="rect">
          <a:avLst/>
        </a:prstGeom>
      </xdr:spPr>
    </xdr:pic>
    <xdr:clientData/>
  </xdr:twoCellAnchor>
  <xdr:twoCellAnchor>
    <xdr:from>
      <xdr:col>9</xdr:col>
      <xdr:colOff>6350</xdr:colOff>
      <xdr:row>5227</xdr:row>
      <xdr:rowOff>25400</xdr:rowOff>
    </xdr:from>
    <xdr:to>
      <xdr:col>9</xdr:col>
      <xdr:colOff>885190</xdr:colOff>
      <xdr:row>5227</xdr:row>
      <xdr:rowOff>1209040</xdr:rowOff>
    </xdr:to>
    <xdr:pic>
      <xdr:nvPicPr>
        <xdr:cNvPr id="9442" name="Изображение 9441" descr="resizeПП-00072875"/>
        <xdr:cNvPicPr>
          <a:picLocks noChangeAspect="1"/>
        </xdr:cNvPicPr>
      </xdr:nvPicPr>
      <xdr:blipFill>
        <a:blip xmlns:r="http://schemas.openxmlformats.org/officeDocument/2006/relationships" r:embed="rId4054"/>
        <a:stretch>
          <a:fillRect/>
        </a:stretch>
      </xdr:blipFill>
      <xdr:spPr>
        <a:xfrm>
          <a:off x="7235825" y="5333333250"/>
          <a:ext cx="878840" cy="1183640"/>
        </a:xfrm>
        <a:prstGeom prst="rect">
          <a:avLst/>
        </a:prstGeom>
      </xdr:spPr>
    </xdr:pic>
    <xdr:clientData/>
  </xdr:twoCellAnchor>
  <xdr:twoCellAnchor>
    <xdr:from>
      <xdr:col>9</xdr:col>
      <xdr:colOff>6350</xdr:colOff>
      <xdr:row>5229</xdr:row>
      <xdr:rowOff>25400</xdr:rowOff>
    </xdr:from>
    <xdr:to>
      <xdr:col>9</xdr:col>
      <xdr:colOff>885190</xdr:colOff>
      <xdr:row>5229</xdr:row>
      <xdr:rowOff>1209040</xdr:rowOff>
    </xdr:to>
    <xdr:pic>
      <xdr:nvPicPr>
        <xdr:cNvPr id="9443" name="Изображение 9442" descr="resizeПП-00041644"/>
        <xdr:cNvPicPr>
          <a:picLocks noChangeAspect="1"/>
        </xdr:cNvPicPr>
      </xdr:nvPicPr>
      <xdr:blipFill>
        <a:blip xmlns:r="http://schemas.openxmlformats.org/officeDocument/2006/relationships" r:embed="rId4055"/>
        <a:stretch>
          <a:fillRect/>
        </a:stretch>
      </xdr:blipFill>
      <xdr:spPr>
        <a:xfrm>
          <a:off x="7235825" y="5334708025"/>
          <a:ext cx="878840" cy="1183640"/>
        </a:xfrm>
        <a:prstGeom prst="rect">
          <a:avLst/>
        </a:prstGeom>
      </xdr:spPr>
    </xdr:pic>
    <xdr:clientData/>
  </xdr:twoCellAnchor>
  <xdr:twoCellAnchor>
    <xdr:from>
      <xdr:col>9</xdr:col>
      <xdr:colOff>6350</xdr:colOff>
      <xdr:row>5230</xdr:row>
      <xdr:rowOff>25400</xdr:rowOff>
    </xdr:from>
    <xdr:to>
      <xdr:col>9</xdr:col>
      <xdr:colOff>885190</xdr:colOff>
      <xdr:row>5230</xdr:row>
      <xdr:rowOff>1209040</xdr:rowOff>
    </xdr:to>
    <xdr:pic>
      <xdr:nvPicPr>
        <xdr:cNvPr id="9444" name="Изображение 9443" descr="resizeПП-00041639"/>
        <xdr:cNvPicPr>
          <a:picLocks noChangeAspect="1"/>
        </xdr:cNvPicPr>
      </xdr:nvPicPr>
      <xdr:blipFill>
        <a:blip xmlns:r="http://schemas.openxmlformats.org/officeDocument/2006/relationships" r:embed="rId4056"/>
        <a:stretch>
          <a:fillRect/>
        </a:stretch>
      </xdr:blipFill>
      <xdr:spPr>
        <a:xfrm>
          <a:off x="7235825" y="5335930400"/>
          <a:ext cx="878840" cy="1183640"/>
        </a:xfrm>
        <a:prstGeom prst="rect">
          <a:avLst/>
        </a:prstGeom>
      </xdr:spPr>
    </xdr:pic>
    <xdr:clientData/>
  </xdr:twoCellAnchor>
  <xdr:twoCellAnchor>
    <xdr:from>
      <xdr:col>9</xdr:col>
      <xdr:colOff>6350</xdr:colOff>
      <xdr:row>5231</xdr:row>
      <xdr:rowOff>25400</xdr:rowOff>
    </xdr:from>
    <xdr:to>
      <xdr:col>9</xdr:col>
      <xdr:colOff>885190</xdr:colOff>
      <xdr:row>5231</xdr:row>
      <xdr:rowOff>1209040</xdr:rowOff>
    </xdr:to>
    <xdr:pic>
      <xdr:nvPicPr>
        <xdr:cNvPr id="9445" name="Изображение 9444" descr="resizeПП-00041635"/>
        <xdr:cNvPicPr>
          <a:picLocks noChangeAspect="1"/>
        </xdr:cNvPicPr>
      </xdr:nvPicPr>
      <xdr:blipFill>
        <a:blip xmlns:r="http://schemas.openxmlformats.org/officeDocument/2006/relationships" r:embed="rId4057"/>
        <a:stretch>
          <a:fillRect/>
        </a:stretch>
      </xdr:blipFill>
      <xdr:spPr>
        <a:xfrm>
          <a:off x="7235825" y="5337152775"/>
          <a:ext cx="878840" cy="1183640"/>
        </a:xfrm>
        <a:prstGeom prst="rect">
          <a:avLst/>
        </a:prstGeom>
      </xdr:spPr>
    </xdr:pic>
    <xdr:clientData/>
  </xdr:twoCellAnchor>
  <xdr:twoCellAnchor>
    <xdr:from>
      <xdr:col>9</xdr:col>
      <xdr:colOff>6350</xdr:colOff>
      <xdr:row>5233</xdr:row>
      <xdr:rowOff>25400</xdr:rowOff>
    </xdr:from>
    <xdr:to>
      <xdr:col>9</xdr:col>
      <xdr:colOff>885190</xdr:colOff>
      <xdr:row>5233</xdr:row>
      <xdr:rowOff>1209040</xdr:rowOff>
    </xdr:to>
    <xdr:pic>
      <xdr:nvPicPr>
        <xdr:cNvPr id="9446" name="Изображение 9445" descr="resizeПП-00244521"/>
        <xdr:cNvPicPr>
          <a:picLocks noChangeAspect="1"/>
        </xdr:cNvPicPr>
      </xdr:nvPicPr>
      <xdr:blipFill>
        <a:blip xmlns:r="http://schemas.openxmlformats.org/officeDocument/2006/relationships" r:embed="rId4058"/>
        <a:stretch>
          <a:fillRect/>
        </a:stretch>
      </xdr:blipFill>
      <xdr:spPr>
        <a:xfrm>
          <a:off x="7235825" y="5338527550"/>
          <a:ext cx="878840" cy="1183640"/>
        </a:xfrm>
        <a:prstGeom prst="rect">
          <a:avLst/>
        </a:prstGeom>
      </xdr:spPr>
    </xdr:pic>
    <xdr:clientData/>
  </xdr:twoCellAnchor>
  <xdr:twoCellAnchor>
    <xdr:from>
      <xdr:col>9</xdr:col>
      <xdr:colOff>6350</xdr:colOff>
      <xdr:row>5234</xdr:row>
      <xdr:rowOff>25400</xdr:rowOff>
    </xdr:from>
    <xdr:to>
      <xdr:col>9</xdr:col>
      <xdr:colOff>885190</xdr:colOff>
      <xdr:row>5234</xdr:row>
      <xdr:rowOff>1209040</xdr:rowOff>
    </xdr:to>
    <xdr:pic>
      <xdr:nvPicPr>
        <xdr:cNvPr id="9447" name="Изображение 9446" descr="resizeПП-00072906"/>
        <xdr:cNvPicPr>
          <a:picLocks noChangeAspect="1"/>
        </xdr:cNvPicPr>
      </xdr:nvPicPr>
      <xdr:blipFill>
        <a:blip xmlns:r="http://schemas.openxmlformats.org/officeDocument/2006/relationships" r:embed="rId4059"/>
        <a:stretch>
          <a:fillRect/>
        </a:stretch>
      </xdr:blipFill>
      <xdr:spPr>
        <a:xfrm>
          <a:off x="7235825" y="5339749925"/>
          <a:ext cx="878840" cy="1183640"/>
        </a:xfrm>
        <a:prstGeom prst="rect">
          <a:avLst/>
        </a:prstGeom>
      </xdr:spPr>
    </xdr:pic>
    <xdr:clientData/>
  </xdr:twoCellAnchor>
  <xdr:twoCellAnchor>
    <xdr:from>
      <xdr:col>9</xdr:col>
      <xdr:colOff>6350</xdr:colOff>
      <xdr:row>5235</xdr:row>
      <xdr:rowOff>25400</xdr:rowOff>
    </xdr:from>
    <xdr:to>
      <xdr:col>9</xdr:col>
      <xdr:colOff>885190</xdr:colOff>
      <xdr:row>5235</xdr:row>
      <xdr:rowOff>1209040</xdr:rowOff>
    </xdr:to>
    <xdr:pic>
      <xdr:nvPicPr>
        <xdr:cNvPr id="9448" name="Изображение 9447" descr="resizeПП-00072903"/>
        <xdr:cNvPicPr>
          <a:picLocks noChangeAspect="1"/>
        </xdr:cNvPicPr>
      </xdr:nvPicPr>
      <xdr:blipFill>
        <a:blip xmlns:r="http://schemas.openxmlformats.org/officeDocument/2006/relationships" r:embed="rId4060"/>
        <a:stretch>
          <a:fillRect/>
        </a:stretch>
      </xdr:blipFill>
      <xdr:spPr>
        <a:xfrm>
          <a:off x="7235825" y="5340972300"/>
          <a:ext cx="878840" cy="1183640"/>
        </a:xfrm>
        <a:prstGeom prst="rect">
          <a:avLst/>
        </a:prstGeom>
      </xdr:spPr>
    </xdr:pic>
    <xdr:clientData/>
  </xdr:twoCellAnchor>
  <xdr:twoCellAnchor>
    <xdr:from>
      <xdr:col>9</xdr:col>
      <xdr:colOff>6350</xdr:colOff>
      <xdr:row>5236</xdr:row>
      <xdr:rowOff>25400</xdr:rowOff>
    </xdr:from>
    <xdr:to>
      <xdr:col>9</xdr:col>
      <xdr:colOff>885190</xdr:colOff>
      <xdr:row>5236</xdr:row>
      <xdr:rowOff>1209040</xdr:rowOff>
    </xdr:to>
    <xdr:pic>
      <xdr:nvPicPr>
        <xdr:cNvPr id="9449" name="Изображение 9448" descr="resizeПП-00041641"/>
        <xdr:cNvPicPr>
          <a:picLocks noChangeAspect="1"/>
        </xdr:cNvPicPr>
      </xdr:nvPicPr>
      <xdr:blipFill>
        <a:blip xmlns:r="http://schemas.openxmlformats.org/officeDocument/2006/relationships" r:embed="rId4061"/>
        <a:stretch>
          <a:fillRect/>
        </a:stretch>
      </xdr:blipFill>
      <xdr:spPr>
        <a:xfrm>
          <a:off x="7235825" y="5342194675"/>
          <a:ext cx="878840" cy="1183640"/>
        </a:xfrm>
        <a:prstGeom prst="rect">
          <a:avLst/>
        </a:prstGeom>
      </xdr:spPr>
    </xdr:pic>
    <xdr:clientData/>
  </xdr:twoCellAnchor>
  <xdr:twoCellAnchor>
    <xdr:from>
      <xdr:col>9</xdr:col>
      <xdr:colOff>6350</xdr:colOff>
      <xdr:row>5237</xdr:row>
      <xdr:rowOff>25400</xdr:rowOff>
    </xdr:from>
    <xdr:to>
      <xdr:col>9</xdr:col>
      <xdr:colOff>885190</xdr:colOff>
      <xdr:row>5237</xdr:row>
      <xdr:rowOff>1209040</xdr:rowOff>
    </xdr:to>
    <xdr:pic>
      <xdr:nvPicPr>
        <xdr:cNvPr id="9450" name="Изображение 9449" descr="resizeПП-00244539"/>
        <xdr:cNvPicPr>
          <a:picLocks noChangeAspect="1"/>
        </xdr:cNvPicPr>
      </xdr:nvPicPr>
      <xdr:blipFill>
        <a:blip xmlns:r="http://schemas.openxmlformats.org/officeDocument/2006/relationships" r:embed="rId4062"/>
        <a:stretch>
          <a:fillRect/>
        </a:stretch>
      </xdr:blipFill>
      <xdr:spPr>
        <a:xfrm>
          <a:off x="7235825" y="5343417050"/>
          <a:ext cx="878840" cy="1183640"/>
        </a:xfrm>
        <a:prstGeom prst="rect">
          <a:avLst/>
        </a:prstGeom>
      </xdr:spPr>
    </xdr:pic>
    <xdr:clientData/>
  </xdr:twoCellAnchor>
  <xdr:twoCellAnchor>
    <xdr:from>
      <xdr:col>9</xdr:col>
      <xdr:colOff>6350</xdr:colOff>
      <xdr:row>5238</xdr:row>
      <xdr:rowOff>25400</xdr:rowOff>
    </xdr:from>
    <xdr:to>
      <xdr:col>9</xdr:col>
      <xdr:colOff>885190</xdr:colOff>
      <xdr:row>5238</xdr:row>
      <xdr:rowOff>1209040</xdr:rowOff>
    </xdr:to>
    <xdr:pic>
      <xdr:nvPicPr>
        <xdr:cNvPr id="9451" name="Изображение 9450" descr="resizeПП-00244541"/>
        <xdr:cNvPicPr>
          <a:picLocks noChangeAspect="1"/>
        </xdr:cNvPicPr>
      </xdr:nvPicPr>
      <xdr:blipFill>
        <a:blip xmlns:r="http://schemas.openxmlformats.org/officeDocument/2006/relationships" r:embed="rId4063"/>
        <a:stretch>
          <a:fillRect/>
        </a:stretch>
      </xdr:blipFill>
      <xdr:spPr>
        <a:xfrm>
          <a:off x="7235825" y="5344639425"/>
          <a:ext cx="878840" cy="1183640"/>
        </a:xfrm>
        <a:prstGeom prst="rect">
          <a:avLst/>
        </a:prstGeom>
      </xdr:spPr>
    </xdr:pic>
    <xdr:clientData/>
  </xdr:twoCellAnchor>
  <xdr:twoCellAnchor>
    <xdr:from>
      <xdr:col>9</xdr:col>
      <xdr:colOff>6350</xdr:colOff>
      <xdr:row>5239</xdr:row>
      <xdr:rowOff>25400</xdr:rowOff>
    </xdr:from>
    <xdr:to>
      <xdr:col>9</xdr:col>
      <xdr:colOff>885190</xdr:colOff>
      <xdr:row>5239</xdr:row>
      <xdr:rowOff>1209040</xdr:rowOff>
    </xdr:to>
    <xdr:pic>
      <xdr:nvPicPr>
        <xdr:cNvPr id="9452" name="Изображение 9451" descr="resizeПП-00244542"/>
        <xdr:cNvPicPr>
          <a:picLocks noChangeAspect="1"/>
        </xdr:cNvPicPr>
      </xdr:nvPicPr>
      <xdr:blipFill>
        <a:blip xmlns:r="http://schemas.openxmlformats.org/officeDocument/2006/relationships" r:embed="rId4064"/>
        <a:stretch>
          <a:fillRect/>
        </a:stretch>
      </xdr:blipFill>
      <xdr:spPr>
        <a:xfrm>
          <a:off x="7235825" y="5345861800"/>
          <a:ext cx="878840" cy="1183640"/>
        </a:xfrm>
        <a:prstGeom prst="rect">
          <a:avLst/>
        </a:prstGeom>
      </xdr:spPr>
    </xdr:pic>
    <xdr:clientData/>
  </xdr:twoCellAnchor>
  <xdr:twoCellAnchor>
    <xdr:from>
      <xdr:col>9</xdr:col>
      <xdr:colOff>6350</xdr:colOff>
      <xdr:row>5240</xdr:row>
      <xdr:rowOff>25400</xdr:rowOff>
    </xdr:from>
    <xdr:to>
      <xdr:col>9</xdr:col>
      <xdr:colOff>885190</xdr:colOff>
      <xdr:row>5240</xdr:row>
      <xdr:rowOff>1209040</xdr:rowOff>
    </xdr:to>
    <xdr:pic>
      <xdr:nvPicPr>
        <xdr:cNvPr id="9453" name="Изображение 9452" descr="resizeПП-00244552"/>
        <xdr:cNvPicPr>
          <a:picLocks noChangeAspect="1"/>
        </xdr:cNvPicPr>
      </xdr:nvPicPr>
      <xdr:blipFill>
        <a:blip xmlns:r="http://schemas.openxmlformats.org/officeDocument/2006/relationships" r:embed="rId4065"/>
        <a:stretch>
          <a:fillRect/>
        </a:stretch>
      </xdr:blipFill>
      <xdr:spPr>
        <a:xfrm>
          <a:off x="7235825" y="5347084175"/>
          <a:ext cx="878840" cy="1183640"/>
        </a:xfrm>
        <a:prstGeom prst="rect">
          <a:avLst/>
        </a:prstGeom>
      </xdr:spPr>
    </xdr:pic>
    <xdr:clientData/>
  </xdr:twoCellAnchor>
  <xdr:twoCellAnchor>
    <xdr:from>
      <xdr:col>9</xdr:col>
      <xdr:colOff>6350</xdr:colOff>
      <xdr:row>5241</xdr:row>
      <xdr:rowOff>25400</xdr:rowOff>
    </xdr:from>
    <xdr:to>
      <xdr:col>9</xdr:col>
      <xdr:colOff>885190</xdr:colOff>
      <xdr:row>5241</xdr:row>
      <xdr:rowOff>1209040</xdr:rowOff>
    </xdr:to>
    <xdr:pic>
      <xdr:nvPicPr>
        <xdr:cNvPr id="9454" name="Изображение 9453" descr="resizeПП-00244571"/>
        <xdr:cNvPicPr>
          <a:picLocks noChangeAspect="1"/>
        </xdr:cNvPicPr>
      </xdr:nvPicPr>
      <xdr:blipFill>
        <a:blip xmlns:r="http://schemas.openxmlformats.org/officeDocument/2006/relationships" r:embed="rId4066"/>
        <a:stretch>
          <a:fillRect/>
        </a:stretch>
      </xdr:blipFill>
      <xdr:spPr>
        <a:xfrm>
          <a:off x="7235825" y="5348306550"/>
          <a:ext cx="878840" cy="1183640"/>
        </a:xfrm>
        <a:prstGeom prst="rect">
          <a:avLst/>
        </a:prstGeom>
      </xdr:spPr>
    </xdr:pic>
    <xdr:clientData/>
  </xdr:twoCellAnchor>
  <xdr:twoCellAnchor>
    <xdr:from>
      <xdr:col>9</xdr:col>
      <xdr:colOff>6350</xdr:colOff>
      <xdr:row>5242</xdr:row>
      <xdr:rowOff>25400</xdr:rowOff>
    </xdr:from>
    <xdr:to>
      <xdr:col>9</xdr:col>
      <xdr:colOff>885190</xdr:colOff>
      <xdr:row>5242</xdr:row>
      <xdr:rowOff>1209040</xdr:rowOff>
    </xdr:to>
    <xdr:pic>
      <xdr:nvPicPr>
        <xdr:cNvPr id="9455" name="Изображение 9454" descr="resizeПП-00244551"/>
        <xdr:cNvPicPr>
          <a:picLocks noChangeAspect="1"/>
        </xdr:cNvPicPr>
      </xdr:nvPicPr>
      <xdr:blipFill>
        <a:blip xmlns:r="http://schemas.openxmlformats.org/officeDocument/2006/relationships" r:embed="rId4067"/>
        <a:stretch>
          <a:fillRect/>
        </a:stretch>
      </xdr:blipFill>
      <xdr:spPr>
        <a:xfrm>
          <a:off x="7235825" y="5349528925"/>
          <a:ext cx="878840" cy="1183640"/>
        </a:xfrm>
        <a:prstGeom prst="rect">
          <a:avLst/>
        </a:prstGeom>
      </xdr:spPr>
    </xdr:pic>
    <xdr:clientData/>
  </xdr:twoCellAnchor>
  <xdr:twoCellAnchor>
    <xdr:from>
      <xdr:col>9</xdr:col>
      <xdr:colOff>6350</xdr:colOff>
      <xdr:row>5243</xdr:row>
      <xdr:rowOff>25400</xdr:rowOff>
    </xdr:from>
    <xdr:to>
      <xdr:col>9</xdr:col>
      <xdr:colOff>885190</xdr:colOff>
      <xdr:row>5243</xdr:row>
      <xdr:rowOff>1209040</xdr:rowOff>
    </xdr:to>
    <xdr:pic>
      <xdr:nvPicPr>
        <xdr:cNvPr id="9456" name="Изображение 9455" descr="resizeПП-00244560"/>
        <xdr:cNvPicPr>
          <a:picLocks noChangeAspect="1"/>
        </xdr:cNvPicPr>
      </xdr:nvPicPr>
      <xdr:blipFill>
        <a:blip xmlns:r="http://schemas.openxmlformats.org/officeDocument/2006/relationships" r:embed="rId4068"/>
        <a:stretch>
          <a:fillRect/>
        </a:stretch>
      </xdr:blipFill>
      <xdr:spPr>
        <a:xfrm>
          <a:off x="7235825" y="5350751300"/>
          <a:ext cx="878840" cy="1183640"/>
        </a:xfrm>
        <a:prstGeom prst="rect">
          <a:avLst/>
        </a:prstGeom>
      </xdr:spPr>
    </xdr:pic>
    <xdr:clientData/>
  </xdr:twoCellAnchor>
  <xdr:twoCellAnchor>
    <xdr:from>
      <xdr:col>9</xdr:col>
      <xdr:colOff>6350</xdr:colOff>
      <xdr:row>5244</xdr:row>
      <xdr:rowOff>25400</xdr:rowOff>
    </xdr:from>
    <xdr:to>
      <xdr:col>9</xdr:col>
      <xdr:colOff>885190</xdr:colOff>
      <xdr:row>5244</xdr:row>
      <xdr:rowOff>1209040</xdr:rowOff>
    </xdr:to>
    <xdr:pic>
      <xdr:nvPicPr>
        <xdr:cNvPr id="9457" name="Изображение 9456" descr="resizeПП-00244562"/>
        <xdr:cNvPicPr>
          <a:picLocks noChangeAspect="1"/>
        </xdr:cNvPicPr>
      </xdr:nvPicPr>
      <xdr:blipFill>
        <a:blip xmlns:r="http://schemas.openxmlformats.org/officeDocument/2006/relationships" r:embed="rId4069"/>
        <a:stretch>
          <a:fillRect/>
        </a:stretch>
      </xdr:blipFill>
      <xdr:spPr>
        <a:xfrm>
          <a:off x="7235825" y="5351973675"/>
          <a:ext cx="878840" cy="1183640"/>
        </a:xfrm>
        <a:prstGeom prst="rect">
          <a:avLst/>
        </a:prstGeom>
      </xdr:spPr>
    </xdr:pic>
    <xdr:clientData/>
  </xdr:twoCellAnchor>
  <xdr:twoCellAnchor>
    <xdr:from>
      <xdr:col>9</xdr:col>
      <xdr:colOff>6350</xdr:colOff>
      <xdr:row>5245</xdr:row>
      <xdr:rowOff>25400</xdr:rowOff>
    </xdr:from>
    <xdr:to>
      <xdr:col>9</xdr:col>
      <xdr:colOff>885190</xdr:colOff>
      <xdr:row>5245</xdr:row>
      <xdr:rowOff>1209040</xdr:rowOff>
    </xdr:to>
    <xdr:pic>
      <xdr:nvPicPr>
        <xdr:cNvPr id="9458" name="Изображение 9457" descr="resizeПП-00244561"/>
        <xdr:cNvPicPr>
          <a:picLocks noChangeAspect="1"/>
        </xdr:cNvPicPr>
      </xdr:nvPicPr>
      <xdr:blipFill>
        <a:blip xmlns:r="http://schemas.openxmlformats.org/officeDocument/2006/relationships" r:embed="rId4070"/>
        <a:stretch>
          <a:fillRect/>
        </a:stretch>
      </xdr:blipFill>
      <xdr:spPr>
        <a:xfrm>
          <a:off x="7235825" y="5353196050"/>
          <a:ext cx="878840" cy="1183640"/>
        </a:xfrm>
        <a:prstGeom prst="rect">
          <a:avLst/>
        </a:prstGeom>
      </xdr:spPr>
    </xdr:pic>
    <xdr:clientData/>
  </xdr:twoCellAnchor>
  <xdr:twoCellAnchor>
    <xdr:from>
      <xdr:col>9</xdr:col>
      <xdr:colOff>6350</xdr:colOff>
      <xdr:row>5246</xdr:row>
      <xdr:rowOff>25400</xdr:rowOff>
    </xdr:from>
    <xdr:to>
      <xdr:col>9</xdr:col>
      <xdr:colOff>885190</xdr:colOff>
      <xdr:row>5246</xdr:row>
      <xdr:rowOff>1209040</xdr:rowOff>
    </xdr:to>
    <xdr:pic>
      <xdr:nvPicPr>
        <xdr:cNvPr id="9459" name="Изображение 9458" descr="resizeПП-00244563"/>
        <xdr:cNvPicPr>
          <a:picLocks noChangeAspect="1"/>
        </xdr:cNvPicPr>
      </xdr:nvPicPr>
      <xdr:blipFill>
        <a:blip xmlns:r="http://schemas.openxmlformats.org/officeDocument/2006/relationships" r:embed="rId4071"/>
        <a:stretch>
          <a:fillRect/>
        </a:stretch>
      </xdr:blipFill>
      <xdr:spPr>
        <a:xfrm>
          <a:off x="7235825" y="5354418425"/>
          <a:ext cx="878840" cy="1183640"/>
        </a:xfrm>
        <a:prstGeom prst="rect">
          <a:avLst/>
        </a:prstGeom>
      </xdr:spPr>
    </xdr:pic>
    <xdr:clientData/>
  </xdr:twoCellAnchor>
  <xdr:twoCellAnchor>
    <xdr:from>
      <xdr:col>9</xdr:col>
      <xdr:colOff>6350</xdr:colOff>
      <xdr:row>5247</xdr:row>
      <xdr:rowOff>25400</xdr:rowOff>
    </xdr:from>
    <xdr:to>
      <xdr:col>9</xdr:col>
      <xdr:colOff>885190</xdr:colOff>
      <xdr:row>5247</xdr:row>
      <xdr:rowOff>1209040</xdr:rowOff>
    </xdr:to>
    <xdr:pic>
      <xdr:nvPicPr>
        <xdr:cNvPr id="9460" name="Изображение 9459" descr="resizeПП-00244565"/>
        <xdr:cNvPicPr>
          <a:picLocks noChangeAspect="1"/>
        </xdr:cNvPicPr>
      </xdr:nvPicPr>
      <xdr:blipFill>
        <a:blip xmlns:r="http://schemas.openxmlformats.org/officeDocument/2006/relationships" r:embed="rId4072"/>
        <a:stretch>
          <a:fillRect/>
        </a:stretch>
      </xdr:blipFill>
      <xdr:spPr>
        <a:xfrm>
          <a:off x="7235825" y="5355640800"/>
          <a:ext cx="878840" cy="1183640"/>
        </a:xfrm>
        <a:prstGeom prst="rect">
          <a:avLst/>
        </a:prstGeom>
      </xdr:spPr>
    </xdr:pic>
    <xdr:clientData/>
  </xdr:twoCellAnchor>
  <xdr:twoCellAnchor>
    <xdr:from>
      <xdr:col>9</xdr:col>
      <xdr:colOff>6350</xdr:colOff>
      <xdr:row>5248</xdr:row>
      <xdr:rowOff>25400</xdr:rowOff>
    </xdr:from>
    <xdr:to>
      <xdr:col>9</xdr:col>
      <xdr:colOff>885190</xdr:colOff>
      <xdr:row>5248</xdr:row>
      <xdr:rowOff>1209040</xdr:rowOff>
    </xdr:to>
    <xdr:pic>
      <xdr:nvPicPr>
        <xdr:cNvPr id="9461" name="Изображение 9460" descr="resizeПП-00244564"/>
        <xdr:cNvPicPr>
          <a:picLocks noChangeAspect="1"/>
        </xdr:cNvPicPr>
      </xdr:nvPicPr>
      <xdr:blipFill>
        <a:blip xmlns:r="http://schemas.openxmlformats.org/officeDocument/2006/relationships" r:embed="rId4073"/>
        <a:stretch>
          <a:fillRect/>
        </a:stretch>
      </xdr:blipFill>
      <xdr:spPr>
        <a:xfrm>
          <a:off x="7235825" y="5356863175"/>
          <a:ext cx="878840" cy="1183640"/>
        </a:xfrm>
        <a:prstGeom prst="rect">
          <a:avLst/>
        </a:prstGeom>
      </xdr:spPr>
    </xdr:pic>
    <xdr:clientData/>
  </xdr:twoCellAnchor>
  <xdr:twoCellAnchor>
    <xdr:from>
      <xdr:col>9</xdr:col>
      <xdr:colOff>6350</xdr:colOff>
      <xdr:row>5249</xdr:row>
      <xdr:rowOff>25400</xdr:rowOff>
    </xdr:from>
    <xdr:to>
      <xdr:col>9</xdr:col>
      <xdr:colOff>885190</xdr:colOff>
      <xdr:row>5249</xdr:row>
      <xdr:rowOff>1209040</xdr:rowOff>
    </xdr:to>
    <xdr:pic>
      <xdr:nvPicPr>
        <xdr:cNvPr id="9462" name="Изображение 9461" descr="resizeПП-00244534"/>
        <xdr:cNvPicPr>
          <a:picLocks noChangeAspect="1"/>
        </xdr:cNvPicPr>
      </xdr:nvPicPr>
      <xdr:blipFill>
        <a:blip xmlns:r="http://schemas.openxmlformats.org/officeDocument/2006/relationships" r:embed="rId4074"/>
        <a:stretch>
          <a:fillRect/>
        </a:stretch>
      </xdr:blipFill>
      <xdr:spPr>
        <a:xfrm>
          <a:off x="7235825" y="5358085550"/>
          <a:ext cx="878840" cy="1183640"/>
        </a:xfrm>
        <a:prstGeom prst="rect">
          <a:avLst/>
        </a:prstGeom>
      </xdr:spPr>
    </xdr:pic>
    <xdr:clientData/>
  </xdr:twoCellAnchor>
  <xdr:twoCellAnchor>
    <xdr:from>
      <xdr:col>9</xdr:col>
      <xdr:colOff>6350</xdr:colOff>
      <xdr:row>5250</xdr:row>
      <xdr:rowOff>25400</xdr:rowOff>
    </xdr:from>
    <xdr:to>
      <xdr:col>9</xdr:col>
      <xdr:colOff>885190</xdr:colOff>
      <xdr:row>5250</xdr:row>
      <xdr:rowOff>1209040</xdr:rowOff>
    </xdr:to>
    <xdr:pic>
      <xdr:nvPicPr>
        <xdr:cNvPr id="9463" name="Изображение 9462" descr="resizeПП-00244533"/>
        <xdr:cNvPicPr>
          <a:picLocks noChangeAspect="1"/>
        </xdr:cNvPicPr>
      </xdr:nvPicPr>
      <xdr:blipFill>
        <a:blip xmlns:r="http://schemas.openxmlformats.org/officeDocument/2006/relationships" r:embed="rId4075"/>
        <a:stretch>
          <a:fillRect/>
        </a:stretch>
      </xdr:blipFill>
      <xdr:spPr>
        <a:xfrm>
          <a:off x="7235825" y="5359307925"/>
          <a:ext cx="878840" cy="1183640"/>
        </a:xfrm>
        <a:prstGeom prst="rect">
          <a:avLst/>
        </a:prstGeom>
      </xdr:spPr>
    </xdr:pic>
    <xdr:clientData/>
  </xdr:twoCellAnchor>
  <xdr:twoCellAnchor>
    <xdr:from>
      <xdr:col>9</xdr:col>
      <xdr:colOff>6350</xdr:colOff>
      <xdr:row>5251</xdr:row>
      <xdr:rowOff>25400</xdr:rowOff>
    </xdr:from>
    <xdr:to>
      <xdr:col>9</xdr:col>
      <xdr:colOff>885190</xdr:colOff>
      <xdr:row>5251</xdr:row>
      <xdr:rowOff>1209040</xdr:rowOff>
    </xdr:to>
    <xdr:pic>
      <xdr:nvPicPr>
        <xdr:cNvPr id="9464" name="Изображение 9463" descr="resizeПП-00244523"/>
        <xdr:cNvPicPr>
          <a:picLocks noChangeAspect="1"/>
        </xdr:cNvPicPr>
      </xdr:nvPicPr>
      <xdr:blipFill>
        <a:blip xmlns:r="http://schemas.openxmlformats.org/officeDocument/2006/relationships" r:embed="rId4076"/>
        <a:stretch>
          <a:fillRect/>
        </a:stretch>
      </xdr:blipFill>
      <xdr:spPr>
        <a:xfrm>
          <a:off x="7235825" y="5360530300"/>
          <a:ext cx="878840" cy="1183640"/>
        </a:xfrm>
        <a:prstGeom prst="rect">
          <a:avLst/>
        </a:prstGeom>
      </xdr:spPr>
    </xdr:pic>
    <xdr:clientData/>
  </xdr:twoCellAnchor>
  <xdr:twoCellAnchor>
    <xdr:from>
      <xdr:col>9</xdr:col>
      <xdr:colOff>6350</xdr:colOff>
      <xdr:row>5252</xdr:row>
      <xdr:rowOff>25400</xdr:rowOff>
    </xdr:from>
    <xdr:to>
      <xdr:col>9</xdr:col>
      <xdr:colOff>885190</xdr:colOff>
      <xdr:row>5252</xdr:row>
      <xdr:rowOff>1209040</xdr:rowOff>
    </xdr:to>
    <xdr:pic>
      <xdr:nvPicPr>
        <xdr:cNvPr id="9465" name="Изображение 9464" descr="resizeПП-00244524"/>
        <xdr:cNvPicPr>
          <a:picLocks noChangeAspect="1"/>
        </xdr:cNvPicPr>
      </xdr:nvPicPr>
      <xdr:blipFill>
        <a:blip xmlns:r="http://schemas.openxmlformats.org/officeDocument/2006/relationships" r:embed="rId4077"/>
        <a:stretch>
          <a:fillRect/>
        </a:stretch>
      </xdr:blipFill>
      <xdr:spPr>
        <a:xfrm>
          <a:off x="7235825" y="5361752675"/>
          <a:ext cx="878840" cy="1183640"/>
        </a:xfrm>
        <a:prstGeom prst="rect">
          <a:avLst/>
        </a:prstGeom>
      </xdr:spPr>
    </xdr:pic>
    <xdr:clientData/>
  </xdr:twoCellAnchor>
  <xdr:twoCellAnchor>
    <xdr:from>
      <xdr:col>9</xdr:col>
      <xdr:colOff>6350</xdr:colOff>
      <xdr:row>5253</xdr:row>
      <xdr:rowOff>25400</xdr:rowOff>
    </xdr:from>
    <xdr:to>
      <xdr:col>9</xdr:col>
      <xdr:colOff>885190</xdr:colOff>
      <xdr:row>5253</xdr:row>
      <xdr:rowOff>1209040</xdr:rowOff>
    </xdr:to>
    <xdr:pic>
      <xdr:nvPicPr>
        <xdr:cNvPr id="9466" name="Изображение 9465" descr="resizeПП-00244525"/>
        <xdr:cNvPicPr>
          <a:picLocks noChangeAspect="1"/>
        </xdr:cNvPicPr>
      </xdr:nvPicPr>
      <xdr:blipFill>
        <a:blip xmlns:r="http://schemas.openxmlformats.org/officeDocument/2006/relationships" r:embed="rId4078"/>
        <a:stretch>
          <a:fillRect/>
        </a:stretch>
      </xdr:blipFill>
      <xdr:spPr>
        <a:xfrm>
          <a:off x="7235825" y="5362975050"/>
          <a:ext cx="878840" cy="1183640"/>
        </a:xfrm>
        <a:prstGeom prst="rect">
          <a:avLst/>
        </a:prstGeom>
      </xdr:spPr>
    </xdr:pic>
    <xdr:clientData/>
  </xdr:twoCellAnchor>
  <xdr:twoCellAnchor>
    <xdr:from>
      <xdr:col>9</xdr:col>
      <xdr:colOff>6350</xdr:colOff>
      <xdr:row>5254</xdr:row>
      <xdr:rowOff>25400</xdr:rowOff>
    </xdr:from>
    <xdr:to>
      <xdr:col>9</xdr:col>
      <xdr:colOff>885190</xdr:colOff>
      <xdr:row>5254</xdr:row>
      <xdr:rowOff>1209040</xdr:rowOff>
    </xdr:to>
    <xdr:pic>
      <xdr:nvPicPr>
        <xdr:cNvPr id="9467" name="Изображение 9466" descr="resizeПП-00244566"/>
        <xdr:cNvPicPr>
          <a:picLocks noChangeAspect="1"/>
        </xdr:cNvPicPr>
      </xdr:nvPicPr>
      <xdr:blipFill>
        <a:blip xmlns:r="http://schemas.openxmlformats.org/officeDocument/2006/relationships" r:embed="rId4079"/>
        <a:stretch>
          <a:fillRect/>
        </a:stretch>
      </xdr:blipFill>
      <xdr:spPr>
        <a:xfrm>
          <a:off x="7235825" y="5364197425"/>
          <a:ext cx="878840" cy="1183640"/>
        </a:xfrm>
        <a:prstGeom prst="rect">
          <a:avLst/>
        </a:prstGeom>
      </xdr:spPr>
    </xdr:pic>
    <xdr:clientData/>
  </xdr:twoCellAnchor>
  <xdr:twoCellAnchor>
    <xdr:from>
      <xdr:col>9</xdr:col>
      <xdr:colOff>6350</xdr:colOff>
      <xdr:row>5255</xdr:row>
      <xdr:rowOff>25400</xdr:rowOff>
    </xdr:from>
    <xdr:to>
      <xdr:col>9</xdr:col>
      <xdr:colOff>885190</xdr:colOff>
      <xdr:row>5255</xdr:row>
      <xdr:rowOff>1209040</xdr:rowOff>
    </xdr:to>
    <xdr:pic>
      <xdr:nvPicPr>
        <xdr:cNvPr id="9468" name="Изображение 9467" descr="resizeПП-00244569"/>
        <xdr:cNvPicPr>
          <a:picLocks noChangeAspect="1"/>
        </xdr:cNvPicPr>
      </xdr:nvPicPr>
      <xdr:blipFill>
        <a:blip xmlns:r="http://schemas.openxmlformats.org/officeDocument/2006/relationships" r:embed="rId4080"/>
        <a:stretch>
          <a:fillRect/>
        </a:stretch>
      </xdr:blipFill>
      <xdr:spPr>
        <a:xfrm>
          <a:off x="7235825" y="5365419800"/>
          <a:ext cx="878840" cy="1183640"/>
        </a:xfrm>
        <a:prstGeom prst="rect">
          <a:avLst/>
        </a:prstGeom>
      </xdr:spPr>
    </xdr:pic>
    <xdr:clientData/>
  </xdr:twoCellAnchor>
  <xdr:twoCellAnchor>
    <xdr:from>
      <xdr:col>9</xdr:col>
      <xdr:colOff>6350</xdr:colOff>
      <xdr:row>5256</xdr:row>
      <xdr:rowOff>25400</xdr:rowOff>
    </xdr:from>
    <xdr:to>
      <xdr:col>9</xdr:col>
      <xdr:colOff>885190</xdr:colOff>
      <xdr:row>5256</xdr:row>
      <xdr:rowOff>1209040</xdr:rowOff>
    </xdr:to>
    <xdr:pic>
      <xdr:nvPicPr>
        <xdr:cNvPr id="9469" name="Изображение 9468" descr="resizeПП-00244570"/>
        <xdr:cNvPicPr>
          <a:picLocks noChangeAspect="1"/>
        </xdr:cNvPicPr>
      </xdr:nvPicPr>
      <xdr:blipFill>
        <a:blip xmlns:r="http://schemas.openxmlformats.org/officeDocument/2006/relationships" r:embed="rId4081"/>
        <a:stretch>
          <a:fillRect/>
        </a:stretch>
      </xdr:blipFill>
      <xdr:spPr>
        <a:xfrm>
          <a:off x="7235825" y="5366642175"/>
          <a:ext cx="878840" cy="1183640"/>
        </a:xfrm>
        <a:prstGeom prst="rect">
          <a:avLst/>
        </a:prstGeom>
      </xdr:spPr>
    </xdr:pic>
    <xdr:clientData/>
  </xdr:twoCellAnchor>
  <xdr:twoCellAnchor>
    <xdr:from>
      <xdr:col>9</xdr:col>
      <xdr:colOff>6350</xdr:colOff>
      <xdr:row>5257</xdr:row>
      <xdr:rowOff>25400</xdr:rowOff>
    </xdr:from>
    <xdr:to>
      <xdr:col>9</xdr:col>
      <xdr:colOff>885190</xdr:colOff>
      <xdr:row>5257</xdr:row>
      <xdr:rowOff>1209040</xdr:rowOff>
    </xdr:to>
    <xdr:pic>
      <xdr:nvPicPr>
        <xdr:cNvPr id="9470" name="Изображение 9469" descr="resizeПП-00244568"/>
        <xdr:cNvPicPr>
          <a:picLocks noChangeAspect="1"/>
        </xdr:cNvPicPr>
      </xdr:nvPicPr>
      <xdr:blipFill>
        <a:blip xmlns:r="http://schemas.openxmlformats.org/officeDocument/2006/relationships" r:embed="rId4082"/>
        <a:stretch>
          <a:fillRect/>
        </a:stretch>
      </xdr:blipFill>
      <xdr:spPr>
        <a:xfrm>
          <a:off x="7235825" y="5367864550"/>
          <a:ext cx="878840" cy="1183640"/>
        </a:xfrm>
        <a:prstGeom prst="rect">
          <a:avLst/>
        </a:prstGeom>
      </xdr:spPr>
    </xdr:pic>
    <xdr:clientData/>
  </xdr:twoCellAnchor>
  <xdr:twoCellAnchor>
    <xdr:from>
      <xdr:col>9</xdr:col>
      <xdr:colOff>6350</xdr:colOff>
      <xdr:row>5258</xdr:row>
      <xdr:rowOff>25400</xdr:rowOff>
    </xdr:from>
    <xdr:to>
      <xdr:col>9</xdr:col>
      <xdr:colOff>885190</xdr:colOff>
      <xdr:row>5258</xdr:row>
      <xdr:rowOff>1209040</xdr:rowOff>
    </xdr:to>
    <xdr:pic>
      <xdr:nvPicPr>
        <xdr:cNvPr id="9471" name="Изображение 9470" descr="resizeПП-00244567"/>
        <xdr:cNvPicPr>
          <a:picLocks noChangeAspect="1"/>
        </xdr:cNvPicPr>
      </xdr:nvPicPr>
      <xdr:blipFill>
        <a:blip xmlns:r="http://schemas.openxmlformats.org/officeDocument/2006/relationships" r:embed="rId4083"/>
        <a:stretch>
          <a:fillRect/>
        </a:stretch>
      </xdr:blipFill>
      <xdr:spPr>
        <a:xfrm>
          <a:off x="7235825" y="5369086925"/>
          <a:ext cx="878840" cy="1183640"/>
        </a:xfrm>
        <a:prstGeom prst="rect">
          <a:avLst/>
        </a:prstGeom>
      </xdr:spPr>
    </xdr:pic>
    <xdr:clientData/>
  </xdr:twoCellAnchor>
  <xdr:twoCellAnchor>
    <xdr:from>
      <xdr:col>9</xdr:col>
      <xdr:colOff>6350</xdr:colOff>
      <xdr:row>5259</xdr:row>
      <xdr:rowOff>25400</xdr:rowOff>
    </xdr:from>
    <xdr:to>
      <xdr:col>9</xdr:col>
      <xdr:colOff>885190</xdr:colOff>
      <xdr:row>5259</xdr:row>
      <xdr:rowOff>1209040</xdr:rowOff>
    </xdr:to>
    <xdr:pic>
      <xdr:nvPicPr>
        <xdr:cNvPr id="9472" name="Изображение 9471" descr="resizeПП-00244535"/>
        <xdr:cNvPicPr>
          <a:picLocks noChangeAspect="1"/>
        </xdr:cNvPicPr>
      </xdr:nvPicPr>
      <xdr:blipFill>
        <a:blip xmlns:r="http://schemas.openxmlformats.org/officeDocument/2006/relationships" r:embed="rId4084"/>
        <a:stretch>
          <a:fillRect/>
        </a:stretch>
      </xdr:blipFill>
      <xdr:spPr>
        <a:xfrm>
          <a:off x="7235825" y="5370309300"/>
          <a:ext cx="878840" cy="1183640"/>
        </a:xfrm>
        <a:prstGeom prst="rect">
          <a:avLst/>
        </a:prstGeom>
      </xdr:spPr>
    </xdr:pic>
    <xdr:clientData/>
  </xdr:twoCellAnchor>
  <xdr:twoCellAnchor>
    <xdr:from>
      <xdr:col>9</xdr:col>
      <xdr:colOff>6350</xdr:colOff>
      <xdr:row>5260</xdr:row>
      <xdr:rowOff>25400</xdr:rowOff>
    </xdr:from>
    <xdr:to>
      <xdr:col>9</xdr:col>
      <xdr:colOff>885190</xdr:colOff>
      <xdr:row>5260</xdr:row>
      <xdr:rowOff>1209040</xdr:rowOff>
    </xdr:to>
    <xdr:pic>
      <xdr:nvPicPr>
        <xdr:cNvPr id="9473" name="Изображение 9472" descr="resizeПП-00244537"/>
        <xdr:cNvPicPr>
          <a:picLocks noChangeAspect="1"/>
        </xdr:cNvPicPr>
      </xdr:nvPicPr>
      <xdr:blipFill>
        <a:blip xmlns:r="http://schemas.openxmlformats.org/officeDocument/2006/relationships" r:embed="rId4085"/>
        <a:stretch>
          <a:fillRect/>
        </a:stretch>
      </xdr:blipFill>
      <xdr:spPr>
        <a:xfrm>
          <a:off x="7235825" y="5371531675"/>
          <a:ext cx="878840" cy="1183640"/>
        </a:xfrm>
        <a:prstGeom prst="rect">
          <a:avLst/>
        </a:prstGeom>
      </xdr:spPr>
    </xdr:pic>
    <xdr:clientData/>
  </xdr:twoCellAnchor>
  <xdr:twoCellAnchor>
    <xdr:from>
      <xdr:col>9</xdr:col>
      <xdr:colOff>6350</xdr:colOff>
      <xdr:row>5261</xdr:row>
      <xdr:rowOff>25400</xdr:rowOff>
    </xdr:from>
    <xdr:to>
      <xdr:col>9</xdr:col>
      <xdr:colOff>885190</xdr:colOff>
      <xdr:row>5261</xdr:row>
      <xdr:rowOff>1209040</xdr:rowOff>
    </xdr:to>
    <xdr:pic>
      <xdr:nvPicPr>
        <xdr:cNvPr id="9474" name="Изображение 9473" descr="resizeПП-00244573"/>
        <xdr:cNvPicPr>
          <a:picLocks noChangeAspect="1"/>
        </xdr:cNvPicPr>
      </xdr:nvPicPr>
      <xdr:blipFill>
        <a:blip xmlns:r="http://schemas.openxmlformats.org/officeDocument/2006/relationships" r:embed="rId4086"/>
        <a:stretch>
          <a:fillRect/>
        </a:stretch>
      </xdr:blipFill>
      <xdr:spPr>
        <a:xfrm>
          <a:off x="7235825" y="5372754050"/>
          <a:ext cx="878840" cy="1183640"/>
        </a:xfrm>
        <a:prstGeom prst="rect">
          <a:avLst/>
        </a:prstGeom>
      </xdr:spPr>
    </xdr:pic>
    <xdr:clientData/>
  </xdr:twoCellAnchor>
  <xdr:twoCellAnchor>
    <xdr:from>
      <xdr:col>9</xdr:col>
      <xdr:colOff>6350</xdr:colOff>
      <xdr:row>5262</xdr:row>
      <xdr:rowOff>25400</xdr:rowOff>
    </xdr:from>
    <xdr:to>
      <xdr:col>9</xdr:col>
      <xdr:colOff>885190</xdr:colOff>
      <xdr:row>5262</xdr:row>
      <xdr:rowOff>1209040</xdr:rowOff>
    </xdr:to>
    <xdr:pic>
      <xdr:nvPicPr>
        <xdr:cNvPr id="9475" name="Изображение 9474" descr="resizeПП-00244575"/>
        <xdr:cNvPicPr>
          <a:picLocks noChangeAspect="1"/>
        </xdr:cNvPicPr>
      </xdr:nvPicPr>
      <xdr:blipFill>
        <a:blip xmlns:r="http://schemas.openxmlformats.org/officeDocument/2006/relationships" r:embed="rId4087"/>
        <a:stretch>
          <a:fillRect/>
        </a:stretch>
      </xdr:blipFill>
      <xdr:spPr>
        <a:xfrm>
          <a:off x="7235825" y="5373976425"/>
          <a:ext cx="878840" cy="1183640"/>
        </a:xfrm>
        <a:prstGeom prst="rect">
          <a:avLst/>
        </a:prstGeom>
      </xdr:spPr>
    </xdr:pic>
    <xdr:clientData/>
  </xdr:twoCellAnchor>
  <xdr:twoCellAnchor>
    <xdr:from>
      <xdr:col>9</xdr:col>
      <xdr:colOff>6350</xdr:colOff>
      <xdr:row>5263</xdr:row>
      <xdr:rowOff>25400</xdr:rowOff>
    </xdr:from>
    <xdr:to>
      <xdr:col>9</xdr:col>
      <xdr:colOff>885190</xdr:colOff>
      <xdr:row>5263</xdr:row>
      <xdr:rowOff>1209040</xdr:rowOff>
    </xdr:to>
    <xdr:pic>
      <xdr:nvPicPr>
        <xdr:cNvPr id="9476" name="Изображение 9475" descr="resizeПП-00244574"/>
        <xdr:cNvPicPr>
          <a:picLocks noChangeAspect="1"/>
        </xdr:cNvPicPr>
      </xdr:nvPicPr>
      <xdr:blipFill>
        <a:blip xmlns:r="http://schemas.openxmlformats.org/officeDocument/2006/relationships" r:embed="rId4088"/>
        <a:stretch>
          <a:fillRect/>
        </a:stretch>
      </xdr:blipFill>
      <xdr:spPr>
        <a:xfrm>
          <a:off x="7235825" y="5375198800"/>
          <a:ext cx="878840" cy="1183640"/>
        </a:xfrm>
        <a:prstGeom prst="rect">
          <a:avLst/>
        </a:prstGeom>
      </xdr:spPr>
    </xdr:pic>
    <xdr:clientData/>
  </xdr:twoCellAnchor>
  <xdr:twoCellAnchor>
    <xdr:from>
      <xdr:col>9</xdr:col>
      <xdr:colOff>6350</xdr:colOff>
      <xdr:row>5264</xdr:row>
      <xdr:rowOff>25400</xdr:rowOff>
    </xdr:from>
    <xdr:to>
      <xdr:col>9</xdr:col>
      <xdr:colOff>885190</xdr:colOff>
      <xdr:row>5264</xdr:row>
      <xdr:rowOff>1209040</xdr:rowOff>
    </xdr:to>
    <xdr:pic>
      <xdr:nvPicPr>
        <xdr:cNvPr id="9477" name="Изображение 9476" descr="resizeПП-00244576"/>
        <xdr:cNvPicPr>
          <a:picLocks noChangeAspect="1"/>
        </xdr:cNvPicPr>
      </xdr:nvPicPr>
      <xdr:blipFill>
        <a:blip xmlns:r="http://schemas.openxmlformats.org/officeDocument/2006/relationships" r:embed="rId4089"/>
        <a:stretch>
          <a:fillRect/>
        </a:stretch>
      </xdr:blipFill>
      <xdr:spPr>
        <a:xfrm>
          <a:off x="7235825" y="5376421175"/>
          <a:ext cx="878840" cy="1183640"/>
        </a:xfrm>
        <a:prstGeom prst="rect">
          <a:avLst/>
        </a:prstGeom>
      </xdr:spPr>
    </xdr:pic>
    <xdr:clientData/>
  </xdr:twoCellAnchor>
  <xdr:twoCellAnchor>
    <xdr:from>
      <xdr:col>9</xdr:col>
      <xdr:colOff>6350</xdr:colOff>
      <xdr:row>5265</xdr:row>
      <xdr:rowOff>25400</xdr:rowOff>
    </xdr:from>
    <xdr:to>
      <xdr:col>9</xdr:col>
      <xdr:colOff>885190</xdr:colOff>
      <xdr:row>5265</xdr:row>
      <xdr:rowOff>1209040</xdr:rowOff>
    </xdr:to>
    <xdr:pic>
      <xdr:nvPicPr>
        <xdr:cNvPr id="9478" name="Изображение 9477" descr="resizeПП-00244572"/>
        <xdr:cNvPicPr>
          <a:picLocks noChangeAspect="1"/>
        </xdr:cNvPicPr>
      </xdr:nvPicPr>
      <xdr:blipFill>
        <a:blip xmlns:r="http://schemas.openxmlformats.org/officeDocument/2006/relationships" r:embed="rId4090"/>
        <a:stretch>
          <a:fillRect/>
        </a:stretch>
      </xdr:blipFill>
      <xdr:spPr>
        <a:xfrm>
          <a:off x="7235825" y="5377643550"/>
          <a:ext cx="878840" cy="1183640"/>
        </a:xfrm>
        <a:prstGeom prst="rect">
          <a:avLst/>
        </a:prstGeom>
      </xdr:spPr>
    </xdr:pic>
    <xdr:clientData/>
  </xdr:twoCellAnchor>
  <xdr:twoCellAnchor>
    <xdr:from>
      <xdr:col>9</xdr:col>
      <xdr:colOff>6350</xdr:colOff>
      <xdr:row>5266</xdr:row>
      <xdr:rowOff>25400</xdr:rowOff>
    </xdr:from>
    <xdr:to>
      <xdr:col>9</xdr:col>
      <xdr:colOff>885190</xdr:colOff>
      <xdr:row>5266</xdr:row>
      <xdr:rowOff>1209040</xdr:rowOff>
    </xdr:to>
    <xdr:pic>
      <xdr:nvPicPr>
        <xdr:cNvPr id="9479" name="Изображение 9478" descr="resizeПП-00244547"/>
        <xdr:cNvPicPr>
          <a:picLocks noChangeAspect="1"/>
        </xdr:cNvPicPr>
      </xdr:nvPicPr>
      <xdr:blipFill>
        <a:blip xmlns:r="http://schemas.openxmlformats.org/officeDocument/2006/relationships" r:embed="rId4091"/>
        <a:stretch>
          <a:fillRect/>
        </a:stretch>
      </xdr:blipFill>
      <xdr:spPr>
        <a:xfrm>
          <a:off x="7235825" y="5378865925"/>
          <a:ext cx="878840" cy="1183640"/>
        </a:xfrm>
        <a:prstGeom prst="rect">
          <a:avLst/>
        </a:prstGeom>
      </xdr:spPr>
    </xdr:pic>
    <xdr:clientData/>
  </xdr:twoCellAnchor>
  <xdr:twoCellAnchor>
    <xdr:from>
      <xdr:col>9</xdr:col>
      <xdr:colOff>6350</xdr:colOff>
      <xdr:row>5267</xdr:row>
      <xdr:rowOff>25400</xdr:rowOff>
    </xdr:from>
    <xdr:to>
      <xdr:col>9</xdr:col>
      <xdr:colOff>885190</xdr:colOff>
      <xdr:row>5267</xdr:row>
      <xdr:rowOff>1209040</xdr:rowOff>
    </xdr:to>
    <xdr:pic>
      <xdr:nvPicPr>
        <xdr:cNvPr id="9480" name="Изображение 9479" descr="resizeПП-00244543"/>
        <xdr:cNvPicPr>
          <a:picLocks noChangeAspect="1"/>
        </xdr:cNvPicPr>
      </xdr:nvPicPr>
      <xdr:blipFill>
        <a:blip xmlns:r="http://schemas.openxmlformats.org/officeDocument/2006/relationships" r:embed="rId4092"/>
        <a:stretch>
          <a:fillRect/>
        </a:stretch>
      </xdr:blipFill>
      <xdr:spPr>
        <a:xfrm>
          <a:off x="7235825" y="5380088300"/>
          <a:ext cx="878840" cy="1183640"/>
        </a:xfrm>
        <a:prstGeom prst="rect">
          <a:avLst/>
        </a:prstGeom>
      </xdr:spPr>
    </xdr:pic>
    <xdr:clientData/>
  </xdr:twoCellAnchor>
  <xdr:twoCellAnchor>
    <xdr:from>
      <xdr:col>9</xdr:col>
      <xdr:colOff>6350</xdr:colOff>
      <xdr:row>5268</xdr:row>
      <xdr:rowOff>25400</xdr:rowOff>
    </xdr:from>
    <xdr:to>
      <xdr:col>9</xdr:col>
      <xdr:colOff>885190</xdr:colOff>
      <xdr:row>5268</xdr:row>
      <xdr:rowOff>1209040</xdr:rowOff>
    </xdr:to>
    <xdr:pic>
      <xdr:nvPicPr>
        <xdr:cNvPr id="9481" name="Изображение 9480" descr="resizeПП-00244546"/>
        <xdr:cNvPicPr>
          <a:picLocks noChangeAspect="1"/>
        </xdr:cNvPicPr>
      </xdr:nvPicPr>
      <xdr:blipFill>
        <a:blip xmlns:r="http://schemas.openxmlformats.org/officeDocument/2006/relationships" r:embed="rId4093"/>
        <a:stretch>
          <a:fillRect/>
        </a:stretch>
      </xdr:blipFill>
      <xdr:spPr>
        <a:xfrm>
          <a:off x="7235825" y="5381310675"/>
          <a:ext cx="878840" cy="1183640"/>
        </a:xfrm>
        <a:prstGeom prst="rect">
          <a:avLst/>
        </a:prstGeom>
      </xdr:spPr>
    </xdr:pic>
    <xdr:clientData/>
  </xdr:twoCellAnchor>
  <xdr:twoCellAnchor>
    <xdr:from>
      <xdr:col>9</xdr:col>
      <xdr:colOff>6350</xdr:colOff>
      <xdr:row>5269</xdr:row>
      <xdr:rowOff>25400</xdr:rowOff>
    </xdr:from>
    <xdr:to>
      <xdr:col>9</xdr:col>
      <xdr:colOff>885190</xdr:colOff>
      <xdr:row>5269</xdr:row>
      <xdr:rowOff>1209040</xdr:rowOff>
    </xdr:to>
    <xdr:pic>
      <xdr:nvPicPr>
        <xdr:cNvPr id="9482" name="Изображение 9481" descr="resizeПП-00244548"/>
        <xdr:cNvPicPr>
          <a:picLocks noChangeAspect="1"/>
        </xdr:cNvPicPr>
      </xdr:nvPicPr>
      <xdr:blipFill>
        <a:blip xmlns:r="http://schemas.openxmlformats.org/officeDocument/2006/relationships" r:embed="rId4094"/>
        <a:stretch>
          <a:fillRect/>
        </a:stretch>
      </xdr:blipFill>
      <xdr:spPr>
        <a:xfrm>
          <a:off x="7235825" y="5382533050"/>
          <a:ext cx="878840" cy="1183640"/>
        </a:xfrm>
        <a:prstGeom prst="rect">
          <a:avLst/>
        </a:prstGeom>
      </xdr:spPr>
    </xdr:pic>
    <xdr:clientData/>
  </xdr:twoCellAnchor>
  <xdr:twoCellAnchor>
    <xdr:from>
      <xdr:col>9</xdr:col>
      <xdr:colOff>6350</xdr:colOff>
      <xdr:row>5270</xdr:row>
      <xdr:rowOff>25400</xdr:rowOff>
    </xdr:from>
    <xdr:to>
      <xdr:col>9</xdr:col>
      <xdr:colOff>885190</xdr:colOff>
      <xdr:row>5270</xdr:row>
      <xdr:rowOff>1209040</xdr:rowOff>
    </xdr:to>
    <xdr:pic>
      <xdr:nvPicPr>
        <xdr:cNvPr id="9483" name="Изображение 9482" descr="resizeПП-00244544"/>
        <xdr:cNvPicPr>
          <a:picLocks noChangeAspect="1"/>
        </xdr:cNvPicPr>
      </xdr:nvPicPr>
      <xdr:blipFill>
        <a:blip xmlns:r="http://schemas.openxmlformats.org/officeDocument/2006/relationships" r:embed="rId4095"/>
        <a:stretch>
          <a:fillRect/>
        </a:stretch>
      </xdr:blipFill>
      <xdr:spPr>
        <a:xfrm>
          <a:off x="7235825" y="5383755425"/>
          <a:ext cx="878840" cy="1183640"/>
        </a:xfrm>
        <a:prstGeom prst="rect">
          <a:avLst/>
        </a:prstGeom>
      </xdr:spPr>
    </xdr:pic>
    <xdr:clientData/>
  </xdr:twoCellAnchor>
  <xdr:twoCellAnchor>
    <xdr:from>
      <xdr:col>9</xdr:col>
      <xdr:colOff>6350</xdr:colOff>
      <xdr:row>5271</xdr:row>
      <xdr:rowOff>25400</xdr:rowOff>
    </xdr:from>
    <xdr:to>
      <xdr:col>9</xdr:col>
      <xdr:colOff>885190</xdr:colOff>
      <xdr:row>5271</xdr:row>
      <xdr:rowOff>1209040</xdr:rowOff>
    </xdr:to>
    <xdr:pic>
      <xdr:nvPicPr>
        <xdr:cNvPr id="9484" name="Изображение 9483" descr="resizeПП-00244526"/>
        <xdr:cNvPicPr>
          <a:picLocks noChangeAspect="1"/>
        </xdr:cNvPicPr>
      </xdr:nvPicPr>
      <xdr:blipFill>
        <a:blip xmlns:r="http://schemas.openxmlformats.org/officeDocument/2006/relationships" r:embed="rId4096"/>
        <a:stretch>
          <a:fillRect/>
        </a:stretch>
      </xdr:blipFill>
      <xdr:spPr>
        <a:xfrm>
          <a:off x="7235825" y="5384977800"/>
          <a:ext cx="878840" cy="1183640"/>
        </a:xfrm>
        <a:prstGeom prst="rect">
          <a:avLst/>
        </a:prstGeom>
      </xdr:spPr>
    </xdr:pic>
    <xdr:clientData/>
  </xdr:twoCellAnchor>
  <xdr:twoCellAnchor>
    <xdr:from>
      <xdr:col>9</xdr:col>
      <xdr:colOff>6350</xdr:colOff>
      <xdr:row>5272</xdr:row>
      <xdr:rowOff>25400</xdr:rowOff>
    </xdr:from>
    <xdr:to>
      <xdr:col>9</xdr:col>
      <xdr:colOff>885190</xdr:colOff>
      <xdr:row>5272</xdr:row>
      <xdr:rowOff>1209040</xdr:rowOff>
    </xdr:to>
    <xdr:pic>
      <xdr:nvPicPr>
        <xdr:cNvPr id="9485" name="Изображение 9484" descr="resizeПП-00244528"/>
        <xdr:cNvPicPr>
          <a:picLocks noChangeAspect="1"/>
        </xdr:cNvPicPr>
      </xdr:nvPicPr>
      <xdr:blipFill>
        <a:blip xmlns:r="http://schemas.openxmlformats.org/officeDocument/2006/relationships" r:embed="rId4097"/>
        <a:stretch>
          <a:fillRect/>
        </a:stretch>
      </xdr:blipFill>
      <xdr:spPr>
        <a:xfrm>
          <a:off x="7235825" y="5386200175"/>
          <a:ext cx="878840" cy="1183640"/>
        </a:xfrm>
        <a:prstGeom prst="rect">
          <a:avLst/>
        </a:prstGeom>
      </xdr:spPr>
    </xdr:pic>
    <xdr:clientData/>
  </xdr:twoCellAnchor>
  <xdr:twoCellAnchor>
    <xdr:from>
      <xdr:col>9</xdr:col>
      <xdr:colOff>6350</xdr:colOff>
      <xdr:row>5273</xdr:row>
      <xdr:rowOff>25400</xdr:rowOff>
    </xdr:from>
    <xdr:to>
      <xdr:col>9</xdr:col>
      <xdr:colOff>885190</xdr:colOff>
      <xdr:row>5273</xdr:row>
      <xdr:rowOff>1209040</xdr:rowOff>
    </xdr:to>
    <xdr:pic>
      <xdr:nvPicPr>
        <xdr:cNvPr id="9486" name="Изображение 9485" descr="resizeПП-00244527"/>
        <xdr:cNvPicPr>
          <a:picLocks noChangeAspect="1"/>
        </xdr:cNvPicPr>
      </xdr:nvPicPr>
      <xdr:blipFill>
        <a:blip xmlns:r="http://schemas.openxmlformats.org/officeDocument/2006/relationships" r:embed="rId4098"/>
        <a:stretch>
          <a:fillRect/>
        </a:stretch>
      </xdr:blipFill>
      <xdr:spPr>
        <a:xfrm>
          <a:off x="7235825" y="5387422550"/>
          <a:ext cx="878840" cy="1183640"/>
        </a:xfrm>
        <a:prstGeom prst="rect">
          <a:avLst/>
        </a:prstGeom>
      </xdr:spPr>
    </xdr:pic>
    <xdr:clientData/>
  </xdr:twoCellAnchor>
  <xdr:twoCellAnchor>
    <xdr:from>
      <xdr:col>9</xdr:col>
      <xdr:colOff>6350</xdr:colOff>
      <xdr:row>5274</xdr:row>
      <xdr:rowOff>25400</xdr:rowOff>
    </xdr:from>
    <xdr:to>
      <xdr:col>9</xdr:col>
      <xdr:colOff>885190</xdr:colOff>
      <xdr:row>5274</xdr:row>
      <xdr:rowOff>1209040</xdr:rowOff>
    </xdr:to>
    <xdr:pic>
      <xdr:nvPicPr>
        <xdr:cNvPr id="9487" name="Изображение 9486" descr="resizeПП-00244529"/>
        <xdr:cNvPicPr>
          <a:picLocks noChangeAspect="1"/>
        </xdr:cNvPicPr>
      </xdr:nvPicPr>
      <xdr:blipFill>
        <a:blip xmlns:r="http://schemas.openxmlformats.org/officeDocument/2006/relationships" r:embed="rId4099"/>
        <a:stretch>
          <a:fillRect/>
        </a:stretch>
      </xdr:blipFill>
      <xdr:spPr>
        <a:xfrm>
          <a:off x="7235825" y="5388644925"/>
          <a:ext cx="878840" cy="1183640"/>
        </a:xfrm>
        <a:prstGeom prst="rect">
          <a:avLst/>
        </a:prstGeom>
      </xdr:spPr>
    </xdr:pic>
    <xdr:clientData/>
  </xdr:twoCellAnchor>
  <xdr:twoCellAnchor>
    <xdr:from>
      <xdr:col>9</xdr:col>
      <xdr:colOff>6350</xdr:colOff>
      <xdr:row>5275</xdr:row>
      <xdr:rowOff>25400</xdr:rowOff>
    </xdr:from>
    <xdr:to>
      <xdr:col>9</xdr:col>
      <xdr:colOff>885190</xdr:colOff>
      <xdr:row>5275</xdr:row>
      <xdr:rowOff>1209040</xdr:rowOff>
    </xdr:to>
    <xdr:pic>
      <xdr:nvPicPr>
        <xdr:cNvPr id="9488" name="Изображение 9487" descr="resizeПП-00244554"/>
        <xdr:cNvPicPr>
          <a:picLocks noChangeAspect="1"/>
        </xdr:cNvPicPr>
      </xdr:nvPicPr>
      <xdr:blipFill>
        <a:blip xmlns:r="http://schemas.openxmlformats.org/officeDocument/2006/relationships" r:embed="rId4100"/>
        <a:stretch>
          <a:fillRect/>
        </a:stretch>
      </xdr:blipFill>
      <xdr:spPr>
        <a:xfrm>
          <a:off x="7235825" y="5389867300"/>
          <a:ext cx="878840" cy="1183640"/>
        </a:xfrm>
        <a:prstGeom prst="rect">
          <a:avLst/>
        </a:prstGeom>
      </xdr:spPr>
    </xdr:pic>
    <xdr:clientData/>
  </xdr:twoCellAnchor>
  <xdr:twoCellAnchor>
    <xdr:from>
      <xdr:col>9</xdr:col>
      <xdr:colOff>6350</xdr:colOff>
      <xdr:row>5276</xdr:row>
      <xdr:rowOff>25400</xdr:rowOff>
    </xdr:from>
    <xdr:to>
      <xdr:col>9</xdr:col>
      <xdr:colOff>885190</xdr:colOff>
      <xdr:row>5276</xdr:row>
      <xdr:rowOff>1209040</xdr:rowOff>
    </xdr:to>
    <xdr:pic>
      <xdr:nvPicPr>
        <xdr:cNvPr id="9489" name="Изображение 9488" descr="resizeПП-00244558"/>
        <xdr:cNvPicPr>
          <a:picLocks noChangeAspect="1"/>
        </xdr:cNvPicPr>
      </xdr:nvPicPr>
      <xdr:blipFill>
        <a:blip xmlns:r="http://schemas.openxmlformats.org/officeDocument/2006/relationships" r:embed="rId4101"/>
        <a:stretch>
          <a:fillRect/>
        </a:stretch>
      </xdr:blipFill>
      <xdr:spPr>
        <a:xfrm>
          <a:off x="7235825" y="5391089675"/>
          <a:ext cx="878840" cy="1183640"/>
        </a:xfrm>
        <a:prstGeom prst="rect">
          <a:avLst/>
        </a:prstGeom>
      </xdr:spPr>
    </xdr:pic>
    <xdr:clientData/>
  </xdr:twoCellAnchor>
  <xdr:twoCellAnchor>
    <xdr:from>
      <xdr:col>9</xdr:col>
      <xdr:colOff>6350</xdr:colOff>
      <xdr:row>5277</xdr:row>
      <xdr:rowOff>25400</xdr:rowOff>
    </xdr:from>
    <xdr:to>
      <xdr:col>9</xdr:col>
      <xdr:colOff>885190</xdr:colOff>
      <xdr:row>5277</xdr:row>
      <xdr:rowOff>1209040</xdr:rowOff>
    </xdr:to>
    <xdr:pic>
      <xdr:nvPicPr>
        <xdr:cNvPr id="9490" name="Изображение 9489" descr="resizeПП-00244556"/>
        <xdr:cNvPicPr>
          <a:picLocks noChangeAspect="1"/>
        </xdr:cNvPicPr>
      </xdr:nvPicPr>
      <xdr:blipFill>
        <a:blip xmlns:r="http://schemas.openxmlformats.org/officeDocument/2006/relationships" r:embed="rId4102"/>
        <a:stretch>
          <a:fillRect/>
        </a:stretch>
      </xdr:blipFill>
      <xdr:spPr>
        <a:xfrm>
          <a:off x="7235825" y="5392312050"/>
          <a:ext cx="878840" cy="1183640"/>
        </a:xfrm>
        <a:prstGeom prst="rect">
          <a:avLst/>
        </a:prstGeom>
      </xdr:spPr>
    </xdr:pic>
    <xdr:clientData/>
  </xdr:twoCellAnchor>
  <xdr:twoCellAnchor>
    <xdr:from>
      <xdr:col>9</xdr:col>
      <xdr:colOff>6350</xdr:colOff>
      <xdr:row>5278</xdr:row>
      <xdr:rowOff>25400</xdr:rowOff>
    </xdr:from>
    <xdr:to>
      <xdr:col>9</xdr:col>
      <xdr:colOff>885190</xdr:colOff>
      <xdr:row>5278</xdr:row>
      <xdr:rowOff>1209040</xdr:rowOff>
    </xdr:to>
    <xdr:pic>
      <xdr:nvPicPr>
        <xdr:cNvPr id="9491" name="Изображение 9490" descr="resizeПП-00244555"/>
        <xdr:cNvPicPr>
          <a:picLocks noChangeAspect="1"/>
        </xdr:cNvPicPr>
      </xdr:nvPicPr>
      <xdr:blipFill>
        <a:blip xmlns:r="http://schemas.openxmlformats.org/officeDocument/2006/relationships" r:embed="rId4103"/>
        <a:stretch>
          <a:fillRect/>
        </a:stretch>
      </xdr:blipFill>
      <xdr:spPr>
        <a:xfrm>
          <a:off x="7235825" y="5393534425"/>
          <a:ext cx="878840" cy="1183640"/>
        </a:xfrm>
        <a:prstGeom prst="rect">
          <a:avLst/>
        </a:prstGeom>
      </xdr:spPr>
    </xdr:pic>
    <xdr:clientData/>
  </xdr:twoCellAnchor>
  <xdr:twoCellAnchor>
    <xdr:from>
      <xdr:col>9</xdr:col>
      <xdr:colOff>6350</xdr:colOff>
      <xdr:row>5279</xdr:row>
      <xdr:rowOff>25400</xdr:rowOff>
    </xdr:from>
    <xdr:to>
      <xdr:col>9</xdr:col>
      <xdr:colOff>885190</xdr:colOff>
      <xdr:row>5279</xdr:row>
      <xdr:rowOff>1209040</xdr:rowOff>
    </xdr:to>
    <xdr:pic>
      <xdr:nvPicPr>
        <xdr:cNvPr id="9492" name="Изображение 9491" descr="resizeПП-00244557"/>
        <xdr:cNvPicPr>
          <a:picLocks noChangeAspect="1"/>
        </xdr:cNvPicPr>
      </xdr:nvPicPr>
      <xdr:blipFill>
        <a:blip xmlns:r="http://schemas.openxmlformats.org/officeDocument/2006/relationships" r:embed="rId4104"/>
        <a:stretch>
          <a:fillRect/>
        </a:stretch>
      </xdr:blipFill>
      <xdr:spPr>
        <a:xfrm>
          <a:off x="7235825" y="5394756800"/>
          <a:ext cx="878840" cy="1183640"/>
        </a:xfrm>
        <a:prstGeom prst="rect">
          <a:avLst/>
        </a:prstGeom>
      </xdr:spPr>
    </xdr:pic>
    <xdr:clientData/>
  </xdr:twoCellAnchor>
  <xdr:twoCellAnchor>
    <xdr:from>
      <xdr:col>9</xdr:col>
      <xdr:colOff>6350</xdr:colOff>
      <xdr:row>5280</xdr:row>
      <xdr:rowOff>25400</xdr:rowOff>
    </xdr:from>
    <xdr:to>
      <xdr:col>9</xdr:col>
      <xdr:colOff>885190</xdr:colOff>
      <xdr:row>5280</xdr:row>
      <xdr:rowOff>1209040</xdr:rowOff>
    </xdr:to>
    <xdr:pic>
      <xdr:nvPicPr>
        <xdr:cNvPr id="9493" name="Изображение 9492" descr="resizeПП-00041628"/>
        <xdr:cNvPicPr>
          <a:picLocks noChangeAspect="1"/>
        </xdr:cNvPicPr>
      </xdr:nvPicPr>
      <xdr:blipFill>
        <a:blip xmlns:r="http://schemas.openxmlformats.org/officeDocument/2006/relationships" r:embed="rId4105"/>
        <a:stretch>
          <a:fillRect/>
        </a:stretch>
      </xdr:blipFill>
      <xdr:spPr>
        <a:xfrm>
          <a:off x="7235825" y="5395979175"/>
          <a:ext cx="878840" cy="1183640"/>
        </a:xfrm>
        <a:prstGeom prst="rect">
          <a:avLst/>
        </a:prstGeom>
      </xdr:spPr>
    </xdr:pic>
    <xdr:clientData/>
  </xdr:twoCellAnchor>
  <xdr:twoCellAnchor>
    <xdr:from>
      <xdr:col>9</xdr:col>
      <xdr:colOff>6350</xdr:colOff>
      <xdr:row>5281</xdr:row>
      <xdr:rowOff>25400</xdr:rowOff>
    </xdr:from>
    <xdr:to>
      <xdr:col>9</xdr:col>
      <xdr:colOff>885190</xdr:colOff>
      <xdr:row>5281</xdr:row>
      <xdr:rowOff>1209040</xdr:rowOff>
    </xdr:to>
    <xdr:pic>
      <xdr:nvPicPr>
        <xdr:cNvPr id="9494" name="Изображение 9493" descr="resizeПП-00041631"/>
        <xdr:cNvPicPr>
          <a:picLocks noChangeAspect="1"/>
        </xdr:cNvPicPr>
      </xdr:nvPicPr>
      <xdr:blipFill>
        <a:blip xmlns:r="http://schemas.openxmlformats.org/officeDocument/2006/relationships" r:embed="rId4106"/>
        <a:stretch>
          <a:fillRect/>
        </a:stretch>
      </xdr:blipFill>
      <xdr:spPr>
        <a:xfrm>
          <a:off x="7235825" y="5397201550"/>
          <a:ext cx="878840" cy="1183640"/>
        </a:xfrm>
        <a:prstGeom prst="rect">
          <a:avLst/>
        </a:prstGeom>
      </xdr:spPr>
    </xdr:pic>
    <xdr:clientData/>
  </xdr:twoCellAnchor>
  <xdr:twoCellAnchor>
    <xdr:from>
      <xdr:col>9</xdr:col>
      <xdr:colOff>6350</xdr:colOff>
      <xdr:row>5282</xdr:row>
      <xdr:rowOff>25400</xdr:rowOff>
    </xdr:from>
    <xdr:to>
      <xdr:col>9</xdr:col>
      <xdr:colOff>885190</xdr:colOff>
      <xdr:row>5282</xdr:row>
      <xdr:rowOff>1209040</xdr:rowOff>
    </xdr:to>
    <xdr:pic>
      <xdr:nvPicPr>
        <xdr:cNvPr id="9495" name="Изображение 9494" descr="resizeПП-00072915"/>
        <xdr:cNvPicPr>
          <a:picLocks noChangeAspect="1"/>
        </xdr:cNvPicPr>
      </xdr:nvPicPr>
      <xdr:blipFill>
        <a:blip xmlns:r="http://schemas.openxmlformats.org/officeDocument/2006/relationships" r:embed="rId4107"/>
        <a:stretch>
          <a:fillRect/>
        </a:stretch>
      </xdr:blipFill>
      <xdr:spPr>
        <a:xfrm>
          <a:off x="7235825" y="5398423925"/>
          <a:ext cx="878840" cy="1183640"/>
        </a:xfrm>
        <a:prstGeom prst="rect">
          <a:avLst/>
        </a:prstGeom>
      </xdr:spPr>
    </xdr:pic>
    <xdr:clientData/>
  </xdr:twoCellAnchor>
  <xdr:twoCellAnchor>
    <xdr:from>
      <xdr:col>9</xdr:col>
      <xdr:colOff>6350</xdr:colOff>
      <xdr:row>5283</xdr:row>
      <xdr:rowOff>25400</xdr:rowOff>
    </xdr:from>
    <xdr:to>
      <xdr:col>9</xdr:col>
      <xdr:colOff>885190</xdr:colOff>
      <xdr:row>5283</xdr:row>
      <xdr:rowOff>1209040</xdr:rowOff>
    </xdr:to>
    <xdr:pic>
      <xdr:nvPicPr>
        <xdr:cNvPr id="9496" name="Изображение 9495" descr="resizeПП-00072904"/>
        <xdr:cNvPicPr>
          <a:picLocks noChangeAspect="1"/>
        </xdr:cNvPicPr>
      </xdr:nvPicPr>
      <xdr:blipFill>
        <a:blip xmlns:r="http://schemas.openxmlformats.org/officeDocument/2006/relationships" r:embed="rId4108"/>
        <a:stretch>
          <a:fillRect/>
        </a:stretch>
      </xdr:blipFill>
      <xdr:spPr>
        <a:xfrm>
          <a:off x="7235825" y="5399646300"/>
          <a:ext cx="878840" cy="1183640"/>
        </a:xfrm>
        <a:prstGeom prst="rect">
          <a:avLst/>
        </a:prstGeom>
      </xdr:spPr>
    </xdr:pic>
    <xdr:clientData/>
  </xdr:twoCellAnchor>
  <xdr:twoCellAnchor>
    <xdr:from>
      <xdr:col>9</xdr:col>
      <xdr:colOff>6350</xdr:colOff>
      <xdr:row>5284</xdr:row>
      <xdr:rowOff>25400</xdr:rowOff>
    </xdr:from>
    <xdr:to>
      <xdr:col>9</xdr:col>
      <xdr:colOff>885190</xdr:colOff>
      <xdr:row>5284</xdr:row>
      <xdr:rowOff>1209040</xdr:rowOff>
    </xdr:to>
    <xdr:pic>
      <xdr:nvPicPr>
        <xdr:cNvPr id="9497" name="Изображение 9496" descr="resizeПП-00072917"/>
        <xdr:cNvPicPr>
          <a:picLocks noChangeAspect="1"/>
        </xdr:cNvPicPr>
      </xdr:nvPicPr>
      <xdr:blipFill>
        <a:blip xmlns:r="http://schemas.openxmlformats.org/officeDocument/2006/relationships" r:embed="rId4109"/>
        <a:stretch>
          <a:fillRect/>
        </a:stretch>
      </xdr:blipFill>
      <xdr:spPr>
        <a:xfrm>
          <a:off x="7235825" y="5400868675"/>
          <a:ext cx="878840" cy="1183640"/>
        </a:xfrm>
        <a:prstGeom prst="rect">
          <a:avLst/>
        </a:prstGeom>
      </xdr:spPr>
    </xdr:pic>
    <xdr:clientData/>
  </xdr:twoCellAnchor>
  <xdr:twoCellAnchor>
    <xdr:from>
      <xdr:col>9</xdr:col>
      <xdr:colOff>6350</xdr:colOff>
      <xdr:row>5285</xdr:row>
      <xdr:rowOff>25400</xdr:rowOff>
    </xdr:from>
    <xdr:to>
      <xdr:col>9</xdr:col>
      <xdr:colOff>885190</xdr:colOff>
      <xdr:row>5285</xdr:row>
      <xdr:rowOff>1209040</xdr:rowOff>
    </xdr:to>
    <xdr:pic>
      <xdr:nvPicPr>
        <xdr:cNvPr id="9498" name="Изображение 9497" descr="resizeПП-00072911"/>
        <xdr:cNvPicPr>
          <a:picLocks noChangeAspect="1"/>
        </xdr:cNvPicPr>
      </xdr:nvPicPr>
      <xdr:blipFill>
        <a:blip xmlns:r="http://schemas.openxmlformats.org/officeDocument/2006/relationships" r:embed="rId4110"/>
        <a:stretch>
          <a:fillRect/>
        </a:stretch>
      </xdr:blipFill>
      <xdr:spPr>
        <a:xfrm>
          <a:off x="7235825" y="5402091050"/>
          <a:ext cx="878840" cy="1183640"/>
        </a:xfrm>
        <a:prstGeom prst="rect">
          <a:avLst/>
        </a:prstGeom>
      </xdr:spPr>
    </xdr:pic>
    <xdr:clientData/>
  </xdr:twoCellAnchor>
  <xdr:twoCellAnchor>
    <xdr:from>
      <xdr:col>9</xdr:col>
      <xdr:colOff>6350</xdr:colOff>
      <xdr:row>5286</xdr:row>
      <xdr:rowOff>25400</xdr:rowOff>
    </xdr:from>
    <xdr:to>
      <xdr:col>9</xdr:col>
      <xdr:colOff>885190</xdr:colOff>
      <xdr:row>5286</xdr:row>
      <xdr:rowOff>1209040</xdr:rowOff>
    </xdr:to>
    <xdr:pic>
      <xdr:nvPicPr>
        <xdr:cNvPr id="9499" name="Изображение 9498" descr="resizeПП-00072910"/>
        <xdr:cNvPicPr>
          <a:picLocks noChangeAspect="1"/>
        </xdr:cNvPicPr>
      </xdr:nvPicPr>
      <xdr:blipFill>
        <a:blip xmlns:r="http://schemas.openxmlformats.org/officeDocument/2006/relationships" r:embed="rId4111"/>
        <a:stretch>
          <a:fillRect/>
        </a:stretch>
      </xdr:blipFill>
      <xdr:spPr>
        <a:xfrm>
          <a:off x="7235825" y="5403313425"/>
          <a:ext cx="878840" cy="1183640"/>
        </a:xfrm>
        <a:prstGeom prst="rect">
          <a:avLst/>
        </a:prstGeom>
      </xdr:spPr>
    </xdr:pic>
    <xdr:clientData/>
  </xdr:twoCellAnchor>
  <xdr:twoCellAnchor>
    <xdr:from>
      <xdr:col>9</xdr:col>
      <xdr:colOff>6350</xdr:colOff>
      <xdr:row>5287</xdr:row>
      <xdr:rowOff>25400</xdr:rowOff>
    </xdr:from>
    <xdr:to>
      <xdr:col>9</xdr:col>
      <xdr:colOff>885190</xdr:colOff>
      <xdr:row>5287</xdr:row>
      <xdr:rowOff>1209040</xdr:rowOff>
    </xdr:to>
    <xdr:pic>
      <xdr:nvPicPr>
        <xdr:cNvPr id="9500" name="Изображение 9499" descr="resizeПП-00072913"/>
        <xdr:cNvPicPr>
          <a:picLocks noChangeAspect="1"/>
        </xdr:cNvPicPr>
      </xdr:nvPicPr>
      <xdr:blipFill>
        <a:blip xmlns:r="http://schemas.openxmlformats.org/officeDocument/2006/relationships" r:embed="rId4112"/>
        <a:stretch>
          <a:fillRect/>
        </a:stretch>
      </xdr:blipFill>
      <xdr:spPr>
        <a:xfrm>
          <a:off x="7235825" y="5404535800"/>
          <a:ext cx="878840" cy="1183640"/>
        </a:xfrm>
        <a:prstGeom prst="rect">
          <a:avLst/>
        </a:prstGeom>
      </xdr:spPr>
    </xdr:pic>
    <xdr:clientData/>
  </xdr:twoCellAnchor>
  <xdr:twoCellAnchor>
    <xdr:from>
      <xdr:col>9</xdr:col>
      <xdr:colOff>6350</xdr:colOff>
      <xdr:row>5288</xdr:row>
      <xdr:rowOff>25400</xdr:rowOff>
    </xdr:from>
    <xdr:to>
      <xdr:col>9</xdr:col>
      <xdr:colOff>885190</xdr:colOff>
      <xdr:row>5288</xdr:row>
      <xdr:rowOff>1209040</xdr:rowOff>
    </xdr:to>
    <xdr:pic>
      <xdr:nvPicPr>
        <xdr:cNvPr id="9501" name="Изображение 9500" descr="resizeПП-00122667"/>
        <xdr:cNvPicPr>
          <a:picLocks noChangeAspect="1"/>
        </xdr:cNvPicPr>
      </xdr:nvPicPr>
      <xdr:blipFill>
        <a:blip xmlns:r="http://schemas.openxmlformats.org/officeDocument/2006/relationships" r:embed="rId4113"/>
        <a:stretch>
          <a:fillRect/>
        </a:stretch>
      </xdr:blipFill>
      <xdr:spPr>
        <a:xfrm>
          <a:off x="7235825" y="5405758175"/>
          <a:ext cx="878840" cy="1183640"/>
        </a:xfrm>
        <a:prstGeom prst="rect">
          <a:avLst/>
        </a:prstGeom>
      </xdr:spPr>
    </xdr:pic>
    <xdr:clientData/>
  </xdr:twoCellAnchor>
  <xdr:twoCellAnchor>
    <xdr:from>
      <xdr:col>9</xdr:col>
      <xdr:colOff>6350</xdr:colOff>
      <xdr:row>5289</xdr:row>
      <xdr:rowOff>25400</xdr:rowOff>
    </xdr:from>
    <xdr:to>
      <xdr:col>9</xdr:col>
      <xdr:colOff>885190</xdr:colOff>
      <xdr:row>5289</xdr:row>
      <xdr:rowOff>1209040</xdr:rowOff>
    </xdr:to>
    <xdr:pic>
      <xdr:nvPicPr>
        <xdr:cNvPr id="9502" name="Изображение 9501" descr="resizeПП-00041627"/>
        <xdr:cNvPicPr>
          <a:picLocks noChangeAspect="1"/>
        </xdr:cNvPicPr>
      </xdr:nvPicPr>
      <xdr:blipFill>
        <a:blip xmlns:r="http://schemas.openxmlformats.org/officeDocument/2006/relationships" r:embed="rId4114"/>
        <a:stretch>
          <a:fillRect/>
        </a:stretch>
      </xdr:blipFill>
      <xdr:spPr>
        <a:xfrm>
          <a:off x="7235825" y="5406980550"/>
          <a:ext cx="878840" cy="1183640"/>
        </a:xfrm>
        <a:prstGeom prst="rect">
          <a:avLst/>
        </a:prstGeom>
      </xdr:spPr>
    </xdr:pic>
    <xdr:clientData/>
  </xdr:twoCellAnchor>
  <xdr:twoCellAnchor>
    <xdr:from>
      <xdr:col>9</xdr:col>
      <xdr:colOff>6350</xdr:colOff>
      <xdr:row>5290</xdr:row>
      <xdr:rowOff>25400</xdr:rowOff>
    </xdr:from>
    <xdr:to>
      <xdr:col>9</xdr:col>
      <xdr:colOff>885190</xdr:colOff>
      <xdr:row>5290</xdr:row>
      <xdr:rowOff>1209040</xdr:rowOff>
    </xdr:to>
    <xdr:pic>
      <xdr:nvPicPr>
        <xdr:cNvPr id="9503" name="Изображение 9502" descr="resizeПП-00163780"/>
        <xdr:cNvPicPr>
          <a:picLocks noChangeAspect="1"/>
        </xdr:cNvPicPr>
      </xdr:nvPicPr>
      <xdr:blipFill>
        <a:blip xmlns:r="http://schemas.openxmlformats.org/officeDocument/2006/relationships" r:embed="rId4115"/>
        <a:stretch>
          <a:fillRect/>
        </a:stretch>
      </xdr:blipFill>
      <xdr:spPr>
        <a:xfrm>
          <a:off x="7235825" y="5408202925"/>
          <a:ext cx="878840" cy="1183640"/>
        </a:xfrm>
        <a:prstGeom prst="rect">
          <a:avLst/>
        </a:prstGeom>
      </xdr:spPr>
    </xdr:pic>
    <xdr:clientData/>
  </xdr:twoCellAnchor>
  <xdr:twoCellAnchor>
    <xdr:from>
      <xdr:col>9</xdr:col>
      <xdr:colOff>6350</xdr:colOff>
      <xdr:row>5291</xdr:row>
      <xdr:rowOff>25400</xdr:rowOff>
    </xdr:from>
    <xdr:to>
      <xdr:col>9</xdr:col>
      <xdr:colOff>885190</xdr:colOff>
      <xdr:row>5291</xdr:row>
      <xdr:rowOff>1209040</xdr:rowOff>
    </xdr:to>
    <xdr:pic>
      <xdr:nvPicPr>
        <xdr:cNvPr id="9504" name="Изображение 9503" descr="resizeПП-00163776"/>
        <xdr:cNvPicPr>
          <a:picLocks noChangeAspect="1"/>
        </xdr:cNvPicPr>
      </xdr:nvPicPr>
      <xdr:blipFill>
        <a:blip xmlns:r="http://schemas.openxmlformats.org/officeDocument/2006/relationships" r:embed="rId4116"/>
        <a:stretch>
          <a:fillRect/>
        </a:stretch>
      </xdr:blipFill>
      <xdr:spPr>
        <a:xfrm>
          <a:off x="7235825" y="5409425300"/>
          <a:ext cx="878840" cy="1183640"/>
        </a:xfrm>
        <a:prstGeom prst="rect">
          <a:avLst/>
        </a:prstGeom>
      </xdr:spPr>
    </xdr:pic>
    <xdr:clientData/>
  </xdr:twoCellAnchor>
  <xdr:twoCellAnchor>
    <xdr:from>
      <xdr:col>9</xdr:col>
      <xdr:colOff>6350</xdr:colOff>
      <xdr:row>5292</xdr:row>
      <xdr:rowOff>25400</xdr:rowOff>
    </xdr:from>
    <xdr:to>
      <xdr:col>9</xdr:col>
      <xdr:colOff>885190</xdr:colOff>
      <xdr:row>5292</xdr:row>
      <xdr:rowOff>1209040</xdr:rowOff>
    </xdr:to>
    <xdr:pic>
      <xdr:nvPicPr>
        <xdr:cNvPr id="9505" name="Изображение 9504" descr="resizeПП-00163770"/>
        <xdr:cNvPicPr>
          <a:picLocks noChangeAspect="1"/>
        </xdr:cNvPicPr>
      </xdr:nvPicPr>
      <xdr:blipFill>
        <a:blip xmlns:r="http://schemas.openxmlformats.org/officeDocument/2006/relationships" r:embed="rId4117"/>
        <a:stretch>
          <a:fillRect/>
        </a:stretch>
      </xdr:blipFill>
      <xdr:spPr>
        <a:xfrm>
          <a:off x="7235825" y="5410647675"/>
          <a:ext cx="878840" cy="1183640"/>
        </a:xfrm>
        <a:prstGeom prst="rect">
          <a:avLst/>
        </a:prstGeom>
      </xdr:spPr>
    </xdr:pic>
    <xdr:clientData/>
  </xdr:twoCellAnchor>
  <xdr:twoCellAnchor>
    <xdr:from>
      <xdr:col>9</xdr:col>
      <xdr:colOff>6350</xdr:colOff>
      <xdr:row>5293</xdr:row>
      <xdr:rowOff>25400</xdr:rowOff>
    </xdr:from>
    <xdr:to>
      <xdr:col>9</xdr:col>
      <xdr:colOff>885190</xdr:colOff>
      <xdr:row>5293</xdr:row>
      <xdr:rowOff>1209040</xdr:rowOff>
    </xdr:to>
    <xdr:pic>
      <xdr:nvPicPr>
        <xdr:cNvPr id="9506" name="Изображение 9505" descr="resizeПП-00163771"/>
        <xdr:cNvPicPr>
          <a:picLocks noChangeAspect="1"/>
        </xdr:cNvPicPr>
      </xdr:nvPicPr>
      <xdr:blipFill>
        <a:blip xmlns:r="http://schemas.openxmlformats.org/officeDocument/2006/relationships" r:embed="rId4118"/>
        <a:stretch>
          <a:fillRect/>
        </a:stretch>
      </xdr:blipFill>
      <xdr:spPr>
        <a:xfrm>
          <a:off x="7235825" y="5411870050"/>
          <a:ext cx="878840" cy="1183640"/>
        </a:xfrm>
        <a:prstGeom prst="rect">
          <a:avLst/>
        </a:prstGeom>
      </xdr:spPr>
    </xdr:pic>
    <xdr:clientData/>
  </xdr:twoCellAnchor>
  <xdr:twoCellAnchor>
    <xdr:from>
      <xdr:col>9</xdr:col>
      <xdr:colOff>6350</xdr:colOff>
      <xdr:row>5295</xdr:row>
      <xdr:rowOff>25400</xdr:rowOff>
    </xdr:from>
    <xdr:to>
      <xdr:col>9</xdr:col>
      <xdr:colOff>885190</xdr:colOff>
      <xdr:row>5295</xdr:row>
      <xdr:rowOff>1209040</xdr:rowOff>
    </xdr:to>
    <xdr:pic>
      <xdr:nvPicPr>
        <xdr:cNvPr id="9507" name="Изображение 9506" descr="resizeПП-00192865"/>
        <xdr:cNvPicPr>
          <a:picLocks noChangeAspect="1"/>
        </xdr:cNvPicPr>
      </xdr:nvPicPr>
      <xdr:blipFill>
        <a:blip xmlns:r="http://schemas.openxmlformats.org/officeDocument/2006/relationships" r:embed="rId4119"/>
        <a:stretch>
          <a:fillRect/>
        </a:stretch>
      </xdr:blipFill>
      <xdr:spPr>
        <a:xfrm>
          <a:off x="7235825" y="5413244825"/>
          <a:ext cx="878840" cy="1183640"/>
        </a:xfrm>
        <a:prstGeom prst="rect">
          <a:avLst/>
        </a:prstGeom>
      </xdr:spPr>
    </xdr:pic>
    <xdr:clientData/>
  </xdr:twoCellAnchor>
  <xdr:twoCellAnchor>
    <xdr:from>
      <xdr:col>9</xdr:col>
      <xdr:colOff>6350</xdr:colOff>
      <xdr:row>5296</xdr:row>
      <xdr:rowOff>25400</xdr:rowOff>
    </xdr:from>
    <xdr:to>
      <xdr:col>9</xdr:col>
      <xdr:colOff>885190</xdr:colOff>
      <xdr:row>5296</xdr:row>
      <xdr:rowOff>1209040</xdr:rowOff>
    </xdr:to>
    <xdr:pic>
      <xdr:nvPicPr>
        <xdr:cNvPr id="9508" name="Изображение 9507" descr="resizeПП-00192798"/>
        <xdr:cNvPicPr>
          <a:picLocks noChangeAspect="1"/>
        </xdr:cNvPicPr>
      </xdr:nvPicPr>
      <xdr:blipFill>
        <a:blip xmlns:r="http://schemas.openxmlformats.org/officeDocument/2006/relationships" r:embed="rId4120"/>
        <a:stretch>
          <a:fillRect/>
        </a:stretch>
      </xdr:blipFill>
      <xdr:spPr>
        <a:xfrm>
          <a:off x="7235825" y="5414467200"/>
          <a:ext cx="878840" cy="1183640"/>
        </a:xfrm>
        <a:prstGeom prst="rect">
          <a:avLst/>
        </a:prstGeom>
      </xdr:spPr>
    </xdr:pic>
    <xdr:clientData/>
  </xdr:twoCellAnchor>
  <xdr:twoCellAnchor>
    <xdr:from>
      <xdr:col>9</xdr:col>
      <xdr:colOff>6350</xdr:colOff>
      <xdr:row>5297</xdr:row>
      <xdr:rowOff>25400</xdr:rowOff>
    </xdr:from>
    <xdr:to>
      <xdr:col>9</xdr:col>
      <xdr:colOff>885190</xdr:colOff>
      <xdr:row>5297</xdr:row>
      <xdr:rowOff>1209040</xdr:rowOff>
    </xdr:to>
    <xdr:pic>
      <xdr:nvPicPr>
        <xdr:cNvPr id="9509" name="Изображение 9508" descr="resizeПП-00113983"/>
        <xdr:cNvPicPr>
          <a:picLocks noChangeAspect="1"/>
        </xdr:cNvPicPr>
      </xdr:nvPicPr>
      <xdr:blipFill>
        <a:blip xmlns:r="http://schemas.openxmlformats.org/officeDocument/2006/relationships" r:embed="rId4121"/>
        <a:stretch>
          <a:fillRect/>
        </a:stretch>
      </xdr:blipFill>
      <xdr:spPr>
        <a:xfrm>
          <a:off x="7235825" y="5415689575"/>
          <a:ext cx="878840" cy="1183640"/>
        </a:xfrm>
        <a:prstGeom prst="rect">
          <a:avLst/>
        </a:prstGeom>
      </xdr:spPr>
    </xdr:pic>
    <xdr:clientData/>
  </xdr:twoCellAnchor>
  <xdr:twoCellAnchor>
    <xdr:from>
      <xdr:col>9</xdr:col>
      <xdr:colOff>6350</xdr:colOff>
      <xdr:row>5298</xdr:row>
      <xdr:rowOff>25400</xdr:rowOff>
    </xdr:from>
    <xdr:to>
      <xdr:col>9</xdr:col>
      <xdr:colOff>885190</xdr:colOff>
      <xdr:row>5298</xdr:row>
      <xdr:rowOff>1209040</xdr:rowOff>
    </xdr:to>
    <xdr:pic>
      <xdr:nvPicPr>
        <xdr:cNvPr id="9510" name="Изображение 9509" descr="resizeПП-00113982"/>
        <xdr:cNvPicPr>
          <a:picLocks noChangeAspect="1"/>
        </xdr:cNvPicPr>
      </xdr:nvPicPr>
      <xdr:blipFill>
        <a:blip xmlns:r="http://schemas.openxmlformats.org/officeDocument/2006/relationships" r:embed="rId4122"/>
        <a:stretch>
          <a:fillRect/>
        </a:stretch>
      </xdr:blipFill>
      <xdr:spPr>
        <a:xfrm>
          <a:off x="7235825" y="5416911950"/>
          <a:ext cx="878840" cy="1183640"/>
        </a:xfrm>
        <a:prstGeom prst="rect">
          <a:avLst/>
        </a:prstGeom>
      </xdr:spPr>
    </xdr:pic>
    <xdr:clientData/>
  </xdr:twoCellAnchor>
  <xdr:twoCellAnchor>
    <xdr:from>
      <xdr:col>9</xdr:col>
      <xdr:colOff>6350</xdr:colOff>
      <xdr:row>5299</xdr:row>
      <xdr:rowOff>25400</xdr:rowOff>
    </xdr:from>
    <xdr:to>
      <xdr:col>9</xdr:col>
      <xdr:colOff>885190</xdr:colOff>
      <xdr:row>5299</xdr:row>
      <xdr:rowOff>1209040</xdr:rowOff>
    </xdr:to>
    <xdr:pic>
      <xdr:nvPicPr>
        <xdr:cNvPr id="9511" name="Изображение 9510" descr="resizeПП-00122884"/>
        <xdr:cNvPicPr>
          <a:picLocks noChangeAspect="1"/>
        </xdr:cNvPicPr>
      </xdr:nvPicPr>
      <xdr:blipFill>
        <a:blip xmlns:r="http://schemas.openxmlformats.org/officeDocument/2006/relationships" r:embed="rId4123"/>
        <a:stretch>
          <a:fillRect/>
        </a:stretch>
      </xdr:blipFill>
      <xdr:spPr>
        <a:xfrm>
          <a:off x="7235825" y="5418134325"/>
          <a:ext cx="878840" cy="1183640"/>
        </a:xfrm>
        <a:prstGeom prst="rect">
          <a:avLst/>
        </a:prstGeom>
      </xdr:spPr>
    </xdr:pic>
    <xdr:clientData/>
  </xdr:twoCellAnchor>
  <xdr:twoCellAnchor>
    <xdr:from>
      <xdr:col>9</xdr:col>
      <xdr:colOff>6350</xdr:colOff>
      <xdr:row>5300</xdr:row>
      <xdr:rowOff>25400</xdr:rowOff>
    </xdr:from>
    <xdr:to>
      <xdr:col>9</xdr:col>
      <xdr:colOff>885190</xdr:colOff>
      <xdr:row>5300</xdr:row>
      <xdr:rowOff>1209040</xdr:rowOff>
    </xdr:to>
    <xdr:pic>
      <xdr:nvPicPr>
        <xdr:cNvPr id="9512" name="Изображение 9511" descr="resizeПП-00122839"/>
        <xdr:cNvPicPr>
          <a:picLocks noChangeAspect="1"/>
        </xdr:cNvPicPr>
      </xdr:nvPicPr>
      <xdr:blipFill>
        <a:blip xmlns:r="http://schemas.openxmlformats.org/officeDocument/2006/relationships" r:embed="rId4124"/>
        <a:stretch>
          <a:fillRect/>
        </a:stretch>
      </xdr:blipFill>
      <xdr:spPr>
        <a:xfrm>
          <a:off x="7235825" y="5419356700"/>
          <a:ext cx="878840" cy="1183640"/>
        </a:xfrm>
        <a:prstGeom prst="rect">
          <a:avLst/>
        </a:prstGeom>
      </xdr:spPr>
    </xdr:pic>
    <xdr:clientData/>
  </xdr:twoCellAnchor>
  <xdr:twoCellAnchor>
    <xdr:from>
      <xdr:col>9</xdr:col>
      <xdr:colOff>6350</xdr:colOff>
      <xdr:row>5301</xdr:row>
      <xdr:rowOff>25400</xdr:rowOff>
    </xdr:from>
    <xdr:to>
      <xdr:col>9</xdr:col>
      <xdr:colOff>885190</xdr:colOff>
      <xdr:row>5301</xdr:row>
      <xdr:rowOff>1209040</xdr:rowOff>
    </xdr:to>
    <xdr:pic>
      <xdr:nvPicPr>
        <xdr:cNvPr id="9513" name="Изображение 9512" descr="resizeПП-00072898"/>
        <xdr:cNvPicPr>
          <a:picLocks noChangeAspect="1"/>
        </xdr:cNvPicPr>
      </xdr:nvPicPr>
      <xdr:blipFill>
        <a:blip xmlns:r="http://schemas.openxmlformats.org/officeDocument/2006/relationships" r:embed="rId4125"/>
        <a:stretch>
          <a:fillRect/>
        </a:stretch>
      </xdr:blipFill>
      <xdr:spPr>
        <a:xfrm>
          <a:off x="7235825" y="5420579075"/>
          <a:ext cx="878840" cy="1183640"/>
        </a:xfrm>
        <a:prstGeom prst="rect">
          <a:avLst/>
        </a:prstGeom>
      </xdr:spPr>
    </xdr:pic>
    <xdr:clientData/>
  </xdr:twoCellAnchor>
  <xdr:twoCellAnchor>
    <xdr:from>
      <xdr:col>9</xdr:col>
      <xdr:colOff>6350</xdr:colOff>
      <xdr:row>5302</xdr:row>
      <xdr:rowOff>25400</xdr:rowOff>
    </xdr:from>
    <xdr:to>
      <xdr:col>9</xdr:col>
      <xdr:colOff>885190</xdr:colOff>
      <xdr:row>5302</xdr:row>
      <xdr:rowOff>1209040</xdr:rowOff>
    </xdr:to>
    <xdr:pic>
      <xdr:nvPicPr>
        <xdr:cNvPr id="9514" name="Изображение 9513" descr="resizeПП-00122845"/>
        <xdr:cNvPicPr>
          <a:picLocks noChangeAspect="1"/>
        </xdr:cNvPicPr>
      </xdr:nvPicPr>
      <xdr:blipFill>
        <a:blip xmlns:r="http://schemas.openxmlformats.org/officeDocument/2006/relationships" r:embed="rId4126"/>
        <a:stretch>
          <a:fillRect/>
        </a:stretch>
      </xdr:blipFill>
      <xdr:spPr>
        <a:xfrm>
          <a:off x="7235825" y="5421801450"/>
          <a:ext cx="878840" cy="1183640"/>
        </a:xfrm>
        <a:prstGeom prst="rect">
          <a:avLst/>
        </a:prstGeom>
      </xdr:spPr>
    </xdr:pic>
    <xdr:clientData/>
  </xdr:twoCellAnchor>
  <xdr:twoCellAnchor>
    <xdr:from>
      <xdr:col>9</xdr:col>
      <xdr:colOff>6350</xdr:colOff>
      <xdr:row>5303</xdr:row>
      <xdr:rowOff>25400</xdr:rowOff>
    </xdr:from>
    <xdr:to>
      <xdr:col>9</xdr:col>
      <xdr:colOff>885190</xdr:colOff>
      <xdr:row>5303</xdr:row>
      <xdr:rowOff>1209040</xdr:rowOff>
    </xdr:to>
    <xdr:pic>
      <xdr:nvPicPr>
        <xdr:cNvPr id="9515" name="Изображение 9514" descr="resizeПП-00122851"/>
        <xdr:cNvPicPr>
          <a:picLocks noChangeAspect="1"/>
        </xdr:cNvPicPr>
      </xdr:nvPicPr>
      <xdr:blipFill>
        <a:blip xmlns:r="http://schemas.openxmlformats.org/officeDocument/2006/relationships" r:embed="rId4127"/>
        <a:stretch>
          <a:fillRect/>
        </a:stretch>
      </xdr:blipFill>
      <xdr:spPr>
        <a:xfrm>
          <a:off x="7235825" y="5423023825"/>
          <a:ext cx="878840" cy="1183640"/>
        </a:xfrm>
        <a:prstGeom prst="rect">
          <a:avLst/>
        </a:prstGeom>
      </xdr:spPr>
    </xdr:pic>
    <xdr:clientData/>
  </xdr:twoCellAnchor>
  <xdr:twoCellAnchor>
    <xdr:from>
      <xdr:col>9</xdr:col>
      <xdr:colOff>6350</xdr:colOff>
      <xdr:row>5304</xdr:row>
      <xdr:rowOff>25400</xdr:rowOff>
    </xdr:from>
    <xdr:to>
      <xdr:col>9</xdr:col>
      <xdr:colOff>885190</xdr:colOff>
      <xdr:row>5304</xdr:row>
      <xdr:rowOff>1209040</xdr:rowOff>
    </xdr:to>
    <xdr:pic>
      <xdr:nvPicPr>
        <xdr:cNvPr id="9516" name="Изображение 9515" descr="resizeПП-00122865"/>
        <xdr:cNvPicPr>
          <a:picLocks noChangeAspect="1"/>
        </xdr:cNvPicPr>
      </xdr:nvPicPr>
      <xdr:blipFill>
        <a:blip xmlns:r="http://schemas.openxmlformats.org/officeDocument/2006/relationships" r:embed="rId4128"/>
        <a:stretch>
          <a:fillRect/>
        </a:stretch>
      </xdr:blipFill>
      <xdr:spPr>
        <a:xfrm>
          <a:off x="7235825" y="5424246200"/>
          <a:ext cx="878840" cy="1183640"/>
        </a:xfrm>
        <a:prstGeom prst="rect">
          <a:avLst/>
        </a:prstGeom>
      </xdr:spPr>
    </xdr:pic>
    <xdr:clientData/>
  </xdr:twoCellAnchor>
  <xdr:twoCellAnchor>
    <xdr:from>
      <xdr:col>9</xdr:col>
      <xdr:colOff>6350</xdr:colOff>
      <xdr:row>5305</xdr:row>
      <xdr:rowOff>25400</xdr:rowOff>
    </xdr:from>
    <xdr:to>
      <xdr:col>9</xdr:col>
      <xdr:colOff>885190</xdr:colOff>
      <xdr:row>5305</xdr:row>
      <xdr:rowOff>1209040</xdr:rowOff>
    </xdr:to>
    <xdr:pic>
      <xdr:nvPicPr>
        <xdr:cNvPr id="9517" name="Изображение 9516" descr="resizeПП-00122856"/>
        <xdr:cNvPicPr>
          <a:picLocks noChangeAspect="1"/>
        </xdr:cNvPicPr>
      </xdr:nvPicPr>
      <xdr:blipFill>
        <a:blip xmlns:r="http://schemas.openxmlformats.org/officeDocument/2006/relationships" r:embed="rId4129"/>
        <a:stretch>
          <a:fillRect/>
        </a:stretch>
      </xdr:blipFill>
      <xdr:spPr>
        <a:xfrm>
          <a:off x="7235825" y="5425468575"/>
          <a:ext cx="878840" cy="1183640"/>
        </a:xfrm>
        <a:prstGeom prst="rect">
          <a:avLst/>
        </a:prstGeom>
      </xdr:spPr>
    </xdr:pic>
    <xdr:clientData/>
  </xdr:twoCellAnchor>
  <xdr:twoCellAnchor>
    <xdr:from>
      <xdr:col>9</xdr:col>
      <xdr:colOff>6350</xdr:colOff>
      <xdr:row>5306</xdr:row>
      <xdr:rowOff>25400</xdr:rowOff>
    </xdr:from>
    <xdr:to>
      <xdr:col>9</xdr:col>
      <xdr:colOff>885190</xdr:colOff>
      <xdr:row>5306</xdr:row>
      <xdr:rowOff>1209040</xdr:rowOff>
    </xdr:to>
    <xdr:pic>
      <xdr:nvPicPr>
        <xdr:cNvPr id="9518" name="Изображение 9517" descr="resizeПП-00122838"/>
        <xdr:cNvPicPr>
          <a:picLocks noChangeAspect="1"/>
        </xdr:cNvPicPr>
      </xdr:nvPicPr>
      <xdr:blipFill>
        <a:blip xmlns:r="http://schemas.openxmlformats.org/officeDocument/2006/relationships" r:embed="rId4130"/>
        <a:stretch>
          <a:fillRect/>
        </a:stretch>
      </xdr:blipFill>
      <xdr:spPr>
        <a:xfrm>
          <a:off x="7235825" y="5426690950"/>
          <a:ext cx="878840" cy="1183640"/>
        </a:xfrm>
        <a:prstGeom prst="rect">
          <a:avLst/>
        </a:prstGeom>
      </xdr:spPr>
    </xdr:pic>
    <xdr:clientData/>
  </xdr:twoCellAnchor>
  <xdr:twoCellAnchor>
    <xdr:from>
      <xdr:col>9</xdr:col>
      <xdr:colOff>6350</xdr:colOff>
      <xdr:row>5307</xdr:row>
      <xdr:rowOff>25400</xdr:rowOff>
    </xdr:from>
    <xdr:to>
      <xdr:col>9</xdr:col>
      <xdr:colOff>885190</xdr:colOff>
      <xdr:row>5307</xdr:row>
      <xdr:rowOff>1209040</xdr:rowOff>
    </xdr:to>
    <xdr:pic>
      <xdr:nvPicPr>
        <xdr:cNvPr id="9519" name="Изображение 9518" descr="resizeПП-00122842"/>
        <xdr:cNvPicPr>
          <a:picLocks noChangeAspect="1"/>
        </xdr:cNvPicPr>
      </xdr:nvPicPr>
      <xdr:blipFill>
        <a:blip xmlns:r="http://schemas.openxmlformats.org/officeDocument/2006/relationships" r:embed="rId4131"/>
        <a:stretch>
          <a:fillRect/>
        </a:stretch>
      </xdr:blipFill>
      <xdr:spPr>
        <a:xfrm>
          <a:off x="7235825" y="5427913325"/>
          <a:ext cx="878840" cy="1183640"/>
        </a:xfrm>
        <a:prstGeom prst="rect">
          <a:avLst/>
        </a:prstGeom>
      </xdr:spPr>
    </xdr:pic>
    <xdr:clientData/>
  </xdr:twoCellAnchor>
  <xdr:twoCellAnchor>
    <xdr:from>
      <xdr:col>9</xdr:col>
      <xdr:colOff>6350</xdr:colOff>
      <xdr:row>5308</xdr:row>
      <xdr:rowOff>25400</xdr:rowOff>
    </xdr:from>
    <xdr:to>
      <xdr:col>9</xdr:col>
      <xdr:colOff>885190</xdr:colOff>
      <xdr:row>5308</xdr:row>
      <xdr:rowOff>1209040</xdr:rowOff>
    </xdr:to>
    <xdr:pic>
      <xdr:nvPicPr>
        <xdr:cNvPr id="9520" name="Изображение 9519" descr="resizeПП-00164015"/>
        <xdr:cNvPicPr>
          <a:picLocks noChangeAspect="1"/>
        </xdr:cNvPicPr>
      </xdr:nvPicPr>
      <xdr:blipFill>
        <a:blip xmlns:r="http://schemas.openxmlformats.org/officeDocument/2006/relationships" r:embed="rId4132"/>
        <a:stretch>
          <a:fillRect/>
        </a:stretch>
      </xdr:blipFill>
      <xdr:spPr>
        <a:xfrm>
          <a:off x="7235825" y="5429135700"/>
          <a:ext cx="878840" cy="1183640"/>
        </a:xfrm>
        <a:prstGeom prst="rect">
          <a:avLst/>
        </a:prstGeom>
      </xdr:spPr>
    </xdr:pic>
    <xdr:clientData/>
  </xdr:twoCellAnchor>
  <xdr:twoCellAnchor>
    <xdr:from>
      <xdr:col>9</xdr:col>
      <xdr:colOff>6350</xdr:colOff>
      <xdr:row>5309</xdr:row>
      <xdr:rowOff>25400</xdr:rowOff>
    </xdr:from>
    <xdr:to>
      <xdr:col>9</xdr:col>
      <xdr:colOff>885190</xdr:colOff>
      <xdr:row>5309</xdr:row>
      <xdr:rowOff>1209040</xdr:rowOff>
    </xdr:to>
    <xdr:pic>
      <xdr:nvPicPr>
        <xdr:cNvPr id="9521" name="Изображение 9520" descr="resizeПП-00114059"/>
        <xdr:cNvPicPr>
          <a:picLocks noChangeAspect="1"/>
        </xdr:cNvPicPr>
      </xdr:nvPicPr>
      <xdr:blipFill>
        <a:blip xmlns:r="http://schemas.openxmlformats.org/officeDocument/2006/relationships" r:embed="rId4133"/>
        <a:stretch>
          <a:fillRect/>
        </a:stretch>
      </xdr:blipFill>
      <xdr:spPr>
        <a:xfrm>
          <a:off x="7235825" y="5430358075"/>
          <a:ext cx="878840" cy="1183640"/>
        </a:xfrm>
        <a:prstGeom prst="rect">
          <a:avLst/>
        </a:prstGeom>
      </xdr:spPr>
    </xdr:pic>
    <xdr:clientData/>
  </xdr:twoCellAnchor>
  <xdr:twoCellAnchor>
    <xdr:from>
      <xdr:col>9</xdr:col>
      <xdr:colOff>6350</xdr:colOff>
      <xdr:row>5310</xdr:row>
      <xdr:rowOff>25400</xdr:rowOff>
    </xdr:from>
    <xdr:to>
      <xdr:col>9</xdr:col>
      <xdr:colOff>885190</xdr:colOff>
      <xdr:row>5310</xdr:row>
      <xdr:rowOff>1209040</xdr:rowOff>
    </xdr:to>
    <xdr:pic>
      <xdr:nvPicPr>
        <xdr:cNvPr id="9522" name="Изображение 9521" descr="resizeПП-00114057"/>
        <xdr:cNvPicPr>
          <a:picLocks noChangeAspect="1"/>
        </xdr:cNvPicPr>
      </xdr:nvPicPr>
      <xdr:blipFill>
        <a:blip xmlns:r="http://schemas.openxmlformats.org/officeDocument/2006/relationships" r:embed="rId4134"/>
        <a:stretch>
          <a:fillRect/>
        </a:stretch>
      </xdr:blipFill>
      <xdr:spPr>
        <a:xfrm>
          <a:off x="7235825" y="5431580450"/>
          <a:ext cx="878840" cy="1183640"/>
        </a:xfrm>
        <a:prstGeom prst="rect">
          <a:avLst/>
        </a:prstGeom>
      </xdr:spPr>
    </xdr:pic>
    <xdr:clientData/>
  </xdr:twoCellAnchor>
  <xdr:twoCellAnchor>
    <xdr:from>
      <xdr:col>9</xdr:col>
      <xdr:colOff>6350</xdr:colOff>
      <xdr:row>5311</xdr:row>
      <xdr:rowOff>25400</xdr:rowOff>
    </xdr:from>
    <xdr:to>
      <xdr:col>9</xdr:col>
      <xdr:colOff>885190</xdr:colOff>
      <xdr:row>5311</xdr:row>
      <xdr:rowOff>1209040</xdr:rowOff>
    </xdr:to>
    <xdr:pic>
      <xdr:nvPicPr>
        <xdr:cNvPr id="9523" name="Изображение 9522" descr="resizeПП-00114060"/>
        <xdr:cNvPicPr>
          <a:picLocks noChangeAspect="1"/>
        </xdr:cNvPicPr>
      </xdr:nvPicPr>
      <xdr:blipFill>
        <a:blip xmlns:r="http://schemas.openxmlformats.org/officeDocument/2006/relationships" r:embed="rId4135"/>
        <a:stretch>
          <a:fillRect/>
        </a:stretch>
      </xdr:blipFill>
      <xdr:spPr>
        <a:xfrm>
          <a:off x="7235825" y="5432802825"/>
          <a:ext cx="878840" cy="1183640"/>
        </a:xfrm>
        <a:prstGeom prst="rect">
          <a:avLst/>
        </a:prstGeom>
      </xdr:spPr>
    </xdr:pic>
    <xdr:clientData/>
  </xdr:twoCellAnchor>
  <xdr:twoCellAnchor>
    <xdr:from>
      <xdr:col>9</xdr:col>
      <xdr:colOff>6350</xdr:colOff>
      <xdr:row>5312</xdr:row>
      <xdr:rowOff>25400</xdr:rowOff>
    </xdr:from>
    <xdr:to>
      <xdr:col>9</xdr:col>
      <xdr:colOff>885190</xdr:colOff>
      <xdr:row>5312</xdr:row>
      <xdr:rowOff>1209040</xdr:rowOff>
    </xdr:to>
    <xdr:pic>
      <xdr:nvPicPr>
        <xdr:cNvPr id="9524" name="Изображение 9523" descr="resizeПП-00114058"/>
        <xdr:cNvPicPr>
          <a:picLocks noChangeAspect="1"/>
        </xdr:cNvPicPr>
      </xdr:nvPicPr>
      <xdr:blipFill>
        <a:blip xmlns:r="http://schemas.openxmlformats.org/officeDocument/2006/relationships" r:embed="rId4136"/>
        <a:stretch>
          <a:fillRect/>
        </a:stretch>
      </xdr:blipFill>
      <xdr:spPr>
        <a:xfrm>
          <a:off x="7235825" y="5434025200"/>
          <a:ext cx="878840" cy="1183640"/>
        </a:xfrm>
        <a:prstGeom prst="rect">
          <a:avLst/>
        </a:prstGeom>
      </xdr:spPr>
    </xdr:pic>
    <xdr:clientData/>
  </xdr:twoCellAnchor>
  <xdr:twoCellAnchor>
    <xdr:from>
      <xdr:col>9</xdr:col>
      <xdr:colOff>6350</xdr:colOff>
      <xdr:row>5313</xdr:row>
      <xdr:rowOff>25400</xdr:rowOff>
    </xdr:from>
    <xdr:to>
      <xdr:col>9</xdr:col>
      <xdr:colOff>885190</xdr:colOff>
      <xdr:row>5313</xdr:row>
      <xdr:rowOff>1209040</xdr:rowOff>
    </xdr:to>
    <xdr:pic>
      <xdr:nvPicPr>
        <xdr:cNvPr id="9525" name="Изображение 9524" descr="resizeПП-00114056"/>
        <xdr:cNvPicPr>
          <a:picLocks noChangeAspect="1"/>
        </xdr:cNvPicPr>
      </xdr:nvPicPr>
      <xdr:blipFill>
        <a:blip xmlns:r="http://schemas.openxmlformats.org/officeDocument/2006/relationships" r:embed="rId4137"/>
        <a:stretch>
          <a:fillRect/>
        </a:stretch>
      </xdr:blipFill>
      <xdr:spPr>
        <a:xfrm>
          <a:off x="7235825" y="5435247575"/>
          <a:ext cx="878840" cy="1183640"/>
        </a:xfrm>
        <a:prstGeom prst="rect">
          <a:avLst/>
        </a:prstGeom>
      </xdr:spPr>
    </xdr:pic>
    <xdr:clientData/>
  </xdr:twoCellAnchor>
  <xdr:twoCellAnchor>
    <xdr:from>
      <xdr:col>9</xdr:col>
      <xdr:colOff>6350</xdr:colOff>
      <xdr:row>5314</xdr:row>
      <xdr:rowOff>25400</xdr:rowOff>
    </xdr:from>
    <xdr:to>
      <xdr:col>9</xdr:col>
      <xdr:colOff>885190</xdr:colOff>
      <xdr:row>5314</xdr:row>
      <xdr:rowOff>1209040</xdr:rowOff>
    </xdr:to>
    <xdr:pic>
      <xdr:nvPicPr>
        <xdr:cNvPr id="9526" name="Изображение 9525" descr="resizeПП-00114061"/>
        <xdr:cNvPicPr>
          <a:picLocks noChangeAspect="1"/>
        </xdr:cNvPicPr>
      </xdr:nvPicPr>
      <xdr:blipFill>
        <a:blip xmlns:r="http://schemas.openxmlformats.org/officeDocument/2006/relationships" r:embed="rId4138"/>
        <a:stretch>
          <a:fillRect/>
        </a:stretch>
      </xdr:blipFill>
      <xdr:spPr>
        <a:xfrm>
          <a:off x="7235825" y="5436469950"/>
          <a:ext cx="878840" cy="1183640"/>
        </a:xfrm>
        <a:prstGeom prst="rect">
          <a:avLst/>
        </a:prstGeom>
      </xdr:spPr>
    </xdr:pic>
    <xdr:clientData/>
  </xdr:twoCellAnchor>
  <xdr:twoCellAnchor>
    <xdr:from>
      <xdr:col>9</xdr:col>
      <xdr:colOff>6350</xdr:colOff>
      <xdr:row>5315</xdr:row>
      <xdr:rowOff>25400</xdr:rowOff>
    </xdr:from>
    <xdr:to>
      <xdr:col>9</xdr:col>
      <xdr:colOff>885190</xdr:colOff>
      <xdr:row>5315</xdr:row>
      <xdr:rowOff>1209040</xdr:rowOff>
    </xdr:to>
    <xdr:pic>
      <xdr:nvPicPr>
        <xdr:cNvPr id="9527" name="Изображение 9526" descr="resizeПП-00192867"/>
        <xdr:cNvPicPr>
          <a:picLocks noChangeAspect="1"/>
        </xdr:cNvPicPr>
      </xdr:nvPicPr>
      <xdr:blipFill>
        <a:blip xmlns:r="http://schemas.openxmlformats.org/officeDocument/2006/relationships" r:embed="rId4139"/>
        <a:stretch>
          <a:fillRect/>
        </a:stretch>
      </xdr:blipFill>
      <xdr:spPr>
        <a:xfrm>
          <a:off x="7235825" y="5437692325"/>
          <a:ext cx="878840" cy="1183640"/>
        </a:xfrm>
        <a:prstGeom prst="rect">
          <a:avLst/>
        </a:prstGeom>
      </xdr:spPr>
    </xdr:pic>
    <xdr:clientData/>
  </xdr:twoCellAnchor>
  <xdr:twoCellAnchor>
    <xdr:from>
      <xdr:col>9</xdr:col>
      <xdr:colOff>6350</xdr:colOff>
      <xdr:row>5317</xdr:row>
      <xdr:rowOff>25400</xdr:rowOff>
    </xdr:from>
    <xdr:to>
      <xdr:col>9</xdr:col>
      <xdr:colOff>885190</xdr:colOff>
      <xdr:row>5317</xdr:row>
      <xdr:rowOff>1209040</xdr:rowOff>
    </xdr:to>
    <xdr:pic>
      <xdr:nvPicPr>
        <xdr:cNvPr id="9528" name="Изображение 9527" descr="resizeПП-00122832"/>
        <xdr:cNvPicPr>
          <a:picLocks noChangeAspect="1"/>
        </xdr:cNvPicPr>
      </xdr:nvPicPr>
      <xdr:blipFill>
        <a:blip xmlns:r="http://schemas.openxmlformats.org/officeDocument/2006/relationships" r:embed="rId4140"/>
        <a:stretch>
          <a:fillRect/>
        </a:stretch>
      </xdr:blipFill>
      <xdr:spPr>
        <a:xfrm>
          <a:off x="7235825" y="5439067100"/>
          <a:ext cx="878840" cy="1183640"/>
        </a:xfrm>
        <a:prstGeom prst="rect">
          <a:avLst/>
        </a:prstGeom>
      </xdr:spPr>
    </xdr:pic>
    <xdr:clientData/>
  </xdr:twoCellAnchor>
  <xdr:twoCellAnchor>
    <xdr:from>
      <xdr:col>9</xdr:col>
      <xdr:colOff>6350</xdr:colOff>
      <xdr:row>5318</xdr:row>
      <xdr:rowOff>25400</xdr:rowOff>
    </xdr:from>
    <xdr:to>
      <xdr:col>9</xdr:col>
      <xdr:colOff>885190</xdr:colOff>
      <xdr:row>5318</xdr:row>
      <xdr:rowOff>1209040</xdr:rowOff>
    </xdr:to>
    <xdr:pic>
      <xdr:nvPicPr>
        <xdr:cNvPr id="9529" name="Изображение 9528" descr="resizeПП-00122830"/>
        <xdr:cNvPicPr>
          <a:picLocks noChangeAspect="1"/>
        </xdr:cNvPicPr>
      </xdr:nvPicPr>
      <xdr:blipFill>
        <a:blip xmlns:r="http://schemas.openxmlformats.org/officeDocument/2006/relationships" r:embed="rId4141"/>
        <a:stretch>
          <a:fillRect/>
        </a:stretch>
      </xdr:blipFill>
      <xdr:spPr>
        <a:xfrm>
          <a:off x="7235825" y="5440289475"/>
          <a:ext cx="878840" cy="1183640"/>
        </a:xfrm>
        <a:prstGeom prst="rect">
          <a:avLst/>
        </a:prstGeom>
      </xdr:spPr>
    </xdr:pic>
    <xdr:clientData/>
  </xdr:twoCellAnchor>
  <xdr:twoCellAnchor>
    <xdr:from>
      <xdr:col>9</xdr:col>
      <xdr:colOff>6350</xdr:colOff>
      <xdr:row>5319</xdr:row>
      <xdr:rowOff>25400</xdr:rowOff>
    </xdr:from>
    <xdr:to>
      <xdr:col>9</xdr:col>
      <xdr:colOff>885190</xdr:colOff>
      <xdr:row>5319</xdr:row>
      <xdr:rowOff>1209040</xdr:rowOff>
    </xdr:to>
    <xdr:pic>
      <xdr:nvPicPr>
        <xdr:cNvPr id="9530" name="Изображение 9529" descr="resizeПП-00041654"/>
        <xdr:cNvPicPr>
          <a:picLocks noChangeAspect="1"/>
        </xdr:cNvPicPr>
      </xdr:nvPicPr>
      <xdr:blipFill>
        <a:blip xmlns:r="http://schemas.openxmlformats.org/officeDocument/2006/relationships" r:embed="rId4142"/>
        <a:stretch>
          <a:fillRect/>
        </a:stretch>
      </xdr:blipFill>
      <xdr:spPr>
        <a:xfrm>
          <a:off x="7235825" y="5441511850"/>
          <a:ext cx="878840" cy="1183640"/>
        </a:xfrm>
        <a:prstGeom prst="rect">
          <a:avLst/>
        </a:prstGeom>
      </xdr:spPr>
    </xdr:pic>
    <xdr:clientData/>
  </xdr:twoCellAnchor>
  <xdr:twoCellAnchor>
    <xdr:from>
      <xdr:col>9</xdr:col>
      <xdr:colOff>6350</xdr:colOff>
      <xdr:row>5320</xdr:row>
      <xdr:rowOff>25400</xdr:rowOff>
    </xdr:from>
    <xdr:to>
      <xdr:col>9</xdr:col>
      <xdr:colOff>885190</xdr:colOff>
      <xdr:row>5320</xdr:row>
      <xdr:rowOff>1209040</xdr:rowOff>
    </xdr:to>
    <xdr:pic>
      <xdr:nvPicPr>
        <xdr:cNvPr id="9531" name="Изображение 9530" descr="resizeПП-00072909"/>
        <xdr:cNvPicPr>
          <a:picLocks noChangeAspect="1"/>
        </xdr:cNvPicPr>
      </xdr:nvPicPr>
      <xdr:blipFill>
        <a:blip xmlns:r="http://schemas.openxmlformats.org/officeDocument/2006/relationships" r:embed="rId4143"/>
        <a:stretch>
          <a:fillRect/>
        </a:stretch>
      </xdr:blipFill>
      <xdr:spPr>
        <a:xfrm>
          <a:off x="7235825" y="5442734225"/>
          <a:ext cx="878840" cy="1183640"/>
        </a:xfrm>
        <a:prstGeom prst="rect">
          <a:avLst/>
        </a:prstGeom>
      </xdr:spPr>
    </xdr:pic>
    <xdr:clientData/>
  </xdr:twoCellAnchor>
  <xdr:twoCellAnchor>
    <xdr:from>
      <xdr:col>9</xdr:col>
      <xdr:colOff>6350</xdr:colOff>
      <xdr:row>5323</xdr:row>
      <xdr:rowOff>25400</xdr:rowOff>
    </xdr:from>
    <xdr:to>
      <xdr:col>9</xdr:col>
      <xdr:colOff>885190</xdr:colOff>
      <xdr:row>5323</xdr:row>
      <xdr:rowOff>1209040</xdr:rowOff>
    </xdr:to>
    <xdr:pic>
      <xdr:nvPicPr>
        <xdr:cNvPr id="9532" name="Изображение 9531" descr="resizeПП-00230976"/>
        <xdr:cNvPicPr>
          <a:picLocks noChangeAspect="1"/>
        </xdr:cNvPicPr>
      </xdr:nvPicPr>
      <xdr:blipFill>
        <a:blip xmlns:r="http://schemas.openxmlformats.org/officeDocument/2006/relationships" r:embed="rId4144"/>
        <a:stretch>
          <a:fillRect/>
        </a:stretch>
      </xdr:blipFill>
      <xdr:spPr>
        <a:xfrm>
          <a:off x="7235825" y="5444261400"/>
          <a:ext cx="878840" cy="1183640"/>
        </a:xfrm>
        <a:prstGeom prst="rect">
          <a:avLst/>
        </a:prstGeom>
      </xdr:spPr>
    </xdr:pic>
    <xdr:clientData/>
  </xdr:twoCellAnchor>
  <xdr:twoCellAnchor>
    <xdr:from>
      <xdr:col>9</xdr:col>
      <xdr:colOff>6350</xdr:colOff>
      <xdr:row>5324</xdr:row>
      <xdr:rowOff>25400</xdr:rowOff>
    </xdr:from>
    <xdr:to>
      <xdr:col>9</xdr:col>
      <xdr:colOff>885190</xdr:colOff>
      <xdr:row>5324</xdr:row>
      <xdr:rowOff>1209040</xdr:rowOff>
    </xdr:to>
    <xdr:pic>
      <xdr:nvPicPr>
        <xdr:cNvPr id="9533" name="Изображение 9532" descr="resizeПП-00230975"/>
        <xdr:cNvPicPr>
          <a:picLocks noChangeAspect="1"/>
        </xdr:cNvPicPr>
      </xdr:nvPicPr>
      <xdr:blipFill>
        <a:blip xmlns:r="http://schemas.openxmlformats.org/officeDocument/2006/relationships" r:embed="rId4145"/>
        <a:stretch>
          <a:fillRect/>
        </a:stretch>
      </xdr:blipFill>
      <xdr:spPr>
        <a:xfrm>
          <a:off x="7235825" y="5445483775"/>
          <a:ext cx="878840" cy="1183640"/>
        </a:xfrm>
        <a:prstGeom prst="rect">
          <a:avLst/>
        </a:prstGeom>
      </xdr:spPr>
    </xdr:pic>
    <xdr:clientData/>
  </xdr:twoCellAnchor>
  <xdr:twoCellAnchor>
    <xdr:from>
      <xdr:col>9</xdr:col>
      <xdr:colOff>6350</xdr:colOff>
      <xdr:row>5325</xdr:row>
      <xdr:rowOff>25400</xdr:rowOff>
    </xdr:from>
    <xdr:to>
      <xdr:col>9</xdr:col>
      <xdr:colOff>885190</xdr:colOff>
      <xdr:row>5325</xdr:row>
      <xdr:rowOff>1209040</xdr:rowOff>
    </xdr:to>
    <xdr:pic>
      <xdr:nvPicPr>
        <xdr:cNvPr id="9534" name="Изображение 9533" descr="resizeПП-00226300"/>
        <xdr:cNvPicPr>
          <a:picLocks noChangeAspect="1"/>
        </xdr:cNvPicPr>
      </xdr:nvPicPr>
      <xdr:blipFill>
        <a:blip xmlns:r="http://schemas.openxmlformats.org/officeDocument/2006/relationships" r:embed="rId4146"/>
        <a:stretch>
          <a:fillRect/>
        </a:stretch>
      </xdr:blipFill>
      <xdr:spPr>
        <a:xfrm>
          <a:off x="7235825" y="5446706150"/>
          <a:ext cx="878840" cy="1183640"/>
        </a:xfrm>
        <a:prstGeom prst="rect">
          <a:avLst/>
        </a:prstGeom>
      </xdr:spPr>
    </xdr:pic>
    <xdr:clientData/>
  </xdr:twoCellAnchor>
  <xdr:twoCellAnchor>
    <xdr:from>
      <xdr:col>9</xdr:col>
      <xdr:colOff>6350</xdr:colOff>
      <xdr:row>5326</xdr:row>
      <xdr:rowOff>25400</xdr:rowOff>
    </xdr:from>
    <xdr:to>
      <xdr:col>9</xdr:col>
      <xdr:colOff>885190</xdr:colOff>
      <xdr:row>5326</xdr:row>
      <xdr:rowOff>1209040</xdr:rowOff>
    </xdr:to>
    <xdr:pic>
      <xdr:nvPicPr>
        <xdr:cNvPr id="9535" name="Изображение 9534" descr="resizeПП-00226296"/>
        <xdr:cNvPicPr>
          <a:picLocks noChangeAspect="1"/>
        </xdr:cNvPicPr>
      </xdr:nvPicPr>
      <xdr:blipFill>
        <a:blip xmlns:r="http://schemas.openxmlformats.org/officeDocument/2006/relationships" r:embed="rId4147"/>
        <a:stretch>
          <a:fillRect/>
        </a:stretch>
      </xdr:blipFill>
      <xdr:spPr>
        <a:xfrm>
          <a:off x="7235825" y="5447928525"/>
          <a:ext cx="878840" cy="1183640"/>
        </a:xfrm>
        <a:prstGeom prst="rect">
          <a:avLst/>
        </a:prstGeom>
      </xdr:spPr>
    </xdr:pic>
    <xdr:clientData/>
  </xdr:twoCellAnchor>
  <xdr:twoCellAnchor>
    <xdr:from>
      <xdr:col>9</xdr:col>
      <xdr:colOff>6350</xdr:colOff>
      <xdr:row>5327</xdr:row>
      <xdr:rowOff>25400</xdr:rowOff>
    </xdr:from>
    <xdr:to>
      <xdr:col>9</xdr:col>
      <xdr:colOff>885190</xdr:colOff>
      <xdr:row>5327</xdr:row>
      <xdr:rowOff>1209040</xdr:rowOff>
    </xdr:to>
    <xdr:pic>
      <xdr:nvPicPr>
        <xdr:cNvPr id="9536" name="Изображение 9535" descr="resizeПП-00206963"/>
        <xdr:cNvPicPr>
          <a:picLocks noChangeAspect="1"/>
        </xdr:cNvPicPr>
      </xdr:nvPicPr>
      <xdr:blipFill>
        <a:blip xmlns:r="http://schemas.openxmlformats.org/officeDocument/2006/relationships" r:embed="rId4148"/>
        <a:stretch>
          <a:fillRect/>
        </a:stretch>
      </xdr:blipFill>
      <xdr:spPr>
        <a:xfrm>
          <a:off x="7235825" y="5449150900"/>
          <a:ext cx="878840" cy="1183640"/>
        </a:xfrm>
        <a:prstGeom prst="rect">
          <a:avLst/>
        </a:prstGeom>
      </xdr:spPr>
    </xdr:pic>
    <xdr:clientData/>
  </xdr:twoCellAnchor>
  <xdr:twoCellAnchor>
    <xdr:from>
      <xdr:col>9</xdr:col>
      <xdr:colOff>6350</xdr:colOff>
      <xdr:row>5328</xdr:row>
      <xdr:rowOff>25400</xdr:rowOff>
    </xdr:from>
    <xdr:to>
      <xdr:col>9</xdr:col>
      <xdr:colOff>885190</xdr:colOff>
      <xdr:row>5328</xdr:row>
      <xdr:rowOff>1209040</xdr:rowOff>
    </xdr:to>
    <xdr:pic>
      <xdr:nvPicPr>
        <xdr:cNvPr id="9537" name="Изображение 9536" descr="resizeПП-00226841"/>
        <xdr:cNvPicPr>
          <a:picLocks noChangeAspect="1"/>
        </xdr:cNvPicPr>
      </xdr:nvPicPr>
      <xdr:blipFill>
        <a:blip xmlns:r="http://schemas.openxmlformats.org/officeDocument/2006/relationships" r:embed="rId4149"/>
        <a:stretch>
          <a:fillRect/>
        </a:stretch>
      </xdr:blipFill>
      <xdr:spPr>
        <a:xfrm>
          <a:off x="7235825" y="5450373275"/>
          <a:ext cx="878840" cy="1183640"/>
        </a:xfrm>
        <a:prstGeom prst="rect">
          <a:avLst/>
        </a:prstGeom>
      </xdr:spPr>
    </xdr:pic>
    <xdr:clientData/>
  </xdr:twoCellAnchor>
  <xdr:twoCellAnchor>
    <xdr:from>
      <xdr:col>9</xdr:col>
      <xdr:colOff>6350</xdr:colOff>
      <xdr:row>5331</xdr:row>
      <xdr:rowOff>25400</xdr:rowOff>
    </xdr:from>
    <xdr:to>
      <xdr:col>9</xdr:col>
      <xdr:colOff>885190</xdr:colOff>
      <xdr:row>5331</xdr:row>
      <xdr:rowOff>1209040</xdr:rowOff>
    </xdr:to>
    <xdr:pic>
      <xdr:nvPicPr>
        <xdr:cNvPr id="9538" name="Изображение 9537" descr="resizeПП-00214272"/>
        <xdr:cNvPicPr>
          <a:picLocks noChangeAspect="1"/>
        </xdr:cNvPicPr>
      </xdr:nvPicPr>
      <xdr:blipFill>
        <a:blip xmlns:r="http://schemas.openxmlformats.org/officeDocument/2006/relationships" r:embed="rId4150"/>
        <a:stretch>
          <a:fillRect/>
        </a:stretch>
      </xdr:blipFill>
      <xdr:spPr>
        <a:xfrm>
          <a:off x="7235825" y="5451900450"/>
          <a:ext cx="878840" cy="1183640"/>
        </a:xfrm>
        <a:prstGeom prst="rect">
          <a:avLst/>
        </a:prstGeom>
      </xdr:spPr>
    </xdr:pic>
    <xdr:clientData/>
  </xdr:twoCellAnchor>
  <xdr:twoCellAnchor>
    <xdr:from>
      <xdr:col>9</xdr:col>
      <xdr:colOff>6350</xdr:colOff>
      <xdr:row>5332</xdr:row>
      <xdr:rowOff>25400</xdr:rowOff>
    </xdr:from>
    <xdr:to>
      <xdr:col>9</xdr:col>
      <xdr:colOff>885190</xdr:colOff>
      <xdr:row>5332</xdr:row>
      <xdr:rowOff>1209040</xdr:rowOff>
    </xdr:to>
    <xdr:pic>
      <xdr:nvPicPr>
        <xdr:cNvPr id="9539" name="Изображение 9538" descr="resizeПП-00214270"/>
        <xdr:cNvPicPr>
          <a:picLocks noChangeAspect="1"/>
        </xdr:cNvPicPr>
      </xdr:nvPicPr>
      <xdr:blipFill>
        <a:blip xmlns:r="http://schemas.openxmlformats.org/officeDocument/2006/relationships" r:embed="rId4151"/>
        <a:stretch>
          <a:fillRect/>
        </a:stretch>
      </xdr:blipFill>
      <xdr:spPr>
        <a:xfrm>
          <a:off x="7235825" y="5453122825"/>
          <a:ext cx="878840" cy="1183640"/>
        </a:xfrm>
        <a:prstGeom prst="rect">
          <a:avLst/>
        </a:prstGeom>
      </xdr:spPr>
    </xdr:pic>
    <xdr:clientData/>
  </xdr:twoCellAnchor>
  <xdr:twoCellAnchor>
    <xdr:from>
      <xdr:col>9</xdr:col>
      <xdr:colOff>6350</xdr:colOff>
      <xdr:row>5333</xdr:row>
      <xdr:rowOff>25400</xdr:rowOff>
    </xdr:from>
    <xdr:to>
      <xdr:col>9</xdr:col>
      <xdr:colOff>885190</xdr:colOff>
      <xdr:row>5333</xdr:row>
      <xdr:rowOff>1209040</xdr:rowOff>
    </xdr:to>
    <xdr:pic>
      <xdr:nvPicPr>
        <xdr:cNvPr id="9540" name="Изображение 9539" descr="resizeПП-00214264"/>
        <xdr:cNvPicPr>
          <a:picLocks noChangeAspect="1"/>
        </xdr:cNvPicPr>
      </xdr:nvPicPr>
      <xdr:blipFill>
        <a:blip xmlns:r="http://schemas.openxmlformats.org/officeDocument/2006/relationships" r:embed="rId4152"/>
        <a:stretch>
          <a:fillRect/>
        </a:stretch>
      </xdr:blipFill>
      <xdr:spPr>
        <a:xfrm>
          <a:off x="7235825" y="5454345200"/>
          <a:ext cx="878840" cy="1183640"/>
        </a:xfrm>
        <a:prstGeom prst="rect">
          <a:avLst/>
        </a:prstGeom>
      </xdr:spPr>
    </xdr:pic>
    <xdr:clientData/>
  </xdr:twoCellAnchor>
  <xdr:twoCellAnchor>
    <xdr:from>
      <xdr:col>9</xdr:col>
      <xdr:colOff>6350</xdr:colOff>
      <xdr:row>5334</xdr:row>
      <xdr:rowOff>25400</xdr:rowOff>
    </xdr:from>
    <xdr:to>
      <xdr:col>9</xdr:col>
      <xdr:colOff>885190</xdr:colOff>
      <xdr:row>5334</xdr:row>
      <xdr:rowOff>1209040</xdr:rowOff>
    </xdr:to>
    <xdr:pic>
      <xdr:nvPicPr>
        <xdr:cNvPr id="9541" name="Изображение 9540" descr="resizeПП-00214268"/>
        <xdr:cNvPicPr>
          <a:picLocks noChangeAspect="1"/>
        </xdr:cNvPicPr>
      </xdr:nvPicPr>
      <xdr:blipFill>
        <a:blip xmlns:r="http://schemas.openxmlformats.org/officeDocument/2006/relationships" r:embed="rId4153"/>
        <a:stretch>
          <a:fillRect/>
        </a:stretch>
      </xdr:blipFill>
      <xdr:spPr>
        <a:xfrm>
          <a:off x="7235825" y="5455567575"/>
          <a:ext cx="878840" cy="1183640"/>
        </a:xfrm>
        <a:prstGeom prst="rect">
          <a:avLst/>
        </a:prstGeom>
      </xdr:spPr>
    </xdr:pic>
    <xdr:clientData/>
  </xdr:twoCellAnchor>
  <xdr:twoCellAnchor>
    <xdr:from>
      <xdr:col>9</xdr:col>
      <xdr:colOff>6350</xdr:colOff>
      <xdr:row>5335</xdr:row>
      <xdr:rowOff>25400</xdr:rowOff>
    </xdr:from>
    <xdr:to>
      <xdr:col>9</xdr:col>
      <xdr:colOff>885190</xdr:colOff>
      <xdr:row>5335</xdr:row>
      <xdr:rowOff>1209040</xdr:rowOff>
    </xdr:to>
    <xdr:pic>
      <xdr:nvPicPr>
        <xdr:cNvPr id="9542" name="Изображение 9541" descr="resizeПП-00214266"/>
        <xdr:cNvPicPr>
          <a:picLocks noChangeAspect="1"/>
        </xdr:cNvPicPr>
      </xdr:nvPicPr>
      <xdr:blipFill>
        <a:blip xmlns:r="http://schemas.openxmlformats.org/officeDocument/2006/relationships" r:embed="rId4154"/>
        <a:stretch>
          <a:fillRect/>
        </a:stretch>
      </xdr:blipFill>
      <xdr:spPr>
        <a:xfrm>
          <a:off x="7235825" y="5456789950"/>
          <a:ext cx="878840" cy="1183640"/>
        </a:xfrm>
        <a:prstGeom prst="rect">
          <a:avLst/>
        </a:prstGeom>
      </xdr:spPr>
    </xdr:pic>
    <xdr:clientData/>
  </xdr:twoCellAnchor>
  <xdr:twoCellAnchor>
    <xdr:from>
      <xdr:col>9</xdr:col>
      <xdr:colOff>6350</xdr:colOff>
      <xdr:row>5336</xdr:row>
      <xdr:rowOff>25400</xdr:rowOff>
    </xdr:from>
    <xdr:to>
      <xdr:col>9</xdr:col>
      <xdr:colOff>885190</xdr:colOff>
      <xdr:row>5336</xdr:row>
      <xdr:rowOff>1209040</xdr:rowOff>
    </xdr:to>
    <xdr:pic>
      <xdr:nvPicPr>
        <xdr:cNvPr id="9543" name="Изображение 9542" descr="resizeПП-00214258"/>
        <xdr:cNvPicPr>
          <a:picLocks noChangeAspect="1"/>
        </xdr:cNvPicPr>
      </xdr:nvPicPr>
      <xdr:blipFill>
        <a:blip xmlns:r="http://schemas.openxmlformats.org/officeDocument/2006/relationships" r:embed="rId4155"/>
        <a:stretch>
          <a:fillRect/>
        </a:stretch>
      </xdr:blipFill>
      <xdr:spPr>
        <a:xfrm>
          <a:off x="7235825" y="5458012325"/>
          <a:ext cx="878840" cy="1183640"/>
        </a:xfrm>
        <a:prstGeom prst="rect">
          <a:avLst/>
        </a:prstGeom>
      </xdr:spPr>
    </xdr:pic>
    <xdr:clientData/>
  </xdr:twoCellAnchor>
  <xdr:twoCellAnchor>
    <xdr:from>
      <xdr:col>9</xdr:col>
      <xdr:colOff>6350</xdr:colOff>
      <xdr:row>5337</xdr:row>
      <xdr:rowOff>25400</xdr:rowOff>
    </xdr:from>
    <xdr:to>
      <xdr:col>9</xdr:col>
      <xdr:colOff>885190</xdr:colOff>
      <xdr:row>5337</xdr:row>
      <xdr:rowOff>1209040</xdr:rowOff>
    </xdr:to>
    <xdr:pic>
      <xdr:nvPicPr>
        <xdr:cNvPr id="9544" name="Изображение 9543" descr="resizeПП-00214253"/>
        <xdr:cNvPicPr>
          <a:picLocks noChangeAspect="1"/>
        </xdr:cNvPicPr>
      </xdr:nvPicPr>
      <xdr:blipFill>
        <a:blip xmlns:r="http://schemas.openxmlformats.org/officeDocument/2006/relationships" r:embed="rId4156"/>
        <a:stretch>
          <a:fillRect/>
        </a:stretch>
      </xdr:blipFill>
      <xdr:spPr>
        <a:xfrm>
          <a:off x="7235825" y="5459234700"/>
          <a:ext cx="878840" cy="1183640"/>
        </a:xfrm>
        <a:prstGeom prst="rect">
          <a:avLst/>
        </a:prstGeom>
      </xdr:spPr>
    </xdr:pic>
    <xdr:clientData/>
  </xdr:twoCellAnchor>
  <xdr:twoCellAnchor>
    <xdr:from>
      <xdr:col>9</xdr:col>
      <xdr:colOff>6350</xdr:colOff>
      <xdr:row>5338</xdr:row>
      <xdr:rowOff>25400</xdr:rowOff>
    </xdr:from>
    <xdr:to>
      <xdr:col>9</xdr:col>
      <xdr:colOff>885190</xdr:colOff>
      <xdr:row>5338</xdr:row>
      <xdr:rowOff>1209040</xdr:rowOff>
    </xdr:to>
    <xdr:pic>
      <xdr:nvPicPr>
        <xdr:cNvPr id="9545" name="Изображение 9544" descr="resizeПП-00214262"/>
        <xdr:cNvPicPr>
          <a:picLocks noChangeAspect="1"/>
        </xdr:cNvPicPr>
      </xdr:nvPicPr>
      <xdr:blipFill>
        <a:blip xmlns:r="http://schemas.openxmlformats.org/officeDocument/2006/relationships" r:embed="rId4157"/>
        <a:stretch>
          <a:fillRect/>
        </a:stretch>
      </xdr:blipFill>
      <xdr:spPr>
        <a:xfrm>
          <a:off x="7235825" y="5460457075"/>
          <a:ext cx="878840" cy="1183640"/>
        </a:xfrm>
        <a:prstGeom prst="rect">
          <a:avLst/>
        </a:prstGeom>
      </xdr:spPr>
    </xdr:pic>
    <xdr:clientData/>
  </xdr:twoCellAnchor>
  <xdr:twoCellAnchor>
    <xdr:from>
      <xdr:col>9</xdr:col>
      <xdr:colOff>6350</xdr:colOff>
      <xdr:row>5340</xdr:row>
      <xdr:rowOff>25400</xdr:rowOff>
    </xdr:from>
    <xdr:to>
      <xdr:col>9</xdr:col>
      <xdr:colOff>885190</xdr:colOff>
      <xdr:row>5340</xdr:row>
      <xdr:rowOff>1209040</xdr:rowOff>
    </xdr:to>
    <xdr:pic>
      <xdr:nvPicPr>
        <xdr:cNvPr id="9546" name="Изображение 9545" descr="resizeПП-00214261"/>
        <xdr:cNvPicPr>
          <a:picLocks noChangeAspect="1"/>
        </xdr:cNvPicPr>
      </xdr:nvPicPr>
      <xdr:blipFill>
        <a:blip xmlns:r="http://schemas.openxmlformats.org/officeDocument/2006/relationships" r:embed="rId4158"/>
        <a:stretch>
          <a:fillRect/>
        </a:stretch>
      </xdr:blipFill>
      <xdr:spPr>
        <a:xfrm>
          <a:off x="7235825" y="5461831850"/>
          <a:ext cx="878840" cy="1183640"/>
        </a:xfrm>
        <a:prstGeom prst="rect">
          <a:avLst/>
        </a:prstGeom>
      </xdr:spPr>
    </xdr:pic>
    <xdr:clientData/>
  </xdr:twoCellAnchor>
  <xdr:twoCellAnchor>
    <xdr:from>
      <xdr:col>9</xdr:col>
      <xdr:colOff>6350</xdr:colOff>
      <xdr:row>5341</xdr:row>
      <xdr:rowOff>25400</xdr:rowOff>
    </xdr:from>
    <xdr:to>
      <xdr:col>9</xdr:col>
      <xdr:colOff>885190</xdr:colOff>
      <xdr:row>5341</xdr:row>
      <xdr:rowOff>1209040</xdr:rowOff>
    </xdr:to>
    <xdr:pic>
      <xdr:nvPicPr>
        <xdr:cNvPr id="9547" name="Изображение 9546" descr="resizeПП-00214273"/>
        <xdr:cNvPicPr>
          <a:picLocks noChangeAspect="1"/>
        </xdr:cNvPicPr>
      </xdr:nvPicPr>
      <xdr:blipFill>
        <a:blip xmlns:r="http://schemas.openxmlformats.org/officeDocument/2006/relationships" r:embed="rId4159"/>
        <a:stretch>
          <a:fillRect/>
        </a:stretch>
      </xdr:blipFill>
      <xdr:spPr>
        <a:xfrm>
          <a:off x="7235825" y="5463054225"/>
          <a:ext cx="878840" cy="1183640"/>
        </a:xfrm>
        <a:prstGeom prst="rect">
          <a:avLst/>
        </a:prstGeom>
      </xdr:spPr>
    </xdr:pic>
    <xdr:clientData/>
  </xdr:twoCellAnchor>
  <xdr:twoCellAnchor>
    <xdr:from>
      <xdr:col>9</xdr:col>
      <xdr:colOff>6350</xdr:colOff>
      <xdr:row>5342</xdr:row>
      <xdr:rowOff>25400</xdr:rowOff>
    </xdr:from>
    <xdr:to>
      <xdr:col>9</xdr:col>
      <xdr:colOff>885190</xdr:colOff>
      <xdr:row>5342</xdr:row>
      <xdr:rowOff>1209040</xdr:rowOff>
    </xdr:to>
    <xdr:pic>
      <xdr:nvPicPr>
        <xdr:cNvPr id="9548" name="Изображение 9547" descr="resizeПП-00214271"/>
        <xdr:cNvPicPr>
          <a:picLocks noChangeAspect="1"/>
        </xdr:cNvPicPr>
      </xdr:nvPicPr>
      <xdr:blipFill>
        <a:blip xmlns:r="http://schemas.openxmlformats.org/officeDocument/2006/relationships" r:embed="rId4160"/>
        <a:stretch>
          <a:fillRect/>
        </a:stretch>
      </xdr:blipFill>
      <xdr:spPr>
        <a:xfrm>
          <a:off x="7235825" y="5464276600"/>
          <a:ext cx="878840" cy="1183640"/>
        </a:xfrm>
        <a:prstGeom prst="rect">
          <a:avLst/>
        </a:prstGeom>
      </xdr:spPr>
    </xdr:pic>
    <xdr:clientData/>
  </xdr:twoCellAnchor>
  <xdr:twoCellAnchor>
    <xdr:from>
      <xdr:col>9</xdr:col>
      <xdr:colOff>6350</xdr:colOff>
      <xdr:row>5343</xdr:row>
      <xdr:rowOff>25400</xdr:rowOff>
    </xdr:from>
    <xdr:to>
      <xdr:col>9</xdr:col>
      <xdr:colOff>885190</xdr:colOff>
      <xdr:row>5343</xdr:row>
      <xdr:rowOff>1209040</xdr:rowOff>
    </xdr:to>
    <xdr:pic>
      <xdr:nvPicPr>
        <xdr:cNvPr id="9549" name="Изображение 9548" descr="resizeПП-00214265"/>
        <xdr:cNvPicPr>
          <a:picLocks noChangeAspect="1"/>
        </xdr:cNvPicPr>
      </xdr:nvPicPr>
      <xdr:blipFill>
        <a:blip xmlns:r="http://schemas.openxmlformats.org/officeDocument/2006/relationships" r:embed="rId4161"/>
        <a:stretch>
          <a:fillRect/>
        </a:stretch>
      </xdr:blipFill>
      <xdr:spPr>
        <a:xfrm>
          <a:off x="7235825" y="5465498975"/>
          <a:ext cx="878840" cy="1183640"/>
        </a:xfrm>
        <a:prstGeom prst="rect">
          <a:avLst/>
        </a:prstGeom>
      </xdr:spPr>
    </xdr:pic>
    <xdr:clientData/>
  </xdr:twoCellAnchor>
  <xdr:twoCellAnchor>
    <xdr:from>
      <xdr:col>9</xdr:col>
      <xdr:colOff>6350</xdr:colOff>
      <xdr:row>5344</xdr:row>
      <xdr:rowOff>25400</xdr:rowOff>
    </xdr:from>
    <xdr:to>
      <xdr:col>9</xdr:col>
      <xdr:colOff>885190</xdr:colOff>
      <xdr:row>5344</xdr:row>
      <xdr:rowOff>1209040</xdr:rowOff>
    </xdr:to>
    <xdr:pic>
      <xdr:nvPicPr>
        <xdr:cNvPr id="9550" name="Изображение 9549" descr="resizeПП-00214275"/>
        <xdr:cNvPicPr>
          <a:picLocks noChangeAspect="1"/>
        </xdr:cNvPicPr>
      </xdr:nvPicPr>
      <xdr:blipFill>
        <a:blip xmlns:r="http://schemas.openxmlformats.org/officeDocument/2006/relationships" r:embed="rId4162"/>
        <a:stretch>
          <a:fillRect/>
        </a:stretch>
      </xdr:blipFill>
      <xdr:spPr>
        <a:xfrm>
          <a:off x="7235825" y="5466721350"/>
          <a:ext cx="878840" cy="1183640"/>
        </a:xfrm>
        <a:prstGeom prst="rect">
          <a:avLst/>
        </a:prstGeom>
      </xdr:spPr>
    </xdr:pic>
    <xdr:clientData/>
  </xdr:twoCellAnchor>
  <xdr:twoCellAnchor>
    <xdr:from>
      <xdr:col>9</xdr:col>
      <xdr:colOff>6350</xdr:colOff>
      <xdr:row>5345</xdr:row>
      <xdr:rowOff>25400</xdr:rowOff>
    </xdr:from>
    <xdr:to>
      <xdr:col>9</xdr:col>
      <xdr:colOff>885190</xdr:colOff>
      <xdr:row>5345</xdr:row>
      <xdr:rowOff>1209040</xdr:rowOff>
    </xdr:to>
    <xdr:pic>
      <xdr:nvPicPr>
        <xdr:cNvPr id="9551" name="Изображение 9550" descr="resizeПП-00214269"/>
        <xdr:cNvPicPr>
          <a:picLocks noChangeAspect="1"/>
        </xdr:cNvPicPr>
      </xdr:nvPicPr>
      <xdr:blipFill>
        <a:blip xmlns:r="http://schemas.openxmlformats.org/officeDocument/2006/relationships" r:embed="rId4163"/>
        <a:stretch>
          <a:fillRect/>
        </a:stretch>
      </xdr:blipFill>
      <xdr:spPr>
        <a:xfrm>
          <a:off x="7235825" y="5467943725"/>
          <a:ext cx="878840" cy="1183640"/>
        </a:xfrm>
        <a:prstGeom prst="rect">
          <a:avLst/>
        </a:prstGeom>
      </xdr:spPr>
    </xdr:pic>
    <xdr:clientData/>
  </xdr:twoCellAnchor>
  <xdr:twoCellAnchor>
    <xdr:from>
      <xdr:col>9</xdr:col>
      <xdr:colOff>6350</xdr:colOff>
      <xdr:row>5346</xdr:row>
      <xdr:rowOff>25400</xdr:rowOff>
    </xdr:from>
    <xdr:to>
      <xdr:col>9</xdr:col>
      <xdr:colOff>885190</xdr:colOff>
      <xdr:row>5346</xdr:row>
      <xdr:rowOff>1209040</xdr:rowOff>
    </xdr:to>
    <xdr:pic>
      <xdr:nvPicPr>
        <xdr:cNvPr id="9552" name="Изображение 9551" descr="resizeПП-00214267"/>
        <xdr:cNvPicPr>
          <a:picLocks noChangeAspect="1"/>
        </xdr:cNvPicPr>
      </xdr:nvPicPr>
      <xdr:blipFill>
        <a:blip xmlns:r="http://schemas.openxmlformats.org/officeDocument/2006/relationships" r:embed="rId4164"/>
        <a:stretch>
          <a:fillRect/>
        </a:stretch>
      </xdr:blipFill>
      <xdr:spPr>
        <a:xfrm>
          <a:off x="7235825" y="5469166100"/>
          <a:ext cx="878840" cy="1183640"/>
        </a:xfrm>
        <a:prstGeom prst="rect">
          <a:avLst/>
        </a:prstGeom>
      </xdr:spPr>
    </xdr:pic>
    <xdr:clientData/>
  </xdr:twoCellAnchor>
  <xdr:twoCellAnchor>
    <xdr:from>
      <xdr:col>9</xdr:col>
      <xdr:colOff>6350</xdr:colOff>
      <xdr:row>5347</xdr:row>
      <xdr:rowOff>25400</xdr:rowOff>
    </xdr:from>
    <xdr:to>
      <xdr:col>9</xdr:col>
      <xdr:colOff>885190</xdr:colOff>
      <xdr:row>5347</xdr:row>
      <xdr:rowOff>1209040</xdr:rowOff>
    </xdr:to>
    <xdr:pic>
      <xdr:nvPicPr>
        <xdr:cNvPr id="9553" name="Изображение 9552" descr="resizeПП-00214259"/>
        <xdr:cNvPicPr>
          <a:picLocks noChangeAspect="1"/>
        </xdr:cNvPicPr>
      </xdr:nvPicPr>
      <xdr:blipFill>
        <a:blip xmlns:r="http://schemas.openxmlformats.org/officeDocument/2006/relationships" r:embed="rId4165"/>
        <a:stretch>
          <a:fillRect/>
        </a:stretch>
      </xdr:blipFill>
      <xdr:spPr>
        <a:xfrm>
          <a:off x="7235825" y="5470388475"/>
          <a:ext cx="878840" cy="1183640"/>
        </a:xfrm>
        <a:prstGeom prst="rect">
          <a:avLst/>
        </a:prstGeom>
      </xdr:spPr>
    </xdr:pic>
    <xdr:clientData/>
  </xdr:twoCellAnchor>
  <xdr:twoCellAnchor>
    <xdr:from>
      <xdr:col>9</xdr:col>
      <xdr:colOff>6350</xdr:colOff>
      <xdr:row>5348</xdr:row>
      <xdr:rowOff>25400</xdr:rowOff>
    </xdr:from>
    <xdr:to>
      <xdr:col>9</xdr:col>
      <xdr:colOff>885190</xdr:colOff>
      <xdr:row>5348</xdr:row>
      <xdr:rowOff>1209040</xdr:rowOff>
    </xdr:to>
    <xdr:pic>
      <xdr:nvPicPr>
        <xdr:cNvPr id="9554" name="Изображение 9553" descr="resizeПП-00214256"/>
        <xdr:cNvPicPr>
          <a:picLocks noChangeAspect="1"/>
        </xdr:cNvPicPr>
      </xdr:nvPicPr>
      <xdr:blipFill>
        <a:blip xmlns:r="http://schemas.openxmlformats.org/officeDocument/2006/relationships" r:embed="rId4166"/>
        <a:stretch>
          <a:fillRect/>
        </a:stretch>
      </xdr:blipFill>
      <xdr:spPr>
        <a:xfrm>
          <a:off x="7235825" y="5471610850"/>
          <a:ext cx="878840" cy="1183640"/>
        </a:xfrm>
        <a:prstGeom prst="rect">
          <a:avLst/>
        </a:prstGeom>
      </xdr:spPr>
    </xdr:pic>
    <xdr:clientData/>
  </xdr:twoCellAnchor>
  <xdr:twoCellAnchor>
    <xdr:from>
      <xdr:col>9</xdr:col>
      <xdr:colOff>6350</xdr:colOff>
      <xdr:row>5349</xdr:row>
      <xdr:rowOff>25400</xdr:rowOff>
    </xdr:from>
    <xdr:to>
      <xdr:col>9</xdr:col>
      <xdr:colOff>885190</xdr:colOff>
      <xdr:row>5349</xdr:row>
      <xdr:rowOff>1209040</xdr:rowOff>
    </xdr:to>
    <xdr:pic>
      <xdr:nvPicPr>
        <xdr:cNvPr id="9555" name="Изображение 9554" descr="resizeПП-00214263"/>
        <xdr:cNvPicPr>
          <a:picLocks noChangeAspect="1"/>
        </xdr:cNvPicPr>
      </xdr:nvPicPr>
      <xdr:blipFill>
        <a:blip xmlns:r="http://schemas.openxmlformats.org/officeDocument/2006/relationships" r:embed="rId4167"/>
        <a:stretch>
          <a:fillRect/>
        </a:stretch>
      </xdr:blipFill>
      <xdr:spPr>
        <a:xfrm>
          <a:off x="7235825" y="5472833225"/>
          <a:ext cx="878840" cy="1183640"/>
        </a:xfrm>
        <a:prstGeom prst="rect">
          <a:avLst/>
        </a:prstGeom>
      </xdr:spPr>
    </xdr:pic>
    <xdr:clientData/>
  </xdr:twoCellAnchor>
  <xdr:twoCellAnchor>
    <xdr:from>
      <xdr:col>9</xdr:col>
      <xdr:colOff>6350</xdr:colOff>
      <xdr:row>5351</xdr:row>
      <xdr:rowOff>25400</xdr:rowOff>
    </xdr:from>
    <xdr:to>
      <xdr:col>9</xdr:col>
      <xdr:colOff>885190</xdr:colOff>
      <xdr:row>5351</xdr:row>
      <xdr:rowOff>1209040</xdr:rowOff>
    </xdr:to>
    <xdr:pic>
      <xdr:nvPicPr>
        <xdr:cNvPr id="9556" name="Изображение 9555" descr="resizeПП-00243463"/>
        <xdr:cNvPicPr>
          <a:picLocks noChangeAspect="1"/>
        </xdr:cNvPicPr>
      </xdr:nvPicPr>
      <xdr:blipFill>
        <a:blip xmlns:r="http://schemas.openxmlformats.org/officeDocument/2006/relationships" r:embed="rId4168"/>
        <a:stretch>
          <a:fillRect/>
        </a:stretch>
      </xdr:blipFill>
      <xdr:spPr>
        <a:xfrm>
          <a:off x="7235825" y="5474208000"/>
          <a:ext cx="878840" cy="1183640"/>
        </a:xfrm>
        <a:prstGeom prst="rect">
          <a:avLst/>
        </a:prstGeom>
      </xdr:spPr>
    </xdr:pic>
    <xdr:clientData/>
  </xdr:twoCellAnchor>
  <xdr:twoCellAnchor>
    <xdr:from>
      <xdr:col>9</xdr:col>
      <xdr:colOff>6350</xdr:colOff>
      <xdr:row>5354</xdr:row>
      <xdr:rowOff>25400</xdr:rowOff>
    </xdr:from>
    <xdr:to>
      <xdr:col>9</xdr:col>
      <xdr:colOff>885190</xdr:colOff>
      <xdr:row>5354</xdr:row>
      <xdr:rowOff>1209040</xdr:rowOff>
    </xdr:to>
    <xdr:pic>
      <xdr:nvPicPr>
        <xdr:cNvPr id="9557" name="Изображение 9556" descr="resizeПП-00236649"/>
        <xdr:cNvPicPr>
          <a:picLocks noChangeAspect="1"/>
        </xdr:cNvPicPr>
      </xdr:nvPicPr>
      <xdr:blipFill>
        <a:blip xmlns:r="http://schemas.openxmlformats.org/officeDocument/2006/relationships" r:embed="rId4169"/>
        <a:stretch>
          <a:fillRect/>
        </a:stretch>
      </xdr:blipFill>
      <xdr:spPr>
        <a:xfrm>
          <a:off x="7235825" y="5475735175"/>
          <a:ext cx="878840" cy="1183640"/>
        </a:xfrm>
        <a:prstGeom prst="rect">
          <a:avLst/>
        </a:prstGeom>
      </xdr:spPr>
    </xdr:pic>
    <xdr:clientData/>
  </xdr:twoCellAnchor>
  <xdr:twoCellAnchor>
    <xdr:from>
      <xdr:col>9</xdr:col>
      <xdr:colOff>6350</xdr:colOff>
      <xdr:row>5355</xdr:row>
      <xdr:rowOff>25400</xdr:rowOff>
    </xdr:from>
    <xdr:to>
      <xdr:col>9</xdr:col>
      <xdr:colOff>885190</xdr:colOff>
      <xdr:row>5355</xdr:row>
      <xdr:rowOff>1209040</xdr:rowOff>
    </xdr:to>
    <xdr:pic>
      <xdr:nvPicPr>
        <xdr:cNvPr id="9558" name="Изображение 9557" descr="resizeПП-00236651"/>
        <xdr:cNvPicPr>
          <a:picLocks noChangeAspect="1"/>
        </xdr:cNvPicPr>
      </xdr:nvPicPr>
      <xdr:blipFill>
        <a:blip xmlns:r="http://schemas.openxmlformats.org/officeDocument/2006/relationships" r:embed="rId4170"/>
        <a:stretch>
          <a:fillRect/>
        </a:stretch>
      </xdr:blipFill>
      <xdr:spPr>
        <a:xfrm>
          <a:off x="7235825" y="5476957550"/>
          <a:ext cx="878840" cy="1183640"/>
        </a:xfrm>
        <a:prstGeom prst="rect">
          <a:avLst/>
        </a:prstGeom>
      </xdr:spPr>
    </xdr:pic>
    <xdr:clientData/>
  </xdr:twoCellAnchor>
  <xdr:twoCellAnchor>
    <xdr:from>
      <xdr:col>9</xdr:col>
      <xdr:colOff>6350</xdr:colOff>
      <xdr:row>5356</xdr:row>
      <xdr:rowOff>25400</xdr:rowOff>
    </xdr:from>
    <xdr:to>
      <xdr:col>9</xdr:col>
      <xdr:colOff>885190</xdr:colOff>
      <xdr:row>5356</xdr:row>
      <xdr:rowOff>1209040</xdr:rowOff>
    </xdr:to>
    <xdr:pic>
      <xdr:nvPicPr>
        <xdr:cNvPr id="9559" name="Изображение 9558" descr="resizeПП-00236653"/>
        <xdr:cNvPicPr>
          <a:picLocks noChangeAspect="1"/>
        </xdr:cNvPicPr>
      </xdr:nvPicPr>
      <xdr:blipFill>
        <a:blip xmlns:r="http://schemas.openxmlformats.org/officeDocument/2006/relationships" r:embed="rId4171"/>
        <a:stretch>
          <a:fillRect/>
        </a:stretch>
      </xdr:blipFill>
      <xdr:spPr>
        <a:xfrm>
          <a:off x="7235825" y="5478179925"/>
          <a:ext cx="878840" cy="1183640"/>
        </a:xfrm>
        <a:prstGeom prst="rect">
          <a:avLst/>
        </a:prstGeom>
      </xdr:spPr>
    </xdr:pic>
    <xdr:clientData/>
  </xdr:twoCellAnchor>
  <xdr:twoCellAnchor>
    <xdr:from>
      <xdr:col>9</xdr:col>
      <xdr:colOff>6350</xdr:colOff>
      <xdr:row>5357</xdr:row>
      <xdr:rowOff>25400</xdr:rowOff>
    </xdr:from>
    <xdr:to>
      <xdr:col>9</xdr:col>
      <xdr:colOff>885190</xdr:colOff>
      <xdr:row>5357</xdr:row>
      <xdr:rowOff>1209040</xdr:rowOff>
    </xdr:to>
    <xdr:pic>
      <xdr:nvPicPr>
        <xdr:cNvPr id="9560" name="Изображение 9559" descr="resizeПП-00236655"/>
        <xdr:cNvPicPr>
          <a:picLocks noChangeAspect="1"/>
        </xdr:cNvPicPr>
      </xdr:nvPicPr>
      <xdr:blipFill>
        <a:blip xmlns:r="http://schemas.openxmlformats.org/officeDocument/2006/relationships" r:embed="rId4172"/>
        <a:stretch>
          <a:fillRect/>
        </a:stretch>
      </xdr:blipFill>
      <xdr:spPr>
        <a:xfrm>
          <a:off x="7235825" y="5479402300"/>
          <a:ext cx="878840" cy="1183640"/>
        </a:xfrm>
        <a:prstGeom prst="rect">
          <a:avLst/>
        </a:prstGeom>
      </xdr:spPr>
    </xdr:pic>
    <xdr:clientData/>
  </xdr:twoCellAnchor>
  <xdr:twoCellAnchor>
    <xdr:from>
      <xdr:col>9</xdr:col>
      <xdr:colOff>6350</xdr:colOff>
      <xdr:row>5358</xdr:row>
      <xdr:rowOff>25400</xdr:rowOff>
    </xdr:from>
    <xdr:to>
      <xdr:col>9</xdr:col>
      <xdr:colOff>885190</xdr:colOff>
      <xdr:row>5358</xdr:row>
      <xdr:rowOff>1209040</xdr:rowOff>
    </xdr:to>
    <xdr:pic>
      <xdr:nvPicPr>
        <xdr:cNvPr id="9561" name="Изображение 9560" descr="resizeПП-00236656"/>
        <xdr:cNvPicPr>
          <a:picLocks noChangeAspect="1"/>
        </xdr:cNvPicPr>
      </xdr:nvPicPr>
      <xdr:blipFill>
        <a:blip xmlns:r="http://schemas.openxmlformats.org/officeDocument/2006/relationships" r:embed="rId4173"/>
        <a:stretch>
          <a:fillRect/>
        </a:stretch>
      </xdr:blipFill>
      <xdr:spPr>
        <a:xfrm>
          <a:off x="7235825" y="5480624675"/>
          <a:ext cx="878840" cy="1183640"/>
        </a:xfrm>
        <a:prstGeom prst="rect">
          <a:avLst/>
        </a:prstGeom>
      </xdr:spPr>
    </xdr:pic>
    <xdr:clientData/>
  </xdr:twoCellAnchor>
  <xdr:twoCellAnchor>
    <xdr:from>
      <xdr:col>9</xdr:col>
      <xdr:colOff>6350</xdr:colOff>
      <xdr:row>5359</xdr:row>
      <xdr:rowOff>25400</xdr:rowOff>
    </xdr:from>
    <xdr:to>
      <xdr:col>9</xdr:col>
      <xdr:colOff>885190</xdr:colOff>
      <xdr:row>5359</xdr:row>
      <xdr:rowOff>1209040</xdr:rowOff>
    </xdr:to>
    <xdr:pic>
      <xdr:nvPicPr>
        <xdr:cNvPr id="9562" name="Изображение 9561" descr="resizeПП-00236657"/>
        <xdr:cNvPicPr>
          <a:picLocks noChangeAspect="1"/>
        </xdr:cNvPicPr>
      </xdr:nvPicPr>
      <xdr:blipFill>
        <a:blip xmlns:r="http://schemas.openxmlformats.org/officeDocument/2006/relationships" r:embed="rId4174"/>
        <a:stretch>
          <a:fillRect/>
        </a:stretch>
      </xdr:blipFill>
      <xdr:spPr>
        <a:xfrm>
          <a:off x="7235825" y="5481847050"/>
          <a:ext cx="878840" cy="1183640"/>
        </a:xfrm>
        <a:prstGeom prst="rect">
          <a:avLst/>
        </a:prstGeom>
      </xdr:spPr>
    </xdr:pic>
    <xdr:clientData/>
  </xdr:twoCellAnchor>
  <xdr:twoCellAnchor>
    <xdr:from>
      <xdr:col>9</xdr:col>
      <xdr:colOff>6350</xdr:colOff>
      <xdr:row>5360</xdr:row>
      <xdr:rowOff>25400</xdr:rowOff>
    </xdr:from>
    <xdr:to>
      <xdr:col>9</xdr:col>
      <xdr:colOff>885190</xdr:colOff>
      <xdr:row>5360</xdr:row>
      <xdr:rowOff>1209040</xdr:rowOff>
    </xdr:to>
    <xdr:pic>
      <xdr:nvPicPr>
        <xdr:cNvPr id="9563" name="Изображение 9562" descr="resizeПП-00236658"/>
        <xdr:cNvPicPr>
          <a:picLocks noChangeAspect="1"/>
        </xdr:cNvPicPr>
      </xdr:nvPicPr>
      <xdr:blipFill>
        <a:blip xmlns:r="http://schemas.openxmlformats.org/officeDocument/2006/relationships" r:embed="rId4175"/>
        <a:stretch>
          <a:fillRect/>
        </a:stretch>
      </xdr:blipFill>
      <xdr:spPr>
        <a:xfrm>
          <a:off x="7235825" y="5483069425"/>
          <a:ext cx="878840" cy="1183640"/>
        </a:xfrm>
        <a:prstGeom prst="rect">
          <a:avLst/>
        </a:prstGeom>
      </xdr:spPr>
    </xdr:pic>
    <xdr:clientData/>
  </xdr:twoCellAnchor>
  <xdr:twoCellAnchor>
    <xdr:from>
      <xdr:col>9</xdr:col>
      <xdr:colOff>6350</xdr:colOff>
      <xdr:row>5362</xdr:row>
      <xdr:rowOff>25400</xdr:rowOff>
    </xdr:from>
    <xdr:to>
      <xdr:col>9</xdr:col>
      <xdr:colOff>885190</xdr:colOff>
      <xdr:row>5362</xdr:row>
      <xdr:rowOff>1209040</xdr:rowOff>
    </xdr:to>
    <xdr:pic>
      <xdr:nvPicPr>
        <xdr:cNvPr id="9564" name="Изображение 9563" descr="resizeПП-00236659"/>
        <xdr:cNvPicPr>
          <a:picLocks noChangeAspect="1"/>
        </xdr:cNvPicPr>
      </xdr:nvPicPr>
      <xdr:blipFill>
        <a:blip xmlns:r="http://schemas.openxmlformats.org/officeDocument/2006/relationships" r:embed="rId4176"/>
        <a:stretch>
          <a:fillRect/>
        </a:stretch>
      </xdr:blipFill>
      <xdr:spPr>
        <a:xfrm>
          <a:off x="7235825" y="5484444200"/>
          <a:ext cx="878840" cy="1183640"/>
        </a:xfrm>
        <a:prstGeom prst="rect">
          <a:avLst/>
        </a:prstGeom>
      </xdr:spPr>
    </xdr:pic>
    <xdr:clientData/>
  </xdr:twoCellAnchor>
  <xdr:twoCellAnchor>
    <xdr:from>
      <xdr:col>9</xdr:col>
      <xdr:colOff>6350</xdr:colOff>
      <xdr:row>5363</xdr:row>
      <xdr:rowOff>25400</xdr:rowOff>
    </xdr:from>
    <xdr:to>
      <xdr:col>9</xdr:col>
      <xdr:colOff>885190</xdr:colOff>
      <xdr:row>5363</xdr:row>
      <xdr:rowOff>1209040</xdr:rowOff>
    </xdr:to>
    <xdr:pic>
      <xdr:nvPicPr>
        <xdr:cNvPr id="9565" name="Изображение 9564" descr="resizeПП-00236661"/>
        <xdr:cNvPicPr>
          <a:picLocks noChangeAspect="1"/>
        </xdr:cNvPicPr>
      </xdr:nvPicPr>
      <xdr:blipFill>
        <a:blip xmlns:r="http://schemas.openxmlformats.org/officeDocument/2006/relationships" r:embed="rId4177"/>
        <a:stretch>
          <a:fillRect/>
        </a:stretch>
      </xdr:blipFill>
      <xdr:spPr>
        <a:xfrm>
          <a:off x="7235825" y="5485666575"/>
          <a:ext cx="878840" cy="1183640"/>
        </a:xfrm>
        <a:prstGeom prst="rect">
          <a:avLst/>
        </a:prstGeom>
      </xdr:spPr>
    </xdr:pic>
    <xdr:clientData/>
  </xdr:twoCellAnchor>
  <xdr:twoCellAnchor>
    <xdr:from>
      <xdr:col>9</xdr:col>
      <xdr:colOff>6350</xdr:colOff>
      <xdr:row>5364</xdr:row>
      <xdr:rowOff>25400</xdr:rowOff>
    </xdr:from>
    <xdr:to>
      <xdr:col>9</xdr:col>
      <xdr:colOff>885190</xdr:colOff>
      <xdr:row>5364</xdr:row>
      <xdr:rowOff>1209040</xdr:rowOff>
    </xdr:to>
    <xdr:pic>
      <xdr:nvPicPr>
        <xdr:cNvPr id="9566" name="Изображение 9565" descr="resizeПП-00236662"/>
        <xdr:cNvPicPr>
          <a:picLocks noChangeAspect="1"/>
        </xdr:cNvPicPr>
      </xdr:nvPicPr>
      <xdr:blipFill>
        <a:blip xmlns:r="http://schemas.openxmlformats.org/officeDocument/2006/relationships" r:embed="rId4178"/>
        <a:stretch>
          <a:fillRect/>
        </a:stretch>
      </xdr:blipFill>
      <xdr:spPr>
        <a:xfrm>
          <a:off x="7235825" y="5486888950"/>
          <a:ext cx="878840" cy="1183640"/>
        </a:xfrm>
        <a:prstGeom prst="rect">
          <a:avLst/>
        </a:prstGeom>
      </xdr:spPr>
    </xdr:pic>
    <xdr:clientData/>
  </xdr:twoCellAnchor>
  <xdr:twoCellAnchor>
    <xdr:from>
      <xdr:col>9</xdr:col>
      <xdr:colOff>6350</xdr:colOff>
      <xdr:row>5365</xdr:row>
      <xdr:rowOff>25400</xdr:rowOff>
    </xdr:from>
    <xdr:to>
      <xdr:col>9</xdr:col>
      <xdr:colOff>885190</xdr:colOff>
      <xdr:row>5365</xdr:row>
      <xdr:rowOff>1209040</xdr:rowOff>
    </xdr:to>
    <xdr:pic>
      <xdr:nvPicPr>
        <xdr:cNvPr id="9567" name="Изображение 9566" descr="resizeПП-00236663"/>
        <xdr:cNvPicPr>
          <a:picLocks noChangeAspect="1"/>
        </xdr:cNvPicPr>
      </xdr:nvPicPr>
      <xdr:blipFill>
        <a:blip xmlns:r="http://schemas.openxmlformats.org/officeDocument/2006/relationships" r:embed="rId4179"/>
        <a:stretch>
          <a:fillRect/>
        </a:stretch>
      </xdr:blipFill>
      <xdr:spPr>
        <a:xfrm>
          <a:off x="7235825" y="5488111325"/>
          <a:ext cx="878840" cy="1183640"/>
        </a:xfrm>
        <a:prstGeom prst="rect">
          <a:avLst/>
        </a:prstGeom>
      </xdr:spPr>
    </xdr:pic>
    <xdr:clientData/>
  </xdr:twoCellAnchor>
  <xdr:twoCellAnchor>
    <xdr:from>
      <xdr:col>9</xdr:col>
      <xdr:colOff>6350</xdr:colOff>
      <xdr:row>5366</xdr:row>
      <xdr:rowOff>25400</xdr:rowOff>
    </xdr:from>
    <xdr:to>
      <xdr:col>9</xdr:col>
      <xdr:colOff>885190</xdr:colOff>
      <xdr:row>5366</xdr:row>
      <xdr:rowOff>1209040</xdr:rowOff>
    </xdr:to>
    <xdr:pic>
      <xdr:nvPicPr>
        <xdr:cNvPr id="9568" name="Изображение 9567" descr="resizeПП-00236665"/>
        <xdr:cNvPicPr>
          <a:picLocks noChangeAspect="1"/>
        </xdr:cNvPicPr>
      </xdr:nvPicPr>
      <xdr:blipFill>
        <a:blip xmlns:r="http://schemas.openxmlformats.org/officeDocument/2006/relationships" r:embed="rId4180"/>
        <a:stretch>
          <a:fillRect/>
        </a:stretch>
      </xdr:blipFill>
      <xdr:spPr>
        <a:xfrm>
          <a:off x="7235825" y="5489333700"/>
          <a:ext cx="878840" cy="1183640"/>
        </a:xfrm>
        <a:prstGeom prst="rect">
          <a:avLst/>
        </a:prstGeom>
      </xdr:spPr>
    </xdr:pic>
    <xdr:clientData/>
  </xdr:twoCellAnchor>
  <xdr:twoCellAnchor>
    <xdr:from>
      <xdr:col>9</xdr:col>
      <xdr:colOff>6350</xdr:colOff>
      <xdr:row>5367</xdr:row>
      <xdr:rowOff>25400</xdr:rowOff>
    </xdr:from>
    <xdr:to>
      <xdr:col>9</xdr:col>
      <xdr:colOff>885190</xdr:colOff>
      <xdr:row>5367</xdr:row>
      <xdr:rowOff>1209040</xdr:rowOff>
    </xdr:to>
    <xdr:pic>
      <xdr:nvPicPr>
        <xdr:cNvPr id="9569" name="Изображение 9568" descr="resizeПП-00236666"/>
        <xdr:cNvPicPr>
          <a:picLocks noChangeAspect="1"/>
        </xdr:cNvPicPr>
      </xdr:nvPicPr>
      <xdr:blipFill>
        <a:blip xmlns:r="http://schemas.openxmlformats.org/officeDocument/2006/relationships" r:embed="rId4181"/>
        <a:stretch>
          <a:fillRect/>
        </a:stretch>
      </xdr:blipFill>
      <xdr:spPr>
        <a:xfrm>
          <a:off x="7235825" y="5490556075"/>
          <a:ext cx="878840" cy="1183640"/>
        </a:xfrm>
        <a:prstGeom prst="rect">
          <a:avLst/>
        </a:prstGeom>
      </xdr:spPr>
    </xdr:pic>
    <xdr:clientData/>
  </xdr:twoCellAnchor>
  <xdr:twoCellAnchor>
    <xdr:from>
      <xdr:col>9</xdr:col>
      <xdr:colOff>6350</xdr:colOff>
      <xdr:row>5368</xdr:row>
      <xdr:rowOff>25400</xdr:rowOff>
    </xdr:from>
    <xdr:to>
      <xdr:col>9</xdr:col>
      <xdr:colOff>885190</xdr:colOff>
      <xdr:row>5368</xdr:row>
      <xdr:rowOff>1209040</xdr:rowOff>
    </xdr:to>
    <xdr:pic>
      <xdr:nvPicPr>
        <xdr:cNvPr id="9570" name="Изображение 9569" descr="resizeПП-00236667"/>
        <xdr:cNvPicPr>
          <a:picLocks noChangeAspect="1"/>
        </xdr:cNvPicPr>
      </xdr:nvPicPr>
      <xdr:blipFill>
        <a:blip xmlns:r="http://schemas.openxmlformats.org/officeDocument/2006/relationships" r:embed="rId4182"/>
        <a:stretch>
          <a:fillRect/>
        </a:stretch>
      </xdr:blipFill>
      <xdr:spPr>
        <a:xfrm>
          <a:off x="7235825" y="5491778450"/>
          <a:ext cx="878840" cy="1183640"/>
        </a:xfrm>
        <a:prstGeom prst="rect">
          <a:avLst/>
        </a:prstGeom>
      </xdr:spPr>
    </xdr:pic>
    <xdr:clientData/>
  </xdr:twoCellAnchor>
  <xdr:twoCellAnchor>
    <xdr:from>
      <xdr:col>9</xdr:col>
      <xdr:colOff>6350</xdr:colOff>
      <xdr:row>5369</xdr:row>
      <xdr:rowOff>25400</xdr:rowOff>
    </xdr:from>
    <xdr:to>
      <xdr:col>9</xdr:col>
      <xdr:colOff>885190</xdr:colOff>
      <xdr:row>5369</xdr:row>
      <xdr:rowOff>1209040</xdr:rowOff>
    </xdr:to>
    <xdr:pic>
      <xdr:nvPicPr>
        <xdr:cNvPr id="9571" name="Изображение 9570" descr="resizeПП-00236668"/>
        <xdr:cNvPicPr>
          <a:picLocks noChangeAspect="1"/>
        </xdr:cNvPicPr>
      </xdr:nvPicPr>
      <xdr:blipFill>
        <a:blip xmlns:r="http://schemas.openxmlformats.org/officeDocument/2006/relationships" r:embed="rId4183"/>
        <a:stretch>
          <a:fillRect/>
        </a:stretch>
      </xdr:blipFill>
      <xdr:spPr>
        <a:xfrm>
          <a:off x="7235825" y="5493000825"/>
          <a:ext cx="878840" cy="1183640"/>
        </a:xfrm>
        <a:prstGeom prst="rect">
          <a:avLst/>
        </a:prstGeom>
      </xdr:spPr>
    </xdr:pic>
    <xdr:clientData/>
  </xdr:twoCellAnchor>
  <xdr:twoCellAnchor>
    <xdr:from>
      <xdr:col>9</xdr:col>
      <xdr:colOff>6350</xdr:colOff>
      <xdr:row>5372</xdr:row>
      <xdr:rowOff>25400</xdr:rowOff>
    </xdr:from>
    <xdr:to>
      <xdr:col>9</xdr:col>
      <xdr:colOff>885190</xdr:colOff>
      <xdr:row>5372</xdr:row>
      <xdr:rowOff>1209040</xdr:rowOff>
    </xdr:to>
    <xdr:pic>
      <xdr:nvPicPr>
        <xdr:cNvPr id="9572" name="Изображение 9571" descr="resizeПП-00251238"/>
        <xdr:cNvPicPr>
          <a:picLocks noChangeAspect="1"/>
        </xdr:cNvPicPr>
      </xdr:nvPicPr>
      <xdr:blipFill>
        <a:blip xmlns:r="http://schemas.openxmlformats.org/officeDocument/2006/relationships" r:embed="rId4184"/>
        <a:stretch>
          <a:fillRect/>
        </a:stretch>
      </xdr:blipFill>
      <xdr:spPr>
        <a:xfrm>
          <a:off x="7235825" y="5494528000"/>
          <a:ext cx="878840" cy="1183640"/>
        </a:xfrm>
        <a:prstGeom prst="rect">
          <a:avLst/>
        </a:prstGeom>
      </xdr:spPr>
    </xdr:pic>
    <xdr:clientData/>
  </xdr:twoCellAnchor>
  <xdr:twoCellAnchor>
    <xdr:from>
      <xdr:col>9</xdr:col>
      <xdr:colOff>6350</xdr:colOff>
      <xdr:row>5373</xdr:row>
      <xdr:rowOff>25400</xdr:rowOff>
    </xdr:from>
    <xdr:to>
      <xdr:col>9</xdr:col>
      <xdr:colOff>885190</xdr:colOff>
      <xdr:row>5373</xdr:row>
      <xdr:rowOff>1209040</xdr:rowOff>
    </xdr:to>
    <xdr:pic>
      <xdr:nvPicPr>
        <xdr:cNvPr id="9573" name="Изображение 9572" descr="resizeПП-00229036"/>
        <xdr:cNvPicPr>
          <a:picLocks noChangeAspect="1"/>
        </xdr:cNvPicPr>
      </xdr:nvPicPr>
      <xdr:blipFill>
        <a:blip xmlns:r="http://schemas.openxmlformats.org/officeDocument/2006/relationships" r:embed="rId4185"/>
        <a:stretch>
          <a:fillRect/>
        </a:stretch>
      </xdr:blipFill>
      <xdr:spPr>
        <a:xfrm>
          <a:off x="7235825" y="5495750375"/>
          <a:ext cx="878840" cy="1183640"/>
        </a:xfrm>
        <a:prstGeom prst="rect">
          <a:avLst/>
        </a:prstGeom>
      </xdr:spPr>
    </xdr:pic>
    <xdr:clientData/>
  </xdr:twoCellAnchor>
  <xdr:twoCellAnchor>
    <xdr:from>
      <xdr:col>9</xdr:col>
      <xdr:colOff>6350</xdr:colOff>
      <xdr:row>5374</xdr:row>
      <xdr:rowOff>25400</xdr:rowOff>
    </xdr:from>
    <xdr:to>
      <xdr:col>9</xdr:col>
      <xdr:colOff>885190</xdr:colOff>
      <xdr:row>5374</xdr:row>
      <xdr:rowOff>1209040</xdr:rowOff>
    </xdr:to>
    <xdr:pic>
      <xdr:nvPicPr>
        <xdr:cNvPr id="9574" name="Изображение 9573" descr="resizeПП-00229028"/>
        <xdr:cNvPicPr>
          <a:picLocks noChangeAspect="1"/>
        </xdr:cNvPicPr>
      </xdr:nvPicPr>
      <xdr:blipFill>
        <a:blip xmlns:r="http://schemas.openxmlformats.org/officeDocument/2006/relationships" r:embed="rId4186"/>
        <a:stretch>
          <a:fillRect/>
        </a:stretch>
      </xdr:blipFill>
      <xdr:spPr>
        <a:xfrm>
          <a:off x="7235825" y="5496972750"/>
          <a:ext cx="878840" cy="1183640"/>
        </a:xfrm>
        <a:prstGeom prst="rect">
          <a:avLst/>
        </a:prstGeom>
      </xdr:spPr>
    </xdr:pic>
    <xdr:clientData/>
  </xdr:twoCellAnchor>
  <xdr:twoCellAnchor>
    <xdr:from>
      <xdr:col>9</xdr:col>
      <xdr:colOff>6350</xdr:colOff>
      <xdr:row>5375</xdr:row>
      <xdr:rowOff>25400</xdr:rowOff>
    </xdr:from>
    <xdr:to>
      <xdr:col>9</xdr:col>
      <xdr:colOff>885190</xdr:colOff>
      <xdr:row>5375</xdr:row>
      <xdr:rowOff>1209040</xdr:rowOff>
    </xdr:to>
    <xdr:pic>
      <xdr:nvPicPr>
        <xdr:cNvPr id="9575" name="Изображение 9574" descr="resizeПП-00229032"/>
        <xdr:cNvPicPr>
          <a:picLocks noChangeAspect="1"/>
        </xdr:cNvPicPr>
      </xdr:nvPicPr>
      <xdr:blipFill>
        <a:blip xmlns:r="http://schemas.openxmlformats.org/officeDocument/2006/relationships" r:embed="rId4185"/>
        <a:stretch>
          <a:fillRect/>
        </a:stretch>
      </xdr:blipFill>
      <xdr:spPr>
        <a:xfrm>
          <a:off x="7235825" y="5498195125"/>
          <a:ext cx="878840" cy="1183640"/>
        </a:xfrm>
        <a:prstGeom prst="rect">
          <a:avLst/>
        </a:prstGeom>
      </xdr:spPr>
    </xdr:pic>
    <xdr:clientData/>
  </xdr:twoCellAnchor>
  <xdr:twoCellAnchor>
    <xdr:from>
      <xdr:col>9</xdr:col>
      <xdr:colOff>6350</xdr:colOff>
      <xdr:row>5376</xdr:row>
      <xdr:rowOff>25400</xdr:rowOff>
    </xdr:from>
    <xdr:to>
      <xdr:col>9</xdr:col>
      <xdr:colOff>885190</xdr:colOff>
      <xdr:row>5376</xdr:row>
      <xdr:rowOff>1209040</xdr:rowOff>
    </xdr:to>
    <xdr:pic>
      <xdr:nvPicPr>
        <xdr:cNvPr id="9576" name="Изображение 9575" descr="resizeПП-00229021"/>
        <xdr:cNvPicPr>
          <a:picLocks noChangeAspect="1"/>
        </xdr:cNvPicPr>
      </xdr:nvPicPr>
      <xdr:blipFill>
        <a:blip xmlns:r="http://schemas.openxmlformats.org/officeDocument/2006/relationships" r:embed="rId4187"/>
        <a:stretch>
          <a:fillRect/>
        </a:stretch>
      </xdr:blipFill>
      <xdr:spPr>
        <a:xfrm>
          <a:off x="7235825" y="5499417500"/>
          <a:ext cx="878840" cy="1183640"/>
        </a:xfrm>
        <a:prstGeom prst="rect">
          <a:avLst/>
        </a:prstGeom>
      </xdr:spPr>
    </xdr:pic>
    <xdr:clientData/>
  </xdr:twoCellAnchor>
  <xdr:twoCellAnchor>
    <xdr:from>
      <xdr:col>9</xdr:col>
      <xdr:colOff>6350</xdr:colOff>
      <xdr:row>5377</xdr:row>
      <xdr:rowOff>25400</xdr:rowOff>
    </xdr:from>
    <xdr:to>
      <xdr:col>9</xdr:col>
      <xdr:colOff>885190</xdr:colOff>
      <xdr:row>5377</xdr:row>
      <xdr:rowOff>1209040</xdr:rowOff>
    </xdr:to>
    <xdr:pic>
      <xdr:nvPicPr>
        <xdr:cNvPr id="9577" name="Изображение 9576" descr="resizeПП-00229019"/>
        <xdr:cNvPicPr>
          <a:picLocks noChangeAspect="1"/>
        </xdr:cNvPicPr>
      </xdr:nvPicPr>
      <xdr:blipFill>
        <a:blip xmlns:r="http://schemas.openxmlformats.org/officeDocument/2006/relationships" r:embed="rId4188"/>
        <a:stretch>
          <a:fillRect/>
        </a:stretch>
      </xdr:blipFill>
      <xdr:spPr>
        <a:xfrm>
          <a:off x="7235825" y="5500639875"/>
          <a:ext cx="878840" cy="1183640"/>
        </a:xfrm>
        <a:prstGeom prst="rect">
          <a:avLst/>
        </a:prstGeom>
      </xdr:spPr>
    </xdr:pic>
    <xdr:clientData/>
  </xdr:twoCellAnchor>
  <xdr:twoCellAnchor>
    <xdr:from>
      <xdr:col>9</xdr:col>
      <xdr:colOff>6350</xdr:colOff>
      <xdr:row>5378</xdr:row>
      <xdr:rowOff>25400</xdr:rowOff>
    </xdr:from>
    <xdr:to>
      <xdr:col>9</xdr:col>
      <xdr:colOff>885190</xdr:colOff>
      <xdr:row>5378</xdr:row>
      <xdr:rowOff>1209040</xdr:rowOff>
    </xdr:to>
    <xdr:pic>
      <xdr:nvPicPr>
        <xdr:cNvPr id="9578" name="Изображение 9577" descr="resizeПП-00222527"/>
        <xdr:cNvPicPr>
          <a:picLocks noChangeAspect="1"/>
        </xdr:cNvPicPr>
      </xdr:nvPicPr>
      <xdr:blipFill>
        <a:blip xmlns:r="http://schemas.openxmlformats.org/officeDocument/2006/relationships" r:embed="rId4189"/>
        <a:stretch>
          <a:fillRect/>
        </a:stretch>
      </xdr:blipFill>
      <xdr:spPr>
        <a:xfrm>
          <a:off x="7235825" y="5501862250"/>
          <a:ext cx="878840" cy="1183640"/>
        </a:xfrm>
        <a:prstGeom prst="rect">
          <a:avLst/>
        </a:prstGeom>
      </xdr:spPr>
    </xdr:pic>
    <xdr:clientData/>
  </xdr:twoCellAnchor>
  <xdr:twoCellAnchor>
    <xdr:from>
      <xdr:col>9</xdr:col>
      <xdr:colOff>6350</xdr:colOff>
      <xdr:row>5379</xdr:row>
      <xdr:rowOff>25400</xdr:rowOff>
    </xdr:from>
    <xdr:to>
      <xdr:col>9</xdr:col>
      <xdr:colOff>885190</xdr:colOff>
      <xdr:row>5379</xdr:row>
      <xdr:rowOff>1209040</xdr:rowOff>
    </xdr:to>
    <xdr:pic>
      <xdr:nvPicPr>
        <xdr:cNvPr id="9579" name="Изображение 9578" descr="resizeПП-00222528"/>
        <xdr:cNvPicPr>
          <a:picLocks noChangeAspect="1"/>
        </xdr:cNvPicPr>
      </xdr:nvPicPr>
      <xdr:blipFill>
        <a:blip xmlns:r="http://schemas.openxmlformats.org/officeDocument/2006/relationships" r:embed="rId4190"/>
        <a:stretch>
          <a:fillRect/>
        </a:stretch>
      </xdr:blipFill>
      <xdr:spPr>
        <a:xfrm>
          <a:off x="7235825" y="5503084625"/>
          <a:ext cx="878840" cy="1183640"/>
        </a:xfrm>
        <a:prstGeom prst="rect">
          <a:avLst/>
        </a:prstGeom>
      </xdr:spPr>
    </xdr:pic>
    <xdr:clientData/>
  </xdr:twoCellAnchor>
  <xdr:twoCellAnchor>
    <xdr:from>
      <xdr:col>9</xdr:col>
      <xdr:colOff>6350</xdr:colOff>
      <xdr:row>5380</xdr:row>
      <xdr:rowOff>25400</xdr:rowOff>
    </xdr:from>
    <xdr:to>
      <xdr:col>9</xdr:col>
      <xdr:colOff>885190</xdr:colOff>
      <xdr:row>5380</xdr:row>
      <xdr:rowOff>1209040</xdr:rowOff>
    </xdr:to>
    <xdr:pic>
      <xdr:nvPicPr>
        <xdr:cNvPr id="9580" name="Изображение 9579" descr="resizeПП-00251241"/>
        <xdr:cNvPicPr>
          <a:picLocks noChangeAspect="1"/>
        </xdr:cNvPicPr>
      </xdr:nvPicPr>
      <xdr:blipFill>
        <a:blip xmlns:r="http://schemas.openxmlformats.org/officeDocument/2006/relationships" r:embed="rId4191"/>
        <a:stretch>
          <a:fillRect/>
        </a:stretch>
      </xdr:blipFill>
      <xdr:spPr>
        <a:xfrm>
          <a:off x="7235825" y="5504307000"/>
          <a:ext cx="878840" cy="1183640"/>
        </a:xfrm>
        <a:prstGeom prst="rect">
          <a:avLst/>
        </a:prstGeom>
      </xdr:spPr>
    </xdr:pic>
    <xdr:clientData/>
  </xdr:twoCellAnchor>
  <xdr:twoCellAnchor>
    <xdr:from>
      <xdr:col>9</xdr:col>
      <xdr:colOff>6350</xdr:colOff>
      <xdr:row>5381</xdr:row>
      <xdr:rowOff>25400</xdr:rowOff>
    </xdr:from>
    <xdr:to>
      <xdr:col>9</xdr:col>
      <xdr:colOff>885190</xdr:colOff>
      <xdr:row>5381</xdr:row>
      <xdr:rowOff>1209040</xdr:rowOff>
    </xdr:to>
    <xdr:pic>
      <xdr:nvPicPr>
        <xdr:cNvPr id="9581" name="Изображение 9580" descr="resizeПП-00251247"/>
        <xdr:cNvPicPr>
          <a:picLocks noChangeAspect="1"/>
        </xdr:cNvPicPr>
      </xdr:nvPicPr>
      <xdr:blipFill>
        <a:blip xmlns:r="http://schemas.openxmlformats.org/officeDocument/2006/relationships" r:embed="rId4192"/>
        <a:stretch>
          <a:fillRect/>
        </a:stretch>
      </xdr:blipFill>
      <xdr:spPr>
        <a:xfrm>
          <a:off x="7235825" y="5505529375"/>
          <a:ext cx="878840" cy="1183640"/>
        </a:xfrm>
        <a:prstGeom prst="rect">
          <a:avLst/>
        </a:prstGeom>
      </xdr:spPr>
    </xdr:pic>
    <xdr:clientData/>
  </xdr:twoCellAnchor>
  <xdr:twoCellAnchor>
    <xdr:from>
      <xdr:col>9</xdr:col>
      <xdr:colOff>6350</xdr:colOff>
      <xdr:row>5382</xdr:row>
      <xdr:rowOff>25400</xdr:rowOff>
    </xdr:from>
    <xdr:to>
      <xdr:col>9</xdr:col>
      <xdr:colOff>885190</xdr:colOff>
      <xdr:row>5382</xdr:row>
      <xdr:rowOff>1209040</xdr:rowOff>
    </xdr:to>
    <xdr:pic>
      <xdr:nvPicPr>
        <xdr:cNvPr id="9582" name="Изображение 9581" descr="resizeПП-00251248"/>
        <xdr:cNvPicPr>
          <a:picLocks noChangeAspect="1"/>
        </xdr:cNvPicPr>
      </xdr:nvPicPr>
      <xdr:blipFill>
        <a:blip xmlns:r="http://schemas.openxmlformats.org/officeDocument/2006/relationships" r:embed="rId4192"/>
        <a:stretch>
          <a:fillRect/>
        </a:stretch>
      </xdr:blipFill>
      <xdr:spPr>
        <a:xfrm>
          <a:off x="7235825" y="5506751750"/>
          <a:ext cx="878840" cy="1183640"/>
        </a:xfrm>
        <a:prstGeom prst="rect">
          <a:avLst/>
        </a:prstGeom>
      </xdr:spPr>
    </xdr:pic>
    <xdr:clientData/>
  </xdr:twoCellAnchor>
  <xdr:twoCellAnchor>
    <xdr:from>
      <xdr:col>9</xdr:col>
      <xdr:colOff>6350</xdr:colOff>
      <xdr:row>5383</xdr:row>
      <xdr:rowOff>25400</xdr:rowOff>
    </xdr:from>
    <xdr:to>
      <xdr:col>9</xdr:col>
      <xdr:colOff>885190</xdr:colOff>
      <xdr:row>5383</xdr:row>
      <xdr:rowOff>1209040</xdr:rowOff>
    </xdr:to>
    <xdr:pic>
      <xdr:nvPicPr>
        <xdr:cNvPr id="9583" name="Изображение 9582" descr="resizeПП-00251245"/>
        <xdr:cNvPicPr>
          <a:picLocks noChangeAspect="1"/>
        </xdr:cNvPicPr>
      </xdr:nvPicPr>
      <xdr:blipFill>
        <a:blip xmlns:r="http://schemas.openxmlformats.org/officeDocument/2006/relationships" r:embed="rId4193"/>
        <a:stretch>
          <a:fillRect/>
        </a:stretch>
      </xdr:blipFill>
      <xdr:spPr>
        <a:xfrm>
          <a:off x="7235825" y="5507974125"/>
          <a:ext cx="878840" cy="1183640"/>
        </a:xfrm>
        <a:prstGeom prst="rect">
          <a:avLst/>
        </a:prstGeom>
      </xdr:spPr>
    </xdr:pic>
    <xdr:clientData/>
  </xdr:twoCellAnchor>
  <xdr:twoCellAnchor>
    <xdr:from>
      <xdr:col>9</xdr:col>
      <xdr:colOff>6350</xdr:colOff>
      <xdr:row>5384</xdr:row>
      <xdr:rowOff>25400</xdr:rowOff>
    </xdr:from>
    <xdr:to>
      <xdr:col>9</xdr:col>
      <xdr:colOff>885190</xdr:colOff>
      <xdr:row>5384</xdr:row>
      <xdr:rowOff>1209040</xdr:rowOff>
    </xdr:to>
    <xdr:pic>
      <xdr:nvPicPr>
        <xdr:cNvPr id="9584" name="Изображение 9583" descr="resizeПП-00251246"/>
        <xdr:cNvPicPr>
          <a:picLocks noChangeAspect="1"/>
        </xdr:cNvPicPr>
      </xdr:nvPicPr>
      <xdr:blipFill>
        <a:blip xmlns:r="http://schemas.openxmlformats.org/officeDocument/2006/relationships" r:embed="rId4193"/>
        <a:stretch>
          <a:fillRect/>
        </a:stretch>
      </xdr:blipFill>
      <xdr:spPr>
        <a:xfrm>
          <a:off x="7235825" y="5509196500"/>
          <a:ext cx="878840" cy="1183640"/>
        </a:xfrm>
        <a:prstGeom prst="rect">
          <a:avLst/>
        </a:prstGeom>
      </xdr:spPr>
    </xdr:pic>
    <xdr:clientData/>
  </xdr:twoCellAnchor>
  <xdr:twoCellAnchor>
    <xdr:from>
      <xdr:col>9</xdr:col>
      <xdr:colOff>6350</xdr:colOff>
      <xdr:row>5385</xdr:row>
      <xdr:rowOff>25400</xdr:rowOff>
    </xdr:from>
    <xdr:to>
      <xdr:col>9</xdr:col>
      <xdr:colOff>885190</xdr:colOff>
      <xdr:row>5385</xdr:row>
      <xdr:rowOff>1209040</xdr:rowOff>
    </xdr:to>
    <xdr:pic>
      <xdr:nvPicPr>
        <xdr:cNvPr id="9585" name="Изображение 9584" descr="resizeПП-00249959"/>
        <xdr:cNvPicPr>
          <a:picLocks noChangeAspect="1"/>
        </xdr:cNvPicPr>
      </xdr:nvPicPr>
      <xdr:blipFill>
        <a:blip xmlns:r="http://schemas.openxmlformats.org/officeDocument/2006/relationships" r:embed="rId4194"/>
        <a:stretch>
          <a:fillRect/>
        </a:stretch>
      </xdr:blipFill>
      <xdr:spPr>
        <a:xfrm>
          <a:off x="7235825" y="5510418875"/>
          <a:ext cx="878840" cy="1183640"/>
        </a:xfrm>
        <a:prstGeom prst="rect">
          <a:avLst/>
        </a:prstGeom>
      </xdr:spPr>
    </xdr:pic>
    <xdr:clientData/>
  </xdr:twoCellAnchor>
  <xdr:twoCellAnchor>
    <xdr:from>
      <xdr:col>9</xdr:col>
      <xdr:colOff>6350</xdr:colOff>
      <xdr:row>5386</xdr:row>
      <xdr:rowOff>25400</xdr:rowOff>
    </xdr:from>
    <xdr:to>
      <xdr:col>9</xdr:col>
      <xdr:colOff>885190</xdr:colOff>
      <xdr:row>5386</xdr:row>
      <xdr:rowOff>1209040</xdr:rowOff>
    </xdr:to>
    <xdr:pic>
      <xdr:nvPicPr>
        <xdr:cNvPr id="9586" name="Изображение 9585" descr="resizeПП-00249819"/>
        <xdr:cNvPicPr>
          <a:picLocks noChangeAspect="1"/>
        </xdr:cNvPicPr>
      </xdr:nvPicPr>
      <xdr:blipFill>
        <a:blip xmlns:r="http://schemas.openxmlformats.org/officeDocument/2006/relationships" r:embed="rId4195"/>
        <a:stretch>
          <a:fillRect/>
        </a:stretch>
      </xdr:blipFill>
      <xdr:spPr>
        <a:xfrm>
          <a:off x="7235825" y="5511641250"/>
          <a:ext cx="878840" cy="1183640"/>
        </a:xfrm>
        <a:prstGeom prst="rect">
          <a:avLst/>
        </a:prstGeom>
      </xdr:spPr>
    </xdr:pic>
    <xdr:clientData/>
  </xdr:twoCellAnchor>
  <xdr:twoCellAnchor>
    <xdr:from>
      <xdr:col>9</xdr:col>
      <xdr:colOff>6350</xdr:colOff>
      <xdr:row>5388</xdr:row>
      <xdr:rowOff>25400</xdr:rowOff>
    </xdr:from>
    <xdr:to>
      <xdr:col>9</xdr:col>
      <xdr:colOff>885190</xdr:colOff>
      <xdr:row>5388</xdr:row>
      <xdr:rowOff>1209040</xdr:rowOff>
    </xdr:to>
    <xdr:pic>
      <xdr:nvPicPr>
        <xdr:cNvPr id="9587" name="Изображение 9586" descr="resizeПП-00228265"/>
        <xdr:cNvPicPr>
          <a:picLocks noChangeAspect="1"/>
        </xdr:cNvPicPr>
      </xdr:nvPicPr>
      <xdr:blipFill>
        <a:blip xmlns:r="http://schemas.openxmlformats.org/officeDocument/2006/relationships" r:embed="rId4196"/>
        <a:stretch>
          <a:fillRect/>
        </a:stretch>
      </xdr:blipFill>
      <xdr:spPr>
        <a:xfrm>
          <a:off x="7235825" y="5513016025"/>
          <a:ext cx="878840" cy="1183640"/>
        </a:xfrm>
        <a:prstGeom prst="rect">
          <a:avLst/>
        </a:prstGeom>
      </xdr:spPr>
    </xdr:pic>
    <xdr:clientData/>
  </xdr:twoCellAnchor>
  <xdr:twoCellAnchor>
    <xdr:from>
      <xdr:col>9</xdr:col>
      <xdr:colOff>6350</xdr:colOff>
      <xdr:row>5389</xdr:row>
      <xdr:rowOff>25400</xdr:rowOff>
    </xdr:from>
    <xdr:to>
      <xdr:col>9</xdr:col>
      <xdr:colOff>885190</xdr:colOff>
      <xdr:row>5389</xdr:row>
      <xdr:rowOff>1209040</xdr:rowOff>
    </xdr:to>
    <xdr:pic>
      <xdr:nvPicPr>
        <xdr:cNvPr id="9588" name="Изображение 9587" descr="resizeПП-00228264"/>
        <xdr:cNvPicPr>
          <a:picLocks noChangeAspect="1"/>
        </xdr:cNvPicPr>
      </xdr:nvPicPr>
      <xdr:blipFill>
        <a:blip xmlns:r="http://schemas.openxmlformats.org/officeDocument/2006/relationships" r:embed="rId4197"/>
        <a:stretch>
          <a:fillRect/>
        </a:stretch>
      </xdr:blipFill>
      <xdr:spPr>
        <a:xfrm>
          <a:off x="7235825" y="5514238400"/>
          <a:ext cx="878840" cy="1183640"/>
        </a:xfrm>
        <a:prstGeom prst="rect">
          <a:avLst/>
        </a:prstGeom>
      </xdr:spPr>
    </xdr:pic>
    <xdr:clientData/>
  </xdr:twoCellAnchor>
  <xdr:twoCellAnchor>
    <xdr:from>
      <xdr:col>9</xdr:col>
      <xdr:colOff>6350</xdr:colOff>
      <xdr:row>5390</xdr:row>
      <xdr:rowOff>25400</xdr:rowOff>
    </xdr:from>
    <xdr:to>
      <xdr:col>9</xdr:col>
      <xdr:colOff>885190</xdr:colOff>
      <xdr:row>5390</xdr:row>
      <xdr:rowOff>1209040</xdr:rowOff>
    </xdr:to>
    <xdr:pic>
      <xdr:nvPicPr>
        <xdr:cNvPr id="9589" name="Изображение 9588" descr="resizeПП-00228266"/>
        <xdr:cNvPicPr>
          <a:picLocks noChangeAspect="1"/>
        </xdr:cNvPicPr>
      </xdr:nvPicPr>
      <xdr:blipFill>
        <a:blip xmlns:r="http://schemas.openxmlformats.org/officeDocument/2006/relationships" r:embed="rId4198"/>
        <a:stretch>
          <a:fillRect/>
        </a:stretch>
      </xdr:blipFill>
      <xdr:spPr>
        <a:xfrm>
          <a:off x="7235825" y="5515460775"/>
          <a:ext cx="878840" cy="1183640"/>
        </a:xfrm>
        <a:prstGeom prst="rect">
          <a:avLst/>
        </a:prstGeom>
      </xdr:spPr>
    </xdr:pic>
    <xdr:clientData/>
  </xdr:twoCellAnchor>
  <xdr:twoCellAnchor>
    <xdr:from>
      <xdr:col>9</xdr:col>
      <xdr:colOff>6350</xdr:colOff>
      <xdr:row>5391</xdr:row>
      <xdr:rowOff>25400</xdr:rowOff>
    </xdr:from>
    <xdr:to>
      <xdr:col>9</xdr:col>
      <xdr:colOff>885190</xdr:colOff>
      <xdr:row>5391</xdr:row>
      <xdr:rowOff>1209040</xdr:rowOff>
    </xdr:to>
    <xdr:pic>
      <xdr:nvPicPr>
        <xdr:cNvPr id="9590" name="Изображение 9589" descr="resizeПП-00228262"/>
        <xdr:cNvPicPr>
          <a:picLocks noChangeAspect="1"/>
        </xdr:cNvPicPr>
      </xdr:nvPicPr>
      <xdr:blipFill>
        <a:blip xmlns:r="http://schemas.openxmlformats.org/officeDocument/2006/relationships" r:embed="rId4199"/>
        <a:stretch>
          <a:fillRect/>
        </a:stretch>
      </xdr:blipFill>
      <xdr:spPr>
        <a:xfrm>
          <a:off x="7235825" y="5516683150"/>
          <a:ext cx="878840" cy="1183640"/>
        </a:xfrm>
        <a:prstGeom prst="rect">
          <a:avLst/>
        </a:prstGeom>
      </xdr:spPr>
    </xdr:pic>
    <xdr:clientData/>
  </xdr:twoCellAnchor>
  <xdr:twoCellAnchor>
    <xdr:from>
      <xdr:col>9</xdr:col>
      <xdr:colOff>6350</xdr:colOff>
      <xdr:row>5392</xdr:row>
      <xdr:rowOff>25400</xdr:rowOff>
    </xdr:from>
    <xdr:to>
      <xdr:col>9</xdr:col>
      <xdr:colOff>885190</xdr:colOff>
      <xdr:row>5392</xdr:row>
      <xdr:rowOff>1209040</xdr:rowOff>
    </xdr:to>
    <xdr:pic>
      <xdr:nvPicPr>
        <xdr:cNvPr id="9591" name="Изображение 9590" descr="resizeПП-00251242"/>
        <xdr:cNvPicPr>
          <a:picLocks noChangeAspect="1"/>
        </xdr:cNvPicPr>
      </xdr:nvPicPr>
      <xdr:blipFill>
        <a:blip xmlns:r="http://schemas.openxmlformats.org/officeDocument/2006/relationships" r:embed="rId4200"/>
        <a:stretch>
          <a:fillRect/>
        </a:stretch>
      </xdr:blipFill>
      <xdr:spPr>
        <a:xfrm>
          <a:off x="7235825" y="5517905525"/>
          <a:ext cx="878840" cy="1183640"/>
        </a:xfrm>
        <a:prstGeom prst="rect">
          <a:avLst/>
        </a:prstGeom>
      </xdr:spPr>
    </xdr:pic>
    <xdr:clientData/>
  </xdr:twoCellAnchor>
  <xdr:twoCellAnchor>
    <xdr:from>
      <xdr:col>9</xdr:col>
      <xdr:colOff>6350</xdr:colOff>
      <xdr:row>5393</xdr:row>
      <xdr:rowOff>25400</xdr:rowOff>
    </xdr:from>
    <xdr:to>
      <xdr:col>9</xdr:col>
      <xdr:colOff>885190</xdr:colOff>
      <xdr:row>5393</xdr:row>
      <xdr:rowOff>1209040</xdr:rowOff>
    </xdr:to>
    <xdr:pic>
      <xdr:nvPicPr>
        <xdr:cNvPr id="9592" name="Изображение 9591" descr="resizeПП-00251243"/>
        <xdr:cNvPicPr>
          <a:picLocks noChangeAspect="1"/>
        </xdr:cNvPicPr>
      </xdr:nvPicPr>
      <xdr:blipFill>
        <a:blip xmlns:r="http://schemas.openxmlformats.org/officeDocument/2006/relationships" r:embed="rId4201"/>
        <a:stretch>
          <a:fillRect/>
        </a:stretch>
      </xdr:blipFill>
      <xdr:spPr>
        <a:xfrm>
          <a:off x="7235825" y="5519127900"/>
          <a:ext cx="878840" cy="1183640"/>
        </a:xfrm>
        <a:prstGeom prst="rect">
          <a:avLst/>
        </a:prstGeom>
      </xdr:spPr>
    </xdr:pic>
    <xdr:clientData/>
  </xdr:twoCellAnchor>
  <xdr:twoCellAnchor>
    <xdr:from>
      <xdr:col>9</xdr:col>
      <xdr:colOff>6350</xdr:colOff>
      <xdr:row>5394</xdr:row>
      <xdr:rowOff>25400</xdr:rowOff>
    </xdr:from>
    <xdr:to>
      <xdr:col>9</xdr:col>
      <xdr:colOff>885190</xdr:colOff>
      <xdr:row>5394</xdr:row>
      <xdr:rowOff>1209040</xdr:rowOff>
    </xdr:to>
    <xdr:pic>
      <xdr:nvPicPr>
        <xdr:cNvPr id="9593" name="Изображение 9592" descr="resizeПП-00228996"/>
        <xdr:cNvPicPr>
          <a:picLocks noChangeAspect="1"/>
        </xdr:cNvPicPr>
      </xdr:nvPicPr>
      <xdr:blipFill>
        <a:blip xmlns:r="http://schemas.openxmlformats.org/officeDocument/2006/relationships" r:embed="rId4202"/>
        <a:stretch>
          <a:fillRect/>
        </a:stretch>
      </xdr:blipFill>
      <xdr:spPr>
        <a:xfrm>
          <a:off x="7235825" y="5520350275"/>
          <a:ext cx="878840" cy="1183640"/>
        </a:xfrm>
        <a:prstGeom prst="rect">
          <a:avLst/>
        </a:prstGeom>
      </xdr:spPr>
    </xdr:pic>
    <xdr:clientData/>
  </xdr:twoCellAnchor>
  <xdr:twoCellAnchor>
    <xdr:from>
      <xdr:col>9</xdr:col>
      <xdr:colOff>6350</xdr:colOff>
      <xdr:row>5396</xdr:row>
      <xdr:rowOff>25400</xdr:rowOff>
    </xdr:from>
    <xdr:to>
      <xdr:col>9</xdr:col>
      <xdr:colOff>885190</xdr:colOff>
      <xdr:row>5396</xdr:row>
      <xdr:rowOff>1209040</xdr:rowOff>
    </xdr:to>
    <xdr:pic>
      <xdr:nvPicPr>
        <xdr:cNvPr id="9594" name="Изображение 9593" descr="resizeПП-00209887"/>
        <xdr:cNvPicPr>
          <a:picLocks noChangeAspect="1"/>
        </xdr:cNvPicPr>
      </xdr:nvPicPr>
      <xdr:blipFill>
        <a:blip xmlns:r="http://schemas.openxmlformats.org/officeDocument/2006/relationships" r:embed="rId4203"/>
        <a:stretch>
          <a:fillRect/>
        </a:stretch>
      </xdr:blipFill>
      <xdr:spPr>
        <a:xfrm>
          <a:off x="7235825" y="5521725050"/>
          <a:ext cx="878840" cy="1183640"/>
        </a:xfrm>
        <a:prstGeom prst="rect">
          <a:avLst/>
        </a:prstGeom>
      </xdr:spPr>
    </xdr:pic>
    <xdr:clientData/>
  </xdr:twoCellAnchor>
  <xdr:twoCellAnchor>
    <xdr:from>
      <xdr:col>9</xdr:col>
      <xdr:colOff>6350</xdr:colOff>
      <xdr:row>5398</xdr:row>
      <xdr:rowOff>25400</xdr:rowOff>
    </xdr:from>
    <xdr:to>
      <xdr:col>9</xdr:col>
      <xdr:colOff>885190</xdr:colOff>
      <xdr:row>5398</xdr:row>
      <xdr:rowOff>1209040</xdr:rowOff>
    </xdr:to>
    <xdr:pic>
      <xdr:nvPicPr>
        <xdr:cNvPr id="9595" name="Изображение 9594" descr="resizeПП-00233146"/>
        <xdr:cNvPicPr>
          <a:picLocks noChangeAspect="1"/>
        </xdr:cNvPicPr>
      </xdr:nvPicPr>
      <xdr:blipFill>
        <a:blip xmlns:r="http://schemas.openxmlformats.org/officeDocument/2006/relationships" r:embed="rId4204"/>
        <a:stretch>
          <a:fillRect/>
        </a:stretch>
      </xdr:blipFill>
      <xdr:spPr>
        <a:xfrm>
          <a:off x="7235825" y="5523099825"/>
          <a:ext cx="878840" cy="1183640"/>
        </a:xfrm>
        <a:prstGeom prst="rect">
          <a:avLst/>
        </a:prstGeom>
      </xdr:spPr>
    </xdr:pic>
    <xdr:clientData/>
  </xdr:twoCellAnchor>
  <xdr:twoCellAnchor>
    <xdr:from>
      <xdr:col>9</xdr:col>
      <xdr:colOff>6350</xdr:colOff>
      <xdr:row>5399</xdr:row>
      <xdr:rowOff>25400</xdr:rowOff>
    </xdr:from>
    <xdr:to>
      <xdr:col>9</xdr:col>
      <xdr:colOff>885190</xdr:colOff>
      <xdr:row>5399</xdr:row>
      <xdr:rowOff>1209040</xdr:rowOff>
    </xdr:to>
    <xdr:pic>
      <xdr:nvPicPr>
        <xdr:cNvPr id="9596" name="Изображение 9595" descr="resizeПП-00233149"/>
        <xdr:cNvPicPr>
          <a:picLocks noChangeAspect="1"/>
        </xdr:cNvPicPr>
      </xdr:nvPicPr>
      <xdr:blipFill>
        <a:blip xmlns:r="http://schemas.openxmlformats.org/officeDocument/2006/relationships" r:embed="rId4205"/>
        <a:stretch>
          <a:fillRect/>
        </a:stretch>
      </xdr:blipFill>
      <xdr:spPr>
        <a:xfrm>
          <a:off x="7235825" y="5524322200"/>
          <a:ext cx="878840" cy="1183640"/>
        </a:xfrm>
        <a:prstGeom prst="rect">
          <a:avLst/>
        </a:prstGeom>
      </xdr:spPr>
    </xdr:pic>
    <xdr:clientData/>
  </xdr:twoCellAnchor>
  <xdr:twoCellAnchor>
    <xdr:from>
      <xdr:col>9</xdr:col>
      <xdr:colOff>6350</xdr:colOff>
      <xdr:row>5401</xdr:row>
      <xdr:rowOff>25400</xdr:rowOff>
    </xdr:from>
    <xdr:to>
      <xdr:col>9</xdr:col>
      <xdr:colOff>885190</xdr:colOff>
      <xdr:row>5401</xdr:row>
      <xdr:rowOff>1209040</xdr:rowOff>
    </xdr:to>
    <xdr:pic>
      <xdr:nvPicPr>
        <xdr:cNvPr id="9597" name="Изображение 9596" descr="resizeПП-00209582"/>
        <xdr:cNvPicPr>
          <a:picLocks noChangeAspect="1"/>
        </xdr:cNvPicPr>
      </xdr:nvPicPr>
      <xdr:blipFill>
        <a:blip xmlns:r="http://schemas.openxmlformats.org/officeDocument/2006/relationships" r:embed="rId4206"/>
        <a:stretch>
          <a:fillRect/>
        </a:stretch>
      </xdr:blipFill>
      <xdr:spPr>
        <a:xfrm>
          <a:off x="7235825" y="5525696975"/>
          <a:ext cx="878840" cy="1183640"/>
        </a:xfrm>
        <a:prstGeom prst="rect">
          <a:avLst/>
        </a:prstGeom>
      </xdr:spPr>
    </xdr:pic>
    <xdr:clientData/>
  </xdr:twoCellAnchor>
  <xdr:twoCellAnchor>
    <xdr:from>
      <xdr:col>9</xdr:col>
      <xdr:colOff>6350</xdr:colOff>
      <xdr:row>5402</xdr:row>
      <xdr:rowOff>25400</xdr:rowOff>
    </xdr:from>
    <xdr:to>
      <xdr:col>9</xdr:col>
      <xdr:colOff>885190</xdr:colOff>
      <xdr:row>5402</xdr:row>
      <xdr:rowOff>1209040</xdr:rowOff>
    </xdr:to>
    <xdr:pic>
      <xdr:nvPicPr>
        <xdr:cNvPr id="9598" name="Изображение 9597" descr="resizeПП-00209583"/>
        <xdr:cNvPicPr>
          <a:picLocks noChangeAspect="1"/>
        </xdr:cNvPicPr>
      </xdr:nvPicPr>
      <xdr:blipFill>
        <a:blip xmlns:r="http://schemas.openxmlformats.org/officeDocument/2006/relationships" r:embed="rId4207"/>
        <a:stretch>
          <a:fillRect/>
        </a:stretch>
      </xdr:blipFill>
      <xdr:spPr>
        <a:xfrm>
          <a:off x="7235825" y="5526919350"/>
          <a:ext cx="878840" cy="1183640"/>
        </a:xfrm>
        <a:prstGeom prst="rect">
          <a:avLst/>
        </a:prstGeom>
      </xdr:spPr>
    </xdr:pic>
    <xdr:clientData/>
  </xdr:twoCellAnchor>
  <xdr:twoCellAnchor>
    <xdr:from>
      <xdr:col>9</xdr:col>
      <xdr:colOff>6350</xdr:colOff>
      <xdr:row>5403</xdr:row>
      <xdr:rowOff>25400</xdr:rowOff>
    </xdr:from>
    <xdr:to>
      <xdr:col>9</xdr:col>
      <xdr:colOff>885190</xdr:colOff>
      <xdr:row>5403</xdr:row>
      <xdr:rowOff>1209040</xdr:rowOff>
    </xdr:to>
    <xdr:pic>
      <xdr:nvPicPr>
        <xdr:cNvPr id="9599" name="Изображение 9598" descr="resizeПП-00122392"/>
        <xdr:cNvPicPr>
          <a:picLocks noChangeAspect="1"/>
        </xdr:cNvPicPr>
      </xdr:nvPicPr>
      <xdr:blipFill>
        <a:blip xmlns:r="http://schemas.openxmlformats.org/officeDocument/2006/relationships" r:embed="rId4208"/>
        <a:stretch>
          <a:fillRect/>
        </a:stretch>
      </xdr:blipFill>
      <xdr:spPr>
        <a:xfrm>
          <a:off x="7235825" y="5528141725"/>
          <a:ext cx="878840" cy="1183640"/>
        </a:xfrm>
        <a:prstGeom prst="rect">
          <a:avLst/>
        </a:prstGeom>
      </xdr:spPr>
    </xdr:pic>
    <xdr:clientData/>
  </xdr:twoCellAnchor>
  <xdr:twoCellAnchor>
    <xdr:from>
      <xdr:col>9</xdr:col>
      <xdr:colOff>6350</xdr:colOff>
      <xdr:row>5404</xdr:row>
      <xdr:rowOff>25400</xdr:rowOff>
    </xdr:from>
    <xdr:to>
      <xdr:col>9</xdr:col>
      <xdr:colOff>885190</xdr:colOff>
      <xdr:row>5404</xdr:row>
      <xdr:rowOff>1209040</xdr:rowOff>
    </xdr:to>
    <xdr:pic>
      <xdr:nvPicPr>
        <xdr:cNvPr id="9600" name="Изображение 9599" descr="resizeПП-00122393"/>
        <xdr:cNvPicPr>
          <a:picLocks noChangeAspect="1"/>
        </xdr:cNvPicPr>
      </xdr:nvPicPr>
      <xdr:blipFill>
        <a:blip xmlns:r="http://schemas.openxmlformats.org/officeDocument/2006/relationships" r:embed="rId4209"/>
        <a:stretch>
          <a:fillRect/>
        </a:stretch>
      </xdr:blipFill>
      <xdr:spPr>
        <a:xfrm>
          <a:off x="7235825" y="5529364100"/>
          <a:ext cx="878840" cy="1183640"/>
        </a:xfrm>
        <a:prstGeom prst="rect">
          <a:avLst/>
        </a:prstGeom>
      </xdr:spPr>
    </xdr:pic>
    <xdr:clientData/>
  </xdr:twoCellAnchor>
  <xdr:twoCellAnchor>
    <xdr:from>
      <xdr:col>9</xdr:col>
      <xdr:colOff>6350</xdr:colOff>
      <xdr:row>5405</xdr:row>
      <xdr:rowOff>25400</xdr:rowOff>
    </xdr:from>
    <xdr:to>
      <xdr:col>9</xdr:col>
      <xdr:colOff>885190</xdr:colOff>
      <xdr:row>5405</xdr:row>
      <xdr:rowOff>1209040</xdr:rowOff>
    </xdr:to>
    <xdr:pic>
      <xdr:nvPicPr>
        <xdr:cNvPr id="9601" name="Изображение 9600" descr="resizeПП-00207992"/>
        <xdr:cNvPicPr>
          <a:picLocks noChangeAspect="1"/>
        </xdr:cNvPicPr>
      </xdr:nvPicPr>
      <xdr:blipFill>
        <a:blip xmlns:r="http://schemas.openxmlformats.org/officeDocument/2006/relationships" r:embed="rId4210"/>
        <a:stretch>
          <a:fillRect/>
        </a:stretch>
      </xdr:blipFill>
      <xdr:spPr>
        <a:xfrm>
          <a:off x="7235825" y="5530586475"/>
          <a:ext cx="878840" cy="1183640"/>
        </a:xfrm>
        <a:prstGeom prst="rect">
          <a:avLst/>
        </a:prstGeom>
      </xdr:spPr>
    </xdr:pic>
    <xdr:clientData/>
  </xdr:twoCellAnchor>
  <xdr:twoCellAnchor>
    <xdr:from>
      <xdr:col>9</xdr:col>
      <xdr:colOff>6350</xdr:colOff>
      <xdr:row>5407</xdr:row>
      <xdr:rowOff>25400</xdr:rowOff>
    </xdr:from>
    <xdr:to>
      <xdr:col>9</xdr:col>
      <xdr:colOff>885190</xdr:colOff>
      <xdr:row>5407</xdr:row>
      <xdr:rowOff>1209040</xdr:rowOff>
    </xdr:to>
    <xdr:pic>
      <xdr:nvPicPr>
        <xdr:cNvPr id="9602" name="Изображение 9601" descr="resizeПП-00228283"/>
        <xdr:cNvPicPr>
          <a:picLocks noChangeAspect="1"/>
        </xdr:cNvPicPr>
      </xdr:nvPicPr>
      <xdr:blipFill>
        <a:blip xmlns:r="http://schemas.openxmlformats.org/officeDocument/2006/relationships" r:embed="rId4211"/>
        <a:stretch>
          <a:fillRect/>
        </a:stretch>
      </xdr:blipFill>
      <xdr:spPr>
        <a:xfrm>
          <a:off x="7235825" y="5531961250"/>
          <a:ext cx="878840" cy="1183640"/>
        </a:xfrm>
        <a:prstGeom prst="rect">
          <a:avLst/>
        </a:prstGeom>
      </xdr:spPr>
    </xdr:pic>
    <xdr:clientData/>
  </xdr:twoCellAnchor>
  <xdr:twoCellAnchor>
    <xdr:from>
      <xdr:col>9</xdr:col>
      <xdr:colOff>6350</xdr:colOff>
      <xdr:row>5408</xdr:row>
      <xdr:rowOff>25400</xdr:rowOff>
    </xdr:from>
    <xdr:to>
      <xdr:col>9</xdr:col>
      <xdr:colOff>885190</xdr:colOff>
      <xdr:row>5408</xdr:row>
      <xdr:rowOff>1209040</xdr:rowOff>
    </xdr:to>
    <xdr:pic>
      <xdr:nvPicPr>
        <xdr:cNvPr id="9603" name="Изображение 9602" descr="resizeПП-00207998"/>
        <xdr:cNvPicPr>
          <a:picLocks noChangeAspect="1"/>
        </xdr:cNvPicPr>
      </xdr:nvPicPr>
      <xdr:blipFill>
        <a:blip xmlns:r="http://schemas.openxmlformats.org/officeDocument/2006/relationships" r:embed="rId4212"/>
        <a:stretch>
          <a:fillRect/>
        </a:stretch>
      </xdr:blipFill>
      <xdr:spPr>
        <a:xfrm>
          <a:off x="7235825" y="5533183625"/>
          <a:ext cx="878840" cy="1183640"/>
        </a:xfrm>
        <a:prstGeom prst="rect">
          <a:avLst/>
        </a:prstGeom>
      </xdr:spPr>
    </xdr:pic>
    <xdr:clientData/>
  </xdr:twoCellAnchor>
  <xdr:twoCellAnchor>
    <xdr:from>
      <xdr:col>9</xdr:col>
      <xdr:colOff>6350</xdr:colOff>
      <xdr:row>5409</xdr:row>
      <xdr:rowOff>25400</xdr:rowOff>
    </xdr:from>
    <xdr:to>
      <xdr:col>9</xdr:col>
      <xdr:colOff>885190</xdr:colOff>
      <xdr:row>5409</xdr:row>
      <xdr:rowOff>1209040</xdr:rowOff>
    </xdr:to>
    <xdr:pic>
      <xdr:nvPicPr>
        <xdr:cNvPr id="9604" name="Изображение 9603" descr="resizeПП-00228277"/>
        <xdr:cNvPicPr>
          <a:picLocks noChangeAspect="1"/>
        </xdr:cNvPicPr>
      </xdr:nvPicPr>
      <xdr:blipFill>
        <a:blip xmlns:r="http://schemas.openxmlformats.org/officeDocument/2006/relationships" r:embed="rId4213"/>
        <a:stretch>
          <a:fillRect/>
        </a:stretch>
      </xdr:blipFill>
      <xdr:spPr>
        <a:xfrm>
          <a:off x="7235825" y="5534406000"/>
          <a:ext cx="878840" cy="1183640"/>
        </a:xfrm>
        <a:prstGeom prst="rect">
          <a:avLst/>
        </a:prstGeom>
      </xdr:spPr>
    </xdr:pic>
    <xdr:clientData/>
  </xdr:twoCellAnchor>
  <xdr:twoCellAnchor>
    <xdr:from>
      <xdr:col>9</xdr:col>
      <xdr:colOff>6350</xdr:colOff>
      <xdr:row>5410</xdr:row>
      <xdr:rowOff>25400</xdr:rowOff>
    </xdr:from>
    <xdr:to>
      <xdr:col>9</xdr:col>
      <xdr:colOff>885190</xdr:colOff>
      <xdr:row>5410</xdr:row>
      <xdr:rowOff>1209040</xdr:rowOff>
    </xdr:to>
    <xdr:pic>
      <xdr:nvPicPr>
        <xdr:cNvPr id="9605" name="Изображение 9604" descr="resizeПП-00228275"/>
        <xdr:cNvPicPr>
          <a:picLocks noChangeAspect="1"/>
        </xdr:cNvPicPr>
      </xdr:nvPicPr>
      <xdr:blipFill>
        <a:blip xmlns:r="http://schemas.openxmlformats.org/officeDocument/2006/relationships" r:embed="rId4214"/>
        <a:stretch>
          <a:fillRect/>
        </a:stretch>
      </xdr:blipFill>
      <xdr:spPr>
        <a:xfrm>
          <a:off x="7235825" y="5535628375"/>
          <a:ext cx="878840" cy="1183640"/>
        </a:xfrm>
        <a:prstGeom prst="rect">
          <a:avLst/>
        </a:prstGeom>
      </xdr:spPr>
    </xdr:pic>
    <xdr:clientData/>
  </xdr:twoCellAnchor>
  <xdr:twoCellAnchor>
    <xdr:from>
      <xdr:col>9</xdr:col>
      <xdr:colOff>6350</xdr:colOff>
      <xdr:row>5411</xdr:row>
      <xdr:rowOff>25400</xdr:rowOff>
    </xdr:from>
    <xdr:to>
      <xdr:col>9</xdr:col>
      <xdr:colOff>885190</xdr:colOff>
      <xdr:row>5411</xdr:row>
      <xdr:rowOff>1209040</xdr:rowOff>
    </xdr:to>
    <xdr:pic>
      <xdr:nvPicPr>
        <xdr:cNvPr id="9606" name="Изображение 9605" descr="resizeПП-00228279"/>
        <xdr:cNvPicPr>
          <a:picLocks noChangeAspect="1"/>
        </xdr:cNvPicPr>
      </xdr:nvPicPr>
      <xdr:blipFill>
        <a:blip xmlns:r="http://schemas.openxmlformats.org/officeDocument/2006/relationships" r:embed="rId4215"/>
        <a:stretch>
          <a:fillRect/>
        </a:stretch>
      </xdr:blipFill>
      <xdr:spPr>
        <a:xfrm>
          <a:off x="7235825" y="5536850750"/>
          <a:ext cx="878840" cy="1183640"/>
        </a:xfrm>
        <a:prstGeom prst="rect">
          <a:avLst/>
        </a:prstGeom>
      </xdr:spPr>
    </xdr:pic>
    <xdr:clientData/>
  </xdr:twoCellAnchor>
  <xdr:twoCellAnchor>
    <xdr:from>
      <xdr:col>9</xdr:col>
      <xdr:colOff>6350</xdr:colOff>
      <xdr:row>5412</xdr:row>
      <xdr:rowOff>25400</xdr:rowOff>
    </xdr:from>
    <xdr:to>
      <xdr:col>9</xdr:col>
      <xdr:colOff>885190</xdr:colOff>
      <xdr:row>5412</xdr:row>
      <xdr:rowOff>1209040</xdr:rowOff>
    </xdr:to>
    <xdr:pic>
      <xdr:nvPicPr>
        <xdr:cNvPr id="9607" name="Изображение 9606" descr="resizeПП-00228285"/>
        <xdr:cNvPicPr>
          <a:picLocks noChangeAspect="1"/>
        </xdr:cNvPicPr>
      </xdr:nvPicPr>
      <xdr:blipFill>
        <a:blip xmlns:r="http://schemas.openxmlformats.org/officeDocument/2006/relationships" r:embed="rId4216"/>
        <a:stretch>
          <a:fillRect/>
        </a:stretch>
      </xdr:blipFill>
      <xdr:spPr>
        <a:xfrm>
          <a:off x="7235825" y="5538073125"/>
          <a:ext cx="878840" cy="1183640"/>
        </a:xfrm>
        <a:prstGeom prst="rect">
          <a:avLst/>
        </a:prstGeom>
      </xdr:spPr>
    </xdr:pic>
    <xdr:clientData/>
  </xdr:twoCellAnchor>
  <xdr:twoCellAnchor>
    <xdr:from>
      <xdr:col>9</xdr:col>
      <xdr:colOff>6350</xdr:colOff>
      <xdr:row>5413</xdr:row>
      <xdr:rowOff>25400</xdr:rowOff>
    </xdr:from>
    <xdr:to>
      <xdr:col>9</xdr:col>
      <xdr:colOff>885190</xdr:colOff>
      <xdr:row>5413</xdr:row>
      <xdr:rowOff>1209040</xdr:rowOff>
    </xdr:to>
    <xdr:pic>
      <xdr:nvPicPr>
        <xdr:cNvPr id="9608" name="Изображение 9607" descr="resizeПП-00207996"/>
        <xdr:cNvPicPr>
          <a:picLocks noChangeAspect="1"/>
        </xdr:cNvPicPr>
      </xdr:nvPicPr>
      <xdr:blipFill>
        <a:blip xmlns:r="http://schemas.openxmlformats.org/officeDocument/2006/relationships" r:embed="rId4217"/>
        <a:stretch>
          <a:fillRect/>
        </a:stretch>
      </xdr:blipFill>
      <xdr:spPr>
        <a:xfrm>
          <a:off x="7235825" y="5539295500"/>
          <a:ext cx="878840" cy="1183640"/>
        </a:xfrm>
        <a:prstGeom prst="rect">
          <a:avLst/>
        </a:prstGeom>
      </xdr:spPr>
    </xdr:pic>
    <xdr:clientData/>
  </xdr:twoCellAnchor>
  <xdr:twoCellAnchor>
    <xdr:from>
      <xdr:col>9</xdr:col>
      <xdr:colOff>6350</xdr:colOff>
      <xdr:row>5414</xdr:row>
      <xdr:rowOff>25400</xdr:rowOff>
    </xdr:from>
    <xdr:to>
      <xdr:col>9</xdr:col>
      <xdr:colOff>885190</xdr:colOff>
      <xdr:row>5414</xdr:row>
      <xdr:rowOff>1209040</xdr:rowOff>
    </xdr:to>
    <xdr:pic>
      <xdr:nvPicPr>
        <xdr:cNvPr id="9609" name="Изображение 9608" descr="resizeПП-00207993"/>
        <xdr:cNvPicPr>
          <a:picLocks noChangeAspect="1"/>
        </xdr:cNvPicPr>
      </xdr:nvPicPr>
      <xdr:blipFill>
        <a:blip xmlns:r="http://schemas.openxmlformats.org/officeDocument/2006/relationships" r:embed="rId4218"/>
        <a:stretch>
          <a:fillRect/>
        </a:stretch>
      </xdr:blipFill>
      <xdr:spPr>
        <a:xfrm>
          <a:off x="7235825" y="5540517875"/>
          <a:ext cx="878840" cy="1183640"/>
        </a:xfrm>
        <a:prstGeom prst="rect">
          <a:avLst/>
        </a:prstGeom>
      </xdr:spPr>
    </xdr:pic>
    <xdr:clientData/>
  </xdr:twoCellAnchor>
  <xdr:twoCellAnchor>
    <xdr:from>
      <xdr:col>9</xdr:col>
      <xdr:colOff>6350</xdr:colOff>
      <xdr:row>5416</xdr:row>
      <xdr:rowOff>25400</xdr:rowOff>
    </xdr:from>
    <xdr:to>
      <xdr:col>9</xdr:col>
      <xdr:colOff>885190</xdr:colOff>
      <xdr:row>5416</xdr:row>
      <xdr:rowOff>1209040</xdr:rowOff>
    </xdr:to>
    <xdr:pic>
      <xdr:nvPicPr>
        <xdr:cNvPr id="9610" name="Изображение 9609" descr="resizeПП-00228983"/>
        <xdr:cNvPicPr>
          <a:picLocks noChangeAspect="1"/>
        </xdr:cNvPicPr>
      </xdr:nvPicPr>
      <xdr:blipFill>
        <a:blip xmlns:r="http://schemas.openxmlformats.org/officeDocument/2006/relationships" r:embed="rId4219"/>
        <a:stretch>
          <a:fillRect/>
        </a:stretch>
      </xdr:blipFill>
      <xdr:spPr>
        <a:xfrm>
          <a:off x="7235825" y="5541892650"/>
          <a:ext cx="878840" cy="1183640"/>
        </a:xfrm>
        <a:prstGeom prst="rect">
          <a:avLst/>
        </a:prstGeom>
      </xdr:spPr>
    </xdr:pic>
    <xdr:clientData/>
  </xdr:twoCellAnchor>
  <xdr:twoCellAnchor>
    <xdr:from>
      <xdr:col>9</xdr:col>
      <xdr:colOff>6350</xdr:colOff>
      <xdr:row>5418</xdr:row>
      <xdr:rowOff>25400</xdr:rowOff>
    </xdr:from>
    <xdr:to>
      <xdr:col>9</xdr:col>
      <xdr:colOff>885190</xdr:colOff>
      <xdr:row>5418</xdr:row>
      <xdr:rowOff>1209040</xdr:rowOff>
    </xdr:to>
    <xdr:pic>
      <xdr:nvPicPr>
        <xdr:cNvPr id="9611" name="Изображение 9610" descr="resizeПП-00207715"/>
        <xdr:cNvPicPr>
          <a:picLocks noChangeAspect="1"/>
        </xdr:cNvPicPr>
      </xdr:nvPicPr>
      <xdr:blipFill>
        <a:blip xmlns:r="http://schemas.openxmlformats.org/officeDocument/2006/relationships" r:embed="rId4220"/>
        <a:stretch>
          <a:fillRect/>
        </a:stretch>
      </xdr:blipFill>
      <xdr:spPr>
        <a:xfrm>
          <a:off x="7235825" y="5543267425"/>
          <a:ext cx="878840" cy="1183640"/>
        </a:xfrm>
        <a:prstGeom prst="rect">
          <a:avLst/>
        </a:prstGeom>
      </xdr:spPr>
    </xdr:pic>
    <xdr:clientData/>
  </xdr:twoCellAnchor>
  <xdr:twoCellAnchor>
    <xdr:from>
      <xdr:col>9</xdr:col>
      <xdr:colOff>6350</xdr:colOff>
      <xdr:row>5420</xdr:row>
      <xdr:rowOff>25400</xdr:rowOff>
    </xdr:from>
    <xdr:to>
      <xdr:col>9</xdr:col>
      <xdr:colOff>885190</xdr:colOff>
      <xdr:row>5420</xdr:row>
      <xdr:rowOff>1209040</xdr:rowOff>
    </xdr:to>
    <xdr:pic>
      <xdr:nvPicPr>
        <xdr:cNvPr id="9612" name="Изображение 9611" descr="resizeПП-00251240"/>
        <xdr:cNvPicPr>
          <a:picLocks noChangeAspect="1"/>
        </xdr:cNvPicPr>
      </xdr:nvPicPr>
      <xdr:blipFill>
        <a:blip xmlns:r="http://schemas.openxmlformats.org/officeDocument/2006/relationships" r:embed="rId4221"/>
        <a:stretch>
          <a:fillRect/>
        </a:stretch>
      </xdr:blipFill>
      <xdr:spPr>
        <a:xfrm>
          <a:off x="7235825" y="5544642200"/>
          <a:ext cx="878840" cy="1183640"/>
        </a:xfrm>
        <a:prstGeom prst="rect">
          <a:avLst/>
        </a:prstGeom>
      </xdr:spPr>
    </xdr:pic>
    <xdr:clientData/>
  </xdr:twoCellAnchor>
  <xdr:twoCellAnchor>
    <xdr:from>
      <xdr:col>9</xdr:col>
      <xdr:colOff>6350</xdr:colOff>
      <xdr:row>5421</xdr:row>
      <xdr:rowOff>25400</xdr:rowOff>
    </xdr:from>
    <xdr:to>
      <xdr:col>9</xdr:col>
      <xdr:colOff>885190</xdr:colOff>
      <xdr:row>5421</xdr:row>
      <xdr:rowOff>1209040</xdr:rowOff>
    </xdr:to>
    <xdr:pic>
      <xdr:nvPicPr>
        <xdr:cNvPr id="9613" name="Изображение 9612" descr="resizeПП-00228126"/>
        <xdr:cNvPicPr>
          <a:picLocks noChangeAspect="1"/>
        </xdr:cNvPicPr>
      </xdr:nvPicPr>
      <xdr:blipFill>
        <a:blip xmlns:r="http://schemas.openxmlformats.org/officeDocument/2006/relationships" r:embed="rId4222"/>
        <a:stretch>
          <a:fillRect/>
        </a:stretch>
      </xdr:blipFill>
      <xdr:spPr>
        <a:xfrm>
          <a:off x="7235825" y="5545864575"/>
          <a:ext cx="878840" cy="1183640"/>
        </a:xfrm>
        <a:prstGeom prst="rect">
          <a:avLst/>
        </a:prstGeom>
      </xdr:spPr>
    </xdr:pic>
    <xdr:clientData/>
  </xdr:twoCellAnchor>
  <xdr:twoCellAnchor>
    <xdr:from>
      <xdr:col>9</xdr:col>
      <xdr:colOff>6350</xdr:colOff>
      <xdr:row>5422</xdr:row>
      <xdr:rowOff>25400</xdr:rowOff>
    </xdr:from>
    <xdr:to>
      <xdr:col>9</xdr:col>
      <xdr:colOff>885190</xdr:colOff>
      <xdr:row>5422</xdr:row>
      <xdr:rowOff>1209040</xdr:rowOff>
    </xdr:to>
    <xdr:pic>
      <xdr:nvPicPr>
        <xdr:cNvPr id="9614" name="Изображение 9613" descr="resizeПП-00228129"/>
        <xdr:cNvPicPr>
          <a:picLocks noChangeAspect="1"/>
        </xdr:cNvPicPr>
      </xdr:nvPicPr>
      <xdr:blipFill>
        <a:blip xmlns:r="http://schemas.openxmlformats.org/officeDocument/2006/relationships" r:embed="rId4223"/>
        <a:stretch>
          <a:fillRect/>
        </a:stretch>
      </xdr:blipFill>
      <xdr:spPr>
        <a:xfrm>
          <a:off x="7235825" y="5547086950"/>
          <a:ext cx="878840" cy="1183640"/>
        </a:xfrm>
        <a:prstGeom prst="rect">
          <a:avLst/>
        </a:prstGeom>
      </xdr:spPr>
    </xdr:pic>
    <xdr:clientData/>
  </xdr:twoCellAnchor>
  <xdr:twoCellAnchor>
    <xdr:from>
      <xdr:col>9</xdr:col>
      <xdr:colOff>6350</xdr:colOff>
      <xdr:row>5423</xdr:row>
      <xdr:rowOff>25400</xdr:rowOff>
    </xdr:from>
    <xdr:to>
      <xdr:col>9</xdr:col>
      <xdr:colOff>885190</xdr:colOff>
      <xdr:row>5423</xdr:row>
      <xdr:rowOff>1209040</xdr:rowOff>
    </xdr:to>
    <xdr:pic>
      <xdr:nvPicPr>
        <xdr:cNvPr id="9615" name="Изображение 9614" descr="resizeПП-00228128"/>
        <xdr:cNvPicPr>
          <a:picLocks noChangeAspect="1"/>
        </xdr:cNvPicPr>
      </xdr:nvPicPr>
      <xdr:blipFill>
        <a:blip xmlns:r="http://schemas.openxmlformats.org/officeDocument/2006/relationships" r:embed="rId4224"/>
        <a:stretch>
          <a:fillRect/>
        </a:stretch>
      </xdr:blipFill>
      <xdr:spPr>
        <a:xfrm>
          <a:off x="7235825" y="5548309325"/>
          <a:ext cx="878840" cy="1183640"/>
        </a:xfrm>
        <a:prstGeom prst="rect">
          <a:avLst/>
        </a:prstGeom>
      </xdr:spPr>
    </xdr:pic>
    <xdr:clientData/>
  </xdr:twoCellAnchor>
  <xdr:twoCellAnchor>
    <xdr:from>
      <xdr:col>9</xdr:col>
      <xdr:colOff>6350</xdr:colOff>
      <xdr:row>5424</xdr:row>
      <xdr:rowOff>25400</xdr:rowOff>
    </xdr:from>
    <xdr:to>
      <xdr:col>9</xdr:col>
      <xdr:colOff>885190</xdr:colOff>
      <xdr:row>5424</xdr:row>
      <xdr:rowOff>1209040</xdr:rowOff>
    </xdr:to>
    <xdr:pic>
      <xdr:nvPicPr>
        <xdr:cNvPr id="9616" name="Изображение 9615" descr="resizeПП-00228127"/>
        <xdr:cNvPicPr>
          <a:picLocks noChangeAspect="1"/>
        </xdr:cNvPicPr>
      </xdr:nvPicPr>
      <xdr:blipFill>
        <a:blip xmlns:r="http://schemas.openxmlformats.org/officeDocument/2006/relationships" r:embed="rId4225"/>
        <a:stretch>
          <a:fillRect/>
        </a:stretch>
      </xdr:blipFill>
      <xdr:spPr>
        <a:xfrm>
          <a:off x="7235825" y="5549531700"/>
          <a:ext cx="878840" cy="1183640"/>
        </a:xfrm>
        <a:prstGeom prst="rect">
          <a:avLst/>
        </a:prstGeom>
      </xdr:spPr>
    </xdr:pic>
    <xdr:clientData/>
  </xdr:twoCellAnchor>
  <xdr:twoCellAnchor>
    <xdr:from>
      <xdr:col>9</xdr:col>
      <xdr:colOff>6350</xdr:colOff>
      <xdr:row>5427</xdr:row>
      <xdr:rowOff>25400</xdr:rowOff>
    </xdr:from>
    <xdr:to>
      <xdr:col>9</xdr:col>
      <xdr:colOff>885190</xdr:colOff>
      <xdr:row>5427</xdr:row>
      <xdr:rowOff>1209040</xdr:rowOff>
    </xdr:to>
    <xdr:pic>
      <xdr:nvPicPr>
        <xdr:cNvPr id="9617" name="Изображение 9616" descr="resizeПП-00221604"/>
        <xdr:cNvPicPr>
          <a:picLocks noChangeAspect="1"/>
        </xdr:cNvPicPr>
      </xdr:nvPicPr>
      <xdr:blipFill>
        <a:blip xmlns:r="http://schemas.openxmlformats.org/officeDocument/2006/relationships" r:embed="rId4226"/>
        <a:stretch>
          <a:fillRect/>
        </a:stretch>
      </xdr:blipFill>
      <xdr:spPr>
        <a:xfrm>
          <a:off x="7235825" y="5551058875"/>
          <a:ext cx="878840" cy="1183640"/>
        </a:xfrm>
        <a:prstGeom prst="rect">
          <a:avLst/>
        </a:prstGeom>
      </xdr:spPr>
    </xdr:pic>
    <xdr:clientData/>
  </xdr:twoCellAnchor>
  <xdr:twoCellAnchor>
    <xdr:from>
      <xdr:col>9</xdr:col>
      <xdr:colOff>6350</xdr:colOff>
      <xdr:row>5428</xdr:row>
      <xdr:rowOff>25400</xdr:rowOff>
    </xdr:from>
    <xdr:to>
      <xdr:col>9</xdr:col>
      <xdr:colOff>885190</xdr:colOff>
      <xdr:row>5428</xdr:row>
      <xdr:rowOff>1209040</xdr:rowOff>
    </xdr:to>
    <xdr:pic>
      <xdr:nvPicPr>
        <xdr:cNvPr id="9618" name="Изображение 9617" descr="resizeПП-00221603"/>
        <xdr:cNvPicPr>
          <a:picLocks noChangeAspect="1"/>
        </xdr:cNvPicPr>
      </xdr:nvPicPr>
      <xdr:blipFill>
        <a:blip xmlns:r="http://schemas.openxmlformats.org/officeDocument/2006/relationships" r:embed="rId4227"/>
        <a:stretch>
          <a:fillRect/>
        </a:stretch>
      </xdr:blipFill>
      <xdr:spPr>
        <a:xfrm>
          <a:off x="7235825" y="5552281250"/>
          <a:ext cx="878840" cy="1183640"/>
        </a:xfrm>
        <a:prstGeom prst="rect">
          <a:avLst/>
        </a:prstGeom>
      </xdr:spPr>
    </xdr:pic>
    <xdr:clientData/>
  </xdr:twoCellAnchor>
  <xdr:twoCellAnchor>
    <xdr:from>
      <xdr:col>9</xdr:col>
      <xdr:colOff>6350</xdr:colOff>
      <xdr:row>5429</xdr:row>
      <xdr:rowOff>25400</xdr:rowOff>
    </xdr:from>
    <xdr:to>
      <xdr:col>9</xdr:col>
      <xdr:colOff>885190</xdr:colOff>
      <xdr:row>5429</xdr:row>
      <xdr:rowOff>1209040</xdr:rowOff>
    </xdr:to>
    <xdr:pic>
      <xdr:nvPicPr>
        <xdr:cNvPr id="9619" name="Изображение 9618" descr="resizeПП-00221601"/>
        <xdr:cNvPicPr>
          <a:picLocks noChangeAspect="1"/>
        </xdr:cNvPicPr>
      </xdr:nvPicPr>
      <xdr:blipFill>
        <a:blip xmlns:r="http://schemas.openxmlformats.org/officeDocument/2006/relationships" r:embed="rId4228"/>
        <a:stretch>
          <a:fillRect/>
        </a:stretch>
      </xdr:blipFill>
      <xdr:spPr>
        <a:xfrm>
          <a:off x="7235825" y="5553503625"/>
          <a:ext cx="878840" cy="1183640"/>
        </a:xfrm>
        <a:prstGeom prst="rect">
          <a:avLst/>
        </a:prstGeom>
      </xdr:spPr>
    </xdr:pic>
    <xdr:clientData/>
  </xdr:twoCellAnchor>
  <xdr:twoCellAnchor>
    <xdr:from>
      <xdr:col>9</xdr:col>
      <xdr:colOff>6350</xdr:colOff>
      <xdr:row>5431</xdr:row>
      <xdr:rowOff>25400</xdr:rowOff>
    </xdr:from>
    <xdr:to>
      <xdr:col>9</xdr:col>
      <xdr:colOff>885190</xdr:colOff>
      <xdr:row>5431</xdr:row>
      <xdr:rowOff>1209040</xdr:rowOff>
    </xdr:to>
    <xdr:pic>
      <xdr:nvPicPr>
        <xdr:cNvPr id="9620" name="Изображение 9619" descr="resizeПП-00228289"/>
        <xdr:cNvPicPr>
          <a:picLocks noChangeAspect="1"/>
        </xdr:cNvPicPr>
      </xdr:nvPicPr>
      <xdr:blipFill>
        <a:blip xmlns:r="http://schemas.openxmlformats.org/officeDocument/2006/relationships" r:embed="rId4229"/>
        <a:stretch>
          <a:fillRect/>
        </a:stretch>
      </xdr:blipFill>
      <xdr:spPr>
        <a:xfrm>
          <a:off x="7235825" y="5554878400"/>
          <a:ext cx="878840" cy="1183640"/>
        </a:xfrm>
        <a:prstGeom prst="rect">
          <a:avLst/>
        </a:prstGeom>
      </xdr:spPr>
    </xdr:pic>
    <xdr:clientData/>
  </xdr:twoCellAnchor>
  <xdr:twoCellAnchor>
    <xdr:from>
      <xdr:col>9</xdr:col>
      <xdr:colOff>6350</xdr:colOff>
      <xdr:row>5432</xdr:row>
      <xdr:rowOff>25400</xdr:rowOff>
    </xdr:from>
    <xdr:to>
      <xdr:col>9</xdr:col>
      <xdr:colOff>885190</xdr:colOff>
      <xdr:row>5432</xdr:row>
      <xdr:rowOff>1209040</xdr:rowOff>
    </xdr:to>
    <xdr:pic>
      <xdr:nvPicPr>
        <xdr:cNvPr id="9621" name="Изображение 9620" descr="resizeПП-00228291"/>
        <xdr:cNvPicPr>
          <a:picLocks noChangeAspect="1"/>
        </xdr:cNvPicPr>
      </xdr:nvPicPr>
      <xdr:blipFill>
        <a:blip xmlns:r="http://schemas.openxmlformats.org/officeDocument/2006/relationships" r:embed="rId4230"/>
        <a:stretch>
          <a:fillRect/>
        </a:stretch>
      </xdr:blipFill>
      <xdr:spPr>
        <a:xfrm>
          <a:off x="7235825" y="5556100775"/>
          <a:ext cx="878840" cy="1183640"/>
        </a:xfrm>
        <a:prstGeom prst="rect">
          <a:avLst/>
        </a:prstGeom>
      </xdr:spPr>
    </xdr:pic>
    <xdr:clientData/>
  </xdr:twoCellAnchor>
  <xdr:twoCellAnchor>
    <xdr:from>
      <xdr:col>9</xdr:col>
      <xdr:colOff>6350</xdr:colOff>
      <xdr:row>5433</xdr:row>
      <xdr:rowOff>25400</xdr:rowOff>
    </xdr:from>
    <xdr:to>
      <xdr:col>9</xdr:col>
      <xdr:colOff>885190</xdr:colOff>
      <xdr:row>5433</xdr:row>
      <xdr:rowOff>1209040</xdr:rowOff>
    </xdr:to>
    <xdr:pic>
      <xdr:nvPicPr>
        <xdr:cNvPr id="9622" name="Изображение 9621" descr="resizeПП-00122364"/>
        <xdr:cNvPicPr>
          <a:picLocks noChangeAspect="1"/>
        </xdr:cNvPicPr>
      </xdr:nvPicPr>
      <xdr:blipFill>
        <a:blip xmlns:r="http://schemas.openxmlformats.org/officeDocument/2006/relationships" r:embed="rId4231"/>
        <a:stretch>
          <a:fillRect/>
        </a:stretch>
      </xdr:blipFill>
      <xdr:spPr>
        <a:xfrm>
          <a:off x="7235825" y="5557323150"/>
          <a:ext cx="878840" cy="1183640"/>
        </a:xfrm>
        <a:prstGeom prst="rect">
          <a:avLst/>
        </a:prstGeom>
      </xdr:spPr>
    </xdr:pic>
    <xdr:clientData/>
  </xdr:twoCellAnchor>
  <xdr:twoCellAnchor>
    <xdr:from>
      <xdr:col>9</xdr:col>
      <xdr:colOff>6350</xdr:colOff>
      <xdr:row>5434</xdr:row>
      <xdr:rowOff>25400</xdr:rowOff>
    </xdr:from>
    <xdr:to>
      <xdr:col>9</xdr:col>
      <xdr:colOff>885190</xdr:colOff>
      <xdr:row>5434</xdr:row>
      <xdr:rowOff>1209040</xdr:rowOff>
    </xdr:to>
    <xdr:pic>
      <xdr:nvPicPr>
        <xdr:cNvPr id="9623" name="Изображение 9622" descr="resizeПП-00122365"/>
        <xdr:cNvPicPr>
          <a:picLocks noChangeAspect="1"/>
        </xdr:cNvPicPr>
      </xdr:nvPicPr>
      <xdr:blipFill>
        <a:blip xmlns:r="http://schemas.openxmlformats.org/officeDocument/2006/relationships" r:embed="rId4232"/>
        <a:stretch>
          <a:fillRect/>
        </a:stretch>
      </xdr:blipFill>
      <xdr:spPr>
        <a:xfrm>
          <a:off x="7235825" y="5558545525"/>
          <a:ext cx="878840" cy="1183640"/>
        </a:xfrm>
        <a:prstGeom prst="rect">
          <a:avLst/>
        </a:prstGeom>
      </xdr:spPr>
    </xdr:pic>
    <xdr:clientData/>
  </xdr:twoCellAnchor>
  <xdr:twoCellAnchor>
    <xdr:from>
      <xdr:col>9</xdr:col>
      <xdr:colOff>6350</xdr:colOff>
      <xdr:row>5435</xdr:row>
      <xdr:rowOff>25400</xdr:rowOff>
    </xdr:from>
    <xdr:to>
      <xdr:col>9</xdr:col>
      <xdr:colOff>885190</xdr:colOff>
      <xdr:row>5435</xdr:row>
      <xdr:rowOff>1209040</xdr:rowOff>
    </xdr:to>
    <xdr:pic>
      <xdr:nvPicPr>
        <xdr:cNvPr id="9624" name="Изображение 9623" descr="resizeПП-00122368"/>
        <xdr:cNvPicPr>
          <a:picLocks noChangeAspect="1"/>
        </xdr:cNvPicPr>
      </xdr:nvPicPr>
      <xdr:blipFill>
        <a:blip xmlns:r="http://schemas.openxmlformats.org/officeDocument/2006/relationships" r:embed="rId4233"/>
        <a:stretch>
          <a:fillRect/>
        </a:stretch>
      </xdr:blipFill>
      <xdr:spPr>
        <a:xfrm>
          <a:off x="7235825" y="5559767900"/>
          <a:ext cx="878840" cy="1183640"/>
        </a:xfrm>
        <a:prstGeom prst="rect">
          <a:avLst/>
        </a:prstGeom>
      </xdr:spPr>
    </xdr:pic>
    <xdr:clientData/>
  </xdr:twoCellAnchor>
  <xdr:twoCellAnchor>
    <xdr:from>
      <xdr:col>9</xdr:col>
      <xdr:colOff>6350</xdr:colOff>
      <xdr:row>5436</xdr:row>
      <xdr:rowOff>25400</xdr:rowOff>
    </xdr:from>
    <xdr:to>
      <xdr:col>9</xdr:col>
      <xdr:colOff>885190</xdr:colOff>
      <xdr:row>5436</xdr:row>
      <xdr:rowOff>1209040</xdr:rowOff>
    </xdr:to>
    <xdr:pic>
      <xdr:nvPicPr>
        <xdr:cNvPr id="9625" name="Изображение 9624" descr="resizeПП-00209848"/>
        <xdr:cNvPicPr>
          <a:picLocks noChangeAspect="1"/>
        </xdr:cNvPicPr>
      </xdr:nvPicPr>
      <xdr:blipFill>
        <a:blip xmlns:r="http://schemas.openxmlformats.org/officeDocument/2006/relationships" r:embed="rId4234"/>
        <a:stretch>
          <a:fillRect/>
        </a:stretch>
      </xdr:blipFill>
      <xdr:spPr>
        <a:xfrm>
          <a:off x="7235825" y="5560990275"/>
          <a:ext cx="878840" cy="1183640"/>
        </a:xfrm>
        <a:prstGeom prst="rect">
          <a:avLst/>
        </a:prstGeom>
      </xdr:spPr>
    </xdr:pic>
    <xdr:clientData/>
  </xdr:twoCellAnchor>
  <xdr:twoCellAnchor>
    <xdr:from>
      <xdr:col>9</xdr:col>
      <xdr:colOff>6350</xdr:colOff>
      <xdr:row>5437</xdr:row>
      <xdr:rowOff>25400</xdr:rowOff>
    </xdr:from>
    <xdr:to>
      <xdr:col>9</xdr:col>
      <xdr:colOff>885190</xdr:colOff>
      <xdr:row>5437</xdr:row>
      <xdr:rowOff>1209040</xdr:rowOff>
    </xdr:to>
    <xdr:pic>
      <xdr:nvPicPr>
        <xdr:cNvPr id="9626" name="Изображение 9625" descr="resizeПП-00233148"/>
        <xdr:cNvPicPr>
          <a:picLocks noChangeAspect="1"/>
        </xdr:cNvPicPr>
      </xdr:nvPicPr>
      <xdr:blipFill>
        <a:blip xmlns:r="http://schemas.openxmlformats.org/officeDocument/2006/relationships" r:embed="rId4235"/>
        <a:stretch>
          <a:fillRect/>
        </a:stretch>
      </xdr:blipFill>
      <xdr:spPr>
        <a:xfrm>
          <a:off x="7235825" y="5562212650"/>
          <a:ext cx="878840" cy="1183640"/>
        </a:xfrm>
        <a:prstGeom prst="rect">
          <a:avLst/>
        </a:prstGeom>
      </xdr:spPr>
    </xdr:pic>
    <xdr:clientData/>
  </xdr:twoCellAnchor>
  <xdr:twoCellAnchor>
    <xdr:from>
      <xdr:col>9</xdr:col>
      <xdr:colOff>6350</xdr:colOff>
      <xdr:row>5438</xdr:row>
      <xdr:rowOff>25400</xdr:rowOff>
    </xdr:from>
    <xdr:to>
      <xdr:col>9</xdr:col>
      <xdr:colOff>885190</xdr:colOff>
      <xdr:row>5438</xdr:row>
      <xdr:rowOff>1209040</xdr:rowOff>
    </xdr:to>
    <xdr:pic>
      <xdr:nvPicPr>
        <xdr:cNvPr id="9627" name="Изображение 9626" descr="resizeПП-00233150"/>
        <xdr:cNvPicPr>
          <a:picLocks noChangeAspect="1"/>
        </xdr:cNvPicPr>
      </xdr:nvPicPr>
      <xdr:blipFill>
        <a:blip xmlns:r="http://schemas.openxmlformats.org/officeDocument/2006/relationships" r:embed="rId4236"/>
        <a:stretch>
          <a:fillRect/>
        </a:stretch>
      </xdr:blipFill>
      <xdr:spPr>
        <a:xfrm>
          <a:off x="7235825" y="5563435025"/>
          <a:ext cx="878840" cy="1183640"/>
        </a:xfrm>
        <a:prstGeom prst="rect">
          <a:avLst/>
        </a:prstGeom>
      </xdr:spPr>
    </xdr:pic>
    <xdr:clientData/>
  </xdr:twoCellAnchor>
  <xdr:twoCellAnchor>
    <xdr:from>
      <xdr:col>9</xdr:col>
      <xdr:colOff>6350</xdr:colOff>
      <xdr:row>5440</xdr:row>
      <xdr:rowOff>25400</xdr:rowOff>
    </xdr:from>
    <xdr:to>
      <xdr:col>9</xdr:col>
      <xdr:colOff>885190</xdr:colOff>
      <xdr:row>5440</xdr:row>
      <xdr:rowOff>1209040</xdr:rowOff>
    </xdr:to>
    <xdr:pic>
      <xdr:nvPicPr>
        <xdr:cNvPr id="9628" name="Изображение 9627" descr="resizeПП-00172261"/>
        <xdr:cNvPicPr>
          <a:picLocks noChangeAspect="1"/>
        </xdr:cNvPicPr>
      </xdr:nvPicPr>
      <xdr:blipFill>
        <a:blip xmlns:r="http://schemas.openxmlformats.org/officeDocument/2006/relationships" r:embed="rId4237"/>
        <a:stretch>
          <a:fillRect/>
        </a:stretch>
      </xdr:blipFill>
      <xdr:spPr>
        <a:xfrm>
          <a:off x="7235825" y="5564809800"/>
          <a:ext cx="878840" cy="1183640"/>
        </a:xfrm>
        <a:prstGeom prst="rect">
          <a:avLst/>
        </a:prstGeom>
      </xdr:spPr>
    </xdr:pic>
    <xdr:clientData/>
  </xdr:twoCellAnchor>
  <xdr:twoCellAnchor>
    <xdr:from>
      <xdr:col>9</xdr:col>
      <xdr:colOff>6350</xdr:colOff>
      <xdr:row>5441</xdr:row>
      <xdr:rowOff>25400</xdr:rowOff>
    </xdr:from>
    <xdr:to>
      <xdr:col>9</xdr:col>
      <xdr:colOff>885190</xdr:colOff>
      <xdr:row>5441</xdr:row>
      <xdr:rowOff>1209040</xdr:rowOff>
    </xdr:to>
    <xdr:pic>
      <xdr:nvPicPr>
        <xdr:cNvPr id="9629" name="Изображение 9628" descr="resizeПП-00224708"/>
        <xdr:cNvPicPr>
          <a:picLocks noChangeAspect="1"/>
        </xdr:cNvPicPr>
      </xdr:nvPicPr>
      <xdr:blipFill>
        <a:blip xmlns:r="http://schemas.openxmlformats.org/officeDocument/2006/relationships" r:embed="rId4238"/>
        <a:stretch>
          <a:fillRect/>
        </a:stretch>
      </xdr:blipFill>
      <xdr:spPr>
        <a:xfrm>
          <a:off x="7235825" y="5566032175"/>
          <a:ext cx="878840" cy="1183640"/>
        </a:xfrm>
        <a:prstGeom prst="rect">
          <a:avLst/>
        </a:prstGeom>
      </xdr:spPr>
    </xdr:pic>
    <xdr:clientData/>
  </xdr:twoCellAnchor>
  <xdr:twoCellAnchor>
    <xdr:from>
      <xdr:col>9</xdr:col>
      <xdr:colOff>6350</xdr:colOff>
      <xdr:row>5442</xdr:row>
      <xdr:rowOff>25400</xdr:rowOff>
    </xdr:from>
    <xdr:to>
      <xdr:col>9</xdr:col>
      <xdr:colOff>885190</xdr:colOff>
      <xdr:row>5442</xdr:row>
      <xdr:rowOff>1209040</xdr:rowOff>
    </xdr:to>
    <xdr:pic>
      <xdr:nvPicPr>
        <xdr:cNvPr id="9630" name="Изображение 9629" descr="resizeПП-00224711"/>
        <xdr:cNvPicPr>
          <a:picLocks noChangeAspect="1"/>
        </xdr:cNvPicPr>
      </xdr:nvPicPr>
      <xdr:blipFill>
        <a:blip xmlns:r="http://schemas.openxmlformats.org/officeDocument/2006/relationships" r:embed="rId4239"/>
        <a:stretch>
          <a:fillRect/>
        </a:stretch>
      </xdr:blipFill>
      <xdr:spPr>
        <a:xfrm>
          <a:off x="7235825" y="5567254550"/>
          <a:ext cx="878840" cy="1183640"/>
        </a:xfrm>
        <a:prstGeom prst="rect">
          <a:avLst/>
        </a:prstGeom>
      </xdr:spPr>
    </xdr:pic>
    <xdr:clientData/>
  </xdr:twoCellAnchor>
  <xdr:twoCellAnchor>
    <xdr:from>
      <xdr:col>9</xdr:col>
      <xdr:colOff>6350</xdr:colOff>
      <xdr:row>5443</xdr:row>
      <xdr:rowOff>25400</xdr:rowOff>
    </xdr:from>
    <xdr:to>
      <xdr:col>9</xdr:col>
      <xdr:colOff>885190</xdr:colOff>
      <xdr:row>5443</xdr:row>
      <xdr:rowOff>1209040</xdr:rowOff>
    </xdr:to>
    <xdr:pic>
      <xdr:nvPicPr>
        <xdr:cNvPr id="9631" name="Изображение 9630" descr="resizeПП-00229012"/>
        <xdr:cNvPicPr>
          <a:picLocks noChangeAspect="1"/>
        </xdr:cNvPicPr>
      </xdr:nvPicPr>
      <xdr:blipFill>
        <a:blip xmlns:r="http://schemas.openxmlformats.org/officeDocument/2006/relationships" r:embed="rId4240"/>
        <a:stretch>
          <a:fillRect/>
        </a:stretch>
      </xdr:blipFill>
      <xdr:spPr>
        <a:xfrm>
          <a:off x="7235825" y="5568476925"/>
          <a:ext cx="878840" cy="1183640"/>
        </a:xfrm>
        <a:prstGeom prst="rect">
          <a:avLst/>
        </a:prstGeom>
      </xdr:spPr>
    </xdr:pic>
    <xdr:clientData/>
  </xdr:twoCellAnchor>
  <xdr:twoCellAnchor>
    <xdr:from>
      <xdr:col>9</xdr:col>
      <xdr:colOff>6350</xdr:colOff>
      <xdr:row>5444</xdr:row>
      <xdr:rowOff>25400</xdr:rowOff>
    </xdr:from>
    <xdr:to>
      <xdr:col>9</xdr:col>
      <xdr:colOff>885190</xdr:colOff>
      <xdr:row>5444</xdr:row>
      <xdr:rowOff>1209040</xdr:rowOff>
    </xdr:to>
    <xdr:pic>
      <xdr:nvPicPr>
        <xdr:cNvPr id="9632" name="Изображение 9631" descr="resizeПП-00229010"/>
        <xdr:cNvPicPr>
          <a:picLocks noChangeAspect="1"/>
        </xdr:cNvPicPr>
      </xdr:nvPicPr>
      <xdr:blipFill>
        <a:blip xmlns:r="http://schemas.openxmlformats.org/officeDocument/2006/relationships" r:embed="rId4241"/>
        <a:stretch>
          <a:fillRect/>
        </a:stretch>
      </xdr:blipFill>
      <xdr:spPr>
        <a:xfrm>
          <a:off x="7235825" y="5569699300"/>
          <a:ext cx="878840" cy="1183640"/>
        </a:xfrm>
        <a:prstGeom prst="rect">
          <a:avLst/>
        </a:prstGeom>
      </xdr:spPr>
    </xdr:pic>
    <xdr:clientData/>
  </xdr:twoCellAnchor>
  <xdr:twoCellAnchor>
    <xdr:from>
      <xdr:col>9</xdr:col>
      <xdr:colOff>6350</xdr:colOff>
      <xdr:row>5445</xdr:row>
      <xdr:rowOff>25400</xdr:rowOff>
    </xdr:from>
    <xdr:to>
      <xdr:col>9</xdr:col>
      <xdr:colOff>885190</xdr:colOff>
      <xdr:row>5445</xdr:row>
      <xdr:rowOff>1209040</xdr:rowOff>
    </xdr:to>
    <xdr:pic>
      <xdr:nvPicPr>
        <xdr:cNvPr id="9633" name="Изображение 9632" descr="resizeПП-00122411"/>
        <xdr:cNvPicPr>
          <a:picLocks noChangeAspect="1"/>
        </xdr:cNvPicPr>
      </xdr:nvPicPr>
      <xdr:blipFill>
        <a:blip xmlns:r="http://schemas.openxmlformats.org/officeDocument/2006/relationships" r:embed="rId4242"/>
        <a:stretch>
          <a:fillRect/>
        </a:stretch>
      </xdr:blipFill>
      <xdr:spPr>
        <a:xfrm>
          <a:off x="7235825" y="5570921675"/>
          <a:ext cx="878840" cy="1183640"/>
        </a:xfrm>
        <a:prstGeom prst="rect">
          <a:avLst/>
        </a:prstGeom>
      </xdr:spPr>
    </xdr:pic>
    <xdr:clientData/>
  </xdr:twoCellAnchor>
  <xdr:twoCellAnchor>
    <xdr:from>
      <xdr:col>9</xdr:col>
      <xdr:colOff>6350</xdr:colOff>
      <xdr:row>5446</xdr:row>
      <xdr:rowOff>25400</xdr:rowOff>
    </xdr:from>
    <xdr:to>
      <xdr:col>9</xdr:col>
      <xdr:colOff>885190</xdr:colOff>
      <xdr:row>5446</xdr:row>
      <xdr:rowOff>1209040</xdr:rowOff>
    </xdr:to>
    <xdr:pic>
      <xdr:nvPicPr>
        <xdr:cNvPr id="9634" name="Изображение 9633" descr="resizeПП-00209877"/>
        <xdr:cNvPicPr>
          <a:picLocks noChangeAspect="1"/>
        </xdr:cNvPicPr>
      </xdr:nvPicPr>
      <xdr:blipFill>
        <a:blip xmlns:r="http://schemas.openxmlformats.org/officeDocument/2006/relationships" r:embed="rId4243"/>
        <a:stretch>
          <a:fillRect/>
        </a:stretch>
      </xdr:blipFill>
      <xdr:spPr>
        <a:xfrm>
          <a:off x="7235825" y="5572144050"/>
          <a:ext cx="878840" cy="1183640"/>
        </a:xfrm>
        <a:prstGeom prst="rect">
          <a:avLst/>
        </a:prstGeom>
      </xdr:spPr>
    </xdr:pic>
    <xdr:clientData/>
  </xdr:twoCellAnchor>
  <xdr:twoCellAnchor>
    <xdr:from>
      <xdr:col>9</xdr:col>
      <xdr:colOff>6350</xdr:colOff>
      <xdr:row>5447</xdr:row>
      <xdr:rowOff>25400</xdr:rowOff>
    </xdr:from>
    <xdr:to>
      <xdr:col>9</xdr:col>
      <xdr:colOff>885190</xdr:colOff>
      <xdr:row>5447</xdr:row>
      <xdr:rowOff>1209040</xdr:rowOff>
    </xdr:to>
    <xdr:pic>
      <xdr:nvPicPr>
        <xdr:cNvPr id="9635" name="Изображение 9634" descr="resizeПП-00209868"/>
        <xdr:cNvPicPr>
          <a:picLocks noChangeAspect="1"/>
        </xdr:cNvPicPr>
      </xdr:nvPicPr>
      <xdr:blipFill>
        <a:blip xmlns:r="http://schemas.openxmlformats.org/officeDocument/2006/relationships" r:embed="rId4244"/>
        <a:stretch>
          <a:fillRect/>
        </a:stretch>
      </xdr:blipFill>
      <xdr:spPr>
        <a:xfrm>
          <a:off x="7235825" y="5573366425"/>
          <a:ext cx="878840" cy="1183640"/>
        </a:xfrm>
        <a:prstGeom prst="rect">
          <a:avLst/>
        </a:prstGeom>
      </xdr:spPr>
    </xdr:pic>
    <xdr:clientData/>
  </xdr:twoCellAnchor>
  <xdr:twoCellAnchor>
    <xdr:from>
      <xdr:col>9</xdr:col>
      <xdr:colOff>6350</xdr:colOff>
      <xdr:row>5448</xdr:row>
      <xdr:rowOff>25400</xdr:rowOff>
    </xdr:from>
    <xdr:to>
      <xdr:col>9</xdr:col>
      <xdr:colOff>885190</xdr:colOff>
      <xdr:row>5448</xdr:row>
      <xdr:rowOff>1209040</xdr:rowOff>
    </xdr:to>
    <xdr:pic>
      <xdr:nvPicPr>
        <xdr:cNvPr id="9636" name="Изображение 9635" descr="resizeПП-00122360"/>
        <xdr:cNvPicPr>
          <a:picLocks noChangeAspect="1"/>
        </xdr:cNvPicPr>
      </xdr:nvPicPr>
      <xdr:blipFill>
        <a:blip xmlns:r="http://schemas.openxmlformats.org/officeDocument/2006/relationships" r:embed="rId4245"/>
        <a:stretch>
          <a:fillRect/>
        </a:stretch>
      </xdr:blipFill>
      <xdr:spPr>
        <a:xfrm>
          <a:off x="7235825" y="5574588800"/>
          <a:ext cx="878840" cy="1183640"/>
        </a:xfrm>
        <a:prstGeom prst="rect">
          <a:avLst/>
        </a:prstGeom>
      </xdr:spPr>
    </xdr:pic>
    <xdr:clientData/>
  </xdr:twoCellAnchor>
  <xdr:twoCellAnchor>
    <xdr:from>
      <xdr:col>9</xdr:col>
      <xdr:colOff>6350</xdr:colOff>
      <xdr:row>5449</xdr:row>
      <xdr:rowOff>25400</xdr:rowOff>
    </xdr:from>
    <xdr:to>
      <xdr:col>9</xdr:col>
      <xdr:colOff>885190</xdr:colOff>
      <xdr:row>5449</xdr:row>
      <xdr:rowOff>1209040</xdr:rowOff>
    </xdr:to>
    <xdr:pic>
      <xdr:nvPicPr>
        <xdr:cNvPr id="9637" name="Изображение 9636" descr="resizeПП-00122362"/>
        <xdr:cNvPicPr>
          <a:picLocks noChangeAspect="1"/>
        </xdr:cNvPicPr>
      </xdr:nvPicPr>
      <xdr:blipFill>
        <a:blip xmlns:r="http://schemas.openxmlformats.org/officeDocument/2006/relationships" r:embed="rId4246"/>
        <a:stretch>
          <a:fillRect/>
        </a:stretch>
      </xdr:blipFill>
      <xdr:spPr>
        <a:xfrm>
          <a:off x="7235825" y="5575811175"/>
          <a:ext cx="878840" cy="1183640"/>
        </a:xfrm>
        <a:prstGeom prst="rect">
          <a:avLst/>
        </a:prstGeom>
      </xdr:spPr>
    </xdr:pic>
    <xdr:clientData/>
  </xdr:twoCellAnchor>
  <xdr:twoCellAnchor>
    <xdr:from>
      <xdr:col>9</xdr:col>
      <xdr:colOff>6350</xdr:colOff>
      <xdr:row>5450</xdr:row>
      <xdr:rowOff>25400</xdr:rowOff>
    </xdr:from>
    <xdr:to>
      <xdr:col>9</xdr:col>
      <xdr:colOff>885190</xdr:colOff>
      <xdr:row>5450</xdr:row>
      <xdr:rowOff>1209040</xdr:rowOff>
    </xdr:to>
    <xdr:pic>
      <xdr:nvPicPr>
        <xdr:cNvPr id="9638" name="Изображение 9637" descr="resizeПП-00122361"/>
        <xdr:cNvPicPr>
          <a:picLocks noChangeAspect="1"/>
        </xdr:cNvPicPr>
      </xdr:nvPicPr>
      <xdr:blipFill>
        <a:blip xmlns:r="http://schemas.openxmlformats.org/officeDocument/2006/relationships" r:embed="rId4247"/>
        <a:stretch>
          <a:fillRect/>
        </a:stretch>
      </xdr:blipFill>
      <xdr:spPr>
        <a:xfrm>
          <a:off x="7235825" y="5577033550"/>
          <a:ext cx="878840" cy="1183640"/>
        </a:xfrm>
        <a:prstGeom prst="rect">
          <a:avLst/>
        </a:prstGeom>
      </xdr:spPr>
    </xdr:pic>
    <xdr:clientData/>
  </xdr:twoCellAnchor>
  <xdr:twoCellAnchor>
    <xdr:from>
      <xdr:col>9</xdr:col>
      <xdr:colOff>6350</xdr:colOff>
      <xdr:row>5451</xdr:row>
      <xdr:rowOff>25400</xdr:rowOff>
    </xdr:from>
    <xdr:to>
      <xdr:col>9</xdr:col>
      <xdr:colOff>885190</xdr:colOff>
      <xdr:row>5451</xdr:row>
      <xdr:rowOff>1209040</xdr:rowOff>
    </xdr:to>
    <xdr:pic>
      <xdr:nvPicPr>
        <xdr:cNvPr id="9639" name="Изображение 9638" descr="resizeПП-00209858"/>
        <xdr:cNvPicPr>
          <a:picLocks noChangeAspect="1"/>
        </xdr:cNvPicPr>
      </xdr:nvPicPr>
      <xdr:blipFill>
        <a:blip xmlns:r="http://schemas.openxmlformats.org/officeDocument/2006/relationships" r:embed="rId4248"/>
        <a:stretch>
          <a:fillRect/>
        </a:stretch>
      </xdr:blipFill>
      <xdr:spPr>
        <a:xfrm>
          <a:off x="7235825" y="5578255925"/>
          <a:ext cx="878840" cy="1183640"/>
        </a:xfrm>
        <a:prstGeom prst="rect">
          <a:avLst/>
        </a:prstGeom>
      </xdr:spPr>
    </xdr:pic>
    <xdr:clientData/>
  </xdr:twoCellAnchor>
  <xdr:twoCellAnchor>
    <xdr:from>
      <xdr:col>9</xdr:col>
      <xdr:colOff>6350</xdr:colOff>
      <xdr:row>5452</xdr:row>
      <xdr:rowOff>25400</xdr:rowOff>
    </xdr:from>
    <xdr:to>
      <xdr:col>9</xdr:col>
      <xdr:colOff>885190</xdr:colOff>
      <xdr:row>5452</xdr:row>
      <xdr:rowOff>1209040</xdr:rowOff>
    </xdr:to>
    <xdr:pic>
      <xdr:nvPicPr>
        <xdr:cNvPr id="9640" name="Изображение 9639" descr="resizeПП-00209885"/>
        <xdr:cNvPicPr>
          <a:picLocks noChangeAspect="1"/>
        </xdr:cNvPicPr>
      </xdr:nvPicPr>
      <xdr:blipFill>
        <a:blip xmlns:r="http://schemas.openxmlformats.org/officeDocument/2006/relationships" r:embed="rId4249"/>
        <a:stretch>
          <a:fillRect/>
        </a:stretch>
      </xdr:blipFill>
      <xdr:spPr>
        <a:xfrm>
          <a:off x="7235825" y="5579478300"/>
          <a:ext cx="878840" cy="1183640"/>
        </a:xfrm>
        <a:prstGeom prst="rect">
          <a:avLst/>
        </a:prstGeom>
      </xdr:spPr>
    </xdr:pic>
    <xdr:clientData/>
  </xdr:twoCellAnchor>
  <xdr:twoCellAnchor>
    <xdr:from>
      <xdr:col>9</xdr:col>
      <xdr:colOff>6350</xdr:colOff>
      <xdr:row>5453</xdr:row>
      <xdr:rowOff>25400</xdr:rowOff>
    </xdr:from>
    <xdr:to>
      <xdr:col>9</xdr:col>
      <xdr:colOff>885190</xdr:colOff>
      <xdr:row>5453</xdr:row>
      <xdr:rowOff>1209040</xdr:rowOff>
    </xdr:to>
    <xdr:pic>
      <xdr:nvPicPr>
        <xdr:cNvPr id="9641" name="Изображение 9640" descr="resizeПП-00122354"/>
        <xdr:cNvPicPr>
          <a:picLocks noChangeAspect="1"/>
        </xdr:cNvPicPr>
      </xdr:nvPicPr>
      <xdr:blipFill>
        <a:blip xmlns:r="http://schemas.openxmlformats.org/officeDocument/2006/relationships" r:embed="rId4250"/>
        <a:stretch>
          <a:fillRect/>
        </a:stretch>
      </xdr:blipFill>
      <xdr:spPr>
        <a:xfrm>
          <a:off x="7235825" y="5580700675"/>
          <a:ext cx="878840" cy="1183640"/>
        </a:xfrm>
        <a:prstGeom prst="rect">
          <a:avLst/>
        </a:prstGeom>
      </xdr:spPr>
    </xdr:pic>
    <xdr:clientData/>
  </xdr:twoCellAnchor>
  <xdr:twoCellAnchor>
    <xdr:from>
      <xdr:col>9</xdr:col>
      <xdr:colOff>6350</xdr:colOff>
      <xdr:row>5454</xdr:row>
      <xdr:rowOff>25400</xdr:rowOff>
    </xdr:from>
    <xdr:to>
      <xdr:col>9</xdr:col>
      <xdr:colOff>885190</xdr:colOff>
      <xdr:row>5454</xdr:row>
      <xdr:rowOff>1209040</xdr:rowOff>
    </xdr:to>
    <xdr:pic>
      <xdr:nvPicPr>
        <xdr:cNvPr id="9642" name="Изображение 9641" descr="resizeПП-00209584"/>
        <xdr:cNvPicPr>
          <a:picLocks noChangeAspect="1"/>
        </xdr:cNvPicPr>
      </xdr:nvPicPr>
      <xdr:blipFill>
        <a:blip xmlns:r="http://schemas.openxmlformats.org/officeDocument/2006/relationships" r:embed="rId4251"/>
        <a:stretch>
          <a:fillRect/>
        </a:stretch>
      </xdr:blipFill>
      <xdr:spPr>
        <a:xfrm>
          <a:off x="7235825" y="5581923050"/>
          <a:ext cx="878840" cy="1183640"/>
        </a:xfrm>
        <a:prstGeom prst="rect">
          <a:avLst/>
        </a:prstGeom>
      </xdr:spPr>
    </xdr:pic>
    <xdr:clientData/>
  </xdr:twoCellAnchor>
  <xdr:twoCellAnchor>
    <xdr:from>
      <xdr:col>9</xdr:col>
      <xdr:colOff>6350</xdr:colOff>
      <xdr:row>5455</xdr:row>
      <xdr:rowOff>25400</xdr:rowOff>
    </xdr:from>
    <xdr:to>
      <xdr:col>9</xdr:col>
      <xdr:colOff>885190</xdr:colOff>
      <xdr:row>5455</xdr:row>
      <xdr:rowOff>1209040</xdr:rowOff>
    </xdr:to>
    <xdr:pic>
      <xdr:nvPicPr>
        <xdr:cNvPr id="9643" name="Изображение 9642" descr="resizeПП-00209869"/>
        <xdr:cNvPicPr>
          <a:picLocks noChangeAspect="1"/>
        </xdr:cNvPicPr>
      </xdr:nvPicPr>
      <xdr:blipFill>
        <a:blip xmlns:r="http://schemas.openxmlformats.org/officeDocument/2006/relationships" r:embed="rId4252"/>
        <a:stretch>
          <a:fillRect/>
        </a:stretch>
      </xdr:blipFill>
      <xdr:spPr>
        <a:xfrm>
          <a:off x="7235825" y="5583145425"/>
          <a:ext cx="878840" cy="1183640"/>
        </a:xfrm>
        <a:prstGeom prst="rect">
          <a:avLst/>
        </a:prstGeom>
      </xdr:spPr>
    </xdr:pic>
    <xdr:clientData/>
  </xdr:twoCellAnchor>
  <xdr:twoCellAnchor>
    <xdr:from>
      <xdr:col>9</xdr:col>
      <xdr:colOff>6350</xdr:colOff>
      <xdr:row>5456</xdr:row>
      <xdr:rowOff>25400</xdr:rowOff>
    </xdr:from>
    <xdr:to>
      <xdr:col>9</xdr:col>
      <xdr:colOff>885190</xdr:colOff>
      <xdr:row>5456</xdr:row>
      <xdr:rowOff>1209040</xdr:rowOff>
    </xdr:to>
    <xdr:pic>
      <xdr:nvPicPr>
        <xdr:cNvPr id="9644" name="Изображение 9643" descr="resizeПП-00209572"/>
        <xdr:cNvPicPr>
          <a:picLocks noChangeAspect="1"/>
        </xdr:cNvPicPr>
      </xdr:nvPicPr>
      <xdr:blipFill>
        <a:blip xmlns:r="http://schemas.openxmlformats.org/officeDocument/2006/relationships" r:embed="rId4253"/>
        <a:stretch>
          <a:fillRect/>
        </a:stretch>
      </xdr:blipFill>
      <xdr:spPr>
        <a:xfrm>
          <a:off x="7235825" y="5584367800"/>
          <a:ext cx="878840" cy="1183640"/>
        </a:xfrm>
        <a:prstGeom prst="rect">
          <a:avLst/>
        </a:prstGeom>
      </xdr:spPr>
    </xdr:pic>
    <xdr:clientData/>
  </xdr:twoCellAnchor>
  <xdr:twoCellAnchor>
    <xdr:from>
      <xdr:col>9</xdr:col>
      <xdr:colOff>6350</xdr:colOff>
      <xdr:row>5458</xdr:row>
      <xdr:rowOff>25400</xdr:rowOff>
    </xdr:from>
    <xdr:to>
      <xdr:col>9</xdr:col>
      <xdr:colOff>885190</xdr:colOff>
      <xdr:row>5458</xdr:row>
      <xdr:rowOff>1209040</xdr:rowOff>
    </xdr:to>
    <xdr:pic>
      <xdr:nvPicPr>
        <xdr:cNvPr id="9645" name="Изображение 9644" descr="resizeПП-00122462"/>
        <xdr:cNvPicPr>
          <a:picLocks noChangeAspect="1"/>
        </xdr:cNvPicPr>
      </xdr:nvPicPr>
      <xdr:blipFill>
        <a:blip xmlns:r="http://schemas.openxmlformats.org/officeDocument/2006/relationships" r:embed="rId4254"/>
        <a:stretch>
          <a:fillRect/>
        </a:stretch>
      </xdr:blipFill>
      <xdr:spPr>
        <a:xfrm>
          <a:off x="7235825" y="5585742575"/>
          <a:ext cx="878840" cy="1183640"/>
        </a:xfrm>
        <a:prstGeom prst="rect">
          <a:avLst/>
        </a:prstGeom>
      </xdr:spPr>
    </xdr:pic>
    <xdr:clientData/>
  </xdr:twoCellAnchor>
  <xdr:twoCellAnchor>
    <xdr:from>
      <xdr:col>9</xdr:col>
      <xdr:colOff>6350</xdr:colOff>
      <xdr:row>5459</xdr:row>
      <xdr:rowOff>25400</xdr:rowOff>
    </xdr:from>
    <xdr:to>
      <xdr:col>9</xdr:col>
      <xdr:colOff>885190</xdr:colOff>
      <xdr:row>5459</xdr:row>
      <xdr:rowOff>1209040</xdr:rowOff>
    </xdr:to>
    <xdr:pic>
      <xdr:nvPicPr>
        <xdr:cNvPr id="9646" name="Изображение 9645" descr="resizeПП-00122463"/>
        <xdr:cNvPicPr>
          <a:picLocks noChangeAspect="1"/>
        </xdr:cNvPicPr>
      </xdr:nvPicPr>
      <xdr:blipFill>
        <a:blip xmlns:r="http://schemas.openxmlformats.org/officeDocument/2006/relationships" r:embed="rId4255"/>
        <a:stretch>
          <a:fillRect/>
        </a:stretch>
      </xdr:blipFill>
      <xdr:spPr>
        <a:xfrm>
          <a:off x="7235825" y="5586964950"/>
          <a:ext cx="878840" cy="1183640"/>
        </a:xfrm>
        <a:prstGeom prst="rect">
          <a:avLst/>
        </a:prstGeom>
      </xdr:spPr>
    </xdr:pic>
    <xdr:clientData/>
  </xdr:twoCellAnchor>
  <xdr:twoCellAnchor>
    <xdr:from>
      <xdr:col>9</xdr:col>
      <xdr:colOff>6350</xdr:colOff>
      <xdr:row>5460</xdr:row>
      <xdr:rowOff>25400</xdr:rowOff>
    </xdr:from>
    <xdr:to>
      <xdr:col>9</xdr:col>
      <xdr:colOff>885190</xdr:colOff>
      <xdr:row>5460</xdr:row>
      <xdr:rowOff>1209040</xdr:rowOff>
    </xdr:to>
    <xdr:pic>
      <xdr:nvPicPr>
        <xdr:cNvPr id="9647" name="Изображение 9646" descr="resizeПП-00122469"/>
        <xdr:cNvPicPr>
          <a:picLocks noChangeAspect="1"/>
        </xdr:cNvPicPr>
      </xdr:nvPicPr>
      <xdr:blipFill>
        <a:blip xmlns:r="http://schemas.openxmlformats.org/officeDocument/2006/relationships" r:embed="rId4256"/>
        <a:stretch>
          <a:fillRect/>
        </a:stretch>
      </xdr:blipFill>
      <xdr:spPr>
        <a:xfrm>
          <a:off x="7235825" y="5588187325"/>
          <a:ext cx="878840" cy="1183640"/>
        </a:xfrm>
        <a:prstGeom prst="rect">
          <a:avLst/>
        </a:prstGeom>
      </xdr:spPr>
    </xdr:pic>
    <xdr:clientData/>
  </xdr:twoCellAnchor>
  <xdr:twoCellAnchor>
    <xdr:from>
      <xdr:col>9</xdr:col>
      <xdr:colOff>6350</xdr:colOff>
      <xdr:row>5461</xdr:row>
      <xdr:rowOff>25400</xdr:rowOff>
    </xdr:from>
    <xdr:to>
      <xdr:col>9</xdr:col>
      <xdr:colOff>885190</xdr:colOff>
      <xdr:row>5461</xdr:row>
      <xdr:rowOff>1209040</xdr:rowOff>
    </xdr:to>
    <xdr:pic>
      <xdr:nvPicPr>
        <xdr:cNvPr id="9648" name="Изображение 9647" descr="resizeПП-00208003"/>
        <xdr:cNvPicPr>
          <a:picLocks noChangeAspect="1"/>
        </xdr:cNvPicPr>
      </xdr:nvPicPr>
      <xdr:blipFill>
        <a:blip xmlns:r="http://schemas.openxmlformats.org/officeDocument/2006/relationships" r:embed="rId4257"/>
        <a:stretch>
          <a:fillRect/>
        </a:stretch>
      </xdr:blipFill>
      <xdr:spPr>
        <a:xfrm>
          <a:off x="7235825" y="5589409700"/>
          <a:ext cx="878840" cy="1183640"/>
        </a:xfrm>
        <a:prstGeom prst="rect">
          <a:avLst/>
        </a:prstGeom>
      </xdr:spPr>
    </xdr:pic>
    <xdr:clientData/>
  </xdr:twoCellAnchor>
  <xdr:twoCellAnchor>
    <xdr:from>
      <xdr:col>9</xdr:col>
      <xdr:colOff>6350</xdr:colOff>
      <xdr:row>5462</xdr:row>
      <xdr:rowOff>25400</xdr:rowOff>
    </xdr:from>
    <xdr:to>
      <xdr:col>9</xdr:col>
      <xdr:colOff>885190</xdr:colOff>
      <xdr:row>5462</xdr:row>
      <xdr:rowOff>1209040</xdr:rowOff>
    </xdr:to>
    <xdr:pic>
      <xdr:nvPicPr>
        <xdr:cNvPr id="9649" name="Изображение 9648" descr="resizeПП-00208006"/>
        <xdr:cNvPicPr>
          <a:picLocks noChangeAspect="1"/>
        </xdr:cNvPicPr>
      </xdr:nvPicPr>
      <xdr:blipFill>
        <a:blip xmlns:r="http://schemas.openxmlformats.org/officeDocument/2006/relationships" r:embed="rId4258"/>
        <a:stretch>
          <a:fillRect/>
        </a:stretch>
      </xdr:blipFill>
      <xdr:spPr>
        <a:xfrm>
          <a:off x="7235825" y="5590632075"/>
          <a:ext cx="878840" cy="1183640"/>
        </a:xfrm>
        <a:prstGeom prst="rect">
          <a:avLst/>
        </a:prstGeom>
      </xdr:spPr>
    </xdr:pic>
    <xdr:clientData/>
  </xdr:twoCellAnchor>
  <xdr:twoCellAnchor>
    <xdr:from>
      <xdr:col>9</xdr:col>
      <xdr:colOff>6350</xdr:colOff>
      <xdr:row>5463</xdr:row>
      <xdr:rowOff>25400</xdr:rowOff>
    </xdr:from>
    <xdr:to>
      <xdr:col>9</xdr:col>
      <xdr:colOff>885190</xdr:colOff>
      <xdr:row>5463</xdr:row>
      <xdr:rowOff>1209040</xdr:rowOff>
    </xdr:to>
    <xdr:pic>
      <xdr:nvPicPr>
        <xdr:cNvPr id="9650" name="Изображение 9649" descr="resizeПП-00208005"/>
        <xdr:cNvPicPr>
          <a:picLocks noChangeAspect="1"/>
        </xdr:cNvPicPr>
      </xdr:nvPicPr>
      <xdr:blipFill>
        <a:blip xmlns:r="http://schemas.openxmlformats.org/officeDocument/2006/relationships" r:embed="rId4259"/>
        <a:stretch>
          <a:fillRect/>
        </a:stretch>
      </xdr:blipFill>
      <xdr:spPr>
        <a:xfrm>
          <a:off x="7235825" y="5591854450"/>
          <a:ext cx="878840" cy="1183640"/>
        </a:xfrm>
        <a:prstGeom prst="rect">
          <a:avLst/>
        </a:prstGeom>
      </xdr:spPr>
    </xdr:pic>
    <xdr:clientData/>
  </xdr:twoCellAnchor>
  <xdr:twoCellAnchor>
    <xdr:from>
      <xdr:col>9</xdr:col>
      <xdr:colOff>6350</xdr:colOff>
      <xdr:row>5464</xdr:row>
      <xdr:rowOff>25400</xdr:rowOff>
    </xdr:from>
    <xdr:to>
      <xdr:col>9</xdr:col>
      <xdr:colOff>885190</xdr:colOff>
      <xdr:row>5464</xdr:row>
      <xdr:rowOff>1209040</xdr:rowOff>
    </xdr:to>
    <xdr:pic>
      <xdr:nvPicPr>
        <xdr:cNvPr id="9651" name="Изображение 9650" descr="resizeПП-00254368"/>
        <xdr:cNvPicPr>
          <a:picLocks noChangeAspect="1"/>
        </xdr:cNvPicPr>
      </xdr:nvPicPr>
      <xdr:blipFill>
        <a:blip xmlns:r="http://schemas.openxmlformats.org/officeDocument/2006/relationships" r:embed="rId4260"/>
        <a:stretch>
          <a:fillRect/>
        </a:stretch>
      </xdr:blipFill>
      <xdr:spPr>
        <a:xfrm>
          <a:off x="7235825" y="5593076825"/>
          <a:ext cx="878840" cy="1183640"/>
        </a:xfrm>
        <a:prstGeom prst="rect">
          <a:avLst/>
        </a:prstGeom>
      </xdr:spPr>
    </xdr:pic>
    <xdr:clientData/>
  </xdr:twoCellAnchor>
  <xdr:twoCellAnchor>
    <xdr:from>
      <xdr:col>9</xdr:col>
      <xdr:colOff>6350</xdr:colOff>
      <xdr:row>5465</xdr:row>
      <xdr:rowOff>25400</xdr:rowOff>
    </xdr:from>
    <xdr:to>
      <xdr:col>9</xdr:col>
      <xdr:colOff>885190</xdr:colOff>
      <xdr:row>5465</xdr:row>
      <xdr:rowOff>1209040</xdr:rowOff>
    </xdr:to>
    <xdr:pic>
      <xdr:nvPicPr>
        <xdr:cNvPr id="9652" name="Изображение 9651" descr="resizeПП-00254351"/>
        <xdr:cNvPicPr>
          <a:picLocks noChangeAspect="1"/>
        </xdr:cNvPicPr>
      </xdr:nvPicPr>
      <xdr:blipFill>
        <a:blip xmlns:r="http://schemas.openxmlformats.org/officeDocument/2006/relationships" r:embed="rId4261"/>
        <a:stretch>
          <a:fillRect/>
        </a:stretch>
      </xdr:blipFill>
      <xdr:spPr>
        <a:xfrm>
          <a:off x="7235825" y="5594299200"/>
          <a:ext cx="878840" cy="1183640"/>
        </a:xfrm>
        <a:prstGeom prst="rect">
          <a:avLst/>
        </a:prstGeom>
      </xdr:spPr>
    </xdr:pic>
    <xdr:clientData/>
  </xdr:twoCellAnchor>
  <xdr:twoCellAnchor>
    <xdr:from>
      <xdr:col>9</xdr:col>
      <xdr:colOff>6350</xdr:colOff>
      <xdr:row>5466</xdr:row>
      <xdr:rowOff>25400</xdr:rowOff>
    </xdr:from>
    <xdr:to>
      <xdr:col>9</xdr:col>
      <xdr:colOff>885190</xdr:colOff>
      <xdr:row>5466</xdr:row>
      <xdr:rowOff>1209040</xdr:rowOff>
    </xdr:to>
    <xdr:pic>
      <xdr:nvPicPr>
        <xdr:cNvPr id="9653" name="Изображение 9652" descr="resizeПП-00254338"/>
        <xdr:cNvPicPr>
          <a:picLocks noChangeAspect="1"/>
        </xdr:cNvPicPr>
      </xdr:nvPicPr>
      <xdr:blipFill>
        <a:blip xmlns:r="http://schemas.openxmlformats.org/officeDocument/2006/relationships" r:embed="rId4262"/>
        <a:stretch>
          <a:fillRect/>
        </a:stretch>
      </xdr:blipFill>
      <xdr:spPr>
        <a:xfrm>
          <a:off x="7235825" y="5595521575"/>
          <a:ext cx="878840" cy="1183640"/>
        </a:xfrm>
        <a:prstGeom prst="rect">
          <a:avLst/>
        </a:prstGeom>
      </xdr:spPr>
    </xdr:pic>
    <xdr:clientData/>
  </xdr:twoCellAnchor>
  <xdr:twoCellAnchor>
    <xdr:from>
      <xdr:col>9</xdr:col>
      <xdr:colOff>6350</xdr:colOff>
      <xdr:row>5467</xdr:row>
      <xdr:rowOff>25400</xdr:rowOff>
    </xdr:from>
    <xdr:to>
      <xdr:col>9</xdr:col>
      <xdr:colOff>885190</xdr:colOff>
      <xdr:row>5467</xdr:row>
      <xdr:rowOff>1209040</xdr:rowOff>
    </xdr:to>
    <xdr:pic>
      <xdr:nvPicPr>
        <xdr:cNvPr id="9654" name="Изображение 9653" descr="resizeПП-00254341"/>
        <xdr:cNvPicPr>
          <a:picLocks noChangeAspect="1"/>
        </xdr:cNvPicPr>
      </xdr:nvPicPr>
      <xdr:blipFill>
        <a:blip xmlns:r="http://schemas.openxmlformats.org/officeDocument/2006/relationships" r:embed="rId4263"/>
        <a:stretch>
          <a:fillRect/>
        </a:stretch>
      </xdr:blipFill>
      <xdr:spPr>
        <a:xfrm>
          <a:off x="7235825" y="5596743950"/>
          <a:ext cx="878840" cy="1183640"/>
        </a:xfrm>
        <a:prstGeom prst="rect">
          <a:avLst/>
        </a:prstGeom>
      </xdr:spPr>
    </xdr:pic>
    <xdr:clientData/>
  </xdr:twoCellAnchor>
  <xdr:twoCellAnchor>
    <xdr:from>
      <xdr:col>9</xdr:col>
      <xdr:colOff>6350</xdr:colOff>
      <xdr:row>5468</xdr:row>
      <xdr:rowOff>25400</xdr:rowOff>
    </xdr:from>
    <xdr:to>
      <xdr:col>9</xdr:col>
      <xdr:colOff>885190</xdr:colOff>
      <xdr:row>5468</xdr:row>
      <xdr:rowOff>1209040</xdr:rowOff>
    </xdr:to>
    <xdr:pic>
      <xdr:nvPicPr>
        <xdr:cNvPr id="9655" name="Изображение 9654" descr="resizeПП-00254361"/>
        <xdr:cNvPicPr>
          <a:picLocks noChangeAspect="1"/>
        </xdr:cNvPicPr>
      </xdr:nvPicPr>
      <xdr:blipFill>
        <a:blip xmlns:r="http://schemas.openxmlformats.org/officeDocument/2006/relationships" r:embed="rId4264"/>
        <a:stretch>
          <a:fillRect/>
        </a:stretch>
      </xdr:blipFill>
      <xdr:spPr>
        <a:xfrm>
          <a:off x="7235825" y="5597966325"/>
          <a:ext cx="878840" cy="1183640"/>
        </a:xfrm>
        <a:prstGeom prst="rect">
          <a:avLst/>
        </a:prstGeom>
      </xdr:spPr>
    </xdr:pic>
    <xdr:clientData/>
  </xdr:twoCellAnchor>
  <xdr:twoCellAnchor>
    <xdr:from>
      <xdr:col>9</xdr:col>
      <xdr:colOff>6350</xdr:colOff>
      <xdr:row>5469</xdr:row>
      <xdr:rowOff>25400</xdr:rowOff>
    </xdr:from>
    <xdr:to>
      <xdr:col>9</xdr:col>
      <xdr:colOff>885190</xdr:colOff>
      <xdr:row>5469</xdr:row>
      <xdr:rowOff>1209040</xdr:rowOff>
    </xdr:to>
    <xdr:pic>
      <xdr:nvPicPr>
        <xdr:cNvPr id="9656" name="Изображение 9655" descr="resizeПП-00254348"/>
        <xdr:cNvPicPr>
          <a:picLocks noChangeAspect="1"/>
        </xdr:cNvPicPr>
      </xdr:nvPicPr>
      <xdr:blipFill>
        <a:blip xmlns:r="http://schemas.openxmlformats.org/officeDocument/2006/relationships" r:embed="rId4265"/>
        <a:stretch>
          <a:fillRect/>
        </a:stretch>
      </xdr:blipFill>
      <xdr:spPr>
        <a:xfrm>
          <a:off x="7235825" y="5599188700"/>
          <a:ext cx="878840" cy="1183640"/>
        </a:xfrm>
        <a:prstGeom prst="rect">
          <a:avLst/>
        </a:prstGeom>
      </xdr:spPr>
    </xdr:pic>
    <xdr:clientData/>
  </xdr:twoCellAnchor>
  <xdr:twoCellAnchor>
    <xdr:from>
      <xdr:col>9</xdr:col>
      <xdr:colOff>6350</xdr:colOff>
      <xdr:row>5470</xdr:row>
      <xdr:rowOff>25400</xdr:rowOff>
    </xdr:from>
    <xdr:to>
      <xdr:col>9</xdr:col>
      <xdr:colOff>885190</xdr:colOff>
      <xdr:row>5470</xdr:row>
      <xdr:rowOff>1209040</xdr:rowOff>
    </xdr:to>
    <xdr:pic>
      <xdr:nvPicPr>
        <xdr:cNvPr id="9657" name="Изображение 9656" descr="resizeПП-00254358"/>
        <xdr:cNvPicPr>
          <a:picLocks noChangeAspect="1"/>
        </xdr:cNvPicPr>
      </xdr:nvPicPr>
      <xdr:blipFill>
        <a:blip xmlns:r="http://schemas.openxmlformats.org/officeDocument/2006/relationships" r:embed="rId4266"/>
        <a:stretch>
          <a:fillRect/>
        </a:stretch>
      </xdr:blipFill>
      <xdr:spPr>
        <a:xfrm>
          <a:off x="7235825" y="5600411075"/>
          <a:ext cx="878840" cy="1183640"/>
        </a:xfrm>
        <a:prstGeom prst="rect">
          <a:avLst/>
        </a:prstGeom>
      </xdr:spPr>
    </xdr:pic>
    <xdr:clientData/>
  </xdr:twoCellAnchor>
  <xdr:twoCellAnchor>
    <xdr:from>
      <xdr:col>9</xdr:col>
      <xdr:colOff>6350</xdr:colOff>
      <xdr:row>5471</xdr:row>
      <xdr:rowOff>25400</xdr:rowOff>
    </xdr:from>
    <xdr:to>
      <xdr:col>9</xdr:col>
      <xdr:colOff>885190</xdr:colOff>
      <xdr:row>5471</xdr:row>
      <xdr:rowOff>1209040</xdr:rowOff>
    </xdr:to>
    <xdr:pic>
      <xdr:nvPicPr>
        <xdr:cNvPr id="9658" name="Изображение 9657" descr="resizeПП-00254355"/>
        <xdr:cNvPicPr>
          <a:picLocks noChangeAspect="1"/>
        </xdr:cNvPicPr>
      </xdr:nvPicPr>
      <xdr:blipFill>
        <a:blip xmlns:r="http://schemas.openxmlformats.org/officeDocument/2006/relationships" r:embed="rId4267"/>
        <a:stretch>
          <a:fillRect/>
        </a:stretch>
      </xdr:blipFill>
      <xdr:spPr>
        <a:xfrm>
          <a:off x="7235825" y="5601633450"/>
          <a:ext cx="878840" cy="1183640"/>
        </a:xfrm>
        <a:prstGeom prst="rect">
          <a:avLst/>
        </a:prstGeom>
      </xdr:spPr>
    </xdr:pic>
    <xdr:clientData/>
  </xdr:twoCellAnchor>
  <xdr:twoCellAnchor>
    <xdr:from>
      <xdr:col>9</xdr:col>
      <xdr:colOff>6350</xdr:colOff>
      <xdr:row>5472</xdr:row>
      <xdr:rowOff>25400</xdr:rowOff>
    </xdr:from>
    <xdr:to>
      <xdr:col>9</xdr:col>
      <xdr:colOff>885190</xdr:colOff>
      <xdr:row>5472</xdr:row>
      <xdr:rowOff>1209040</xdr:rowOff>
    </xdr:to>
    <xdr:pic>
      <xdr:nvPicPr>
        <xdr:cNvPr id="9659" name="Изображение 9658" descr="resizeПП-00254344"/>
        <xdr:cNvPicPr>
          <a:picLocks noChangeAspect="1"/>
        </xdr:cNvPicPr>
      </xdr:nvPicPr>
      <xdr:blipFill>
        <a:blip xmlns:r="http://schemas.openxmlformats.org/officeDocument/2006/relationships" r:embed="rId4268"/>
        <a:stretch>
          <a:fillRect/>
        </a:stretch>
      </xdr:blipFill>
      <xdr:spPr>
        <a:xfrm>
          <a:off x="7235825" y="5602855825"/>
          <a:ext cx="878840" cy="1183640"/>
        </a:xfrm>
        <a:prstGeom prst="rect">
          <a:avLst/>
        </a:prstGeom>
      </xdr:spPr>
    </xdr:pic>
    <xdr:clientData/>
  </xdr:twoCellAnchor>
  <xdr:twoCellAnchor>
    <xdr:from>
      <xdr:col>9</xdr:col>
      <xdr:colOff>6350</xdr:colOff>
      <xdr:row>5473</xdr:row>
      <xdr:rowOff>25400</xdr:rowOff>
    </xdr:from>
    <xdr:to>
      <xdr:col>9</xdr:col>
      <xdr:colOff>885190</xdr:colOff>
      <xdr:row>5473</xdr:row>
      <xdr:rowOff>1209040</xdr:rowOff>
    </xdr:to>
    <xdr:pic>
      <xdr:nvPicPr>
        <xdr:cNvPr id="9660" name="Изображение 9659" descr="resizeПП-00254365"/>
        <xdr:cNvPicPr>
          <a:picLocks noChangeAspect="1"/>
        </xdr:cNvPicPr>
      </xdr:nvPicPr>
      <xdr:blipFill>
        <a:blip xmlns:r="http://schemas.openxmlformats.org/officeDocument/2006/relationships" r:embed="rId4269"/>
        <a:stretch>
          <a:fillRect/>
        </a:stretch>
      </xdr:blipFill>
      <xdr:spPr>
        <a:xfrm>
          <a:off x="7235825" y="5604078200"/>
          <a:ext cx="878840" cy="1183640"/>
        </a:xfrm>
        <a:prstGeom prst="rect">
          <a:avLst/>
        </a:prstGeom>
      </xdr:spPr>
    </xdr:pic>
    <xdr:clientData/>
  </xdr:twoCellAnchor>
  <xdr:twoCellAnchor>
    <xdr:from>
      <xdr:col>9</xdr:col>
      <xdr:colOff>6350</xdr:colOff>
      <xdr:row>5474</xdr:row>
      <xdr:rowOff>25400</xdr:rowOff>
    </xdr:from>
    <xdr:to>
      <xdr:col>9</xdr:col>
      <xdr:colOff>885190</xdr:colOff>
      <xdr:row>5474</xdr:row>
      <xdr:rowOff>1209040</xdr:rowOff>
    </xdr:to>
    <xdr:pic>
      <xdr:nvPicPr>
        <xdr:cNvPr id="9661" name="Изображение 9660" descr="resizeПП-00254352"/>
        <xdr:cNvPicPr>
          <a:picLocks noChangeAspect="1"/>
        </xdr:cNvPicPr>
      </xdr:nvPicPr>
      <xdr:blipFill>
        <a:blip xmlns:r="http://schemas.openxmlformats.org/officeDocument/2006/relationships" r:embed="rId4270"/>
        <a:stretch>
          <a:fillRect/>
        </a:stretch>
      </xdr:blipFill>
      <xdr:spPr>
        <a:xfrm>
          <a:off x="7235825" y="5605300575"/>
          <a:ext cx="878840" cy="1183640"/>
        </a:xfrm>
        <a:prstGeom prst="rect">
          <a:avLst/>
        </a:prstGeom>
      </xdr:spPr>
    </xdr:pic>
    <xdr:clientData/>
  </xdr:twoCellAnchor>
  <xdr:twoCellAnchor>
    <xdr:from>
      <xdr:col>9</xdr:col>
      <xdr:colOff>6350</xdr:colOff>
      <xdr:row>5476</xdr:row>
      <xdr:rowOff>25400</xdr:rowOff>
    </xdr:from>
    <xdr:to>
      <xdr:col>9</xdr:col>
      <xdr:colOff>885190</xdr:colOff>
      <xdr:row>5476</xdr:row>
      <xdr:rowOff>1209040</xdr:rowOff>
    </xdr:to>
    <xdr:pic>
      <xdr:nvPicPr>
        <xdr:cNvPr id="9662" name="Изображение 9661" descr="resizeПП-00209581"/>
        <xdr:cNvPicPr>
          <a:picLocks noChangeAspect="1"/>
        </xdr:cNvPicPr>
      </xdr:nvPicPr>
      <xdr:blipFill>
        <a:blip xmlns:r="http://schemas.openxmlformats.org/officeDocument/2006/relationships" r:embed="rId4271"/>
        <a:stretch>
          <a:fillRect/>
        </a:stretch>
      </xdr:blipFill>
      <xdr:spPr>
        <a:xfrm>
          <a:off x="7235825" y="5606675350"/>
          <a:ext cx="878840" cy="1183640"/>
        </a:xfrm>
        <a:prstGeom prst="rect">
          <a:avLst/>
        </a:prstGeom>
      </xdr:spPr>
    </xdr:pic>
    <xdr:clientData/>
  </xdr:twoCellAnchor>
  <xdr:twoCellAnchor>
    <xdr:from>
      <xdr:col>9</xdr:col>
      <xdr:colOff>6350</xdr:colOff>
      <xdr:row>5477</xdr:row>
      <xdr:rowOff>25400</xdr:rowOff>
    </xdr:from>
    <xdr:to>
      <xdr:col>9</xdr:col>
      <xdr:colOff>885190</xdr:colOff>
      <xdr:row>5477</xdr:row>
      <xdr:rowOff>1209040</xdr:rowOff>
    </xdr:to>
    <xdr:pic>
      <xdr:nvPicPr>
        <xdr:cNvPr id="9663" name="Изображение 9662" descr="resizeПП-00209576"/>
        <xdr:cNvPicPr>
          <a:picLocks noChangeAspect="1"/>
        </xdr:cNvPicPr>
      </xdr:nvPicPr>
      <xdr:blipFill>
        <a:blip xmlns:r="http://schemas.openxmlformats.org/officeDocument/2006/relationships" r:embed="rId4272"/>
        <a:stretch>
          <a:fillRect/>
        </a:stretch>
      </xdr:blipFill>
      <xdr:spPr>
        <a:xfrm>
          <a:off x="7235825" y="5607897725"/>
          <a:ext cx="878840" cy="1183640"/>
        </a:xfrm>
        <a:prstGeom prst="rect">
          <a:avLst/>
        </a:prstGeom>
      </xdr:spPr>
    </xdr:pic>
    <xdr:clientData/>
  </xdr:twoCellAnchor>
  <xdr:twoCellAnchor>
    <xdr:from>
      <xdr:col>9</xdr:col>
      <xdr:colOff>6350</xdr:colOff>
      <xdr:row>5478</xdr:row>
      <xdr:rowOff>25400</xdr:rowOff>
    </xdr:from>
    <xdr:to>
      <xdr:col>9</xdr:col>
      <xdr:colOff>885190</xdr:colOff>
      <xdr:row>5478</xdr:row>
      <xdr:rowOff>1209040</xdr:rowOff>
    </xdr:to>
    <xdr:pic>
      <xdr:nvPicPr>
        <xdr:cNvPr id="9664" name="Изображение 9663" descr="resizeПП-00209577"/>
        <xdr:cNvPicPr>
          <a:picLocks noChangeAspect="1"/>
        </xdr:cNvPicPr>
      </xdr:nvPicPr>
      <xdr:blipFill>
        <a:blip xmlns:r="http://schemas.openxmlformats.org/officeDocument/2006/relationships" r:embed="rId4273"/>
        <a:stretch>
          <a:fillRect/>
        </a:stretch>
      </xdr:blipFill>
      <xdr:spPr>
        <a:xfrm>
          <a:off x="7235825" y="5609120100"/>
          <a:ext cx="878840" cy="1183640"/>
        </a:xfrm>
        <a:prstGeom prst="rect">
          <a:avLst/>
        </a:prstGeom>
      </xdr:spPr>
    </xdr:pic>
    <xdr:clientData/>
  </xdr:twoCellAnchor>
  <xdr:twoCellAnchor>
    <xdr:from>
      <xdr:col>9</xdr:col>
      <xdr:colOff>6350</xdr:colOff>
      <xdr:row>5479</xdr:row>
      <xdr:rowOff>25400</xdr:rowOff>
    </xdr:from>
    <xdr:to>
      <xdr:col>9</xdr:col>
      <xdr:colOff>885190</xdr:colOff>
      <xdr:row>5479</xdr:row>
      <xdr:rowOff>1209040</xdr:rowOff>
    </xdr:to>
    <xdr:pic>
      <xdr:nvPicPr>
        <xdr:cNvPr id="9665" name="Изображение 9664" descr="resizeПП-00122378"/>
        <xdr:cNvPicPr>
          <a:picLocks noChangeAspect="1"/>
        </xdr:cNvPicPr>
      </xdr:nvPicPr>
      <xdr:blipFill>
        <a:blip xmlns:r="http://schemas.openxmlformats.org/officeDocument/2006/relationships" r:embed="rId4274"/>
        <a:stretch>
          <a:fillRect/>
        </a:stretch>
      </xdr:blipFill>
      <xdr:spPr>
        <a:xfrm>
          <a:off x="7235825" y="5610342475"/>
          <a:ext cx="878840" cy="1183640"/>
        </a:xfrm>
        <a:prstGeom prst="rect">
          <a:avLst/>
        </a:prstGeom>
      </xdr:spPr>
    </xdr:pic>
    <xdr:clientData/>
  </xdr:twoCellAnchor>
  <xdr:twoCellAnchor>
    <xdr:from>
      <xdr:col>9</xdr:col>
      <xdr:colOff>6350</xdr:colOff>
      <xdr:row>5480</xdr:row>
      <xdr:rowOff>25400</xdr:rowOff>
    </xdr:from>
    <xdr:to>
      <xdr:col>9</xdr:col>
      <xdr:colOff>885190</xdr:colOff>
      <xdr:row>5480</xdr:row>
      <xdr:rowOff>1209040</xdr:rowOff>
    </xdr:to>
    <xdr:pic>
      <xdr:nvPicPr>
        <xdr:cNvPr id="9666" name="Изображение 9665" descr="resizeПП-00122386"/>
        <xdr:cNvPicPr>
          <a:picLocks noChangeAspect="1"/>
        </xdr:cNvPicPr>
      </xdr:nvPicPr>
      <xdr:blipFill>
        <a:blip xmlns:r="http://schemas.openxmlformats.org/officeDocument/2006/relationships" r:embed="rId4275"/>
        <a:stretch>
          <a:fillRect/>
        </a:stretch>
      </xdr:blipFill>
      <xdr:spPr>
        <a:xfrm>
          <a:off x="7235825" y="5611564850"/>
          <a:ext cx="878840" cy="1183640"/>
        </a:xfrm>
        <a:prstGeom prst="rect">
          <a:avLst/>
        </a:prstGeom>
      </xdr:spPr>
    </xdr:pic>
    <xdr:clientData/>
  </xdr:twoCellAnchor>
  <xdr:twoCellAnchor>
    <xdr:from>
      <xdr:col>9</xdr:col>
      <xdr:colOff>6350</xdr:colOff>
      <xdr:row>5481</xdr:row>
      <xdr:rowOff>25400</xdr:rowOff>
    </xdr:from>
    <xdr:to>
      <xdr:col>9</xdr:col>
      <xdr:colOff>885190</xdr:colOff>
      <xdr:row>5481</xdr:row>
      <xdr:rowOff>1209040</xdr:rowOff>
    </xdr:to>
    <xdr:pic>
      <xdr:nvPicPr>
        <xdr:cNvPr id="9667" name="Изображение 9666" descr="resizeПП-00122391"/>
        <xdr:cNvPicPr>
          <a:picLocks noChangeAspect="1"/>
        </xdr:cNvPicPr>
      </xdr:nvPicPr>
      <xdr:blipFill>
        <a:blip xmlns:r="http://schemas.openxmlformats.org/officeDocument/2006/relationships" r:embed="rId4276"/>
        <a:stretch>
          <a:fillRect/>
        </a:stretch>
      </xdr:blipFill>
      <xdr:spPr>
        <a:xfrm>
          <a:off x="7235825" y="5612787225"/>
          <a:ext cx="878840" cy="1183640"/>
        </a:xfrm>
        <a:prstGeom prst="rect">
          <a:avLst/>
        </a:prstGeom>
      </xdr:spPr>
    </xdr:pic>
    <xdr:clientData/>
  </xdr:twoCellAnchor>
  <xdr:twoCellAnchor>
    <xdr:from>
      <xdr:col>9</xdr:col>
      <xdr:colOff>6350</xdr:colOff>
      <xdr:row>5483</xdr:row>
      <xdr:rowOff>25400</xdr:rowOff>
    </xdr:from>
    <xdr:to>
      <xdr:col>9</xdr:col>
      <xdr:colOff>885190</xdr:colOff>
      <xdr:row>5483</xdr:row>
      <xdr:rowOff>1209040</xdr:rowOff>
    </xdr:to>
    <xdr:pic>
      <xdr:nvPicPr>
        <xdr:cNvPr id="9668" name="Изображение 9667" descr="resizeПП-00209851"/>
        <xdr:cNvPicPr>
          <a:picLocks noChangeAspect="1"/>
        </xdr:cNvPicPr>
      </xdr:nvPicPr>
      <xdr:blipFill>
        <a:blip xmlns:r="http://schemas.openxmlformats.org/officeDocument/2006/relationships" r:embed="rId4277"/>
        <a:stretch>
          <a:fillRect/>
        </a:stretch>
      </xdr:blipFill>
      <xdr:spPr>
        <a:xfrm>
          <a:off x="7235825" y="5614162000"/>
          <a:ext cx="878840" cy="1183640"/>
        </a:xfrm>
        <a:prstGeom prst="rect">
          <a:avLst/>
        </a:prstGeom>
      </xdr:spPr>
    </xdr:pic>
    <xdr:clientData/>
  </xdr:twoCellAnchor>
  <xdr:twoCellAnchor>
    <xdr:from>
      <xdr:col>9</xdr:col>
      <xdr:colOff>6350</xdr:colOff>
      <xdr:row>5484</xdr:row>
      <xdr:rowOff>25400</xdr:rowOff>
    </xdr:from>
    <xdr:to>
      <xdr:col>9</xdr:col>
      <xdr:colOff>885190</xdr:colOff>
      <xdr:row>5484</xdr:row>
      <xdr:rowOff>1209040</xdr:rowOff>
    </xdr:to>
    <xdr:pic>
      <xdr:nvPicPr>
        <xdr:cNvPr id="9669" name="Изображение 9668" descr="resizeПП-00209855"/>
        <xdr:cNvPicPr>
          <a:picLocks noChangeAspect="1"/>
        </xdr:cNvPicPr>
      </xdr:nvPicPr>
      <xdr:blipFill>
        <a:blip xmlns:r="http://schemas.openxmlformats.org/officeDocument/2006/relationships" r:embed="rId4278"/>
        <a:stretch>
          <a:fillRect/>
        </a:stretch>
      </xdr:blipFill>
      <xdr:spPr>
        <a:xfrm>
          <a:off x="7235825" y="5615384375"/>
          <a:ext cx="878840" cy="1183640"/>
        </a:xfrm>
        <a:prstGeom prst="rect">
          <a:avLst/>
        </a:prstGeom>
      </xdr:spPr>
    </xdr:pic>
    <xdr:clientData/>
  </xdr:twoCellAnchor>
  <xdr:twoCellAnchor>
    <xdr:from>
      <xdr:col>9</xdr:col>
      <xdr:colOff>6350</xdr:colOff>
      <xdr:row>5486</xdr:row>
      <xdr:rowOff>25400</xdr:rowOff>
    </xdr:from>
    <xdr:to>
      <xdr:col>9</xdr:col>
      <xdr:colOff>885190</xdr:colOff>
      <xdr:row>5486</xdr:row>
      <xdr:rowOff>1209040</xdr:rowOff>
    </xdr:to>
    <xdr:pic>
      <xdr:nvPicPr>
        <xdr:cNvPr id="9670" name="Изображение 9669" descr="resizeПП-00228999"/>
        <xdr:cNvPicPr>
          <a:picLocks noChangeAspect="1"/>
        </xdr:cNvPicPr>
      </xdr:nvPicPr>
      <xdr:blipFill>
        <a:blip xmlns:r="http://schemas.openxmlformats.org/officeDocument/2006/relationships" r:embed="rId4279"/>
        <a:stretch>
          <a:fillRect/>
        </a:stretch>
      </xdr:blipFill>
      <xdr:spPr>
        <a:xfrm>
          <a:off x="7235825" y="5616759150"/>
          <a:ext cx="878840" cy="1183640"/>
        </a:xfrm>
        <a:prstGeom prst="rect">
          <a:avLst/>
        </a:prstGeom>
      </xdr:spPr>
    </xdr:pic>
    <xdr:clientData/>
  </xdr:twoCellAnchor>
  <xdr:twoCellAnchor>
    <xdr:from>
      <xdr:col>9</xdr:col>
      <xdr:colOff>6350</xdr:colOff>
      <xdr:row>5490</xdr:row>
      <xdr:rowOff>25400</xdr:rowOff>
    </xdr:from>
    <xdr:to>
      <xdr:col>9</xdr:col>
      <xdr:colOff>885190</xdr:colOff>
      <xdr:row>5490</xdr:row>
      <xdr:rowOff>1209040</xdr:rowOff>
    </xdr:to>
    <xdr:pic>
      <xdr:nvPicPr>
        <xdr:cNvPr id="9671" name="Изображение 9670" descr="resizeПП-00154520"/>
        <xdr:cNvPicPr>
          <a:picLocks noChangeAspect="1"/>
        </xdr:cNvPicPr>
      </xdr:nvPicPr>
      <xdr:blipFill>
        <a:blip xmlns:r="http://schemas.openxmlformats.org/officeDocument/2006/relationships" r:embed="rId4280"/>
        <a:stretch>
          <a:fillRect/>
        </a:stretch>
      </xdr:blipFill>
      <xdr:spPr>
        <a:xfrm>
          <a:off x="7235825" y="5618438725"/>
          <a:ext cx="878840" cy="1183640"/>
        </a:xfrm>
        <a:prstGeom prst="rect">
          <a:avLst/>
        </a:prstGeom>
      </xdr:spPr>
    </xdr:pic>
    <xdr:clientData/>
  </xdr:twoCellAnchor>
  <xdr:twoCellAnchor>
    <xdr:from>
      <xdr:col>9</xdr:col>
      <xdr:colOff>6350</xdr:colOff>
      <xdr:row>5492</xdr:row>
      <xdr:rowOff>25400</xdr:rowOff>
    </xdr:from>
    <xdr:to>
      <xdr:col>9</xdr:col>
      <xdr:colOff>885190</xdr:colOff>
      <xdr:row>5492</xdr:row>
      <xdr:rowOff>1209040</xdr:rowOff>
    </xdr:to>
    <xdr:pic>
      <xdr:nvPicPr>
        <xdr:cNvPr id="9672" name="Изображение 9671" descr="resizeПП-00217489"/>
        <xdr:cNvPicPr>
          <a:picLocks noChangeAspect="1"/>
        </xdr:cNvPicPr>
      </xdr:nvPicPr>
      <xdr:blipFill>
        <a:blip xmlns:r="http://schemas.openxmlformats.org/officeDocument/2006/relationships" r:embed="rId4281"/>
        <a:stretch>
          <a:fillRect/>
        </a:stretch>
      </xdr:blipFill>
      <xdr:spPr>
        <a:xfrm>
          <a:off x="7235825" y="5619813500"/>
          <a:ext cx="878840" cy="1183640"/>
        </a:xfrm>
        <a:prstGeom prst="rect">
          <a:avLst/>
        </a:prstGeom>
      </xdr:spPr>
    </xdr:pic>
    <xdr:clientData/>
  </xdr:twoCellAnchor>
  <xdr:twoCellAnchor>
    <xdr:from>
      <xdr:col>9</xdr:col>
      <xdr:colOff>6350</xdr:colOff>
      <xdr:row>5493</xdr:row>
      <xdr:rowOff>25400</xdr:rowOff>
    </xdr:from>
    <xdr:to>
      <xdr:col>9</xdr:col>
      <xdr:colOff>885190</xdr:colOff>
      <xdr:row>5493</xdr:row>
      <xdr:rowOff>1209040</xdr:rowOff>
    </xdr:to>
    <xdr:pic>
      <xdr:nvPicPr>
        <xdr:cNvPr id="9673" name="Изображение 9672" descr="resizeПП-00207020"/>
        <xdr:cNvPicPr>
          <a:picLocks noChangeAspect="1"/>
        </xdr:cNvPicPr>
      </xdr:nvPicPr>
      <xdr:blipFill>
        <a:blip xmlns:r="http://schemas.openxmlformats.org/officeDocument/2006/relationships" r:embed="rId4282"/>
        <a:stretch>
          <a:fillRect/>
        </a:stretch>
      </xdr:blipFill>
      <xdr:spPr>
        <a:xfrm>
          <a:off x="7235825" y="5621035875"/>
          <a:ext cx="878840" cy="1183640"/>
        </a:xfrm>
        <a:prstGeom prst="rect">
          <a:avLst/>
        </a:prstGeom>
      </xdr:spPr>
    </xdr:pic>
    <xdr:clientData/>
  </xdr:twoCellAnchor>
  <xdr:twoCellAnchor>
    <xdr:from>
      <xdr:col>9</xdr:col>
      <xdr:colOff>6350</xdr:colOff>
      <xdr:row>5495</xdr:row>
      <xdr:rowOff>25400</xdr:rowOff>
    </xdr:from>
    <xdr:to>
      <xdr:col>9</xdr:col>
      <xdr:colOff>885190</xdr:colOff>
      <xdr:row>5495</xdr:row>
      <xdr:rowOff>1209040</xdr:rowOff>
    </xdr:to>
    <xdr:pic>
      <xdr:nvPicPr>
        <xdr:cNvPr id="9674" name="Изображение 9673" descr="resizeПП-00207018"/>
        <xdr:cNvPicPr>
          <a:picLocks noChangeAspect="1"/>
        </xdr:cNvPicPr>
      </xdr:nvPicPr>
      <xdr:blipFill>
        <a:blip xmlns:r="http://schemas.openxmlformats.org/officeDocument/2006/relationships" r:embed="rId4283"/>
        <a:stretch>
          <a:fillRect/>
        </a:stretch>
      </xdr:blipFill>
      <xdr:spPr>
        <a:xfrm>
          <a:off x="7235825" y="5622410650"/>
          <a:ext cx="878840" cy="1183640"/>
        </a:xfrm>
        <a:prstGeom prst="rect">
          <a:avLst/>
        </a:prstGeom>
      </xdr:spPr>
    </xdr:pic>
    <xdr:clientData/>
  </xdr:twoCellAnchor>
  <xdr:twoCellAnchor>
    <xdr:from>
      <xdr:col>9</xdr:col>
      <xdr:colOff>6350</xdr:colOff>
      <xdr:row>5496</xdr:row>
      <xdr:rowOff>25400</xdr:rowOff>
    </xdr:from>
    <xdr:to>
      <xdr:col>9</xdr:col>
      <xdr:colOff>885190</xdr:colOff>
      <xdr:row>5496</xdr:row>
      <xdr:rowOff>1209040</xdr:rowOff>
    </xdr:to>
    <xdr:pic>
      <xdr:nvPicPr>
        <xdr:cNvPr id="9675" name="Изображение 9674" descr="resizeПП-00249551"/>
        <xdr:cNvPicPr>
          <a:picLocks noChangeAspect="1"/>
        </xdr:cNvPicPr>
      </xdr:nvPicPr>
      <xdr:blipFill>
        <a:blip xmlns:r="http://schemas.openxmlformats.org/officeDocument/2006/relationships" r:embed="rId4284"/>
        <a:stretch>
          <a:fillRect/>
        </a:stretch>
      </xdr:blipFill>
      <xdr:spPr>
        <a:xfrm>
          <a:off x="7235825" y="5623633025"/>
          <a:ext cx="878840" cy="1183640"/>
        </a:xfrm>
        <a:prstGeom prst="rect">
          <a:avLst/>
        </a:prstGeom>
      </xdr:spPr>
    </xdr:pic>
    <xdr:clientData/>
  </xdr:twoCellAnchor>
  <xdr:twoCellAnchor>
    <xdr:from>
      <xdr:col>9</xdr:col>
      <xdr:colOff>6350</xdr:colOff>
      <xdr:row>5497</xdr:row>
      <xdr:rowOff>25400</xdr:rowOff>
    </xdr:from>
    <xdr:to>
      <xdr:col>9</xdr:col>
      <xdr:colOff>885190</xdr:colOff>
      <xdr:row>5497</xdr:row>
      <xdr:rowOff>1209040</xdr:rowOff>
    </xdr:to>
    <xdr:pic>
      <xdr:nvPicPr>
        <xdr:cNvPr id="9676" name="Изображение 9675" descr="resizeПП-00249552"/>
        <xdr:cNvPicPr>
          <a:picLocks noChangeAspect="1"/>
        </xdr:cNvPicPr>
      </xdr:nvPicPr>
      <xdr:blipFill>
        <a:blip xmlns:r="http://schemas.openxmlformats.org/officeDocument/2006/relationships" r:embed="rId4285"/>
        <a:stretch>
          <a:fillRect/>
        </a:stretch>
      </xdr:blipFill>
      <xdr:spPr>
        <a:xfrm>
          <a:off x="7235825" y="5624855400"/>
          <a:ext cx="878840" cy="1183640"/>
        </a:xfrm>
        <a:prstGeom prst="rect">
          <a:avLst/>
        </a:prstGeom>
      </xdr:spPr>
    </xdr:pic>
    <xdr:clientData/>
  </xdr:twoCellAnchor>
  <xdr:twoCellAnchor>
    <xdr:from>
      <xdr:col>9</xdr:col>
      <xdr:colOff>6350</xdr:colOff>
      <xdr:row>5499</xdr:row>
      <xdr:rowOff>25400</xdr:rowOff>
    </xdr:from>
    <xdr:to>
      <xdr:col>9</xdr:col>
      <xdr:colOff>885190</xdr:colOff>
      <xdr:row>5499</xdr:row>
      <xdr:rowOff>1209040</xdr:rowOff>
    </xdr:to>
    <xdr:pic>
      <xdr:nvPicPr>
        <xdr:cNvPr id="9677" name="Изображение 9676" descr="resizeПП-00213033"/>
        <xdr:cNvPicPr>
          <a:picLocks noChangeAspect="1"/>
        </xdr:cNvPicPr>
      </xdr:nvPicPr>
      <xdr:blipFill>
        <a:blip xmlns:r="http://schemas.openxmlformats.org/officeDocument/2006/relationships" r:embed="rId4286"/>
        <a:stretch>
          <a:fillRect/>
        </a:stretch>
      </xdr:blipFill>
      <xdr:spPr>
        <a:xfrm>
          <a:off x="7235825" y="5626230175"/>
          <a:ext cx="878840" cy="1183640"/>
        </a:xfrm>
        <a:prstGeom prst="rect">
          <a:avLst/>
        </a:prstGeom>
      </xdr:spPr>
    </xdr:pic>
    <xdr:clientData/>
  </xdr:twoCellAnchor>
  <xdr:twoCellAnchor>
    <xdr:from>
      <xdr:col>9</xdr:col>
      <xdr:colOff>6350</xdr:colOff>
      <xdr:row>5500</xdr:row>
      <xdr:rowOff>25400</xdr:rowOff>
    </xdr:from>
    <xdr:to>
      <xdr:col>9</xdr:col>
      <xdr:colOff>885190</xdr:colOff>
      <xdr:row>5500</xdr:row>
      <xdr:rowOff>1209040</xdr:rowOff>
    </xdr:to>
    <xdr:pic>
      <xdr:nvPicPr>
        <xdr:cNvPr id="9678" name="Изображение 9677" descr="resizeПП-00213032"/>
        <xdr:cNvPicPr>
          <a:picLocks noChangeAspect="1"/>
        </xdr:cNvPicPr>
      </xdr:nvPicPr>
      <xdr:blipFill>
        <a:blip xmlns:r="http://schemas.openxmlformats.org/officeDocument/2006/relationships" r:embed="rId4287"/>
        <a:stretch>
          <a:fillRect/>
        </a:stretch>
      </xdr:blipFill>
      <xdr:spPr>
        <a:xfrm>
          <a:off x="7235825" y="5627452550"/>
          <a:ext cx="878840" cy="1183640"/>
        </a:xfrm>
        <a:prstGeom prst="rect">
          <a:avLst/>
        </a:prstGeom>
      </xdr:spPr>
    </xdr:pic>
    <xdr:clientData/>
  </xdr:twoCellAnchor>
  <xdr:twoCellAnchor>
    <xdr:from>
      <xdr:col>9</xdr:col>
      <xdr:colOff>6350</xdr:colOff>
      <xdr:row>5501</xdr:row>
      <xdr:rowOff>25400</xdr:rowOff>
    </xdr:from>
    <xdr:to>
      <xdr:col>9</xdr:col>
      <xdr:colOff>885190</xdr:colOff>
      <xdr:row>5501</xdr:row>
      <xdr:rowOff>1209040</xdr:rowOff>
    </xdr:to>
    <xdr:pic>
      <xdr:nvPicPr>
        <xdr:cNvPr id="9679" name="Изображение 9678" descr="resizeПП-00213031"/>
        <xdr:cNvPicPr>
          <a:picLocks noChangeAspect="1"/>
        </xdr:cNvPicPr>
      </xdr:nvPicPr>
      <xdr:blipFill>
        <a:blip xmlns:r="http://schemas.openxmlformats.org/officeDocument/2006/relationships" r:embed="rId4288"/>
        <a:stretch>
          <a:fillRect/>
        </a:stretch>
      </xdr:blipFill>
      <xdr:spPr>
        <a:xfrm>
          <a:off x="7235825" y="5628674925"/>
          <a:ext cx="878840" cy="1183640"/>
        </a:xfrm>
        <a:prstGeom prst="rect">
          <a:avLst/>
        </a:prstGeom>
      </xdr:spPr>
    </xdr:pic>
    <xdr:clientData/>
  </xdr:twoCellAnchor>
  <xdr:twoCellAnchor>
    <xdr:from>
      <xdr:col>9</xdr:col>
      <xdr:colOff>6350</xdr:colOff>
      <xdr:row>5502</xdr:row>
      <xdr:rowOff>25400</xdr:rowOff>
    </xdr:from>
    <xdr:to>
      <xdr:col>9</xdr:col>
      <xdr:colOff>885190</xdr:colOff>
      <xdr:row>5502</xdr:row>
      <xdr:rowOff>1209040</xdr:rowOff>
    </xdr:to>
    <xdr:pic>
      <xdr:nvPicPr>
        <xdr:cNvPr id="9680" name="Изображение 9679" descr="resizeПП-00249484"/>
        <xdr:cNvPicPr>
          <a:picLocks noChangeAspect="1"/>
        </xdr:cNvPicPr>
      </xdr:nvPicPr>
      <xdr:blipFill>
        <a:blip xmlns:r="http://schemas.openxmlformats.org/officeDocument/2006/relationships" r:embed="rId4289"/>
        <a:stretch>
          <a:fillRect/>
        </a:stretch>
      </xdr:blipFill>
      <xdr:spPr>
        <a:xfrm>
          <a:off x="7235825" y="5629897300"/>
          <a:ext cx="878840" cy="1183640"/>
        </a:xfrm>
        <a:prstGeom prst="rect">
          <a:avLst/>
        </a:prstGeom>
      </xdr:spPr>
    </xdr:pic>
    <xdr:clientData/>
  </xdr:twoCellAnchor>
  <xdr:twoCellAnchor>
    <xdr:from>
      <xdr:col>9</xdr:col>
      <xdr:colOff>6350</xdr:colOff>
      <xdr:row>5503</xdr:row>
      <xdr:rowOff>25400</xdr:rowOff>
    </xdr:from>
    <xdr:to>
      <xdr:col>9</xdr:col>
      <xdr:colOff>885190</xdr:colOff>
      <xdr:row>5503</xdr:row>
      <xdr:rowOff>1209040</xdr:rowOff>
    </xdr:to>
    <xdr:pic>
      <xdr:nvPicPr>
        <xdr:cNvPr id="9681" name="Изображение 9680" descr="resizeПП-00213030"/>
        <xdr:cNvPicPr>
          <a:picLocks noChangeAspect="1"/>
        </xdr:cNvPicPr>
      </xdr:nvPicPr>
      <xdr:blipFill>
        <a:blip xmlns:r="http://schemas.openxmlformats.org/officeDocument/2006/relationships" r:embed="rId4289"/>
        <a:stretch>
          <a:fillRect/>
        </a:stretch>
      </xdr:blipFill>
      <xdr:spPr>
        <a:xfrm>
          <a:off x="7235825" y="5631119675"/>
          <a:ext cx="878840" cy="1183640"/>
        </a:xfrm>
        <a:prstGeom prst="rect">
          <a:avLst/>
        </a:prstGeom>
      </xdr:spPr>
    </xdr:pic>
    <xdr:clientData/>
  </xdr:twoCellAnchor>
  <xdr:twoCellAnchor>
    <xdr:from>
      <xdr:col>9</xdr:col>
      <xdr:colOff>6350</xdr:colOff>
      <xdr:row>5504</xdr:row>
      <xdr:rowOff>25400</xdr:rowOff>
    </xdr:from>
    <xdr:to>
      <xdr:col>9</xdr:col>
      <xdr:colOff>885190</xdr:colOff>
      <xdr:row>5504</xdr:row>
      <xdr:rowOff>1209040</xdr:rowOff>
    </xdr:to>
    <xdr:pic>
      <xdr:nvPicPr>
        <xdr:cNvPr id="9682" name="Изображение 9681" descr="resizeПП-00229369"/>
        <xdr:cNvPicPr>
          <a:picLocks noChangeAspect="1"/>
        </xdr:cNvPicPr>
      </xdr:nvPicPr>
      <xdr:blipFill>
        <a:blip xmlns:r="http://schemas.openxmlformats.org/officeDocument/2006/relationships" r:embed="rId4290"/>
        <a:stretch>
          <a:fillRect/>
        </a:stretch>
      </xdr:blipFill>
      <xdr:spPr>
        <a:xfrm>
          <a:off x="7235825" y="5632342050"/>
          <a:ext cx="878840" cy="1183640"/>
        </a:xfrm>
        <a:prstGeom prst="rect">
          <a:avLst/>
        </a:prstGeom>
      </xdr:spPr>
    </xdr:pic>
    <xdr:clientData/>
  </xdr:twoCellAnchor>
  <xdr:twoCellAnchor>
    <xdr:from>
      <xdr:col>9</xdr:col>
      <xdr:colOff>6350</xdr:colOff>
      <xdr:row>5505</xdr:row>
      <xdr:rowOff>25400</xdr:rowOff>
    </xdr:from>
    <xdr:to>
      <xdr:col>9</xdr:col>
      <xdr:colOff>885190</xdr:colOff>
      <xdr:row>5505</xdr:row>
      <xdr:rowOff>1209040</xdr:rowOff>
    </xdr:to>
    <xdr:pic>
      <xdr:nvPicPr>
        <xdr:cNvPr id="9683" name="Изображение 9682" descr="resizeПП-00229366"/>
        <xdr:cNvPicPr>
          <a:picLocks noChangeAspect="1"/>
        </xdr:cNvPicPr>
      </xdr:nvPicPr>
      <xdr:blipFill>
        <a:blip xmlns:r="http://schemas.openxmlformats.org/officeDocument/2006/relationships" r:embed="rId4291"/>
        <a:stretch>
          <a:fillRect/>
        </a:stretch>
      </xdr:blipFill>
      <xdr:spPr>
        <a:xfrm>
          <a:off x="7235825" y="5633564425"/>
          <a:ext cx="878840" cy="1183640"/>
        </a:xfrm>
        <a:prstGeom prst="rect">
          <a:avLst/>
        </a:prstGeom>
      </xdr:spPr>
    </xdr:pic>
    <xdr:clientData/>
  </xdr:twoCellAnchor>
  <xdr:twoCellAnchor>
    <xdr:from>
      <xdr:col>9</xdr:col>
      <xdr:colOff>6350</xdr:colOff>
      <xdr:row>5506</xdr:row>
      <xdr:rowOff>25400</xdr:rowOff>
    </xdr:from>
    <xdr:to>
      <xdr:col>9</xdr:col>
      <xdr:colOff>885190</xdr:colOff>
      <xdr:row>5506</xdr:row>
      <xdr:rowOff>1209040</xdr:rowOff>
    </xdr:to>
    <xdr:pic>
      <xdr:nvPicPr>
        <xdr:cNvPr id="9684" name="Изображение 9683" descr="resizeПП-00229372"/>
        <xdr:cNvPicPr>
          <a:picLocks noChangeAspect="1"/>
        </xdr:cNvPicPr>
      </xdr:nvPicPr>
      <xdr:blipFill>
        <a:blip xmlns:r="http://schemas.openxmlformats.org/officeDocument/2006/relationships" r:embed="rId4292"/>
        <a:stretch>
          <a:fillRect/>
        </a:stretch>
      </xdr:blipFill>
      <xdr:spPr>
        <a:xfrm>
          <a:off x="7235825" y="5634786800"/>
          <a:ext cx="878840" cy="1183640"/>
        </a:xfrm>
        <a:prstGeom prst="rect">
          <a:avLst/>
        </a:prstGeom>
      </xdr:spPr>
    </xdr:pic>
    <xdr:clientData/>
  </xdr:twoCellAnchor>
  <xdr:twoCellAnchor>
    <xdr:from>
      <xdr:col>9</xdr:col>
      <xdr:colOff>6350</xdr:colOff>
      <xdr:row>5509</xdr:row>
      <xdr:rowOff>25400</xdr:rowOff>
    </xdr:from>
    <xdr:to>
      <xdr:col>9</xdr:col>
      <xdr:colOff>885190</xdr:colOff>
      <xdr:row>5509</xdr:row>
      <xdr:rowOff>1209040</xdr:rowOff>
    </xdr:to>
    <xdr:pic>
      <xdr:nvPicPr>
        <xdr:cNvPr id="9685" name="Изображение 9684" descr="resizeПП-00273767"/>
        <xdr:cNvPicPr>
          <a:picLocks noChangeAspect="1"/>
        </xdr:cNvPicPr>
      </xdr:nvPicPr>
      <xdr:blipFill>
        <a:blip xmlns:r="http://schemas.openxmlformats.org/officeDocument/2006/relationships" r:embed="rId4293"/>
        <a:stretch>
          <a:fillRect/>
        </a:stretch>
      </xdr:blipFill>
      <xdr:spPr>
        <a:xfrm>
          <a:off x="7235825" y="5636364775"/>
          <a:ext cx="878840" cy="1183640"/>
        </a:xfrm>
        <a:prstGeom prst="rect">
          <a:avLst/>
        </a:prstGeom>
      </xdr:spPr>
    </xdr:pic>
    <xdr:clientData/>
  </xdr:twoCellAnchor>
  <xdr:twoCellAnchor>
    <xdr:from>
      <xdr:col>9</xdr:col>
      <xdr:colOff>6350</xdr:colOff>
      <xdr:row>5510</xdr:row>
      <xdr:rowOff>25400</xdr:rowOff>
    </xdr:from>
    <xdr:to>
      <xdr:col>9</xdr:col>
      <xdr:colOff>885190</xdr:colOff>
      <xdr:row>5510</xdr:row>
      <xdr:rowOff>1209040</xdr:rowOff>
    </xdr:to>
    <xdr:pic>
      <xdr:nvPicPr>
        <xdr:cNvPr id="9686" name="Изображение 9685" descr="resizeПП-00283166"/>
        <xdr:cNvPicPr>
          <a:picLocks noChangeAspect="1"/>
        </xdr:cNvPicPr>
      </xdr:nvPicPr>
      <xdr:blipFill>
        <a:blip xmlns:r="http://schemas.openxmlformats.org/officeDocument/2006/relationships" r:embed="rId4294"/>
        <a:stretch>
          <a:fillRect/>
        </a:stretch>
      </xdr:blipFill>
      <xdr:spPr>
        <a:xfrm>
          <a:off x="7235825" y="5637587150"/>
          <a:ext cx="878840" cy="1183640"/>
        </a:xfrm>
        <a:prstGeom prst="rect">
          <a:avLst/>
        </a:prstGeom>
      </xdr:spPr>
    </xdr:pic>
    <xdr:clientData/>
  </xdr:twoCellAnchor>
  <xdr:twoCellAnchor>
    <xdr:from>
      <xdr:col>9</xdr:col>
      <xdr:colOff>6350</xdr:colOff>
      <xdr:row>5511</xdr:row>
      <xdr:rowOff>25400</xdr:rowOff>
    </xdr:from>
    <xdr:to>
      <xdr:col>9</xdr:col>
      <xdr:colOff>885190</xdr:colOff>
      <xdr:row>5511</xdr:row>
      <xdr:rowOff>1209040</xdr:rowOff>
    </xdr:to>
    <xdr:pic>
      <xdr:nvPicPr>
        <xdr:cNvPr id="9687" name="Изображение 9686" descr="resizeПП-00283165"/>
        <xdr:cNvPicPr>
          <a:picLocks noChangeAspect="1"/>
        </xdr:cNvPicPr>
      </xdr:nvPicPr>
      <xdr:blipFill>
        <a:blip xmlns:r="http://schemas.openxmlformats.org/officeDocument/2006/relationships" r:embed="rId4295"/>
        <a:stretch>
          <a:fillRect/>
        </a:stretch>
      </xdr:blipFill>
      <xdr:spPr>
        <a:xfrm>
          <a:off x="7235825" y="5638809525"/>
          <a:ext cx="878840" cy="1183640"/>
        </a:xfrm>
        <a:prstGeom prst="rect">
          <a:avLst/>
        </a:prstGeom>
      </xdr:spPr>
    </xdr:pic>
    <xdr:clientData/>
  </xdr:twoCellAnchor>
  <xdr:twoCellAnchor>
    <xdr:from>
      <xdr:col>9</xdr:col>
      <xdr:colOff>6350</xdr:colOff>
      <xdr:row>5512</xdr:row>
      <xdr:rowOff>25400</xdr:rowOff>
    </xdr:from>
    <xdr:to>
      <xdr:col>9</xdr:col>
      <xdr:colOff>885190</xdr:colOff>
      <xdr:row>5512</xdr:row>
      <xdr:rowOff>1209040</xdr:rowOff>
    </xdr:to>
    <xdr:pic>
      <xdr:nvPicPr>
        <xdr:cNvPr id="9688" name="Изображение 9687" descr="resizeПП-00283167"/>
        <xdr:cNvPicPr>
          <a:picLocks noChangeAspect="1"/>
        </xdr:cNvPicPr>
      </xdr:nvPicPr>
      <xdr:blipFill>
        <a:blip xmlns:r="http://schemas.openxmlformats.org/officeDocument/2006/relationships" r:embed="rId4296"/>
        <a:stretch>
          <a:fillRect/>
        </a:stretch>
      </xdr:blipFill>
      <xdr:spPr>
        <a:xfrm>
          <a:off x="7235825" y="5640031900"/>
          <a:ext cx="878840" cy="1183640"/>
        </a:xfrm>
        <a:prstGeom prst="rect">
          <a:avLst/>
        </a:prstGeom>
      </xdr:spPr>
    </xdr:pic>
    <xdr:clientData/>
  </xdr:twoCellAnchor>
  <xdr:twoCellAnchor>
    <xdr:from>
      <xdr:col>9</xdr:col>
      <xdr:colOff>6350</xdr:colOff>
      <xdr:row>5513</xdr:row>
      <xdr:rowOff>25400</xdr:rowOff>
    </xdr:from>
    <xdr:to>
      <xdr:col>9</xdr:col>
      <xdr:colOff>885190</xdr:colOff>
      <xdr:row>5513</xdr:row>
      <xdr:rowOff>1209040</xdr:rowOff>
    </xdr:to>
    <xdr:pic>
      <xdr:nvPicPr>
        <xdr:cNvPr id="9689" name="Изображение 9688" descr="resizeПП-00273770"/>
        <xdr:cNvPicPr>
          <a:picLocks noChangeAspect="1"/>
        </xdr:cNvPicPr>
      </xdr:nvPicPr>
      <xdr:blipFill>
        <a:blip xmlns:r="http://schemas.openxmlformats.org/officeDocument/2006/relationships" r:embed="rId4297"/>
        <a:stretch>
          <a:fillRect/>
        </a:stretch>
      </xdr:blipFill>
      <xdr:spPr>
        <a:xfrm>
          <a:off x="7235825" y="5641254275"/>
          <a:ext cx="878840" cy="1183640"/>
        </a:xfrm>
        <a:prstGeom prst="rect">
          <a:avLst/>
        </a:prstGeom>
      </xdr:spPr>
    </xdr:pic>
    <xdr:clientData/>
  </xdr:twoCellAnchor>
  <xdr:twoCellAnchor>
    <xdr:from>
      <xdr:col>9</xdr:col>
      <xdr:colOff>6350</xdr:colOff>
      <xdr:row>5514</xdr:row>
      <xdr:rowOff>25400</xdr:rowOff>
    </xdr:from>
    <xdr:to>
      <xdr:col>9</xdr:col>
      <xdr:colOff>885190</xdr:colOff>
      <xdr:row>5514</xdr:row>
      <xdr:rowOff>1209040</xdr:rowOff>
    </xdr:to>
    <xdr:pic>
      <xdr:nvPicPr>
        <xdr:cNvPr id="9690" name="Изображение 9689" descr="resizeПП-00273769"/>
        <xdr:cNvPicPr>
          <a:picLocks noChangeAspect="1"/>
        </xdr:cNvPicPr>
      </xdr:nvPicPr>
      <xdr:blipFill>
        <a:blip xmlns:r="http://schemas.openxmlformats.org/officeDocument/2006/relationships" r:embed="rId4298"/>
        <a:stretch>
          <a:fillRect/>
        </a:stretch>
      </xdr:blipFill>
      <xdr:spPr>
        <a:xfrm>
          <a:off x="7235825" y="5642476650"/>
          <a:ext cx="878840" cy="1183640"/>
        </a:xfrm>
        <a:prstGeom prst="rect">
          <a:avLst/>
        </a:prstGeom>
      </xdr:spPr>
    </xdr:pic>
    <xdr:clientData/>
  </xdr:twoCellAnchor>
  <xdr:twoCellAnchor>
    <xdr:from>
      <xdr:col>9</xdr:col>
      <xdr:colOff>6350</xdr:colOff>
      <xdr:row>5515</xdr:row>
      <xdr:rowOff>25400</xdr:rowOff>
    </xdr:from>
    <xdr:to>
      <xdr:col>9</xdr:col>
      <xdr:colOff>859790</xdr:colOff>
      <xdr:row>5515</xdr:row>
      <xdr:rowOff>1209040</xdr:rowOff>
    </xdr:to>
    <xdr:pic>
      <xdr:nvPicPr>
        <xdr:cNvPr id="9691" name="Изображение 9690" descr="resizeПП-00273772"/>
        <xdr:cNvPicPr>
          <a:picLocks noChangeAspect="1"/>
        </xdr:cNvPicPr>
      </xdr:nvPicPr>
      <xdr:blipFill>
        <a:blip xmlns:r="http://schemas.openxmlformats.org/officeDocument/2006/relationships" r:embed="rId4299"/>
        <a:stretch>
          <a:fillRect/>
        </a:stretch>
      </xdr:blipFill>
      <xdr:spPr>
        <a:xfrm>
          <a:off x="7235825" y="5643699025"/>
          <a:ext cx="853440" cy="1183640"/>
        </a:xfrm>
        <a:prstGeom prst="rect">
          <a:avLst/>
        </a:prstGeom>
      </xdr:spPr>
    </xdr:pic>
    <xdr:clientData/>
  </xdr:twoCellAnchor>
  <xdr:twoCellAnchor>
    <xdr:from>
      <xdr:col>9</xdr:col>
      <xdr:colOff>6350</xdr:colOff>
      <xdr:row>5516</xdr:row>
      <xdr:rowOff>25400</xdr:rowOff>
    </xdr:from>
    <xdr:to>
      <xdr:col>9</xdr:col>
      <xdr:colOff>885190</xdr:colOff>
      <xdr:row>5516</xdr:row>
      <xdr:rowOff>1209040</xdr:rowOff>
    </xdr:to>
    <xdr:pic>
      <xdr:nvPicPr>
        <xdr:cNvPr id="9692" name="Изображение 9691" descr="resizeПП-00273775"/>
        <xdr:cNvPicPr>
          <a:picLocks noChangeAspect="1"/>
        </xdr:cNvPicPr>
      </xdr:nvPicPr>
      <xdr:blipFill>
        <a:blip xmlns:r="http://schemas.openxmlformats.org/officeDocument/2006/relationships" r:embed="rId4300"/>
        <a:stretch>
          <a:fillRect/>
        </a:stretch>
      </xdr:blipFill>
      <xdr:spPr>
        <a:xfrm>
          <a:off x="7235825" y="5644921400"/>
          <a:ext cx="878840" cy="1183640"/>
        </a:xfrm>
        <a:prstGeom prst="rect">
          <a:avLst/>
        </a:prstGeom>
      </xdr:spPr>
    </xdr:pic>
    <xdr:clientData/>
  </xdr:twoCellAnchor>
  <xdr:twoCellAnchor>
    <xdr:from>
      <xdr:col>9</xdr:col>
      <xdr:colOff>6350</xdr:colOff>
      <xdr:row>5517</xdr:row>
      <xdr:rowOff>25400</xdr:rowOff>
    </xdr:from>
    <xdr:to>
      <xdr:col>9</xdr:col>
      <xdr:colOff>885190</xdr:colOff>
      <xdr:row>5517</xdr:row>
      <xdr:rowOff>1209040</xdr:rowOff>
    </xdr:to>
    <xdr:pic>
      <xdr:nvPicPr>
        <xdr:cNvPr id="9693" name="Изображение 9692" descr="resizeПП-00273771"/>
        <xdr:cNvPicPr>
          <a:picLocks noChangeAspect="1"/>
        </xdr:cNvPicPr>
      </xdr:nvPicPr>
      <xdr:blipFill>
        <a:blip xmlns:r="http://schemas.openxmlformats.org/officeDocument/2006/relationships" r:embed="rId4301"/>
        <a:stretch>
          <a:fillRect/>
        </a:stretch>
      </xdr:blipFill>
      <xdr:spPr>
        <a:xfrm>
          <a:off x="7235825" y="5646143775"/>
          <a:ext cx="878840" cy="1183640"/>
        </a:xfrm>
        <a:prstGeom prst="rect">
          <a:avLst/>
        </a:prstGeom>
      </xdr:spPr>
    </xdr:pic>
    <xdr:clientData/>
  </xdr:twoCellAnchor>
  <xdr:twoCellAnchor>
    <xdr:from>
      <xdr:col>9</xdr:col>
      <xdr:colOff>6350</xdr:colOff>
      <xdr:row>5518</xdr:row>
      <xdr:rowOff>25400</xdr:rowOff>
    </xdr:from>
    <xdr:to>
      <xdr:col>9</xdr:col>
      <xdr:colOff>885190</xdr:colOff>
      <xdr:row>5518</xdr:row>
      <xdr:rowOff>1209040</xdr:rowOff>
    </xdr:to>
    <xdr:pic>
      <xdr:nvPicPr>
        <xdr:cNvPr id="9694" name="Изображение 9693" descr="resizeПП-00273773"/>
        <xdr:cNvPicPr>
          <a:picLocks noChangeAspect="1"/>
        </xdr:cNvPicPr>
      </xdr:nvPicPr>
      <xdr:blipFill>
        <a:blip xmlns:r="http://schemas.openxmlformats.org/officeDocument/2006/relationships" r:embed="rId4302"/>
        <a:stretch>
          <a:fillRect/>
        </a:stretch>
      </xdr:blipFill>
      <xdr:spPr>
        <a:xfrm>
          <a:off x="7235825" y="5647366150"/>
          <a:ext cx="878840" cy="1183640"/>
        </a:xfrm>
        <a:prstGeom prst="rect">
          <a:avLst/>
        </a:prstGeom>
      </xdr:spPr>
    </xdr:pic>
    <xdr:clientData/>
  </xdr:twoCellAnchor>
  <xdr:twoCellAnchor>
    <xdr:from>
      <xdr:col>9</xdr:col>
      <xdr:colOff>6350</xdr:colOff>
      <xdr:row>5519</xdr:row>
      <xdr:rowOff>25400</xdr:rowOff>
    </xdr:from>
    <xdr:to>
      <xdr:col>9</xdr:col>
      <xdr:colOff>885190</xdr:colOff>
      <xdr:row>5519</xdr:row>
      <xdr:rowOff>1209040</xdr:rowOff>
    </xdr:to>
    <xdr:pic>
      <xdr:nvPicPr>
        <xdr:cNvPr id="9695" name="Изображение 9694" descr="resizeПП-00273774"/>
        <xdr:cNvPicPr>
          <a:picLocks noChangeAspect="1"/>
        </xdr:cNvPicPr>
      </xdr:nvPicPr>
      <xdr:blipFill>
        <a:blip xmlns:r="http://schemas.openxmlformats.org/officeDocument/2006/relationships" r:embed="rId4303"/>
        <a:stretch>
          <a:fillRect/>
        </a:stretch>
      </xdr:blipFill>
      <xdr:spPr>
        <a:xfrm>
          <a:off x="7235825" y="5648588525"/>
          <a:ext cx="878840" cy="1183640"/>
        </a:xfrm>
        <a:prstGeom prst="rect">
          <a:avLst/>
        </a:prstGeom>
      </xdr:spPr>
    </xdr:pic>
    <xdr:clientData/>
  </xdr:twoCellAnchor>
  <xdr:twoCellAnchor>
    <xdr:from>
      <xdr:col>9</xdr:col>
      <xdr:colOff>6350</xdr:colOff>
      <xdr:row>5523</xdr:row>
      <xdr:rowOff>25400</xdr:rowOff>
    </xdr:from>
    <xdr:to>
      <xdr:col>9</xdr:col>
      <xdr:colOff>885190</xdr:colOff>
      <xdr:row>5523</xdr:row>
      <xdr:rowOff>1209040</xdr:rowOff>
    </xdr:to>
    <xdr:pic>
      <xdr:nvPicPr>
        <xdr:cNvPr id="9696" name="Изображение 9695" descr="resizeПП-00252885"/>
        <xdr:cNvPicPr>
          <a:picLocks noChangeAspect="1"/>
        </xdr:cNvPicPr>
      </xdr:nvPicPr>
      <xdr:blipFill>
        <a:blip xmlns:r="http://schemas.openxmlformats.org/officeDocument/2006/relationships" r:embed="rId4304"/>
        <a:stretch>
          <a:fillRect/>
        </a:stretch>
      </xdr:blipFill>
      <xdr:spPr>
        <a:xfrm>
          <a:off x="7235825" y="5650268100"/>
          <a:ext cx="878840" cy="1183640"/>
        </a:xfrm>
        <a:prstGeom prst="rect">
          <a:avLst/>
        </a:prstGeom>
      </xdr:spPr>
    </xdr:pic>
    <xdr:clientData/>
  </xdr:twoCellAnchor>
  <xdr:twoCellAnchor>
    <xdr:from>
      <xdr:col>9</xdr:col>
      <xdr:colOff>6350</xdr:colOff>
      <xdr:row>5524</xdr:row>
      <xdr:rowOff>25400</xdr:rowOff>
    </xdr:from>
    <xdr:to>
      <xdr:col>9</xdr:col>
      <xdr:colOff>885190</xdr:colOff>
      <xdr:row>5524</xdr:row>
      <xdr:rowOff>1209040</xdr:rowOff>
    </xdr:to>
    <xdr:pic>
      <xdr:nvPicPr>
        <xdr:cNvPr id="9697" name="Изображение 9696" descr="resizeПП-00177412"/>
        <xdr:cNvPicPr>
          <a:picLocks noChangeAspect="1"/>
        </xdr:cNvPicPr>
      </xdr:nvPicPr>
      <xdr:blipFill>
        <a:blip xmlns:r="http://schemas.openxmlformats.org/officeDocument/2006/relationships" r:embed="rId4305"/>
        <a:stretch>
          <a:fillRect/>
        </a:stretch>
      </xdr:blipFill>
      <xdr:spPr>
        <a:xfrm>
          <a:off x="7235825" y="5651490475"/>
          <a:ext cx="878840" cy="1183640"/>
        </a:xfrm>
        <a:prstGeom prst="rect">
          <a:avLst/>
        </a:prstGeom>
      </xdr:spPr>
    </xdr:pic>
    <xdr:clientData/>
  </xdr:twoCellAnchor>
  <xdr:twoCellAnchor>
    <xdr:from>
      <xdr:col>9</xdr:col>
      <xdr:colOff>6350</xdr:colOff>
      <xdr:row>5525</xdr:row>
      <xdr:rowOff>25400</xdr:rowOff>
    </xdr:from>
    <xdr:to>
      <xdr:col>9</xdr:col>
      <xdr:colOff>885190</xdr:colOff>
      <xdr:row>5525</xdr:row>
      <xdr:rowOff>1209040</xdr:rowOff>
    </xdr:to>
    <xdr:pic>
      <xdr:nvPicPr>
        <xdr:cNvPr id="9698" name="Изображение 9697" descr="resizeПП-00252886"/>
        <xdr:cNvPicPr>
          <a:picLocks noChangeAspect="1"/>
        </xdr:cNvPicPr>
      </xdr:nvPicPr>
      <xdr:blipFill>
        <a:blip xmlns:r="http://schemas.openxmlformats.org/officeDocument/2006/relationships" r:embed="rId4306"/>
        <a:stretch>
          <a:fillRect/>
        </a:stretch>
      </xdr:blipFill>
      <xdr:spPr>
        <a:xfrm>
          <a:off x="7235825" y="5652712850"/>
          <a:ext cx="878840" cy="1183640"/>
        </a:xfrm>
        <a:prstGeom prst="rect">
          <a:avLst/>
        </a:prstGeom>
      </xdr:spPr>
    </xdr:pic>
    <xdr:clientData/>
  </xdr:twoCellAnchor>
  <xdr:twoCellAnchor>
    <xdr:from>
      <xdr:col>9</xdr:col>
      <xdr:colOff>6350</xdr:colOff>
      <xdr:row>5526</xdr:row>
      <xdr:rowOff>25400</xdr:rowOff>
    </xdr:from>
    <xdr:to>
      <xdr:col>9</xdr:col>
      <xdr:colOff>885190</xdr:colOff>
      <xdr:row>5526</xdr:row>
      <xdr:rowOff>1209040</xdr:rowOff>
    </xdr:to>
    <xdr:pic>
      <xdr:nvPicPr>
        <xdr:cNvPr id="9699" name="Изображение 9698" descr="resizeПП-00280415"/>
        <xdr:cNvPicPr>
          <a:picLocks noChangeAspect="1"/>
        </xdr:cNvPicPr>
      </xdr:nvPicPr>
      <xdr:blipFill>
        <a:blip xmlns:r="http://schemas.openxmlformats.org/officeDocument/2006/relationships" r:embed="rId4307"/>
        <a:stretch>
          <a:fillRect/>
        </a:stretch>
      </xdr:blipFill>
      <xdr:spPr>
        <a:xfrm>
          <a:off x="7235825" y="5653935225"/>
          <a:ext cx="878840" cy="1183640"/>
        </a:xfrm>
        <a:prstGeom prst="rect">
          <a:avLst/>
        </a:prstGeom>
      </xdr:spPr>
    </xdr:pic>
    <xdr:clientData/>
  </xdr:twoCellAnchor>
  <xdr:twoCellAnchor>
    <xdr:from>
      <xdr:col>9</xdr:col>
      <xdr:colOff>6350</xdr:colOff>
      <xdr:row>5527</xdr:row>
      <xdr:rowOff>25400</xdr:rowOff>
    </xdr:from>
    <xdr:to>
      <xdr:col>9</xdr:col>
      <xdr:colOff>885190</xdr:colOff>
      <xdr:row>5527</xdr:row>
      <xdr:rowOff>1209040</xdr:rowOff>
    </xdr:to>
    <xdr:pic>
      <xdr:nvPicPr>
        <xdr:cNvPr id="9700" name="Изображение 9699" descr="resizeПП-00280412"/>
        <xdr:cNvPicPr>
          <a:picLocks noChangeAspect="1"/>
        </xdr:cNvPicPr>
      </xdr:nvPicPr>
      <xdr:blipFill>
        <a:blip xmlns:r="http://schemas.openxmlformats.org/officeDocument/2006/relationships" r:embed="rId4308"/>
        <a:stretch>
          <a:fillRect/>
        </a:stretch>
      </xdr:blipFill>
      <xdr:spPr>
        <a:xfrm>
          <a:off x="7235825" y="5655157600"/>
          <a:ext cx="878840" cy="1183640"/>
        </a:xfrm>
        <a:prstGeom prst="rect">
          <a:avLst/>
        </a:prstGeom>
      </xdr:spPr>
    </xdr:pic>
    <xdr:clientData/>
  </xdr:twoCellAnchor>
  <xdr:twoCellAnchor>
    <xdr:from>
      <xdr:col>9</xdr:col>
      <xdr:colOff>6350</xdr:colOff>
      <xdr:row>5528</xdr:row>
      <xdr:rowOff>25400</xdr:rowOff>
    </xdr:from>
    <xdr:to>
      <xdr:col>9</xdr:col>
      <xdr:colOff>885190</xdr:colOff>
      <xdr:row>5528</xdr:row>
      <xdr:rowOff>1209040</xdr:rowOff>
    </xdr:to>
    <xdr:pic>
      <xdr:nvPicPr>
        <xdr:cNvPr id="9701" name="Изображение 9700" descr="resizeПП-00280414"/>
        <xdr:cNvPicPr>
          <a:picLocks noChangeAspect="1"/>
        </xdr:cNvPicPr>
      </xdr:nvPicPr>
      <xdr:blipFill>
        <a:blip xmlns:r="http://schemas.openxmlformats.org/officeDocument/2006/relationships" r:embed="rId4309"/>
        <a:stretch>
          <a:fillRect/>
        </a:stretch>
      </xdr:blipFill>
      <xdr:spPr>
        <a:xfrm>
          <a:off x="7235825" y="5656379975"/>
          <a:ext cx="878840" cy="1183640"/>
        </a:xfrm>
        <a:prstGeom prst="rect">
          <a:avLst/>
        </a:prstGeom>
      </xdr:spPr>
    </xdr:pic>
    <xdr:clientData/>
  </xdr:twoCellAnchor>
  <xdr:twoCellAnchor>
    <xdr:from>
      <xdr:col>9</xdr:col>
      <xdr:colOff>6350</xdr:colOff>
      <xdr:row>5529</xdr:row>
      <xdr:rowOff>25400</xdr:rowOff>
    </xdr:from>
    <xdr:to>
      <xdr:col>9</xdr:col>
      <xdr:colOff>885190</xdr:colOff>
      <xdr:row>5529</xdr:row>
      <xdr:rowOff>1209040</xdr:rowOff>
    </xdr:to>
    <xdr:pic>
      <xdr:nvPicPr>
        <xdr:cNvPr id="9702" name="Изображение 9701" descr="resizeПП-00280409"/>
        <xdr:cNvPicPr>
          <a:picLocks noChangeAspect="1"/>
        </xdr:cNvPicPr>
      </xdr:nvPicPr>
      <xdr:blipFill>
        <a:blip xmlns:r="http://schemas.openxmlformats.org/officeDocument/2006/relationships" r:embed="rId4310"/>
        <a:stretch>
          <a:fillRect/>
        </a:stretch>
      </xdr:blipFill>
      <xdr:spPr>
        <a:xfrm>
          <a:off x="7235825" y="5657602350"/>
          <a:ext cx="878840" cy="1183640"/>
        </a:xfrm>
        <a:prstGeom prst="rect">
          <a:avLst/>
        </a:prstGeom>
      </xdr:spPr>
    </xdr:pic>
    <xdr:clientData/>
  </xdr:twoCellAnchor>
  <xdr:twoCellAnchor>
    <xdr:from>
      <xdr:col>9</xdr:col>
      <xdr:colOff>6350</xdr:colOff>
      <xdr:row>5531</xdr:row>
      <xdr:rowOff>25400</xdr:rowOff>
    </xdr:from>
    <xdr:to>
      <xdr:col>9</xdr:col>
      <xdr:colOff>885190</xdr:colOff>
      <xdr:row>5531</xdr:row>
      <xdr:rowOff>1209040</xdr:rowOff>
    </xdr:to>
    <xdr:pic>
      <xdr:nvPicPr>
        <xdr:cNvPr id="9703" name="Изображение 9702" descr="resizeПП-00280422"/>
        <xdr:cNvPicPr>
          <a:picLocks noChangeAspect="1"/>
        </xdr:cNvPicPr>
      </xdr:nvPicPr>
      <xdr:blipFill>
        <a:blip xmlns:r="http://schemas.openxmlformats.org/officeDocument/2006/relationships" r:embed="rId4311"/>
        <a:stretch>
          <a:fillRect/>
        </a:stretch>
      </xdr:blipFill>
      <xdr:spPr>
        <a:xfrm>
          <a:off x="7235825" y="5658977125"/>
          <a:ext cx="878840" cy="1183640"/>
        </a:xfrm>
        <a:prstGeom prst="rect">
          <a:avLst/>
        </a:prstGeom>
      </xdr:spPr>
    </xdr:pic>
    <xdr:clientData/>
  </xdr:twoCellAnchor>
  <xdr:twoCellAnchor>
    <xdr:from>
      <xdr:col>9</xdr:col>
      <xdr:colOff>6350</xdr:colOff>
      <xdr:row>5532</xdr:row>
      <xdr:rowOff>25400</xdr:rowOff>
    </xdr:from>
    <xdr:to>
      <xdr:col>9</xdr:col>
      <xdr:colOff>885190</xdr:colOff>
      <xdr:row>5532</xdr:row>
      <xdr:rowOff>1209040</xdr:rowOff>
    </xdr:to>
    <xdr:pic>
      <xdr:nvPicPr>
        <xdr:cNvPr id="9704" name="Изображение 9703" descr="resizeПП-00282219"/>
        <xdr:cNvPicPr>
          <a:picLocks noChangeAspect="1"/>
        </xdr:cNvPicPr>
      </xdr:nvPicPr>
      <xdr:blipFill>
        <a:blip xmlns:r="http://schemas.openxmlformats.org/officeDocument/2006/relationships" r:embed="rId4312"/>
        <a:stretch>
          <a:fillRect/>
        </a:stretch>
      </xdr:blipFill>
      <xdr:spPr>
        <a:xfrm>
          <a:off x="7235825" y="5660199500"/>
          <a:ext cx="878840" cy="1183640"/>
        </a:xfrm>
        <a:prstGeom prst="rect">
          <a:avLst/>
        </a:prstGeom>
      </xdr:spPr>
    </xdr:pic>
    <xdr:clientData/>
  </xdr:twoCellAnchor>
  <xdr:twoCellAnchor>
    <xdr:from>
      <xdr:col>9</xdr:col>
      <xdr:colOff>6350</xdr:colOff>
      <xdr:row>5534</xdr:row>
      <xdr:rowOff>25400</xdr:rowOff>
    </xdr:from>
    <xdr:to>
      <xdr:col>9</xdr:col>
      <xdr:colOff>885190</xdr:colOff>
      <xdr:row>5534</xdr:row>
      <xdr:rowOff>1209040</xdr:rowOff>
    </xdr:to>
    <xdr:pic>
      <xdr:nvPicPr>
        <xdr:cNvPr id="9705" name="Изображение 9704" descr="resizeПП-00252887"/>
        <xdr:cNvPicPr>
          <a:picLocks noChangeAspect="1"/>
        </xdr:cNvPicPr>
      </xdr:nvPicPr>
      <xdr:blipFill>
        <a:blip xmlns:r="http://schemas.openxmlformats.org/officeDocument/2006/relationships" r:embed="rId4313"/>
        <a:stretch>
          <a:fillRect/>
        </a:stretch>
      </xdr:blipFill>
      <xdr:spPr>
        <a:xfrm>
          <a:off x="7235825" y="5661574275"/>
          <a:ext cx="878840" cy="1183640"/>
        </a:xfrm>
        <a:prstGeom prst="rect">
          <a:avLst/>
        </a:prstGeom>
      </xdr:spPr>
    </xdr:pic>
    <xdr:clientData/>
  </xdr:twoCellAnchor>
  <xdr:twoCellAnchor>
    <xdr:from>
      <xdr:col>9</xdr:col>
      <xdr:colOff>6350</xdr:colOff>
      <xdr:row>5535</xdr:row>
      <xdr:rowOff>25400</xdr:rowOff>
    </xdr:from>
    <xdr:to>
      <xdr:col>9</xdr:col>
      <xdr:colOff>885190</xdr:colOff>
      <xdr:row>5535</xdr:row>
      <xdr:rowOff>1209040</xdr:rowOff>
    </xdr:to>
    <xdr:pic>
      <xdr:nvPicPr>
        <xdr:cNvPr id="9706" name="Изображение 9705" descr="resizeПП-00135364"/>
        <xdr:cNvPicPr>
          <a:picLocks noChangeAspect="1"/>
        </xdr:cNvPicPr>
      </xdr:nvPicPr>
      <xdr:blipFill>
        <a:blip xmlns:r="http://schemas.openxmlformats.org/officeDocument/2006/relationships" r:embed="rId4314"/>
        <a:stretch>
          <a:fillRect/>
        </a:stretch>
      </xdr:blipFill>
      <xdr:spPr>
        <a:xfrm>
          <a:off x="7235825" y="5662796650"/>
          <a:ext cx="878840" cy="1183640"/>
        </a:xfrm>
        <a:prstGeom prst="rect">
          <a:avLst/>
        </a:prstGeom>
      </xdr:spPr>
    </xdr:pic>
    <xdr:clientData/>
  </xdr:twoCellAnchor>
  <xdr:twoCellAnchor>
    <xdr:from>
      <xdr:col>9</xdr:col>
      <xdr:colOff>6350</xdr:colOff>
      <xdr:row>5536</xdr:row>
      <xdr:rowOff>25400</xdr:rowOff>
    </xdr:from>
    <xdr:to>
      <xdr:col>9</xdr:col>
      <xdr:colOff>885190</xdr:colOff>
      <xdr:row>5536</xdr:row>
      <xdr:rowOff>1209040</xdr:rowOff>
    </xdr:to>
    <xdr:pic>
      <xdr:nvPicPr>
        <xdr:cNvPr id="9707" name="Изображение 9706" descr="resizeПП-00252888"/>
        <xdr:cNvPicPr>
          <a:picLocks noChangeAspect="1"/>
        </xdr:cNvPicPr>
      </xdr:nvPicPr>
      <xdr:blipFill>
        <a:blip xmlns:r="http://schemas.openxmlformats.org/officeDocument/2006/relationships" r:embed="rId4315"/>
        <a:stretch>
          <a:fillRect/>
        </a:stretch>
      </xdr:blipFill>
      <xdr:spPr>
        <a:xfrm>
          <a:off x="7235825" y="5664019025"/>
          <a:ext cx="878840" cy="1183640"/>
        </a:xfrm>
        <a:prstGeom prst="rect">
          <a:avLst/>
        </a:prstGeom>
      </xdr:spPr>
    </xdr:pic>
    <xdr:clientData/>
  </xdr:twoCellAnchor>
  <xdr:twoCellAnchor>
    <xdr:from>
      <xdr:col>9</xdr:col>
      <xdr:colOff>6350</xdr:colOff>
      <xdr:row>5537</xdr:row>
      <xdr:rowOff>25400</xdr:rowOff>
    </xdr:from>
    <xdr:to>
      <xdr:col>9</xdr:col>
      <xdr:colOff>885190</xdr:colOff>
      <xdr:row>5537</xdr:row>
      <xdr:rowOff>1209040</xdr:rowOff>
    </xdr:to>
    <xdr:pic>
      <xdr:nvPicPr>
        <xdr:cNvPr id="9708" name="Изображение 9707" descr="resizeПП-00280417"/>
        <xdr:cNvPicPr>
          <a:picLocks noChangeAspect="1"/>
        </xdr:cNvPicPr>
      </xdr:nvPicPr>
      <xdr:blipFill>
        <a:blip xmlns:r="http://schemas.openxmlformats.org/officeDocument/2006/relationships" r:embed="rId4316"/>
        <a:stretch>
          <a:fillRect/>
        </a:stretch>
      </xdr:blipFill>
      <xdr:spPr>
        <a:xfrm>
          <a:off x="7235825" y="5665241400"/>
          <a:ext cx="878840" cy="1183640"/>
        </a:xfrm>
        <a:prstGeom prst="rect">
          <a:avLst/>
        </a:prstGeom>
      </xdr:spPr>
    </xdr:pic>
    <xdr:clientData/>
  </xdr:twoCellAnchor>
  <xdr:twoCellAnchor>
    <xdr:from>
      <xdr:col>9</xdr:col>
      <xdr:colOff>6350</xdr:colOff>
      <xdr:row>5538</xdr:row>
      <xdr:rowOff>25400</xdr:rowOff>
    </xdr:from>
    <xdr:to>
      <xdr:col>9</xdr:col>
      <xdr:colOff>885190</xdr:colOff>
      <xdr:row>5538</xdr:row>
      <xdr:rowOff>1209040</xdr:rowOff>
    </xdr:to>
    <xdr:pic>
      <xdr:nvPicPr>
        <xdr:cNvPr id="9709" name="Изображение 9708" descr="resizeПП-00280418"/>
        <xdr:cNvPicPr>
          <a:picLocks noChangeAspect="1"/>
        </xdr:cNvPicPr>
      </xdr:nvPicPr>
      <xdr:blipFill>
        <a:blip xmlns:r="http://schemas.openxmlformats.org/officeDocument/2006/relationships" r:embed="rId4317"/>
        <a:stretch>
          <a:fillRect/>
        </a:stretch>
      </xdr:blipFill>
      <xdr:spPr>
        <a:xfrm>
          <a:off x="7235825" y="5666463775"/>
          <a:ext cx="878840" cy="1183640"/>
        </a:xfrm>
        <a:prstGeom prst="rect">
          <a:avLst/>
        </a:prstGeom>
      </xdr:spPr>
    </xdr:pic>
    <xdr:clientData/>
  </xdr:twoCellAnchor>
  <xdr:twoCellAnchor>
    <xdr:from>
      <xdr:col>9</xdr:col>
      <xdr:colOff>6350</xdr:colOff>
      <xdr:row>5539</xdr:row>
      <xdr:rowOff>25400</xdr:rowOff>
    </xdr:from>
    <xdr:to>
      <xdr:col>9</xdr:col>
      <xdr:colOff>885190</xdr:colOff>
      <xdr:row>5539</xdr:row>
      <xdr:rowOff>1209040</xdr:rowOff>
    </xdr:to>
    <xdr:pic>
      <xdr:nvPicPr>
        <xdr:cNvPr id="9710" name="Изображение 9709" descr="resizeПП-00280420"/>
        <xdr:cNvPicPr>
          <a:picLocks noChangeAspect="1"/>
        </xdr:cNvPicPr>
      </xdr:nvPicPr>
      <xdr:blipFill>
        <a:blip xmlns:r="http://schemas.openxmlformats.org/officeDocument/2006/relationships" r:embed="rId4318"/>
        <a:stretch>
          <a:fillRect/>
        </a:stretch>
      </xdr:blipFill>
      <xdr:spPr>
        <a:xfrm>
          <a:off x="7235825" y="5667686150"/>
          <a:ext cx="878840" cy="1183640"/>
        </a:xfrm>
        <a:prstGeom prst="rect">
          <a:avLst/>
        </a:prstGeom>
      </xdr:spPr>
    </xdr:pic>
    <xdr:clientData/>
  </xdr:twoCellAnchor>
  <xdr:twoCellAnchor>
    <xdr:from>
      <xdr:col>9</xdr:col>
      <xdr:colOff>6350</xdr:colOff>
      <xdr:row>5540</xdr:row>
      <xdr:rowOff>25400</xdr:rowOff>
    </xdr:from>
    <xdr:to>
      <xdr:col>9</xdr:col>
      <xdr:colOff>885190</xdr:colOff>
      <xdr:row>5540</xdr:row>
      <xdr:rowOff>1209040</xdr:rowOff>
    </xdr:to>
    <xdr:pic>
      <xdr:nvPicPr>
        <xdr:cNvPr id="9711" name="Изображение 9710" descr="resizeПП-00280416"/>
        <xdr:cNvPicPr>
          <a:picLocks noChangeAspect="1"/>
        </xdr:cNvPicPr>
      </xdr:nvPicPr>
      <xdr:blipFill>
        <a:blip xmlns:r="http://schemas.openxmlformats.org/officeDocument/2006/relationships" r:embed="rId4319"/>
        <a:stretch>
          <a:fillRect/>
        </a:stretch>
      </xdr:blipFill>
      <xdr:spPr>
        <a:xfrm>
          <a:off x="7235825" y="5668908525"/>
          <a:ext cx="878840" cy="1183640"/>
        </a:xfrm>
        <a:prstGeom prst="rect">
          <a:avLst/>
        </a:prstGeom>
      </xdr:spPr>
    </xdr:pic>
    <xdr:clientData/>
  </xdr:twoCellAnchor>
  <xdr:twoCellAnchor>
    <xdr:from>
      <xdr:col>9</xdr:col>
      <xdr:colOff>6350</xdr:colOff>
      <xdr:row>5541</xdr:row>
      <xdr:rowOff>25400</xdr:rowOff>
    </xdr:from>
    <xdr:to>
      <xdr:col>9</xdr:col>
      <xdr:colOff>885190</xdr:colOff>
      <xdr:row>5541</xdr:row>
      <xdr:rowOff>1209040</xdr:rowOff>
    </xdr:to>
    <xdr:pic>
      <xdr:nvPicPr>
        <xdr:cNvPr id="9712" name="Изображение 9711" descr="resizeПП-00280421"/>
        <xdr:cNvPicPr>
          <a:picLocks noChangeAspect="1"/>
        </xdr:cNvPicPr>
      </xdr:nvPicPr>
      <xdr:blipFill>
        <a:blip xmlns:r="http://schemas.openxmlformats.org/officeDocument/2006/relationships" r:embed="rId4320"/>
        <a:stretch>
          <a:fillRect/>
        </a:stretch>
      </xdr:blipFill>
      <xdr:spPr>
        <a:xfrm>
          <a:off x="7235825" y="5670130900"/>
          <a:ext cx="878840" cy="1183640"/>
        </a:xfrm>
        <a:prstGeom prst="rect">
          <a:avLst/>
        </a:prstGeom>
      </xdr:spPr>
    </xdr:pic>
    <xdr:clientData/>
  </xdr:twoCellAnchor>
  <xdr:twoCellAnchor>
    <xdr:from>
      <xdr:col>9</xdr:col>
      <xdr:colOff>6350</xdr:colOff>
      <xdr:row>5542</xdr:row>
      <xdr:rowOff>25400</xdr:rowOff>
    </xdr:from>
    <xdr:to>
      <xdr:col>9</xdr:col>
      <xdr:colOff>885190</xdr:colOff>
      <xdr:row>5542</xdr:row>
      <xdr:rowOff>1209040</xdr:rowOff>
    </xdr:to>
    <xdr:pic>
      <xdr:nvPicPr>
        <xdr:cNvPr id="9713" name="Изображение 9712" descr="resizeПП-00155972"/>
        <xdr:cNvPicPr>
          <a:picLocks noChangeAspect="1"/>
        </xdr:cNvPicPr>
      </xdr:nvPicPr>
      <xdr:blipFill>
        <a:blip xmlns:r="http://schemas.openxmlformats.org/officeDocument/2006/relationships" r:embed="rId4321"/>
        <a:stretch>
          <a:fillRect/>
        </a:stretch>
      </xdr:blipFill>
      <xdr:spPr>
        <a:xfrm>
          <a:off x="7235825" y="5671353275"/>
          <a:ext cx="878840" cy="1183640"/>
        </a:xfrm>
        <a:prstGeom prst="rect">
          <a:avLst/>
        </a:prstGeom>
      </xdr:spPr>
    </xdr:pic>
    <xdr:clientData/>
  </xdr:twoCellAnchor>
  <xdr:twoCellAnchor>
    <xdr:from>
      <xdr:col>9</xdr:col>
      <xdr:colOff>6350</xdr:colOff>
      <xdr:row>5543</xdr:row>
      <xdr:rowOff>25400</xdr:rowOff>
    </xdr:from>
    <xdr:to>
      <xdr:col>9</xdr:col>
      <xdr:colOff>885190</xdr:colOff>
      <xdr:row>5543</xdr:row>
      <xdr:rowOff>1209040</xdr:rowOff>
    </xdr:to>
    <xdr:pic>
      <xdr:nvPicPr>
        <xdr:cNvPr id="9714" name="Изображение 9713" descr="resizeПП-00282220"/>
        <xdr:cNvPicPr>
          <a:picLocks noChangeAspect="1"/>
        </xdr:cNvPicPr>
      </xdr:nvPicPr>
      <xdr:blipFill>
        <a:blip xmlns:r="http://schemas.openxmlformats.org/officeDocument/2006/relationships" r:embed="rId4322"/>
        <a:stretch>
          <a:fillRect/>
        </a:stretch>
      </xdr:blipFill>
      <xdr:spPr>
        <a:xfrm>
          <a:off x="7235825" y="5672575650"/>
          <a:ext cx="878840" cy="1183640"/>
        </a:xfrm>
        <a:prstGeom prst="rect">
          <a:avLst/>
        </a:prstGeom>
      </xdr:spPr>
    </xdr:pic>
    <xdr:clientData/>
  </xdr:twoCellAnchor>
  <xdr:twoCellAnchor>
    <xdr:from>
      <xdr:col>9</xdr:col>
      <xdr:colOff>6350</xdr:colOff>
      <xdr:row>5544</xdr:row>
      <xdr:rowOff>25400</xdr:rowOff>
    </xdr:from>
    <xdr:to>
      <xdr:col>9</xdr:col>
      <xdr:colOff>885190</xdr:colOff>
      <xdr:row>5544</xdr:row>
      <xdr:rowOff>1209040</xdr:rowOff>
    </xdr:to>
    <xdr:pic>
      <xdr:nvPicPr>
        <xdr:cNvPr id="9715" name="Изображение 9714" descr="resizeПП-00042129"/>
        <xdr:cNvPicPr>
          <a:picLocks noChangeAspect="1"/>
        </xdr:cNvPicPr>
      </xdr:nvPicPr>
      <xdr:blipFill>
        <a:blip xmlns:r="http://schemas.openxmlformats.org/officeDocument/2006/relationships" r:embed="rId4323"/>
        <a:stretch>
          <a:fillRect/>
        </a:stretch>
      </xdr:blipFill>
      <xdr:spPr>
        <a:xfrm>
          <a:off x="7235825" y="5673798025"/>
          <a:ext cx="878840" cy="1183640"/>
        </a:xfrm>
        <a:prstGeom prst="rect">
          <a:avLst/>
        </a:prstGeom>
      </xdr:spPr>
    </xdr:pic>
    <xdr:clientData/>
  </xdr:twoCellAnchor>
  <xdr:twoCellAnchor>
    <xdr:from>
      <xdr:col>9</xdr:col>
      <xdr:colOff>6350</xdr:colOff>
      <xdr:row>5546</xdr:row>
      <xdr:rowOff>25400</xdr:rowOff>
    </xdr:from>
    <xdr:to>
      <xdr:col>9</xdr:col>
      <xdr:colOff>885190</xdr:colOff>
      <xdr:row>5546</xdr:row>
      <xdr:rowOff>1209040</xdr:rowOff>
    </xdr:to>
    <xdr:pic>
      <xdr:nvPicPr>
        <xdr:cNvPr id="9716" name="Изображение 9715" descr="resizeПП-00271783"/>
        <xdr:cNvPicPr>
          <a:picLocks noChangeAspect="1"/>
        </xdr:cNvPicPr>
      </xdr:nvPicPr>
      <xdr:blipFill>
        <a:blip xmlns:r="http://schemas.openxmlformats.org/officeDocument/2006/relationships" r:embed="rId4324"/>
        <a:stretch>
          <a:fillRect/>
        </a:stretch>
      </xdr:blipFill>
      <xdr:spPr>
        <a:xfrm>
          <a:off x="7235825" y="5675172800"/>
          <a:ext cx="878840" cy="1183640"/>
        </a:xfrm>
        <a:prstGeom prst="rect">
          <a:avLst/>
        </a:prstGeom>
      </xdr:spPr>
    </xdr:pic>
    <xdr:clientData/>
  </xdr:twoCellAnchor>
  <xdr:twoCellAnchor>
    <xdr:from>
      <xdr:col>9</xdr:col>
      <xdr:colOff>6350</xdr:colOff>
      <xdr:row>5547</xdr:row>
      <xdr:rowOff>25400</xdr:rowOff>
    </xdr:from>
    <xdr:to>
      <xdr:col>9</xdr:col>
      <xdr:colOff>885190</xdr:colOff>
      <xdr:row>5547</xdr:row>
      <xdr:rowOff>1209040</xdr:rowOff>
    </xdr:to>
    <xdr:pic>
      <xdr:nvPicPr>
        <xdr:cNvPr id="9717" name="Изображение 9716" descr="resizeПП-00271788"/>
        <xdr:cNvPicPr>
          <a:picLocks noChangeAspect="1"/>
        </xdr:cNvPicPr>
      </xdr:nvPicPr>
      <xdr:blipFill>
        <a:blip xmlns:r="http://schemas.openxmlformats.org/officeDocument/2006/relationships" r:embed="rId4325"/>
        <a:stretch>
          <a:fillRect/>
        </a:stretch>
      </xdr:blipFill>
      <xdr:spPr>
        <a:xfrm>
          <a:off x="7235825" y="5676395175"/>
          <a:ext cx="878840" cy="1183640"/>
        </a:xfrm>
        <a:prstGeom prst="rect">
          <a:avLst/>
        </a:prstGeom>
      </xdr:spPr>
    </xdr:pic>
    <xdr:clientData/>
  </xdr:twoCellAnchor>
  <xdr:twoCellAnchor>
    <xdr:from>
      <xdr:col>9</xdr:col>
      <xdr:colOff>6350</xdr:colOff>
      <xdr:row>5548</xdr:row>
      <xdr:rowOff>25400</xdr:rowOff>
    </xdr:from>
    <xdr:to>
      <xdr:col>9</xdr:col>
      <xdr:colOff>885190</xdr:colOff>
      <xdr:row>5548</xdr:row>
      <xdr:rowOff>1209040</xdr:rowOff>
    </xdr:to>
    <xdr:pic>
      <xdr:nvPicPr>
        <xdr:cNvPr id="9718" name="Изображение 9717" descr="resizeПП-00271785"/>
        <xdr:cNvPicPr>
          <a:picLocks noChangeAspect="1"/>
        </xdr:cNvPicPr>
      </xdr:nvPicPr>
      <xdr:blipFill>
        <a:blip xmlns:r="http://schemas.openxmlformats.org/officeDocument/2006/relationships" r:embed="rId4326"/>
        <a:stretch>
          <a:fillRect/>
        </a:stretch>
      </xdr:blipFill>
      <xdr:spPr>
        <a:xfrm>
          <a:off x="7235825" y="5677617550"/>
          <a:ext cx="878840" cy="1183640"/>
        </a:xfrm>
        <a:prstGeom prst="rect">
          <a:avLst/>
        </a:prstGeom>
      </xdr:spPr>
    </xdr:pic>
    <xdr:clientData/>
  </xdr:twoCellAnchor>
  <xdr:twoCellAnchor>
    <xdr:from>
      <xdr:col>9</xdr:col>
      <xdr:colOff>6350</xdr:colOff>
      <xdr:row>5549</xdr:row>
      <xdr:rowOff>25400</xdr:rowOff>
    </xdr:from>
    <xdr:to>
      <xdr:col>9</xdr:col>
      <xdr:colOff>885190</xdr:colOff>
      <xdr:row>5549</xdr:row>
      <xdr:rowOff>1209040</xdr:rowOff>
    </xdr:to>
    <xdr:pic>
      <xdr:nvPicPr>
        <xdr:cNvPr id="9719" name="Изображение 9718" descr="resizeПП-00271787"/>
        <xdr:cNvPicPr>
          <a:picLocks noChangeAspect="1"/>
        </xdr:cNvPicPr>
      </xdr:nvPicPr>
      <xdr:blipFill>
        <a:blip xmlns:r="http://schemas.openxmlformats.org/officeDocument/2006/relationships" r:embed="rId4327"/>
        <a:stretch>
          <a:fillRect/>
        </a:stretch>
      </xdr:blipFill>
      <xdr:spPr>
        <a:xfrm>
          <a:off x="7235825" y="5678839925"/>
          <a:ext cx="878840" cy="1183640"/>
        </a:xfrm>
        <a:prstGeom prst="rect">
          <a:avLst/>
        </a:prstGeom>
      </xdr:spPr>
    </xdr:pic>
    <xdr:clientData/>
  </xdr:twoCellAnchor>
  <xdr:twoCellAnchor>
    <xdr:from>
      <xdr:col>9</xdr:col>
      <xdr:colOff>6350</xdr:colOff>
      <xdr:row>5551</xdr:row>
      <xdr:rowOff>25400</xdr:rowOff>
    </xdr:from>
    <xdr:to>
      <xdr:col>9</xdr:col>
      <xdr:colOff>885190</xdr:colOff>
      <xdr:row>5551</xdr:row>
      <xdr:rowOff>1209040</xdr:rowOff>
    </xdr:to>
    <xdr:pic>
      <xdr:nvPicPr>
        <xdr:cNvPr id="9720" name="Изображение 9719" descr="resizeПП-00263720"/>
        <xdr:cNvPicPr>
          <a:picLocks noChangeAspect="1"/>
        </xdr:cNvPicPr>
      </xdr:nvPicPr>
      <xdr:blipFill>
        <a:blip xmlns:r="http://schemas.openxmlformats.org/officeDocument/2006/relationships" r:embed="rId4328"/>
        <a:stretch>
          <a:fillRect/>
        </a:stretch>
      </xdr:blipFill>
      <xdr:spPr>
        <a:xfrm>
          <a:off x="7235825" y="5680214700"/>
          <a:ext cx="878840" cy="1183640"/>
        </a:xfrm>
        <a:prstGeom prst="rect">
          <a:avLst/>
        </a:prstGeom>
      </xdr:spPr>
    </xdr:pic>
    <xdr:clientData/>
  </xdr:twoCellAnchor>
  <xdr:twoCellAnchor>
    <xdr:from>
      <xdr:col>9</xdr:col>
      <xdr:colOff>6350</xdr:colOff>
      <xdr:row>5552</xdr:row>
      <xdr:rowOff>25400</xdr:rowOff>
    </xdr:from>
    <xdr:to>
      <xdr:col>9</xdr:col>
      <xdr:colOff>885190</xdr:colOff>
      <xdr:row>5552</xdr:row>
      <xdr:rowOff>1209040</xdr:rowOff>
    </xdr:to>
    <xdr:pic>
      <xdr:nvPicPr>
        <xdr:cNvPr id="9721" name="Изображение 9720" descr="resizeПП-00236600"/>
        <xdr:cNvPicPr>
          <a:picLocks noChangeAspect="1"/>
        </xdr:cNvPicPr>
      </xdr:nvPicPr>
      <xdr:blipFill>
        <a:blip xmlns:r="http://schemas.openxmlformats.org/officeDocument/2006/relationships" r:embed="rId4329"/>
        <a:stretch>
          <a:fillRect/>
        </a:stretch>
      </xdr:blipFill>
      <xdr:spPr>
        <a:xfrm>
          <a:off x="7235825" y="5681437075"/>
          <a:ext cx="878840" cy="1183640"/>
        </a:xfrm>
        <a:prstGeom prst="rect">
          <a:avLst/>
        </a:prstGeom>
      </xdr:spPr>
    </xdr:pic>
    <xdr:clientData/>
  </xdr:twoCellAnchor>
  <xdr:twoCellAnchor>
    <xdr:from>
      <xdr:col>9</xdr:col>
      <xdr:colOff>6350</xdr:colOff>
      <xdr:row>5553</xdr:row>
      <xdr:rowOff>25400</xdr:rowOff>
    </xdr:from>
    <xdr:to>
      <xdr:col>9</xdr:col>
      <xdr:colOff>885190</xdr:colOff>
      <xdr:row>5553</xdr:row>
      <xdr:rowOff>1209040</xdr:rowOff>
    </xdr:to>
    <xdr:pic>
      <xdr:nvPicPr>
        <xdr:cNvPr id="9722" name="Изображение 9721" descr="resizeПП-00178108"/>
        <xdr:cNvPicPr>
          <a:picLocks noChangeAspect="1"/>
        </xdr:cNvPicPr>
      </xdr:nvPicPr>
      <xdr:blipFill>
        <a:blip xmlns:r="http://schemas.openxmlformats.org/officeDocument/2006/relationships" r:embed="rId4330"/>
        <a:stretch>
          <a:fillRect/>
        </a:stretch>
      </xdr:blipFill>
      <xdr:spPr>
        <a:xfrm>
          <a:off x="7235825" y="5682659450"/>
          <a:ext cx="878840" cy="1183640"/>
        </a:xfrm>
        <a:prstGeom prst="rect">
          <a:avLst/>
        </a:prstGeom>
      </xdr:spPr>
    </xdr:pic>
    <xdr:clientData/>
  </xdr:twoCellAnchor>
  <xdr:twoCellAnchor>
    <xdr:from>
      <xdr:col>9</xdr:col>
      <xdr:colOff>6350</xdr:colOff>
      <xdr:row>5559</xdr:row>
      <xdr:rowOff>25400</xdr:rowOff>
    </xdr:from>
    <xdr:to>
      <xdr:col>9</xdr:col>
      <xdr:colOff>885190</xdr:colOff>
      <xdr:row>5559</xdr:row>
      <xdr:rowOff>1209040</xdr:rowOff>
    </xdr:to>
    <xdr:pic>
      <xdr:nvPicPr>
        <xdr:cNvPr id="9723" name="Изображение 9722" descr="resizeПП-00181756"/>
        <xdr:cNvPicPr>
          <a:picLocks noChangeAspect="1"/>
        </xdr:cNvPicPr>
      </xdr:nvPicPr>
      <xdr:blipFill>
        <a:blip xmlns:r="http://schemas.openxmlformats.org/officeDocument/2006/relationships" r:embed="rId4331"/>
        <a:stretch>
          <a:fillRect/>
        </a:stretch>
      </xdr:blipFill>
      <xdr:spPr>
        <a:xfrm>
          <a:off x="7235825" y="5684694625"/>
          <a:ext cx="878840" cy="1183640"/>
        </a:xfrm>
        <a:prstGeom prst="rect">
          <a:avLst/>
        </a:prstGeom>
      </xdr:spPr>
    </xdr:pic>
    <xdr:clientData/>
  </xdr:twoCellAnchor>
  <xdr:twoCellAnchor>
    <xdr:from>
      <xdr:col>9</xdr:col>
      <xdr:colOff>6350</xdr:colOff>
      <xdr:row>5560</xdr:row>
      <xdr:rowOff>25400</xdr:rowOff>
    </xdr:from>
    <xdr:to>
      <xdr:col>9</xdr:col>
      <xdr:colOff>885190</xdr:colOff>
      <xdr:row>5560</xdr:row>
      <xdr:rowOff>1209040</xdr:rowOff>
    </xdr:to>
    <xdr:pic>
      <xdr:nvPicPr>
        <xdr:cNvPr id="9724" name="Изображение 9723" descr="resizeПП-00181758"/>
        <xdr:cNvPicPr>
          <a:picLocks noChangeAspect="1"/>
        </xdr:cNvPicPr>
      </xdr:nvPicPr>
      <xdr:blipFill>
        <a:blip xmlns:r="http://schemas.openxmlformats.org/officeDocument/2006/relationships" r:embed="rId4332"/>
        <a:stretch>
          <a:fillRect/>
        </a:stretch>
      </xdr:blipFill>
      <xdr:spPr>
        <a:xfrm>
          <a:off x="7235825" y="5685917000"/>
          <a:ext cx="878840" cy="1183640"/>
        </a:xfrm>
        <a:prstGeom prst="rect">
          <a:avLst/>
        </a:prstGeom>
      </xdr:spPr>
    </xdr:pic>
    <xdr:clientData/>
  </xdr:twoCellAnchor>
  <xdr:twoCellAnchor>
    <xdr:from>
      <xdr:col>9</xdr:col>
      <xdr:colOff>6350</xdr:colOff>
      <xdr:row>5561</xdr:row>
      <xdr:rowOff>25400</xdr:rowOff>
    </xdr:from>
    <xdr:to>
      <xdr:col>9</xdr:col>
      <xdr:colOff>885190</xdr:colOff>
      <xdr:row>5561</xdr:row>
      <xdr:rowOff>1209040</xdr:rowOff>
    </xdr:to>
    <xdr:pic>
      <xdr:nvPicPr>
        <xdr:cNvPr id="9725" name="Изображение 9724" descr="resizeПП-00181757"/>
        <xdr:cNvPicPr>
          <a:picLocks noChangeAspect="1"/>
        </xdr:cNvPicPr>
      </xdr:nvPicPr>
      <xdr:blipFill>
        <a:blip xmlns:r="http://schemas.openxmlformats.org/officeDocument/2006/relationships" r:embed="rId4333"/>
        <a:stretch>
          <a:fillRect/>
        </a:stretch>
      </xdr:blipFill>
      <xdr:spPr>
        <a:xfrm>
          <a:off x="7235825" y="5687139375"/>
          <a:ext cx="878840" cy="1183640"/>
        </a:xfrm>
        <a:prstGeom prst="rect">
          <a:avLst/>
        </a:prstGeom>
      </xdr:spPr>
    </xdr:pic>
    <xdr:clientData/>
  </xdr:twoCellAnchor>
  <xdr:twoCellAnchor>
    <xdr:from>
      <xdr:col>9</xdr:col>
      <xdr:colOff>6350</xdr:colOff>
      <xdr:row>5562</xdr:row>
      <xdr:rowOff>25400</xdr:rowOff>
    </xdr:from>
    <xdr:to>
      <xdr:col>9</xdr:col>
      <xdr:colOff>885190</xdr:colOff>
      <xdr:row>5562</xdr:row>
      <xdr:rowOff>1209040</xdr:rowOff>
    </xdr:to>
    <xdr:pic>
      <xdr:nvPicPr>
        <xdr:cNvPr id="9726" name="Изображение 9725" descr="resizeПП-00181759"/>
        <xdr:cNvPicPr>
          <a:picLocks noChangeAspect="1"/>
        </xdr:cNvPicPr>
      </xdr:nvPicPr>
      <xdr:blipFill>
        <a:blip xmlns:r="http://schemas.openxmlformats.org/officeDocument/2006/relationships" r:embed="rId4334"/>
        <a:stretch>
          <a:fillRect/>
        </a:stretch>
      </xdr:blipFill>
      <xdr:spPr>
        <a:xfrm>
          <a:off x="7235825" y="5688361750"/>
          <a:ext cx="878840" cy="1183640"/>
        </a:xfrm>
        <a:prstGeom prst="rect">
          <a:avLst/>
        </a:prstGeom>
      </xdr:spPr>
    </xdr:pic>
    <xdr:clientData/>
  </xdr:twoCellAnchor>
  <xdr:twoCellAnchor>
    <xdr:from>
      <xdr:col>9</xdr:col>
      <xdr:colOff>6350</xdr:colOff>
      <xdr:row>5564</xdr:row>
      <xdr:rowOff>25400</xdr:rowOff>
    </xdr:from>
    <xdr:to>
      <xdr:col>9</xdr:col>
      <xdr:colOff>885190</xdr:colOff>
      <xdr:row>5564</xdr:row>
      <xdr:rowOff>1209040</xdr:rowOff>
    </xdr:to>
    <xdr:pic>
      <xdr:nvPicPr>
        <xdr:cNvPr id="9727" name="Изображение 9726" descr="resizeПП-00204183"/>
        <xdr:cNvPicPr>
          <a:picLocks noChangeAspect="1"/>
        </xdr:cNvPicPr>
      </xdr:nvPicPr>
      <xdr:blipFill>
        <a:blip xmlns:r="http://schemas.openxmlformats.org/officeDocument/2006/relationships" r:embed="rId4335"/>
        <a:stretch>
          <a:fillRect/>
        </a:stretch>
      </xdr:blipFill>
      <xdr:spPr>
        <a:xfrm>
          <a:off x="7235825" y="5689736525"/>
          <a:ext cx="878840" cy="1183640"/>
        </a:xfrm>
        <a:prstGeom prst="rect">
          <a:avLst/>
        </a:prstGeom>
      </xdr:spPr>
    </xdr:pic>
    <xdr:clientData/>
  </xdr:twoCellAnchor>
  <xdr:twoCellAnchor>
    <xdr:from>
      <xdr:col>9</xdr:col>
      <xdr:colOff>6350</xdr:colOff>
      <xdr:row>5566</xdr:row>
      <xdr:rowOff>25400</xdr:rowOff>
    </xdr:from>
    <xdr:to>
      <xdr:col>9</xdr:col>
      <xdr:colOff>885190</xdr:colOff>
      <xdr:row>5566</xdr:row>
      <xdr:rowOff>1209040</xdr:rowOff>
    </xdr:to>
    <xdr:pic>
      <xdr:nvPicPr>
        <xdr:cNvPr id="9728" name="Изображение 9727" descr="resizeПП-00204142"/>
        <xdr:cNvPicPr>
          <a:picLocks noChangeAspect="1"/>
        </xdr:cNvPicPr>
      </xdr:nvPicPr>
      <xdr:blipFill>
        <a:blip xmlns:r="http://schemas.openxmlformats.org/officeDocument/2006/relationships" r:embed="rId4336"/>
        <a:stretch>
          <a:fillRect/>
        </a:stretch>
      </xdr:blipFill>
      <xdr:spPr>
        <a:xfrm>
          <a:off x="7235825" y="5691111300"/>
          <a:ext cx="878840" cy="1183640"/>
        </a:xfrm>
        <a:prstGeom prst="rect">
          <a:avLst/>
        </a:prstGeom>
      </xdr:spPr>
    </xdr:pic>
    <xdr:clientData/>
  </xdr:twoCellAnchor>
  <xdr:twoCellAnchor>
    <xdr:from>
      <xdr:col>9</xdr:col>
      <xdr:colOff>6350</xdr:colOff>
      <xdr:row>5569</xdr:row>
      <xdr:rowOff>25400</xdr:rowOff>
    </xdr:from>
    <xdr:to>
      <xdr:col>9</xdr:col>
      <xdr:colOff>885190</xdr:colOff>
      <xdr:row>5569</xdr:row>
      <xdr:rowOff>1209040</xdr:rowOff>
    </xdr:to>
    <xdr:pic>
      <xdr:nvPicPr>
        <xdr:cNvPr id="9729" name="Изображение 9728" descr="resizeПП-00184299"/>
        <xdr:cNvPicPr>
          <a:picLocks noChangeAspect="1"/>
        </xdr:cNvPicPr>
      </xdr:nvPicPr>
      <xdr:blipFill>
        <a:blip xmlns:r="http://schemas.openxmlformats.org/officeDocument/2006/relationships" r:embed="rId4337"/>
        <a:stretch>
          <a:fillRect/>
        </a:stretch>
      </xdr:blipFill>
      <xdr:spPr>
        <a:xfrm>
          <a:off x="7235825" y="5692638475"/>
          <a:ext cx="878840" cy="1183640"/>
        </a:xfrm>
        <a:prstGeom prst="rect">
          <a:avLst/>
        </a:prstGeom>
      </xdr:spPr>
    </xdr:pic>
    <xdr:clientData/>
  </xdr:twoCellAnchor>
  <xdr:twoCellAnchor>
    <xdr:from>
      <xdr:col>9</xdr:col>
      <xdr:colOff>6350</xdr:colOff>
      <xdr:row>5570</xdr:row>
      <xdr:rowOff>25400</xdr:rowOff>
    </xdr:from>
    <xdr:to>
      <xdr:col>9</xdr:col>
      <xdr:colOff>885190</xdr:colOff>
      <xdr:row>5570</xdr:row>
      <xdr:rowOff>1209040</xdr:rowOff>
    </xdr:to>
    <xdr:pic>
      <xdr:nvPicPr>
        <xdr:cNvPr id="9730" name="Изображение 9729" descr="resizeПП-00184296"/>
        <xdr:cNvPicPr>
          <a:picLocks noChangeAspect="1"/>
        </xdr:cNvPicPr>
      </xdr:nvPicPr>
      <xdr:blipFill>
        <a:blip xmlns:r="http://schemas.openxmlformats.org/officeDocument/2006/relationships" r:embed="rId4338"/>
        <a:stretch>
          <a:fillRect/>
        </a:stretch>
      </xdr:blipFill>
      <xdr:spPr>
        <a:xfrm>
          <a:off x="7235825" y="5693860850"/>
          <a:ext cx="878840" cy="1183640"/>
        </a:xfrm>
        <a:prstGeom prst="rect">
          <a:avLst/>
        </a:prstGeom>
      </xdr:spPr>
    </xdr:pic>
    <xdr:clientData/>
  </xdr:twoCellAnchor>
  <xdr:twoCellAnchor>
    <xdr:from>
      <xdr:col>9</xdr:col>
      <xdr:colOff>6350</xdr:colOff>
      <xdr:row>5571</xdr:row>
      <xdr:rowOff>25400</xdr:rowOff>
    </xdr:from>
    <xdr:to>
      <xdr:col>9</xdr:col>
      <xdr:colOff>885190</xdr:colOff>
      <xdr:row>5571</xdr:row>
      <xdr:rowOff>1209040</xdr:rowOff>
    </xdr:to>
    <xdr:pic>
      <xdr:nvPicPr>
        <xdr:cNvPr id="9731" name="Изображение 9730" descr="resizeПП-00184302"/>
        <xdr:cNvPicPr>
          <a:picLocks noChangeAspect="1"/>
        </xdr:cNvPicPr>
      </xdr:nvPicPr>
      <xdr:blipFill>
        <a:blip xmlns:r="http://schemas.openxmlformats.org/officeDocument/2006/relationships" r:embed="rId4339"/>
        <a:stretch>
          <a:fillRect/>
        </a:stretch>
      </xdr:blipFill>
      <xdr:spPr>
        <a:xfrm>
          <a:off x="7235825" y="5695083225"/>
          <a:ext cx="878840" cy="1183640"/>
        </a:xfrm>
        <a:prstGeom prst="rect">
          <a:avLst/>
        </a:prstGeom>
      </xdr:spPr>
    </xdr:pic>
    <xdr:clientData/>
  </xdr:twoCellAnchor>
  <xdr:twoCellAnchor>
    <xdr:from>
      <xdr:col>9</xdr:col>
      <xdr:colOff>6350</xdr:colOff>
      <xdr:row>5572</xdr:row>
      <xdr:rowOff>25400</xdr:rowOff>
    </xdr:from>
    <xdr:to>
      <xdr:col>9</xdr:col>
      <xdr:colOff>885190</xdr:colOff>
      <xdr:row>5572</xdr:row>
      <xdr:rowOff>1209040</xdr:rowOff>
    </xdr:to>
    <xdr:pic>
      <xdr:nvPicPr>
        <xdr:cNvPr id="9732" name="Изображение 9731" descr="resizeПП-00184294"/>
        <xdr:cNvPicPr>
          <a:picLocks noChangeAspect="1"/>
        </xdr:cNvPicPr>
      </xdr:nvPicPr>
      <xdr:blipFill>
        <a:blip xmlns:r="http://schemas.openxmlformats.org/officeDocument/2006/relationships" r:embed="rId4340"/>
        <a:stretch>
          <a:fillRect/>
        </a:stretch>
      </xdr:blipFill>
      <xdr:spPr>
        <a:xfrm>
          <a:off x="7235825" y="5696305600"/>
          <a:ext cx="878840" cy="1183640"/>
        </a:xfrm>
        <a:prstGeom prst="rect">
          <a:avLst/>
        </a:prstGeom>
      </xdr:spPr>
    </xdr:pic>
    <xdr:clientData/>
  </xdr:twoCellAnchor>
  <xdr:twoCellAnchor>
    <xdr:from>
      <xdr:col>9</xdr:col>
      <xdr:colOff>6350</xdr:colOff>
      <xdr:row>5573</xdr:row>
      <xdr:rowOff>25400</xdr:rowOff>
    </xdr:from>
    <xdr:to>
      <xdr:col>9</xdr:col>
      <xdr:colOff>885190</xdr:colOff>
      <xdr:row>5573</xdr:row>
      <xdr:rowOff>1209040</xdr:rowOff>
    </xdr:to>
    <xdr:pic>
      <xdr:nvPicPr>
        <xdr:cNvPr id="9733" name="Изображение 9732" descr="resizeПП-00184298"/>
        <xdr:cNvPicPr>
          <a:picLocks noChangeAspect="1"/>
        </xdr:cNvPicPr>
      </xdr:nvPicPr>
      <xdr:blipFill>
        <a:blip xmlns:r="http://schemas.openxmlformats.org/officeDocument/2006/relationships" r:embed="rId4341"/>
        <a:stretch>
          <a:fillRect/>
        </a:stretch>
      </xdr:blipFill>
      <xdr:spPr>
        <a:xfrm>
          <a:off x="7235825" y="5697527975"/>
          <a:ext cx="878840" cy="1183640"/>
        </a:xfrm>
        <a:prstGeom prst="rect">
          <a:avLst/>
        </a:prstGeom>
      </xdr:spPr>
    </xdr:pic>
    <xdr:clientData/>
  </xdr:twoCellAnchor>
  <xdr:twoCellAnchor>
    <xdr:from>
      <xdr:col>9</xdr:col>
      <xdr:colOff>6350</xdr:colOff>
      <xdr:row>5574</xdr:row>
      <xdr:rowOff>25400</xdr:rowOff>
    </xdr:from>
    <xdr:to>
      <xdr:col>9</xdr:col>
      <xdr:colOff>885190</xdr:colOff>
      <xdr:row>5574</xdr:row>
      <xdr:rowOff>1209040</xdr:rowOff>
    </xdr:to>
    <xdr:pic>
      <xdr:nvPicPr>
        <xdr:cNvPr id="9734" name="Изображение 9733" descr="resizeПП-00184297"/>
        <xdr:cNvPicPr>
          <a:picLocks noChangeAspect="1"/>
        </xdr:cNvPicPr>
      </xdr:nvPicPr>
      <xdr:blipFill>
        <a:blip xmlns:r="http://schemas.openxmlformats.org/officeDocument/2006/relationships" r:embed="rId4342"/>
        <a:stretch>
          <a:fillRect/>
        </a:stretch>
      </xdr:blipFill>
      <xdr:spPr>
        <a:xfrm>
          <a:off x="7235825" y="5698750350"/>
          <a:ext cx="878840" cy="1183640"/>
        </a:xfrm>
        <a:prstGeom prst="rect">
          <a:avLst/>
        </a:prstGeom>
      </xdr:spPr>
    </xdr:pic>
    <xdr:clientData/>
  </xdr:twoCellAnchor>
  <xdr:twoCellAnchor>
    <xdr:from>
      <xdr:col>9</xdr:col>
      <xdr:colOff>6350</xdr:colOff>
      <xdr:row>5575</xdr:row>
      <xdr:rowOff>25400</xdr:rowOff>
    </xdr:from>
    <xdr:to>
      <xdr:col>9</xdr:col>
      <xdr:colOff>885190</xdr:colOff>
      <xdr:row>5575</xdr:row>
      <xdr:rowOff>1209040</xdr:rowOff>
    </xdr:to>
    <xdr:pic>
      <xdr:nvPicPr>
        <xdr:cNvPr id="9735" name="Изображение 9734" descr="resizeПП-00184295"/>
        <xdr:cNvPicPr>
          <a:picLocks noChangeAspect="1"/>
        </xdr:cNvPicPr>
      </xdr:nvPicPr>
      <xdr:blipFill>
        <a:blip xmlns:r="http://schemas.openxmlformats.org/officeDocument/2006/relationships" r:embed="rId4343"/>
        <a:stretch>
          <a:fillRect/>
        </a:stretch>
      </xdr:blipFill>
      <xdr:spPr>
        <a:xfrm>
          <a:off x="7235825" y="5699972725"/>
          <a:ext cx="878840" cy="1183640"/>
        </a:xfrm>
        <a:prstGeom prst="rect">
          <a:avLst/>
        </a:prstGeom>
      </xdr:spPr>
    </xdr:pic>
    <xdr:clientData/>
  </xdr:twoCellAnchor>
  <xdr:twoCellAnchor>
    <xdr:from>
      <xdr:col>9</xdr:col>
      <xdr:colOff>6350</xdr:colOff>
      <xdr:row>5576</xdr:row>
      <xdr:rowOff>25400</xdr:rowOff>
    </xdr:from>
    <xdr:to>
      <xdr:col>9</xdr:col>
      <xdr:colOff>885190</xdr:colOff>
      <xdr:row>5576</xdr:row>
      <xdr:rowOff>1209040</xdr:rowOff>
    </xdr:to>
    <xdr:pic>
      <xdr:nvPicPr>
        <xdr:cNvPr id="9736" name="Изображение 9735" descr="resizeПП-00184301"/>
        <xdr:cNvPicPr>
          <a:picLocks noChangeAspect="1"/>
        </xdr:cNvPicPr>
      </xdr:nvPicPr>
      <xdr:blipFill>
        <a:blip xmlns:r="http://schemas.openxmlformats.org/officeDocument/2006/relationships" r:embed="rId4344"/>
        <a:stretch>
          <a:fillRect/>
        </a:stretch>
      </xdr:blipFill>
      <xdr:spPr>
        <a:xfrm>
          <a:off x="7235825" y="5701195100"/>
          <a:ext cx="878840" cy="1183640"/>
        </a:xfrm>
        <a:prstGeom prst="rect">
          <a:avLst/>
        </a:prstGeom>
      </xdr:spPr>
    </xdr:pic>
    <xdr:clientData/>
  </xdr:twoCellAnchor>
  <xdr:twoCellAnchor>
    <xdr:from>
      <xdr:col>9</xdr:col>
      <xdr:colOff>6350</xdr:colOff>
      <xdr:row>5578</xdr:row>
      <xdr:rowOff>25400</xdr:rowOff>
    </xdr:from>
    <xdr:to>
      <xdr:col>9</xdr:col>
      <xdr:colOff>885190</xdr:colOff>
      <xdr:row>5578</xdr:row>
      <xdr:rowOff>1209040</xdr:rowOff>
    </xdr:to>
    <xdr:pic>
      <xdr:nvPicPr>
        <xdr:cNvPr id="9737" name="Изображение 9736" descr="resizeПП-00179686"/>
        <xdr:cNvPicPr>
          <a:picLocks noChangeAspect="1"/>
        </xdr:cNvPicPr>
      </xdr:nvPicPr>
      <xdr:blipFill>
        <a:blip xmlns:r="http://schemas.openxmlformats.org/officeDocument/2006/relationships" r:embed="rId4345"/>
        <a:stretch>
          <a:fillRect/>
        </a:stretch>
      </xdr:blipFill>
      <xdr:spPr>
        <a:xfrm>
          <a:off x="7235825" y="5702569875"/>
          <a:ext cx="878840" cy="1183640"/>
        </a:xfrm>
        <a:prstGeom prst="rect">
          <a:avLst/>
        </a:prstGeom>
      </xdr:spPr>
    </xdr:pic>
    <xdr:clientData/>
  </xdr:twoCellAnchor>
  <xdr:twoCellAnchor>
    <xdr:from>
      <xdr:col>9</xdr:col>
      <xdr:colOff>6350</xdr:colOff>
      <xdr:row>5579</xdr:row>
      <xdr:rowOff>25400</xdr:rowOff>
    </xdr:from>
    <xdr:to>
      <xdr:col>9</xdr:col>
      <xdr:colOff>885190</xdr:colOff>
      <xdr:row>5579</xdr:row>
      <xdr:rowOff>1209040</xdr:rowOff>
    </xdr:to>
    <xdr:pic>
      <xdr:nvPicPr>
        <xdr:cNvPr id="9738" name="Изображение 9737" descr="resizeПП-00179676"/>
        <xdr:cNvPicPr>
          <a:picLocks noChangeAspect="1"/>
        </xdr:cNvPicPr>
      </xdr:nvPicPr>
      <xdr:blipFill>
        <a:blip xmlns:r="http://schemas.openxmlformats.org/officeDocument/2006/relationships" r:embed="rId4346"/>
        <a:stretch>
          <a:fillRect/>
        </a:stretch>
      </xdr:blipFill>
      <xdr:spPr>
        <a:xfrm>
          <a:off x="7235825" y="5703792250"/>
          <a:ext cx="878840" cy="1183640"/>
        </a:xfrm>
        <a:prstGeom prst="rect">
          <a:avLst/>
        </a:prstGeom>
      </xdr:spPr>
    </xdr:pic>
    <xdr:clientData/>
  </xdr:twoCellAnchor>
  <xdr:twoCellAnchor>
    <xdr:from>
      <xdr:col>9</xdr:col>
      <xdr:colOff>6350</xdr:colOff>
      <xdr:row>5580</xdr:row>
      <xdr:rowOff>25400</xdr:rowOff>
    </xdr:from>
    <xdr:to>
      <xdr:col>9</xdr:col>
      <xdr:colOff>885190</xdr:colOff>
      <xdr:row>5580</xdr:row>
      <xdr:rowOff>1209040</xdr:rowOff>
    </xdr:to>
    <xdr:pic>
      <xdr:nvPicPr>
        <xdr:cNvPr id="9739" name="Изображение 9738" descr="resizeПП-00179682"/>
        <xdr:cNvPicPr>
          <a:picLocks noChangeAspect="1"/>
        </xdr:cNvPicPr>
      </xdr:nvPicPr>
      <xdr:blipFill>
        <a:blip xmlns:r="http://schemas.openxmlformats.org/officeDocument/2006/relationships" r:embed="rId4347"/>
        <a:stretch>
          <a:fillRect/>
        </a:stretch>
      </xdr:blipFill>
      <xdr:spPr>
        <a:xfrm>
          <a:off x="7235825" y="5705014625"/>
          <a:ext cx="878840" cy="1183640"/>
        </a:xfrm>
        <a:prstGeom prst="rect">
          <a:avLst/>
        </a:prstGeom>
      </xdr:spPr>
    </xdr:pic>
    <xdr:clientData/>
  </xdr:twoCellAnchor>
  <xdr:twoCellAnchor>
    <xdr:from>
      <xdr:col>9</xdr:col>
      <xdr:colOff>6350</xdr:colOff>
      <xdr:row>5581</xdr:row>
      <xdr:rowOff>25400</xdr:rowOff>
    </xdr:from>
    <xdr:to>
      <xdr:col>9</xdr:col>
      <xdr:colOff>885190</xdr:colOff>
      <xdr:row>5581</xdr:row>
      <xdr:rowOff>1209040</xdr:rowOff>
    </xdr:to>
    <xdr:pic>
      <xdr:nvPicPr>
        <xdr:cNvPr id="9740" name="Изображение 9739" descr="resizeПП-00179677"/>
        <xdr:cNvPicPr>
          <a:picLocks noChangeAspect="1"/>
        </xdr:cNvPicPr>
      </xdr:nvPicPr>
      <xdr:blipFill>
        <a:blip xmlns:r="http://schemas.openxmlformats.org/officeDocument/2006/relationships" r:embed="rId4348"/>
        <a:stretch>
          <a:fillRect/>
        </a:stretch>
      </xdr:blipFill>
      <xdr:spPr>
        <a:xfrm>
          <a:off x="7235825" y="5706237000"/>
          <a:ext cx="878840" cy="1183640"/>
        </a:xfrm>
        <a:prstGeom prst="rect">
          <a:avLst/>
        </a:prstGeom>
      </xdr:spPr>
    </xdr:pic>
    <xdr:clientData/>
  </xdr:twoCellAnchor>
  <xdr:twoCellAnchor>
    <xdr:from>
      <xdr:col>9</xdr:col>
      <xdr:colOff>6350</xdr:colOff>
      <xdr:row>5582</xdr:row>
      <xdr:rowOff>25400</xdr:rowOff>
    </xdr:from>
    <xdr:to>
      <xdr:col>9</xdr:col>
      <xdr:colOff>885190</xdr:colOff>
      <xdr:row>5582</xdr:row>
      <xdr:rowOff>1209040</xdr:rowOff>
    </xdr:to>
    <xdr:pic>
      <xdr:nvPicPr>
        <xdr:cNvPr id="9741" name="Изображение 9740" descr="resizeПП-00179680"/>
        <xdr:cNvPicPr>
          <a:picLocks noChangeAspect="1"/>
        </xdr:cNvPicPr>
      </xdr:nvPicPr>
      <xdr:blipFill>
        <a:blip xmlns:r="http://schemas.openxmlformats.org/officeDocument/2006/relationships" r:embed="rId4349"/>
        <a:stretch>
          <a:fillRect/>
        </a:stretch>
      </xdr:blipFill>
      <xdr:spPr>
        <a:xfrm>
          <a:off x="7235825" y="5707459375"/>
          <a:ext cx="878840" cy="1183640"/>
        </a:xfrm>
        <a:prstGeom prst="rect">
          <a:avLst/>
        </a:prstGeom>
      </xdr:spPr>
    </xdr:pic>
    <xdr:clientData/>
  </xdr:twoCellAnchor>
  <xdr:twoCellAnchor>
    <xdr:from>
      <xdr:col>9</xdr:col>
      <xdr:colOff>6350</xdr:colOff>
      <xdr:row>5584</xdr:row>
      <xdr:rowOff>25400</xdr:rowOff>
    </xdr:from>
    <xdr:to>
      <xdr:col>9</xdr:col>
      <xdr:colOff>885190</xdr:colOff>
      <xdr:row>5584</xdr:row>
      <xdr:rowOff>1209040</xdr:rowOff>
    </xdr:to>
    <xdr:pic>
      <xdr:nvPicPr>
        <xdr:cNvPr id="9742" name="Изображение 9741" descr="resizeПП-00204144"/>
        <xdr:cNvPicPr>
          <a:picLocks noChangeAspect="1"/>
        </xdr:cNvPicPr>
      </xdr:nvPicPr>
      <xdr:blipFill>
        <a:blip xmlns:r="http://schemas.openxmlformats.org/officeDocument/2006/relationships" r:embed="rId4350"/>
        <a:stretch>
          <a:fillRect/>
        </a:stretch>
      </xdr:blipFill>
      <xdr:spPr>
        <a:xfrm>
          <a:off x="7235825" y="5708834150"/>
          <a:ext cx="878840" cy="1183640"/>
        </a:xfrm>
        <a:prstGeom prst="rect">
          <a:avLst/>
        </a:prstGeom>
      </xdr:spPr>
    </xdr:pic>
    <xdr:clientData/>
  </xdr:twoCellAnchor>
  <xdr:twoCellAnchor>
    <xdr:from>
      <xdr:col>9</xdr:col>
      <xdr:colOff>6350</xdr:colOff>
      <xdr:row>5585</xdr:row>
      <xdr:rowOff>25400</xdr:rowOff>
    </xdr:from>
    <xdr:to>
      <xdr:col>9</xdr:col>
      <xdr:colOff>885190</xdr:colOff>
      <xdr:row>5585</xdr:row>
      <xdr:rowOff>1209040</xdr:rowOff>
    </xdr:to>
    <xdr:pic>
      <xdr:nvPicPr>
        <xdr:cNvPr id="9743" name="Изображение 9742" descr="resizeПП-00204151"/>
        <xdr:cNvPicPr>
          <a:picLocks noChangeAspect="1"/>
        </xdr:cNvPicPr>
      </xdr:nvPicPr>
      <xdr:blipFill>
        <a:blip xmlns:r="http://schemas.openxmlformats.org/officeDocument/2006/relationships" r:embed="rId4351"/>
        <a:stretch>
          <a:fillRect/>
        </a:stretch>
      </xdr:blipFill>
      <xdr:spPr>
        <a:xfrm>
          <a:off x="7235825" y="5710056525"/>
          <a:ext cx="878840" cy="1183640"/>
        </a:xfrm>
        <a:prstGeom prst="rect">
          <a:avLst/>
        </a:prstGeom>
      </xdr:spPr>
    </xdr:pic>
    <xdr:clientData/>
  </xdr:twoCellAnchor>
  <xdr:twoCellAnchor>
    <xdr:from>
      <xdr:col>9</xdr:col>
      <xdr:colOff>6350</xdr:colOff>
      <xdr:row>5586</xdr:row>
      <xdr:rowOff>25400</xdr:rowOff>
    </xdr:from>
    <xdr:to>
      <xdr:col>9</xdr:col>
      <xdr:colOff>885190</xdr:colOff>
      <xdr:row>5586</xdr:row>
      <xdr:rowOff>1209040</xdr:rowOff>
    </xdr:to>
    <xdr:pic>
      <xdr:nvPicPr>
        <xdr:cNvPr id="9744" name="Изображение 9743" descr="resizeПП-00204158"/>
        <xdr:cNvPicPr>
          <a:picLocks noChangeAspect="1"/>
        </xdr:cNvPicPr>
      </xdr:nvPicPr>
      <xdr:blipFill>
        <a:blip xmlns:r="http://schemas.openxmlformats.org/officeDocument/2006/relationships" r:embed="rId4352"/>
        <a:stretch>
          <a:fillRect/>
        </a:stretch>
      </xdr:blipFill>
      <xdr:spPr>
        <a:xfrm>
          <a:off x="7235825" y="5711278900"/>
          <a:ext cx="878840" cy="1183640"/>
        </a:xfrm>
        <a:prstGeom prst="rect">
          <a:avLst/>
        </a:prstGeom>
      </xdr:spPr>
    </xdr:pic>
    <xdr:clientData/>
  </xdr:twoCellAnchor>
  <xdr:twoCellAnchor>
    <xdr:from>
      <xdr:col>9</xdr:col>
      <xdr:colOff>6350</xdr:colOff>
      <xdr:row>5588</xdr:row>
      <xdr:rowOff>25400</xdr:rowOff>
    </xdr:from>
    <xdr:to>
      <xdr:col>9</xdr:col>
      <xdr:colOff>885190</xdr:colOff>
      <xdr:row>5588</xdr:row>
      <xdr:rowOff>1209040</xdr:rowOff>
    </xdr:to>
    <xdr:pic>
      <xdr:nvPicPr>
        <xdr:cNvPr id="9745" name="Изображение 9744" descr="resizeПП-00179393"/>
        <xdr:cNvPicPr>
          <a:picLocks noChangeAspect="1"/>
        </xdr:cNvPicPr>
      </xdr:nvPicPr>
      <xdr:blipFill>
        <a:blip xmlns:r="http://schemas.openxmlformats.org/officeDocument/2006/relationships" r:embed="rId4353"/>
        <a:stretch>
          <a:fillRect/>
        </a:stretch>
      </xdr:blipFill>
      <xdr:spPr>
        <a:xfrm>
          <a:off x="7235825" y="5712653675"/>
          <a:ext cx="878840" cy="1183640"/>
        </a:xfrm>
        <a:prstGeom prst="rect">
          <a:avLst/>
        </a:prstGeom>
      </xdr:spPr>
    </xdr:pic>
    <xdr:clientData/>
  </xdr:twoCellAnchor>
  <xdr:twoCellAnchor>
    <xdr:from>
      <xdr:col>9</xdr:col>
      <xdr:colOff>6350</xdr:colOff>
      <xdr:row>5589</xdr:row>
      <xdr:rowOff>25400</xdr:rowOff>
    </xdr:from>
    <xdr:to>
      <xdr:col>9</xdr:col>
      <xdr:colOff>885190</xdr:colOff>
      <xdr:row>5589</xdr:row>
      <xdr:rowOff>1209040</xdr:rowOff>
    </xdr:to>
    <xdr:pic>
      <xdr:nvPicPr>
        <xdr:cNvPr id="9746" name="Изображение 9745" descr="resizeПП-00179368"/>
        <xdr:cNvPicPr>
          <a:picLocks noChangeAspect="1"/>
        </xdr:cNvPicPr>
      </xdr:nvPicPr>
      <xdr:blipFill>
        <a:blip xmlns:r="http://schemas.openxmlformats.org/officeDocument/2006/relationships" r:embed="rId4354"/>
        <a:stretch>
          <a:fillRect/>
        </a:stretch>
      </xdr:blipFill>
      <xdr:spPr>
        <a:xfrm>
          <a:off x="7235825" y="5713876050"/>
          <a:ext cx="878840" cy="1183640"/>
        </a:xfrm>
        <a:prstGeom prst="rect">
          <a:avLst/>
        </a:prstGeom>
      </xdr:spPr>
    </xdr:pic>
    <xdr:clientData/>
  </xdr:twoCellAnchor>
  <xdr:twoCellAnchor>
    <xdr:from>
      <xdr:col>9</xdr:col>
      <xdr:colOff>6350</xdr:colOff>
      <xdr:row>5590</xdr:row>
      <xdr:rowOff>25400</xdr:rowOff>
    </xdr:from>
    <xdr:to>
      <xdr:col>9</xdr:col>
      <xdr:colOff>885190</xdr:colOff>
      <xdr:row>5590</xdr:row>
      <xdr:rowOff>1209040</xdr:rowOff>
    </xdr:to>
    <xdr:pic>
      <xdr:nvPicPr>
        <xdr:cNvPr id="9747" name="Изображение 9746" descr="resizeПП-00179398"/>
        <xdr:cNvPicPr>
          <a:picLocks noChangeAspect="1"/>
        </xdr:cNvPicPr>
      </xdr:nvPicPr>
      <xdr:blipFill>
        <a:blip xmlns:r="http://schemas.openxmlformats.org/officeDocument/2006/relationships" r:embed="rId4355"/>
        <a:stretch>
          <a:fillRect/>
        </a:stretch>
      </xdr:blipFill>
      <xdr:spPr>
        <a:xfrm>
          <a:off x="7235825" y="5715098425"/>
          <a:ext cx="878840" cy="1183640"/>
        </a:xfrm>
        <a:prstGeom prst="rect">
          <a:avLst/>
        </a:prstGeom>
      </xdr:spPr>
    </xdr:pic>
    <xdr:clientData/>
  </xdr:twoCellAnchor>
  <xdr:twoCellAnchor>
    <xdr:from>
      <xdr:col>9</xdr:col>
      <xdr:colOff>6350</xdr:colOff>
      <xdr:row>5591</xdr:row>
      <xdr:rowOff>25400</xdr:rowOff>
    </xdr:from>
    <xdr:to>
      <xdr:col>9</xdr:col>
      <xdr:colOff>885190</xdr:colOff>
      <xdr:row>5591</xdr:row>
      <xdr:rowOff>1209040</xdr:rowOff>
    </xdr:to>
    <xdr:pic>
      <xdr:nvPicPr>
        <xdr:cNvPr id="9748" name="Изображение 9747" descr="resizeПП-00179373"/>
        <xdr:cNvPicPr>
          <a:picLocks noChangeAspect="1"/>
        </xdr:cNvPicPr>
      </xdr:nvPicPr>
      <xdr:blipFill>
        <a:blip xmlns:r="http://schemas.openxmlformats.org/officeDocument/2006/relationships" r:embed="rId4356"/>
        <a:stretch>
          <a:fillRect/>
        </a:stretch>
      </xdr:blipFill>
      <xdr:spPr>
        <a:xfrm>
          <a:off x="7235825" y="5716320800"/>
          <a:ext cx="878840" cy="1183640"/>
        </a:xfrm>
        <a:prstGeom prst="rect">
          <a:avLst/>
        </a:prstGeom>
      </xdr:spPr>
    </xdr:pic>
    <xdr:clientData/>
  </xdr:twoCellAnchor>
  <xdr:twoCellAnchor>
    <xdr:from>
      <xdr:col>9</xdr:col>
      <xdr:colOff>6350</xdr:colOff>
      <xdr:row>5592</xdr:row>
      <xdr:rowOff>25400</xdr:rowOff>
    </xdr:from>
    <xdr:to>
      <xdr:col>9</xdr:col>
      <xdr:colOff>885190</xdr:colOff>
      <xdr:row>5592</xdr:row>
      <xdr:rowOff>1209040</xdr:rowOff>
    </xdr:to>
    <xdr:pic>
      <xdr:nvPicPr>
        <xdr:cNvPr id="9749" name="Изображение 9748" descr="resizeПП-00179396"/>
        <xdr:cNvPicPr>
          <a:picLocks noChangeAspect="1"/>
        </xdr:cNvPicPr>
      </xdr:nvPicPr>
      <xdr:blipFill>
        <a:blip xmlns:r="http://schemas.openxmlformats.org/officeDocument/2006/relationships" r:embed="rId4357"/>
        <a:stretch>
          <a:fillRect/>
        </a:stretch>
      </xdr:blipFill>
      <xdr:spPr>
        <a:xfrm>
          <a:off x="7235825" y="5717543175"/>
          <a:ext cx="878840" cy="1183640"/>
        </a:xfrm>
        <a:prstGeom prst="rect">
          <a:avLst/>
        </a:prstGeom>
      </xdr:spPr>
    </xdr:pic>
    <xdr:clientData/>
  </xdr:twoCellAnchor>
  <xdr:twoCellAnchor>
    <xdr:from>
      <xdr:col>9</xdr:col>
      <xdr:colOff>6350</xdr:colOff>
      <xdr:row>5595</xdr:row>
      <xdr:rowOff>25400</xdr:rowOff>
    </xdr:from>
    <xdr:to>
      <xdr:col>9</xdr:col>
      <xdr:colOff>885190</xdr:colOff>
      <xdr:row>5595</xdr:row>
      <xdr:rowOff>1209040</xdr:rowOff>
    </xdr:to>
    <xdr:pic>
      <xdr:nvPicPr>
        <xdr:cNvPr id="9750" name="Изображение 9749" descr="resizeПП-00182836"/>
        <xdr:cNvPicPr>
          <a:picLocks noChangeAspect="1"/>
        </xdr:cNvPicPr>
      </xdr:nvPicPr>
      <xdr:blipFill>
        <a:blip xmlns:r="http://schemas.openxmlformats.org/officeDocument/2006/relationships" r:embed="rId4358"/>
        <a:stretch>
          <a:fillRect/>
        </a:stretch>
      </xdr:blipFill>
      <xdr:spPr>
        <a:xfrm>
          <a:off x="7235825" y="5719070350"/>
          <a:ext cx="878840" cy="1183640"/>
        </a:xfrm>
        <a:prstGeom prst="rect">
          <a:avLst/>
        </a:prstGeom>
      </xdr:spPr>
    </xdr:pic>
    <xdr:clientData/>
  </xdr:twoCellAnchor>
  <xdr:twoCellAnchor>
    <xdr:from>
      <xdr:col>9</xdr:col>
      <xdr:colOff>6350</xdr:colOff>
      <xdr:row>5596</xdr:row>
      <xdr:rowOff>25400</xdr:rowOff>
    </xdr:from>
    <xdr:to>
      <xdr:col>9</xdr:col>
      <xdr:colOff>885190</xdr:colOff>
      <xdr:row>5596</xdr:row>
      <xdr:rowOff>1209040</xdr:rowOff>
    </xdr:to>
    <xdr:pic>
      <xdr:nvPicPr>
        <xdr:cNvPr id="9751" name="Изображение 9750" descr="resizeПП-00182838"/>
        <xdr:cNvPicPr>
          <a:picLocks noChangeAspect="1"/>
        </xdr:cNvPicPr>
      </xdr:nvPicPr>
      <xdr:blipFill>
        <a:blip xmlns:r="http://schemas.openxmlformats.org/officeDocument/2006/relationships" r:embed="rId4359"/>
        <a:stretch>
          <a:fillRect/>
        </a:stretch>
      </xdr:blipFill>
      <xdr:spPr>
        <a:xfrm>
          <a:off x="7235825" y="5720292725"/>
          <a:ext cx="878840" cy="1183640"/>
        </a:xfrm>
        <a:prstGeom prst="rect">
          <a:avLst/>
        </a:prstGeom>
      </xdr:spPr>
    </xdr:pic>
    <xdr:clientData/>
  </xdr:twoCellAnchor>
  <xdr:twoCellAnchor>
    <xdr:from>
      <xdr:col>9</xdr:col>
      <xdr:colOff>6350</xdr:colOff>
      <xdr:row>5597</xdr:row>
      <xdr:rowOff>25400</xdr:rowOff>
    </xdr:from>
    <xdr:to>
      <xdr:col>9</xdr:col>
      <xdr:colOff>885190</xdr:colOff>
      <xdr:row>5597</xdr:row>
      <xdr:rowOff>1209040</xdr:rowOff>
    </xdr:to>
    <xdr:pic>
      <xdr:nvPicPr>
        <xdr:cNvPr id="9752" name="Изображение 9751" descr="resizeПП-00182835"/>
        <xdr:cNvPicPr>
          <a:picLocks noChangeAspect="1"/>
        </xdr:cNvPicPr>
      </xdr:nvPicPr>
      <xdr:blipFill>
        <a:blip xmlns:r="http://schemas.openxmlformats.org/officeDocument/2006/relationships" r:embed="rId4360"/>
        <a:stretch>
          <a:fillRect/>
        </a:stretch>
      </xdr:blipFill>
      <xdr:spPr>
        <a:xfrm>
          <a:off x="7235825" y="5721515100"/>
          <a:ext cx="878840" cy="1183640"/>
        </a:xfrm>
        <a:prstGeom prst="rect">
          <a:avLst/>
        </a:prstGeom>
      </xdr:spPr>
    </xdr:pic>
    <xdr:clientData/>
  </xdr:twoCellAnchor>
  <xdr:twoCellAnchor>
    <xdr:from>
      <xdr:col>9</xdr:col>
      <xdr:colOff>6350</xdr:colOff>
      <xdr:row>5598</xdr:row>
      <xdr:rowOff>25400</xdr:rowOff>
    </xdr:from>
    <xdr:to>
      <xdr:col>9</xdr:col>
      <xdr:colOff>885190</xdr:colOff>
      <xdr:row>5598</xdr:row>
      <xdr:rowOff>1209040</xdr:rowOff>
    </xdr:to>
    <xdr:pic>
      <xdr:nvPicPr>
        <xdr:cNvPr id="9753" name="Изображение 9752" descr="resizeПП-00182837"/>
        <xdr:cNvPicPr>
          <a:picLocks noChangeAspect="1"/>
        </xdr:cNvPicPr>
      </xdr:nvPicPr>
      <xdr:blipFill>
        <a:blip xmlns:r="http://schemas.openxmlformats.org/officeDocument/2006/relationships" r:embed="rId4361"/>
        <a:stretch>
          <a:fillRect/>
        </a:stretch>
      </xdr:blipFill>
      <xdr:spPr>
        <a:xfrm>
          <a:off x="7235825" y="5722737475"/>
          <a:ext cx="878840" cy="1183640"/>
        </a:xfrm>
        <a:prstGeom prst="rect">
          <a:avLst/>
        </a:prstGeom>
      </xdr:spPr>
    </xdr:pic>
    <xdr:clientData/>
  </xdr:twoCellAnchor>
  <xdr:twoCellAnchor>
    <xdr:from>
      <xdr:col>9</xdr:col>
      <xdr:colOff>6350</xdr:colOff>
      <xdr:row>5600</xdr:row>
      <xdr:rowOff>25400</xdr:rowOff>
    </xdr:from>
    <xdr:to>
      <xdr:col>9</xdr:col>
      <xdr:colOff>885190</xdr:colOff>
      <xdr:row>5600</xdr:row>
      <xdr:rowOff>1209040</xdr:rowOff>
    </xdr:to>
    <xdr:pic>
      <xdr:nvPicPr>
        <xdr:cNvPr id="9754" name="Изображение 9753" descr="resizeПП-00182842"/>
        <xdr:cNvPicPr>
          <a:picLocks noChangeAspect="1"/>
        </xdr:cNvPicPr>
      </xdr:nvPicPr>
      <xdr:blipFill>
        <a:blip xmlns:r="http://schemas.openxmlformats.org/officeDocument/2006/relationships" r:embed="rId4362"/>
        <a:stretch>
          <a:fillRect/>
        </a:stretch>
      </xdr:blipFill>
      <xdr:spPr>
        <a:xfrm>
          <a:off x="7235825" y="5724112250"/>
          <a:ext cx="878840" cy="1183640"/>
        </a:xfrm>
        <a:prstGeom prst="rect">
          <a:avLst/>
        </a:prstGeom>
      </xdr:spPr>
    </xdr:pic>
    <xdr:clientData/>
  </xdr:twoCellAnchor>
  <xdr:twoCellAnchor>
    <xdr:from>
      <xdr:col>9</xdr:col>
      <xdr:colOff>6350</xdr:colOff>
      <xdr:row>5601</xdr:row>
      <xdr:rowOff>25400</xdr:rowOff>
    </xdr:from>
    <xdr:to>
      <xdr:col>9</xdr:col>
      <xdr:colOff>885190</xdr:colOff>
      <xdr:row>5601</xdr:row>
      <xdr:rowOff>1209040</xdr:rowOff>
    </xdr:to>
    <xdr:pic>
      <xdr:nvPicPr>
        <xdr:cNvPr id="9755" name="Изображение 9754" descr="resizeПП-00182840"/>
        <xdr:cNvPicPr>
          <a:picLocks noChangeAspect="1"/>
        </xdr:cNvPicPr>
      </xdr:nvPicPr>
      <xdr:blipFill>
        <a:blip xmlns:r="http://schemas.openxmlformats.org/officeDocument/2006/relationships" r:embed="rId4363"/>
        <a:stretch>
          <a:fillRect/>
        </a:stretch>
      </xdr:blipFill>
      <xdr:spPr>
        <a:xfrm>
          <a:off x="7235825" y="5725334625"/>
          <a:ext cx="878840" cy="1183640"/>
        </a:xfrm>
        <a:prstGeom prst="rect">
          <a:avLst/>
        </a:prstGeom>
      </xdr:spPr>
    </xdr:pic>
    <xdr:clientData/>
  </xdr:twoCellAnchor>
  <xdr:twoCellAnchor>
    <xdr:from>
      <xdr:col>9</xdr:col>
      <xdr:colOff>6350</xdr:colOff>
      <xdr:row>5602</xdr:row>
      <xdr:rowOff>25400</xdr:rowOff>
    </xdr:from>
    <xdr:to>
      <xdr:col>9</xdr:col>
      <xdr:colOff>885190</xdr:colOff>
      <xdr:row>5602</xdr:row>
      <xdr:rowOff>1209040</xdr:rowOff>
    </xdr:to>
    <xdr:pic>
      <xdr:nvPicPr>
        <xdr:cNvPr id="9756" name="Изображение 9755" descr="resizeПП-00182839"/>
        <xdr:cNvPicPr>
          <a:picLocks noChangeAspect="1"/>
        </xdr:cNvPicPr>
      </xdr:nvPicPr>
      <xdr:blipFill>
        <a:blip xmlns:r="http://schemas.openxmlformats.org/officeDocument/2006/relationships" r:embed="rId4364"/>
        <a:stretch>
          <a:fillRect/>
        </a:stretch>
      </xdr:blipFill>
      <xdr:spPr>
        <a:xfrm>
          <a:off x="7235825" y="5726557000"/>
          <a:ext cx="878840" cy="1183640"/>
        </a:xfrm>
        <a:prstGeom prst="rect">
          <a:avLst/>
        </a:prstGeom>
      </xdr:spPr>
    </xdr:pic>
    <xdr:clientData/>
  </xdr:twoCellAnchor>
  <xdr:twoCellAnchor>
    <xdr:from>
      <xdr:col>9</xdr:col>
      <xdr:colOff>6350</xdr:colOff>
      <xdr:row>5603</xdr:row>
      <xdr:rowOff>25400</xdr:rowOff>
    </xdr:from>
    <xdr:to>
      <xdr:col>9</xdr:col>
      <xdr:colOff>885190</xdr:colOff>
      <xdr:row>5603</xdr:row>
      <xdr:rowOff>1209040</xdr:rowOff>
    </xdr:to>
    <xdr:pic>
      <xdr:nvPicPr>
        <xdr:cNvPr id="9757" name="Изображение 9756" descr="resizeПП-00182841"/>
        <xdr:cNvPicPr>
          <a:picLocks noChangeAspect="1"/>
        </xdr:cNvPicPr>
      </xdr:nvPicPr>
      <xdr:blipFill>
        <a:blip xmlns:r="http://schemas.openxmlformats.org/officeDocument/2006/relationships" r:embed="rId4365"/>
        <a:stretch>
          <a:fillRect/>
        </a:stretch>
      </xdr:blipFill>
      <xdr:spPr>
        <a:xfrm>
          <a:off x="7235825" y="5727779375"/>
          <a:ext cx="878840" cy="1183640"/>
        </a:xfrm>
        <a:prstGeom prst="rect">
          <a:avLst/>
        </a:prstGeom>
      </xdr:spPr>
    </xdr:pic>
    <xdr:clientData/>
  </xdr:twoCellAnchor>
  <xdr:twoCellAnchor>
    <xdr:from>
      <xdr:col>9</xdr:col>
      <xdr:colOff>6350</xdr:colOff>
      <xdr:row>5606</xdr:row>
      <xdr:rowOff>25400</xdr:rowOff>
    </xdr:from>
    <xdr:to>
      <xdr:col>9</xdr:col>
      <xdr:colOff>885190</xdr:colOff>
      <xdr:row>5606</xdr:row>
      <xdr:rowOff>1209040</xdr:rowOff>
    </xdr:to>
    <xdr:pic>
      <xdr:nvPicPr>
        <xdr:cNvPr id="9758" name="Изображение 9757" descr="resizeПП-00204136"/>
        <xdr:cNvPicPr>
          <a:picLocks noChangeAspect="1"/>
        </xdr:cNvPicPr>
      </xdr:nvPicPr>
      <xdr:blipFill>
        <a:blip xmlns:r="http://schemas.openxmlformats.org/officeDocument/2006/relationships" r:embed="rId4366"/>
        <a:stretch>
          <a:fillRect/>
        </a:stretch>
      </xdr:blipFill>
      <xdr:spPr>
        <a:xfrm>
          <a:off x="7235825" y="5729306550"/>
          <a:ext cx="878840" cy="1183640"/>
        </a:xfrm>
        <a:prstGeom prst="rect">
          <a:avLst/>
        </a:prstGeom>
      </xdr:spPr>
    </xdr:pic>
    <xdr:clientData/>
  </xdr:twoCellAnchor>
  <xdr:twoCellAnchor>
    <xdr:from>
      <xdr:col>9</xdr:col>
      <xdr:colOff>6350</xdr:colOff>
      <xdr:row>5607</xdr:row>
      <xdr:rowOff>25400</xdr:rowOff>
    </xdr:from>
    <xdr:to>
      <xdr:col>9</xdr:col>
      <xdr:colOff>885190</xdr:colOff>
      <xdr:row>5607</xdr:row>
      <xdr:rowOff>1209040</xdr:rowOff>
    </xdr:to>
    <xdr:pic>
      <xdr:nvPicPr>
        <xdr:cNvPr id="9759" name="Изображение 9758" descr="resizeПП-00204135"/>
        <xdr:cNvPicPr>
          <a:picLocks noChangeAspect="1"/>
        </xdr:cNvPicPr>
      </xdr:nvPicPr>
      <xdr:blipFill>
        <a:blip xmlns:r="http://schemas.openxmlformats.org/officeDocument/2006/relationships" r:embed="rId4367"/>
        <a:stretch>
          <a:fillRect/>
        </a:stretch>
      </xdr:blipFill>
      <xdr:spPr>
        <a:xfrm>
          <a:off x="7235825" y="5730528925"/>
          <a:ext cx="878840" cy="1183640"/>
        </a:xfrm>
        <a:prstGeom prst="rect">
          <a:avLst/>
        </a:prstGeom>
      </xdr:spPr>
    </xdr:pic>
    <xdr:clientData/>
  </xdr:twoCellAnchor>
  <xdr:twoCellAnchor>
    <xdr:from>
      <xdr:col>9</xdr:col>
      <xdr:colOff>6350</xdr:colOff>
      <xdr:row>5608</xdr:row>
      <xdr:rowOff>25400</xdr:rowOff>
    </xdr:from>
    <xdr:to>
      <xdr:col>9</xdr:col>
      <xdr:colOff>885190</xdr:colOff>
      <xdr:row>5608</xdr:row>
      <xdr:rowOff>1209040</xdr:rowOff>
    </xdr:to>
    <xdr:pic>
      <xdr:nvPicPr>
        <xdr:cNvPr id="9760" name="Изображение 9759" descr="resizeПП-00204137"/>
        <xdr:cNvPicPr>
          <a:picLocks noChangeAspect="1"/>
        </xdr:cNvPicPr>
      </xdr:nvPicPr>
      <xdr:blipFill>
        <a:blip xmlns:r="http://schemas.openxmlformats.org/officeDocument/2006/relationships" r:embed="rId4368"/>
        <a:stretch>
          <a:fillRect/>
        </a:stretch>
      </xdr:blipFill>
      <xdr:spPr>
        <a:xfrm>
          <a:off x="7235825" y="5731751300"/>
          <a:ext cx="878840" cy="1183640"/>
        </a:xfrm>
        <a:prstGeom prst="rect">
          <a:avLst/>
        </a:prstGeom>
      </xdr:spPr>
    </xdr:pic>
    <xdr:clientData/>
  </xdr:twoCellAnchor>
  <xdr:twoCellAnchor>
    <xdr:from>
      <xdr:col>9</xdr:col>
      <xdr:colOff>6350</xdr:colOff>
      <xdr:row>5610</xdr:row>
      <xdr:rowOff>25400</xdr:rowOff>
    </xdr:from>
    <xdr:to>
      <xdr:col>9</xdr:col>
      <xdr:colOff>885190</xdr:colOff>
      <xdr:row>5610</xdr:row>
      <xdr:rowOff>1209040</xdr:rowOff>
    </xdr:to>
    <xdr:pic>
      <xdr:nvPicPr>
        <xdr:cNvPr id="9761" name="Изображение 9760" descr="resizeПП-00204124"/>
        <xdr:cNvPicPr>
          <a:picLocks noChangeAspect="1"/>
        </xdr:cNvPicPr>
      </xdr:nvPicPr>
      <xdr:blipFill>
        <a:blip xmlns:r="http://schemas.openxmlformats.org/officeDocument/2006/relationships" r:embed="rId4369"/>
        <a:stretch>
          <a:fillRect/>
        </a:stretch>
      </xdr:blipFill>
      <xdr:spPr>
        <a:xfrm>
          <a:off x="7235825" y="5733126075"/>
          <a:ext cx="878840" cy="1183640"/>
        </a:xfrm>
        <a:prstGeom prst="rect">
          <a:avLst/>
        </a:prstGeom>
      </xdr:spPr>
    </xdr:pic>
    <xdr:clientData/>
  </xdr:twoCellAnchor>
  <xdr:twoCellAnchor>
    <xdr:from>
      <xdr:col>9</xdr:col>
      <xdr:colOff>6350</xdr:colOff>
      <xdr:row>5611</xdr:row>
      <xdr:rowOff>25400</xdr:rowOff>
    </xdr:from>
    <xdr:to>
      <xdr:col>9</xdr:col>
      <xdr:colOff>885190</xdr:colOff>
      <xdr:row>5611</xdr:row>
      <xdr:rowOff>1209040</xdr:rowOff>
    </xdr:to>
    <xdr:pic>
      <xdr:nvPicPr>
        <xdr:cNvPr id="9762" name="Изображение 9761" descr="resizeПП-00204119"/>
        <xdr:cNvPicPr>
          <a:picLocks noChangeAspect="1"/>
        </xdr:cNvPicPr>
      </xdr:nvPicPr>
      <xdr:blipFill>
        <a:blip xmlns:r="http://schemas.openxmlformats.org/officeDocument/2006/relationships" r:embed="rId4370"/>
        <a:stretch>
          <a:fillRect/>
        </a:stretch>
      </xdr:blipFill>
      <xdr:spPr>
        <a:xfrm>
          <a:off x="7235825" y="5734348450"/>
          <a:ext cx="878840" cy="1183640"/>
        </a:xfrm>
        <a:prstGeom prst="rect">
          <a:avLst/>
        </a:prstGeom>
      </xdr:spPr>
    </xdr:pic>
    <xdr:clientData/>
  </xdr:twoCellAnchor>
  <xdr:twoCellAnchor>
    <xdr:from>
      <xdr:col>9</xdr:col>
      <xdr:colOff>6350</xdr:colOff>
      <xdr:row>5613</xdr:row>
      <xdr:rowOff>25400</xdr:rowOff>
    </xdr:from>
    <xdr:to>
      <xdr:col>9</xdr:col>
      <xdr:colOff>885190</xdr:colOff>
      <xdr:row>5613</xdr:row>
      <xdr:rowOff>1209040</xdr:rowOff>
    </xdr:to>
    <xdr:pic>
      <xdr:nvPicPr>
        <xdr:cNvPr id="9763" name="Изображение 9762" descr="resizeПП-00184858"/>
        <xdr:cNvPicPr>
          <a:picLocks noChangeAspect="1"/>
        </xdr:cNvPicPr>
      </xdr:nvPicPr>
      <xdr:blipFill>
        <a:blip xmlns:r="http://schemas.openxmlformats.org/officeDocument/2006/relationships" r:embed="rId4371"/>
        <a:stretch>
          <a:fillRect/>
        </a:stretch>
      </xdr:blipFill>
      <xdr:spPr>
        <a:xfrm>
          <a:off x="7235825" y="5735723225"/>
          <a:ext cx="878840" cy="1183640"/>
        </a:xfrm>
        <a:prstGeom prst="rect">
          <a:avLst/>
        </a:prstGeom>
      </xdr:spPr>
    </xdr:pic>
    <xdr:clientData/>
  </xdr:twoCellAnchor>
  <xdr:twoCellAnchor>
    <xdr:from>
      <xdr:col>9</xdr:col>
      <xdr:colOff>6350</xdr:colOff>
      <xdr:row>5614</xdr:row>
      <xdr:rowOff>25400</xdr:rowOff>
    </xdr:from>
    <xdr:to>
      <xdr:col>9</xdr:col>
      <xdr:colOff>885190</xdr:colOff>
      <xdr:row>5614</xdr:row>
      <xdr:rowOff>1209040</xdr:rowOff>
    </xdr:to>
    <xdr:pic>
      <xdr:nvPicPr>
        <xdr:cNvPr id="9764" name="Изображение 9763" descr="resizeПП-00184854"/>
        <xdr:cNvPicPr>
          <a:picLocks noChangeAspect="1"/>
        </xdr:cNvPicPr>
      </xdr:nvPicPr>
      <xdr:blipFill>
        <a:blip xmlns:r="http://schemas.openxmlformats.org/officeDocument/2006/relationships" r:embed="rId4372"/>
        <a:stretch>
          <a:fillRect/>
        </a:stretch>
      </xdr:blipFill>
      <xdr:spPr>
        <a:xfrm>
          <a:off x="7235825" y="5736945600"/>
          <a:ext cx="878840" cy="1183640"/>
        </a:xfrm>
        <a:prstGeom prst="rect">
          <a:avLst/>
        </a:prstGeom>
      </xdr:spPr>
    </xdr:pic>
    <xdr:clientData/>
  </xdr:twoCellAnchor>
  <xdr:twoCellAnchor>
    <xdr:from>
      <xdr:col>9</xdr:col>
      <xdr:colOff>6350</xdr:colOff>
      <xdr:row>5615</xdr:row>
      <xdr:rowOff>25400</xdr:rowOff>
    </xdr:from>
    <xdr:to>
      <xdr:col>9</xdr:col>
      <xdr:colOff>885190</xdr:colOff>
      <xdr:row>5615</xdr:row>
      <xdr:rowOff>1209040</xdr:rowOff>
    </xdr:to>
    <xdr:pic>
      <xdr:nvPicPr>
        <xdr:cNvPr id="9765" name="Изображение 9764" descr="resizeПП-00184855"/>
        <xdr:cNvPicPr>
          <a:picLocks noChangeAspect="1"/>
        </xdr:cNvPicPr>
      </xdr:nvPicPr>
      <xdr:blipFill>
        <a:blip xmlns:r="http://schemas.openxmlformats.org/officeDocument/2006/relationships" r:embed="rId4373"/>
        <a:stretch>
          <a:fillRect/>
        </a:stretch>
      </xdr:blipFill>
      <xdr:spPr>
        <a:xfrm>
          <a:off x="7235825" y="5738167975"/>
          <a:ext cx="878840" cy="1183640"/>
        </a:xfrm>
        <a:prstGeom prst="rect">
          <a:avLst/>
        </a:prstGeom>
      </xdr:spPr>
    </xdr:pic>
    <xdr:clientData/>
  </xdr:twoCellAnchor>
  <xdr:twoCellAnchor>
    <xdr:from>
      <xdr:col>9</xdr:col>
      <xdr:colOff>6350</xdr:colOff>
      <xdr:row>5616</xdr:row>
      <xdr:rowOff>25400</xdr:rowOff>
    </xdr:from>
    <xdr:to>
      <xdr:col>9</xdr:col>
      <xdr:colOff>885190</xdr:colOff>
      <xdr:row>5616</xdr:row>
      <xdr:rowOff>1209040</xdr:rowOff>
    </xdr:to>
    <xdr:pic>
      <xdr:nvPicPr>
        <xdr:cNvPr id="9766" name="Изображение 9765" descr="resizeПП-00184857"/>
        <xdr:cNvPicPr>
          <a:picLocks noChangeAspect="1"/>
        </xdr:cNvPicPr>
      </xdr:nvPicPr>
      <xdr:blipFill>
        <a:blip xmlns:r="http://schemas.openxmlformats.org/officeDocument/2006/relationships" r:embed="rId4374"/>
        <a:stretch>
          <a:fillRect/>
        </a:stretch>
      </xdr:blipFill>
      <xdr:spPr>
        <a:xfrm>
          <a:off x="7235825" y="5739390350"/>
          <a:ext cx="878840" cy="1183640"/>
        </a:xfrm>
        <a:prstGeom prst="rect">
          <a:avLst/>
        </a:prstGeom>
      </xdr:spPr>
    </xdr:pic>
    <xdr:clientData/>
  </xdr:twoCellAnchor>
  <xdr:twoCellAnchor>
    <xdr:from>
      <xdr:col>9</xdr:col>
      <xdr:colOff>6350</xdr:colOff>
      <xdr:row>5617</xdr:row>
      <xdr:rowOff>25400</xdr:rowOff>
    </xdr:from>
    <xdr:to>
      <xdr:col>9</xdr:col>
      <xdr:colOff>885190</xdr:colOff>
      <xdr:row>5617</xdr:row>
      <xdr:rowOff>1209040</xdr:rowOff>
    </xdr:to>
    <xdr:pic>
      <xdr:nvPicPr>
        <xdr:cNvPr id="9767" name="Изображение 9766" descr="resizeПП-00184859"/>
        <xdr:cNvPicPr>
          <a:picLocks noChangeAspect="1"/>
        </xdr:cNvPicPr>
      </xdr:nvPicPr>
      <xdr:blipFill>
        <a:blip xmlns:r="http://schemas.openxmlformats.org/officeDocument/2006/relationships" r:embed="rId4375"/>
        <a:stretch>
          <a:fillRect/>
        </a:stretch>
      </xdr:blipFill>
      <xdr:spPr>
        <a:xfrm>
          <a:off x="7235825" y="5740612725"/>
          <a:ext cx="878840" cy="1183640"/>
        </a:xfrm>
        <a:prstGeom prst="rect">
          <a:avLst/>
        </a:prstGeom>
      </xdr:spPr>
    </xdr:pic>
    <xdr:clientData/>
  </xdr:twoCellAnchor>
  <xdr:twoCellAnchor>
    <xdr:from>
      <xdr:col>9</xdr:col>
      <xdr:colOff>6350</xdr:colOff>
      <xdr:row>5618</xdr:row>
      <xdr:rowOff>25400</xdr:rowOff>
    </xdr:from>
    <xdr:to>
      <xdr:col>9</xdr:col>
      <xdr:colOff>885190</xdr:colOff>
      <xdr:row>5618</xdr:row>
      <xdr:rowOff>1209040</xdr:rowOff>
    </xdr:to>
    <xdr:pic>
      <xdr:nvPicPr>
        <xdr:cNvPr id="9768" name="Изображение 9767" descr="resizeПП-00184860"/>
        <xdr:cNvPicPr>
          <a:picLocks noChangeAspect="1"/>
        </xdr:cNvPicPr>
      </xdr:nvPicPr>
      <xdr:blipFill>
        <a:blip xmlns:r="http://schemas.openxmlformats.org/officeDocument/2006/relationships" r:embed="rId4376"/>
        <a:stretch>
          <a:fillRect/>
        </a:stretch>
      </xdr:blipFill>
      <xdr:spPr>
        <a:xfrm>
          <a:off x="7235825" y="5741835100"/>
          <a:ext cx="878840" cy="1183640"/>
        </a:xfrm>
        <a:prstGeom prst="rect">
          <a:avLst/>
        </a:prstGeom>
      </xdr:spPr>
    </xdr:pic>
    <xdr:clientData/>
  </xdr:twoCellAnchor>
  <xdr:twoCellAnchor>
    <xdr:from>
      <xdr:col>9</xdr:col>
      <xdr:colOff>6350</xdr:colOff>
      <xdr:row>5620</xdr:row>
      <xdr:rowOff>25400</xdr:rowOff>
    </xdr:from>
    <xdr:to>
      <xdr:col>9</xdr:col>
      <xdr:colOff>885190</xdr:colOff>
      <xdr:row>5620</xdr:row>
      <xdr:rowOff>1209040</xdr:rowOff>
    </xdr:to>
    <xdr:pic>
      <xdr:nvPicPr>
        <xdr:cNvPr id="9769" name="Изображение 9768" descr="resizeПП-00204110"/>
        <xdr:cNvPicPr>
          <a:picLocks noChangeAspect="1"/>
        </xdr:cNvPicPr>
      </xdr:nvPicPr>
      <xdr:blipFill>
        <a:blip xmlns:r="http://schemas.openxmlformats.org/officeDocument/2006/relationships" r:embed="rId4377"/>
        <a:stretch>
          <a:fillRect/>
        </a:stretch>
      </xdr:blipFill>
      <xdr:spPr>
        <a:xfrm>
          <a:off x="7235825" y="5743362275"/>
          <a:ext cx="878840" cy="1183640"/>
        </a:xfrm>
        <a:prstGeom prst="rect">
          <a:avLst/>
        </a:prstGeom>
      </xdr:spPr>
    </xdr:pic>
    <xdr:clientData/>
  </xdr:twoCellAnchor>
  <xdr:twoCellAnchor>
    <xdr:from>
      <xdr:col>9</xdr:col>
      <xdr:colOff>6350</xdr:colOff>
      <xdr:row>5621</xdr:row>
      <xdr:rowOff>25400</xdr:rowOff>
    </xdr:from>
    <xdr:to>
      <xdr:col>9</xdr:col>
      <xdr:colOff>885190</xdr:colOff>
      <xdr:row>5621</xdr:row>
      <xdr:rowOff>1209040</xdr:rowOff>
    </xdr:to>
    <xdr:pic>
      <xdr:nvPicPr>
        <xdr:cNvPr id="9770" name="Изображение 9769" descr="resizeПП-00204106"/>
        <xdr:cNvPicPr>
          <a:picLocks noChangeAspect="1"/>
        </xdr:cNvPicPr>
      </xdr:nvPicPr>
      <xdr:blipFill>
        <a:blip xmlns:r="http://schemas.openxmlformats.org/officeDocument/2006/relationships" r:embed="rId4378"/>
        <a:stretch>
          <a:fillRect/>
        </a:stretch>
      </xdr:blipFill>
      <xdr:spPr>
        <a:xfrm>
          <a:off x="7235825" y="5744584650"/>
          <a:ext cx="878840" cy="1183640"/>
        </a:xfrm>
        <a:prstGeom prst="rect">
          <a:avLst/>
        </a:prstGeom>
      </xdr:spPr>
    </xdr:pic>
    <xdr:clientData/>
  </xdr:twoCellAnchor>
  <xdr:twoCellAnchor>
    <xdr:from>
      <xdr:col>9</xdr:col>
      <xdr:colOff>6350</xdr:colOff>
      <xdr:row>5622</xdr:row>
      <xdr:rowOff>25400</xdr:rowOff>
    </xdr:from>
    <xdr:to>
      <xdr:col>9</xdr:col>
      <xdr:colOff>885190</xdr:colOff>
      <xdr:row>5622</xdr:row>
      <xdr:rowOff>1209040</xdr:rowOff>
    </xdr:to>
    <xdr:pic>
      <xdr:nvPicPr>
        <xdr:cNvPr id="9771" name="Изображение 9770" descr="resizeПП-00204109"/>
        <xdr:cNvPicPr>
          <a:picLocks noChangeAspect="1"/>
        </xdr:cNvPicPr>
      </xdr:nvPicPr>
      <xdr:blipFill>
        <a:blip xmlns:r="http://schemas.openxmlformats.org/officeDocument/2006/relationships" r:embed="rId4379"/>
        <a:stretch>
          <a:fillRect/>
        </a:stretch>
      </xdr:blipFill>
      <xdr:spPr>
        <a:xfrm>
          <a:off x="7235825" y="5745807025"/>
          <a:ext cx="878840" cy="1183640"/>
        </a:xfrm>
        <a:prstGeom prst="rect">
          <a:avLst/>
        </a:prstGeom>
      </xdr:spPr>
    </xdr:pic>
    <xdr:clientData/>
  </xdr:twoCellAnchor>
  <xdr:twoCellAnchor>
    <xdr:from>
      <xdr:col>9</xdr:col>
      <xdr:colOff>6350</xdr:colOff>
      <xdr:row>5624</xdr:row>
      <xdr:rowOff>25400</xdr:rowOff>
    </xdr:from>
    <xdr:to>
      <xdr:col>9</xdr:col>
      <xdr:colOff>885190</xdr:colOff>
      <xdr:row>5624</xdr:row>
      <xdr:rowOff>1209040</xdr:rowOff>
    </xdr:to>
    <xdr:pic>
      <xdr:nvPicPr>
        <xdr:cNvPr id="9772" name="Изображение 9771" descr="resizeПП-00204185"/>
        <xdr:cNvPicPr>
          <a:picLocks noChangeAspect="1"/>
        </xdr:cNvPicPr>
      </xdr:nvPicPr>
      <xdr:blipFill>
        <a:blip xmlns:r="http://schemas.openxmlformats.org/officeDocument/2006/relationships" r:embed="rId4380"/>
        <a:stretch>
          <a:fillRect/>
        </a:stretch>
      </xdr:blipFill>
      <xdr:spPr>
        <a:xfrm>
          <a:off x="7235825" y="5747334200"/>
          <a:ext cx="878840" cy="1183640"/>
        </a:xfrm>
        <a:prstGeom prst="rect">
          <a:avLst/>
        </a:prstGeom>
      </xdr:spPr>
    </xdr:pic>
    <xdr:clientData/>
  </xdr:twoCellAnchor>
  <xdr:twoCellAnchor>
    <xdr:from>
      <xdr:col>9</xdr:col>
      <xdr:colOff>6350</xdr:colOff>
      <xdr:row>5625</xdr:row>
      <xdr:rowOff>25400</xdr:rowOff>
    </xdr:from>
    <xdr:to>
      <xdr:col>9</xdr:col>
      <xdr:colOff>885190</xdr:colOff>
      <xdr:row>5625</xdr:row>
      <xdr:rowOff>1209040</xdr:rowOff>
    </xdr:to>
    <xdr:pic>
      <xdr:nvPicPr>
        <xdr:cNvPr id="9773" name="Изображение 9772" descr="resizeПП-00204184"/>
        <xdr:cNvPicPr>
          <a:picLocks noChangeAspect="1"/>
        </xdr:cNvPicPr>
      </xdr:nvPicPr>
      <xdr:blipFill>
        <a:blip xmlns:r="http://schemas.openxmlformats.org/officeDocument/2006/relationships" r:embed="rId4381"/>
        <a:stretch>
          <a:fillRect/>
        </a:stretch>
      </xdr:blipFill>
      <xdr:spPr>
        <a:xfrm>
          <a:off x="7235825" y="5748556575"/>
          <a:ext cx="878840" cy="1183640"/>
        </a:xfrm>
        <a:prstGeom prst="rect">
          <a:avLst/>
        </a:prstGeom>
      </xdr:spPr>
    </xdr:pic>
    <xdr:clientData/>
  </xdr:twoCellAnchor>
  <xdr:twoCellAnchor>
    <xdr:from>
      <xdr:col>9</xdr:col>
      <xdr:colOff>6350</xdr:colOff>
      <xdr:row>5626</xdr:row>
      <xdr:rowOff>25400</xdr:rowOff>
    </xdr:from>
    <xdr:to>
      <xdr:col>9</xdr:col>
      <xdr:colOff>885190</xdr:colOff>
      <xdr:row>5626</xdr:row>
      <xdr:rowOff>1209040</xdr:rowOff>
    </xdr:to>
    <xdr:pic>
      <xdr:nvPicPr>
        <xdr:cNvPr id="9774" name="Изображение 9773" descr="resizeПП-00204187"/>
        <xdr:cNvPicPr>
          <a:picLocks noChangeAspect="1"/>
        </xdr:cNvPicPr>
      </xdr:nvPicPr>
      <xdr:blipFill>
        <a:blip xmlns:r="http://schemas.openxmlformats.org/officeDocument/2006/relationships" r:embed="rId4382"/>
        <a:stretch>
          <a:fillRect/>
        </a:stretch>
      </xdr:blipFill>
      <xdr:spPr>
        <a:xfrm>
          <a:off x="7235825" y="5749778950"/>
          <a:ext cx="878840" cy="1183640"/>
        </a:xfrm>
        <a:prstGeom prst="rect">
          <a:avLst/>
        </a:prstGeom>
      </xdr:spPr>
    </xdr:pic>
    <xdr:clientData/>
  </xdr:twoCellAnchor>
  <xdr:twoCellAnchor>
    <xdr:from>
      <xdr:col>9</xdr:col>
      <xdr:colOff>6350</xdr:colOff>
      <xdr:row>5629</xdr:row>
      <xdr:rowOff>25400</xdr:rowOff>
    </xdr:from>
    <xdr:to>
      <xdr:col>9</xdr:col>
      <xdr:colOff>885190</xdr:colOff>
      <xdr:row>5629</xdr:row>
      <xdr:rowOff>1209040</xdr:rowOff>
    </xdr:to>
    <xdr:pic>
      <xdr:nvPicPr>
        <xdr:cNvPr id="9775" name="Изображение 9774" descr="resizeПП-00204155"/>
        <xdr:cNvPicPr>
          <a:picLocks noChangeAspect="1"/>
        </xdr:cNvPicPr>
      </xdr:nvPicPr>
      <xdr:blipFill>
        <a:blip xmlns:r="http://schemas.openxmlformats.org/officeDocument/2006/relationships" r:embed="rId4383"/>
        <a:stretch>
          <a:fillRect/>
        </a:stretch>
      </xdr:blipFill>
      <xdr:spPr>
        <a:xfrm>
          <a:off x="7235825" y="5751458525"/>
          <a:ext cx="878840" cy="1183640"/>
        </a:xfrm>
        <a:prstGeom prst="rect">
          <a:avLst/>
        </a:prstGeom>
      </xdr:spPr>
    </xdr:pic>
    <xdr:clientData/>
  </xdr:twoCellAnchor>
  <xdr:twoCellAnchor>
    <xdr:from>
      <xdr:col>9</xdr:col>
      <xdr:colOff>6350</xdr:colOff>
      <xdr:row>5630</xdr:row>
      <xdr:rowOff>25400</xdr:rowOff>
    </xdr:from>
    <xdr:to>
      <xdr:col>9</xdr:col>
      <xdr:colOff>885190</xdr:colOff>
      <xdr:row>5630</xdr:row>
      <xdr:rowOff>1209040</xdr:rowOff>
    </xdr:to>
    <xdr:pic>
      <xdr:nvPicPr>
        <xdr:cNvPr id="9776" name="Изображение 9775" descr="resizeПП-00204154"/>
        <xdr:cNvPicPr>
          <a:picLocks noChangeAspect="1"/>
        </xdr:cNvPicPr>
      </xdr:nvPicPr>
      <xdr:blipFill>
        <a:blip xmlns:r="http://schemas.openxmlformats.org/officeDocument/2006/relationships" r:embed="rId4384"/>
        <a:stretch>
          <a:fillRect/>
        </a:stretch>
      </xdr:blipFill>
      <xdr:spPr>
        <a:xfrm>
          <a:off x="7235825" y="5752680900"/>
          <a:ext cx="878840" cy="1183640"/>
        </a:xfrm>
        <a:prstGeom prst="rect">
          <a:avLst/>
        </a:prstGeom>
      </xdr:spPr>
    </xdr:pic>
    <xdr:clientData/>
  </xdr:twoCellAnchor>
  <xdr:twoCellAnchor>
    <xdr:from>
      <xdr:col>9</xdr:col>
      <xdr:colOff>6350</xdr:colOff>
      <xdr:row>5633</xdr:row>
      <xdr:rowOff>25400</xdr:rowOff>
    </xdr:from>
    <xdr:to>
      <xdr:col>9</xdr:col>
      <xdr:colOff>885190</xdr:colOff>
      <xdr:row>5633</xdr:row>
      <xdr:rowOff>1209040</xdr:rowOff>
    </xdr:to>
    <xdr:pic>
      <xdr:nvPicPr>
        <xdr:cNvPr id="9777" name="Изображение 9776" descr="resizeПП-00174697"/>
        <xdr:cNvPicPr>
          <a:picLocks noChangeAspect="1"/>
        </xdr:cNvPicPr>
      </xdr:nvPicPr>
      <xdr:blipFill>
        <a:blip xmlns:r="http://schemas.openxmlformats.org/officeDocument/2006/relationships" r:embed="rId4385"/>
        <a:stretch>
          <a:fillRect/>
        </a:stretch>
      </xdr:blipFill>
      <xdr:spPr>
        <a:xfrm>
          <a:off x="7235825" y="5754360475"/>
          <a:ext cx="878840" cy="1183640"/>
        </a:xfrm>
        <a:prstGeom prst="rect">
          <a:avLst/>
        </a:prstGeom>
      </xdr:spPr>
    </xdr:pic>
    <xdr:clientData/>
  </xdr:twoCellAnchor>
  <xdr:twoCellAnchor>
    <xdr:from>
      <xdr:col>9</xdr:col>
      <xdr:colOff>6350</xdr:colOff>
      <xdr:row>5635</xdr:row>
      <xdr:rowOff>25400</xdr:rowOff>
    </xdr:from>
    <xdr:to>
      <xdr:col>9</xdr:col>
      <xdr:colOff>885190</xdr:colOff>
      <xdr:row>5635</xdr:row>
      <xdr:rowOff>1209040</xdr:rowOff>
    </xdr:to>
    <xdr:pic>
      <xdr:nvPicPr>
        <xdr:cNvPr id="9778" name="Изображение 9777" descr="resizeПП-00149456"/>
        <xdr:cNvPicPr>
          <a:picLocks noChangeAspect="1"/>
        </xdr:cNvPicPr>
      </xdr:nvPicPr>
      <xdr:blipFill>
        <a:blip xmlns:r="http://schemas.openxmlformats.org/officeDocument/2006/relationships" r:embed="rId4386"/>
        <a:stretch>
          <a:fillRect/>
        </a:stretch>
      </xdr:blipFill>
      <xdr:spPr>
        <a:xfrm>
          <a:off x="7235825" y="5755735250"/>
          <a:ext cx="878840" cy="1183640"/>
        </a:xfrm>
        <a:prstGeom prst="rect">
          <a:avLst/>
        </a:prstGeom>
      </xdr:spPr>
    </xdr:pic>
    <xdr:clientData/>
  </xdr:twoCellAnchor>
  <xdr:twoCellAnchor>
    <xdr:from>
      <xdr:col>9</xdr:col>
      <xdr:colOff>6350</xdr:colOff>
      <xdr:row>5637</xdr:row>
      <xdr:rowOff>25400</xdr:rowOff>
    </xdr:from>
    <xdr:to>
      <xdr:col>9</xdr:col>
      <xdr:colOff>885190</xdr:colOff>
      <xdr:row>5637</xdr:row>
      <xdr:rowOff>1209040</xdr:rowOff>
    </xdr:to>
    <xdr:pic>
      <xdr:nvPicPr>
        <xdr:cNvPr id="9779" name="Изображение 9778" descr="resizeПП-00204098"/>
        <xdr:cNvPicPr>
          <a:picLocks noChangeAspect="1"/>
        </xdr:cNvPicPr>
      </xdr:nvPicPr>
      <xdr:blipFill>
        <a:blip xmlns:r="http://schemas.openxmlformats.org/officeDocument/2006/relationships" r:embed="rId4387"/>
        <a:stretch>
          <a:fillRect/>
        </a:stretch>
      </xdr:blipFill>
      <xdr:spPr>
        <a:xfrm>
          <a:off x="7235825" y="5757110025"/>
          <a:ext cx="878840" cy="1183640"/>
        </a:xfrm>
        <a:prstGeom prst="rect">
          <a:avLst/>
        </a:prstGeom>
      </xdr:spPr>
    </xdr:pic>
    <xdr:clientData/>
  </xdr:twoCellAnchor>
  <xdr:twoCellAnchor>
    <xdr:from>
      <xdr:col>9</xdr:col>
      <xdr:colOff>6350</xdr:colOff>
      <xdr:row>5638</xdr:row>
      <xdr:rowOff>25400</xdr:rowOff>
    </xdr:from>
    <xdr:to>
      <xdr:col>9</xdr:col>
      <xdr:colOff>885190</xdr:colOff>
      <xdr:row>5638</xdr:row>
      <xdr:rowOff>1209040</xdr:rowOff>
    </xdr:to>
    <xdr:pic>
      <xdr:nvPicPr>
        <xdr:cNvPr id="9780" name="Изображение 9779" descr="resizeПП-00204102"/>
        <xdr:cNvPicPr>
          <a:picLocks noChangeAspect="1"/>
        </xdr:cNvPicPr>
      </xdr:nvPicPr>
      <xdr:blipFill>
        <a:blip xmlns:r="http://schemas.openxmlformats.org/officeDocument/2006/relationships" r:embed="rId4388"/>
        <a:stretch>
          <a:fillRect/>
        </a:stretch>
      </xdr:blipFill>
      <xdr:spPr>
        <a:xfrm>
          <a:off x="7235825" y="5758332400"/>
          <a:ext cx="878840" cy="1183640"/>
        </a:xfrm>
        <a:prstGeom prst="rect">
          <a:avLst/>
        </a:prstGeom>
      </xdr:spPr>
    </xdr:pic>
    <xdr:clientData/>
  </xdr:twoCellAnchor>
  <xdr:twoCellAnchor>
    <xdr:from>
      <xdr:col>9</xdr:col>
      <xdr:colOff>6350</xdr:colOff>
      <xdr:row>5640</xdr:row>
      <xdr:rowOff>25400</xdr:rowOff>
    </xdr:from>
    <xdr:to>
      <xdr:col>9</xdr:col>
      <xdr:colOff>885190</xdr:colOff>
      <xdr:row>5640</xdr:row>
      <xdr:rowOff>1209040</xdr:rowOff>
    </xdr:to>
    <xdr:pic>
      <xdr:nvPicPr>
        <xdr:cNvPr id="9781" name="Изображение 9780" descr="resizeПП-00184990"/>
        <xdr:cNvPicPr>
          <a:picLocks noChangeAspect="1"/>
        </xdr:cNvPicPr>
      </xdr:nvPicPr>
      <xdr:blipFill>
        <a:blip xmlns:r="http://schemas.openxmlformats.org/officeDocument/2006/relationships" r:embed="rId4389"/>
        <a:stretch>
          <a:fillRect/>
        </a:stretch>
      </xdr:blipFill>
      <xdr:spPr>
        <a:xfrm>
          <a:off x="7235825" y="5759859575"/>
          <a:ext cx="878840" cy="1183640"/>
        </a:xfrm>
        <a:prstGeom prst="rect">
          <a:avLst/>
        </a:prstGeom>
      </xdr:spPr>
    </xdr:pic>
    <xdr:clientData/>
  </xdr:twoCellAnchor>
  <xdr:twoCellAnchor>
    <xdr:from>
      <xdr:col>9</xdr:col>
      <xdr:colOff>6350</xdr:colOff>
      <xdr:row>5641</xdr:row>
      <xdr:rowOff>25400</xdr:rowOff>
    </xdr:from>
    <xdr:to>
      <xdr:col>9</xdr:col>
      <xdr:colOff>885190</xdr:colOff>
      <xdr:row>5641</xdr:row>
      <xdr:rowOff>1209040</xdr:rowOff>
    </xdr:to>
    <xdr:pic>
      <xdr:nvPicPr>
        <xdr:cNvPr id="9782" name="Изображение 9781" descr="resizeПП-00190802"/>
        <xdr:cNvPicPr>
          <a:picLocks noChangeAspect="1"/>
        </xdr:cNvPicPr>
      </xdr:nvPicPr>
      <xdr:blipFill>
        <a:blip xmlns:r="http://schemas.openxmlformats.org/officeDocument/2006/relationships" r:embed="rId4390"/>
        <a:stretch>
          <a:fillRect/>
        </a:stretch>
      </xdr:blipFill>
      <xdr:spPr>
        <a:xfrm>
          <a:off x="7235825" y="5761081950"/>
          <a:ext cx="878840" cy="1183640"/>
        </a:xfrm>
        <a:prstGeom prst="rect">
          <a:avLst/>
        </a:prstGeom>
      </xdr:spPr>
    </xdr:pic>
    <xdr:clientData/>
  </xdr:twoCellAnchor>
  <xdr:twoCellAnchor>
    <xdr:from>
      <xdr:col>9</xdr:col>
      <xdr:colOff>6350</xdr:colOff>
      <xdr:row>5642</xdr:row>
      <xdr:rowOff>25400</xdr:rowOff>
    </xdr:from>
    <xdr:to>
      <xdr:col>9</xdr:col>
      <xdr:colOff>885190</xdr:colOff>
      <xdr:row>5642</xdr:row>
      <xdr:rowOff>1209040</xdr:rowOff>
    </xdr:to>
    <xdr:pic>
      <xdr:nvPicPr>
        <xdr:cNvPr id="9783" name="Изображение 9782" descr="resizeПП-00184988"/>
        <xdr:cNvPicPr>
          <a:picLocks noChangeAspect="1"/>
        </xdr:cNvPicPr>
      </xdr:nvPicPr>
      <xdr:blipFill>
        <a:blip xmlns:r="http://schemas.openxmlformats.org/officeDocument/2006/relationships" r:embed="rId4391"/>
        <a:stretch>
          <a:fillRect/>
        </a:stretch>
      </xdr:blipFill>
      <xdr:spPr>
        <a:xfrm>
          <a:off x="7235825" y="5762304325"/>
          <a:ext cx="878840" cy="1183640"/>
        </a:xfrm>
        <a:prstGeom prst="rect">
          <a:avLst/>
        </a:prstGeom>
      </xdr:spPr>
    </xdr:pic>
    <xdr:clientData/>
  </xdr:twoCellAnchor>
  <xdr:twoCellAnchor>
    <xdr:from>
      <xdr:col>9</xdr:col>
      <xdr:colOff>6350</xdr:colOff>
      <xdr:row>5643</xdr:row>
      <xdr:rowOff>25400</xdr:rowOff>
    </xdr:from>
    <xdr:to>
      <xdr:col>9</xdr:col>
      <xdr:colOff>885190</xdr:colOff>
      <xdr:row>5643</xdr:row>
      <xdr:rowOff>1209040</xdr:rowOff>
    </xdr:to>
    <xdr:pic>
      <xdr:nvPicPr>
        <xdr:cNvPr id="9784" name="Изображение 9783" descr="resizeПП-00184989"/>
        <xdr:cNvPicPr>
          <a:picLocks noChangeAspect="1"/>
        </xdr:cNvPicPr>
      </xdr:nvPicPr>
      <xdr:blipFill>
        <a:blip xmlns:r="http://schemas.openxmlformats.org/officeDocument/2006/relationships" r:embed="rId4392"/>
        <a:stretch>
          <a:fillRect/>
        </a:stretch>
      </xdr:blipFill>
      <xdr:spPr>
        <a:xfrm>
          <a:off x="7235825" y="5763526700"/>
          <a:ext cx="878840" cy="1183640"/>
        </a:xfrm>
        <a:prstGeom prst="rect">
          <a:avLst/>
        </a:prstGeom>
      </xdr:spPr>
    </xdr:pic>
    <xdr:clientData/>
  </xdr:twoCellAnchor>
  <xdr:twoCellAnchor>
    <xdr:from>
      <xdr:col>9</xdr:col>
      <xdr:colOff>6350</xdr:colOff>
      <xdr:row>5644</xdr:row>
      <xdr:rowOff>25400</xdr:rowOff>
    </xdr:from>
    <xdr:to>
      <xdr:col>9</xdr:col>
      <xdr:colOff>885190</xdr:colOff>
      <xdr:row>5644</xdr:row>
      <xdr:rowOff>1209040</xdr:rowOff>
    </xdr:to>
    <xdr:pic>
      <xdr:nvPicPr>
        <xdr:cNvPr id="9785" name="Изображение 9784" descr="resizeПП-00184987"/>
        <xdr:cNvPicPr>
          <a:picLocks noChangeAspect="1"/>
        </xdr:cNvPicPr>
      </xdr:nvPicPr>
      <xdr:blipFill>
        <a:blip xmlns:r="http://schemas.openxmlformats.org/officeDocument/2006/relationships" r:embed="rId4393"/>
        <a:stretch>
          <a:fillRect/>
        </a:stretch>
      </xdr:blipFill>
      <xdr:spPr>
        <a:xfrm>
          <a:off x="7235825" y="5764749075"/>
          <a:ext cx="878840" cy="1183640"/>
        </a:xfrm>
        <a:prstGeom prst="rect">
          <a:avLst/>
        </a:prstGeom>
      </xdr:spPr>
    </xdr:pic>
    <xdr:clientData/>
  </xdr:twoCellAnchor>
  <xdr:twoCellAnchor>
    <xdr:from>
      <xdr:col>9</xdr:col>
      <xdr:colOff>6350</xdr:colOff>
      <xdr:row>5645</xdr:row>
      <xdr:rowOff>25400</xdr:rowOff>
    </xdr:from>
    <xdr:to>
      <xdr:col>9</xdr:col>
      <xdr:colOff>885190</xdr:colOff>
      <xdr:row>5645</xdr:row>
      <xdr:rowOff>1209040</xdr:rowOff>
    </xdr:to>
    <xdr:pic>
      <xdr:nvPicPr>
        <xdr:cNvPr id="9786" name="Изображение 9785" descr="resizeПП-00190804"/>
        <xdr:cNvPicPr>
          <a:picLocks noChangeAspect="1"/>
        </xdr:cNvPicPr>
      </xdr:nvPicPr>
      <xdr:blipFill>
        <a:blip xmlns:r="http://schemas.openxmlformats.org/officeDocument/2006/relationships" r:embed="rId4394"/>
        <a:stretch>
          <a:fillRect/>
        </a:stretch>
      </xdr:blipFill>
      <xdr:spPr>
        <a:xfrm>
          <a:off x="7235825" y="5765971450"/>
          <a:ext cx="878840" cy="1183640"/>
        </a:xfrm>
        <a:prstGeom prst="rect">
          <a:avLst/>
        </a:prstGeom>
      </xdr:spPr>
    </xdr:pic>
    <xdr:clientData/>
  </xdr:twoCellAnchor>
  <xdr:twoCellAnchor>
    <xdr:from>
      <xdr:col>9</xdr:col>
      <xdr:colOff>6350</xdr:colOff>
      <xdr:row>5647</xdr:row>
      <xdr:rowOff>25400</xdr:rowOff>
    </xdr:from>
    <xdr:to>
      <xdr:col>9</xdr:col>
      <xdr:colOff>885190</xdr:colOff>
      <xdr:row>5647</xdr:row>
      <xdr:rowOff>1209040</xdr:rowOff>
    </xdr:to>
    <xdr:pic>
      <xdr:nvPicPr>
        <xdr:cNvPr id="9787" name="Изображение 9786" descr="resizeПП-00149474"/>
        <xdr:cNvPicPr>
          <a:picLocks noChangeAspect="1"/>
        </xdr:cNvPicPr>
      </xdr:nvPicPr>
      <xdr:blipFill>
        <a:blip xmlns:r="http://schemas.openxmlformats.org/officeDocument/2006/relationships" r:embed="rId4395"/>
        <a:stretch>
          <a:fillRect/>
        </a:stretch>
      </xdr:blipFill>
      <xdr:spPr>
        <a:xfrm>
          <a:off x="7235825" y="5767498625"/>
          <a:ext cx="878840" cy="1183640"/>
        </a:xfrm>
        <a:prstGeom prst="rect">
          <a:avLst/>
        </a:prstGeom>
      </xdr:spPr>
    </xdr:pic>
    <xdr:clientData/>
  </xdr:twoCellAnchor>
  <xdr:twoCellAnchor>
    <xdr:from>
      <xdr:col>9</xdr:col>
      <xdr:colOff>6350</xdr:colOff>
      <xdr:row>5648</xdr:row>
      <xdr:rowOff>25400</xdr:rowOff>
    </xdr:from>
    <xdr:to>
      <xdr:col>9</xdr:col>
      <xdr:colOff>885190</xdr:colOff>
      <xdr:row>5648</xdr:row>
      <xdr:rowOff>1209040</xdr:rowOff>
    </xdr:to>
    <xdr:pic>
      <xdr:nvPicPr>
        <xdr:cNvPr id="9788" name="Изображение 9787" descr="resizeПП-00149475"/>
        <xdr:cNvPicPr>
          <a:picLocks noChangeAspect="1"/>
        </xdr:cNvPicPr>
      </xdr:nvPicPr>
      <xdr:blipFill>
        <a:blip xmlns:r="http://schemas.openxmlformats.org/officeDocument/2006/relationships" r:embed="rId4396"/>
        <a:stretch>
          <a:fillRect/>
        </a:stretch>
      </xdr:blipFill>
      <xdr:spPr>
        <a:xfrm>
          <a:off x="7235825" y="5768721000"/>
          <a:ext cx="878840" cy="1183640"/>
        </a:xfrm>
        <a:prstGeom prst="rect">
          <a:avLst/>
        </a:prstGeom>
      </xdr:spPr>
    </xdr:pic>
    <xdr:clientData/>
  </xdr:twoCellAnchor>
  <xdr:twoCellAnchor>
    <xdr:from>
      <xdr:col>9</xdr:col>
      <xdr:colOff>6350</xdr:colOff>
      <xdr:row>5650</xdr:row>
      <xdr:rowOff>25400</xdr:rowOff>
    </xdr:from>
    <xdr:to>
      <xdr:col>9</xdr:col>
      <xdr:colOff>885190</xdr:colOff>
      <xdr:row>5650</xdr:row>
      <xdr:rowOff>1209040</xdr:rowOff>
    </xdr:to>
    <xdr:pic>
      <xdr:nvPicPr>
        <xdr:cNvPr id="9789" name="Изображение 9788" descr="resizeПП-00185718"/>
        <xdr:cNvPicPr>
          <a:picLocks noChangeAspect="1"/>
        </xdr:cNvPicPr>
      </xdr:nvPicPr>
      <xdr:blipFill>
        <a:blip xmlns:r="http://schemas.openxmlformats.org/officeDocument/2006/relationships" r:embed="rId4397"/>
        <a:stretch>
          <a:fillRect/>
        </a:stretch>
      </xdr:blipFill>
      <xdr:spPr>
        <a:xfrm>
          <a:off x="7235825" y="5770095775"/>
          <a:ext cx="878840" cy="1183640"/>
        </a:xfrm>
        <a:prstGeom prst="rect">
          <a:avLst/>
        </a:prstGeom>
      </xdr:spPr>
    </xdr:pic>
    <xdr:clientData/>
  </xdr:twoCellAnchor>
  <xdr:twoCellAnchor>
    <xdr:from>
      <xdr:col>9</xdr:col>
      <xdr:colOff>6350</xdr:colOff>
      <xdr:row>5651</xdr:row>
      <xdr:rowOff>25400</xdr:rowOff>
    </xdr:from>
    <xdr:to>
      <xdr:col>9</xdr:col>
      <xdr:colOff>885190</xdr:colOff>
      <xdr:row>5651</xdr:row>
      <xdr:rowOff>1209040</xdr:rowOff>
    </xdr:to>
    <xdr:pic>
      <xdr:nvPicPr>
        <xdr:cNvPr id="9790" name="Изображение 9789" descr="resizeПП-00185720"/>
        <xdr:cNvPicPr>
          <a:picLocks noChangeAspect="1"/>
        </xdr:cNvPicPr>
      </xdr:nvPicPr>
      <xdr:blipFill>
        <a:blip xmlns:r="http://schemas.openxmlformats.org/officeDocument/2006/relationships" r:embed="rId4398"/>
        <a:stretch>
          <a:fillRect/>
        </a:stretch>
      </xdr:blipFill>
      <xdr:spPr>
        <a:xfrm>
          <a:off x="7235825" y="5771318150"/>
          <a:ext cx="878840" cy="1183640"/>
        </a:xfrm>
        <a:prstGeom prst="rect">
          <a:avLst/>
        </a:prstGeom>
      </xdr:spPr>
    </xdr:pic>
    <xdr:clientData/>
  </xdr:twoCellAnchor>
  <xdr:twoCellAnchor>
    <xdr:from>
      <xdr:col>9</xdr:col>
      <xdr:colOff>6350</xdr:colOff>
      <xdr:row>5652</xdr:row>
      <xdr:rowOff>25400</xdr:rowOff>
    </xdr:from>
    <xdr:to>
      <xdr:col>9</xdr:col>
      <xdr:colOff>885190</xdr:colOff>
      <xdr:row>5652</xdr:row>
      <xdr:rowOff>1209040</xdr:rowOff>
    </xdr:to>
    <xdr:pic>
      <xdr:nvPicPr>
        <xdr:cNvPr id="9791" name="Изображение 9790" descr="resizeПП-00185722"/>
        <xdr:cNvPicPr>
          <a:picLocks noChangeAspect="1"/>
        </xdr:cNvPicPr>
      </xdr:nvPicPr>
      <xdr:blipFill>
        <a:blip xmlns:r="http://schemas.openxmlformats.org/officeDocument/2006/relationships" r:embed="rId4399"/>
        <a:stretch>
          <a:fillRect/>
        </a:stretch>
      </xdr:blipFill>
      <xdr:spPr>
        <a:xfrm>
          <a:off x="7235825" y="5772540525"/>
          <a:ext cx="878840" cy="1183640"/>
        </a:xfrm>
        <a:prstGeom prst="rect">
          <a:avLst/>
        </a:prstGeom>
      </xdr:spPr>
    </xdr:pic>
    <xdr:clientData/>
  </xdr:twoCellAnchor>
  <xdr:twoCellAnchor>
    <xdr:from>
      <xdr:col>9</xdr:col>
      <xdr:colOff>6350</xdr:colOff>
      <xdr:row>5653</xdr:row>
      <xdr:rowOff>25400</xdr:rowOff>
    </xdr:from>
    <xdr:to>
      <xdr:col>9</xdr:col>
      <xdr:colOff>885190</xdr:colOff>
      <xdr:row>5653</xdr:row>
      <xdr:rowOff>1209040</xdr:rowOff>
    </xdr:to>
    <xdr:pic>
      <xdr:nvPicPr>
        <xdr:cNvPr id="9792" name="Изображение 9791" descr="resizeПП-00185719"/>
        <xdr:cNvPicPr>
          <a:picLocks noChangeAspect="1"/>
        </xdr:cNvPicPr>
      </xdr:nvPicPr>
      <xdr:blipFill>
        <a:blip xmlns:r="http://schemas.openxmlformats.org/officeDocument/2006/relationships" r:embed="rId4400"/>
        <a:stretch>
          <a:fillRect/>
        </a:stretch>
      </xdr:blipFill>
      <xdr:spPr>
        <a:xfrm>
          <a:off x="7235825" y="5773762900"/>
          <a:ext cx="878840" cy="1183640"/>
        </a:xfrm>
        <a:prstGeom prst="rect">
          <a:avLst/>
        </a:prstGeom>
      </xdr:spPr>
    </xdr:pic>
    <xdr:clientData/>
  </xdr:twoCellAnchor>
  <xdr:twoCellAnchor>
    <xdr:from>
      <xdr:col>9</xdr:col>
      <xdr:colOff>6350</xdr:colOff>
      <xdr:row>5657</xdr:row>
      <xdr:rowOff>25400</xdr:rowOff>
    </xdr:from>
    <xdr:to>
      <xdr:col>9</xdr:col>
      <xdr:colOff>885190</xdr:colOff>
      <xdr:row>5657</xdr:row>
      <xdr:rowOff>1209040</xdr:rowOff>
    </xdr:to>
    <xdr:pic>
      <xdr:nvPicPr>
        <xdr:cNvPr id="9793" name="Изображение 9792" descr="resizeПП-00204169"/>
        <xdr:cNvPicPr>
          <a:picLocks noChangeAspect="1"/>
        </xdr:cNvPicPr>
      </xdr:nvPicPr>
      <xdr:blipFill>
        <a:blip xmlns:r="http://schemas.openxmlformats.org/officeDocument/2006/relationships" r:embed="rId4401"/>
        <a:stretch>
          <a:fillRect/>
        </a:stretch>
      </xdr:blipFill>
      <xdr:spPr>
        <a:xfrm>
          <a:off x="7235825" y="5775442475"/>
          <a:ext cx="878840" cy="1183640"/>
        </a:xfrm>
        <a:prstGeom prst="rect">
          <a:avLst/>
        </a:prstGeom>
      </xdr:spPr>
    </xdr:pic>
    <xdr:clientData/>
  </xdr:twoCellAnchor>
  <xdr:twoCellAnchor>
    <xdr:from>
      <xdr:col>9</xdr:col>
      <xdr:colOff>6350</xdr:colOff>
      <xdr:row>5658</xdr:row>
      <xdr:rowOff>25400</xdr:rowOff>
    </xdr:from>
    <xdr:to>
      <xdr:col>9</xdr:col>
      <xdr:colOff>885190</xdr:colOff>
      <xdr:row>5658</xdr:row>
      <xdr:rowOff>1209040</xdr:rowOff>
    </xdr:to>
    <xdr:pic>
      <xdr:nvPicPr>
        <xdr:cNvPr id="9794" name="Изображение 9793" descr="resizeПП-00204177"/>
        <xdr:cNvPicPr>
          <a:picLocks noChangeAspect="1"/>
        </xdr:cNvPicPr>
      </xdr:nvPicPr>
      <xdr:blipFill>
        <a:blip xmlns:r="http://schemas.openxmlformats.org/officeDocument/2006/relationships" r:embed="rId4402"/>
        <a:stretch>
          <a:fillRect/>
        </a:stretch>
      </xdr:blipFill>
      <xdr:spPr>
        <a:xfrm>
          <a:off x="7235825" y="5776664850"/>
          <a:ext cx="878840" cy="1183640"/>
        </a:xfrm>
        <a:prstGeom prst="rect">
          <a:avLst/>
        </a:prstGeom>
      </xdr:spPr>
    </xdr:pic>
    <xdr:clientData/>
  </xdr:twoCellAnchor>
  <xdr:twoCellAnchor>
    <xdr:from>
      <xdr:col>9</xdr:col>
      <xdr:colOff>6350</xdr:colOff>
      <xdr:row>5659</xdr:row>
      <xdr:rowOff>25400</xdr:rowOff>
    </xdr:from>
    <xdr:to>
      <xdr:col>9</xdr:col>
      <xdr:colOff>885190</xdr:colOff>
      <xdr:row>5659</xdr:row>
      <xdr:rowOff>1209040</xdr:rowOff>
    </xdr:to>
    <xdr:pic>
      <xdr:nvPicPr>
        <xdr:cNvPr id="9795" name="Изображение 9794" descr="resizeПП-00204173"/>
        <xdr:cNvPicPr>
          <a:picLocks noChangeAspect="1"/>
        </xdr:cNvPicPr>
      </xdr:nvPicPr>
      <xdr:blipFill>
        <a:blip xmlns:r="http://schemas.openxmlformats.org/officeDocument/2006/relationships" r:embed="rId4403"/>
        <a:stretch>
          <a:fillRect/>
        </a:stretch>
      </xdr:blipFill>
      <xdr:spPr>
        <a:xfrm>
          <a:off x="7235825" y="5777887225"/>
          <a:ext cx="878840" cy="1183640"/>
        </a:xfrm>
        <a:prstGeom prst="rect">
          <a:avLst/>
        </a:prstGeom>
      </xdr:spPr>
    </xdr:pic>
    <xdr:clientData/>
  </xdr:twoCellAnchor>
  <xdr:twoCellAnchor>
    <xdr:from>
      <xdr:col>9</xdr:col>
      <xdr:colOff>6350</xdr:colOff>
      <xdr:row>5660</xdr:row>
      <xdr:rowOff>25400</xdr:rowOff>
    </xdr:from>
    <xdr:to>
      <xdr:col>9</xdr:col>
      <xdr:colOff>885190</xdr:colOff>
      <xdr:row>5660</xdr:row>
      <xdr:rowOff>1209040</xdr:rowOff>
    </xdr:to>
    <xdr:pic>
      <xdr:nvPicPr>
        <xdr:cNvPr id="9796" name="Изображение 9795" descr="resizeПП-00204165"/>
        <xdr:cNvPicPr>
          <a:picLocks noChangeAspect="1"/>
        </xdr:cNvPicPr>
      </xdr:nvPicPr>
      <xdr:blipFill>
        <a:blip xmlns:r="http://schemas.openxmlformats.org/officeDocument/2006/relationships" r:embed="rId4404"/>
        <a:stretch>
          <a:fillRect/>
        </a:stretch>
      </xdr:blipFill>
      <xdr:spPr>
        <a:xfrm>
          <a:off x="7235825" y="5779109600"/>
          <a:ext cx="878840" cy="1183640"/>
        </a:xfrm>
        <a:prstGeom prst="rect">
          <a:avLst/>
        </a:prstGeom>
      </xdr:spPr>
    </xdr:pic>
    <xdr:clientData/>
  </xdr:twoCellAnchor>
  <xdr:twoCellAnchor>
    <xdr:from>
      <xdr:col>9</xdr:col>
      <xdr:colOff>6350</xdr:colOff>
      <xdr:row>5661</xdr:row>
      <xdr:rowOff>25400</xdr:rowOff>
    </xdr:from>
    <xdr:to>
      <xdr:col>9</xdr:col>
      <xdr:colOff>885190</xdr:colOff>
      <xdr:row>5661</xdr:row>
      <xdr:rowOff>1209040</xdr:rowOff>
    </xdr:to>
    <xdr:pic>
      <xdr:nvPicPr>
        <xdr:cNvPr id="9797" name="Изображение 9796" descr="resizeПП-00112627"/>
        <xdr:cNvPicPr>
          <a:picLocks noChangeAspect="1"/>
        </xdr:cNvPicPr>
      </xdr:nvPicPr>
      <xdr:blipFill>
        <a:blip xmlns:r="http://schemas.openxmlformats.org/officeDocument/2006/relationships" r:embed="rId4405"/>
        <a:stretch>
          <a:fillRect/>
        </a:stretch>
      </xdr:blipFill>
      <xdr:spPr>
        <a:xfrm>
          <a:off x="7235825" y="5780331975"/>
          <a:ext cx="878840" cy="1183640"/>
        </a:xfrm>
        <a:prstGeom prst="rect">
          <a:avLst/>
        </a:prstGeom>
      </xdr:spPr>
    </xdr:pic>
    <xdr:clientData/>
  </xdr:twoCellAnchor>
  <xdr:twoCellAnchor>
    <xdr:from>
      <xdr:col>9</xdr:col>
      <xdr:colOff>6350</xdr:colOff>
      <xdr:row>5664</xdr:row>
      <xdr:rowOff>25400</xdr:rowOff>
    </xdr:from>
    <xdr:to>
      <xdr:col>9</xdr:col>
      <xdr:colOff>885190</xdr:colOff>
      <xdr:row>5664</xdr:row>
      <xdr:rowOff>1209040</xdr:rowOff>
    </xdr:to>
    <xdr:pic>
      <xdr:nvPicPr>
        <xdr:cNvPr id="9798" name="Изображение 9797" descr="resizeПП-00210210"/>
        <xdr:cNvPicPr>
          <a:picLocks noChangeAspect="1"/>
        </xdr:cNvPicPr>
      </xdr:nvPicPr>
      <xdr:blipFill>
        <a:blip xmlns:r="http://schemas.openxmlformats.org/officeDocument/2006/relationships" r:embed="rId4406"/>
        <a:stretch>
          <a:fillRect/>
        </a:stretch>
      </xdr:blipFill>
      <xdr:spPr>
        <a:xfrm>
          <a:off x="7235825" y="5781859150"/>
          <a:ext cx="878840" cy="1183640"/>
        </a:xfrm>
        <a:prstGeom prst="rect">
          <a:avLst/>
        </a:prstGeom>
      </xdr:spPr>
    </xdr:pic>
    <xdr:clientData/>
  </xdr:twoCellAnchor>
  <xdr:twoCellAnchor>
    <xdr:from>
      <xdr:col>9</xdr:col>
      <xdr:colOff>6350</xdr:colOff>
      <xdr:row>5665</xdr:row>
      <xdr:rowOff>25400</xdr:rowOff>
    </xdr:from>
    <xdr:to>
      <xdr:col>9</xdr:col>
      <xdr:colOff>885190</xdr:colOff>
      <xdr:row>5665</xdr:row>
      <xdr:rowOff>1209040</xdr:rowOff>
    </xdr:to>
    <xdr:pic>
      <xdr:nvPicPr>
        <xdr:cNvPr id="9799" name="Изображение 9798" descr="resizeПП-00210208"/>
        <xdr:cNvPicPr>
          <a:picLocks noChangeAspect="1"/>
        </xdr:cNvPicPr>
      </xdr:nvPicPr>
      <xdr:blipFill>
        <a:blip xmlns:r="http://schemas.openxmlformats.org/officeDocument/2006/relationships" r:embed="rId4407"/>
        <a:stretch>
          <a:fillRect/>
        </a:stretch>
      </xdr:blipFill>
      <xdr:spPr>
        <a:xfrm>
          <a:off x="7235825" y="5783081525"/>
          <a:ext cx="878840" cy="1183640"/>
        </a:xfrm>
        <a:prstGeom prst="rect">
          <a:avLst/>
        </a:prstGeom>
      </xdr:spPr>
    </xdr:pic>
    <xdr:clientData/>
  </xdr:twoCellAnchor>
  <xdr:twoCellAnchor>
    <xdr:from>
      <xdr:col>9</xdr:col>
      <xdr:colOff>6350</xdr:colOff>
      <xdr:row>5666</xdr:row>
      <xdr:rowOff>25400</xdr:rowOff>
    </xdr:from>
    <xdr:to>
      <xdr:col>9</xdr:col>
      <xdr:colOff>885190</xdr:colOff>
      <xdr:row>5666</xdr:row>
      <xdr:rowOff>1209040</xdr:rowOff>
    </xdr:to>
    <xdr:pic>
      <xdr:nvPicPr>
        <xdr:cNvPr id="9800" name="Изображение 9799" descr="resizeПП-00210195"/>
        <xdr:cNvPicPr>
          <a:picLocks noChangeAspect="1"/>
        </xdr:cNvPicPr>
      </xdr:nvPicPr>
      <xdr:blipFill>
        <a:blip xmlns:r="http://schemas.openxmlformats.org/officeDocument/2006/relationships" r:embed="rId4408"/>
        <a:stretch>
          <a:fillRect/>
        </a:stretch>
      </xdr:blipFill>
      <xdr:spPr>
        <a:xfrm>
          <a:off x="7235825" y="5784303900"/>
          <a:ext cx="878840" cy="1183640"/>
        </a:xfrm>
        <a:prstGeom prst="rect">
          <a:avLst/>
        </a:prstGeom>
      </xdr:spPr>
    </xdr:pic>
    <xdr:clientData/>
  </xdr:twoCellAnchor>
  <xdr:twoCellAnchor>
    <xdr:from>
      <xdr:col>9</xdr:col>
      <xdr:colOff>6350</xdr:colOff>
      <xdr:row>5667</xdr:row>
      <xdr:rowOff>25400</xdr:rowOff>
    </xdr:from>
    <xdr:to>
      <xdr:col>9</xdr:col>
      <xdr:colOff>885190</xdr:colOff>
      <xdr:row>5667</xdr:row>
      <xdr:rowOff>1209040</xdr:rowOff>
    </xdr:to>
    <xdr:pic>
      <xdr:nvPicPr>
        <xdr:cNvPr id="9801" name="Изображение 9800" descr="resizeПП-00210197"/>
        <xdr:cNvPicPr>
          <a:picLocks noChangeAspect="1"/>
        </xdr:cNvPicPr>
      </xdr:nvPicPr>
      <xdr:blipFill>
        <a:blip xmlns:r="http://schemas.openxmlformats.org/officeDocument/2006/relationships" r:embed="rId4409"/>
        <a:stretch>
          <a:fillRect/>
        </a:stretch>
      </xdr:blipFill>
      <xdr:spPr>
        <a:xfrm>
          <a:off x="7235825" y="5785526275"/>
          <a:ext cx="878840" cy="1183640"/>
        </a:xfrm>
        <a:prstGeom prst="rect">
          <a:avLst/>
        </a:prstGeom>
      </xdr:spPr>
    </xdr:pic>
    <xdr:clientData/>
  </xdr:twoCellAnchor>
  <xdr:twoCellAnchor>
    <xdr:from>
      <xdr:col>9</xdr:col>
      <xdr:colOff>6350</xdr:colOff>
      <xdr:row>5668</xdr:row>
      <xdr:rowOff>25400</xdr:rowOff>
    </xdr:from>
    <xdr:to>
      <xdr:col>9</xdr:col>
      <xdr:colOff>885190</xdr:colOff>
      <xdr:row>5668</xdr:row>
      <xdr:rowOff>1209040</xdr:rowOff>
    </xdr:to>
    <xdr:pic>
      <xdr:nvPicPr>
        <xdr:cNvPr id="9802" name="Изображение 9801" descr="resizeПП-00210193"/>
        <xdr:cNvPicPr>
          <a:picLocks noChangeAspect="1"/>
        </xdr:cNvPicPr>
      </xdr:nvPicPr>
      <xdr:blipFill>
        <a:blip xmlns:r="http://schemas.openxmlformats.org/officeDocument/2006/relationships" r:embed="rId4410"/>
        <a:stretch>
          <a:fillRect/>
        </a:stretch>
      </xdr:blipFill>
      <xdr:spPr>
        <a:xfrm>
          <a:off x="7235825" y="5786748650"/>
          <a:ext cx="878840" cy="1183640"/>
        </a:xfrm>
        <a:prstGeom prst="rect">
          <a:avLst/>
        </a:prstGeom>
      </xdr:spPr>
    </xdr:pic>
    <xdr:clientData/>
  </xdr:twoCellAnchor>
  <xdr:twoCellAnchor>
    <xdr:from>
      <xdr:col>9</xdr:col>
      <xdr:colOff>6350</xdr:colOff>
      <xdr:row>5669</xdr:row>
      <xdr:rowOff>25400</xdr:rowOff>
    </xdr:from>
    <xdr:to>
      <xdr:col>9</xdr:col>
      <xdr:colOff>885190</xdr:colOff>
      <xdr:row>5669</xdr:row>
      <xdr:rowOff>1209040</xdr:rowOff>
    </xdr:to>
    <xdr:pic>
      <xdr:nvPicPr>
        <xdr:cNvPr id="9803" name="Изображение 9802" descr="resizeПП-00210202"/>
        <xdr:cNvPicPr>
          <a:picLocks noChangeAspect="1"/>
        </xdr:cNvPicPr>
      </xdr:nvPicPr>
      <xdr:blipFill>
        <a:blip xmlns:r="http://schemas.openxmlformats.org/officeDocument/2006/relationships" r:embed="rId4411"/>
        <a:stretch>
          <a:fillRect/>
        </a:stretch>
      </xdr:blipFill>
      <xdr:spPr>
        <a:xfrm>
          <a:off x="7235825" y="5787971025"/>
          <a:ext cx="878840" cy="1183640"/>
        </a:xfrm>
        <a:prstGeom prst="rect">
          <a:avLst/>
        </a:prstGeom>
      </xdr:spPr>
    </xdr:pic>
    <xdr:clientData/>
  </xdr:twoCellAnchor>
  <xdr:twoCellAnchor>
    <xdr:from>
      <xdr:col>9</xdr:col>
      <xdr:colOff>6350</xdr:colOff>
      <xdr:row>5671</xdr:row>
      <xdr:rowOff>25400</xdr:rowOff>
    </xdr:from>
    <xdr:to>
      <xdr:col>9</xdr:col>
      <xdr:colOff>885190</xdr:colOff>
      <xdr:row>5671</xdr:row>
      <xdr:rowOff>1209040</xdr:rowOff>
    </xdr:to>
    <xdr:pic>
      <xdr:nvPicPr>
        <xdr:cNvPr id="9804" name="Изображение 9803" descr="resizeПП-00210194"/>
        <xdr:cNvPicPr>
          <a:picLocks noChangeAspect="1"/>
        </xdr:cNvPicPr>
      </xdr:nvPicPr>
      <xdr:blipFill>
        <a:blip xmlns:r="http://schemas.openxmlformats.org/officeDocument/2006/relationships" r:embed="rId4412"/>
        <a:stretch>
          <a:fillRect/>
        </a:stretch>
      </xdr:blipFill>
      <xdr:spPr>
        <a:xfrm>
          <a:off x="7235825" y="5789345800"/>
          <a:ext cx="878840" cy="1183640"/>
        </a:xfrm>
        <a:prstGeom prst="rect">
          <a:avLst/>
        </a:prstGeom>
      </xdr:spPr>
    </xdr:pic>
    <xdr:clientData/>
  </xdr:twoCellAnchor>
  <xdr:twoCellAnchor>
    <xdr:from>
      <xdr:col>9</xdr:col>
      <xdr:colOff>6350</xdr:colOff>
      <xdr:row>5672</xdr:row>
      <xdr:rowOff>25400</xdr:rowOff>
    </xdr:from>
    <xdr:to>
      <xdr:col>9</xdr:col>
      <xdr:colOff>885190</xdr:colOff>
      <xdr:row>5672</xdr:row>
      <xdr:rowOff>1209040</xdr:rowOff>
    </xdr:to>
    <xdr:pic>
      <xdr:nvPicPr>
        <xdr:cNvPr id="9805" name="Изображение 9804" descr="resizeПП-00210196"/>
        <xdr:cNvPicPr>
          <a:picLocks noChangeAspect="1"/>
        </xdr:cNvPicPr>
      </xdr:nvPicPr>
      <xdr:blipFill>
        <a:blip xmlns:r="http://schemas.openxmlformats.org/officeDocument/2006/relationships" r:embed="rId4413"/>
        <a:stretch>
          <a:fillRect/>
        </a:stretch>
      </xdr:blipFill>
      <xdr:spPr>
        <a:xfrm>
          <a:off x="7235825" y="5790568175"/>
          <a:ext cx="878840" cy="1183640"/>
        </a:xfrm>
        <a:prstGeom prst="rect">
          <a:avLst/>
        </a:prstGeom>
      </xdr:spPr>
    </xdr:pic>
    <xdr:clientData/>
  </xdr:twoCellAnchor>
  <xdr:twoCellAnchor>
    <xdr:from>
      <xdr:col>9</xdr:col>
      <xdr:colOff>6350</xdr:colOff>
      <xdr:row>5673</xdr:row>
      <xdr:rowOff>25400</xdr:rowOff>
    </xdr:from>
    <xdr:to>
      <xdr:col>9</xdr:col>
      <xdr:colOff>885190</xdr:colOff>
      <xdr:row>5673</xdr:row>
      <xdr:rowOff>1209040</xdr:rowOff>
    </xdr:to>
    <xdr:pic>
      <xdr:nvPicPr>
        <xdr:cNvPr id="9806" name="Изображение 9805" descr="resizeПП-00210201"/>
        <xdr:cNvPicPr>
          <a:picLocks noChangeAspect="1"/>
        </xdr:cNvPicPr>
      </xdr:nvPicPr>
      <xdr:blipFill>
        <a:blip xmlns:r="http://schemas.openxmlformats.org/officeDocument/2006/relationships" r:embed="rId4414"/>
        <a:stretch>
          <a:fillRect/>
        </a:stretch>
      </xdr:blipFill>
      <xdr:spPr>
        <a:xfrm>
          <a:off x="7235825" y="5791790550"/>
          <a:ext cx="878840" cy="1183640"/>
        </a:xfrm>
        <a:prstGeom prst="rect">
          <a:avLst/>
        </a:prstGeom>
      </xdr:spPr>
    </xdr:pic>
    <xdr:clientData/>
  </xdr:twoCellAnchor>
  <xdr:twoCellAnchor>
    <xdr:from>
      <xdr:col>9</xdr:col>
      <xdr:colOff>6350</xdr:colOff>
      <xdr:row>5674</xdr:row>
      <xdr:rowOff>25400</xdr:rowOff>
    </xdr:from>
    <xdr:to>
      <xdr:col>9</xdr:col>
      <xdr:colOff>885190</xdr:colOff>
      <xdr:row>5674</xdr:row>
      <xdr:rowOff>1209040</xdr:rowOff>
    </xdr:to>
    <xdr:pic>
      <xdr:nvPicPr>
        <xdr:cNvPr id="9807" name="Изображение 9806" descr="resizeПП-00210207"/>
        <xdr:cNvPicPr>
          <a:picLocks noChangeAspect="1"/>
        </xdr:cNvPicPr>
      </xdr:nvPicPr>
      <xdr:blipFill>
        <a:blip xmlns:r="http://schemas.openxmlformats.org/officeDocument/2006/relationships" r:embed="rId4415"/>
        <a:stretch>
          <a:fillRect/>
        </a:stretch>
      </xdr:blipFill>
      <xdr:spPr>
        <a:xfrm>
          <a:off x="7235825" y="5793012925"/>
          <a:ext cx="878840" cy="1183640"/>
        </a:xfrm>
        <a:prstGeom prst="rect">
          <a:avLst/>
        </a:prstGeom>
      </xdr:spPr>
    </xdr:pic>
    <xdr:clientData/>
  </xdr:twoCellAnchor>
  <xdr:twoCellAnchor>
    <xdr:from>
      <xdr:col>9</xdr:col>
      <xdr:colOff>6350</xdr:colOff>
      <xdr:row>5675</xdr:row>
      <xdr:rowOff>25400</xdr:rowOff>
    </xdr:from>
    <xdr:to>
      <xdr:col>9</xdr:col>
      <xdr:colOff>885190</xdr:colOff>
      <xdr:row>5675</xdr:row>
      <xdr:rowOff>1209040</xdr:rowOff>
    </xdr:to>
    <xdr:pic>
      <xdr:nvPicPr>
        <xdr:cNvPr id="9808" name="Изображение 9807" descr="resizeПП-00210198"/>
        <xdr:cNvPicPr>
          <a:picLocks noChangeAspect="1"/>
        </xdr:cNvPicPr>
      </xdr:nvPicPr>
      <xdr:blipFill>
        <a:blip xmlns:r="http://schemas.openxmlformats.org/officeDocument/2006/relationships" r:embed="rId4416"/>
        <a:stretch>
          <a:fillRect/>
        </a:stretch>
      </xdr:blipFill>
      <xdr:spPr>
        <a:xfrm>
          <a:off x="7235825" y="5794235300"/>
          <a:ext cx="878840" cy="1183640"/>
        </a:xfrm>
        <a:prstGeom prst="rect">
          <a:avLst/>
        </a:prstGeom>
      </xdr:spPr>
    </xdr:pic>
    <xdr:clientData/>
  </xdr:twoCellAnchor>
  <xdr:twoCellAnchor>
    <xdr:from>
      <xdr:col>9</xdr:col>
      <xdr:colOff>6350</xdr:colOff>
      <xdr:row>5676</xdr:row>
      <xdr:rowOff>25400</xdr:rowOff>
    </xdr:from>
    <xdr:to>
      <xdr:col>9</xdr:col>
      <xdr:colOff>885190</xdr:colOff>
      <xdr:row>5676</xdr:row>
      <xdr:rowOff>1209040</xdr:rowOff>
    </xdr:to>
    <xdr:pic>
      <xdr:nvPicPr>
        <xdr:cNvPr id="9809" name="Изображение 9808" descr="resizeПП-00210199"/>
        <xdr:cNvPicPr>
          <a:picLocks noChangeAspect="1"/>
        </xdr:cNvPicPr>
      </xdr:nvPicPr>
      <xdr:blipFill>
        <a:blip xmlns:r="http://schemas.openxmlformats.org/officeDocument/2006/relationships" r:embed="rId4417"/>
        <a:stretch>
          <a:fillRect/>
        </a:stretch>
      </xdr:blipFill>
      <xdr:spPr>
        <a:xfrm>
          <a:off x="7235825" y="5795457675"/>
          <a:ext cx="878840" cy="1183640"/>
        </a:xfrm>
        <a:prstGeom prst="rect">
          <a:avLst/>
        </a:prstGeom>
      </xdr:spPr>
    </xdr:pic>
    <xdr:clientData/>
  </xdr:twoCellAnchor>
  <xdr:twoCellAnchor>
    <xdr:from>
      <xdr:col>9</xdr:col>
      <xdr:colOff>6350</xdr:colOff>
      <xdr:row>5677</xdr:row>
      <xdr:rowOff>25400</xdr:rowOff>
    </xdr:from>
    <xdr:to>
      <xdr:col>9</xdr:col>
      <xdr:colOff>885190</xdr:colOff>
      <xdr:row>5677</xdr:row>
      <xdr:rowOff>1209040</xdr:rowOff>
    </xdr:to>
    <xdr:pic>
      <xdr:nvPicPr>
        <xdr:cNvPr id="9810" name="Изображение 9809" descr="resizeПП-00210203"/>
        <xdr:cNvPicPr>
          <a:picLocks noChangeAspect="1"/>
        </xdr:cNvPicPr>
      </xdr:nvPicPr>
      <xdr:blipFill>
        <a:blip xmlns:r="http://schemas.openxmlformats.org/officeDocument/2006/relationships" r:embed="rId4418"/>
        <a:stretch>
          <a:fillRect/>
        </a:stretch>
      </xdr:blipFill>
      <xdr:spPr>
        <a:xfrm>
          <a:off x="7235825" y="5796680050"/>
          <a:ext cx="878840" cy="1183640"/>
        </a:xfrm>
        <a:prstGeom prst="rect">
          <a:avLst/>
        </a:prstGeom>
      </xdr:spPr>
    </xdr:pic>
    <xdr:clientData/>
  </xdr:twoCellAnchor>
  <xdr:twoCellAnchor>
    <xdr:from>
      <xdr:col>9</xdr:col>
      <xdr:colOff>6350</xdr:colOff>
      <xdr:row>5678</xdr:row>
      <xdr:rowOff>25400</xdr:rowOff>
    </xdr:from>
    <xdr:to>
      <xdr:col>9</xdr:col>
      <xdr:colOff>885190</xdr:colOff>
      <xdr:row>5678</xdr:row>
      <xdr:rowOff>1209040</xdr:rowOff>
    </xdr:to>
    <xdr:pic>
      <xdr:nvPicPr>
        <xdr:cNvPr id="9811" name="Изображение 9810" descr="resizeПП-00193653"/>
        <xdr:cNvPicPr>
          <a:picLocks noChangeAspect="1"/>
        </xdr:cNvPicPr>
      </xdr:nvPicPr>
      <xdr:blipFill>
        <a:blip xmlns:r="http://schemas.openxmlformats.org/officeDocument/2006/relationships" r:embed="rId4419"/>
        <a:stretch>
          <a:fillRect/>
        </a:stretch>
      </xdr:blipFill>
      <xdr:spPr>
        <a:xfrm>
          <a:off x="7235825" y="5797902425"/>
          <a:ext cx="878840" cy="1183640"/>
        </a:xfrm>
        <a:prstGeom prst="rect">
          <a:avLst/>
        </a:prstGeom>
      </xdr:spPr>
    </xdr:pic>
    <xdr:clientData/>
  </xdr:twoCellAnchor>
  <xdr:twoCellAnchor>
    <xdr:from>
      <xdr:col>9</xdr:col>
      <xdr:colOff>6350</xdr:colOff>
      <xdr:row>5679</xdr:row>
      <xdr:rowOff>25400</xdr:rowOff>
    </xdr:from>
    <xdr:to>
      <xdr:col>9</xdr:col>
      <xdr:colOff>885190</xdr:colOff>
      <xdr:row>5679</xdr:row>
      <xdr:rowOff>1209040</xdr:rowOff>
    </xdr:to>
    <xdr:pic>
      <xdr:nvPicPr>
        <xdr:cNvPr id="9812" name="Изображение 9811" descr="resizeПП-00193652"/>
        <xdr:cNvPicPr>
          <a:picLocks noChangeAspect="1"/>
        </xdr:cNvPicPr>
      </xdr:nvPicPr>
      <xdr:blipFill>
        <a:blip xmlns:r="http://schemas.openxmlformats.org/officeDocument/2006/relationships" r:embed="rId4420"/>
        <a:stretch>
          <a:fillRect/>
        </a:stretch>
      </xdr:blipFill>
      <xdr:spPr>
        <a:xfrm>
          <a:off x="7235825" y="5799124800"/>
          <a:ext cx="878840" cy="1183640"/>
        </a:xfrm>
        <a:prstGeom prst="rect">
          <a:avLst/>
        </a:prstGeom>
      </xdr:spPr>
    </xdr:pic>
    <xdr:clientData/>
  </xdr:twoCellAnchor>
  <xdr:twoCellAnchor>
    <xdr:from>
      <xdr:col>9</xdr:col>
      <xdr:colOff>6350</xdr:colOff>
      <xdr:row>5680</xdr:row>
      <xdr:rowOff>25400</xdr:rowOff>
    </xdr:from>
    <xdr:to>
      <xdr:col>9</xdr:col>
      <xdr:colOff>885190</xdr:colOff>
      <xdr:row>5680</xdr:row>
      <xdr:rowOff>1209040</xdr:rowOff>
    </xdr:to>
    <xdr:pic>
      <xdr:nvPicPr>
        <xdr:cNvPr id="9813" name="Изображение 9812" descr="resizeПП-00193651"/>
        <xdr:cNvPicPr>
          <a:picLocks noChangeAspect="1"/>
        </xdr:cNvPicPr>
      </xdr:nvPicPr>
      <xdr:blipFill>
        <a:blip xmlns:r="http://schemas.openxmlformats.org/officeDocument/2006/relationships" r:embed="rId4421"/>
        <a:stretch>
          <a:fillRect/>
        </a:stretch>
      </xdr:blipFill>
      <xdr:spPr>
        <a:xfrm>
          <a:off x="7235825" y="5800347175"/>
          <a:ext cx="878840" cy="1183640"/>
        </a:xfrm>
        <a:prstGeom prst="rect">
          <a:avLst/>
        </a:prstGeom>
      </xdr:spPr>
    </xdr:pic>
    <xdr:clientData/>
  </xdr:twoCellAnchor>
  <xdr:twoCellAnchor>
    <xdr:from>
      <xdr:col>9</xdr:col>
      <xdr:colOff>6350</xdr:colOff>
      <xdr:row>5681</xdr:row>
      <xdr:rowOff>25400</xdr:rowOff>
    </xdr:from>
    <xdr:to>
      <xdr:col>9</xdr:col>
      <xdr:colOff>885190</xdr:colOff>
      <xdr:row>5681</xdr:row>
      <xdr:rowOff>1209040</xdr:rowOff>
    </xdr:to>
    <xdr:pic>
      <xdr:nvPicPr>
        <xdr:cNvPr id="9814" name="Изображение 9813" descr="resizeПП-00193654"/>
        <xdr:cNvPicPr>
          <a:picLocks noChangeAspect="1"/>
        </xdr:cNvPicPr>
      </xdr:nvPicPr>
      <xdr:blipFill>
        <a:blip xmlns:r="http://schemas.openxmlformats.org/officeDocument/2006/relationships" r:embed="rId4422"/>
        <a:stretch>
          <a:fillRect/>
        </a:stretch>
      </xdr:blipFill>
      <xdr:spPr>
        <a:xfrm>
          <a:off x="7235825" y="5801569550"/>
          <a:ext cx="878840" cy="1183640"/>
        </a:xfrm>
        <a:prstGeom prst="rect">
          <a:avLst/>
        </a:prstGeom>
      </xdr:spPr>
    </xdr:pic>
    <xdr:clientData/>
  </xdr:twoCellAnchor>
  <xdr:twoCellAnchor>
    <xdr:from>
      <xdr:col>9</xdr:col>
      <xdr:colOff>6350</xdr:colOff>
      <xdr:row>5684</xdr:row>
      <xdr:rowOff>25400</xdr:rowOff>
    </xdr:from>
    <xdr:to>
      <xdr:col>9</xdr:col>
      <xdr:colOff>885190</xdr:colOff>
      <xdr:row>5684</xdr:row>
      <xdr:rowOff>1209040</xdr:rowOff>
    </xdr:to>
    <xdr:pic>
      <xdr:nvPicPr>
        <xdr:cNvPr id="9815" name="Изображение 9814" descr="resizeПП-00206381"/>
        <xdr:cNvPicPr>
          <a:picLocks noChangeAspect="1"/>
        </xdr:cNvPicPr>
      </xdr:nvPicPr>
      <xdr:blipFill>
        <a:blip xmlns:r="http://schemas.openxmlformats.org/officeDocument/2006/relationships" r:embed="rId4423"/>
        <a:stretch>
          <a:fillRect/>
        </a:stretch>
      </xdr:blipFill>
      <xdr:spPr>
        <a:xfrm>
          <a:off x="7235825" y="5803096725"/>
          <a:ext cx="878840" cy="1183640"/>
        </a:xfrm>
        <a:prstGeom prst="rect">
          <a:avLst/>
        </a:prstGeom>
      </xdr:spPr>
    </xdr:pic>
    <xdr:clientData/>
  </xdr:twoCellAnchor>
  <xdr:twoCellAnchor>
    <xdr:from>
      <xdr:col>9</xdr:col>
      <xdr:colOff>6350</xdr:colOff>
      <xdr:row>5685</xdr:row>
      <xdr:rowOff>25400</xdr:rowOff>
    </xdr:from>
    <xdr:to>
      <xdr:col>9</xdr:col>
      <xdr:colOff>885190</xdr:colOff>
      <xdr:row>5685</xdr:row>
      <xdr:rowOff>1209040</xdr:rowOff>
    </xdr:to>
    <xdr:pic>
      <xdr:nvPicPr>
        <xdr:cNvPr id="9816" name="Изображение 9815" descr="resizeПП-00206410"/>
        <xdr:cNvPicPr>
          <a:picLocks noChangeAspect="1"/>
        </xdr:cNvPicPr>
      </xdr:nvPicPr>
      <xdr:blipFill>
        <a:blip xmlns:r="http://schemas.openxmlformats.org/officeDocument/2006/relationships" r:embed="rId4424"/>
        <a:stretch>
          <a:fillRect/>
        </a:stretch>
      </xdr:blipFill>
      <xdr:spPr>
        <a:xfrm>
          <a:off x="7235825" y="5804319100"/>
          <a:ext cx="878840" cy="1183640"/>
        </a:xfrm>
        <a:prstGeom prst="rect">
          <a:avLst/>
        </a:prstGeom>
      </xdr:spPr>
    </xdr:pic>
    <xdr:clientData/>
  </xdr:twoCellAnchor>
  <xdr:twoCellAnchor>
    <xdr:from>
      <xdr:col>9</xdr:col>
      <xdr:colOff>6350</xdr:colOff>
      <xdr:row>5686</xdr:row>
      <xdr:rowOff>25400</xdr:rowOff>
    </xdr:from>
    <xdr:to>
      <xdr:col>9</xdr:col>
      <xdr:colOff>885190</xdr:colOff>
      <xdr:row>5686</xdr:row>
      <xdr:rowOff>1209040</xdr:rowOff>
    </xdr:to>
    <xdr:pic>
      <xdr:nvPicPr>
        <xdr:cNvPr id="9817" name="Изображение 9816" descr="resizeПП-00206399"/>
        <xdr:cNvPicPr>
          <a:picLocks noChangeAspect="1"/>
        </xdr:cNvPicPr>
      </xdr:nvPicPr>
      <xdr:blipFill>
        <a:blip xmlns:r="http://schemas.openxmlformats.org/officeDocument/2006/relationships" r:embed="rId4425"/>
        <a:stretch>
          <a:fillRect/>
        </a:stretch>
      </xdr:blipFill>
      <xdr:spPr>
        <a:xfrm>
          <a:off x="7235825" y="5805541475"/>
          <a:ext cx="878840" cy="1183640"/>
        </a:xfrm>
        <a:prstGeom prst="rect">
          <a:avLst/>
        </a:prstGeom>
      </xdr:spPr>
    </xdr:pic>
    <xdr:clientData/>
  </xdr:twoCellAnchor>
  <xdr:twoCellAnchor>
    <xdr:from>
      <xdr:col>9</xdr:col>
      <xdr:colOff>6350</xdr:colOff>
      <xdr:row>5688</xdr:row>
      <xdr:rowOff>25400</xdr:rowOff>
    </xdr:from>
    <xdr:to>
      <xdr:col>9</xdr:col>
      <xdr:colOff>885190</xdr:colOff>
      <xdr:row>5688</xdr:row>
      <xdr:rowOff>1209040</xdr:rowOff>
    </xdr:to>
    <xdr:pic>
      <xdr:nvPicPr>
        <xdr:cNvPr id="9818" name="Изображение 9817" descr="resizeПП-00182882"/>
        <xdr:cNvPicPr>
          <a:picLocks noChangeAspect="1"/>
        </xdr:cNvPicPr>
      </xdr:nvPicPr>
      <xdr:blipFill>
        <a:blip xmlns:r="http://schemas.openxmlformats.org/officeDocument/2006/relationships" r:embed="rId4426"/>
        <a:stretch>
          <a:fillRect/>
        </a:stretch>
      </xdr:blipFill>
      <xdr:spPr>
        <a:xfrm>
          <a:off x="7235825" y="5806916250"/>
          <a:ext cx="878840" cy="1183640"/>
        </a:xfrm>
        <a:prstGeom prst="rect">
          <a:avLst/>
        </a:prstGeom>
      </xdr:spPr>
    </xdr:pic>
    <xdr:clientData/>
  </xdr:twoCellAnchor>
  <xdr:twoCellAnchor>
    <xdr:from>
      <xdr:col>9</xdr:col>
      <xdr:colOff>6350</xdr:colOff>
      <xdr:row>5690</xdr:row>
      <xdr:rowOff>25400</xdr:rowOff>
    </xdr:from>
    <xdr:to>
      <xdr:col>9</xdr:col>
      <xdr:colOff>885190</xdr:colOff>
      <xdr:row>5690</xdr:row>
      <xdr:rowOff>1209040</xdr:rowOff>
    </xdr:to>
    <xdr:pic>
      <xdr:nvPicPr>
        <xdr:cNvPr id="9819" name="Изображение 9818" descr="resizeПП-00206415"/>
        <xdr:cNvPicPr>
          <a:picLocks noChangeAspect="1"/>
        </xdr:cNvPicPr>
      </xdr:nvPicPr>
      <xdr:blipFill>
        <a:blip xmlns:r="http://schemas.openxmlformats.org/officeDocument/2006/relationships" r:embed="rId4427"/>
        <a:stretch>
          <a:fillRect/>
        </a:stretch>
      </xdr:blipFill>
      <xdr:spPr>
        <a:xfrm>
          <a:off x="7235825" y="5808291025"/>
          <a:ext cx="878840" cy="1183640"/>
        </a:xfrm>
        <a:prstGeom prst="rect">
          <a:avLst/>
        </a:prstGeom>
      </xdr:spPr>
    </xdr:pic>
    <xdr:clientData/>
  </xdr:twoCellAnchor>
  <xdr:twoCellAnchor>
    <xdr:from>
      <xdr:col>9</xdr:col>
      <xdr:colOff>6350</xdr:colOff>
      <xdr:row>5691</xdr:row>
      <xdr:rowOff>25400</xdr:rowOff>
    </xdr:from>
    <xdr:to>
      <xdr:col>9</xdr:col>
      <xdr:colOff>885190</xdr:colOff>
      <xdr:row>5691</xdr:row>
      <xdr:rowOff>1209040</xdr:rowOff>
    </xdr:to>
    <xdr:pic>
      <xdr:nvPicPr>
        <xdr:cNvPr id="9820" name="Изображение 9819" descr="resizeПП-00206419"/>
        <xdr:cNvPicPr>
          <a:picLocks noChangeAspect="1"/>
        </xdr:cNvPicPr>
      </xdr:nvPicPr>
      <xdr:blipFill>
        <a:blip xmlns:r="http://schemas.openxmlformats.org/officeDocument/2006/relationships" r:embed="rId4428"/>
        <a:stretch>
          <a:fillRect/>
        </a:stretch>
      </xdr:blipFill>
      <xdr:spPr>
        <a:xfrm>
          <a:off x="7235825" y="5809513400"/>
          <a:ext cx="878840" cy="1183640"/>
        </a:xfrm>
        <a:prstGeom prst="rect">
          <a:avLst/>
        </a:prstGeom>
      </xdr:spPr>
    </xdr:pic>
    <xdr:clientData/>
  </xdr:twoCellAnchor>
  <xdr:twoCellAnchor>
    <xdr:from>
      <xdr:col>9</xdr:col>
      <xdr:colOff>6350</xdr:colOff>
      <xdr:row>5692</xdr:row>
      <xdr:rowOff>25400</xdr:rowOff>
    </xdr:from>
    <xdr:to>
      <xdr:col>9</xdr:col>
      <xdr:colOff>885190</xdr:colOff>
      <xdr:row>5692</xdr:row>
      <xdr:rowOff>1209040</xdr:rowOff>
    </xdr:to>
    <xdr:pic>
      <xdr:nvPicPr>
        <xdr:cNvPr id="9821" name="Изображение 9820" descr="resizeПП-00206416"/>
        <xdr:cNvPicPr>
          <a:picLocks noChangeAspect="1"/>
        </xdr:cNvPicPr>
      </xdr:nvPicPr>
      <xdr:blipFill>
        <a:blip xmlns:r="http://schemas.openxmlformats.org/officeDocument/2006/relationships" r:embed="rId4429"/>
        <a:stretch>
          <a:fillRect/>
        </a:stretch>
      </xdr:blipFill>
      <xdr:spPr>
        <a:xfrm>
          <a:off x="7235825" y="5810735775"/>
          <a:ext cx="878840" cy="1183640"/>
        </a:xfrm>
        <a:prstGeom prst="rect">
          <a:avLst/>
        </a:prstGeom>
      </xdr:spPr>
    </xdr:pic>
    <xdr:clientData/>
  </xdr:twoCellAnchor>
  <xdr:twoCellAnchor>
    <xdr:from>
      <xdr:col>9</xdr:col>
      <xdr:colOff>6350</xdr:colOff>
      <xdr:row>5693</xdr:row>
      <xdr:rowOff>25400</xdr:rowOff>
    </xdr:from>
    <xdr:to>
      <xdr:col>9</xdr:col>
      <xdr:colOff>885190</xdr:colOff>
      <xdr:row>5693</xdr:row>
      <xdr:rowOff>1209040</xdr:rowOff>
    </xdr:to>
    <xdr:pic>
      <xdr:nvPicPr>
        <xdr:cNvPr id="9822" name="Изображение 9821" descr="resizeПП-00206417"/>
        <xdr:cNvPicPr>
          <a:picLocks noChangeAspect="1"/>
        </xdr:cNvPicPr>
      </xdr:nvPicPr>
      <xdr:blipFill>
        <a:blip xmlns:r="http://schemas.openxmlformats.org/officeDocument/2006/relationships" r:embed="rId4430"/>
        <a:stretch>
          <a:fillRect/>
        </a:stretch>
      </xdr:blipFill>
      <xdr:spPr>
        <a:xfrm>
          <a:off x="7235825" y="5811958150"/>
          <a:ext cx="878840" cy="1183640"/>
        </a:xfrm>
        <a:prstGeom prst="rect">
          <a:avLst/>
        </a:prstGeom>
      </xdr:spPr>
    </xdr:pic>
    <xdr:clientData/>
  </xdr:twoCellAnchor>
  <xdr:twoCellAnchor>
    <xdr:from>
      <xdr:col>9</xdr:col>
      <xdr:colOff>6350</xdr:colOff>
      <xdr:row>5696</xdr:row>
      <xdr:rowOff>25400</xdr:rowOff>
    </xdr:from>
    <xdr:to>
      <xdr:col>9</xdr:col>
      <xdr:colOff>885190</xdr:colOff>
      <xdr:row>5696</xdr:row>
      <xdr:rowOff>1209040</xdr:rowOff>
    </xdr:to>
    <xdr:pic>
      <xdr:nvPicPr>
        <xdr:cNvPr id="9823" name="Изображение 9822" descr="resizeПП-00208101"/>
        <xdr:cNvPicPr>
          <a:picLocks noChangeAspect="1"/>
        </xdr:cNvPicPr>
      </xdr:nvPicPr>
      <xdr:blipFill>
        <a:blip xmlns:r="http://schemas.openxmlformats.org/officeDocument/2006/relationships" r:embed="rId4431"/>
        <a:stretch>
          <a:fillRect/>
        </a:stretch>
      </xdr:blipFill>
      <xdr:spPr>
        <a:xfrm>
          <a:off x="7235825" y="5813485325"/>
          <a:ext cx="878840" cy="1183640"/>
        </a:xfrm>
        <a:prstGeom prst="rect">
          <a:avLst/>
        </a:prstGeom>
      </xdr:spPr>
    </xdr:pic>
    <xdr:clientData/>
  </xdr:twoCellAnchor>
  <xdr:twoCellAnchor>
    <xdr:from>
      <xdr:col>9</xdr:col>
      <xdr:colOff>6350</xdr:colOff>
      <xdr:row>5697</xdr:row>
      <xdr:rowOff>25400</xdr:rowOff>
    </xdr:from>
    <xdr:to>
      <xdr:col>9</xdr:col>
      <xdr:colOff>885190</xdr:colOff>
      <xdr:row>5697</xdr:row>
      <xdr:rowOff>1209040</xdr:rowOff>
    </xdr:to>
    <xdr:pic>
      <xdr:nvPicPr>
        <xdr:cNvPr id="9824" name="Изображение 9823" descr="resizeПП-00208106"/>
        <xdr:cNvPicPr>
          <a:picLocks noChangeAspect="1"/>
        </xdr:cNvPicPr>
      </xdr:nvPicPr>
      <xdr:blipFill>
        <a:blip xmlns:r="http://schemas.openxmlformats.org/officeDocument/2006/relationships" r:embed="rId4432"/>
        <a:stretch>
          <a:fillRect/>
        </a:stretch>
      </xdr:blipFill>
      <xdr:spPr>
        <a:xfrm>
          <a:off x="7235825" y="5814707700"/>
          <a:ext cx="878840" cy="1183640"/>
        </a:xfrm>
        <a:prstGeom prst="rect">
          <a:avLst/>
        </a:prstGeom>
      </xdr:spPr>
    </xdr:pic>
    <xdr:clientData/>
  </xdr:twoCellAnchor>
  <xdr:twoCellAnchor>
    <xdr:from>
      <xdr:col>9</xdr:col>
      <xdr:colOff>6350</xdr:colOff>
      <xdr:row>5698</xdr:row>
      <xdr:rowOff>25400</xdr:rowOff>
    </xdr:from>
    <xdr:to>
      <xdr:col>9</xdr:col>
      <xdr:colOff>885190</xdr:colOff>
      <xdr:row>5698</xdr:row>
      <xdr:rowOff>1209040</xdr:rowOff>
    </xdr:to>
    <xdr:pic>
      <xdr:nvPicPr>
        <xdr:cNvPr id="9825" name="Изображение 9824" descr="resizeПП-00208102"/>
        <xdr:cNvPicPr>
          <a:picLocks noChangeAspect="1"/>
        </xdr:cNvPicPr>
      </xdr:nvPicPr>
      <xdr:blipFill>
        <a:blip xmlns:r="http://schemas.openxmlformats.org/officeDocument/2006/relationships" r:embed="rId4433"/>
        <a:stretch>
          <a:fillRect/>
        </a:stretch>
      </xdr:blipFill>
      <xdr:spPr>
        <a:xfrm>
          <a:off x="7235825" y="5815930075"/>
          <a:ext cx="878840" cy="1183640"/>
        </a:xfrm>
        <a:prstGeom prst="rect">
          <a:avLst/>
        </a:prstGeom>
      </xdr:spPr>
    </xdr:pic>
    <xdr:clientData/>
  </xdr:twoCellAnchor>
  <xdr:twoCellAnchor>
    <xdr:from>
      <xdr:col>9</xdr:col>
      <xdr:colOff>6350</xdr:colOff>
      <xdr:row>5699</xdr:row>
      <xdr:rowOff>25400</xdr:rowOff>
    </xdr:from>
    <xdr:to>
      <xdr:col>9</xdr:col>
      <xdr:colOff>885190</xdr:colOff>
      <xdr:row>5699</xdr:row>
      <xdr:rowOff>1209040</xdr:rowOff>
    </xdr:to>
    <xdr:pic>
      <xdr:nvPicPr>
        <xdr:cNvPr id="9826" name="Изображение 9825" descr="resizeПП-00208096"/>
        <xdr:cNvPicPr>
          <a:picLocks noChangeAspect="1"/>
        </xdr:cNvPicPr>
      </xdr:nvPicPr>
      <xdr:blipFill>
        <a:blip xmlns:r="http://schemas.openxmlformats.org/officeDocument/2006/relationships" r:embed="rId4434"/>
        <a:stretch>
          <a:fillRect/>
        </a:stretch>
      </xdr:blipFill>
      <xdr:spPr>
        <a:xfrm>
          <a:off x="7235825" y="5817152450"/>
          <a:ext cx="878840" cy="1183640"/>
        </a:xfrm>
        <a:prstGeom prst="rect">
          <a:avLst/>
        </a:prstGeom>
      </xdr:spPr>
    </xdr:pic>
    <xdr:clientData/>
  </xdr:twoCellAnchor>
  <xdr:twoCellAnchor>
    <xdr:from>
      <xdr:col>9</xdr:col>
      <xdr:colOff>6350</xdr:colOff>
      <xdr:row>5700</xdr:row>
      <xdr:rowOff>25400</xdr:rowOff>
    </xdr:from>
    <xdr:to>
      <xdr:col>9</xdr:col>
      <xdr:colOff>885190</xdr:colOff>
      <xdr:row>5700</xdr:row>
      <xdr:rowOff>1209040</xdr:rowOff>
    </xdr:to>
    <xdr:pic>
      <xdr:nvPicPr>
        <xdr:cNvPr id="9827" name="Изображение 9826" descr="resizeПП-00208100"/>
        <xdr:cNvPicPr>
          <a:picLocks noChangeAspect="1"/>
        </xdr:cNvPicPr>
      </xdr:nvPicPr>
      <xdr:blipFill>
        <a:blip xmlns:r="http://schemas.openxmlformats.org/officeDocument/2006/relationships" r:embed="rId4435"/>
        <a:stretch>
          <a:fillRect/>
        </a:stretch>
      </xdr:blipFill>
      <xdr:spPr>
        <a:xfrm>
          <a:off x="7235825" y="5818374825"/>
          <a:ext cx="878840" cy="1183640"/>
        </a:xfrm>
        <a:prstGeom prst="rect">
          <a:avLst/>
        </a:prstGeom>
      </xdr:spPr>
    </xdr:pic>
    <xdr:clientData/>
  </xdr:twoCellAnchor>
  <xdr:twoCellAnchor>
    <xdr:from>
      <xdr:col>9</xdr:col>
      <xdr:colOff>6350</xdr:colOff>
      <xdr:row>5701</xdr:row>
      <xdr:rowOff>25400</xdr:rowOff>
    </xdr:from>
    <xdr:to>
      <xdr:col>9</xdr:col>
      <xdr:colOff>885190</xdr:colOff>
      <xdr:row>5701</xdr:row>
      <xdr:rowOff>1209040</xdr:rowOff>
    </xdr:to>
    <xdr:pic>
      <xdr:nvPicPr>
        <xdr:cNvPr id="9828" name="Изображение 9827" descr="resizeПП-00208094"/>
        <xdr:cNvPicPr>
          <a:picLocks noChangeAspect="1"/>
        </xdr:cNvPicPr>
      </xdr:nvPicPr>
      <xdr:blipFill>
        <a:blip xmlns:r="http://schemas.openxmlformats.org/officeDocument/2006/relationships" r:embed="rId4436"/>
        <a:stretch>
          <a:fillRect/>
        </a:stretch>
      </xdr:blipFill>
      <xdr:spPr>
        <a:xfrm>
          <a:off x="7235825" y="5819597200"/>
          <a:ext cx="878840" cy="1183640"/>
        </a:xfrm>
        <a:prstGeom prst="rect">
          <a:avLst/>
        </a:prstGeom>
      </xdr:spPr>
    </xdr:pic>
    <xdr:clientData/>
  </xdr:twoCellAnchor>
  <xdr:twoCellAnchor>
    <xdr:from>
      <xdr:col>9</xdr:col>
      <xdr:colOff>6350</xdr:colOff>
      <xdr:row>5703</xdr:row>
      <xdr:rowOff>25400</xdr:rowOff>
    </xdr:from>
    <xdr:to>
      <xdr:col>9</xdr:col>
      <xdr:colOff>885190</xdr:colOff>
      <xdr:row>5703</xdr:row>
      <xdr:rowOff>1209040</xdr:rowOff>
    </xdr:to>
    <xdr:pic>
      <xdr:nvPicPr>
        <xdr:cNvPr id="9829" name="Изображение 9828" descr="resizeПП-00205729"/>
        <xdr:cNvPicPr>
          <a:picLocks noChangeAspect="1"/>
        </xdr:cNvPicPr>
      </xdr:nvPicPr>
      <xdr:blipFill>
        <a:blip xmlns:r="http://schemas.openxmlformats.org/officeDocument/2006/relationships" r:embed="rId4437"/>
        <a:stretch>
          <a:fillRect/>
        </a:stretch>
      </xdr:blipFill>
      <xdr:spPr>
        <a:xfrm>
          <a:off x="7235825" y="5820971975"/>
          <a:ext cx="878840" cy="1183640"/>
        </a:xfrm>
        <a:prstGeom prst="rect">
          <a:avLst/>
        </a:prstGeom>
      </xdr:spPr>
    </xdr:pic>
    <xdr:clientData/>
  </xdr:twoCellAnchor>
  <xdr:twoCellAnchor>
    <xdr:from>
      <xdr:col>9</xdr:col>
      <xdr:colOff>6350</xdr:colOff>
      <xdr:row>5704</xdr:row>
      <xdr:rowOff>25400</xdr:rowOff>
    </xdr:from>
    <xdr:to>
      <xdr:col>9</xdr:col>
      <xdr:colOff>885190</xdr:colOff>
      <xdr:row>5704</xdr:row>
      <xdr:rowOff>1209040</xdr:rowOff>
    </xdr:to>
    <xdr:pic>
      <xdr:nvPicPr>
        <xdr:cNvPr id="9830" name="Изображение 9829" descr="resizeПП-00205731"/>
        <xdr:cNvPicPr>
          <a:picLocks noChangeAspect="1"/>
        </xdr:cNvPicPr>
      </xdr:nvPicPr>
      <xdr:blipFill>
        <a:blip xmlns:r="http://schemas.openxmlformats.org/officeDocument/2006/relationships" r:embed="rId4438"/>
        <a:stretch>
          <a:fillRect/>
        </a:stretch>
      </xdr:blipFill>
      <xdr:spPr>
        <a:xfrm>
          <a:off x="7235825" y="5822194350"/>
          <a:ext cx="878840" cy="1183640"/>
        </a:xfrm>
        <a:prstGeom prst="rect">
          <a:avLst/>
        </a:prstGeom>
      </xdr:spPr>
    </xdr:pic>
    <xdr:clientData/>
  </xdr:twoCellAnchor>
  <xdr:twoCellAnchor>
    <xdr:from>
      <xdr:col>9</xdr:col>
      <xdr:colOff>6350</xdr:colOff>
      <xdr:row>5705</xdr:row>
      <xdr:rowOff>25400</xdr:rowOff>
    </xdr:from>
    <xdr:to>
      <xdr:col>9</xdr:col>
      <xdr:colOff>885190</xdr:colOff>
      <xdr:row>5705</xdr:row>
      <xdr:rowOff>1209040</xdr:rowOff>
    </xdr:to>
    <xdr:pic>
      <xdr:nvPicPr>
        <xdr:cNvPr id="9831" name="Изображение 9830" descr="resizeПП-00179172"/>
        <xdr:cNvPicPr>
          <a:picLocks noChangeAspect="1"/>
        </xdr:cNvPicPr>
      </xdr:nvPicPr>
      <xdr:blipFill>
        <a:blip xmlns:r="http://schemas.openxmlformats.org/officeDocument/2006/relationships" r:embed="rId4439"/>
        <a:stretch>
          <a:fillRect/>
        </a:stretch>
      </xdr:blipFill>
      <xdr:spPr>
        <a:xfrm>
          <a:off x="7235825" y="5823416725"/>
          <a:ext cx="878840" cy="1183640"/>
        </a:xfrm>
        <a:prstGeom prst="rect">
          <a:avLst/>
        </a:prstGeom>
      </xdr:spPr>
    </xdr:pic>
    <xdr:clientData/>
  </xdr:twoCellAnchor>
  <xdr:twoCellAnchor>
    <xdr:from>
      <xdr:col>9</xdr:col>
      <xdr:colOff>6350</xdr:colOff>
      <xdr:row>5706</xdr:row>
      <xdr:rowOff>25400</xdr:rowOff>
    </xdr:from>
    <xdr:to>
      <xdr:col>9</xdr:col>
      <xdr:colOff>885190</xdr:colOff>
      <xdr:row>5706</xdr:row>
      <xdr:rowOff>1209040</xdr:rowOff>
    </xdr:to>
    <xdr:pic>
      <xdr:nvPicPr>
        <xdr:cNvPr id="9832" name="Изображение 9831" descr="resizeПП-00197687"/>
        <xdr:cNvPicPr>
          <a:picLocks noChangeAspect="1"/>
        </xdr:cNvPicPr>
      </xdr:nvPicPr>
      <xdr:blipFill>
        <a:blip xmlns:r="http://schemas.openxmlformats.org/officeDocument/2006/relationships" r:embed="rId4440"/>
        <a:stretch>
          <a:fillRect/>
        </a:stretch>
      </xdr:blipFill>
      <xdr:spPr>
        <a:xfrm>
          <a:off x="7235825" y="5824639100"/>
          <a:ext cx="878840" cy="1183640"/>
        </a:xfrm>
        <a:prstGeom prst="rect">
          <a:avLst/>
        </a:prstGeom>
      </xdr:spPr>
    </xdr:pic>
    <xdr:clientData/>
  </xdr:twoCellAnchor>
  <xdr:twoCellAnchor>
    <xdr:from>
      <xdr:col>9</xdr:col>
      <xdr:colOff>6350</xdr:colOff>
      <xdr:row>5707</xdr:row>
      <xdr:rowOff>25400</xdr:rowOff>
    </xdr:from>
    <xdr:to>
      <xdr:col>9</xdr:col>
      <xdr:colOff>885190</xdr:colOff>
      <xdr:row>5707</xdr:row>
      <xdr:rowOff>1209040</xdr:rowOff>
    </xdr:to>
    <xdr:pic>
      <xdr:nvPicPr>
        <xdr:cNvPr id="9833" name="Изображение 9832" descr="resizeПП-00197689"/>
        <xdr:cNvPicPr>
          <a:picLocks noChangeAspect="1"/>
        </xdr:cNvPicPr>
      </xdr:nvPicPr>
      <xdr:blipFill>
        <a:blip xmlns:r="http://schemas.openxmlformats.org/officeDocument/2006/relationships" r:embed="rId4441"/>
        <a:stretch>
          <a:fillRect/>
        </a:stretch>
      </xdr:blipFill>
      <xdr:spPr>
        <a:xfrm>
          <a:off x="7235825" y="5825861475"/>
          <a:ext cx="878840" cy="1183640"/>
        </a:xfrm>
        <a:prstGeom prst="rect">
          <a:avLst/>
        </a:prstGeom>
      </xdr:spPr>
    </xdr:pic>
    <xdr:clientData/>
  </xdr:twoCellAnchor>
  <xdr:twoCellAnchor>
    <xdr:from>
      <xdr:col>9</xdr:col>
      <xdr:colOff>6350</xdr:colOff>
      <xdr:row>5708</xdr:row>
      <xdr:rowOff>25400</xdr:rowOff>
    </xdr:from>
    <xdr:to>
      <xdr:col>9</xdr:col>
      <xdr:colOff>885190</xdr:colOff>
      <xdr:row>5708</xdr:row>
      <xdr:rowOff>1209040</xdr:rowOff>
    </xdr:to>
    <xdr:pic>
      <xdr:nvPicPr>
        <xdr:cNvPr id="9834" name="Изображение 9833" descr="resizeПП-00179173"/>
        <xdr:cNvPicPr>
          <a:picLocks noChangeAspect="1"/>
        </xdr:cNvPicPr>
      </xdr:nvPicPr>
      <xdr:blipFill>
        <a:blip xmlns:r="http://schemas.openxmlformats.org/officeDocument/2006/relationships" r:embed="rId4442"/>
        <a:stretch>
          <a:fillRect/>
        </a:stretch>
      </xdr:blipFill>
      <xdr:spPr>
        <a:xfrm>
          <a:off x="7235825" y="5827083850"/>
          <a:ext cx="878840" cy="1183640"/>
        </a:xfrm>
        <a:prstGeom prst="rect">
          <a:avLst/>
        </a:prstGeom>
      </xdr:spPr>
    </xdr:pic>
    <xdr:clientData/>
  </xdr:twoCellAnchor>
  <xdr:twoCellAnchor>
    <xdr:from>
      <xdr:col>9</xdr:col>
      <xdr:colOff>6350</xdr:colOff>
      <xdr:row>5709</xdr:row>
      <xdr:rowOff>25400</xdr:rowOff>
    </xdr:from>
    <xdr:to>
      <xdr:col>9</xdr:col>
      <xdr:colOff>885190</xdr:colOff>
      <xdr:row>5709</xdr:row>
      <xdr:rowOff>1209040</xdr:rowOff>
    </xdr:to>
    <xdr:pic>
      <xdr:nvPicPr>
        <xdr:cNvPr id="9835" name="Изображение 9834" descr="resizeПП-00230402"/>
        <xdr:cNvPicPr>
          <a:picLocks noChangeAspect="1"/>
        </xdr:cNvPicPr>
      </xdr:nvPicPr>
      <xdr:blipFill>
        <a:blip xmlns:r="http://schemas.openxmlformats.org/officeDocument/2006/relationships" r:embed="rId4443"/>
        <a:stretch>
          <a:fillRect/>
        </a:stretch>
      </xdr:blipFill>
      <xdr:spPr>
        <a:xfrm>
          <a:off x="7235825" y="5828306225"/>
          <a:ext cx="878840" cy="1183640"/>
        </a:xfrm>
        <a:prstGeom prst="rect">
          <a:avLst/>
        </a:prstGeom>
      </xdr:spPr>
    </xdr:pic>
    <xdr:clientData/>
  </xdr:twoCellAnchor>
  <xdr:twoCellAnchor>
    <xdr:from>
      <xdr:col>9</xdr:col>
      <xdr:colOff>6350</xdr:colOff>
      <xdr:row>5710</xdr:row>
      <xdr:rowOff>25400</xdr:rowOff>
    </xdr:from>
    <xdr:to>
      <xdr:col>9</xdr:col>
      <xdr:colOff>885190</xdr:colOff>
      <xdr:row>5710</xdr:row>
      <xdr:rowOff>1209040</xdr:rowOff>
    </xdr:to>
    <xdr:pic>
      <xdr:nvPicPr>
        <xdr:cNvPr id="9836" name="Изображение 9835" descr="resizeПП-00179174"/>
        <xdr:cNvPicPr>
          <a:picLocks noChangeAspect="1"/>
        </xdr:cNvPicPr>
      </xdr:nvPicPr>
      <xdr:blipFill>
        <a:blip xmlns:r="http://schemas.openxmlformats.org/officeDocument/2006/relationships" r:embed="rId4444"/>
        <a:stretch>
          <a:fillRect/>
        </a:stretch>
      </xdr:blipFill>
      <xdr:spPr>
        <a:xfrm>
          <a:off x="7235825" y="5829528600"/>
          <a:ext cx="878840" cy="1183640"/>
        </a:xfrm>
        <a:prstGeom prst="rect">
          <a:avLst/>
        </a:prstGeom>
      </xdr:spPr>
    </xdr:pic>
    <xdr:clientData/>
  </xdr:twoCellAnchor>
  <xdr:twoCellAnchor>
    <xdr:from>
      <xdr:col>9</xdr:col>
      <xdr:colOff>6350</xdr:colOff>
      <xdr:row>5711</xdr:row>
      <xdr:rowOff>25400</xdr:rowOff>
    </xdr:from>
    <xdr:to>
      <xdr:col>9</xdr:col>
      <xdr:colOff>885190</xdr:colOff>
      <xdr:row>5711</xdr:row>
      <xdr:rowOff>1209040</xdr:rowOff>
    </xdr:to>
    <xdr:pic>
      <xdr:nvPicPr>
        <xdr:cNvPr id="9837" name="Изображение 9836" descr="resizeПП-00203036"/>
        <xdr:cNvPicPr>
          <a:picLocks noChangeAspect="1"/>
        </xdr:cNvPicPr>
      </xdr:nvPicPr>
      <xdr:blipFill>
        <a:blip xmlns:r="http://schemas.openxmlformats.org/officeDocument/2006/relationships" r:embed="rId4445"/>
        <a:stretch>
          <a:fillRect/>
        </a:stretch>
      </xdr:blipFill>
      <xdr:spPr>
        <a:xfrm>
          <a:off x="7235825" y="5830750975"/>
          <a:ext cx="878840" cy="1183640"/>
        </a:xfrm>
        <a:prstGeom prst="rect">
          <a:avLst/>
        </a:prstGeom>
      </xdr:spPr>
    </xdr:pic>
    <xdr:clientData/>
  </xdr:twoCellAnchor>
  <xdr:twoCellAnchor>
    <xdr:from>
      <xdr:col>9</xdr:col>
      <xdr:colOff>6350</xdr:colOff>
      <xdr:row>5714</xdr:row>
      <xdr:rowOff>25400</xdr:rowOff>
    </xdr:from>
    <xdr:to>
      <xdr:col>9</xdr:col>
      <xdr:colOff>885190</xdr:colOff>
      <xdr:row>5714</xdr:row>
      <xdr:rowOff>1209040</xdr:rowOff>
    </xdr:to>
    <xdr:pic>
      <xdr:nvPicPr>
        <xdr:cNvPr id="9838" name="Изображение 9837" descr="resizeПП-00204641"/>
        <xdr:cNvPicPr>
          <a:picLocks noChangeAspect="1"/>
        </xdr:cNvPicPr>
      </xdr:nvPicPr>
      <xdr:blipFill>
        <a:blip xmlns:r="http://schemas.openxmlformats.org/officeDocument/2006/relationships" r:embed="rId4446"/>
        <a:stretch>
          <a:fillRect/>
        </a:stretch>
      </xdr:blipFill>
      <xdr:spPr>
        <a:xfrm>
          <a:off x="7235825" y="5832430550"/>
          <a:ext cx="878840" cy="1183640"/>
        </a:xfrm>
        <a:prstGeom prst="rect">
          <a:avLst/>
        </a:prstGeom>
      </xdr:spPr>
    </xdr:pic>
    <xdr:clientData/>
  </xdr:twoCellAnchor>
  <xdr:twoCellAnchor>
    <xdr:from>
      <xdr:col>9</xdr:col>
      <xdr:colOff>6350</xdr:colOff>
      <xdr:row>5716</xdr:row>
      <xdr:rowOff>25400</xdr:rowOff>
    </xdr:from>
    <xdr:to>
      <xdr:col>9</xdr:col>
      <xdr:colOff>885190</xdr:colOff>
      <xdr:row>5716</xdr:row>
      <xdr:rowOff>1209040</xdr:rowOff>
    </xdr:to>
    <xdr:pic>
      <xdr:nvPicPr>
        <xdr:cNvPr id="9839" name="Изображение 9838" descr="resizeПП-00193502"/>
        <xdr:cNvPicPr>
          <a:picLocks noChangeAspect="1"/>
        </xdr:cNvPicPr>
      </xdr:nvPicPr>
      <xdr:blipFill>
        <a:blip xmlns:r="http://schemas.openxmlformats.org/officeDocument/2006/relationships" r:embed="rId4447"/>
        <a:stretch>
          <a:fillRect/>
        </a:stretch>
      </xdr:blipFill>
      <xdr:spPr>
        <a:xfrm>
          <a:off x="7235825" y="5833957725"/>
          <a:ext cx="878840" cy="1183640"/>
        </a:xfrm>
        <a:prstGeom prst="rect">
          <a:avLst/>
        </a:prstGeom>
      </xdr:spPr>
    </xdr:pic>
    <xdr:clientData/>
  </xdr:twoCellAnchor>
  <xdr:twoCellAnchor>
    <xdr:from>
      <xdr:col>9</xdr:col>
      <xdr:colOff>6350</xdr:colOff>
      <xdr:row>5717</xdr:row>
      <xdr:rowOff>25400</xdr:rowOff>
    </xdr:from>
    <xdr:to>
      <xdr:col>9</xdr:col>
      <xdr:colOff>885190</xdr:colOff>
      <xdr:row>5717</xdr:row>
      <xdr:rowOff>1209040</xdr:rowOff>
    </xdr:to>
    <xdr:pic>
      <xdr:nvPicPr>
        <xdr:cNvPr id="9840" name="Изображение 9839" descr="resizeПП-00193503"/>
        <xdr:cNvPicPr>
          <a:picLocks noChangeAspect="1"/>
        </xdr:cNvPicPr>
      </xdr:nvPicPr>
      <xdr:blipFill>
        <a:blip xmlns:r="http://schemas.openxmlformats.org/officeDocument/2006/relationships" r:embed="rId4448"/>
        <a:stretch>
          <a:fillRect/>
        </a:stretch>
      </xdr:blipFill>
      <xdr:spPr>
        <a:xfrm>
          <a:off x="7235825" y="5835180100"/>
          <a:ext cx="878840" cy="1183640"/>
        </a:xfrm>
        <a:prstGeom prst="rect">
          <a:avLst/>
        </a:prstGeom>
      </xdr:spPr>
    </xdr:pic>
    <xdr:clientData/>
  </xdr:twoCellAnchor>
  <xdr:twoCellAnchor>
    <xdr:from>
      <xdr:col>9</xdr:col>
      <xdr:colOff>6350</xdr:colOff>
      <xdr:row>5718</xdr:row>
      <xdr:rowOff>25400</xdr:rowOff>
    </xdr:from>
    <xdr:to>
      <xdr:col>9</xdr:col>
      <xdr:colOff>885190</xdr:colOff>
      <xdr:row>5718</xdr:row>
      <xdr:rowOff>1209040</xdr:rowOff>
    </xdr:to>
    <xdr:pic>
      <xdr:nvPicPr>
        <xdr:cNvPr id="9841" name="Изображение 9840" descr="resizeПП-00193501"/>
        <xdr:cNvPicPr>
          <a:picLocks noChangeAspect="1"/>
        </xdr:cNvPicPr>
      </xdr:nvPicPr>
      <xdr:blipFill>
        <a:blip xmlns:r="http://schemas.openxmlformats.org/officeDocument/2006/relationships" r:embed="rId4449"/>
        <a:stretch>
          <a:fillRect/>
        </a:stretch>
      </xdr:blipFill>
      <xdr:spPr>
        <a:xfrm>
          <a:off x="7235825" y="5836402475"/>
          <a:ext cx="878840" cy="1183640"/>
        </a:xfrm>
        <a:prstGeom prst="rect">
          <a:avLst/>
        </a:prstGeom>
      </xdr:spPr>
    </xdr:pic>
    <xdr:clientData/>
  </xdr:twoCellAnchor>
  <xdr:twoCellAnchor>
    <xdr:from>
      <xdr:col>9</xdr:col>
      <xdr:colOff>6350</xdr:colOff>
      <xdr:row>5723</xdr:row>
      <xdr:rowOff>25400</xdr:rowOff>
    </xdr:from>
    <xdr:to>
      <xdr:col>9</xdr:col>
      <xdr:colOff>885190</xdr:colOff>
      <xdr:row>5723</xdr:row>
      <xdr:rowOff>1209040</xdr:rowOff>
    </xdr:to>
    <xdr:pic>
      <xdr:nvPicPr>
        <xdr:cNvPr id="9842" name="Изображение 9841" descr="resizeПП-00259513"/>
        <xdr:cNvPicPr>
          <a:picLocks noChangeAspect="1"/>
        </xdr:cNvPicPr>
      </xdr:nvPicPr>
      <xdr:blipFill>
        <a:blip xmlns:r="http://schemas.openxmlformats.org/officeDocument/2006/relationships" r:embed="rId4450"/>
        <a:stretch>
          <a:fillRect/>
        </a:stretch>
      </xdr:blipFill>
      <xdr:spPr>
        <a:xfrm>
          <a:off x="7235825" y="5838285250"/>
          <a:ext cx="878840" cy="1183640"/>
        </a:xfrm>
        <a:prstGeom prst="rect">
          <a:avLst/>
        </a:prstGeom>
      </xdr:spPr>
    </xdr:pic>
    <xdr:clientData/>
  </xdr:twoCellAnchor>
  <xdr:twoCellAnchor>
    <xdr:from>
      <xdr:col>9</xdr:col>
      <xdr:colOff>6350</xdr:colOff>
      <xdr:row>5726</xdr:row>
      <xdr:rowOff>25400</xdr:rowOff>
    </xdr:from>
    <xdr:to>
      <xdr:col>9</xdr:col>
      <xdr:colOff>885190</xdr:colOff>
      <xdr:row>5726</xdr:row>
      <xdr:rowOff>1209040</xdr:rowOff>
    </xdr:to>
    <xdr:pic>
      <xdr:nvPicPr>
        <xdr:cNvPr id="9843" name="Изображение 9842" descr="resizeПП-00262351"/>
        <xdr:cNvPicPr>
          <a:picLocks noChangeAspect="1"/>
        </xdr:cNvPicPr>
      </xdr:nvPicPr>
      <xdr:blipFill>
        <a:blip xmlns:r="http://schemas.openxmlformats.org/officeDocument/2006/relationships" r:embed="rId4451"/>
        <a:stretch>
          <a:fillRect/>
        </a:stretch>
      </xdr:blipFill>
      <xdr:spPr>
        <a:xfrm>
          <a:off x="7235825" y="5839812425"/>
          <a:ext cx="878840" cy="1183640"/>
        </a:xfrm>
        <a:prstGeom prst="rect">
          <a:avLst/>
        </a:prstGeom>
      </xdr:spPr>
    </xdr:pic>
    <xdr:clientData/>
  </xdr:twoCellAnchor>
  <xdr:twoCellAnchor>
    <xdr:from>
      <xdr:col>9</xdr:col>
      <xdr:colOff>6350</xdr:colOff>
      <xdr:row>5727</xdr:row>
      <xdr:rowOff>25400</xdr:rowOff>
    </xdr:from>
    <xdr:to>
      <xdr:col>9</xdr:col>
      <xdr:colOff>885190</xdr:colOff>
      <xdr:row>5727</xdr:row>
      <xdr:rowOff>1209040</xdr:rowOff>
    </xdr:to>
    <xdr:pic>
      <xdr:nvPicPr>
        <xdr:cNvPr id="9844" name="Изображение 9843" descr="resizeПП-00262354"/>
        <xdr:cNvPicPr>
          <a:picLocks noChangeAspect="1"/>
        </xdr:cNvPicPr>
      </xdr:nvPicPr>
      <xdr:blipFill>
        <a:blip xmlns:r="http://schemas.openxmlformats.org/officeDocument/2006/relationships" r:embed="rId4452"/>
        <a:stretch>
          <a:fillRect/>
        </a:stretch>
      </xdr:blipFill>
      <xdr:spPr>
        <a:xfrm>
          <a:off x="7235825" y="5841034800"/>
          <a:ext cx="878840" cy="1183640"/>
        </a:xfrm>
        <a:prstGeom prst="rect">
          <a:avLst/>
        </a:prstGeom>
      </xdr:spPr>
    </xdr:pic>
    <xdr:clientData/>
  </xdr:twoCellAnchor>
  <xdr:twoCellAnchor>
    <xdr:from>
      <xdr:col>9</xdr:col>
      <xdr:colOff>6350</xdr:colOff>
      <xdr:row>5729</xdr:row>
      <xdr:rowOff>25400</xdr:rowOff>
    </xdr:from>
    <xdr:to>
      <xdr:col>9</xdr:col>
      <xdr:colOff>885190</xdr:colOff>
      <xdr:row>5729</xdr:row>
      <xdr:rowOff>1209040</xdr:rowOff>
    </xdr:to>
    <xdr:pic>
      <xdr:nvPicPr>
        <xdr:cNvPr id="9845" name="Изображение 9844" descr="resizeПП-00262356"/>
        <xdr:cNvPicPr>
          <a:picLocks noChangeAspect="1"/>
        </xdr:cNvPicPr>
      </xdr:nvPicPr>
      <xdr:blipFill>
        <a:blip xmlns:r="http://schemas.openxmlformats.org/officeDocument/2006/relationships" r:embed="rId4453"/>
        <a:stretch>
          <a:fillRect/>
        </a:stretch>
      </xdr:blipFill>
      <xdr:spPr>
        <a:xfrm>
          <a:off x="7235825" y="5842409575"/>
          <a:ext cx="878840" cy="1183640"/>
        </a:xfrm>
        <a:prstGeom prst="rect">
          <a:avLst/>
        </a:prstGeom>
      </xdr:spPr>
    </xdr:pic>
    <xdr:clientData/>
  </xdr:twoCellAnchor>
  <xdr:twoCellAnchor>
    <xdr:from>
      <xdr:col>9</xdr:col>
      <xdr:colOff>6350</xdr:colOff>
      <xdr:row>5730</xdr:row>
      <xdr:rowOff>25400</xdr:rowOff>
    </xdr:from>
    <xdr:to>
      <xdr:col>9</xdr:col>
      <xdr:colOff>885190</xdr:colOff>
      <xdr:row>5730</xdr:row>
      <xdr:rowOff>1209040</xdr:rowOff>
    </xdr:to>
    <xdr:pic>
      <xdr:nvPicPr>
        <xdr:cNvPr id="9846" name="Изображение 9845" descr="resizeПП-00262359"/>
        <xdr:cNvPicPr>
          <a:picLocks noChangeAspect="1"/>
        </xdr:cNvPicPr>
      </xdr:nvPicPr>
      <xdr:blipFill>
        <a:blip xmlns:r="http://schemas.openxmlformats.org/officeDocument/2006/relationships" r:embed="rId4454"/>
        <a:stretch>
          <a:fillRect/>
        </a:stretch>
      </xdr:blipFill>
      <xdr:spPr>
        <a:xfrm>
          <a:off x="7235825" y="5843631950"/>
          <a:ext cx="878840" cy="1183640"/>
        </a:xfrm>
        <a:prstGeom prst="rect">
          <a:avLst/>
        </a:prstGeom>
      </xdr:spPr>
    </xdr:pic>
    <xdr:clientData/>
  </xdr:twoCellAnchor>
  <xdr:twoCellAnchor>
    <xdr:from>
      <xdr:col>9</xdr:col>
      <xdr:colOff>6350</xdr:colOff>
      <xdr:row>5733</xdr:row>
      <xdr:rowOff>25400</xdr:rowOff>
    </xdr:from>
    <xdr:to>
      <xdr:col>9</xdr:col>
      <xdr:colOff>1189990</xdr:colOff>
      <xdr:row>5733</xdr:row>
      <xdr:rowOff>904240</xdr:rowOff>
    </xdr:to>
    <xdr:pic>
      <xdr:nvPicPr>
        <xdr:cNvPr id="9847" name="Изображение 9846" descr="resizeПП-00223471"/>
        <xdr:cNvPicPr>
          <a:picLocks noChangeAspect="1"/>
        </xdr:cNvPicPr>
      </xdr:nvPicPr>
      <xdr:blipFill>
        <a:blip xmlns:r="http://schemas.openxmlformats.org/officeDocument/2006/relationships" r:embed="rId4455"/>
        <a:stretch>
          <a:fillRect/>
        </a:stretch>
      </xdr:blipFill>
      <xdr:spPr>
        <a:xfrm>
          <a:off x="7235825" y="5845159125"/>
          <a:ext cx="1183640" cy="878840"/>
        </a:xfrm>
        <a:prstGeom prst="rect">
          <a:avLst/>
        </a:prstGeom>
      </xdr:spPr>
    </xdr:pic>
    <xdr:clientData/>
  </xdr:twoCellAnchor>
  <xdr:twoCellAnchor>
    <xdr:from>
      <xdr:col>9</xdr:col>
      <xdr:colOff>6350</xdr:colOff>
      <xdr:row>5734</xdr:row>
      <xdr:rowOff>25400</xdr:rowOff>
    </xdr:from>
    <xdr:to>
      <xdr:col>9</xdr:col>
      <xdr:colOff>885190</xdr:colOff>
      <xdr:row>5734</xdr:row>
      <xdr:rowOff>1209040</xdr:rowOff>
    </xdr:to>
    <xdr:pic>
      <xdr:nvPicPr>
        <xdr:cNvPr id="9848" name="Изображение 9847" descr="resizeПП-00272901"/>
        <xdr:cNvPicPr>
          <a:picLocks noChangeAspect="1"/>
        </xdr:cNvPicPr>
      </xdr:nvPicPr>
      <xdr:blipFill>
        <a:blip xmlns:r="http://schemas.openxmlformats.org/officeDocument/2006/relationships" r:embed="rId4456"/>
        <a:stretch>
          <a:fillRect/>
        </a:stretch>
      </xdr:blipFill>
      <xdr:spPr>
        <a:xfrm>
          <a:off x="7235825" y="5846381500"/>
          <a:ext cx="878840" cy="1183640"/>
        </a:xfrm>
        <a:prstGeom prst="rect">
          <a:avLst/>
        </a:prstGeom>
      </xdr:spPr>
    </xdr:pic>
    <xdr:clientData/>
  </xdr:twoCellAnchor>
  <xdr:twoCellAnchor>
    <xdr:from>
      <xdr:col>9</xdr:col>
      <xdr:colOff>6350</xdr:colOff>
      <xdr:row>5735</xdr:row>
      <xdr:rowOff>25400</xdr:rowOff>
    </xdr:from>
    <xdr:to>
      <xdr:col>9</xdr:col>
      <xdr:colOff>885190</xdr:colOff>
      <xdr:row>5735</xdr:row>
      <xdr:rowOff>1209040</xdr:rowOff>
    </xdr:to>
    <xdr:pic>
      <xdr:nvPicPr>
        <xdr:cNvPr id="9849" name="Изображение 9848" descr="resizeПП-00272891"/>
        <xdr:cNvPicPr>
          <a:picLocks noChangeAspect="1"/>
        </xdr:cNvPicPr>
      </xdr:nvPicPr>
      <xdr:blipFill>
        <a:blip xmlns:r="http://schemas.openxmlformats.org/officeDocument/2006/relationships" r:embed="rId4457"/>
        <a:stretch>
          <a:fillRect/>
        </a:stretch>
      </xdr:blipFill>
      <xdr:spPr>
        <a:xfrm>
          <a:off x="7235825" y="5847603875"/>
          <a:ext cx="878840" cy="1183640"/>
        </a:xfrm>
        <a:prstGeom prst="rect">
          <a:avLst/>
        </a:prstGeom>
      </xdr:spPr>
    </xdr:pic>
    <xdr:clientData/>
  </xdr:twoCellAnchor>
  <xdr:twoCellAnchor>
    <xdr:from>
      <xdr:col>9</xdr:col>
      <xdr:colOff>6350</xdr:colOff>
      <xdr:row>5736</xdr:row>
      <xdr:rowOff>25400</xdr:rowOff>
    </xdr:from>
    <xdr:to>
      <xdr:col>9</xdr:col>
      <xdr:colOff>885190</xdr:colOff>
      <xdr:row>5736</xdr:row>
      <xdr:rowOff>1209040</xdr:rowOff>
    </xdr:to>
    <xdr:pic>
      <xdr:nvPicPr>
        <xdr:cNvPr id="9850" name="Изображение 9849" descr="resizeПП-00272905"/>
        <xdr:cNvPicPr>
          <a:picLocks noChangeAspect="1"/>
        </xdr:cNvPicPr>
      </xdr:nvPicPr>
      <xdr:blipFill>
        <a:blip xmlns:r="http://schemas.openxmlformats.org/officeDocument/2006/relationships" r:embed="rId4458"/>
        <a:stretch>
          <a:fillRect/>
        </a:stretch>
      </xdr:blipFill>
      <xdr:spPr>
        <a:xfrm>
          <a:off x="7235825" y="5848826250"/>
          <a:ext cx="878840" cy="1183640"/>
        </a:xfrm>
        <a:prstGeom prst="rect">
          <a:avLst/>
        </a:prstGeom>
      </xdr:spPr>
    </xdr:pic>
    <xdr:clientData/>
  </xdr:twoCellAnchor>
  <xdr:twoCellAnchor>
    <xdr:from>
      <xdr:col>9</xdr:col>
      <xdr:colOff>6350</xdr:colOff>
      <xdr:row>5737</xdr:row>
      <xdr:rowOff>25400</xdr:rowOff>
    </xdr:from>
    <xdr:to>
      <xdr:col>9</xdr:col>
      <xdr:colOff>885190</xdr:colOff>
      <xdr:row>5737</xdr:row>
      <xdr:rowOff>1209040</xdr:rowOff>
    </xdr:to>
    <xdr:pic>
      <xdr:nvPicPr>
        <xdr:cNvPr id="9851" name="Изображение 9850" descr="resizeПП-00272887"/>
        <xdr:cNvPicPr>
          <a:picLocks noChangeAspect="1"/>
        </xdr:cNvPicPr>
      </xdr:nvPicPr>
      <xdr:blipFill>
        <a:blip xmlns:r="http://schemas.openxmlformats.org/officeDocument/2006/relationships" r:embed="rId4459"/>
        <a:stretch>
          <a:fillRect/>
        </a:stretch>
      </xdr:blipFill>
      <xdr:spPr>
        <a:xfrm>
          <a:off x="7235825" y="5850048625"/>
          <a:ext cx="878840" cy="1183640"/>
        </a:xfrm>
        <a:prstGeom prst="rect">
          <a:avLst/>
        </a:prstGeom>
      </xdr:spPr>
    </xdr:pic>
    <xdr:clientData/>
  </xdr:twoCellAnchor>
  <xdr:twoCellAnchor>
    <xdr:from>
      <xdr:col>9</xdr:col>
      <xdr:colOff>6350</xdr:colOff>
      <xdr:row>5738</xdr:row>
      <xdr:rowOff>25400</xdr:rowOff>
    </xdr:from>
    <xdr:to>
      <xdr:col>9</xdr:col>
      <xdr:colOff>885190</xdr:colOff>
      <xdr:row>5738</xdr:row>
      <xdr:rowOff>1209040</xdr:rowOff>
    </xdr:to>
    <xdr:pic>
      <xdr:nvPicPr>
        <xdr:cNvPr id="9852" name="Изображение 9851" descr="resizeПП-00272892"/>
        <xdr:cNvPicPr>
          <a:picLocks noChangeAspect="1"/>
        </xdr:cNvPicPr>
      </xdr:nvPicPr>
      <xdr:blipFill>
        <a:blip xmlns:r="http://schemas.openxmlformats.org/officeDocument/2006/relationships" r:embed="rId4460"/>
        <a:stretch>
          <a:fillRect/>
        </a:stretch>
      </xdr:blipFill>
      <xdr:spPr>
        <a:xfrm>
          <a:off x="7235825" y="5851271000"/>
          <a:ext cx="878840" cy="1183640"/>
        </a:xfrm>
        <a:prstGeom prst="rect">
          <a:avLst/>
        </a:prstGeom>
      </xdr:spPr>
    </xdr:pic>
    <xdr:clientData/>
  </xdr:twoCellAnchor>
  <xdr:twoCellAnchor>
    <xdr:from>
      <xdr:col>9</xdr:col>
      <xdr:colOff>6350</xdr:colOff>
      <xdr:row>5739</xdr:row>
      <xdr:rowOff>25400</xdr:rowOff>
    </xdr:from>
    <xdr:to>
      <xdr:col>9</xdr:col>
      <xdr:colOff>1189990</xdr:colOff>
      <xdr:row>5739</xdr:row>
      <xdr:rowOff>904240</xdr:rowOff>
    </xdr:to>
    <xdr:pic>
      <xdr:nvPicPr>
        <xdr:cNvPr id="9853" name="Изображение 9852" descr="resizeПП-00198666"/>
        <xdr:cNvPicPr>
          <a:picLocks noChangeAspect="1"/>
        </xdr:cNvPicPr>
      </xdr:nvPicPr>
      <xdr:blipFill>
        <a:blip xmlns:r="http://schemas.openxmlformats.org/officeDocument/2006/relationships" r:embed="rId4461"/>
        <a:stretch>
          <a:fillRect/>
        </a:stretch>
      </xdr:blipFill>
      <xdr:spPr>
        <a:xfrm>
          <a:off x="7235825" y="5852493375"/>
          <a:ext cx="1183640" cy="878840"/>
        </a:xfrm>
        <a:prstGeom prst="rect">
          <a:avLst/>
        </a:prstGeom>
      </xdr:spPr>
    </xdr:pic>
    <xdr:clientData/>
  </xdr:twoCellAnchor>
  <xdr:twoCellAnchor>
    <xdr:from>
      <xdr:col>9</xdr:col>
      <xdr:colOff>6350</xdr:colOff>
      <xdr:row>5741</xdr:row>
      <xdr:rowOff>25400</xdr:rowOff>
    </xdr:from>
    <xdr:to>
      <xdr:col>9</xdr:col>
      <xdr:colOff>885190</xdr:colOff>
      <xdr:row>5741</xdr:row>
      <xdr:rowOff>1209040</xdr:rowOff>
    </xdr:to>
    <xdr:pic>
      <xdr:nvPicPr>
        <xdr:cNvPr id="9854" name="Изображение 9853" descr="resizeПП-00270166"/>
        <xdr:cNvPicPr>
          <a:picLocks noChangeAspect="1"/>
        </xdr:cNvPicPr>
      </xdr:nvPicPr>
      <xdr:blipFill>
        <a:blip xmlns:r="http://schemas.openxmlformats.org/officeDocument/2006/relationships" r:embed="rId4462"/>
        <a:stretch>
          <a:fillRect/>
        </a:stretch>
      </xdr:blipFill>
      <xdr:spPr>
        <a:xfrm>
          <a:off x="7235825" y="5853868150"/>
          <a:ext cx="878840" cy="1183640"/>
        </a:xfrm>
        <a:prstGeom prst="rect">
          <a:avLst/>
        </a:prstGeom>
      </xdr:spPr>
    </xdr:pic>
    <xdr:clientData/>
  </xdr:twoCellAnchor>
  <xdr:twoCellAnchor>
    <xdr:from>
      <xdr:col>9</xdr:col>
      <xdr:colOff>6350</xdr:colOff>
      <xdr:row>5742</xdr:row>
      <xdr:rowOff>25400</xdr:rowOff>
    </xdr:from>
    <xdr:to>
      <xdr:col>9</xdr:col>
      <xdr:colOff>885190</xdr:colOff>
      <xdr:row>5742</xdr:row>
      <xdr:rowOff>1209040</xdr:rowOff>
    </xdr:to>
    <xdr:pic>
      <xdr:nvPicPr>
        <xdr:cNvPr id="9855" name="Изображение 9854" descr="resizeПП-00270167"/>
        <xdr:cNvPicPr>
          <a:picLocks noChangeAspect="1"/>
        </xdr:cNvPicPr>
      </xdr:nvPicPr>
      <xdr:blipFill>
        <a:blip xmlns:r="http://schemas.openxmlformats.org/officeDocument/2006/relationships" r:embed="rId4463"/>
        <a:stretch>
          <a:fillRect/>
        </a:stretch>
      </xdr:blipFill>
      <xdr:spPr>
        <a:xfrm>
          <a:off x="7235825" y="5855090525"/>
          <a:ext cx="878840" cy="1183640"/>
        </a:xfrm>
        <a:prstGeom prst="rect">
          <a:avLst/>
        </a:prstGeom>
      </xdr:spPr>
    </xdr:pic>
    <xdr:clientData/>
  </xdr:twoCellAnchor>
  <xdr:twoCellAnchor>
    <xdr:from>
      <xdr:col>9</xdr:col>
      <xdr:colOff>6350</xdr:colOff>
      <xdr:row>5743</xdr:row>
      <xdr:rowOff>25400</xdr:rowOff>
    </xdr:from>
    <xdr:to>
      <xdr:col>9</xdr:col>
      <xdr:colOff>1189990</xdr:colOff>
      <xdr:row>5743</xdr:row>
      <xdr:rowOff>904240</xdr:rowOff>
    </xdr:to>
    <xdr:pic>
      <xdr:nvPicPr>
        <xdr:cNvPr id="9856" name="Изображение 9855" descr="resizeПП-00270173"/>
        <xdr:cNvPicPr>
          <a:picLocks noChangeAspect="1"/>
        </xdr:cNvPicPr>
      </xdr:nvPicPr>
      <xdr:blipFill>
        <a:blip xmlns:r="http://schemas.openxmlformats.org/officeDocument/2006/relationships" r:embed="rId4464"/>
        <a:stretch>
          <a:fillRect/>
        </a:stretch>
      </xdr:blipFill>
      <xdr:spPr>
        <a:xfrm>
          <a:off x="7235825" y="5856312900"/>
          <a:ext cx="1183640" cy="878840"/>
        </a:xfrm>
        <a:prstGeom prst="rect">
          <a:avLst/>
        </a:prstGeom>
      </xdr:spPr>
    </xdr:pic>
    <xdr:clientData/>
  </xdr:twoCellAnchor>
  <xdr:twoCellAnchor>
    <xdr:from>
      <xdr:col>9</xdr:col>
      <xdr:colOff>6350</xdr:colOff>
      <xdr:row>5744</xdr:row>
      <xdr:rowOff>25400</xdr:rowOff>
    </xdr:from>
    <xdr:to>
      <xdr:col>9</xdr:col>
      <xdr:colOff>1189990</xdr:colOff>
      <xdr:row>5744</xdr:row>
      <xdr:rowOff>904240</xdr:rowOff>
    </xdr:to>
    <xdr:pic>
      <xdr:nvPicPr>
        <xdr:cNvPr id="9857" name="Изображение 9856" descr="resizeПП-00270171"/>
        <xdr:cNvPicPr>
          <a:picLocks noChangeAspect="1"/>
        </xdr:cNvPicPr>
      </xdr:nvPicPr>
      <xdr:blipFill>
        <a:blip xmlns:r="http://schemas.openxmlformats.org/officeDocument/2006/relationships" r:embed="rId4465"/>
        <a:stretch>
          <a:fillRect/>
        </a:stretch>
      </xdr:blipFill>
      <xdr:spPr>
        <a:xfrm>
          <a:off x="7235825" y="5857535275"/>
          <a:ext cx="1183640" cy="878840"/>
        </a:xfrm>
        <a:prstGeom prst="rect">
          <a:avLst/>
        </a:prstGeom>
      </xdr:spPr>
    </xdr:pic>
    <xdr:clientData/>
  </xdr:twoCellAnchor>
  <xdr:twoCellAnchor>
    <xdr:from>
      <xdr:col>9</xdr:col>
      <xdr:colOff>6350</xdr:colOff>
      <xdr:row>5745</xdr:row>
      <xdr:rowOff>25400</xdr:rowOff>
    </xdr:from>
    <xdr:to>
      <xdr:col>9</xdr:col>
      <xdr:colOff>1189990</xdr:colOff>
      <xdr:row>5745</xdr:row>
      <xdr:rowOff>904240</xdr:rowOff>
    </xdr:to>
    <xdr:pic>
      <xdr:nvPicPr>
        <xdr:cNvPr id="9858" name="Изображение 9857" descr="resizeПП-00270174"/>
        <xdr:cNvPicPr>
          <a:picLocks noChangeAspect="1"/>
        </xdr:cNvPicPr>
      </xdr:nvPicPr>
      <xdr:blipFill>
        <a:blip xmlns:r="http://schemas.openxmlformats.org/officeDocument/2006/relationships" r:embed="rId4466"/>
        <a:stretch>
          <a:fillRect/>
        </a:stretch>
      </xdr:blipFill>
      <xdr:spPr>
        <a:xfrm>
          <a:off x="7235825" y="5858757650"/>
          <a:ext cx="1183640" cy="878840"/>
        </a:xfrm>
        <a:prstGeom prst="rect">
          <a:avLst/>
        </a:prstGeom>
      </xdr:spPr>
    </xdr:pic>
    <xdr:clientData/>
  </xdr:twoCellAnchor>
  <xdr:twoCellAnchor>
    <xdr:from>
      <xdr:col>9</xdr:col>
      <xdr:colOff>6350</xdr:colOff>
      <xdr:row>5746</xdr:row>
      <xdr:rowOff>25400</xdr:rowOff>
    </xdr:from>
    <xdr:to>
      <xdr:col>9</xdr:col>
      <xdr:colOff>1189990</xdr:colOff>
      <xdr:row>5746</xdr:row>
      <xdr:rowOff>904240</xdr:rowOff>
    </xdr:to>
    <xdr:pic>
      <xdr:nvPicPr>
        <xdr:cNvPr id="9859" name="Изображение 9858" descr="resizeПП-00270170"/>
        <xdr:cNvPicPr>
          <a:picLocks noChangeAspect="1"/>
        </xdr:cNvPicPr>
      </xdr:nvPicPr>
      <xdr:blipFill>
        <a:blip xmlns:r="http://schemas.openxmlformats.org/officeDocument/2006/relationships" r:embed="rId4467"/>
        <a:stretch>
          <a:fillRect/>
        </a:stretch>
      </xdr:blipFill>
      <xdr:spPr>
        <a:xfrm>
          <a:off x="7235825" y="5859980025"/>
          <a:ext cx="1183640" cy="878840"/>
        </a:xfrm>
        <a:prstGeom prst="rect">
          <a:avLst/>
        </a:prstGeom>
      </xdr:spPr>
    </xdr:pic>
    <xdr:clientData/>
  </xdr:twoCellAnchor>
  <xdr:twoCellAnchor>
    <xdr:from>
      <xdr:col>9</xdr:col>
      <xdr:colOff>6350</xdr:colOff>
      <xdr:row>5747</xdr:row>
      <xdr:rowOff>25400</xdr:rowOff>
    </xdr:from>
    <xdr:to>
      <xdr:col>9</xdr:col>
      <xdr:colOff>1189990</xdr:colOff>
      <xdr:row>5747</xdr:row>
      <xdr:rowOff>904240</xdr:rowOff>
    </xdr:to>
    <xdr:pic>
      <xdr:nvPicPr>
        <xdr:cNvPr id="9860" name="Изображение 9859" descr="resizeПП-00270169"/>
        <xdr:cNvPicPr>
          <a:picLocks noChangeAspect="1"/>
        </xdr:cNvPicPr>
      </xdr:nvPicPr>
      <xdr:blipFill>
        <a:blip xmlns:r="http://schemas.openxmlformats.org/officeDocument/2006/relationships" r:embed="rId4468"/>
        <a:stretch>
          <a:fillRect/>
        </a:stretch>
      </xdr:blipFill>
      <xdr:spPr>
        <a:xfrm>
          <a:off x="7235825" y="5861202400"/>
          <a:ext cx="1183640" cy="878840"/>
        </a:xfrm>
        <a:prstGeom prst="rect">
          <a:avLst/>
        </a:prstGeom>
      </xdr:spPr>
    </xdr:pic>
    <xdr:clientData/>
  </xdr:twoCellAnchor>
  <xdr:twoCellAnchor>
    <xdr:from>
      <xdr:col>9</xdr:col>
      <xdr:colOff>6350</xdr:colOff>
      <xdr:row>5748</xdr:row>
      <xdr:rowOff>25400</xdr:rowOff>
    </xdr:from>
    <xdr:to>
      <xdr:col>9</xdr:col>
      <xdr:colOff>1189990</xdr:colOff>
      <xdr:row>5748</xdr:row>
      <xdr:rowOff>904240</xdr:rowOff>
    </xdr:to>
    <xdr:pic>
      <xdr:nvPicPr>
        <xdr:cNvPr id="9861" name="Изображение 9860" descr="resizeПП-00270165"/>
        <xdr:cNvPicPr>
          <a:picLocks noChangeAspect="1"/>
        </xdr:cNvPicPr>
      </xdr:nvPicPr>
      <xdr:blipFill>
        <a:blip xmlns:r="http://schemas.openxmlformats.org/officeDocument/2006/relationships" r:embed="rId4469"/>
        <a:stretch>
          <a:fillRect/>
        </a:stretch>
      </xdr:blipFill>
      <xdr:spPr>
        <a:xfrm>
          <a:off x="7235825" y="5862424775"/>
          <a:ext cx="1183640" cy="878840"/>
        </a:xfrm>
        <a:prstGeom prst="rect">
          <a:avLst/>
        </a:prstGeom>
      </xdr:spPr>
    </xdr:pic>
    <xdr:clientData/>
  </xdr:twoCellAnchor>
  <xdr:twoCellAnchor>
    <xdr:from>
      <xdr:col>9</xdr:col>
      <xdr:colOff>6350</xdr:colOff>
      <xdr:row>5749</xdr:row>
      <xdr:rowOff>25400</xdr:rowOff>
    </xdr:from>
    <xdr:to>
      <xdr:col>9</xdr:col>
      <xdr:colOff>1189990</xdr:colOff>
      <xdr:row>5749</xdr:row>
      <xdr:rowOff>904240</xdr:rowOff>
    </xdr:to>
    <xdr:pic>
      <xdr:nvPicPr>
        <xdr:cNvPr id="9862" name="Изображение 9861" descr="resizeПП-00270176"/>
        <xdr:cNvPicPr>
          <a:picLocks noChangeAspect="1"/>
        </xdr:cNvPicPr>
      </xdr:nvPicPr>
      <xdr:blipFill>
        <a:blip xmlns:r="http://schemas.openxmlformats.org/officeDocument/2006/relationships" r:embed="rId4470"/>
        <a:stretch>
          <a:fillRect/>
        </a:stretch>
      </xdr:blipFill>
      <xdr:spPr>
        <a:xfrm>
          <a:off x="7235825" y="5863647150"/>
          <a:ext cx="1183640" cy="878840"/>
        </a:xfrm>
        <a:prstGeom prst="rect">
          <a:avLst/>
        </a:prstGeom>
      </xdr:spPr>
    </xdr:pic>
    <xdr:clientData/>
  </xdr:twoCellAnchor>
  <xdr:twoCellAnchor>
    <xdr:from>
      <xdr:col>9</xdr:col>
      <xdr:colOff>6350</xdr:colOff>
      <xdr:row>5750</xdr:row>
      <xdr:rowOff>25400</xdr:rowOff>
    </xdr:from>
    <xdr:to>
      <xdr:col>9</xdr:col>
      <xdr:colOff>1189990</xdr:colOff>
      <xdr:row>5750</xdr:row>
      <xdr:rowOff>904240</xdr:rowOff>
    </xdr:to>
    <xdr:pic>
      <xdr:nvPicPr>
        <xdr:cNvPr id="9863" name="Изображение 9862" descr="resizeПП-00270168"/>
        <xdr:cNvPicPr>
          <a:picLocks noChangeAspect="1"/>
        </xdr:cNvPicPr>
      </xdr:nvPicPr>
      <xdr:blipFill>
        <a:blip xmlns:r="http://schemas.openxmlformats.org/officeDocument/2006/relationships" r:embed="rId4471"/>
        <a:stretch>
          <a:fillRect/>
        </a:stretch>
      </xdr:blipFill>
      <xdr:spPr>
        <a:xfrm>
          <a:off x="7235825" y="5864869525"/>
          <a:ext cx="1183640" cy="878840"/>
        </a:xfrm>
        <a:prstGeom prst="rect">
          <a:avLst/>
        </a:prstGeom>
      </xdr:spPr>
    </xdr:pic>
    <xdr:clientData/>
  </xdr:twoCellAnchor>
  <xdr:twoCellAnchor>
    <xdr:from>
      <xdr:col>9</xdr:col>
      <xdr:colOff>6350</xdr:colOff>
      <xdr:row>5751</xdr:row>
      <xdr:rowOff>25400</xdr:rowOff>
    </xdr:from>
    <xdr:to>
      <xdr:col>9</xdr:col>
      <xdr:colOff>885190</xdr:colOff>
      <xdr:row>5751</xdr:row>
      <xdr:rowOff>1209040</xdr:rowOff>
    </xdr:to>
    <xdr:pic>
      <xdr:nvPicPr>
        <xdr:cNvPr id="9864" name="Изображение 9863" descr="resizeПП-00270164"/>
        <xdr:cNvPicPr>
          <a:picLocks noChangeAspect="1"/>
        </xdr:cNvPicPr>
      </xdr:nvPicPr>
      <xdr:blipFill>
        <a:blip xmlns:r="http://schemas.openxmlformats.org/officeDocument/2006/relationships" r:embed="rId4472"/>
        <a:stretch>
          <a:fillRect/>
        </a:stretch>
      </xdr:blipFill>
      <xdr:spPr>
        <a:xfrm>
          <a:off x="7235825" y="5866091900"/>
          <a:ext cx="878840" cy="1183640"/>
        </a:xfrm>
        <a:prstGeom prst="rect">
          <a:avLst/>
        </a:prstGeom>
      </xdr:spPr>
    </xdr:pic>
    <xdr:clientData/>
  </xdr:twoCellAnchor>
  <xdr:twoCellAnchor>
    <xdr:from>
      <xdr:col>9</xdr:col>
      <xdr:colOff>6350</xdr:colOff>
      <xdr:row>5752</xdr:row>
      <xdr:rowOff>25400</xdr:rowOff>
    </xdr:from>
    <xdr:to>
      <xdr:col>9</xdr:col>
      <xdr:colOff>1189990</xdr:colOff>
      <xdr:row>5752</xdr:row>
      <xdr:rowOff>904240</xdr:rowOff>
    </xdr:to>
    <xdr:pic>
      <xdr:nvPicPr>
        <xdr:cNvPr id="9865" name="Изображение 9864" descr="resizeПП-00270172"/>
        <xdr:cNvPicPr>
          <a:picLocks noChangeAspect="1"/>
        </xdr:cNvPicPr>
      </xdr:nvPicPr>
      <xdr:blipFill>
        <a:blip xmlns:r="http://schemas.openxmlformats.org/officeDocument/2006/relationships" r:embed="rId4473"/>
        <a:stretch>
          <a:fillRect/>
        </a:stretch>
      </xdr:blipFill>
      <xdr:spPr>
        <a:xfrm>
          <a:off x="7235825" y="5867314275"/>
          <a:ext cx="1183640" cy="878840"/>
        </a:xfrm>
        <a:prstGeom prst="rect">
          <a:avLst/>
        </a:prstGeom>
      </xdr:spPr>
    </xdr:pic>
    <xdr:clientData/>
  </xdr:twoCellAnchor>
  <xdr:twoCellAnchor>
    <xdr:from>
      <xdr:col>9</xdr:col>
      <xdr:colOff>6350</xdr:colOff>
      <xdr:row>5753</xdr:row>
      <xdr:rowOff>25400</xdr:rowOff>
    </xdr:from>
    <xdr:to>
      <xdr:col>9</xdr:col>
      <xdr:colOff>1189990</xdr:colOff>
      <xdr:row>5753</xdr:row>
      <xdr:rowOff>904240</xdr:rowOff>
    </xdr:to>
    <xdr:pic>
      <xdr:nvPicPr>
        <xdr:cNvPr id="9866" name="Изображение 9865" descr="resizeПП-00270175"/>
        <xdr:cNvPicPr>
          <a:picLocks noChangeAspect="1"/>
        </xdr:cNvPicPr>
      </xdr:nvPicPr>
      <xdr:blipFill>
        <a:blip xmlns:r="http://schemas.openxmlformats.org/officeDocument/2006/relationships" r:embed="rId4474"/>
        <a:stretch>
          <a:fillRect/>
        </a:stretch>
      </xdr:blipFill>
      <xdr:spPr>
        <a:xfrm>
          <a:off x="7235825" y="5868536650"/>
          <a:ext cx="1183640" cy="878840"/>
        </a:xfrm>
        <a:prstGeom prst="rect">
          <a:avLst/>
        </a:prstGeom>
      </xdr:spPr>
    </xdr:pic>
    <xdr:clientData/>
  </xdr:twoCellAnchor>
  <xdr:twoCellAnchor>
    <xdr:from>
      <xdr:col>9</xdr:col>
      <xdr:colOff>6350</xdr:colOff>
      <xdr:row>5756</xdr:row>
      <xdr:rowOff>25400</xdr:rowOff>
    </xdr:from>
    <xdr:to>
      <xdr:col>9</xdr:col>
      <xdr:colOff>885190</xdr:colOff>
      <xdr:row>5756</xdr:row>
      <xdr:rowOff>1209040</xdr:rowOff>
    </xdr:to>
    <xdr:pic>
      <xdr:nvPicPr>
        <xdr:cNvPr id="9867" name="Изображение 9866" descr="resizeПП-00271769"/>
        <xdr:cNvPicPr>
          <a:picLocks noChangeAspect="1"/>
        </xdr:cNvPicPr>
      </xdr:nvPicPr>
      <xdr:blipFill>
        <a:blip xmlns:r="http://schemas.openxmlformats.org/officeDocument/2006/relationships" r:embed="rId4475"/>
        <a:stretch>
          <a:fillRect/>
        </a:stretch>
      </xdr:blipFill>
      <xdr:spPr>
        <a:xfrm>
          <a:off x="7235825" y="5870063825"/>
          <a:ext cx="878840" cy="1183640"/>
        </a:xfrm>
        <a:prstGeom prst="rect">
          <a:avLst/>
        </a:prstGeom>
      </xdr:spPr>
    </xdr:pic>
    <xdr:clientData/>
  </xdr:twoCellAnchor>
  <xdr:twoCellAnchor>
    <xdr:from>
      <xdr:col>9</xdr:col>
      <xdr:colOff>6350</xdr:colOff>
      <xdr:row>5758</xdr:row>
      <xdr:rowOff>25400</xdr:rowOff>
    </xdr:from>
    <xdr:to>
      <xdr:col>9</xdr:col>
      <xdr:colOff>1189990</xdr:colOff>
      <xdr:row>5758</xdr:row>
      <xdr:rowOff>904240</xdr:rowOff>
    </xdr:to>
    <xdr:pic>
      <xdr:nvPicPr>
        <xdr:cNvPr id="9868" name="Изображение 9867" descr="resizeПП-00247889"/>
        <xdr:cNvPicPr>
          <a:picLocks noChangeAspect="1"/>
        </xdr:cNvPicPr>
      </xdr:nvPicPr>
      <xdr:blipFill>
        <a:blip xmlns:r="http://schemas.openxmlformats.org/officeDocument/2006/relationships" r:embed="rId4476"/>
        <a:stretch>
          <a:fillRect/>
        </a:stretch>
      </xdr:blipFill>
      <xdr:spPr>
        <a:xfrm>
          <a:off x="7235825" y="5871438600"/>
          <a:ext cx="1183640" cy="878840"/>
        </a:xfrm>
        <a:prstGeom prst="rect">
          <a:avLst/>
        </a:prstGeom>
      </xdr:spPr>
    </xdr:pic>
    <xdr:clientData/>
  </xdr:twoCellAnchor>
  <xdr:twoCellAnchor>
    <xdr:from>
      <xdr:col>9</xdr:col>
      <xdr:colOff>6350</xdr:colOff>
      <xdr:row>5759</xdr:row>
      <xdr:rowOff>25400</xdr:rowOff>
    </xdr:from>
    <xdr:to>
      <xdr:col>9</xdr:col>
      <xdr:colOff>885190</xdr:colOff>
      <xdr:row>5759</xdr:row>
      <xdr:rowOff>1209040</xdr:rowOff>
    </xdr:to>
    <xdr:pic>
      <xdr:nvPicPr>
        <xdr:cNvPr id="9869" name="Изображение 9868" descr="resizeПП-00220729"/>
        <xdr:cNvPicPr>
          <a:picLocks noChangeAspect="1"/>
        </xdr:cNvPicPr>
      </xdr:nvPicPr>
      <xdr:blipFill>
        <a:blip xmlns:r="http://schemas.openxmlformats.org/officeDocument/2006/relationships" r:embed="rId4477"/>
        <a:stretch>
          <a:fillRect/>
        </a:stretch>
      </xdr:blipFill>
      <xdr:spPr>
        <a:xfrm>
          <a:off x="7235825" y="5872660975"/>
          <a:ext cx="878840" cy="1183640"/>
        </a:xfrm>
        <a:prstGeom prst="rect">
          <a:avLst/>
        </a:prstGeom>
      </xdr:spPr>
    </xdr:pic>
    <xdr:clientData/>
  </xdr:twoCellAnchor>
  <xdr:twoCellAnchor>
    <xdr:from>
      <xdr:col>9</xdr:col>
      <xdr:colOff>6350</xdr:colOff>
      <xdr:row>5760</xdr:row>
      <xdr:rowOff>25400</xdr:rowOff>
    </xdr:from>
    <xdr:to>
      <xdr:col>9</xdr:col>
      <xdr:colOff>885190</xdr:colOff>
      <xdr:row>5760</xdr:row>
      <xdr:rowOff>1209040</xdr:rowOff>
    </xdr:to>
    <xdr:pic>
      <xdr:nvPicPr>
        <xdr:cNvPr id="9870" name="Изображение 9869" descr="resizeПП-00238207"/>
        <xdr:cNvPicPr>
          <a:picLocks noChangeAspect="1"/>
        </xdr:cNvPicPr>
      </xdr:nvPicPr>
      <xdr:blipFill>
        <a:blip xmlns:r="http://schemas.openxmlformats.org/officeDocument/2006/relationships" r:embed="rId4478"/>
        <a:stretch>
          <a:fillRect/>
        </a:stretch>
      </xdr:blipFill>
      <xdr:spPr>
        <a:xfrm>
          <a:off x="7235825" y="5873883350"/>
          <a:ext cx="878840" cy="1183640"/>
        </a:xfrm>
        <a:prstGeom prst="rect">
          <a:avLst/>
        </a:prstGeom>
      </xdr:spPr>
    </xdr:pic>
    <xdr:clientData/>
  </xdr:twoCellAnchor>
  <xdr:twoCellAnchor>
    <xdr:from>
      <xdr:col>9</xdr:col>
      <xdr:colOff>6350</xdr:colOff>
      <xdr:row>5761</xdr:row>
      <xdr:rowOff>25400</xdr:rowOff>
    </xdr:from>
    <xdr:to>
      <xdr:col>9</xdr:col>
      <xdr:colOff>885190</xdr:colOff>
      <xdr:row>5761</xdr:row>
      <xdr:rowOff>1209040</xdr:rowOff>
    </xdr:to>
    <xdr:pic>
      <xdr:nvPicPr>
        <xdr:cNvPr id="9871" name="Изображение 9870" descr="resizeПП-00238206"/>
        <xdr:cNvPicPr>
          <a:picLocks noChangeAspect="1"/>
        </xdr:cNvPicPr>
      </xdr:nvPicPr>
      <xdr:blipFill>
        <a:blip xmlns:r="http://schemas.openxmlformats.org/officeDocument/2006/relationships" r:embed="rId4479"/>
        <a:stretch>
          <a:fillRect/>
        </a:stretch>
      </xdr:blipFill>
      <xdr:spPr>
        <a:xfrm>
          <a:off x="7235825" y="5875105725"/>
          <a:ext cx="878840" cy="1183640"/>
        </a:xfrm>
        <a:prstGeom prst="rect">
          <a:avLst/>
        </a:prstGeom>
      </xdr:spPr>
    </xdr:pic>
    <xdr:clientData/>
  </xdr:twoCellAnchor>
  <xdr:twoCellAnchor>
    <xdr:from>
      <xdr:col>9</xdr:col>
      <xdr:colOff>6350</xdr:colOff>
      <xdr:row>5762</xdr:row>
      <xdr:rowOff>25400</xdr:rowOff>
    </xdr:from>
    <xdr:to>
      <xdr:col>9</xdr:col>
      <xdr:colOff>885190</xdr:colOff>
      <xdr:row>5762</xdr:row>
      <xdr:rowOff>1209040</xdr:rowOff>
    </xdr:to>
    <xdr:pic>
      <xdr:nvPicPr>
        <xdr:cNvPr id="9872" name="Изображение 9871" descr="resizeПП-00272873"/>
        <xdr:cNvPicPr>
          <a:picLocks noChangeAspect="1"/>
        </xdr:cNvPicPr>
      </xdr:nvPicPr>
      <xdr:blipFill>
        <a:blip xmlns:r="http://schemas.openxmlformats.org/officeDocument/2006/relationships" r:embed="rId4480"/>
        <a:stretch>
          <a:fillRect/>
        </a:stretch>
      </xdr:blipFill>
      <xdr:spPr>
        <a:xfrm>
          <a:off x="7235825" y="5876328100"/>
          <a:ext cx="878840" cy="1183640"/>
        </a:xfrm>
        <a:prstGeom prst="rect">
          <a:avLst/>
        </a:prstGeom>
      </xdr:spPr>
    </xdr:pic>
    <xdr:clientData/>
  </xdr:twoCellAnchor>
  <xdr:twoCellAnchor>
    <xdr:from>
      <xdr:col>9</xdr:col>
      <xdr:colOff>6350</xdr:colOff>
      <xdr:row>5763</xdr:row>
      <xdr:rowOff>25400</xdr:rowOff>
    </xdr:from>
    <xdr:to>
      <xdr:col>9</xdr:col>
      <xdr:colOff>885190</xdr:colOff>
      <xdr:row>5763</xdr:row>
      <xdr:rowOff>1209040</xdr:rowOff>
    </xdr:to>
    <xdr:pic>
      <xdr:nvPicPr>
        <xdr:cNvPr id="9873" name="Изображение 9872" descr="resizeПП-00247887"/>
        <xdr:cNvPicPr>
          <a:picLocks noChangeAspect="1"/>
        </xdr:cNvPicPr>
      </xdr:nvPicPr>
      <xdr:blipFill>
        <a:blip xmlns:r="http://schemas.openxmlformats.org/officeDocument/2006/relationships" r:embed="rId4481"/>
        <a:stretch>
          <a:fillRect/>
        </a:stretch>
      </xdr:blipFill>
      <xdr:spPr>
        <a:xfrm>
          <a:off x="7235825" y="5877550475"/>
          <a:ext cx="878840" cy="1183640"/>
        </a:xfrm>
        <a:prstGeom prst="rect">
          <a:avLst/>
        </a:prstGeom>
      </xdr:spPr>
    </xdr:pic>
    <xdr:clientData/>
  </xdr:twoCellAnchor>
  <xdr:twoCellAnchor>
    <xdr:from>
      <xdr:col>9</xdr:col>
      <xdr:colOff>6350</xdr:colOff>
      <xdr:row>5764</xdr:row>
      <xdr:rowOff>25400</xdr:rowOff>
    </xdr:from>
    <xdr:to>
      <xdr:col>9</xdr:col>
      <xdr:colOff>885190</xdr:colOff>
      <xdr:row>5764</xdr:row>
      <xdr:rowOff>1209040</xdr:rowOff>
    </xdr:to>
    <xdr:pic>
      <xdr:nvPicPr>
        <xdr:cNvPr id="9874" name="Изображение 9873" descr="resizeПП-00272871"/>
        <xdr:cNvPicPr>
          <a:picLocks noChangeAspect="1"/>
        </xdr:cNvPicPr>
      </xdr:nvPicPr>
      <xdr:blipFill>
        <a:blip xmlns:r="http://schemas.openxmlformats.org/officeDocument/2006/relationships" r:embed="rId4482"/>
        <a:stretch>
          <a:fillRect/>
        </a:stretch>
      </xdr:blipFill>
      <xdr:spPr>
        <a:xfrm>
          <a:off x="7235825" y="5878772850"/>
          <a:ext cx="878840" cy="1183640"/>
        </a:xfrm>
        <a:prstGeom prst="rect">
          <a:avLst/>
        </a:prstGeom>
      </xdr:spPr>
    </xdr:pic>
    <xdr:clientData/>
  </xdr:twoCellAnchor>
  <xdr:twoCellAnchor>
    <xdr:from>
      <xdr:col>9</xdr:col>
      <xdr:colOff>6350</xdr:colOff>
      <xdr:row>5765</xdr:row>
      <xdr:rowOff>25400</xdr:rowOff>
    </xdr:from>
    <xdr:to>
      <xdr:col>9</xdr:col>
      <xdr:colOff>885190</xdr:colOff>
      <xdr:row>5765</xdr:row>
      <xdr:rowOff>1209040</xdr:rowOff>
    </xdr:to>
    <xdr:pic>
      <xdr:nvPicPr>
        <xdr:cNvPr id="9875" name="Изображение 9874" descr="resizeПП-00220480"/>
        <xdr:cNvPicPr>
          <a:picLocks noChangeAspect="1"/>
        </xdr:cNvPicPr>
      </xdr:nvPicPr>
      <xdr:blipFill>
        <a:blip xmlns:r="http://schemas.openxmlformats.org/officeDocument/2006/relationships" r:embed="rId4483"/>
        <a:stretch>
          <a:fillRect/>
        </a:stretch>
      </xdr:blipFill>
      <xdr:spPr>
        <a:xfrm>
          <a:off x="7235825" y="5879995225"/>
          <a:ext cx="878840" cy="1183640"/>
        </a:xfrm>
        <a:prstGeom prst="rect">
          <a:avLst/>
        </a:prstGeom>
      </xdr:spPr>
    </xdr:pic>
    <xdr:clientData/>
  </xdr:twoCellAnchor>
  <xdr:twoCellAnchor>
    <xdr:from>
      <xdr:col>9</xdr:col>
      <xdr:colOff>6350</xdr:colOff>
      <xdr:row>5766</xdr:row>
      <xdr:rowOff>25400</xdr:rowOff>
    </xdr:from>
    <xdr:to>
      <xdr:col>9</xdr:col>
      <xdr:colOff>885190</xdr:colOff>
      <xdr:row>5766</xdr:row>
      <xdr:rowOff>1209040</xdr:rowOff>
    </xdr:to>
    <xdr:pic>
      <xdr:nvPicPr>
        <xdr:cNvPr id="9876" name="Изображение 9875" descr="resizeПП-00220739"/>
        <xdr:cNvPicPr>
          <a:picLocks noChangeAspect="1"/>
        </xdr:cNvPicPr>
      </xdr:nvPicPr>
      <xdr:blipFill>
        <a:blip xmlns:r="http://schemas.openxmlformats.org/officeDocument/2006/relationships" r:embed="rId4484"/>
        <a:stretch>
          <a:fillRect/>
        </a:stretch>
      </xdr:blipFill>
      <xdr:spPr>
        <a:xfrm>
          <a:off x="7235825" y="5881217600"/>
          <a:ext cx="878840" cy="1183640"/>
        </a:xfrm>
        <a:prstGeom prst="rect">
          <a:avLst/>
        </a:prstGeom>
      </xdr:spPr>
    </xdr:pic>
    <xdr:clientData/>
  </xdr:twoCellAnchor>
  <xdr:twoCellAnchor>
    <xdr:from>
      <xdr:col>9</xdr:col>
      <xdr:colOff>6350</xdr:colOff>
      <xdr:row>5767</xdr:row>
      <xdr:rowOff>25400</xdr:rowOff>
    </xdr:from>
    <xdr:to>
      <xdr:col>9</xdr:col>
      <xdr:colOff>1189990</xdr:colOff>
      <xdr:row>5767</xdr:row>
      <xdr:rowOff>904240</xdr:rowOff>
    </xdr:to>
    <xdr:pic>
      <xdr:nvPicPr>
        <xdr:cNvPr id="9877" name="Изображение 9876" descr="resizeПП-00220738"/>
        <xdr:cNvPicPr>
          <a:picLocks noChangeAspect="1"/>
        </xdr:cNvPicPr>
      </xdr:nvPicPr>
      <xdr:blipFill>
        <a:blip xmlns:r="http://schemas.openxmlformats.org/officeDocument/2006/relationships" r:embed="rId4485"/>
        <a:stretch>
          <a:fillRect/>
        </a:stretch>
      </xdr:blipFill>
      <xdr:spPr>
        <a:xfrm>
          <a:off x="7235825" y="5882439975"/>
          <a:ext cx="1183640" cy="878840"/>
        </a:xfrm>
        <a:prstGeom prst="rect">
          <a:avLst/>
        </a:prstGeom>
      </xdr:spPr>
    </xdr:pic>
    <xdr:clientData/>
  </xdr:twoCellAnchor>
  <xdr:twoCellAnchor>
    <xdr:from>
      <xdr:col>9</xdr:col>
      <xdr:colOff>6350</xdr:colOff>
      <xdr:row>5768</xdr:row>
      <xdr:rowOff>25400</xdr:rowOff>
    </xdr:from>
    <xdr:to>
      <xdr:col>9</xdr:col>
      <xdr:colOff>885190</xdr:colOff>
      <xdr:row>5768</xdr:row>
      <xdr:rowOff>1209040</xdr:rowOff>
    </xdr:to>
    <xdr:pic>
      <xdr:nvPicPr>
        <xdr:cNvPr id="9878" name="Изображение 9877" descr="resizeПП-00272882"/>
        <xdr:cNvPicPr>
          <a:picLocks noChangeAspect="1"/>
        </xdr:cNvPicPr>
      </xdr:nvPicPr>
      <xdr:blipFill>
        <a:blip xmlns:r="http://schemas.openxmlformats.org/officeDocument/2006/relationships" r:embed="rId4486"/>
        <a:stretch>
          <a:fillRect/>
        </a:stretch>
      </xdr:blipFill>
      <xdr:spPr>
        <a:xfrm>
          <a:off x="7235825" y="5883662350"/>
          <a:ext cx="878840" cy="1183640"/>
        </a:xfrm>
        <a:prstGeom prst="rect">
          <a:avLst/>
        </a:prstGeom>
      </xdr:spPr>
    </xdr:pic>
    <xdr:clientData/>
  </xdr:twoCellAnchor>
  <xdr:twoCellAnchor>
    <xdr:from>
      <xdr:col>9</xdr:col>
      <xdr:colOff>6350</xdr:colOff>
      <xdr:row>5769</xdr:row>
      <xdr:rowOff>25400</xdr:rowOff>
    </xdr:from>
    <xdr:to>
      <xdr:col>9</xdr:col>
      <xdr:colOff>885190</xdr:colOff>
      <xdr:row>5769</xdr:row>
      <xdr:rowOff>1209040</xdr:rowOff>
    </xdr:to>
    <xdr:pic>
      <xdr:nvPicPr>
        <xdr:cNvPr id="9879" name="Изображение 9878" descr="resizeПП-00272885"/>
        <xdr:cNvPicPr>
          <a:picLocks noChangeAspect="1"/>
        </xdr:cNvPicPr>
      </xdr:nvPicPr>
      <xdr:blipFill>
        <a:blip xmlns:r="http://schemas.openxmlformats.org/officeDocument/2006/relationships" r:embed="rId4487"/>
        <a:stretch>
          <a:fillRect/>
        </a:stretch>
      </xdr:blipFill>
      <xdr:spPr>
        <a:xfrm>
          <a:off x="7235825" y="5884884725"/>
          <a:ext cx="878840" cy="1183640"/>
        </a:xfrm>
        <a:prstGeom prst="rect">
          <a:avLst/>
        </a:prstGeom>
      </xdr:spPr>
    </xdr:pic>
    <xdr:clientData/>
  </xdr:twoCellAnchor>
  <xdr:twoCellAnchor>
    <xdr:from>
      <xdr:col>9</xdr:col>
      <xdr:colOff>6350</xdr:colOff>
      <xdr:row>5770</xdr:row>
      <xdr:rowOff>25400</xdr:rowOff>
    </xdr:from>
    <xdr:to>
      <xdr:col>9</xdr:col>
      <xdr:colOff>1189990</xdr:colOff>
      <xdr:row>5770</xdr:row>
      <xdr:rowOff>904240</xdr:rowOff>
    </xdr:to>
    <xdr:pic>
      <xdr:nvPicPr>
        <xdr:cNvPr id="9880" name="Изображение 9879" descr="resizeПП-00227367"/>
        <xdr:cNvPicPr>
          <a:picLocks noChangeAspect="1"/>
        </xdr:cNvPicPr>
      </xdr:nvPicPr>
      <xdr:blipFill>
        <a:blip xmlns:r="http://schemas.openxmlformats.org/officeDocument/2006/relationships" r:embed="rId4488"/>
        <a:stretch>
          <a:fillRect/>
        </a:stretch>
      </xdr:blipFill>
      <xdr:spPr>
        <a:xfrm>
          <a:off x="7235825" y="5886107100"/>
          <a:ext cx="1183640" cy="878840"/>
        </a:xfrm>
        <a:prstGeom prst="rect">
          <a:avLst/>
        </a:prstGeom>
      </xdr:spPr>
    </xdr:pic>
    <xdr:clientData/>
  </xdr:twoCellAnchor>
  <xdr:twoCellAnchor>
    <xdr:from>
      <xdr:col>9</xdr:col>
      <xdr:colOff>6350</xdr:colOff>
      <xdr:row>5771</xdr:row>
      <xdr:rowOff>25400</xdr:rowOff>
    </xdr:from>
    <xdr:to>
      <xdr:col>9</xdr:col>
      <xdr:colOff>1189990</xdr:colOff>
      <xdr:row>5771</xdr:row>
      <xdr:rowOff>904240</xdr:rowOff>
    </xdr:to>
    <xdr:pic>
      <xdr:nvPicPr>
        <xdr:cNvPr id="9881" name="Изображение 9880" descr="resizeПП-00227370"/>
        <xdr:cNvPicPr>
          <a:picLocks noChangeAspect="1"/>
        </xdr:cNvPicPr>
      </xdr:nvPicPr>
      <xdr:blipFill>
        <a:blip xmlns:r="http://schemas.openxmlformats.org/officeDocument/2006/relationships" r:embed="rId4489"/>
        <a:stretch>
          <a:fillRect/>
        </a:stretch>
      </xdr:blipFill>
      <xdr:spPr>
        <a:xfrm>
          <a:off x="7235825" y="5887329475"/>
          <a:ext cx="1183640" cy="878840"/>
        </a:xfrm>
        <a:prstGeom prst="rect">
          <a:avLst/>
        </a:prstGeom>
      </xdr:spPr>
    </xdr:pic>
    <xdr:clientData/>
  </xdr:twoCellAnchor>
  <xdr:twoCellAnchor>
    <xdr:from>
      <xdr:col>9</xdr:col>
      <xdr:colOff>6350</xdr:colOff>
      <xdr:row>5772</xdr:row>
      <xdr:rowOff>25400</xdr:rowOff>
    </xdr:from>
    <xdr:to>
      <xdr:col>9</xdr:col>
      <xdr:colOff>885190</xdr:colOff>
      <xdr:row>5772</xdr:row>
      <xdr:rowOff>1209040</xdr:rowOff>
    </xdr:to>
    <xdr:pic>
      <xdr:nvPicPr>
        <xdr:cNvPr id="9882" name="Изображение 9881" descr="resizeПП-00220472"/>
        <xdr:cNvPicPr>
          <a:picLocks noChangeAspect="1"/>
        </xdr:cNvPicPr>
      </xdr:nvPicPr>
      <xdr:blipFill>
        <a:blip xmlns:r="http://schemas.openxmlformats.org/officeDocument/2006/relationships" r:embed="rId4490"/>
        <a:stretch>
          <a:fillRect/>
        </a:stretch>
      </xdr:blipFill>
      <xdr:spPr>
        <a:xfrm>
          <a:off x="7235825" y="5888551850"/>
          <a:ext cx="878840" cy="1183640"/>
        </a:xfrm>
        <a:prstGeom prst="rect">
          <a:avLst/>
        </a:prstGeom>
      </xdr:spPr>
    </xdr:pic>
    <xdr:clientData/>
  </xdr:twoCellAnchor>
  <xdr:twoCellAnchor>
    <xdr:from>
      <xdr:col>9</xdr:col>
      <xdr:colOff>6350</xdr:colOff>
      <xdr:row>5773</xdr:row>
      <xdr:rowOff>25400</xdr:rowOff>
    </xdr:from>
    <xdr:to>
      <xdr:col>9</xdr:col>
      <xdr:colOff>1189990</xdr:colOff>
      <xdr:row>5773</xdr:row>
      <xdr:rowOff>904240</xdr:rowOff>
    </xdr:to>
    <xdr:pic>
      <xdr:nvPicPr>
        <xdr:cNvPr id="9883" name="Изображение 9882" descr="resizeПП-00227371"/>
        <xdr:cNvPicPr>
          <a:picLocks noChangeAspect="1"/>
        </xdr:cNvPicPr>
      </xdr:nvPicPr>
      <xdr:blipFill>
        <a:blip xmlns:r="http://schemas.openxmlformats.org/officeDocument/2006/relationships" r:embed="rId4491"/>
        <a:stretch>
          <a:fillRect/>
        </a:stretch>
      </xdr:blipFill>
      <xdr:spPr>
        <a:xfrm>
          <a:off x="7235825" y="5889774225"/>
          <a:ext cx="1183640" cy="878840"/>
        </a:xfrm>
        <a:prstGeom prst="rect">
          <a:avLst/>
        </a:prstGeom>
      </xdr:spPr>
    </xdr:pic>
    <xdr:clientData/>
  </xdr:twoCellAnchor>
  <xdr:twoCellAnchor>
    <xdr:from>
      <xdr:col>9</xdr:col>
      <xdr:colOff>6350</xdr:colOff>
      <xdr:row>5774</xdr:row>
      <xdr:rowOff>25400</xdr:rowOff>
    </xdr:from>
    <xdr:to>
      <xdr:col>9</xdr:col>
      <xdr:colOff>1189990</xdr:colOff>
      <xdr:row>5774</xdr:row>
      <xdr:rowOff>904240</xdr:rowOff>
    </xdr:to>
    <xdr:pic>
      <xdr:nvPicPr>
        <xdr:cNvPr id="9884" name="Изображение 9883" descr="resizeПП-00196090"/>
        <xdr:cNvPicPr>
          <a:picLocks noChangeAspect="1"/>
        </xdr:cNvPicPr>
      </xdr:nvPicPr>
      <xdr:blipFill>
        <a:blip xmlns:r="http://schemas.openxmlformats.org/officeDocument/2006/relationships" r:embed="rId4492"/>
        <a:stretch>
          <a:fillRect/>
        </a:stretch>
      </xdr:blipFill>
      <xdr:spPr>
        <a:xfrm>
          <a:off x="7235825" y="5890996600"/>
          <a:ext cx="1183640" cy="878840"/>
        </a:xfrm>
        <a:prstGeom prst="rect">
          <a:avLst/>
        </a:prstGeom>
      </xdr:spPr>
    </xdr:pic>
    <xdr:clientData/>
  </xdr:twoCellAnchor>
  <xdr:twoCellAnchor>
    <xdr:from>
      <xdr:col>9</xdr:col>
      <xdr:colOff>6350</xdr:colOff>
      <xdr:row>5775</xdr:row>
      <xdr:rowOff>25400</xdr:rowOff>
    </xdr:from>
    <xdr:to>
      <xdr:col>9</xdr:col>
      <xdr:colOff>1189990</xdr:colOff>
      <xdr:row>5775</xdr:row>
      <xdr:rowOff>904240</xdr:rowOff>
    </xdr:to>
    <xdr:pic>
      <xdr:nvPicPr>
        <xdr:cNvPr id="9885" name="Изображение 9884" descr="resizeПП-00247946"/>
        <xdr:cNvPicPr>
          <a:picLocks noChangeAspect="1"/>
        </xdr:cNvPicPr>
      </xdr:nvPicPr>
      <xdr:blipFill>
        <a:blip xmlns:r="http://schemas.openxmlformats.org/officeDocument/2006/relationships" r:embed="rId4493"/>
        <a:stretch>
          <a:fillRect/>
        </a:stretch>
      </xdr:blipFill>
      <xdr:spPr>
        <a:xfrm>
          <a:off x="7235825" y="5892218975"/>
          <a:ext cx="1183640" cy="878840"/>
        </a:xfrm>
        <a:prstGeom prst="rect">
          <a:avLst/>
        </a:prstGeom>
      </xdr:spPr>
    </xdr:pic>
    <xdr:clientData/>
  </xdr:twoCellAnchor>
  <xdr:twoCellAnchor>
    <xdr:from>
      <xdr:col>9</xdr:col>
      <xdr:colOff>6350</xdr:colOff>
      <xdr:row>5776</xdr:row>
      <xdr:rowOff>25400</xdr:rowOff>
    </xdr:from>
    <xdr:to>
      <xdr:col>9</xdr:col>
      <xdr:colOff>885190</xdr:colOff>
      <xdr:row>5776</xdr:row>
      <xdr:rowOff>1209040</xdr:rowOff>
    </xdr:to>
    <xdr:pic>
      <xdr:nvPicPr>
        <xdr:cNvPr id="9886" name="Изображение 9885" descr="resizeПП-00247960"/>
        <xdr:cNvPicPr>
          <a:picLocks noChangeAspect="1"/>
        </xdr:cNvPicPr>
      </xdr:nvPicPr>
      <xdr:blipFill>
        <a:blip xmlns:r="http://schemas.openxmlformats.org/officeDocument/2006/relationships" r:embed="rId4494"/>
        <a:stretch>
          <a:fillRect/>
        </a:stretch>
      </xdr:blipFill>
      <xdr:spPr>
        <a:xfrm>
          <a:off x="7235825" y="5893441350"/>
          <a:ext cx="878840" cy="1183640"/>
        </a:xfrm>
        <a:prstGeom prst="rect">
          <a:avLst/>
        </a:prstGeom>
      </xdr:spPr>
    </xdr:pic>
    <xdr:clientData/>
  </xdr:twoCellAnchor>
  <xdr:twoCellAnchor>
    <xdr:from>
      <xdr:col>9</xdr:col>
      <xdr:colOff>6350</xdr:colOff>
      <xdr:row>5777</xdr:row>
      <xdr:rowOff>25400</xdr:rowOff>
    </xdr:from>
    <xdr:to>
      <xdr:col>9</xdr:col>
      <xdr:colOff>1189990</xdr:colOff>
      <xdr:row>5777</xdr:row>
      <xdr:rowOff>904240</xdr:rowOff>
    </xdr:to>
    <xdr:pic>
      <xdr:nvPicPr>
        <xdr:cNvPr id="9887" name="Изображение 9886" descr="resizeПП-00220737"/>
        <xdr:cNvPicPr>
          <a:picLocks noChangeAspect="1"/>
        </xdr:cNvPicPr>
      </xdr:nvPicPr>
      <xdr:blipFill>
        <a:blip xmlns:r="http://schemas.openxmlformats.org/officeDocument/2006/relationships" r:embed="rId4495"/>
        <a:stretch>
          <a:fillRect/>
        </a:stretch>
      </xdr:blipFill>
      <xdr:spPr>
        <a:xfrm>
          <a:off x="7235825" y="5894663725"/>
          <a:ext cx="1183640" cy="878840"/>
        </a:xfrm>
        <a:prstGeom prst="rect">
          <a:avLst/>
        </a:prstGeom>
      </xdr:spPr>
    </xdr:pic>
    <xdr:clientData/>
  </xdr:twoCellAnchor>
  <xdr:twoCellAnchor>
    <xdr:from>
      <xdr:col>9</xdr:col>
      <xdr:colOff>6350</xdr:colOff>
      <xdr:row>5778</xdr:row>
      <xdr:rowOff>25400</xdr:rowOff>
    </xdr:from>
    <xdr:to>
      <xdr:col>9</xdr:col>
      <xdr:colOff>1189990</xdr:colOff>
      <xdr:row>5778</xdr:row>
      <xdr:rowOff>904240</xdr:rowOff>
    </xdr:to>
    <xdr:pic>
      <xdr:nvPicPr>
        <xdr:cNvPr id="9888" name="Изображение 9887" descr="resizeПП-00247955"/>
        <xdr:cNvPicPr>
          <a:picLocks noChangeAspect="1"/>
        </xdr:cNvPicPr>
      </xdr:nvPicPr>
      <xdr:blipFill>
        <a:blip xmlns:r="http://schemas.openxmlformats.org/officeDocument/2006/relationships" r:embed="rId4496"/>
        <a:stretch>
          <a:fillRect/>
        </a:stretch>
      </xdr:blipFill>
      <xdr:spPr>
        <a:xfrm>
          <a:off x="7235825" y="5895886100"/>
          <a:ext cx="1183640" cy="878840"/>
        </a:xfrm>
        <a:prstGeom prst="rect">
          <a:avLst/>
        </a:prstGeom>
      </xdr:spPr>
    </xdr:pic>
    <xdr:clientData/>
  </xdr:twoCellAnchor>
  <xdr:twoCellAnchor>
    <xdr:from>
      <xdr:col>9</xdr:col>
      <xdr:colOff>6350</xdr:colOff>
      <xdr:row>5779</xdr:row>
      <xdr:rowOff>25400</xdr:rowOff>
    </xdr:from>
    <xdr:to>
      <xdr:col>9</xdr:col>
      <xdr:colOff>1189990</xdr:colOff>
      <xdr:row>5779</xdr:row>
      <xdr:rowOff>904240</xdr:rowOff>
    </xdr:to>
    <xdr:pic>
      <xdr:nvPicPr>
        <xdr:cNvPr id="9889" name="Изображение 9888" descr="resizeПП-00227369"/>
        <xdr:cNvPicPr>
          <a:picLocks noChangeAspect="1"/>
        </xdr:cNvPicPr>
      </xdr:nvPicPr>
      <xdr:blipFill>
        <a:blip xmlns:r="http://schemas.openxmlformats.org/officeDocument/2006/relationships" r:embed="rId4497"/>
        <a:stretch>
          <a:fillRect/>
        </a:stretch>
      </xdr:blipFill>
      <xdr:spPr>
        <a:xfrm>
          <a:off x="7235825" y="5897108475"/>
          <a:ext cx="1183640" cy="878840"/>
        </a:xfrm>
        <a:prstGeom prst="rect">
          <a:avLst/>
        </a:prstGeom>
      </xdr:spPr>
    </xdr:pic>
    <xdr:clientData/>
  </xdr:twoCellAnchor>
  <xdr:twoCellAnchor>
    <xdr:from>
      <xdr:col>9</xdr:col>
      <xdr:colOff>6350</xdr:colOff>
      <xdr:row>5780</xdr:row>
      <xdr:rowOff>25400</xdr:rowOff>
    </xdr:from>
    <xdr:to>
      <xdr:col>9</xdr:col>
      <xdr:colOff>885190</xdr:colOff>
      <xdr:row>5780</xdr:row>
      <xdr:rowOff>1209040</xdr:rowOff>
    </xdr:to>
    <xdr:pic>
      <xdr:nvPicPr>
        <xdr:cNvPr id="9890" name="Изображение 9889" descr="resizeПП-00272884"/>
        <xdr:cNvPicPr>
          <a:picLocks noChangeAspect="1"/>
        </xdr:cNvPicPr>
      </xdr:nvPicPr>
      <xdr:blipFill>
        <a:blip xmlns:r="http://schemas.openxmlformats.org/officeDocument/2006/relationships" r:embed="rId4498"/>
        <a:stretch>
          <a:fillRect/>
        </a:stretch>
      </xdr:blipFill>
      <xdr:spPr>
        <a:xfrm>
          <a:off x="7235825" y="5898330850"/>
          <a:ext cx="878840" cy="1183640"/>
        </a:xfrm>
        <a:prstGeom prst="rect">
          <a:avLst/>
        </a:prstGeom>
      </xdr:spPr>
    </xdr:pic>
    <xdr:clientData/>
  </xdr:twoCellAnchor>
  <xdr:twoCellAnchor>
    <xdr:from>
      <xdr:col>9</xdr:col>
      <xdr:colOff>6350</xdr:colOff>
      <xdr:row>5781</xdr:row>
      <xdr:rowOff>25400</xdr:rowOff>
    </xdr:from>
    <xdr:to>
      <xdr:col>9</xdr:col>
      <xdr:colOff>885190</xdr:colOff>
      <xdr:row>5781</xdr:row>
      <xdr:rowOff>1209040</xdr:rowOff>
    </xdr:to>
    <xdr:pic>
      <xdr:nvPicPr>
        <xdr:cNvPr id="9891" name="Изображение 9890" descr="resizeПП-00247956"/>
        <xdr:cNvPicPr>
          <a:picLocks noChangeAspect="1"/>
        </xdr:cNvPicPr>
      </xdr:nvPicPr>
      <xdr:blipFill>
        <a:blip xmlns:r="http://schemas.openxmlformats.org/officeDocument/2006/relationships" r:embed="rId4499"/>
        <a:stretch>
          <a:fillRect/>
        </a:stretch>
      </xdr:blipFill>
      <xdr:spPr>
        <a:xfrm>
          <a:off x="7235825" y="5899553225"/>
          <a:ext cx="878840" cy="1183640"/>
        </a:xfrm>
        <a:prstGeom prst="rect">
          <a:avLst/>
        </a:prstGeom>
      </xdr:spPr>
    </xdr:pic>
    <xdr:clientData/>
  </xdr:twoCellAnchor>
  <xdr:twoCellAnchor>
    <xdr:from>
      <xdr:col>9</xdr:col>
      <xdr:colOff>6350</xdr:colOff>
      <xdr:row>5782</xdr:row>
      <xdr:rowOff>25400</xdr:rowOff>
    </xdr:from>
    <xdr:to>
      <xdr:col>9</xdr:col>
      <xdr:colOff>885190</xdr:colOff>
      <xdr:row>5782</xdr:row>
      <xdr:rowOff>1209040</xdr:rowOff>
    </xdr:to>
    <xdr:pic>
      <xdr:nvPicPr>
        <xdr:cNvPr id="9892" name="Изображение 9891" descr="resizeПП-00272880"/>
        <xdr:cNvPicPr>
          <a:picLocks noChangeAspect="1"/>
        </xdr:cNvPicPr>
      </xdr:nvPicPr>
      <xdr:blipFill>
        <a:blip xmlns:r="http://schemas.openxmlformats.org/officeDocument/2006/relationships" r:embed="rId4500"/>
        <a:stretch>
          <a:fillRect/>
        </a:stretch>
      </xdr:blipFill>
      <xdr:spPr>
        <a:xfrm>
          <a:off x="7235825" y="5900775600"/>
          <a:ext cx="878840" cy="1183640"/>
        </a:xfrm>
        <a:prstGeom prst="rect">
          <a:avLst/>
        </a:prstGeom>
      </xdr:spPr>
    </xdr:pic>
    <xdr:clientData/>
  </xdr:twoCellAnchor>
  <xdr:twoCellAnchor>
    <xdr:from>
      <xdr:col>9</xdr:col>
      <xdr:colOff>6350</xdr:colOff>
      <xdr:row>5783</xdr:row>
      <xdr:rowOff>25400</xdr:rowOff>
    </xdr:from>
    <xdr:to>
      <xdr:col>9</xdr:col>
      <xdr:colOff>885190</xdr:colOff>
      <xdr:row>5783</xdr:row>
      <xdr:rowOff>1209040</xdr:rowOff>
    </xdr:to>
    <xdr:pic>
      <xdr:nvPicPr>
        <xdr:cNvPr id="9893" name="Изображение 9892" descr="resizeПП-00272858"/>
        <xdr:cNvPicPr>
          <a:picLocks noChangeAspect="1"/>
        </xdr:cNvPicPr>
      </xdr:nvPicPr>
      <xdr:blipFill>
        <a:blip xmlns:r="http://schemas.openxmlformats.org/officeDocument/2006/relationships" r:embed="rId4501"/>
        <a:stretch>
          <a:fillRect/>
        </a:stretch>
      </xdr:blipFill>
      <xdr:spPr>
        <a:xfrm>
          <a:off x="7235825" y="5901997975"/>
          <a:ext cx="878840" cy="1183640"/>
        </a:xfrm>
        <a:prstGeom prst="rect">
          <a:avLst/>
        </a:prstGeom>
      </xdr:spPr>
    </xdr:pic>
    <xdr:clientData/>
  </xdr:twoCellAnchor>
  <xdr:twoCellAnchor>
    <xdr:from>
      <xdr:col>9</xdr:col>
      <xdr:colOff>6350</xdr:colOff>
      <xdr:row>5784</xdr:row>
      <xdr:rowOff>25400</xdr:rowOff>
    </xdr:from>
    <xdr:to>
      <xdr:col>9</xdr:col>
      <xdr:colOff>885190</xdr:colOff>
      <xdr:row>5784</xdr:row>
      <xdr:rowOff>1209040</xdr:rowOff>
    </xdr:to>
    <xdr:pic>
      <xdr:nvPicPr>
        <xdr:cNvPr id="9894" name="Изображение 9893" descr="resizeПП-00238205"/>
        <xdr:cNvPicPr>
          <a:picLocks noChangeAspect="1"/>
        </xdr:cNvPicPr>
      </xdr:nvPicPr>
      <xdr:blipFill>
        <a:blip xmlns:r="http://schemas.openxmlformats.org/officeDocument/2006/relationships" r:embed="rId4502"/>
        <a:stretch>
          <a:fillRect/>
        </a:stretch>
      </xdr:blipFill>
      <xdr:spPr>
        <a:xfrm>
          <a:off x="7235825" y="5903220350"/>
          <a:ext cx="878840" cy="1183640"/>
        </a:xfrm>
        <a:prstGeom prst="rect">
          <a:avLst/>
        </a:prstGeom>
      </xdr:spPr>
    </xdr:pic>
    <xdr:clientData/>
  </xdr:twoCellAnchor>
  <xdr:twoCellAnchor>
    <xdr:from>
      <xdr:col>9</xdr:col>
      <xdr:colOff>6350</xdr:colOff>
      <xdr:row>5785</xdr:row>
      <xdr:rowOff>25400</xdr:rowOff>
    </xdr:from>
    <xdr:to>
      <xdr:col>9</xdr:col>
      <xdr:colOff>1189990</xdr:colOff>
      <xdr:row>5785</xdr:row>
      <xdr:rowOff>904240</xdr:rowOff>
    </xdr:to>
    <xdr:pic>
      <xdr:nvPicPr>
        <xdr:cNvPr id="9895" name="Изображение 9894" descr="resizeПП-00247898"/>
        <xdr:cNvPicPr>
          <a:picLocks noChangeAspect="1"/>
        </xdr:cNvPicPr>
      </xdr:nvPicPr>
      <xdr:blipFill>
        <a:blip xmlns:r="http://schemas.openxmlformats.org/officeDocument/2006/relationships" r:embed="rId4503"/>
        <a:stretch>
          <a:fillRect/>
        </a:stretch>
      </xdr:blipFill>
      <xdr:spPr>
        <a:xfrm>
          <a:off x="7235825" y="5904442725"/>
          <a:ext cx="1183640" cy="878840"/>
        </a:xfrm>
        <a:prstGeom prst="rect">
          <a:avLst/>
        </a:prstGeom>
      </xdr:spPr>
    </xdr:pic>
    <xdr:clientData/>
  </xdr:twoCellAnchor>
  <xdr:twoCellAnchor>
    <xdr:from>
      <xdr:col>9</xdr:col>
      <xdr:colOff>6350</xdr:colOff>
      <xdr:row>5786</xdr:row>
      <xdr:rowOff>25400</xdr:rowOff>
    </xdr:from>
    <xdr:to>
      <xdr:col>9</xdr:col>
      <xdr:colOff>885190</xdr:colOff>
      <xdr:row>5786</xdr:row>
      <xdr:rowOff>1209040</xdr:rowOff>
    </xdr:to>
    <xdr:pic>
      <xdr:nvPicPr>
        <xdr:cNvPr id="9896" name="Изображение 9895" descr="resizeПП-00238201"/>
        <xdr:cNvPicPr>
          <a:picLocks noChangeAspect="1"/>
        </xdr:cNvPicPr>
      </xdr:nvPicPr>
      <xdr:blipFill>
        <a:blip xmlns:r="http://schemas.openxmlformats.org/officeDocument/2006/relationships" r:embed="rId4504"/>
        <a:stretch>
          <a:fillRect/>
        </a:stretch>
      </xdr:blipFill>
      <xdr:spPr>
        <a:xfrm>
          <a:off x="7235825" y="5905665100"/>
          <a:ext cx="878840" cy="1183640"/>
        </a:xfrm>
        <a:prstGeom prst="rect">
          <a:avLst/>
        </a:prstGeom>
      </xdr:spPr>
    </xdr:pic>
    <xdr:clientData/>
  </xdr:twoCellAnchor>
  <xdr:twoCellAnchor>
    <xdr:from>
      <xdr:col>9</xdr:col>
      <xdr:colOff>6350</xdr:colOff>
      <xdr:row>5787</xdr:row>
      <xdr:rowOff>25400</xdr:rowOff>
    </xdr:from>
    <xdr:to>
      <xdr:col>9</xdr:col>
      <xdr:colOff>885190</xdr:colOff>
      <xdr:row>5787</xdr:row>
      <xdr:rowOff>1209040</xdr:rowOff>
    </xdr:to>
    <xdr:pic>
      <xdr:nvPicPr>
        <xdr:cNvPr id="9897" name="Изображение 9896" descr="resizeПП-00238208"/>
        <xdr:cNvPicPr>
          <a:picLocks noChangeAspect="1"/>
        </xdr:cNvPicPr>
      </xdr:nvPicPr>
      <xdr:blipFill>
        <a:blip xmlns:r="http://schemas.openxmlformats.org/officeDocument/2006/relationships" r:embed="rId4505"/>
        <a:stretch>
          <a:fillRect/>
        </a:stretch>
      </xdr:blipFill>
      <xdr:spPr>
        <a:xfrm>
          <a:off x="7235825" y="5906887475"/>
          <a:ext cx="878840" cy="1183640"/>
        </a:xfrm>
        <a:prstGeom prst="rect">
          <a:avLst/>
        </a:prstGeom>
      </xdr:spPr>
    </xdr:pic>
    <xdr:clientData/>
  </xdr:twoCellAnchor>
  <xdr:twoCellAnchor>
    <xdr:from>
      <xdr:col>9</xdr:col>
      <xdr:colOff>6350</xdr:colOff>
      <xdr:row>5788</xdr:row>
      <xdr:rowOff>25400</xdr:rowOff>
    </xdr:from>
    <xdr:to>
      <xdr:col>9</xdr:col>
      <xdr:colOff>1189990</xdr:colOff>
      <xdr:row>5788</xdr:row>
      <xdr:rowOff>904240</xdr:rowOff>
    </xdr:to>
    <xdr:pic>
      <xdr:nvPicPr>
        <xdr:cNvPr id="9898" name="Изображение 9897" descr="resizeПП-00247952"/>
        <xdr:cNvPicPr>
          <a:picLocks noChangeAspect="1"/>
        </xdr:cNvPicPr>
      </xdr:nvPicPr>
      <xdr:blipFill>
        <a:blip xmlns:r="http://schemas.openxmlformats.org/officeDocument/2006/relationships" r:embed="rId4506"/>
        <a:stretch>
          <a:fillRect/>
        </a:stretch>
      </xdr:blipFill>
      <xdr:spPr>
        <a:xfrm>
          <a:off x="7235825" y="5908109850"/>
          <a:ext cx="1183640" cy="878840"/>
        </a:xfrm>
        <a:prstGeom prst="rect">
          <a:avLst/>
        </a:prstGeom>
      </xdr:spPr>
    </xdr:pic>
    <xdr:clientData/>
  </xdr:twoCellAnchor>
  <xdr:twoCellAnchor>
    <xdr:from>
      <xdr:col>9</xdr:col>
      <xdr:colOff>6350</xdr:colOff>
      <xdr:row>5789</xdr:row>
      <xdr:rowOff>25400</xdr:rowOff>
    </xdr:from>
    <xdr:to>
      <xdr:col>9</xdr:col>
      <xdr:colOff>1189990</xdr:colOff>
      <xdr:row>5789</xdr:row>
      <xdr:rowOff>904240</xdr:rowOff>
    </xdr:to>
    <xdr:pic>
      <xdr:nvPicPr>
        <xdr:cNvPr id="9899" name="Изображение 9898" descr="resizeПП-00220463"/>
        <xdr:cNvPicPr>
          <a:picLocks noChangeAspect="1"/>
        </xdr:cNvPicPr>
      </xdr:nvPicPr>
      <xdr:blipFill>
        <a:blip xmlns:r="http://schemas.openxmlformats.org/officeDocument/2006/relationships" r:embed="rId4507"/>
        <a:stretch>
          <a:fillRect/>
        </a:stretch>
      </xdr:blipFill>
      <xdr:spPr>
        <a:xfrm>
          <a:off x="7235825" y="5909332225"/>
          <a:ext cx="1183640" cy="878840"/>
        </a:xfrm>
        <a:prstGeom prst="rect">
          <a:avLst/>
        </a:prstGeom>
      </xdr:spPr>
    </xdr:pic>
    <xdr:clientData/>
  </xdr:twoCellAnchor>
  <xdr:twoCellAnchor>
    <xdr:from>
      <xdr:col>9</xdr:col>
      <xdr:colOff>6350</xdr:colOff>
      <xdr:row>5790</xdr:row>
      <xdr:rowOff>25400</xdr:rowOff>
    </xdr:from>
    <xdr:to>
      <xdr:col>9</xdr:col>
      <xdr:colOff>1189990</xdr:colOff>
      <xdr:row>5790</xdr:row>
      <xdr:rowOff>904240</xdr:rowOff>
    </xdr:to>
    <xdr:pic>
      <xdr:nvPicPr>
        <xdr:cNvPr id="9900" name="Изображение 9899" descr="resizeПП-00247899"/>
        <xdr:cNvPicPr>
          <a:picLocks noChangeAspect="1"/>
        </xdr:cNvPicPr>
      </xdr:nvPicPr>
      <xdr:blipFill>
        <a:blip xmlns:r="http://schemas.openxmlformats.org/officeDocument/2006/relationships" r:embed="rId4508"/>
        <a:stretch>
          <a:fillRect/>
        </a:stretch>
      </xdr:blipFill>
      <xdr:spPr>
        <a:xfrm>
          <a:off x="7235825" y="5910554600"/>
          <a:ext cx="1183640" cy="878840"/>
        </a:xfrm>
        <a:prstGeom prst="rect">
          <a:avLst/>
        </a:prstGeom>
      </xdr:spPr>
    </xdr:pic>
    <xdr:clientData/>
  </xdr:twoCellAnchor>
  <xdr:twoCellAnchor>
    <xdr:from>
      <xdr:col>9</xdr:col>
      <xdr:colOff>6350</xdr:colOff>
      <xdr:row>5791</xdr:row>
      <xdr:rowOff>25400</xdr:rowOff>
    </xdr:from>
    <xdr:to>
      <xdr:col>9</xdr:col>
      <xdr:colOff>1189990</xdr:colOff>
      <xdr:row>5791</xdr:row>
      <xdr:rowOff>904240</xdr:rowOff>
    </xdr:to>
    <xdr:pic>
      <xdr:nvPicPr>
        <xdr:cNvPr id="9901" name="Изображение 9900" descr="resizeПП-00247951"/>
        <xdr:cNvPicPr>
          <a:picLocks noChangeAspect="1"/>
        </xdr:cNvPicPr>
      </xdr:nvPicPr>
      <xdr:blipFill>
        <a:blip xmlns:r="http://schemas.openxmlformats.org/officeDocument/2006/relationships" r:embed="rId4509"/>
        <a:stretch>
          <a:fillRect/>
        </a:stretch>
      </xdr:blipFill>
      <xdr:spPr>
        <a:xfrm>
          <a:off x="7235825" y="5911776975"/>
          <a:ext cx="1183640" cy="878840"/>
        </a:xfrm>
        <a:prstGeom prst="rect">
          <a:avLst/>
        </a:prstGeom>
      </xdr:spPr>
    </xdr:pic>
    <xdr:clientData/>
  </xdr:twoCellAnchor>
  <xdr:twoCellAnchor>
    <xdr:from>
      <xdr:col>9</xdr:col>
      <xdr:colOff>6350</xdr:colOff>
      <xdr:row>5792</xdr:row>
      <xdr:rowOff>25400</xdr:rowOff>
    </xdr:from>
    <xdr:to>
      <xdr:col>9</xdr:col>
      <xdr:colOff>1189990</xdr:colOff>
      <xdr:row>5792</xdr:row>
      <xdr:rowOff>904240</xdr:rowOff>
    </xdr:to>
    <xdr:pic>
      <xdr:nvPicPr>
        <xdr:cNvPr id="9902" name="Изображение 9901" descr="resizeПП-00247896"/>
        <xdr:cNvPicPr>
          <a:picLocks noChangeAspect="1"/>
        </xdr:cNvPicPr>
      </xdr:nvPicPr>
      <xdr:blipFill>
        <a:blip xmlns:r="http://schemas.openxmlformats.org/officeDocument/2006/relationships" r:embed="rId4510"/>
        <a:stretch>
          <a:fillRect/>
        </a:stretch>
      </xdr:blipFill>
      <xdr:spPr>
        <a:xfrm>
          <a:off x="7235825" y="5912999350"/>
          <a:ext cx="1183640" cy="878840"/>
        </a:xfrm>
        <a:prstGeom prst="rect">
          <a:avLst/>
        </a:prstGeom>
      </xdr:spPr>
    </xdr:pic>
    <xdr:clientData/>
  </xdr:twoCellAnchor>
  <xdr:twoCellAnchor>
    <xdr:from>
      <xdr:col>9</xdr:col>
      <xdr:colOff>6350</xdr:colOff>
      <xdr:row>5793</xdr:row>
      <xdr:rowOff>25400</xdr:rowOff>
    </xdr:from>
    <xdr:to>
      <xdr:col>9</xdr:col>
      <xdr:colOff>1189990</xdr:colOff>
      <xdr:row>5793</xdr:row>
      <xdr:rowOff>904240</xdr:rowOff>
    </xdr:to>
    <xdr:pic>
      <xdr:nvPicPr>
        <xdr:cNvPr id="9903" name="Изображение 9902" descr="resizeПП-00270142"/>
        <xdr:cNvPicPr>
          <a:picLocks noChangeAspect="1"/>
        </xdr:cNvPicPr>
      </xdr:nvPicPr>
      <xdr:blipFill>
        <a:blip xmlns:r="http://schemas.openxmlformats.org/officeDocument/2006/relationships" r:embed="rId4511"/>
        <a:stretch>
          <a:fillRect/>
        </a:stretch>
      </xdr:blipFill>
      <xdr:spPr>
        <a:xfrm>
          <a:off x="7235825" y="5914221725"/>
          <a:ext cx="1183640" cy="878840"/>
        </a:xfrm>
        <a:prstGeom prst="rect">
          <a:avLst/>
        </a:prstGeom>
      </xdr:spPr>
    </xdr:pic>
    <xdr:clientData/>
  </xdr:twoCellAnchor>
  <xdr:twoCellAnchor>
    <xdr:from>
      <xdr:col>9</xdr:col>
      <xdr:colOff>6350</xdr:colOff>
      <xdr:row>5794</xdr:row>
      <xdr:rowOff>25400</xdr:rowOff>
    </xdr:from>
    <xdr:to>
      <xdr:col>9</xdr:col>
      <xdr:colOff>885190</xdr:colOff>
      <xdr:row>5794</xdr:row>
      <xdr:rowOff>1209040</xdr:rowOff>
    </xdr:to>
    <xdr:pic>
      <xdr:nvPicPr>
        <xdr:cNvPr id="9904" name="Изображение 9903" descr="resizeПП-00270137"/>
        <xdr:cNvPicPr>
          <a:picLocks noChangeAspect="1"/>
        </xdr:cNvPicPr>
      </xdr:nvPicPr>
      <xdr:blipFill>
        <a:blip xmlns:r="http://schemas.openxmlformats.org/officeDocument/2006/relationships" r:embed="rId4512"/>
        <a:stretch>
          <a:fillRect/>
        </a:stretch>
      </xdr:blipFill>
      <xdr:spPr>
        <a:xfrm>
          <a:off x="7235825" y="5915444100"/>
          <a:ext cx="878840" cy="1183640"/>
        </a:xfrm>
        <a:prstGeom prst="rect">
          <a:avLst/>
        </a:prstGeom>
      </xdr:spPr>
    </xdr:pic>
    <xdr:clientData/>
  </xdr:twoCellAnchor>
  <xdr:twoCellAnchor>
    <xdr:from>
      <xdr:col>9</xdr:col>
      <xdr:colOff>6350</xdr:colOff>
      <xdr:row>5795</xdr:row>
      <xdr:rowOff>25400</xdr:rowOff>
    </xdr:from>
    <xdr:to>
      <xdr:col>9</xdr:col>
      <xdr:colOff>1189990</xdr:colOff>
      <xdr:row>5795</xdr:row>
      <xdr:rowOff>904240</xdr:rowOff>
    </xdr:to>
    <xdr:pic>
      <xdr:nvPicPr>
        <xdr:cNvPr id="9905" name="Изображение 9904" descr="resizeПП-00270140"/>
        <xdr:cNvPicPr>
          <a:picLocks noChangeAspect="1"/>
        </xdr:cNvPicPr>
      </xdr:nvPicPr>
      <xdr:blipFill>
        <a:blip xmlns:r="http://schemas.openxmlformats.org/officeDocument/2006/relationships" r:embed="rId4513"/>
        <a:stretch>
          <a:fillRect/>
        </a:stretch>
      </xdr:blipFill>
      <xdr:spPr>
        <a:xfrm>
          <a:off x="7235825" y="5916666475"/>
          <a:ext cx="1183640" cy="878840"/>
        </a:xfrm>
        <a:prstGeom prst="rect">
          <a:avLst/>
        </a:prstGeom>
      </xdr:spPr>
    </xdr:pic>
    <xdr:clientData/>
  </xdr:twoCellAnchor>
  <xdr:twoCellAnchor>
    <xdr:from>
      <xdr:col>9</xdr:col>
      <xdr:colOff>6350</xdr:colOff>
      <xdr:row>5796</xdr:row>
      <xdr:rowOff>25400</xdr:rowOff>
    </xdr:from>
    <xdr:to>
      <xdr:col>9</xdr:col>
      <xdr:colOff>1189990</xdr:colOff>
      <xdr:row>5796</xdr:row>
      <xdr:rowOff>904240</xdr:rowOff>
    </xdr:to>
    <xdr:pic>
      <xdr:nvPicPr>
        <xdr:cNvPr id="9906" name="Изображение 9905" descr="resizeПП-00270145"/>
        <xdr:cNvPicPr>
          <a:picLocks noChangeAspect="1"/>
        </xdr:cNvPicPr>
      </xdr:nvPicPr>
      <xdr:blipFill>
        <a:blip xmlns:r="http://schemas.openxmlformats.org/officeDocument/2006/relationships" r:embed="rId4514"/>
        <a:stretch>
          <a:fillRect/>
        </a:stretch>
      </xdr:blipFill>
      <xdr:spPr>
        <a:xfrm>
          <a:off x="7235825" y="5917888850"/>
          <a:ext cx="1183640" cy="878840"/>
        </a:xfrm>
        <a:prstGeom prst="rect">
          <a:avLst/>
        </a:prstGeom>
      </xdr:spPr>
    </xdr:pic>
    <xdr:clientData/>
  </xdr:twoCellAnchor>
  <xdr:twoCellAnchor>
    <xdr:from>
      <xdr:col>9</xdr:col>
      <xdr:colOff>6350</xdr:colOff>
      <xdr:row>5797</xdr:row>
      <xdr:rowOff>25400</xdr:rowOff>
    </xdr:from>
    <xdr:to>
      <xdr:col>9</xdr:col>
      <xdr:colOff>885190</xdr:colOff>
      <xdr:row>5797</xdr:row>
      <xdr:rowOff>1209040</xdr:rowOff>
    </xdr:to>
    <xdr:pic>
      <xdr:nvPicPr>
        <xdr:cNvPr id="9907" name="Изображение 9906" descr="resizeПП-00270143"/>
        <xdr:cNvPicPr>
          <a:picLocks noChangeAspect="1"/>
        </xdr:cNvPicPr>
      </xdr:nvPicPr>
      <xdr:blipFill>
        <a:blip xmlns:r="http://schemas.openxmlformats.org/officeDocument/2006/relationships" r:embed="rId4515"/>
        <a:stretch>
          <a:fillRect/>
        </a:stretch>
      </xdr:blipFill>
      <xdr:spPr>
        <a:xfrm>
          <a:off x="7235825" y="5919111225"/>
          <a:ext cx="878840" cy="1183640"/>
        </a:xfrm>
        <a:prstGeom prst="rect">
          <a:avLst/>
        </a:prstGeom>
      </xdr:spPr>
    </xdr:pic>
    <xdr:clientData/>
  </xdr:twoCellAnchor>
  <xdr:twoCellAnchor>
    <xdr:from>
      <xdr:col>9</xdr:col>
      <xdr:colOff>6350</xdr:colOff>
      <xdr:row>5798</xdr:row>
      <xdr:rowOff>25400</xdr:rowOff>
    </xdr:from>
    <xdr:to>
      <xdr:col>9</xdr:col>
      <xdr:colOff>1189990</xdr:colOff>
      <xdr:row>5798</xdr:row>
      <xdr:rowOff>904240</xdr:rowOff>
    </xdr:to>
    <xdr:pic>
      <xdr:nvPicPr>
        <xdr:cNvPr id="9908" name="Изображение 9907" descr="resizeПП-00270144"/>
        <xdr:cNvPicPr>
          <a:picLocks noChangeAspect="1"/>
        </xdr:cNvPicPr>
      </xdr:nvPicPr>
      <xdr:blipFill>
        <a:blip xmlns:r="http://schemas.openxmlformats.org/officeDocument/2006/relationships" r:embed="rId4516"/>
        <a:stretch>
          <a:fillRect/>
        </a:stretch>
      </xdr:blipFill>
      <xdr:spPr>
        <a:xfrm>
          <a:off x="7235825" y="5920333600"/>
          <a:ext cx="1183640" cy="878840"/>
        </a:xfrm>
        <a:prstGeom prst="rect">
          <a:avLst/>
        </a:prstGeom>
      </xdr:spPr>
    </xdr:pic>
    <xdr:clientData/>
  </xdr:twoCellAnchor>
  <xdr:twoCellAnchor>
    <xdr:from>
      <xdr:col>9</xdr:col>
      <xdr:colOff>6350</xdr:colOff>
      <xdr:row>5799</xdr:row>
      <xdr:rowOff>25400</xdr:rowOff>
    </xdr:from>
    <xdr:to>
      <xdr:col>9</xdr:col>
      <xdr:colOff>1189990</xdr:colOff>
      <xdr:row>5799</xdr:row>
      <xdr:rowOff>904240</xdr:rowOff>
    </xdr:to>
    <xdr:pic>
      <xdr:nvPicPr>
        <xdr:cNvPr id="9909" name="Изображение 9908" descr="resizeПП-00270139"/>
        <xdr:cNvPicPr>
          <a:picLocks noChangeAspect="1"/>
        </xdr:cNvPicPr>
      </xdr:nvPicPr>
      <xdr:blipFill>
        <a:blip xmlns:r="http://schemas.openxmlformats.org/officeDocument/2006/relationships" r:embed="rId4517"/>
        <a:stretch>
          <a:fillRect/>
        </a:stretch>
      </xdr:blipFill>
      <xdr:spPr>
        <a:xfrm>
          <a:off x="7235825" y="5921555975"/>
          <a:ext cx="1183640" cy="878840"/>
        </a:xfrm>
        <a:prstGeom prst="rect">
          <a:avLst/>
        </a:prstGeom>
      </xdr:spPr>
    </xdr:pic>
    <xdr:clientData/>
  </xdr:twoCellAnchor>
  <xdr:twoCellAnchor>
    <xdr:from>
      <xdr:col>9</xdr:col>
      <xdr:colOff>6350</xdr:colOff>
      <xdr:row>5800</xdr:row>
      <xdr:rowOff>25400</xdr:rowOff>
    </xdr:from>
    <xdr:to>
      <xdr:col>9</xdr:col>
      <xdr:colOff>885190</xdr:colOff>
      <xdr:row>5800</xdr:row>
      <xdr:rowOff>1209040</xdr:rowOff>
    </xdr:to>
    <xdr:pic>
      <xdr:nvPicPr>
        <xdr:cNvPr id="9910" name="Изображение 9909" descr="resizeПП-00270141"/>
        <xdr:cNvPicPr>
          <a:picLocks noChangeAspect="1"/>
        </xdr:cNvPicPr>
      </xdr:nvPicPr>
      <xdr:blipFill>
        <a:blip xmlns:r="http://schemas.openxmlformats.org/officeDocument/2006/relationships" r:embed="rId4518"/>
        <a:stretch>
          <a:fillRect/>
        </a:stretch>
      </xdr:blipFill>
      <xdr:spPr>
        <a:xfrm>
          <a:off x="7235825" y="5922778350"/>
          <a:ext cx="878840" cy="1183640"/>
        </a:xfrm>
        <a:prstGeom prst="rect">
          <a:avLst/>
        </a:prstGeom>
      </xdr:spPr>
    </xdr:pic>
    <xdr:clientData/>
  </xdr:twoCellAnchor>
  <xdr:twoCellAnchor>
    <xdr:from>
      <xdr:col>9</xdr:col>
      <xdr:colOff>6350</xdr:colOff>
      <xdr:row>5801</xdr:row>
      <xdr:rowOff>25400</xdr:rowOff>
    </xdr:from>
    <xdr:to>
      <xdr:col>9</xdr:col>
      <xdr:colOff>1189990</xdr:colOff>
      <xdr:row>5801</xdr:row>
      <xdr:rowOff>904240</xdr:rowOff>
    </xdr:to>
    <xdr:pic>
      <xdr:nvPicPr>
        <xdr:cNvPr id="9911" name="Изображение 9910" descr="resizeПП-00270138"/>
        <xdr:cNvPicPr>
          <a:picLocks noChangeAspect="1"/>
        </xdr:cNvPicPr>
      </xdr:nvPicPr>
      <xdr:blipFill>
        <a:blip xmlns:r="http://schemas.openxmlformats.org/officeDocument/2006/relationships" r:embed="rId4519"/>
        <a:stretch>
          <a:fillRect/>
        </a:stretch>
      </xdr:blipFill>
      <xdr:spPr>
        <a:xfrm>
          <a:off x="7235825" y="5924000725"/>
          <a:ext cx="1183640" cy="878840"/>
        </a:xfrm>
        <a:prstGeom prst="rect">
          <a:avLst/>
        </a:prstGeom>
      </xdr:spPr>
    </xdr:pic>
    <xdr:clientData/>
  </xdr:twoCellAnchor>
  <xdr:twoCellAnchor>
    <xdr:from>
      <xdr:col>9</xdr:col>
      <xdr:colOff>6350</xdr:colOff>
      <xdr:row>5803</xdr:row>
      <xdr:rowOff>25400</xdr:rowOff>
    </xdr:from>
    <xdr:to>
      <xdr:col>9</xdr:col>
      <xdr:colOff>885190</xdr:colOff>
      <xdr:row>5803</xdr:row>
      <xdr:rowOff>1209040</xdr:rowOff>
    </xdr:to>
    <xdr:pic>
      <xdr:nvPicPr>
        <xdr:cNvPr id="9912" name="Изображение 9911" descr="resizeПП-00270160"/>
        <xdr:cNvPicPr>
          <a:picLocks noChangeAspect="1"/>
        </xdr:cNvPicPr>
      </xdr:nvPicPr>
      <xdr:blipFill>
        <a:blip xmlns:r="http://schemas.openxmlformats.org/officeDocument/2006/relationships" r:embed="rId4520"/>
        <a:stretch>
          <a:fillRect/>
        </a:stretch>
      </xdr:blipFill>
      <xdr:spPr>
        <a:xfrm>
          <a:off x="7235825" y="5925375500"/>
          <a:ext cx="878840" cy="1183640"/>
        </a:xfrm>
        <a:prstGeom prst="rect">
          <a:avLst/>
        </a:prstGeom>
      </xdr:spPr>
    </xdr:pic>
    <xdr:clientData/>
  </xdr:twoCellAnchor>
  <xdr:twoCellAnchor>
    <xdr:from>
      <xdr:col>9</xdr:col>
      <xdr:colOff>6350</xdr:colOff>
      <xdr:row>5804</xdr:row>
      <xdr:rowOff>25400</xdr:rowOff>
    </xdr:from>
    <xdr:to>
      <xdr:col>9</xdr:col>
      <xdr:colOff>885190</xdr:colOff>
      <xdr:row>5804</xdr:row>
      <xdr:rowOff>1209040</xdr:rowOff>
    </xdr:to>
    <xdr:pic>
      <xdr:nvPicPr>
        <xdr:cNvPr id="9913" name="Изображение 9912" descr="resizeПП-00270159"/>
        <xdr:cNvPicPr>
          <a:picLocks noChangeAspect="1"/>
        </xdr:cNvPicPr>
      </xdr:nvPicPr>
      <xdr:blipFill>
        <a:blip xmlns:r="http://schemas.openxmlformats.org/officeDocument/2006/relationships" r:embed="rId4521"/>
        <a:stretch>
          <a:fillRect/>
        </a:stretch>
      </xdr:blipFill>
      <xdr:spPr>
        <a:xfrm>
          <a:off x="7235825" y="5926597875"/>
          <a:ext cx="878840" cy="1183640"/>
        </a:xfrm>
        <a:prstGeom prst="rect">
          <a:avLst/>
        </a:prstGeom>
      </xdr:spPr>
    </xdr:pic>
    <xdr:clientData/>
  </xdr:twoCellAnchor>
  <xdr:twoCellAnchor>
    <xdr:from>
      <xdr:col>9</xdr:col>
      <xdr:colOff>6350</xdr:colOff>
      <xdr:row>5805</xdr:row>
      <xdr:rowOff>25400</xdr:rowOff>
    </xdr:from>
    <xdr:to>
      <xdr:col>9</xdr:col>
      <xdr:colOff>1189990</xdr:colOff>
      <xdr:row>5805</xdr:row>
      <xdr:rowOff>904240</xdr:rowOff>
    </xdr:to>
    <xdr:pic>
      <xdr:nvPicPr>
        <xdr:cNvPr id="9914" name="Изображение 9913" descr="resizeПП-00270158"/>
        <xdr:cNvPicPr>
          <a:picLocks noChangeAspect="1"/>
        </xdr:cNvPicPr>
      </xdr:nvPicPr>
      <xdr:blipFill>
        <a:blip xmlns:r="http://schemas.openxmlformats.org/officeDocument/2006/relationships" r:embed="rId4522"/>
        <a:stretch>
          <a:fillRect/>
        </a:stretch>
      </xdr:blipFill>
      <xdr:spPr>
        <a:xfrm>
          <a:off x="7235825" y="5927820250"/>
          <a:ext cx="1183640" cy="878840"/>
        </a:xfrm>
        <a:prstGeom prst="rect">
          <a:avLst/>
        </a:prstGeom>
      </xdr:spPr>
    </xdr:pic>
    <xdr:clientData/>
  </xdr:twoCellAnchor>
  <xdr:twoCellAnchor>
    <xdr:from>
      <xdr:col>9</xdr:col>
      <xdr:colOff>6350</xdr:colOff>
      <xdr:row>5806</xdr:row>
      <xdr:rowOff>25400</xdr:rowOff>
    </xdr:from>
    <xdr:to>
      <xdr:col>9</xdr:col>
      <xdr:colOff>1189990</xdr:colOff>
      <xdr:row>5806</xdr:row>
      <xdr:rowOff>904240</xdr:rowOff>
    </xdr:to>
    <xdr:pic>
      <xdr:nvPicPr>
        <xdr:cNvPr id="9915" name="Изображение 9914" descr="resizeПП-00270156"/>
        <xdr:cNvPicPr>
          <a:picLocks noChangeAspect="1"/>
        </xdr:cNvPicPr>
      </xdr:nvPicPr>
      <xdr:blipFill>
        <a:blip xmlns:r="http://schemas.openxmlformats.org/officeDocument/2006/relationships" r:embed="rId4523"/>
        <a:stretch>
          <a:fillRect/>
        </a:stretch>
      </xdr:blipFill>
      <xdr:spPr>
        <a:xfrm>
          <a:off x="7235825" y="5929042625"/>
          <a:ext cx="1183640" cy="878840"/>
        </a:xfrm>
        <a:prstGeom prst="rect">
          <a:avLst/>
        </a:prstGeom>
      </xdr:spPr>
    </xdr:pic>
    <xdr:clientData/>
  </xdr:twoCellAnchor>
  <xdr:twoCellAnchor>
    <xdr:from>
      <xdr:col>9</xdr:col>
      <xdr:colOff>6350</xdr:colOff>
      <xdr:row>5807</xdr:row>
      <xdr:rowOff>25400</xdr:rowOff>
    </xdr:from>
    <xdr:to>
      <xdr:col>9</xdr:col>
      <xdr:colOff>1189990</xdr:colOff>
      <xdr:row>5807</xdr:row>
      <xdr:rowOff>904240</xdr:rowOff>
    </xdr:to>
    <xdr:pic>
      <xdr:nvPicPr>
        <xdr:cNvPr id="9916" name="Изображение 9915" descr="resizeПП-00270157"/>
        <xdr:cNvPicPr>
          <a:picLocks noChangeAspect="1"/>
        </xdr:cNvPicPr>
      </xdr:nvPicPr>
      <xdr:blipFill>
        <a:blip xmlns:r="http://schemas.openxmlformats.org/officeDocument/2006/relationships" r:embed="rId4524"/>
        <a:stretch>
          <a:fillRect/>
        </a:stretch>
      </xdr:blipFill>
      <xdr:spPr>
        <a:xfrm>
          <a:off x="7235825" y="5930265000"/>
          <a:ext cx="1183640" cy="878840"/>
        </a:xfrm>
        <a:prstGeom prst="rect">
          <a:avLst/>
        </a:prstGeom>
      </xdr:spPr>
    </xdr:pic>
    <xdr:clientData/>
  </xdr:twoCellAnchor>
  <xdr:twoCellAnchor>
    <xdr:from>
      <xdr:col>9</xdr:col>
      <xdr:colOff>6350</xdr:colOff>
      <xdr:row>5808</xdr:row>
      <xdr:rowOff>25400</xdr:rowOff>
    </xdr:from>
    <xdr:to>
      <xdr:col>9</xdr:col>
      <xdr:colOff>885190</xdr:colOff>
      <xdr:row>5808</xdr:row>
      <xdr:rowOff>1209040</xdr:rowOff>
    </xdr:to>
    <xdr:pic>
      <xdr:nvPicPr>
        <xdr:cNvPr id="9917" name="Изображение 9916" descr="resizeПП-00251550"/>
        <xdr:cNvPicPr>
          <a:picLocks noChangeAspect="1"/>
        </xdr:cNvPicPr>
      </xdr:nvPicPr>
      <xdr:blipFill>
        <a:blip xmlns:r="http://schemas.openxmlformats.org/officeDocument/2006/relationships" r:embed="rId4525"/>
        <a:stretch>
          <a:fillRect/>
        </a:stretch>
      </xdr:blipFill>
      <xdr:spPr>
        <a:xfrm>
          <a:off x="7235825" y="5931487375"/>
          <a:ext cx="878840" cy="1183640"/>
        </a:xfrm>
        <a:prstGeom prst="rect">
          <a:avLst/>
        </a:prstGeom>
      </xdr:spPr>
    </xdr:pic>
    <xdr:clientData/>
  </xdr:twoCellAnchor>
  <xdr:twoCellAnchor>
    <xdr:from>
      <xdr:col>9</xdr:col>
      <xdr:colOff>6350</xdr:colOff>
      <xdr:row>5809</xdr:row>
      <xdr:rowOff>25400</xdr:rowOff>
    </xdr:from>
    <xdr:to>
      <xdr:col>9</xdr:col>
      <xdr:colOff>593090</xdr:colOff>
      <xdr:row>5809</xdr:row>
      <xdr:rowOff>1209040</xdr:rowOff>
    </xdr:to>
    <xdr:pic>
      <xdr:nvPicPr>
        <xdr:cNvPr id="9918" name="Изображение 9917" descr="resizeПП-00251546"/>
        <xdr:cNvPicPr>
          <a:picLocks noChangeAspect="1"/>
        </xdr:cNvPicPr>
      </xdr:nvPicPr>
      <xdr:blipFill>
        <a:blip xmlns:r="http://schemas.openxmlformats.org/officeDocument/2006/relationships" r:embed="rId4526"/>
        <a:stretch>
          <a:fillRect/>
        </a:stretch>
      </xdr:blipFill>
      <xdr:spPr>
        <a:xfrm>
          <a:off x="7235825" y="5932709750"/>
          <a:ext cx="586740" cy="1183640"/>
        </a:xfrm>
        <a:prstGeom prst="rect">
          <a:avLst/>
        </a:prstGeom>
      </xdr:spPr>
    </xdr:pic>
    <xdr:clientData/>
  </xdr:twoCellAnchor>
  <xdr:twoCellAnchor>
    <xdr:from>
      <xdr:col>9</xdr:col>
      <xdr:colOff>6350</xdr:colOff>
      <xdr:row>5810</xdr:row>
      <xdr:rowOff>25400</xdr:rowOff>
    </xdr:from>
    <xdr:to>
      <xdr:col>9</xdr:col>
      <xdr:colOff>1189990</xdr:colOff>
      <xdr:row>5810</xdr:row>
      <xdr:rowOff>904240</xdr:rowOff>
    </xdr:to>
    <xdr:pic>
      <xdr:nvPicPr>
        <xdr:cNvPr id="9919" name="Изображение 9918" descr="resizeПП-00251548"/>
        <xdr:cNvPicPr>
          <a:picLocks noChangeAspect="1"/>
        </xdr:cNvPicPr>
      </xdr:nvPicPr>
      <xdr:blipFill>
        <a:blip xmlns:r="http://schemas.openxmlformats.org/officeDocument/2006/relationships" r:embed="rId4527"/>
        <a:stretch>
          <a:fillRect/>
        </a:stretch>
      </xdr:blipFill>
      <xdr:spPr>
        <a:xfrm>
          <a:off x="7235825" y="5933932125"/>
          <a:ext cx="1183640" cy="878840"/>
        </a:xfrm>
        <a:prstGeom prst="rect">
          <a:avLst/>
        </a:prstGeom>
      </xdr:spPr>
    </xdr:pic>
    <xdr:clientData/>
  </xdr:twoCellAnchor>
  <xdr:twoCellAnchor>
    <xdr:from>
      <xdr:col>9</xdr:col>
      <xdr:colOff>6350</xdr:colOff>
      <xdr:row>5812</xdr:row>
      <xdr:rowOff>25400</xdr:rowOff>
    </xdr:from>
    <xdr:to>
      <xdr:col>9</xdr:col>
      <xdr:colOff>885190</xdr:colOff>
      <xdr:row>5812</xdr:row>
      <xdr:rowOff>1209040</xdr:rowOff>
    </xdr:to>
    <xdr:pic>
      <xdr:nvPicPr>
        <xdr:cNvPr id="9920" name="Изображение 9919" descr="resizeПП-00278615"/>
        <xdr:cNvPicPr>
          <a:picLocks noChangeAspect="1"/>
        </xdr:cNvPicPr>
      </xdr:nvPicPr>
      <xdr:blipFill>
        <a:blip xmlns:r="http://schemas.openxmlformats.org/officeDocument/2006/relationships" r:embed="rId4528"/>
        <a:stretch>
          <a:fillRect/>
        </a:stretch>
      </xdr:blipFill>
      <xdr:spPr>
        <a:xfrm>
          <a:off x="7235825" y="5935306900"/>
          <a:ext cx="878840" cy="1183640"/>
        </a:xfrm>
        <a:prstGeom prst="rect">
          <a:avLst/>
        </a:prstGeom>
      </xdr:spPr>
    </xdr:pic>
    <xdr:clientData/>
  </xdr:twoCellAnchor>
  <xdr:twoCellAnchor>
    <xdr:from>
      <xdr:col>9</xdr:col>
      <xdr:colOff>6350</xdr:colOff>
      <xdr:row>5813</xdr:row>
      <xdr:rowOff>25400</xdr:rowOff>
    </xdr:from>
    <xdr:to>
      <xdr:col>9</xdr:col>
      <xdr:colOff>885190</xdr:colOff>
      <xdr:row>5813</xdr:row>
      <xdr:rowOff>1209040</xdr:rowOff>
    </xdr:to>
    <xdr:pic>
      <xdr:nvPicPr>
        <xdr:cNvPr id="9921" name="Изображение 9920" descr="resizeПП-00259496"/>
        <xdr:cNvPicPr>
          <a:picLocks noChangeAspect="1"/>
        </xdr:cNvPicPr>
      </xdr:nvPicPr>
      <xdr:blipFill>
        <a:blip xmlns:r="http://schemas.openxmlformats.org/officeDocument/2006/relationships" r:embed="rId4529"/>
        <a:stretch>
          <a:fillRect/>
        </a:stretch>
      </xdr:blipFill>
      <xdr:spPr>
        <a:xfrm>
          <a:off x="7235825" y="5936529275"/>
          <a:ext cx="878840" cy="1183640"/>
        </a:xfrm>
        <a:prstGeom prst="rect">
          <a:avLst/>
        </a:prstGeom>
      </xdr:spPr>
    </xdr:pic>
    <xdr:clientData/>
  </xdr:twoCellAnchor>
  <xdr:twoCellAnchor>
    <xdr:from>
      <xdr:col>9</xdr:col>
      <xdr:colOff>6350</xdr:colOff>
      <xdr:row>5814</xdr:row>
      <xdr:rowOff>25400</xdr:rowOff>
    </xdr:from>
    <xdr:to>
      <xdr:col>9</xdr:col>
      <xdr:colOff>885190</xdr:colOff>
      <xdr:row>5814</xdr:row>
      <xdr:rowOff>1209040</xdr:rowOff>
    </xdr:to>
    <xdr:pic>
      <xdr:nvPicPr>
        <xdr:cNvPr id="9922" name="Изображение 9921" descr="resizeПП-00278619"/>
        <xdr:cNvPicPr>
          <a:picLocks noChangeAspect="1"/>
        </xdr:cNvPicPr>
      </xdr:nvPicPr>
      <xdr:blipFill>
        <a:blip xmlns:r="http://schemas.openxmlformats.org/officeDocument/2006/relationships" r:embed="rId4530"/>
        <a:stretch>
          <a:fillRect/>
        </a:stretch>
      </xdr:blipFill>
      <xdr:spPr>
        <a:xfrm>
          <a:off x="7235825" y="5937751650"/>
          <a:ext cx="878840" cy="1183640"/>
        </a:xfrm>
        <a:prstGeom prst="rect">
          <a:avLst/>
        </a:prstGeom>
      </xdr:spPr>
    </xdr:pic>
    <xdr:clientData/>
  </xdr:twoCellAnchor>
  <xdr:twoCellAnchor>
    <xdr:from>
      <xdr:col>9</xdr:col>
      <xdr:colOff>6350</xdr:colOff>
      <xdr:row>5815</xdr:row>
      <xdr:rowOff>25400</xdr:rowOff>
    </xdr:from>
    <xdr:to>
      <xdr:col>9</xdr:col>
      <xdr:colOff>885190</xdr:colOff>
      <xdr:row>5815</xdr:row>
      <xdr:rowOff>1209040</xdr:rowOff>
    </xdr:to>
    <xdr:pic>
      <xdr:nvPicPr>
        <xdr:cNvPr id="9923" name="Изображение 9922" descr="resizeПП-00278620"/>
        <xdr:cNvPicPr>
          <a:picLocks noChangeAspect="1"/>
        </xdr:cNvPicPr>
      </xdr:nvPicPr>
      <xdr:blipFill>
        <a:blip xmlns:r="http://schemas.openxmlformats.org/officeDocument/2006/relationships" r:embed="rId4531"/>
        <a:stretch>
          <a:fillRect/>
        </a:stretch>
      </xdr:blipFill>
      <xdr:spPr>
        <a:xfrm>
          <a:off x="7235825" y="5938974025"/>
          <a:ext cx="878840" cy="1183640"/>
        </a:xfrm>
        <a:prstGeom prst="rect">
          <a:avLst/>
        </a:prstGeom>
      </xdr:spPr>
    </xdr:pic>
    <xdr:clientData/>
  </xdr:twoCellAnchor>
  <xdr:twoCellAnchor>
    <xdr:from>
      <xdr:col>9</xdr:col>
      <xdr:colOff>6350</xdr:colOff>
      <xdr:row>5816</xdr:row>
      <xdr:rowOff>25400</xdr:rowOff>
    </xdr:from>
    <xdr:to>
      <xdr:col>9</xdr:col>
      <xdr:colOff>885190</xdr:colOff>
      <xdr:row>5816</xdr:row>
      <xdr:rowOff>1209040</xdr:rowOff>
    </xdr:to>
    <xdr:pic>
      <xdr:nvPicPr>
        <xdr:cNvPr id="9924" name="Изображение 9923" descr="resizeПП-00278604"/>
        <xdr:cNvPicPr>
          <a:picLocks noChangeAspect="1"/>
        </xdr:cNvPicPr>
      </xdr:nvPicPr>
      <xdr:blipFill>
        <a:blip xmlns:r="http://schemas.openxmlformats.org/officeDocument/2006/relationships" r:embed="rId4532"/>
        <a:stretch>
          <a:fillRect/>
        </a:stretch>
      </xdr:blipFill>
      <xdr:spPr>
        <a:xfrm>
          <a:off x="7235825" y="5940196400"/>
          <a:ext cx="878840" cy="1183640"/>
        </a:xfrm>
        <a:prstGeom prst="rect">
          <a:avLst/>
        </a:prstGeom>
      </xdr:spPr>
    </xdr:pic>
    <xdr:clientData/>
  </xdr:twoCellAnchor>
  <xdr:twoCellAnchor>
    <xdr:from>
      <xdr:col>9</xdr:col>
      <xdr:colOff>6350</xdr:colOff>
      <xdr:row>5817</xdr:row>
      <xdr:rowOff>25400</xdr:rowOff>
    </xdr:from>
    <xdr:to>
      <xdr:col>9</xdr:col>
      <xdr:colOff>885190</xdr:colOff>
      <xdr:row>5817</xdr:row>
      <xdr:rowOff>1209040</xdr:rowOff>
    </xdr:to>
    <xdr:pic>
      <xdr:nvPicPr>
        <xdr:cNvPr id="9925" name="Изображение 9924" descr="resizeПП-00278613"/>
        <xdr:cNvPicPr>
          <a:picLocks noChangeAspect="1"/>
        </xdr:cNvPicPr>
      </xdr:nvPicPr>
      <xdr:blipFill>
        <a:blip xmlns:r="http://schemas.openxmlformats.org/officeDocument/2006/relationships" r:embed="rId4533"/>
        <a:stretch>
          <a:fillRect/>
        </a:stretch>
      </xdr:blipFill>
      <xdr:spPr>
        <a:xfrm>
          <a:off x="7235825" y="5941418775"/>
          <a:ext cx="878840" cy="1183640"/>
        </a:xfrm>
        <a:prstGeom prst="rect">
          <a:avLst/>
        </a:prstGeom>
      </xdr:spPr>
    </xdr:pic>
    <xdr:clientData/>
  </xdr:twoCellAnchor>
  <xdr:twoCellAnchor>
    <xdr:from>
      <xdr:col>9</xdr:col>
      <xdr:colOff>6350</xdr:colOff>
      <xdr:row>5818</xdr:row>
      <xdr:rowOff>25400</xdr:rowOff>
    </xdr:from>
    <xdr:to>
      <xdr:col>9</xdr:col>
      <xdr:colOff>885190</xdr:colOff>
      <xdr:row>5818</xdr:row>
      <xdr:rowOff>1209040</xdr:rowOff>
    </xdr:to>
    <xdr:pic>
      <xdr:nvPicPr>
        <xdr:cNvPr id="9926" name="Изображение 9925" descr="resizeПП-00278621"/>
        <xdr:cNvPicPr>
          <a:picLocks noChangeAspect="1"/>
        </xdr:cNvPicPr>
      </xdr:nvPicPr>
      <xdr:blipFill>
        <a:blip xmlns:r="http://schemas.openxmlformats.org/officeDocument/2006/relationships" r:embed="rId4534"/>
        <a:stretch>
          <a:fillRect/>
        </a:stretch>
      </xdr:blipFill>
      <xdr:spPr>
        <a:xfrm>
          <a:off x="7235825" y="5942641150"/>
          <a:ext cx="878840" cy="1183640"/>
        </a:xfrm>
        <a:prstGeom prst="rect">
          <a:avLst/>
        </a:prstGeom>
      </xdr:spPr>
    </xdr:pic>
    <xdr:clientData/>
  </xdr:twoCellAnchor>
  <xdr:twoCellAnchor>
    <xdr:from>
      <xdr:col>9</xdr:col>
      <xdr:colOff>6350</xdr:colOff>
      <xdr:row>5819</xdr:row>
      <xdr:rowOff>25400</xdr:rowOff>
    </xdr:from>
    <xdr:to>
      <xdr:col>9</xdr:col>
      <xdr:colOff>885190</xdr:colOff>
      <xdr:row>5819</xdr:row>
      <xdr:rowOff>1209040</xdr:rowOff>
    </xdr:to>
    <xdr:pic>
      <xdr:nvPicPr>
        <xdr:cNvPr id="9927" name="Изображение 9926" descr="resizeПП-00259494"/>
        <xdr:cNvPicPr>
          <a:picLocks noChangeAspect="1"/>
        </xdr:cNvPicPr>
      </xdr:nvPicPr>
      <xdr:blipFill>
        <a:blip xmlns:r="http://schemas.openxmlformats.org/officeDocument/2006/relationships" r:embed="rId4535"/>
        <a:stretch>
          <a:fillRect/>
        </a:stretch>
      </xdr:blipFill>
      <xdr:spPr>
        <a:xfrm>
          <a:off x="7235825" y="5943863525"/>
          <a:ext cx="878840" cy="1183640"/>
        </a:xfrm>
        <a:prstGeom prst="rect">
          <a:avLst/>
        </a:prstGeom>
      </xdr:spPr>
    </xdr:pic>
    <xdr:clientData/>
  </xdr:twoCellAnchor>
  <xdr:twoCellAnchor>
    <xdr:from>
      <xdr:col>9</xdr:col>
      <xdr:colOff>6350</xdr:colOff>
      <xdr:row>5820</xdr:row>
      <xdr:rowOff>25400</xdr:rowOff>
    </xdr:from>
    <xdr:to>
      <xdr:col>9</xdr:col>
      <xdr:colOff>885190</xdr:colOff>
      <xdr:row>5820</xdr:row>
      <xdr:rowOff>1209040</xdr:rowOff>
    </xdr:to>
    <xdr:pic>
      <xdr:nvPicPr>
        <xdr:cNvPr id="9928" name="Изображение 9927" descr="resizeПП-00278612"/>
        <xdr:cNvPicPr>
          <a:picLocks noChangeAspect="1"/>
        </xdr:cNvPicPr>
      </xdr:nvPicPr>
      <xdr:blipFill>
        <a:blip xmlns:r="http://schemas.openxmlformats.org/officeDocument/2006/relationships" r:embed="rId4536"/>
        <a:stretch>
          <a:fillRect/>
        </a:stretch>
      </xdr:blipFill>
      <xdr:spPr>
        <a:xfrm>
          <a:off x="7235825" y="5945085900"/>
          <a:ext cx="878840" cy="1183640"/>
        </a:xfrm>
        <a:prstGeom prst="rect">
          <a:avLst/>
        </a:prstGeom>
      </xdr:spPr>
    </xdr:pic>
    <xdr:clientData/>
  </xdr:twoCellAnchor>
  <xdr:twoCellAnchor>
    <xdr:from>
      <xdr:col>9</xdr:col>
      <xdr:colOff>6350</xdr:colOff>
      <xdr:row>5821</xdr:row>
      <xdr:rowOff>25400</xdr:rowOff>
    </xdr:from>
    <xdr:to>
      <xdr:col>9</xdr:col>
      <xdr:colOff>1189990</xdr:colOff>
      <xdr:row>5821</xdr:row>
      <xdr:rowOff>904240</xdr:rowOff>
    </xdr:to>
    <xdr:pic>
      <xdr:nvPicPr>
        <xdr:cNvPr id="9929" name="Изображение 9928" descr="resizeПП-00259499"/>
        <xdr:cNvPicPr>
          <a:picLocks noChangeAspect="1"/>
        </xdr:cNvPicPr>
      </xdr:nvPicPr>
      <xdr:blipFill>
        <a:blip xmlns:r="http://schemas.openxmlformats.org/officeDocument/2006/relationships" r:embed="rId4537"/>
        <a:stretch>
          <a:fillRect/>
        </a:stretch>
      </xdr:blipFill>
      <xdr:spPr>
        <a:xfrm>
          <a:off x="7235825" y="5946308275"/>
          <a:ext cx="1183640" cy="878840"/>
        </a:xfrm>
        <a:prstGeom prst="rect">
          <a:avLst/>
        </a:prstGeom>
      </xdr:spPr>
    </xdr:pic>
    <xdr:clientData/>
  </xdr:twoCellAnchor>
  <xdr:twoCellAnchor>
    <xdr:from>
      <xdr:col>9</xdr:col>
      <xdr:colOff>6350</xdr:colOff>
      <xdr:row>5822</xdr:row>
      <xdr:rowOff>25400</xdr:rowOff>
    </xdr:from>
    <xdr:to>
      <xdr:col>9</xdr:col>
      <xdr:colOff>885190</xdr:colOff>
      <xdr:row>5822</xdr:row>
      <xdr:rowOff>1209040</xdr:rowOff>
    </xdr:to>
    <xdr:pic>
      <xdr:nvPicPr>
        <xdr:cNvPr id="9930" name="Изображение 9929" descr="resizeПП-00278610"/>
        <xdr:cNvPicPr>
          <a:picLocks noChangeAspect="1"/>
        </xdr:cNvPicPr>
      </xdr:nvPicPr>
      <xdr:blipFill>
        <a:blip xmlns:r="http://schemas.openxmlformats.org/officeDocument/2006/relationships" r:embed="rId4538"/>
        <a:stretch>
          <a:fillRect/>
        </a:stretch>
      </xdr:blipFill>
      <xdr:spPr>
        <a:xfrm>
          <a:off x="7235825" y="5947530650"/>
          <a:ext cx="878840" cy="1183640"/>
        </a:xfrm>
        <a:prstGeom prst="rect">
          <a:avLst/>
        </a:prstGeom>
      </xdr:spPr>
    </xdr:pic>
    <xdr:clientData/>
  </xdr:twoCellAnchor>
  <xdr:twoCellAnchor>
    <xdr:from>
      <xdr:col>9</xdr:col>
      <xdr:colOff>6350</xdr:colOff>
      <xdr:row>5823</xdr:row>
      <xdr:rowOff>25400</xdr:rowOff>
    </xdr:from>
    <xdr:to>
      <xdr:col>9</xdr:col>
      <xdr:colOff>885190</xdr:colOff>
      <xdr:row>5823</xdr:row>
      <xdr:rowOff>1209040</xdr:rowOff>
    </xdr:to>
    <xdr:pic>
      <xdr:nvPicPr>
        <xdr:cNvPr id="9931" name="Изображение 9930" descr="resizeПП-00278618"/>
        <xdr:cNvPicPr>
          <a:picLocks noChangeAspect="1"/>
        </xdr:cNvPicPr>
      </xdr:nvPicPr>
      <xdr:blipFill>
        <a:blip xmlns:r="http://schemas.openxmlformats.org/officeDocument/2006/relationships" r:embed="rId4539"/>
        <a:stretch>
          <a:fillRect/>
        </a:stretch>
      </xdr:blipFill>
      <xdr:spPr>
        <a:xfrm>
          <a:off x="7235825" y="5948753025"/>
          <a:ext cx="878840" cy="1183640"/>
        </a:xfrm>
        <a:prstGeom prst="rect">
          <a:avLst/>
        </a:prstGeom>
      </xdr:spPr>
    </xdr:pic>
    <xdr:clientData/>
  </xdr:twoCellAnchor>
  <xdr:twoCellAnchor>
    <xdr:from>
      <xdr:col>9</xdr:col>
      <xdr:colOff>6350</xdr:colOff>
      <xdr:row>5824</xdr:row>
      <xdr:rowOff>25400</xdr:rowOff>
    </xdr:from>
    <xdr:to>
      <xdr:col>9</xdr:col>
      <xdr:colOff>885190</xdr:colOff>
      <xdr:row>5824</xdr:row>
      <xdr:rowOff>1209040</xdr:rowOff>
    </xdr:to>
    <xdr:pic>
      <xdr:nvPicPr>
        <xdr:cNvPr id="9932" name="Изображение 9931" descr="resizeПП-00278617"/>
        <xdr:cNvPicPr>
          <a:picLocks noChangeAspect="1"/>
        </xdr:cNvPicPr>
      </xdr:nvPicPr>
      <xdr:blipFill>
        <a:blip xmlns:r="http://schemas.openxmlformats.org/officeDocument/2006/relationships" r:embed="rId4540"/>
        <a:stretch>
          <a:fillRect/>
        </a:stretch>
      </xdr:blipFill>
      <xdr:spPr>
        <a:xfrm>
          <a:off x="7235825" y="5949975400"/>
          <a:ext cx="878840" cy="1183640"/>
        </a:xfrm>
        <a:prstGeom prst="rect">
          <a:avLst/>
        </a:prstGeom>
      </xdr:spPr>
    </xdr:pic>
    <xdr:clientData/>
  </xdr:twoCellAnchor>
  <xdr:twoCellAnchor>
    <xdr:from>
      <xdr:col>9</xdr:col>
      <xdr:colOff>6350</xdr:colOff>
      <xdr:row>5825</xdr:row>
      <xdr:rowOff>25400</xdr:rowOff>
    </xdr:from>
    <xdr:to>
      <xdr:col>9</xdr:col>
      <xdr:colOff>885190</xdr:colOff>
      <xdr:row>5825</xdr:row>
      <xdr:rowOff>1209040</xdr:rowOff>
    </xdr:to>
    <xdr:pic>
      <xdr:nvPicPr>
        <xdr:cNvPr id="9933" name="Изображение 9932" descr="resizeПП-00278616"/>
        <xdr:cNvPicPr>
          <a:picLocks noChangeAspect="1"/>
        </xdr:cNvPicPr>
      </xdr:nvPicPr>
      <xdr:blipFill>
        <a:blip xmlns:r="http://schemas.openxmlformats.org/officeDocument/2006/relationships" r:embed="rId4541"/>
        <a:stretch>
          <a:fillRect/>
        </a:stretch>
      </xdr:blipFill>
      <xdr:spPr>
        <a:xfrm>
          <a:off x="7235825" y="5951197775"/>
          <a:ext cx="878840" cy="1183640"/>
        </a:xfrm>
        <a:prstGeom prst="rect">
          <a:avLst/>
        </a:prstGeom>
      </xdr:spPr>
    </xdr:pic>
    <xdr:clientData/>
  </xdr:twoCellAnchor>
  <xdr:twoCellAnchor>
    <xdr:from>
      <xdr:col>9</xdr:col>
      <xdr:colOff>6350</xdr:colOff>
      <xdr:row>5826</xdr:row>
      <xdr:rowOff>25400</xdr:rowOff>
    </xdr:from>
    <xdr:to>
      <xdr:col>9</xdr:col>
      <xdr:colOff>885190</xdr:colOff>
      <xdr:row>5826</xdr:row>
      <xdr:rowOff>1209040</xdr:rowOff>
    </xdr:to>
    <xdr:pic>
      <xdr:nvPicPr>
        <xdr:cNvPr id="9934" name="Изображение 9933" descr="resizeПП-00278607"/>
        <xdr:cNvPicPr>
          <a:picLocks noChangeAspect="1"/>
        </xdr:cNvPicPr>
      </xdr:nvPicPr>
      <xdr:blipFill>
        <a:blip xmlns:r="http://schemas.openxmlformats.org/officeDocument/2006/relationships" r:embed="rId4542"/>
        <a:stretch>
          <a:fillRect/>
        </a:stretch>
      </xdr:blipFill>
      <xdr:spPr>
        <a:xfrm>
          <a:off x="7235825" y="5952420150"/>
          <a:ext cx="878840" cy="1183640"/>
        </a:xfrm>
        <a:prstGeom prst="rect">
          <a:avLst/>
        </a:prstGeom>
      </xdr:spPr>
    </xdr:pic>
    <xdr:clientData/>
  </xdr:twoCellAnchor>
  <xdr:twoCellAnchor>
    <xdr:from>
      <xdr:col>9</xdr:col>
      <xdr:colOff>6350</xdr:colOff>
      <xdr:row>5827</xdr:row>
      <xdr:rowOff>25400</xdr:rowOff>
    </xdr:from>
    <xdr:to>
      <xdr:col>9</xdr:col>
      <xdr:colOff>885190</xdr:colOff>
      <xdr:row>5827</xdr:row>
      <xdr:rowOff>1209040</xdr:rowOff>
    </xdr:to>
    <xdr:pic>
      <xdr:nvPicPr>
        <xdr:cNvPr id="9935" name="Изображение 9934" descr="resizeПП-00278614"/>
        <xdr:cNvPicPr>
          <a:picLocks noChangeAspect="1"/>
        </xdr:cNvPicPr>
      </xdr:nvPicPr>
      <xdr:blipFill>
        <a:blip xmlns:r="http://schemas.openxmlformats.org/officeDocument/2006/relationships" r:embed="rId4543"/>
        <a:stretch>
          <a:fillRect/>
        </a:stretch>
      </xdr:blipFill>
      <xdr:spPr>
        <a:xfrm>
          <a:off x="7235825" y="5953642525"/>
          <a:ext cx="878840" cy="1183640"/>
        </a:xfrm>
        <a:prstGeom prst="rect">
          <a:avLst/>
        </a:prstGeom>
      </xdr:spPr>
    </xdr:pic>
    <xdr:clientData/>
  </xdr:twoCellAnchor>
  <xdr:twoCellAnchor>
    <xdr:from>
      <xdr:col>9</xdr:col>
      <xdr:colOff>6350</xdr:colOff>
      <xdr:row>5828</xdr:row>
      <xdr:rowOff>25400</xdr:rowOff>
    </xdr:from>
    <xdr:to>
      <xdr:col>9</xdr:col>
      <xdr:colOff>885190</xdr:colOff>
      <xdr:row>5828</xdr:row>
      <xdr:rowOff>1209040</xdr:rowOff>
    </xdr:to>
    <xdr:pic>
      <xdr:nvPicPr>
        <xdr:cNvPr id="9936" name="Изображение 9935" descr="resizeПП-00278608"/>
        <xdr:cNvPicPr>
          <a:picLocks noChangeAspect="1"/>
        </xdr:cNvPicPr>
      </xdr:nvPicPr>
      <xdr:blipFill>
        <a:blip xmlns:r="http://schemas.openxmlformats.org/officeDocument/2006/relationships" r:embed="rId4544"/>
        <a:stretch>
          <a:fillRect/>
        </a:stretch>
      </xdr:blipFill>
      <xdr:spPr>
        <a:xfrm>
          <a:off x="7235825" y="5954864900"/>
          <a:ext cx="878840" cy="1183640"/>
        </a:xfrm>
        <a:prstGeom prst="rect">
          <a:avLst/>
        </a:prstGeom>
      </xdr:spPr>
    </xdr:pic>
    <xdr:clientData/>
  </xdr:twoCellAnchor>
  <xdr:twoCellAnchor>
    <xdr:from>
      <xdr:col>9</xdr:col>
      <xdr:colOff>6350</xdr:colOff>
      <xdr:row>5829</xdr:row>
      <xdr:rowOff>25400</xdr:rowOff>
    </xdr:from>
    <xdr:to>
      <xdr:col>9</xdr:col>
      <xdr:colOff>885190</xdr:colOff>
      <xdr:row>5829</xdr:row>
      <xdr:rowOff>1209040</xdr:rowOff>
    </xdr:to>
    <xdr:pic>
      <xdr:nvPicPr>
        <xdr:cNvPr id="9937" name="Изображение 9936" descr="resizeПП-00278611"/>
        <xdr:cNvPicPr>
          <a:picLocks noChangeAspect="1"/>
        </xdr:cNvPicPr>
      </xdr:nvPicPr>
      <xdr:blipFill>
        <a:blip xmlns:r="http://schemas.openxmlformats.org/officeDocument/2006/relationships" r:embed="rId4545"/>
        <a:stretch>
          <a:fillRect/>
        </a:stretch>
      </xdr:blipFill>
      <xdr:spPr>
        <a:xfrm>
          <a:off x="7235825" y="5956087275"/>
          <a:ext cx="878840" cy="1183640"/>
        </a:xfrm>
        <a:prstGeom prst="rect">
          <a:avLst/>
        </a:prstGeom>
      </xdr:spPr>
    </xdr:pic>
    <xdr:clientData/>
  </xdr:twoCellAnchor>
  <xdr:twoCellAnchor>
    <xdr:from>
      <xdr:col>9</xdr:col>
      <xdr:colOff>6350</xdr:colOff>
      <xdr:row>5831</xdr:row>
      <xdr:rowOff>25400</xdr:rowOff>
    </xdr:from>
    <xdr:to>
      <xdr:col>9</xdr:col>
      <xdr:colOff>885190</xdr:colOff>
      <xdr:row>5831</xdr:row>
      <xdr:rowOff>1209040</xdr:rowOff>
    </xdr:to>
    <xdr:pic>
      <xdr:nvPicPr>
        <xdr:cNvPr id="9938" name="Изображение 9937" descr="resizeПП-00244001"/>
        <xdr:cNvPicPr>
          <a:picLocks noChangeAspect="1"/>
        </xdr:cNvPicPr>
      </xdr:nvPicPr>
      <xdr:blipFill>
        <a:blip xmlns:r="http://schemas.openxmlformats.org/officeDocument/2006/relationships" r:embed="rId4546"/>
        <a:stretch>
          <a:fillRect/>
        </a:stretch>
      </xdr:blipFill>
      <xdr:spPr>
        <a:xfrm>
          <a:off x="7235825" y="5957462050"/>
          <a:ext cx="878840" cy="1183640"/>
        </a:xfrm>
        <a:prstGeom prst="rect">
          <a:avLst/>
        </a:prstGeom>
      </xdr:spPr>
    </xdr:pic>
    <xdr:clientData/>
  </xdr:twoCellAnchor>
  <xdr:twoCellAnchor>
    <xdr:from>
      <xdr:col>9</xdr:col>
      <xdr:colOff>6350</xdr:colOff>
      <xdr:row>5832</xdr:row>
      <xdr:rowOff>25400</xdr:rowOff>
    </xdr:from>
    <xdr:to>
      <xdr:col>9</xdr:col>
      <xdr:colOff>885190</xdr:colOff>
      <xdr:row>5832</xdr:row>
      <xdr:rowOff>1209040</xdr:rowOff>
    </xdr:to>
    <xdr:pic>
      <xdr:nvPicPr>
        <xdr:cNvPr id="9939" name="Изображение 9938" descr="resizeПП-00223487"/>
        <xdr:cNvPicPr>
          <a:picLocks noChangeAspect="1"/>
        </xdr:cNvPicPr>
      </xdr:nvPicPr>
      <xdr:blipFill>
        <a:blip xmlns:r="http://schemas.openxmlformats.org/officeDocument/2006/relationships" r:embed="rId4547"/>
        <a:stretch>
          <a:fillRect/>
        </a:stretch>
      </xdr:blipFill>
      <xdr:spPr>
        <a:xfrm>
          <a:off x="7235825" y="5958684425"/>
          <a:ext cx="878840" cy="1183640"/>
        </a:xfrm>
        <a:prstGeom prst="rect">
          <a:avLst/>
        </a:prstGeom>
      </xdr:spPr>
    </xdr:pic>
    <xdr:clientData/>
  </xdr:twoCellAnchor>
  <xdr:twoCellAnchor>
    <xdr:from>
      <xdr:col>9</xdr:col>
      <xdr:colOff>6350</xdr:colOff>
      <xdr:row>5833</xdr:row>
      <xdr:rowOff>25400</xdr:rowOff>
    </xdr:from>
    <xdr:to>
      <xdr:col>9</xdr:col>
      <xdr:colOff>1189990</xdr:colOff>
      <xdr:row>5833</xdr:row>
      <xdr:rowOff>904240</xdr:rowOff>
    </xdr:to>
    <xdr:pic>
      <xdr:nvPicPr>
        <xdr:cNvPr id="9940" name="Изображение 9939" descr="resizeПП-00243998"/>
        <xdr:cNvPicPr>
          <a:picLocks noChangeAspect="1"/>
        </xdr:cNvPicPr>
      </xdr:nvPicPr>
      <xdr:blipFill>
        <a:blip xmlns:r="http://schemas.openxmlformats.org/officeDocument/2006/relationships" r:embed="rId4548"/>
        <a:stretch>
          <a:fillRect/>
        </a:stretch>
      </xdr:blipFill>
      <xdr:spPr>
        <a:xfrm>
          <a:off x="7235825" y="5959906800"/>
          <a:ext cx="1183640" cy="878840"/>
        </a:xfrm>
        <a:prstGeom prst="rect">
          <a:avLst/>
        </a:prstGeom>
      </xdr:spPr>
    </xdr:pic>
    <xdr:clientData/>
  </xdr:twoCellAnchor>
  <xdr:twoCellAnchor>
    <xdr:from>
      <xdr:col>9</xdr:col>
      <xdr:colOff>6350</xdr:colOff>
      <xdr:row>5834</xdr:row>
      <xdr:rowOff>25400</xdr:rowOff>
    </xdr:from>
    <xdr:to>
      <xdr:col>9</xdr:col>
      <xdr:colOff>885190</xdr:colOff>
      <xdr:row>5834</xdr:row>
      <xdr:rowOff>1209040</xdr:rowOff>
    </xdr:to>
    <xdr:pic>
      <xdr:nvPicPr>
        <xdr:cNvPr id="9941" name="Изображение 9940" descr="resizeПП-00272870"/>
        <xdr:cNvPicPr>
          <a:picLocks noChangeAspect="1"/>
        </xdr:cNvPicPr>
      </xdr:nvPicPr>
      <xdr:blipFill>
        <a:blip xmlns:r="http://schemas.openxmlformats.org/officeDocument/2006/relationships" r:embed="rId4549"/>
        <a:stretch>
          <a:fillRect/>
        </a:stretch>
      </xdr:blipFill>
      <xdr:spPr>
        <a:xfrm>
          <a:off x="7235825" y="5961129175"/>
          <a:ext cx="878840" cy="1183640"/>
        </a:xfrm>
        <a:prstGeom prst="rect">
          <a:avLst/>
        </a:prstGeom>
      </xdr:spPr>
    </xdr:pic>
    <xdr:clientData/>
  </xdr:twoCellAnchor>
  <xdr:twoCellAnchor>
    <xdr:from>
      <xdr:col>9</xdr:col>
      <xdr:colOff>6350</xdr:colOff>
      <xdr:row>5835</xdr:row>
      <xdr:rowOff>25400</xdr:rowOff>
    </xdr:from>
    <xdr:to>
      <xdr:col>9</xdr:col>
      <xdr:colOff>1189990</xdr:colOff>
      <xdr:row>5835</xdr:row>
      <xdr:rowOff>904240</xdr:rowOff>
    </xdr:to>
    <xdr:pic>
      <xdr:nvPicPr>
        <xdr:cNvPr id="9942" name="Изображение 9941" descr="resizeПП-00243992"/>
        <xdr:cNvPicPr>
          <a:picLocks noChangeAspect="1"/>
        </xdr:cNvPicPr>
      </xdr:nvPicPr>
      <xdr:blipFill>
        <a:blip xmlns:r="http://schemas.openxmlformats.org/officeDocument/2006/relationships" r:embed="rId4550"/>
        <a:stretch>
          <a:fillRect/>
        </a:stretch>
      </xdr:blipFill>
      <xdr:spPr>
        <a:xfrm>
          <a:off x="7235825" y="5962351550"/>
          <a:ext cx="1183640" cy="878840"/>
        </a:xfrm>
        <a:prstGeom prst="rect">
          <a:avLst/>
        </a:prstGeom>
      </xdr:spPr>
    </xdr:pic>
    <xdr:clientData/>
  </xdr:twoCellAnchor>
  <xdr:twoCellAnchor>
    <xdr:from>
      <xdr:col>9</xdr:col>
      <xdr:colOff>6350</xdr:colOff>
      <xdr:row>5836</xdr:row>
      <xdr:rowOff>25400</xdr:rowOff>
    </xdr:from>
    <xdr:to>
      <xdr:col>9</xdr:col>
      <xdr:colOff>1189990</xdr:colOff>
      <xdr:row>5836</xdr:row>
      <xdr:rowOff>904240</xdr:rowOff>
    </xdr:to>
    <xdr:pic>
      <xdr:nvPicPr>
        <xdr:cNvPr id="9943" name="Изображение 9942" descr="resizeПП-00244004"/>
        <xdr:cNvPicPr>
          <a:picLocks noChangeAspect="1"/>
        </xdr:cNvPicPr>
      </xdr:nvPicPr>
      <xdr:blipFill>
        <a:blip xmlns:r="http://schemas.openxmlformats.org/officeDocument/2006/relationships" r:embed="rId4551"/>
        <a:stretch>
          <a:fillRect/>
        </a:stretch>
      </xdr:blipFill>
      <xdr:spPr>
        <a:xfrm>
          <a:off x="7235825" y="5963573925"/>
          <a:ext cx="1183640" cy="878840"/>
        </a:xfrm>
        <a:prstGeom prst="rect">
          <a:avLst/>
        </a:prstGeom>
      </xdr:spPr>
    </xdr:pic>
    <xdr:clientData/>
  </xdr:twoCellAnchor>
  <xdr:twoCellAnchor>
    <xdr:from>
      <xdr:col>9</xdr:col>
      <xdr:colOff>6350</xdr:colOff>
      <xdr:row>5837</xdr:row>
      <xdr:rowOff>25400</xdr:rowOff>
    </xdr:from>
    <xdr:to>
      <xdr:col>9</xdr:col>
      <xdr:colOff>1189990</xdr:colOff>
      <xdr:row>5837</xdr:row>
      <xdr:rowOff>904240</xdr:rowOff>
    </xdr:to>
    <xdr:pic>
      <xdr:nvPicPr>
        <xdr:cNvPr id="9944" name="Изображение 9943" descr="resizeПП-00244005"/>
        <xdr:cNvPicPr>
          <a:picLocks noChangeAspect="1"/>
        </xdr:cNvPicPr>
      </xdr:nvPicPr>
      <xdr:blipFill>
        <a:blip xmlns:r="http://schemas.openxmlformats.org/officeDocument/2006/relationships" r:embed="rId4552"/>
        <a:stretch>
          <a:fillRect/>
        </a:stretch>
      </xdr:blipFill>
      <xdr:spPr>
        <a:xfrm>
          <a:off x="7235825" y="5964796300"/>
          <a:ext cx="1183640" cy="878840"/>
        </a:xfrm>
        <a:prstGeom prst="rect">
          <a:avLst/>
        </a:prstGeom>
      </xdr:spPr>
    </xdr:pic>
    <xdr:clientData/>
  </xdr:twoCellAnchor>
  <xdr:twoCellAnchor>
    <xdr:from>
      <xdr:col>9</xdr:col>
      <xdr:colOff>6350</xdr:colOff>
      <xdr:row>5838</xdr:row>
      <xdr:rowOff>25400</xdr:rowOff>
    </xdr:from>
    <xdr:to>
      <xdr:col>9</xdr:col>
      <xdr:colOff>885190</xdr:colOff>
      <xdr:row>5838</xdr:row>
      <xdr:rowOff>1209040</xdr:rowOff>
    </xdr:to>
    <xdr:pic>
      <xdr:nvPicPr>
        <xdr:cNvPr id="9945" name="Изображение 9944" descr="resizeПП-00264453"/>
        <xdr:cNvPicPr>
          <a:picLocks noChangeAspect="1"/>
        </xdr:cNvPicPr>
      </xdr:nvPicPr>
      <xdr:blipFill>
        <a:blip xmlns:r="http://schemas.openxmlformats.org/officeDocument/2006/relationships" r:embed="rId4553"/>
        <a:stretch>
          <a:fillRect/>
        </a:stretch>
      </xdr:blipFill>
      <xdr:spPr>
        <a:xfrm>
          <a:off x="7235825" y="5966018675"/>
          <a:ext cx="878840" cy="1183640"/>
        </a:xfrm>
        <a:prstGeom prst="rect">
          <a:avLst/>
        </a:prstGeom>
      </xdr:spPr>
    </xdr:pic>
    <xdr:clientData/>
  </xdr:twoCellAnchor>
  <xdr:twoCellAnchor>
    <xdr:from>
      <xdr:col>9</xdr:col>
      <xdr:colOff>6350</xdr:colOff>
      <xdr:row>5839</xdr:row>
      <xdr:rowOff>25400</xdr:rowOff>
    </xdr:from>
    <xdr:to>
      <xdr:col>9</xdr:col>
      <xdr:colOff>885190</xdr:colOff>
      <xdr:row>5839</xdr:row>
      <xdr:rowOff>1209040</xdr:rowOff>
    </xdr:to>
    <xdr:pic>
      <xdr:nvPicPr>
        <xdr:cNvPr id="9946" name="Изображение 9945" descr="resizeПП-00272872"/>
        <xdr:cNvPicPr>
          <a:picLocks noChangeAspect="1"/>
        </xdr:cNvPicPr>
      </xdr:nvPicPr>
      <xdr:blipFill>
        <a:blip xmlns:r="http://schemas.openxmlformats.org/officeDocument/2006/relationships" r:embed="rId4554"/>
        <a:stretch>
          <a:fillRect/>
        </a:stretch>
      </xdr:blipFill>
      <xdr:spPr>
        <a:xfrm>
          <a:off x="7235825" y="5967241050"/>
          <a:ext cx="878840" cy="1183640"/>
        </a:xfrm>
        <a:prstGeom prst="rect">
          <a:avLst/>
        </a:prstGeom>
      </xdr:spPr>
    </xdr:pic>
    <xdr:clientData/>
  </xdr:twoCellAnchor>
  <xdr:twoCellAnchor>
    <xdr:from>
      <xdr:col>9</xdr:col>
      <xdr:colOff>6350</xdr:colOff>
      <xdr:row>5840</xdr:row>
      <xdr:rowOff>25400</xdr:rowOff>
    </xdr:from>
    <xdr:to>
      <xdr:col>9</xdr:col>
      <xdr:colOff>885190</xdr:colOff>
      <xdr:row>5840</xdr:row>
      <xdr:rowOff>1209040</xdr:rowOff>
    </xdr:to>
    <xdr:pic>
      <xdr:nvPicPr>
        <xdr:cNvPr id="9947" name="Изображение 9946" descr="resizeПП-00272867"/>
        <xdr:cNvPicPr>
          <a:picLocks noChangeAspect="1"/>
        </xdr:cNvPicPr>
      </xdr:nvPicPr>
      <xdr:blipFill>
        <a:blip xmlns:r="http://schemas.openxmlformats.org/officeDocument/2006/relationships" r:embed="rId4555"/>
        <a:stretch>
          <a:fillRect/>
        </a:stretch>
      </xdr:blipFill>
      <xdr:spPr>
        <a:xfrm>
          <a:off x="7235825" y="5968463425"/>
          <a:ext cx="878840" cy="1183640"/>
        </a:xfrm>
        <a:prstGeom prst="rect">
          <a:avLst/>
        </a:prstGeom>
      </xdr:spPr>
    </xdr:pic>
    <xdr:clientData/>
  </xdr:twoCellAnchor>
  <xdr:twoCellAnchor>
    <xdr:from>
      <xdr:col>9</xdr:col>
      <xdr:colOff>6350</xdr:colOff>
      <xdr:row>5841</xdr:row>
      <xdr:rowOff>25400</xdr:rowOff>
    </xdr:from>
    <xdr:to>
      <xdr:col>9</xdr:col>
      <xdr:colOff>885190</xdr:colOff>
      <xdr:row>5841</xdr:row>
      <xdr:rowOff>1209040</xdr:rowOff>
    </xdr:to>
    <xdr:pic>
      <xdr:nvPicPr>
        <xdr:cNvPr id="9948" name="Изображение 9947" descr="resizeПП-00272861"/>
        <xdr:cNvPicPr>
          <a:picLocks noChangeAspect="1"/>
        </xdr:cNvPicPr>
      </xdr:nvPicPr>
      <xdr:blipFill>
        <a:blip xmlns:r="http://schemas.openxmlformats.org/officeDocument/2006/relationships" r:embed="rId4556"/>
        <a:stretch>
          <a:fillRect/>
        </a:stretch>
      </xdr:blipFill>
      <xdr:spPr>
        <a:xfrm>
          <a:off x="7235825" y="5969685800"/>
          <a:ext cx="878840" cy="1183640"/>
        </a:xfrm>
        <a:prstGeom prst="rect">
          <a:avLst/>
        </a:prstGeom>
      </xdr:spPr>
    </xdr:pic>
    <xdr:clientData/>
  </xdr:twoCellAnchor>
  <xdr:twoCellAnchor>
    <xdr:from>
      <xdr:col>9</xdr:col>
      <xdr:colOff>6350</xdr:colOff>
      <xdr:row>5842</xdr:row>
      <xdr:rowOff>25400</xdr:rowOff>
    </xdr:from>
    <xdr:to>
      <xdr:col>9</xdr:col>
      <xdr:colOff>885190</xdr:colOff>
      <xdr:row>5842</xdr:row>
      <xdr:rowOff>1209040</xdr:rowOff>
    </xdr:to>
    <xdr:pic>
      <xdr:nvPicPr>
        <xdr:cNvPr id="9949" name="Изображение 9948" descr="resizeПП-00272859"/>
        <xdr:cNvPicPr>
          <a:picLocks noChangeAspect="1"/>
        </xdr:cNvPicPr>
      </xdr:nvPicPr>
      <xdr:blipFill>
        <a:blip xmlns:r="http://schemas.openxmlformats.org/officeDocument/2006/relationships" r:embed="rId4557"/>
        <a:stretch>
          <a:fillRect/>
        </a:stretch>
      </xdr:blipFill>
      <xdr:spPr>
        <a:xfrm>
          <a:off x="7235825" y="5970908175"/>
          <a:ext cx="878840" cy="1183640"/>
        </a:xfrm>
        <a:prstGeom prst="rect">
          <a:avLst/>
        </a:prstGeom>
      </xdr:spPr>
    </xdr:pic>
    <xdr:clientData/>
  </xdr:twoCellAnchor>
  <xdr:twoCellAnchor>
    <xdr:from>
      <xdr:col>9</xdr:col>
      <xdr:colOff>6350</xdr:colOff>
      <xdr:row>5843</xdr:row>
      <xdr:rowOff>25400</xdr:rowOff>
    </xdr:from>
    <xdr:to>
      <xdr:col>9</xdr:col>
      <xdr:colOff>885190</xdr:colOff>
      <xdr:row>5843</xdr:row>
      <xdr:rowOff>1209040</xdr:rowOff>
    </xdr:to>
    <xdr:pic>
      <xdr:nvPicPr>
        <xdr:cNvPr id="9950" name="Изображение 9949" descr="resizeПП-00272866"/>
        <xdr:cNvPicPr>
          <a:picLocks noChangeAspect="1"/>
        </xdr:cNvPicPr>
      </xdr:nvPicPr>
      <xdr:blipFill>
        <a:blip xmlns:r="http://schemas.openxmlformats.org/officeDocument/2006/relationships" r:embed="rId4558"/>
        <a:stretch>
          <a:fillRect/>
        </a:stretch>
      </xdr:blipFill>
      <xdr:spPr>
        <a:xfrm>
          <a:off x="7235825" y="5972130550"/>
          <a:ext cx="878840" cy="1183640"/>
        </a:xfrm>
        <a:prstGeom prst="rect">
          <a:avLst/>
        </a:prstGeom>
      </xdr:spPr>
    </xdr:pic>
    <xdr:clientData/>
  </xdr:twoCellAnchor>
  <xdr:twoCellAnchor>
    <xdr:from>
      <xdr:col>9</xdr:col>
      <xdr:colOff>6350</xdr:colOff>
      <xdr:row>5844</xdr:row>
      <xdr:rowOff>25400</xdr:rowOff>
    </xdr:from>
    <xdr:to>
      <xdr:col>9</xdr:col>
      <xdr:colOff>885190</xdr:colOff>
      <xdr:row>5844</xdr:row>
      <xdr:rowOff>1209040</xdr:rowOff>
    </xdr:to>
    <xdr:pic>
      <xdr:nvPicPr>
        <xdr:cNvPr id="9951" name="Изображение 9950" descr="resizeПП-00272864"/>
        <xdr:cNvPicPr>
          <a:picLocks noChangeAspect="1"/>
        </xdr:cNvPicPr>
      </xdr:nvPicPr>
      <xdr:blipFill>
        <a:blip xmlns:r="http://schemas.openxmlformats.org/officeDocument/2006/relationships" r:embed="rId4559"/>
        <a:stretch>
          <a:fillRect/>
        </a:stretch>
      </xdr:blipFill>
      <xdr:spPr>
        <a:xfrm>
          <a:off x="7235825" y="5973352925"/>
          <a:ext cx="878840" cy="1183640"/>
        </a:xfrm>
        <a:prstGeom prst="rect">
          <a:avLst/>
        </a:prstGeom>
      </xdr:spPr>
    </xdr:pic>
    <xdr:clientData/>
  </xdr:twoCellAnchor>
  <xdr:twoCellAnchor>
    <xdr:from>
      <xdr:col>9</xdr:col>
      <xdr:colOff>6350</xdr:colOff>
      <xdr:row>5845</xdr:row>
      <xdr:rowOff>25400</xdr:rowOff>
    </xdr:from>
    <xdr:to>
      <xdr:col>9</xdr:col>
      <xdr:colOff>885190</xdr:colOff>
      <xdr:row>5845</xdr:row>
      <xdr:rowOff>1209040</xdr:rowOff>
    </xdr:to>
    <xdr:pic>
      <xdr:nvPicPr>
        <xdr:cNvPr id="9952" name="Изображение 9951" descr="resizeПП-00272857"/>
        <xdr:cNvPicPr>
          <a:picLocks noChangeAspect="1"/>
        </xdr:cNvPicPr>
      </xdr:nvPicPr>
      <xdr:blipFill>
        <a:blip xmlns:r="http://schemas.openxmlformats.org/officeDocument/2006/relationships" r:embed="rId4560"/>
        <a:stretch>
          <a:fillRect/>
        </a:stretch>
      </xdr:blipFill>
      <xdr:spPr>
        <a:xfrm>
          <a:off x="7235825" y="5974575300"/>
          <a:ext cx="878840" cy="1183640"/>
        </a:xfrm>
        <a:prstGeom prst="rect">
          <a:avLst/>
        </a:prstGeom>
      </xdr:spPr>
    </xdr:pic>
    <xdr:clientData/>
  </xdr:twoCellAnchor>
  <xdr:twoCellAnchor>
    <xdr:from>
      <xdr:col>9</xdr:col>
      <xdr:colOff>6350</xdr:colOff>
      <xdr:row>5846</xdr:row>
      <xdr:rowOff>25400</xdr:rowOff>
    </xdr:from>
    <xdr:to>
      <xdr:col>9</xdr:col>
      <xdr:colOff>885190</xdr:colOff>
      <xdr:row>5846</xdr:row>
      <xdr:rowOff>1209040</xdr:rowOff>
    </xdr:to>
    <xdr:pic>
      <xdr:nvPicPr>
        <xdr:cNvPr id="9953" name="Изображение 9952" descr="resizeПП-00272862"/>
        <xdr:cNvPicPr>
          <a:picLocks noChangeAspect="1"/>
        </xdr:cNvPicPr>
      </xdr:nvPicPr>
      <xdr:blipFill>
        <a:blip xmlns:r="http://schemas.openxmlformats.org/officeDocument/2006/relationships" r:embed="rId4561"/>
        <a:stretch>
          <a:fillRect/>
        </a:stretch>
      </xdr:blipFill>
      <xdr:spPr>
        <a:xfrm>
          <a:off x="7235825" y="5975797675"/>
          <a:ext cx="878840" cy="1183640"/>
        </a:xfrm>
        <a:prstGeom prst="rect">
          <a:avLst/>
        </a:prstGeom>
      </xdr:spPr>
    </xdr:pic>
    <xdr:clientData/>
  </xdr:twoCellAnchor>
  <xdr:twoCellAnchor>
    <xdr:from>
      <xdr:col>9</xdr:col>
      <xdr:colOff>6350</xdr:colOff>
      <xdr:row>5848</xdr:row>
      <xdr:rowOff>25400</xdr:rowOff>
    </xdr:from>
    <xdr:to>
      <xdr:col>9</xdr:col>
      <xdr:colOff>885190</xdr:colOff>
      <xdr:row>5848</xdr:row>
      <xdr:rowOff>1209040</xdr:rowOff>
    </xdr:to>
    <xdr:pic>
      <xdr:nvPicPr>
        <xdr:cNvPr id="9954" name="Изображение 9953" descr="resizeПП-00206242"/>
        <xdr:cNvPicPr>
          <a:picLocks noChangeAspect="1"/>
        </xdr:cNvPicPr>
      </xdr:nvPicPr>
      <xdr:blipFill>
        <a:blip xmlns:r="http://schemas.openxmlformats.org/officeDocument/2006/relationships" r:embed="rId4562"/>
        <a:stretch>
          <a:fillRect/>
        </a:stretch>
      </xdr:blipFill>
      <xdr:spPr>
        <a:xfrm>
          <a:off x="7235825" y="5977172450"/>
          <a:ext cx="878840" cy="1183640"/>
        </a:xfrm>
        <a:prstGeom prst="rect">
          <a:avLst/>
        </a:prstGeom>
      </xdr:spPr>
    </xdr:pic>
    <xdr:clientData/>
  </xdr:twoCellAnchor>
  <xdr:twoCellAnchor>
    <xdr:from>
      <xdr:col>9</xdr:col>
      <xdr:colOff>6350</xdr:colOff>
      <xdr:row>5849</xdr:row>
      <xdr:rowOff>25400</xdr:rowOff>
    </xdr:from>
    <xdr:to>
      <xdr:col>9</xdr:col>
      <xdr:colOff>1189990</xdr:colOff>
      <xdr:row>5849</xdr:row>
      <xdr:rowOff>904240</xdr:rowOff>
    </xdr:to>
    <xdr:pic>
      <xdr:nvPicPr>
        <xdr:cNvPr id="9955" name="Изображение 9954" descr="resizeПП-00206239"/>
        <xdr:cNvPicPr>
          <a:picLocks noChangeAspect="1"/>
        </xdr:cNvPicPr>
      </xdr:nvPicPr>
      <xdr:blipFill>
        <a:blip xmlns:r="http://schemas.openxmlformats.org/officeDocument/2006/relationships" r:embed="rId4563"/>
        <a:stretch>
          <a:fillRect/>
        </a:stretch>
      </xdr:blipFill>
      <xdr:spPr>
        <a:xfrm>
          <a:off x="7235825" y="5978394825"/>
          <a:ext cx="1183640" cy="878840"/>
        </a:xfrm>
        <a:prstGeom prst="rect">
          <a:avLst/>
        </a:prstGeom>
      </xdr:spPr>
    </xdr:pic>
    <xdr:clientData/>
  </xdr:twoCellAnchor>
  <xdr:twoCellAnchor>
    <xdr:from>
      <xdr:col>9</xdr:col>
      <xdr:colOff>6350</xdr:colOff>
      <xdr:row>5850</xdr:row>
      <xdr:rowOff>25400</xdr:rowOff>
    </xdr:from>
    <xdr:to>
      <xdr:col>9</xdr:col>
      <xdr:colOff>1189990</xdr:colOff>
      <xdr:row>5850</xdr:row>
      <xdr:rowOff>904240</xdr:rowOff>
    </xdr:to>
    <xdr:pic>
      <xdr:nvPicPr>
        <xdr:cNvPr id="9956" name="Изображение 9955" descr="resizeПП-00206248"/>
        <xdr:cNvPicPr>
          <a:picLocks noChangeAspect="1"/>
        </xdr:cNvPicPr>
      </xdr:nvPicPr>
      <xdr:blipFill>
        <a:blip xmlns:r="http://schemas.openxmlformats.org/officeDocument/2006/relationships" r:embed="rId4564"/>
        <a:stretch>
          <a:fillRect/>
        </a:stretch>
      </xdr:blipFill>
      <xdr:spPr>
        <a:xfrm>
          <a:off x="7235825" y="5979617200"/>
          <a:ext cx="1183640" cy="878840"/>
        </a:xfrm>
        <a:prstGeom prst="rect">
          <a:avLst/>
        </a:prstGeom>
      </xdr:spPr>
    </xdr:pic>
    <xdr:clientData/>
  </xdr:twoCellAnchor>
  <xdr:twoCellAnchor>
    <xdr:from>
      <xdr:col>9</xdr:col>
      <xdr:colOff>6350</xdr:colOff>
      <xdr:row>5851</xdr:row>
      <xdr:rowOff>25400</xdr:rowOff>
    </xdr:from>
    <xdr:to>
      <xdr:col>9</xdr:col>
      <xdr:colOff>885190</xdr:colOff>
      <xdr:row>5851</xdr:row>
      <xdr:rowOff>1209040</xdr:rowOff>
    </xdr:to>
    <xdr:pic>
      <xdr:nvPicPr>
        <xdr:cNvPr id="9957" name="Изображение 9956" descr="resizeПП-00206240"/>
        <xdr:cNvPicPr>
          <a:picLocks noChangeAspect="1"/>
        </xdr:cNvPicPr>
      </xdr:nvPicPr>
      <xdr:blipFill>
        <a:blip xmlns:r="http://schemas.openxmlformats.org/officeDocument/2006/relationships" r:embed="rId4565"/>
        <a:stretch>
          <a:fillRect/>
        </a:stretch>
      </xdr:blipFill>
      <xdr:spPr>
        <a:xfrm>
          <a:off x="7235825" y="5980839575"/>
          <a:ext cx="878840" cy="1183640"/>
        </a:xfrm>
        <a:prstGeom prst="rect">
          <a:avLst/>
        </a:prstGeom>
      </xdr:spPr>
    </xdr:pic>
    <xdr:clientData/>
  </xdr:twoCellAnchor>
  <xdr:twoCellAnchor>
    <xdr:from>
      <xdr:col>9</xdr:col>
      <xdr:colOff>6350</xdr:colOff>
      <xdr:row>5852</xdr:row>
      <xdr:rowOff>25400</xdr:rowOff>
    </xdr:from>
    <xdr:to>
      <xdr:col>9</xdr:col>
      <xdr:colOff>885190</xdr:colOff>
      <xdr:row>5852</xdr:row>
      <xdr:rowOff>1209040</xdr:rowOff>
    </xdr:to>
    <xdr:pic>
      <xdr:nvPicPr>
        <xdr:cNvPr id="9958" name="Изображение 9957" descr="resizeПП-00206237"/>
        <xdr:cNvPicPr>
          <a:picLocks noChangeAspect="1"/>
        </xdr:cNvPicPr>
      </xdr:nvPicPr>
      <xdr:blipFill>
        <a:blip xmlns:r="http://schemas.openxmlformats.org/officeDocument/2006/relationships" r:embed="rId4566"/>
        <a:stretch>
          <a:fillRect/>
        </a:stretch>
      </xdr:blipFill>
      <xdr:spPr>
        <a:xfrm>
          <a:off x="7235825" y="5982061950"/>
          <a:ext cx="878840" cy="1183640"/>
        </a:xfrm>
        <a:prstGeom prst="rect">
          <a:avLst/>
        </a:prstGeom>
      </xdr:spPr>
    </xdr:pic>
    <xdr:clientData/>
  </xdr:twoCellAnchor>
  <xdr:twoCellAnchor>
    <xdr:from>
      <xdr:col>9</xdr:col>
      <xdr:colOff>6350</xdr:colOff>
      <xdr:row>5853</xdr:row>
      <xdr:rowOff>25400</xdr:rowOff>
    </xdr:from>
    <xdr:to>
      <xdr:col>9</xdr:col>
      <xdr:colOff>885190</xdr:colOff>
      <xdr:row>5853</xdr:row>
      <xdr:rowOff>1209040</xdr:rowOff>
    </xdr:to>
    <xdr:pic>
      <xdr:nvPicPr>
        <xdr:cNvPr id="9959" name="Изображение 9958" descr="resizeПП-00206241"/>
        <xdr:cNvPicPr>
          <a:picLocks noChangeAspect="1"/>
        </xdr:cNvPicPr>
      </xdr:nvPicPr>
      <xdr:blipFill>
        <a:blip xmlns:r="http://schemas.openxmlformats.org/officeDocument/2006/relationships" r:embed="rId4567"/>
        <a:stretch>
          <a:fillRect/>
        </a:stretch>
      </xdr:blipFill>
      <xdr:spPr>
        <a:xfrm>
          <a:off x="7235825" y="5983284325"/>
          <a:ext cx="878840" cy="1183640"/>
        </a:xfrm>
        <a:prstGeom prst="rect">
          <a:avLst/>
        </a:prstGeom>
      </xdr:spPr>
    </xdr:pic>
    <xdr:clientData/>
  </xdr:twoCellAnchor>
  <xdr:twoCellAnchor>
    <xdr:from>
      <xdr:col>9</xdr:col>
      <xdr:colOff>6350</xdr:colOff>
      <xdr:row>5854</xdr:row>
      <xdr:rowOff>25400</xdr:rowOff>
    </xdr:from>
    <xdr:to>
      <xdr:col>9</xdr:col>
      <xdr:colOff>1189990</xdr:colOff>
      <xdr:row>5854</xdr:row>
      <xdr:rowOff>904240</xdr:rowOff>
    </xdr:to>
    <xdr:pic>
      <xdr:nvPicPr>
        <xdr:cNvPr id="9960" name="Изображение 9959" descr="resizeПП-00206233"/>
        <xdr:cNvPicPr>
          <a:picLocks noChangeAspect="1"/>
        </xdr:cNvPicPr>
      </xdr:nvPicPr>
      <xdr:blipFill>
        <a:blip xmlns:r="http://schemas.openxmlformats.org/officeDocument/2006/relationships" r:embed="rId4568"/>
        <a:stretch>
          <a:fillRect/>
        </a:stretch>
      </xdr:blipFill>
      <xdr:spPr>
        <a:xfrm>
          <a:off x="7235825" y="5984506700"/>
          <a:ext cx="1183640" cy="878840"/>
        </a:xfrm>
        <a:prstGeom prst="rect">
          <a:avLst/>
        </a:prstGeom>
      </xdr:spPr>
    </xdr:pic>
    <xdr:clientData/>
  </xdr:twoCellAnchor>
  <xdr:twoCellAnchor>
    <xdr:from>
      <xdr:col>9</xdr:col>
      <xdr:colOff>6350</xdr:colOff>
      <xdr:row>5855</xdr:row>
      <xdr:rowOff>25400</xdr:rowOff>
    </xdr:from>
    <xdr:to>
      <xdr:col>9</xdr:col>
      <xdr:colOff>885190</xdr:colOff>
      <xdr:row>5855</xdr:row>
      <xdr:rowOff>1209040</xdr:rowOff>
    </xdr:to>
    <xdr:pic>
      <xdr:nvPicPr>
        <xdr:cNvPr id="9961" name="Изображение 9960" descr="resizeПП-00213864"/>
        <xdr:cNvPicPr>
          <a:picLocks noChangeAspect="1"/>
        </xdr:cNvPicPr>
      </xdr:nvPicPr>
      <xdr:blipFill>
        <a:blip xmlns:r="http://schemas.openxmlformats.org/officeDocument/2006/relationships" r:embed="rId4569"/>
        <a:stretch>
          <a:fillRect/>
        </a:stretch>
      </xdr:blipFill>
      <xdr:spPr>
        <a:xfrm>
          <a:off x="7235825" y="5985729075"/>
          <a:ext cx="878840" cy="1183640"/>
        </a:xfrm>
        <a:prstGeom prst="rect">
          <a:avLst/>
        </a:prstGeom>
      </xdr:spPr>
    </xdr:pic>
    <xdr:clientData/>
  </xdr:twoCellAnchor>
  <xdr:twoCellAnchor>
    <xdr:from>
      <xdr:col>9</xdr:col>
      <xdr:colOff>6350</xdr:colOff>
      <xdr:row>5856</xdr:row>
      <xdr:rowOff>25400</xdr:rowOff>
    </xdr:from>
    <xdr:to>
      <xdr:col>9</xdr:col>
      <xdr:colOff>885190</xdr:colOff>
      <xdr:row>5856</xdr:row>
      <xdr:rowOff>1209040</xdr:rowOff>
    </xdr:to>
    <xdr:pic>
      <xdr:nvPicPr>
        <xdr:cNvPr id="9962" name="Изображение 9961" descr="resizeПП-00206245"/>
        <xdr:cNvPicPr>
          <a:picLocks noChangeAspect="1"/>
        </xdr:cNvPicPr>
      </xdr:nvPicPr>
      <xdr:blipFill>
        <a:blip xmlns:r="http://schemas.openxmlformats.org/officeDocument/2006/relationships" r:embed="rId4570"/>
        <a:stretch>
          <a:fillRect/>
        </a:stretch>
      </xdr:blipFill>
      <xdr:spPr>
        <a:xfrm>
          <a:off x="7235825" y="5986951450"/>
          <a:ext cx="878840" cy="1183640"/>
        </a:xfrm>
        <a:prstGeom prst="rect">
          <a:avLst/>
        </a:prstGeom>
      </xdr:spPr>
    </xdr:pic>
    <xdr:clientData/>
  </xdr:twoCellAnchor>
  <xdr:twoCellAnchor>
    <xdr:from>
      <xdr:col>9</xdr:col>
      <xdr:colOff>6350</xdr:colOff>
      <xdr:row>5857</xdr:row>
      <xdr:rowOff>25400</xdr:rowOff>
    </xdr:from>
    <xdr:to>
      <xdr:col>9</xdr:col>
      <xdr:colOff>885190</xdr:colOff>
      <xdr:row>5857</xdr:row>
      <xdr:rowOff>1209040</xdr:rowOff>
    </xdr:to>
    <xdr:pic>
      <xdr:nvPicPr>
        <xdr:cNvPr id="9963" name="Изображение 9962" descr="resizeПП-00213865"/>
        <xdr:cNvPicPr>
          <a:picLocks noChangeAspect="1"/>
        </xdr:cNvPicPr>
      </xdr:nvPicPr>
      <xdr:blipFill>
        <a:blip xmlns:r="http://schemas.openxmlformats.org/officeDocument/2006/relationships" r:embed="rId4571"/>
        <a:stretch>
          <a:fillRect/>
        </a:stretch>
      </xdr:blipFill>
      <xdr:spPr>
        <a:xfrm>
          <a:off x="7235825" y="5988173825"/>
          <a:ext cx="878840" cy="1183640"/>
        </a:xfrm>
        <a:prstGeom prst="rect">
          <a:avLst/>
        </a:prstGeom>
      </xdr:spPr>
    </xdr:pic>
    <xdr:clientData/>
  </xdr:twoCellAnchor>
  <xdr:twoCellAnchor>
    <xdr:from>
      <xdr:col>9</xdr:col>
      <xdr:colOff>6350</xdr:colOff>
      <xdr:row>5858</xdr:row>
      <xdr:rowOff>25400</xdr:rowOff>
    </xdr:from>
    <xdr:to>
      <xdr:col>9</xdr:col>
      <xdr:colOff>885190</xdr:colOff>
      <xdr:row>5858</xdr:row>
      <xdr:rowOff>1209040</xdr:rowOff>
    </xdr:to>
    <xdr:pic>
      <xdr:nvPicPr>
        <xdr:cNvPr id="9964" name="Изображение 9963" descr="resizeПП-00213857"/>
        <xdr:cNvPicPr>
          <a:picLocks noChangeAspect="1"/>
        </xdr:cNvPicPr>
      </xdr:nvPicPr>
      <xdr:blipFill>
        <a:blip xmlns:r="http://schemas.openxmlformats.org/officeDocument/2006/relationships" r:embed="rId4572"/>
        <a:stretch>
          <a:fillRect/>
        </a:stretch>
      </xdr:blipFill>
      <xdr:spPr>
        <a:xfrm>
          <a:off x="7235825" y="5989396200"/>
          <a:ext cx="878840" cy="1183640"/>
        </a:xfrm>
        <a:prstGeom prst="rect">
          <a:avLst/>
        </a:prstGeom>
      </xdr:spPr>
    </xdr:pic>
    <xdr:clientData/>
  </xdr:twoCellAnchor>
  <xdr:twoCellAnchor>
    <xdr:from>
      <xdr:col>9</xdr:col>
      <xdr:colOff>6350</xdr:colOff>
      <xdr:row>5859</xdr:row>
      <xdr:rowOff>25400</xdr:rowOff>
    </xdr:from>
    <xdr:to>
      <xdr:col>9</xdr:col>
      <xdr:colOff>885190</xdr:colOff>
      <xdr:row>5859</xdr:row>
      <xdr:rowOff>1209040</xdr:rowOff>
    </xdr:to>
    <xdr:pic>
      <xdr:nvPicPr>
        <xdr:cNvPr id="9965" name="Изображение 9964" descr="resizeПП-00213860"/>
        <xdr:cNvPicPr>
          <a:picLocks noChangeAspect="1"/>
        </xdr:cNvPicPr>
      </xdr:nvPicPr>
      <xdr:blipFill>
        <a:blip xmlns:r="http://schemas.openxmlformats.org/officeDocument/2006/relationships" r:embed="rId4573"/>
        <a:stretch>
          <a:fillRect/>
        </a:stretch>
      </xdr:blipFill>
      <xdr:spPr>
        <a:xfrm>
          <a:off x="7235825" y="5990618575"/>
          <a:ext cx="878840" cy="1183640"/>
        </a:xfrm>
        <a:prstGeom prst="rect">
          <a:avLst/>
        </a:prstGeom>
      </xdr:spPr>
    </xdr:pic>
    <xdr:clientData/>
  </xdr:twoCellAnchor>
  <xdr:twoCellAnchor>
    <xdr:from>
      <xdr:col>9</xdr:col>
      <xdr:colOff>6350</xdr:colOff>
      <xdr:row>5860</xdr:row>
      <xdr:rowOff>25400</xdr:rowOff>
    </xdr:from>
    <xdr:to>
      <xdr:col>9</xdr:col>
      <xdr:colOff>885190</xdr:colOff>
      <xdr:row>5860</xdr:row>
      <xdr:rowOff>1209040</xdr:rowOff>
    </xdr:to>
    <xdr:pic>
      <xdr:nvPicPr>
        <xdr:cNvPr id="9966" name="Изображение 9965" descr="resizeПП-00213855"/>
        <xdr:cNvPicPr>
          <a:picLocks noChangeAspect="1"/>
        </xdr:cNvPicPr>
      </xdr:nvPicPr>
      <xdr:blipFill>
        <a:blip xmlns:r="http://schemas.openxmlformats.org/officeDocument/2006/relationships" r:embed="rId4574"/>
        <a:stretch>
          <a:fillRect/>
        </a:stretch>
      </xdr:blipFill>
      <xdr:spPr>
        <a:xfrm>
          <a:off x="7235825" y="5991840950"/>
          <a:ext cx="878840" cy="1183640"/>
        </a:xfrm>
        <a:prstGeom prst="rect">
          <a:avLst/>
        </a:prstGeom>
      </xdr:spPr>
    </xdr:pic>
    <xdr:clientData/>
  </xdr:twoCellAnchor>
  <xdr:twoCellAnchor>
    <xdr:from>
      <xdr:col>9</xdr:col>
      <xdr:colOff>6350</xdr:colOff>
      <xdr:row>5861</xdr:row>
      <xdr:rowOff>25400</xdr:rowOff>
    </xdr:from>
    <xdr:to>
      <xdr:col>9</xdr:col>
      <xdr:colOff>885190</xdr:colOff>
      <xdr:row>5861</xdr:row>
      <xdr:rowOff>1209040</xdr:rowOff>
    </xdr:to>
    <xdr:pic>
      <xdr:nvPicPr>
        <xdr:cNvPr id="9967" name="Изображение 9966" descr="resizeПП-00213853"/>
        <xdr:cNvPicPr>
          <a:picLocks noChangeAspect="1"/>
        </xdr:cNvPicPr>
      </xdr:nvPicPr>
      <xdr:blipFill>
        <a:blip xmlns:r="http://schemas.openxmlformats.org/officeDocument/2006/relationships" r:embed="rId4575"/>
        <a:stretch>
          <a:fillRect/>
        </a:stretch>
      </xdr:blipFill>
      <xdr:spPr>
        <a:xfrm>
          <a:off x="7235825" y="5993063325"/>
          <a:ext cx="878840" cy="1183640"/>
        </a:xfrm>
        <a:prstGeom prst="rect">
          <a:avLst/>
        </a:prstGeom>
      </xdr:spPr>
    </xdr:pic>
    <xdr:clientData/>
  </xdr:twoCellAnchor>
  <xdr:twoCellAnchor>
    <xdr:from>
      <xdr:col>9</xdr:col>
      <xdr:colOff>6350</xdr:colOff>
      <xdr:row>5862</xdr:row>
      <xdr:rowOff>25400</xdr:rowOff>
    </xdr:from>
    <xdr:to>
      <xdr:col>9</xdr:col>
      <xdr:colOff>885190</xdr:colOff>
      <xdr:row>5862</xdr:row>
      <xdr:rowOff>1209040</xdr:rowOff>
    </xdr:to>
    <xdr:pic>
      <xdr:nvPicPr>
        <xdr:cNvPr id="9968" name="Изображение 9967" descr="resizeПП-00213856"/>
        <xdr:cNvPicPr>
          <a:picLocks noChangeAspect="1"/>
        </xdr:cNvPicPr>
      </xdr:nvPicPr>
      <xdr:blipFill>
        <a:blip xmlns:r="http://schemas.openxmlformats.org/officeDocument/2006/relationships" r:embed="rId4576"/>
        <a:stretch>
          <a:fillRect/>
        </a:stretch>
      </xdr:blipFill>
      <xdr:spPr>
        <a:xfrm>
          <a:off x="7235825" y="5994285700"/>
          <a:ext cx="878840" cy="1183640"/>
        </a:xfrm>
        <a:prstGeom prst="rect">
          <a:avLst/>
        </a:prstGeom>
      </xdr:spPr>
    </xdr:pic>
    <xdr:clientData/>
  </xdr:twoCellAnchor>
  <xdr:twoCellAnchor>
    <xdr:from>
      <xdr:col>9</xdr:col>
      <xdr:colOff>6350</xdr:colOff>
      <xdr:row>5863</xdr:row>
      <xdr:rowOff>25400</xdr:rowOff>
    </xdr:from>
    <xdr:to>
      <xdr:col>9</xdr:col>
      <xdr:colOff>885190</xdr:colOff>
      <xdr:row>5863</xdr:row>
      <xdr:rowOff>1209040</xdr:rowOff>
    </xdr:to>
    <xdr:pic>
      <xdr:nvPicPr>
        <xdr:cNvPr id="9969" name="Изображение 9968" descr="resizeПП-00213862"/>
        <xdr:cNvPicPr>
          <a:picLocks noChangeAspect="1"/>
        </xdr:cNvPicPr>
      </xdr:nvPicPr>
      <xdr:blipFill>
        <a:blip xmlns:r="http://schemas.openxmlformats.org/officeDocument/2006/relationships" r:embed="rId4577"/>
        <a:stretch>
          <a:fillRect/>
        </a:stretch>
      </xdr:blipFill>
      <xdr:spPr>
        <a:xfrm>
          <a:off x="7235825" y="5995508075"/>
          <a:ext cx="878840" cy="1183640"/>
        </a:xfrm>
        <a:prstGeom prst="rect">
          <a:avLst/>
        </a:prstGeom>
      </xdr:spPr>
    </xdr:pic>
    <xdr:clientData/>
  </xdr:twoCellAnchor>
  <xdr:twoCellAnchor>
    <xdr:from>
      <xdr:col>9</xdr:col>
      <xdr:colOff>6350</xdr:colOff>
      <xdr:row>5866</xdr:row>
      <xdr:rowOff>25400</xdr:rowOff>
    </xdr:from>
    <xdr:to>
      <xdr:col>9</xdr:col>
      <xdr:colOff>1189990</xdr:colOff>
      <xdr:row>5866</xdr:row>
      <xdr:rowOff>904240</xdr:rowOff>
    </xdr:to>
    <xdr:pic>
      <xdr:nvPicPr>
        <xdr:cNvPr id="9970" name="Изображение 9969" descr="resizeПП-00185819"/>
        <xdr:cNvPicPr>
          <a:picLocks noChangeAspect="1"/>
        </xdr:cNvPicPr>
      </xdr:nvPicPr>
      <xdr:blipFill>
        <a:blip xmlns:r="http://schemas.openxmlformats.org/officeDocument/2006/relationships" r:embed="rId4578"/>
        <a:stretch>
          <a:fillRect/>
        </a:stretch>
      </xdr:blipFill>
      <xdr:spPr>
        <a:xfrm>
          <a:off x="7235825" y="5997035250"/>
          <a:ext cx="1183640" cy="878840"/>
        </a:xfrm>
        <a:prstGeom prst="rect">
          <a:avLst/>
        </a:prstGeom>
      </xdr:spPr>
    </xdr:pic>
    <xdr:clientData/>
  </xdr:twoCellAnchor>
  <xdr:twoCellAnchor>
    <xdr:from>
      <xdr:col>9</xdr:col>
      <xdr:colOff>6350</xdr:colOff>
      <xdr:row>5867</xdr:row>
      <xdr:rowOff>25400</xdr:rowOff>
    </xdr:from>
    <xdr:to>
      <xdr:col>9</xdr:col>
      <xdr:colOff>885190</xdr:colOff>
      <xdr:row>5867</xdr:row>
      <xdr:rowOff>1209040</xdr:rowOff>
    </xdr:to>
    <xdr:pic>
      <xdr:nvPicPr>
        <xdr:cNvPr id="9971" name="Изображение 9970" descr="resizeПП-00185824"/>
        <xdr:cNvPicPr>
          <a:picLocks noChangeAspect="1"/>
        </xdr:cNvPicPr>
      </xdr:nvPicPr>
      <xdr:blipFill>
        <a:blip xmlns:r="http://schemas.openxmlformats.org/officeDocument/2006/relationships" r:embed="rId4579"/>
        <a:stretch>
          <a:fillRect/>
        </a:stretch>
      </xdr:blipFill>
      <xdr:spPr>
        <a:xfrm>
          <a:off x="7235825" y="5998257625"/>
          <a:ext cx="878840" cy="1183640"/>
        </a:xfrm>
        <a:prstGeom prst="rect">
          <a:avLst/>
        </a:prstGeom>
      </xdr:spPr>
    </xdr:pic>
    <xdr:clientData/>
  </xdr:twoCellAnchor>
  <xdr:twoCellAnchor>
    <xdr:from>
      <xdr:col>9</xdr:col>
      <xdr:colOff>6350</xdr:colOff>
      <xdr:row>5868</xdr:row>
      <xdr:rowOff>25400</xdr:rowOff>
    </xdr:from>
    <xdr:to>
      <xdr:col>9</xdr:col>
      <xdr:colOff>885190</xdr:colOff>
      <xdr:row>5868</xdr:row>
      <xdr:rowOff>1209040</xdr:rowOff>
    </xdr:to>
    <xdr:pic>
      <xdr:nvPicPr>
        <xdr:cNvPr id="9972" name="Изображение 9971" descr="resizeПП-00185827"/>
        <xdr:cNvPicPr>
          <a:picLocks noChangeAspect="1"/>
        </xdr:cNvPicPr>
      </xdr:nvPicPr>
      <xdr:blipFill>
        <a:blip xmlns:r="http://schemas.openxmlformats.org/officeDocument/2006/relationships" r:embed="rId4580"/>
        <a:stretch>
          <a:fillRect/>
        </a:stretch>
      </xdr:blipFill>
      <xdr:spPr>
        <a:xfrm>
          <a:off x="7235825" y="5999480000"/>
          <a:ext cx="878840" cy="1183640"/>
        </a:xfrm>
        <a:prstGeom prst="rect">
          <a:avLst/>
        </a:prstGeom>
      </xdr:spPr>
    </xdr:pic>
    <xdr:clientData/>
  </xdr:twoCellAnchor>
  <xdr:twoCellAnchor>
    <xdr:from>
      <xdr:col>9</xdr:col>
      <xdr:colOff>6350</xdr:colOff>
      <xdr:row>5869</xdr:row>
      <xdr:rowOff>25400</xdr:rowOff>
    </xdr:from>
    <xdr:to>
      <xdr:col>9</xdr:col>
      <xdr:colOff>1189990</xdr:colOff>
      <xdr:row>5869</xdr:row>
      <xdr:rowOff>904240</xdr:rowOff>
    </xdr:to>
    <xdr:pic>
      <xdr:nvPicPr>
        <xdr:cNvPr id="9973" name="Изображение 9972" descr="resizeПП-00185826"/>
        <xdr:cNvPicPr>
          <a:picLocks noChangeAspect="1"/>
        </xdr:cNvPicPr>
      </xdr:nvPicPr>
      <xdr:blipFill>
        <a:blip xmlns:r="http://schemas.openxmlformats.org/officeDocument/2006/relationships" r:embed="rId4581"/>
        <a:stretch>
          <a:fillRect/>
        </a:stretch>
      </xdr:blipFill>
      <xdr:spPr>
        <a:xfrm>
          <a:off x="7235825" y="6000702375"/>
          <a:ext cx="1183640" cy="878840"/>
        </a:xfrm>
        <a:prstGeom prst="rect">
          <a:avLst/>
        </a:prstGeom>
      </xdr:spPr>
    </xdr:pic>
    <xdr:clientData/>
  </xdr:twoCellAnchor>
  <xdr:twoCellAnchor>
    <xdr:from>
      <xdr:col>9</xdr:col>
      <xdr:colOff>6350</xdr:colOff>
      <xdr:row>5870</xdr:row>
      <xdr:rowOff>25400</xdr:rowOff>
    </xdr:from>
    <xdr:to>
      <xdr:col>9</xdr:col>
      <xdr:colOff>1189990</xdr:colOff>
      <xdr:row>5870</xdr:row>
      <xdr:rowOff>904240</xdr:rowOff>
    </xdr:to>
    <xdr:pic>
      <xdr:nvPicPr>
        <xdr:cNvPr id="9974" name="Изображение 9973" descr="resizeПП-00185829"/>
        <xdr:cNvPicPr>
          <a:picLocks noChangeAspect="1"/>
        </xdr:cNvPicPr>
      </xdr:nvPicPr>
      <xdr:blipFill>
        <a:blip xmlns:r="http://schemas.openxmlformats.org/officeDocument/2006/relationships" r:embed="rId4582"/>
        <a:stretch>
          <a:fillRect/>
        </a:stretch>
      </xdr:blipFill>
      <xdr:spPr>
        <a:xfrm>
          <a:off x="7235825" y="6001924750"/>
          <a:ext cx="1183640" cy="878840"/>
        </a:xfrm>
        <a:prstGeom prst="rect">
          <a:avLst/>
        </a:prstGeom>
      </xdr:spPr>
    </xdr:pic>
    <xdr:clientData/>
  </xdr:twoCellAnchor>
  <xdr:twoCellAnchor>
    <xdr:from>
      <xdr:col>9</xdr:col>
      <xdr:colOff>6350</xdr:colOff>
      <xdr:row>5871</xdr:row>
      <xdr:rowOff>25400</xdr:rowOff>
    </xdr:from>
    <xdr:to>
      <xdr:col>9</xdr:col>
      <xdr:colOff>885190</xdr:colOff>
      <xdr:row>5871</xdr:row>
      <xdr:rowOff>1209040</xdr:rowOff>
    </xdr:to>
    <xdr:pic>
      <xdr:nvPicPr>
        <xdr:cNvPr id="9975" name="Изображение 9974" descr="resizeПП-00185831"/>
        <xdr:cNvPicPr>
          <a:picLocks noChangeAspect="1"/>
        </xdr:cNvPicPr>
      </xdr:nvPicPr>
      <xdr:blipFill>
        <a:blip xmlns:r="http://schemas.openxmlformats.org/officeDocument/2006/relationships" r:embed="rId4583"/>
        <a:stretch>
          <a:fillRect/>
        </a:stretch>
      </xdr:blipFill>
      <xdr:spPr>
        <a:xfrm>
          <a:off x="7235825" y="6003147125"/>
          <a:ext cx="878840" cy="1183640"/>
        </a:xfrm>
        <a:prstGeom prst="rect">
          <a:avLst/>
        </a:prstGeom>
      </xdr:spPr>
    </xdr:pic>
    <xdr:clientData/>
  </xdr:twoCellAnchor>
  <xdr:twoCellAnchor>
    <xdr:from>
      <xdr:col>9</xdr:col>
      <xdr:colOff>6350</xdr:colOff>
      <xdr:row>5872</xdr:row>
      <xdr:rowOff>25400</xdr:rowOff>
    </xdr:from>
    <xdr:to>
      <xdr:col>9</xdr:col>
      <xdr:colOff>1189990</xdr:colOff>
      <xdr:row>5872</xdr:row>
      <xdr:rowOff>904240</xdr:rowOff>
    </xdr:to>
    <xdr:pic>
      <xdr:nvPicPr>
        <xdr:cNvPr id="9976" name="Изображение 9975" descr="resizeПП-00185834"/>
        <xdr:cNvPicPr>
          <a:picLocks noChangeAspect="1"/>
        </xdr:cNvPicPr>
      </xdr:nvPicPr>
      <xdr:blipFill>
        <a:blip xmlns:r="http://schemas.openxmlformats.org/officeDocument/2006/relationships" r:embed="rId4584"/>
        <a:stretch>
          <a:fillRect/>
        </a:stretch>
      </xdr:blipFill>
      <xdr:spPr>
        <a:xfrm>
          <a:off x="7235825" y="6004369500"/>
          <a:ext cx="1183640" cy="878840"/>
        </a:xfrm>
        <a:prstGeom prst="rect">
          <a:avLst/>
        </a:prstGeom>
      </xdr:spPr>
    </xdr:pic>
    <xdr:clientData/>
  </xdr:twoCellAnchor>
  <xdr:twoCellAnchor>
    <xdr:from>
      <xdr:col>9</xdr:col>
      <xdr:colOff>6350</xdr:colOff>
      <xdr:row>5874</xdr:row>
      <xdr:rowOff>25400</xdr:rowOff>
    </xdr:from>
    <xdr:to>
      <xdr:col>9</xdr:col>
      <xdr:colOff>885190</xdr:colOff>
      <xdr:row>5874</xdr:row>
      <xdr:rowOff>1209040</xdr:rowOff>
    </xdr:to>
    <xdr:pic>
      <xdr:nvPicPr>
        <xdr:cNvPr id="9977" name="Изображение 9976" descr="resizeПП-00244608"/>
        <xdr:cNvPicPr>
          <a:picLocks noChangeAspect="1"/>
        </xdr:cNvPicPr>
      </xdr:nvPicPr>
      <xdr:blipFill>
        <a:blip xmlns:r="http://schemas.openxmlformats.org/officeDocument/2006/relationships" r:embed="rId4585"/>
        <a:stretch>
          <a:fillRect/>
        </a:stretch>
      </xdr:blipFill>
      <xdr:spPr>
        <a:xfrm>
          <a:off x="7235825" y="6005744275"/>
          <a:ext cx="878840" cy="1183640"/>
        </a:xfrm>
        <a:prstGeom prst="rect">
          <a:avLst/>
        </a:prstGeom>
      </xdr:spPr>
    </xdr:pic>
    <xdr:clientData/>
  </xdr:twoCellAnchor>
  <xdr:twoCellAnchor>
    <xdr:from>
      <xdr:col>9</xdr:col>
      <xdr:colOff>6350</xdr:colOff>
      <xdr:row>5875</xdr:row>
      <xdr:rowOff>25400</xdr:rowOff>
    </xdr:from>
    <xdr:to>
      <xdr:col>9</xdr:col>
      <xdr:colOff>885190</xdr:colOff>
      <xdr:row>5875</xdr:row>
      <xdr:rowOff>1209040</xdr:rowOff>
    </xdr:to>
    <xdr:pic>
      <xdr:nvPicPr>
        <xdr:cNvPr id="9978" name="Изображение 9977" descr="resizeПП-00278576"/>
        <xdr:cNvPicPr>
          <a:picLocks noChangeAspect="1"/>
        </xdr:cNvPicPr>
      </xdr:nvPicPr>
      <xdr:blipFill>
        <a:blip xmlns:r="http://schemas.openxmlformats.org/officeDocument/2006/relationships" r:embed="rId4586"/>
        <a:stretch>
          <a:fillRect/>
        </a:stretch>
      </xdr:blipFill>
      <xdr:spPr>
        <a:xfrm>
          <a:off x="7235825" y="6006966650"/>
          <a:ext cx="878840" cy="1183640"/>
        </a:xfrm>
        <a:prstGeom prst="rect">
          <a:avLst/>
        </a:prstGeom>
      </xdr:spPr>
    </xdr:pic>
    <xdr:clientData/>
  </xdr:twoCellAnchor>
  <xdr:twoCellAnchor>
    <xdr:from>
      <xdr:col>9</xdr:col>
      <xdr:colOff>6350</xdr:colOff>
      <xdr:row>5876</xdr:row>
      <xdr:rowOff>25400</xdr:rowOff>
    </xdr:from>
    <xdr:to>
      <xdr:col>9</xdr:col>
      <xdr:colOff>885190</xdr:colOff>
      <xdr:row>5876</xdr:row>
      <xdr:rowOff>1209040</xdr:rowOff>
    </xdr:to>
    <xdr:pic>
      <xdr:nvPicPr>
        <xdr:cNvPr id="9979" name="Изображение 9978" descr="resizeПП-00278582"/>
        <xdr:cNvPicPr>
          <a:picLocks noChangeAspect="1"/>
        </xdr:cNvPicPr>
      </xdr:nvPicPr>
      <xdr:blipFill>
        <a:blip xmlns:r="http://schemas.openxmlformats.org/officeDocument/2006/relationships" r:embed="rId4587"/>
        <a:stretch>
          <a:fillRect/>
        </a:stretch>
      </xdr:blipFill>
      <xdr:spPr>
        <a:xfrm>
          <a:off x="7235825" y="6008189025"/>
          <a:ext cx="878840" cy="1183640"/>
        </a:xfrm>
        <a:prstGeom prst="rect">
          <a:avLst/>
        </a:prstGeom>
      </xdr:spPr>
    </xdr:pic>
    <xdr:clientData/>
  </xdr:twoCellAnchor>
  <xdr:twoCellAnchor>
    <xdr:from>
      <xdr:col>9</xdr:col>
      <xdr:colOff>6350</xdr:colOff>
      <xdr:row>5877</xdr:row>
      <xdr:rowOff>25400</xdr:rowOff>
    </xdr:from>
    <xdr:to>
      <xdr:col>9</xdr:col>
      <xdr:colOff>885190</xdr:colOff>
      <xdr:row>5877</xdr:row>
      <xdr:rowOff>1209040</xdr:rowOff>
    </xdr:to>
    <xdr:pic>
      <xdr:nvPicPr>
        <xdr:cNvPr id="9980" name="Изображение 9979" descr="resizeПП-00278583"/>
        <xdr:cNvPicPr>
          <a:picLocks noChangeAspect="1"/>
        </xdr:cNvPicPr>
      </xdr:nvPicPr>
      <xdr:blipFill>
        <a:blip xmlns:r="http://schemas.openxmlformats.org/officeDocument/2006/relationships" r:embed="rId4588"/>
        <a:stretch>
          <a:fillRect/>
        </a:stretch>
      </xdr:blipFill>
      <xdr:spPr>
        <a:xfrm>
          <a:off x="7235825" y="6009411400"/>
          <a:ext cx="878840" cy="1183640"/>
        </a:xfrm>
        <a:prstGeom prst="rect">
          <a:avLst/>
        </a:prstGeom>
      </xdr:spPr>
    </xdr:pic>
    <xdr:clientData/>
  </xdr:twoCellAnchor>
  <xdr:twoCellAnchor>
    <xdr:from>
      <xdr:col>9</xdr:col>
      <xdr:colOff>6350</xdr:colOff>
      <xdr:row>5878</xdr:row>
      <xdr:rowOff>25400</xdr:rowOff>
    </xdr:from>
    <xdr:to>
      <xdr:col>9</xdr:col>
      <xdr:colOff>885190</xdr:colOff>
      <xdr:row>5878</xdr:row>
      <xdr:rowOff>1209040</xdr:rowOff>
    </xdr:to>
    <xdr:pic>
      <xdr:nvPicPr>
        <xdr:cNvPr id="9981" name="Изображение 9980" descr="resizeПП-00278572"/>
        <xdr:cNvPicPr>
          <a:picLocks noChangeAspect="1"/>
        </xdr:cNvPicPr>
      </xdr:nvPicPr>
      <xdr:blipFill>
        <a:blip xmlns:r="http://schemas.openxmlformats.org/officeDocument/2006/relationships" r:embed="rId4589"/>
        <a:stretch>
          <a:fillRect/>
        </a:stretch>
      </xdr:blipFill>
      <xdr:spPr>
        <a:xfrm>
          <a:off x="7235825" y="6010633775"/>
          <a:ext cx="878840" cy="1183640"/>
        </a:xfrm>
        <a:prstGeom prst="rect">
          <a:avLst/>
        </a:prstGeom>
      </xdr:spPr>
    </xdr:pic>
    <xdr:clientData/>
  </xdr:twoCellAnchor>
  <xdr:twoCellAnchor>
    <xdr:from>
      <xdr:col>9</xdr:col>
      <xdr:colOff>6350</xdr:colOff>
      <xdr:row>5879</xdr:row>
      <xdr:rowOff>25400</xdr:rowOff>
    </xdr:from>
    <xdr:to>
      <xdr:col>9</xdr:col>
      <xdr:colOff>885190</xdr:colOff>
      <xdr:row>5879</xdr:row>
      <xdr:rowOff>1209040</xdr:rowOff>
    </xdr:to>
    <xdr:pic>
      <xdr:nvPicPr>
        <xdr:cNvPr id="9982" name="Изображение 9981" descr="resizeПП-00244620"/>
        <xdr:cNvPicPr>
          <a:picLocks noChangeAspect="1"/>
        </xdr:cNvPicPr>
      </xdr:nvPicPr>
      <xdr:blipFill>
        <a:blip xmlns:r="http://schemas.openxmlformats.org/officeDocument/2006/relationships" r:embed="rId4590"/>
        <a:stretch>
          <a:fillRect/>
        </a:stretch>
      </xdr:blipFill>
      <xdr:spPr>
        <a:xfrm>
          <a:off x="7235825" y="6011856150"/>
          <a:ext cx="878840" cy="1183640"/>
        </a:xfrm>
        <a:prstGeom prst="rect">
          <a:avLst/>
        </a:prstGeom>
      </xdr:spPr>
    </xdr:pic>
    <xdr:clientData/>
  </xdr:twoCellAnchor>
  <xdr:twoCellAnchor>
    <xdr:from>
      <xdr:col>9</xdr:col>
      <xdr:colOff>6350</xdr:colOff>
      <xdr:row>5880</xdr:row>
      <xdr:rowOff>25400</xdr:rowOff>
    </xdr:from>
    <xdr:to>
      <xdr:col>9</xdr:col>
      <xdr:colOff>885190</xdr:colOff>
      <xdr:row>5880</xdr:row>
      <xdr:rowOff>1209040</xdr:rowOff>
    </xdr:to>
    <xdr:pic>
      <xdr:nvPicPr>
        <xdr:cNvPr id="9983" name="Изображение 9982" descr="resizeПП-00278591"/>
        <xdr:cNvPicPr>
          <a:picLocks noChangeAspect="1"/>
        </xdr:cNvPicPr>
      </xdr:nvPicPr>
      <xdr:blipFill>
        <a:blip xmlns:r="http://schemas.openxmlformats.org/officeDocument/2006/relationships" r:embed="rId4591"/>
        <a:stretch>
          <a:fillRect/>
        </a:stretch>
      </xdr:blipFill>
      <xdr:spPr>
        <a:xfrm>
          <a:off x="7235825" y="6013078525"/>
          <a:ext cx="878840" cy="1183640"/>
        </a:xfrm>
        <a:prstGeom prst="rect">
          <a:avLst/>
        </a:prstGeom>
      </xdr:spPr>
    </xdr:pic>
    <xdr:clientData/>
  </xdr:twoCellAnchor>
  <xdr:twoCellAnchor>
    <xdr:from>
      <xdr:col>9</xdr:col>
      <xdr:colOff>6350</xdr:colOff>
      <xdr:row>5881</xdr:row>
      <xdr:rowOff>25400</xdr:rowOff>
    </xdr:from>
    <xdr:to>
      <xdr:col>9</xdr:col>
      <xdr:colOff>885190</xdr:colOff>
      <xdr:row>5881</xdr:row>
      <xdr:rowOff>1209040</xdr:rowOff>
    </xdr:to>
    <xdr:pic>
      <xdr:nvPicPr>
        <xdr:cNvPr id="9984" name="Изображение 9983" descr="resizeПП-00244618"/>
        <xdr:cNvPicPr>
          <a:picLocks noChangeAspect="1"/>
        </xdr:cNvPicPr>
      </xdr:nvPicPr>
      <xdr:blipFill>
        <a:blip xmlns:r="http://schemas.openxmlformats.org/officeDocument/2006/relationships" r:embed="rId4592"/>
        <a:stretch>
          <a:fillRect/>
        </a:stretch>
      </xdr:blipFill>
      <xdr:spPr>
        <a:xfrm>
          <a:off x="7235825" y="6014300900"/>
          <a:ext cx="878840" cy="1183640"/>
        </a:xfrm>
        <a:prstGeom prst="rect">
          <a:avLst/>
        </a:prstGeom>
      </xdr:spPr>
    </xdr:pic>
    <xdr:clientData/>
  </xdr:twoCellAnchor>
  <xdr:twoCellAnchor>
    <xdr:from>
      <xdr:col>9</xdr:col>
      <xdr:colOff>6350</xdr:colOff>
      <xdr:row>5882</xdr:row>
      <xdr:rowOff>25400</xdr:rowOff>
    </xdr:from>
    <xdr:to>
      <xdr:col>9</xdr:col>
      <xdr:colOff>885190</xdr:colOff>
      <xdr:row>5882</xdr:row>
      <xdr:rowOff>1209040</xdr:rowOff>
    </xdr:to>
    <xdr:pic>
      <xdr:nvPicPr>
        <xdr:cNvPr id="9985" name="Изображение 9984" descr="resizeПП-00244617"/>
        <xdr:cNvPicPr>
          <a:picLocks noChangeAspect="1"/>
        </xdr:cNvPicPr>
      </xdr:nvPicPr>
      <xdr:blipFill>
        <a:blip xmlns:r="http://schemas.openxmlformats.org/officeDocument/2006/relationships" r:embed="rId4593"/>
        <a:stretch>
          <a:fillRect/>
        </a:stretch>
      </xdr:blipFill>
      <xdr:spPr>
        <a:xfrm>
          <a:off x="7235825" y="6015523275"/>
          <a:ext cx="878840" cy="1183640"/>
        </a:xfrm>
        <a:prstGeom prst="rect">
          <a:avLst/>
        </a:prstGeom>
      </xdr:spPr>
    </xdr:pic>
    <xdr:clientData/>
  </xdr:twoCellAnchor>
  <xdr:twoCellAnchor>
    <xdr:from>
      <xdr:col>9</xdr:col>
      <xdr:colOff>6350</xdr:colOff>
      <xdr:row>5883</xdr:row>
      <xdr:rowOff>25400</xdr:rowOff>
    </xdr:from>
    <xdr:to>
      <xdr:col>9</xdr:col>
      <xdr:colOff>885190</xdr:colOff>
      <xdr:row>5883</xdr:row>
      <xdr:rowOff>1209040</xdr:rowOff>
    </xdr:to>
    <xdr:pic>
      <xdr:nvPicPr>
        <xdr:cNvPr id="9986" name="Изображение 9985" descr="resizeПП-00244609"/>
        <xdr:cNvPicPr>
          <a:picLocks noChangeAspect="1"/>
        </xdr:cNvPicPr>
      </xdr:nvPicPr>
      <xdr:blipFill>
        <a:blip xmlns:r="http://schemas.openxmlformats.org/officeDocument/2006/relationships" r:embed="rId4594"/>
        <a:stretch>
          <a:fillRect/>
        </a:stretch>
      </xdr:blipFill>
      <xdr:spPr>
        <a:xfrm>
          <a:off x="7235825" y="6016745650"/>
          <a:ext cx="878840" cy="1183640"/>
        </a:xfrm>
        <a:prstGeom prst="rect">
          <a:avLst/>
        </a:prstGeom>
      </xdr:spPr>
    </xdr:pic>
    <xdr:clientData/>
  </xdr:twoCellAnchor>
  <xdr:twoCellAnchor>
    <xdr:from>
      <xdr:col>9</xdr:col>
      <xdr:colOff>6350</xdr:colOff>
      <xdr:row>5885</xdr:row>
      <xdr:rowOff>25400</xdr:rowOff>
    </xdr:from>
    <xdr:to>
      <xdr:col>9</xdr:col>
      <xdr:colOff>885190</xdr:colOff>
      <xdr:row>5885</xdr:row>
      <xdr:rowOff>1209040</xdr:rowOff>
    </xdr:to>
    <xdr:pic>
      <xdr:nvPicPr>
        <xdr:cNvPr id="9987" name="Изображение 9986" descr="resizeПП-00278645"/>
        <xdr:cNvPicPr>
          <a:picLocks noChangeAspect="1"/>
        </xdr:cNvPicPr>
      </xdr:nvPicPr>
      <xdr:blipFill>
        <a:blip xmlns:r="http://schemas.openxmlformats.org/officeDocument/2006/relationships" r:embed="rId4595"/>
        <a:stretch>
          <a:fillRect/>
        </a:stretch>
      </xdr:blipFill>
      <xdr:spPr>
        <a:xfrm>
          <a:off x="7235825" y="6018120425"/>
          <a:ext cx="878840" cy="1183640"/>
        </a:xfrm>
        <a:prstGeom prst="rect">
          <a:avLst/>
        </a:prstGeom>
      </xdr:spPr>
    </xdr:pic>
    <xdr:clientData/>
  </xdr:twoCellAnchor>
  <xdr:twoCellAnchor>
    <xdr:from>
      <xdr:col>9</xdr:col>
      <xdr:colOff>6350</xdr:colOff>
      <xdr:row>5886</xdr:row>
      <xdr:rowOff>25400</xdr:rowOff>
    </xdr:from>
    <xdr:to>
      <xdr:col>9</xdr:col>
      <xdr:colOff>885190</xdr:colOff>
      <xdr:row>5886</xdr:row>
      <xdr:rowOff>1209040</xdr:rowOff>
    </xdr:to>
    <xdr:pic>
      <xdr:nvPicPr>
        <xdr:cNvPr id="9988" name="Изображение 9987" descr="resizeПП-00278655"/>
        <xdr:cNvPicPr>
          <a:picLocks noChangeAspect="1"/>
        </xdr:cNvPicPr>
      </xdr:nvPicPr>
      <xdr:blipFill>
        <a:blip xmlns:r="http://schemas.openxmlformats.org/officeDocument/2006/relationships" r:embed="rId4596"/>
        <a:stretch>
          <a:fillRect/>
        </a:stretch>
      </xdr:blipFill>
      <xdr:spPr>
        <a:xfrm>
          <a:off x="7235825" y="6019342800"/>
          <a:ext cx="878840" cy="1183640"/>
        </a:xfrm>
        <a:prstGeom prst="rect">
          <a:avLst/>
        </a:prstGeom>
      </xdr:spPr>
    </xdr:pic>
    <xdr:clientData/>
  </xdr:twoCellAnchor>
  <xdr:twoCellAnchor>
    <xdr:from>
      <xdr:col>9</xdr:col>
      <xdr:colOff>6350</xdr:colOff>
      <xdr:row>5887</xdr:row>
      <xdr:rowOff>25400</xdr:rowOff>
    </xdr:from>
    <xdr:to>
      <xdr:col>9</xdr:col>
      <xdr:colOff>1189990</xdr:colOff>
      <xdr:row>5887</xdr:row>
      <xdr:rowOff>904240</xdr:rowOff>
    </xdr:to>
    <xdr:pic>
      <xdr:nvPicPr>
        <xdr:cNvPr id="9989" name="Изображение 9988" descr="resizeПП-00259276"/>
        <xdr:cNvPicPr>
          <a:picLocks noChangeAspect="1"/>
        </xdr:cNvPicPr>
      </xdr:nvPicPr>
      <xdr:blipFill>
        <a:blip xmlns:r="http://schemas.openxmlformats.org/officeDocument/2006/relationships" r:embed="rId4597"/>
        <a:stretch>
          <a:fillRect/>
        </a:stretch>
      </xdr:blipFill>
      <xdr:spPr>
        <a:xfrm>
          <a:off x="7235825" y="6020565175"/>
          <a:ext cx="1183640" cy="878840"/>
        </a:xfrm>
        <a:prstGeom prst="rect">
          <a:avLst/>
        </a:prstGeom>
      </xdr:spPr>
    </xdr:pic>
    <xdr:clientData/>
  </xdr:twoCellAnchor>
  <xdr:twoCellAnchor>
    <xdr:from>
      <xdr:col>9</xdr:col>
      <xdr:colOff>6350</xdr:colOff>
      <xdr:row>5888</xdr:row>
      <xdr:rowOff>25400</xdr:rowOff>
    </xdr:from>
    <xdr:to>
      <xdr:col>9</xdr:col>
      <xdr:colOff>885190</xdr:colOff>
      <xdr:row>5888</xdr:row>
      <xdr:rowOff>1209040</xdr:rowOff>
    </xdr:to>
    <xdr:pic>
      <xdr:nvPicPr>
        <xdr:cNvPr id="9990" name="Изображение 9989" descr="resizeПП-00278656"/>
        <xdr:cNvPicPr>
          <a:picLocks noChangeAspect="1"/>
        </xdr:cNvPicPr>
      </xdr:nvPicPr>
      <xdr:blipFill>
        <a:blip xmlns:r="http://schemas.openxmlformats.org/officeDocument/2006/relationships" r:embed="rId4598"/>
        <a:stretch>
          <a:fillRect/>
        </a:stretch>
      </xdr:blipFill>
      <xdr:spPr>
        <a:xfrm>
          <a:off x="7235825" y="6021787550"/>
          <a:ext cx="878840" cy="1183640"/>
        </a:xfrm>
        <a:prstGeom prst="rect">
          <a:avLst/>
        </a:prstGeom>
      </xdr:spPr>
    </xdr:pic>
    <xdr:clientData/>
  </xdr:twoCellAnchor>
  <xdr:twoCellAnchor>
    <xdr:from>
      <xdr:col>9</xdr:col>
      <xdr:colOff>6350</xdr:colOff>
      <xdr:row>5889</xdr:row>
      <xdr:rowOff>25400</xdr:rowOff>
    </xdr:from>
    <xdr:to>
      <xdr:col>9</xdr:col>
      <xdr:colOff>885190</xdr:colOff>
      <xdr:row>5889</xdr:row>
      <xdr:rowOff>1209040</xdr:rowOff>
    </xdr:to>
    <xdr:pic>
      <xdr:nvPicPr>
        <xdr:cNvPr id="9991" name="Изображение 9990" descr="resizeПП-00259274"/>
        <xdr:cNvPicPr>
          <a:picLocks noChangeAspect="1"/>
        </xdr:cNvPicPr>
      </xdr:nvPicPr>
      <xdr:blipFill>
        <a:blip xmlns:r="http://schemas.openxmlformats.org/officeDocument/2006/relationships" r:embed="rId4599"/>
        <a:stretch>
          <a:fillRect/>
        </a:stretch>
      </xdr:blipFill>
      <xdr:spPr>
        <a:xfrm>
          <a:off x="7235825" y="6023009925"/>
          <a:ext cx="878840" cy="1183640"/>
        </a:xfrm>
        <a:prstGeom prst="rect">
          <a:avLst/>
        </a:prstGeom>
      </xdr:spPr>
    </xdr:pic>
    <xdr:clientData/>
  </xdr:twoCellAnchor>
  <xdr:twoCellAnchor>
    <xdr:from>
      <xdr:col>9</xdr:col>
      <xdr:colOff>6350</xdr:colOff>
      <xdr:row>5890</xdr:row>
      <xdr:rowOff>25400</xdr:rowOff>
    </xdr:from>
    <xdr:to>
      <xdr:col>9</xdr:col>
      <xdr:colOff>1189990</xdr:colOff>
      <xdr:row>5890</xdr:row>
      <xdr:rowOff>904240</xdr:rowOff>
    </xdr:to>
    <xdr:pic>
      <xdr:nvPicPr>
        <xdr:cNvPr id="9992" name="Изображение 9991" descr="resizeПП-00259275"/>
        <xdr:cNvPicPr>
          <a:picLocks noChangeAspect="1"/>
        </xdr:cNvPicPr>
      </xdr:nvPicPr>
      <xdr:blipFill>
        <a:blip xmlns:r="http://schemas.openxmlformats.org/officeDocument/2006/relationships" r:embed="rId4600"/>
        <a:stretch>
          <a:fillRect/>
        </a:stretch>
      </xdr:blipFill>
      <xdr:spPr>
        <a:xfrm>
          <a:off x="7235825" y="6024232300"/>
          <a:ext cx="1183640" cy="878840"/>
        </a:xfrm>
        <a:prstGeom prst="rect">
          <a:avLst/>
        </a:prstGeom>
      </xdr:spPr>
    </xdr:pic>
    <xdr:clientData/>
  </xdr:twoCellAnchor>
  <xdr:twoCellAnchor>
    <xdr:from>
      <xdr:col>9</xdr:col>
      <xdr:colOff>6350</xdr:colOff>
      <xdr:row>5891</xdr:row>
      <xdr:rowOff>25400</xdr:rowOff>
    </xdr:from>
    <xdr:to>
      <xdr:col>9</xdr:col>
      <xdr:colOff>885190</xdr:colOff>
      <xdr:row>5891</xdr:row>
      <xdr:rowOff>1209040</xdr:rowOff>
    </xdr:to>
    <xdr:pic>
      <xdr:nvPicPr>
        <xdr:cNvPr id="9993" name="Изображение 9992" descr="resizeПП-00278653"/>
        <xdr:cNvPicPr>
          <a:picLocks noChangeAspect="1"/>
        </xdr:cNvPicPr>
      </xdr:nvPicPr>
      <xdr:blipFill>
        <a:blip xmlns:r="http://schemas.openxmlformats.org/officeDocument/2006/relationships" r:embed="rId4601"/>
        <a:stretch>
          <a:fillRect/>
        </a:stretch>
      </xdr:blipFill>
      <xdr:spPr>
        <a:xfrm>
          <a:off x="7235825" y="6025454675"/>
          <a:ext cx="878840" cy="1183640"/>
        </a:xfrm>
        <a:prstGeom prst="rect">
          <a:avLst/>
        </a:prstGeom>
      </xdr:spPr>
    </xdr:pic>
    <xdr:clientData/>
  </xdr:twoCellAnchor>
  <xdr:twoCellAnchor>
    <xdr:from>
      <xdr:col>9</xdr:col>
      <xdr:colOff>6350</xdr:colOff>
      <xdr:row>5892</xdr:row>
      <xdr:rowOff>25400</xdr:rowOff>
    </xdr:from>
    <xdr:to>
      <xdr:col>9</xdr:col>
      <xdr:colOff>885190</xdr:colOff>
      <xdr:row>5892</xdr:row>
      <xdr:rowOff>1209040</xdr:rowOff>
    </xdr:to>
    <xdr:pic>
      <xdr:nvPicPr>
        <xdr:cNvPr id="9994" name="Изображение 9993" descr="resizeПП-00278649"/>
        <xdr:cNvPicPr>
          <a:picLocks noChangeAspect="1"/>
        </xdr:cNvPicPr>
      </xdr:nvPicPr>
      <xdr:blipFill>
        <a:blip xmlns:r="http://schemas.openxmlformats.org/officeDocument/2006/relationships" r:embed="rId4602"/>
        <a:stretch>
          <a:fillRect/>
        </a:stretch>
      </xdr:blipFill>
      <xdr:spPr>
        <a:xfrm>
          <a:off x="7235825" y="6026677050"/>
          <a:ext cx="878840" cy="1183640"/>
        </a:xfrm>
        <a:prstGeom prst="rect">
          <a:avLst/>
        </a:prstGeom>
      </xdr:spPr>
    </xdr:pic>
    <xdr:clientData/>
  </xdr:twoCellAnchor>
  <xdr:twoCellAnchor>
    <xdr:from>
      <xdr:col>9</xdr:col>
      <xdr:colOff>6350</xdr:colOff>
      <xdr:row>5893</xdr:row>
      <xdr:rowOff>25400</xdr:rowOff>
    </xdr:from>
    <xdr:to>
      <xdr:col>9</xdr:col>
      <xdr:colOff>885190</xdr:colOff>
      <xdr:row>5893</xdr:row>
      <xdr:rowOff>1209040</xdr:rowOff>
    </xdr:to>
    <xdr:pic>
      <xdr:nvPicPr>
        <xdr:cNvPr id="9995" name="Изображение 9994" descr="resizeПП-00278647"/>
        <xdr:cNvPicPr>
          <a:picLocks noChangeAspect="1"/>
        </xdr:cNvPicPr>
      </xdr:nvPicPr>
      <xdr:blipFill>
        <a:blip xmlns:r="http://schemas.openxmlformats.org/officeDocument/2006/relationships" r:embed="rId4603"/>
        <a:stretch>
          <a:fillRect/>
        </a:stretch>
      </xdr:blipFill>
      <xdr:spPr>
        <a:xfrm>
          <a:off x="7235825" y="6027899425"/>
          <a:ext cx="878840" cy="1183640"/>
        </a:xfrm>
        <a:prstGeom prst="rect">
          <a:avLst/>
        </a:prstGeom>
      </xdr:spPr>
    </xdr:pic>
    <xdr:clientData/>
  </xdr:twoCellAnchor>
  <xdr:twoCellAnchor>
    <xdr:from>
      <xdr:col>9</xdr:col>
      <xdr:colOff>6350</xdr:colOff>
      <xdr:row>5894</xdr:row>
      <xdr:rowOff>25400</xdr:rowOff>
    </xdr:from>
    <xdr:to>
      <xdr:col>9</xdr:col>
      <xdr:colOff>885190</xdr:colOff>
      <xdr:row>5894</xdr:row>
      <xdr:rowOff>1209040</xdr:rowOff>
    </xdr:to>
    <xdr:pic>
      <xdr:nvPicPr>
        <xdr:cNvPr id="9996" name="Изображение 9995" descr="resizeПП-00278643"/>
        <xdr:cNvPicPr>
          <a:picLocks noChangeAspect="1"/>
        </xdr:cNvPicPr>
      </xdr:nvPicPr>
      <xdr:blipFill>
        <a:blip xmlns:r="http://schemas.openxmlformats.org/officeDocument/2006/relationships" r:embed="rId4604"/>
        <a:stretch>
          <a:fillRect/>
        </a:stretch>
      </xdr:blipFill>
      <xdr:spPr>
        <a:xfrm>
          <a:off x="7235825" y="6029121800"/>
          <a:ext cx="878840" cy="1183640"/>
        </a:xfrm>
        <a:prstGeom prst="rect">
          <a:avLst/>
        </a:prstGeom>
      </xdr:spPr>
    </xdr:pic>
    <xdr:clientData/>
  </xdr:twoCellAnchor>
  <xdr:twoCellAnchor>
    <xdr:from>
      <xdr:col>9</xdr:col>
      <xdr:colOff>6350</xdr:colOff>
      <xdr:row>5895</xdr:row>
      <xdr:rowOff>25400</xdr:rowOff>
    </xdr:from>
    <xdr:to>
      <xdr:col>9</xdr:col>
      <xdr:colOff>885190</xdr:colOff>
      <xdr:row>5895</xdr:row>
      <xdr:rowOff>1209040</xdr:rowOff>
    </xdr:to>
    <xdr:pic>
      <xdr:nvPicPr>
        <xdr:cNvPr id="9997" name="Изображение 9996" descr="resizeПП-00278641"/>
        <xdr:cNvPicPr>
          <a:picLocks noChangeAspect="1"/>
        </xdr:cNvPicPr>
      </xdr:nvPicPr>
      <xdr:blipFill>
        <a:blip xmlns:r="http://schemas.openxmlformats.org/officeDocument/2006/relationships" r:embed="rId4605"/>
        <a:stretch>
          <a:fillRect/>
        </a:stretch>
      </xdr:blipFill>
      <xdr:spPr>
        <a:xfrm>
          <a:off x="7235825" y="6030344175"/>
          <a:ext cx="878840" cy="1183640"/>
        </a:xfrm>
        <a:prstGeom prst="rect">
          <a:avLst/>
        </a:prstGeom>
      </xdr:spPr>
    </xdr:pic>
    <xdr:clientData/>
  </xdr:twoCellAnchor>
  <xdr:twoCellAnchor>
    <xdr:from>
      <xdr:col>9</xdr:col>
      <xdr:colOff>6350</xdr:colOff>
      <xdr:row>5896</xdr:row>
      <xdr:rowOff>25400</xdr:rowOff>
    </xdr:from>
    <xdr:to>
      <xdr:col>9</xdr:col>
      <xdr:colOff>885190</xdr:colOff>
      <xdr:row>5896</xdr:row>
      <xdr:rowOff>1209040</xdr:rowOff>
    </xdr:to>
    <xdr:pic>
      <xdr:nvPicPr>
        <xdr:cNvPr id="9998" name="Изображение 9997" descr="resizeПП-00213060"/>
        <xdr:cNvPicPr>
          <a:picLocks noChangeAspect="1"/>
        </xdr:cNvPicPr>
      </xdr:nvPicPr>
      <xdr:blipFill>
        <a:blip xmlns:r="http://schemas.openxmlformats.org/officeDocument/2006/relationships" r:embed="rId4606"/>
        <a:stretch>
          <a:fillRect/>
        </a:stretch>
      </xdr:blipFill>
      <xdr:spPr>
        <a:xfrm>
          <a:off x="7235825" y="6031566550"/>
          <a:ext cx="878840" cy="1183640"/>
        </a:xfrm>
        <a:prstGeom prst="rect">
          <a:avLst/>
        </a:prstGeom>
      </xdr:spPr>
    </xdr:pic>
    <xdr:clientData/>
  </xdr:twoCellAnchor>
  <xdr:twoCellAnchor>
    <xdr:from>
      <xdr:col>9</xdr:col>
      <xdr:colOff>6350</xdr:colOff>
      <xdr:row>5897</xdr:row>
      <xdr:rowOff>25400</xdr:rowOff>
    </xdr:from>
    <xdr:to>
      <xdr:col>9</xdr:col>
      <xdr:colOff>885190</xdr:colOff>
      <xdr:row>5897</xdr:row>
      <xdr:rowOff>1209040</xdr:rowOff>
    </xdr:to>
    <xdr:pic>
      <xdr:nvPicPr>
        <xdr:cNvPr id="9999" name="Изображение 9998" descr="resizeПП-00259273"/>
        <xdr:cNvPicPr>
          <a:picLocks noChangeAspect="1"/>
        </xdr:cNvPicPr>
      </xdr:nvPicPr>
      <xdr:blipFill>
        <a:blip xmlns:r="http://schemas.openxmlformats.org/officeDocument/2006/relationships" r:embed="rId4607"/>
        <a:stretch>
          <a:fillRect/>
        </a:stretch>
      </xdr:blipFill>
      <xdr:spPr>
        <a:xfrm>
          <a:off x="7235825" y="6032788925"/>
          <a:ext cx="878840" cy="1183640"/>
        </a:xfrm>
        <a:prstGeom prst="rect">
          <a:avLst/>
        </a:prstGeom>
      </xdr:spPr>
    </xdr:pic>
    <xdr:clientData/>
  </xdr:twoCellAnchor>
  <xdr:twoCellAnchor>
    <xdr:from>
      <xdr:col>9</xdr:col>
      <xdr:colOff>6350</xdr:colOff>
      <xdr:row>5898</xdr:row>
      <xdr:rowOff>25400</xdr:rowOff>
    </xdr:from>
    <xdr:to>
      <xdr:col>9</xdr:col>
      <xdr:colOff>885190</xdr:colOff>
      <xdr:row>5898</xdr:row>
      <xdr:rowOff>1209040</xdr:rowOff>
    </xdr:to>
    <xdr:pic>
      <xdr:nvPicPr>
        <xdr:cNvPr id="10000" name="Изображение 9999" descr="resizeПП-00278661"/>
        <xdr:cNvPicPr>
          <a:picLocks noChangeAspect="1"/>
        </xdr:cNvPicPr>
      </xdr:nvPicPr>
      <xdr:blipFill>
        <a:blip xmlns:r="http://schemas.openxmlformats.org/officeDocument/2006/relationships" r:embed="rId4608"/>
        <a:stretch>
          <a:fillRect/>
        </a:stretch>
      </xdr:blipFill>
      <xdr:spPr>
        <a:xfrm>
          <a:off x="7235825" y="6034011300"/>
          <a:ext cx="878840" cy="1183640"/>
        </a:xfrm>
        <a:prstGeom prst="rect">
          <a:avLst/>
        </a:prstGeom>
      </xdr:spPr>
    </xdr:pic>
    <xdr:clientData/>
  </xdr:twoCellAnchor>
  <xdr:twoCellAnchor>
    <xdr:from>
      <xdr:col>9</xdr:col>
      <xdr:colOff>6350</xdr:colOff>
      <xdr:row>5899</xdr:row>
      <xdr:rowOff>25400</xdr:rowOff>
    </xdr:from>
    <xdr:to>
      <xdr:col>9</xdr:col>
      <xdr:colOff>885190</xdr:colOff>
      <xdr:row>5899</xdr:row>
      <xdr:rowOff>1209040</xdr:rowOff>
    </xdr:to>
    <xdr:pic>
      <xdr:nvPicPr>
        <xdr:cNvPr id="10001" name="Изображение 10000" descr="resizeПП-00278664"/>
        <xdr:cNvPicPr>
          <a:picLocks noChangeAspect="1"/>
        </xdr:cNvPicPr>
      </xdr:nvPicPr>
      <xdr:blipFill>
        <a:blip xmlns:r="http://schemas.openxmlformats.org/officeDocument/2006/relationships" r:embed="rId4609"/>
        <a:stretch>
          <a:fillRect/>
        </a:stretch>
      </xdr:blipFill>
      <xdr:spPr>
        <a:xfrm>
          <a:off x="7235825" y="6035233675"/>
          <a:ext cx="878840" cy="1183640"/>
        </a:xfrm>
        <a:prstGeom prst="rect">
          <a:avLst/>
        </a:prstGeom>
      </xdr:spPr>
    </xdr:pic>
    <xdr:clientData/>
  </xdr:twoCellAnchor>
  <xdr:twoCellAnchor>
    <xdr:from>
      <xdr:col>9</xdr:col>
      <xdr:colOff>6350</xdr:colOff>
      <xdr:row>5900</xdr:row>
      <xdr:rowOff>25400</xdr:rowOff>
    </xdr:from>
    <xdr:to>
      <xdr:col>9</xdr:col>
      <xdr:colOff>885190</xdr:colOff>
      <xdr:row>5900</xdr:row>
      <xdr:rowOff>1209040</xdr:rowOff>
    </xdr:to>
    <xdr:pic>
      <xdr:nvPicPr>
        <xdr:cNvPr id="10002" name="Изображение 10001" descr="resizeПП-00278640"/>
        <xdr:cNvPicPr>
          <a:picLocks noChangeAspect="1"/>
        </xdr:cNvPicPr>
      </xdr:nvPicPr>
      <xdr:blipFill>
        <a:blip xmlns:r="http://schemas.openxmlformats.org/officeDocument/2006/relationships" r:embed="rId4610"/>
        <a:stretch>
          <a:fillRect/>
        </a:stretch>
      </xdr:blipFill>
      <xdr:spPr>
        <a:xfrm>
          <a:off x="7235825" y="6036456050"/>
          <a:ext cx="878840" cy="1183640"/>
        </a:xfrm>
        <a:prstGeom prst="rect">
          <a:avLst/>
        </a:prstGeom>
      </xdr:spPr>
    </xdr:pic>
    <xdr:clientData/>
  </xdr:twoCellAnchor>
  <xdr:twoCellAnchor>
    <xdr:from>
      <xdr:col>9</xdr:col>
      <xdr:colOff>6350</xdr:colOff>
      <xdr:row>5901</xdr:row>
      <xdr:rowOff>25400</xdr:rowOff>
    </xdr:from>
    <xdr:to>
      <xdr:col>9</xdr:col>
      <xdr:colOff>885190</xdr:colOff>
      <xdr:row>5901</xdr:row>
      <xdr:rowOff>1209040</xdr:rowOff>
    </xdr:to>
    <xdr:pic>
      <xdr:nvPicPr>
        <xdr:cNvPr id="10003" name="Изображение 10002" descr="resizeПП-00278659"/>
        <xdr:cNvPicPr>
          <a:picLocks noChangeAspect="1"/>
        </xdr:cNvPicPr>
      </xdr:nvPicPr>
      <xdr:blipFill>
        <a:blip xmlns:r="http://schemas.openxmlformats.org/officeDocument/2006/relationships" r:embed="rId4611"/>
        <a:stretch>
          <a:fillRect/>
        </a:stretch>
      </xdr:blipFill>
      <xdr:spPr>
        <a:xfrm>
          <a:off x="7235825" y="6037678425"/>
          <a:ext cx="878840" cy="1183640"/>
        </a:xfrm>
        <a:prstGeom prst="rect">
          <a:avLst/>
        </a:prstGeom>
      </xdr:spPr>
    </xdr:pic>
    <xdr:clientData/>
  </xdr:twoCellAnchor>
  <xdr:twoCellAnchor>
    <xdr:from>
      <xdr:col>9</xdr:col>
      <xdr:colOff>6350</xdr:colOff>
      <xdr:row>5902</xdr:row>
      <xdr:rowOff>25400</xdr:rowOff>
    </xdr:from>
    <xdr:to>
      <xdr:col>9</xdr:col>
      <xdr:colOff>885190</xdr:colOff>
      <xdr:row>5902</xdr:row>
      <xdr:rowOff>1209040</xdr:rowOff>
    </xdr:to>
    <xdr:pic>
      <xdr:nvPicPr>
        <xdr:cNvPr id="10004" name="Изображение 10003" descr="resizeПП-00278662"/>
        <xdr:cNvPicPr>
          <a:picLocks noChangeAspect="1"/>
        </xdr:cNvPicPr>
      </xdr:nvPicPr>
      <xdr:blipFill>
        <a:blip xmlns:r="http://schemas.openxmlformats.org/officeDocument/2006/relationships" r:embed="rId4612"/>
        <a:stretch>
          <a:fillRect/>
        </a:stretch>
      </xdr:blipFill>
      <xdr:spPr>
        <a:xfrm>
          <a:off x="7235825" y="6038900800"/>
          <a:ext cx="878840" cy="1183640"/>
        </a:xfrm>
        <a:prstGeom prst="rect">
          <a:avLst/>
        </a:prstGeom>
      </xdr:spPr>
    </xdr:pic>
    <xdr:clientData/>
  </xdr:twoCellAnchor>
  <xdr:twoCellAnchor>
    <xdr:from>
      <xdr:col>9</xdr:col>
      <xdr:colOff>6350</xdr:colOff>
      <xdr:row>5903</xdr:row>
      <xdr:rowOff>25400</xdr:rowOff>
    </xdr:from>
    <xdr:to>
      <xdr:col>9</xdr:col>
      <xdr:colOff>885190</xdr:colOff>
      <xdr:row>5903</xdr:row>
      <xdr:rowOff>1209040</xdr:rowOff>
    </xdr:to>
    <xdr:pic>
      <xdr:nvPicPr>
        <xdr:cNvPr id="10005" name="Изображение 10004" descr="resizeПП-00278644"/>
        <xdr:cNvPicPr>
          <a:picLocks noChangeAspect="1"/>
        </xdr:cNvPicPr>
      </xdr:nvPicPr>
      <xdr:blipFill>
        <a:blip xmlns:r="http://schemas.openxmlformats.org/officeDocument/2006/relationships" r:embed="rId4613"/>
        <a:stretch>
          <a:fillRect/>
        </a:stretch>
      </xdr:blipFill>
      <xdr:spPr>
        <a:xfrm>
          <a:off x="7235825" y="6040123175"/>
          <a:ext cx="878840" cy="1183640"/>
        </a:xfrm>
        <a:prstGeom prst="rect">
          <a:avLst/>
        </a:prstGeom>
      </xdr:spPr>
    </xdr:pic>
    <xdr:clientData/>
  </xdr:twoCellAnchor>
  <xdr:twoCellAnchor>
    <xdr:from>
      <xdr:col>9</xdr:col>
      <xdr:colOff>6350</xdr:colOff>
      <xdr:row>5904</xdr:row>
      <xdr:rowOff>25400</xdr:rowOff>
    </xdr:from>
    <xdr:to>
      <xdr:col>9</xdr:col>
      <xdr:colOff>885190</xdr:colOff>
      <xdr:row>5904</xdr:row>
      <xdr:rowOff>1209040</xdr:rowOff>
    </xdr:to>
    <xdr:pic>
      <xdr:nvPicPr>
        <xdr:cNvPr id="10006" name="Изображение 10005" descr="resizeПП-00278651"/>
        <xdr:cNvPicPr>
          <a:picLocks noChangeAspect="1"/>
        </xdr:cNvPicPr>
      </xdr:nvPicPr>
      <xdr:blipFill>
        <a:blip xmlns:r="http://schemas.openxmlformats.org/officeDocument/2006/relationships" r:embed="rId4614"/>
        <a:stretch>
          <a:fillRect/>
        </a:stretch>
      </xdr:blipFill>
      <xdr:spPr>
        <a:xfrm>
          <a:off x="7235825" y="6041345550"/>
          <a:ext cx="878840" cy="1183640"/>
        </a:xfrm>
        <a:prstGeom prst="rect">
          <a:avLst/>
        </a:prstGeom>
      </xdr:spPr>
    </xdr:pic>
    <xdr:clientData/>
  </xdr:twoCellAnchor>
  <xdr:twoCellAnchor>
    <xdr:from>
      <xdr:col>9</xdr:col>
      <xdr:colOff>6350</xdr:colOff>
      <xdr:row>5905</xdr:row>
      <xdr:rowOff>25400</xdr:rowOff>
    </xdr:from>
    <xdr:to>
      <xdr:col>9</xdr:col>
      <xdr:colOff>885190</xdr:colOff>
      <xdr:row>5905</xdr:row>
      <xdr:rowOff>1209040</xdr:rowOff>
    </xdr:to>
    <xdr:pic>
      <xdr:nvPicPr>
        <xdr:cNvPr id="10007" name="Изображение 10006" descr="resizeПП-00259269"/>
        <xdr:cNvPicPr>
          <a:picLocks noChangeAspect="1"/>
        </xdr:cNvPicPr>
      </xdr:nvPicPr>
      <xdr:blipFill>
        <a:blip xmlns:r="http://schemas.openxmlformats.org/officeDocument/2006/relationships" r:embed="rId4615"/>
        <a:stretch>
          <a:fillRect/>
        </a:stretch>
      </xdr:blipFill>
      <xdr:spPr>
        <a:xfrm>
          <a:off x="7235825" y="6042567925"/>
          <a:ext cx="878840" cy="1183640"/>
        </a:xfrm>
        <a:prstGeom prst="rect">
          <a:avLst/>
        </a:prstGeom>
      </xdr:spPr>
    </xdr:pic>
    <xdr:clientData/>
  </xdr:twoCellAnchor>
  <xdr:twoCellAnchor>
    <xdr:from>
      <xdr:col>9</xdr:col>
      <xdr:colOff>6350</xdr:colOff>
      <xdr:row>5906</xdr:row>
      <xdr:rowOff>25400</xdr:rowOff>
    </xdr:from>
    <xdr:to>
      <xdr:col>9</xdr:col>
      <xdr:colOff>885190</xdr:colOff>
      <xdr:row>5906</xdr:row>
      <xdr:rowOff>1209040</xdr:rowOff>
    </xdr:to>
    <xdr:pic>
      <xdr:nvPicPr>
        <xdr:cNvPr id="10008" name="Изображение 10007" descr="resizeПП-00213057"/>
        <xdr:cNvPicPr>
          <a:picLocks noChangeAspect="1"/>
        </xdr:cNvPicPr>
      </xdr:nvPicPr>
      <xdr:blipFill>
        <a:blip xmlns:r="http://schemas.openxmlformats.org/officeDocument/2006/relationships" r:embed="rId4616"/>
        <a:stretch>
          <a:fillRect/>
        </a:stretch>
      </xdr:blipFill>
      <xdr:spPr>
        <a:xfrm>
          <a:off x="7235825" y="6043790300"/>
          <a:ext cx="878840" cy="1183640"/>
        </a:xfrm>
        <a:prstGeom prst="rect">
          <a:avLst/>
        </a:prstGeom>
      </xdr:spPr>
    </xdr:pic>
    <xdr:clientData/>
  </xdr:twoCellAnchor>
  <xdr:twoCellAnchor>
    <xdr:from>
      <xdr:col>9</xdr:col>
      <xdr:colOff>6350</xdr:colOff>
      <xdr:row>5907</xdr:row>
      <xdr:rowOff>25400</xdr:rowOff>
    </xdr:from>
    <xdr:to>
      <xdr:col>9</xdr:col>
      <xdr:colOff>1189990</xdr:colOff>
      <xdr:row>5907</xdr:row>
      <xdr:rowOff>904240</xdr:rowOff>
    </xdr:to>
    <xdr:pic>
      <xdr:nvPicPr>
        <xdr:cNvPr id="10009" name="Изображение 10008" descr="resizeПП-00194071"/>
        <xdr:cNvPicPr>
          <a:picLocks noChangeAspect="1"/>
        </xdr:cNvPicPr>
      </xdr:nvPicPr>
      <xdr:blipFill>
        <a:blip xmlns:r="http://schemas.openxmlformats.org/officeDocument/2006/relationships" r:embed="rId4617"/>
        <a:stretch>
          <a:fillRect/>
        </a:stretch>
      </xdr:blipFill>
      <xdr:spPr>
        <a:xfrm>
          <a:off x="7235825" y="6045012675"/>
          <a:ext cx="1183640" cy="878840"/>
        </a:xfrm>
        <a:prstGeom prst="rect">
          <a:avLst/>
        </a:prstGeom>
      </xdr:spPr>
    </xdr:pic>
    <xdr:clientData/>
  </xdr:twoCellAnchor>
  <xdr:twoCellAnchor>
    <xdr:from>
      <xdr:col>9</xdr:col>
      <xdr:colOff>6350</xdr:colOff>
      <xdr:row>5908</xdr:row>
      <xdr:rowOff>25400</xdr:rowOff>
    </xdr:from>
    <xdr:to>
      <xdr:col>9</xdr:col>
      <xdr:colOff>1189990</xdr:colOff>
      <xdr:row>5908</xdr:row>
      <xdr:rowOff>904240</xdr:rowOff>
    </xdr:to>
    <xdr:pic>
      <xdr:nvPicPr>
        <xdr:cNvPr id="10010" name="Изображение 10009" descr="resizeПП-00194069"/>
        <xdr:cNvPicPr>
          <a:picLocks noChangeAspect="1"/>
        </xdr:cNvPicPr>
      </xdr:nvPicPr>
      <xdr:blipFill>
        <a:blip xmlns:r="http://schemas.openxmlformats.org/officeDocument/2006/relationships" r:embed="rId4618"/>
        <a:stretch>
          <a:fillRect/>
        </a:stretch>
      </xdr:blipFill>
      <xdr:spPr>
        <a:xfrm>
          <a:off x="7235825" y="6046235050"/>
          <a:ext cx="1183640" cy="878840"/>
        </a:xfrm>
        <a:prstGeom prst="rect">
          <a:avLst/>
        </a:prstGeom>
      </xdr:spPr>
    </xdr:pic>
    <xdr:clientData/>
  </xdr:twoCellAnchor>
  <xdr:twoCellAnchor>
    <xdr:from>
      <xdr:col>9</xdr:col>
      <xdr:colOff>6350</xdr:colOff>
      <xdr:row>5910</xdr:row>
      <xdr:rowOff>25400</xdr:rowOff>
    </xdr:from>
    <xdr:to>
      <xdr:col>9</xdr:col>
      <xdr:colOff>885190</xdr:colOff>
      <xdr:row>5910</xdr:row>
      <xdr:rowOff>1209040</xdr:rowOff>
    </xdr:to>
    <xdr:pic>
      <xdr:nvPicPr>
        <xdr:cNvPr id="10011" name="Изображение 10010" descr="resizeПП-00259258"/>
        <xdr:cNvPicPr>
          <a:picLocks noChangeAspect="1"/>
        </xdr:cNvPicPr>
      </xdr:nvPicPr>
      <xdr:blipFill>
        <a:blip xmlns:r="http://schemas.openxmlformats.org/officeDocument/2006/relationships" r:embed="rId4619"/>
        <a:stretch>
          <a:fillRect/>
        </a:stretch>
      </xdr:blipFill>
      <xdr:spPr>
        <a:xfrm>
          <a:off x="7235825" y="6047609825"/>
          <a:ext cx="878840" cy="1183640"/>
        </a:xfrm>
        <a:prstGeom prst="rect">
          <a:avLst/>
        </a:prstGeom>
      </xdr:spPr>
    </xdr:pic>
    <xdr:clientData/>
  </xdr:twoCellAnchor>
  <xdr:twoCellAnchor>
    <xdr:from>
      <xdr:col>9</xdr:col>
      <xdr:colOff>6350</xdr:colOff>
      <xdr:row>5911</xdr:row>
      <xdr:rowOff>25400</xdr:rowOff>
    </xdr:from>
    <xdr:to>
      <xdr:col>9</xdr:col>
      <xdr:colOff>1189990</xdr:colOff>
      <xdr:row>5911</xdr:row>
      <xdr:rowOff>904240</xdr:rowOff>
    </xdr:to>
    <xdr:pic>
      <xdr:nvPicPr>
        <xdr:cNvPr id="10012" name="Изображение 10011" descr="resizeПП-00259254"/>
        <xdr:cNvPicPr>
          <a:picLocks noChangeAspect="1"/>
        </xdr:cNvPicPr>
      </xdr:nvPicPr>
      <xdr:blipFill>
        <a:blip xmlns:r="http://schemas.openxmlformats.org/officeDocument/2006/relationships" r:embed="rId4620"/>
        <a:stretch>
          <a:fillRect/>
        </a:stretch>
      </xdr:blipFill>
      <xdr:spPr>
        <a:xfrm>
          <a:off x="7235825" y="6048832200"/>
          <a:ext cx="1183640" cy="878840"/>
        </a:xfrm>
        <a:prstGeom prst="rect">
          <a:avLst/>
        </a:prstGeom>
      </xdr:spPr>
    </xdr:pic>
    <xdr:clientData/>
  </xdr:twoCellAnchor>
  <xdr:twoCellAnchor>
    <xdr:from>
      <xdr:col>9</xdr:col>
      <xdr:colOff>6350</xdr:colOff>
      <xdr:row>5912</xdr:row>
      <xdr:rowOff>25400</xdr:rowOff>
    </xdr:from>
    <xdr:to>
      <xdr:col>9</xdr:col>
      <xdr:colOff>885190</xdr:colOff>
      <xdr:row>5912</xdr:row>
      <xdr:rowOff>1209040</xdr:rowOff>
    </xdr:to>
    <xdr:pic>
      <xdr:nvPicPr>
        <xdr:cNvPr id="10013" name="Изображение 10012" descr="resizeПП-00227482"/>
        <xdr:cNvPicPr>
          <a:picLocks noChangeAspect="1"/>
        </xdr:cNvPicPr>
      </xdr:nvPicPr>
      <xdr:blipFill>
        <a:blip xmlns:r="http://schemas.openxmlformats.org/officeDocument/2006/relationships" r:embed="rId4621"/>
        <a:stretch>
          <a:fillRect/>
        </a:stretch>
      </xdr:blipFill>
      <xdr:spPr>
        <a:xfrm>
          <a:off x="7235825" y="6050054575"/>
          <a:ext cx="878840" cy="1183640"/>
        </a:xfrm>
        <a:prstGeom prst="rect">
          <a:avLst/>
        </a:prstGeom>
      </xdr:spPr>
    </xdr:pic>
    <xdr:clientData/>
  </xdr:twoCellAnchor>
  <xdr:twoCellAnchor>
    <xdr:from>
      <xdr:col>9</xdr:col>
      <xdr:colOff>6350</xdr:colOff>
      <xdr:row>5913</xdr:row>
      <xdr:rowOff>25400</xdr:rowOff>
    </xdr:from>
    <xdr:to>
      <xdr:col>9</xdr:col>
      <xdr:colOff>885190</xdr:colOff>
      <xdr:row>5913</xdr:row>
      <xdr:rowOff>1209040</xdr:rowOff>
    </xdr:to>
    <xdr:pic>
      <xdr:nvPicPr>
        <xdr:cNvPr id="10014" name="Изображение 10013" descr="resizeПП-00278564"/>
        <xdr:cNvPicPr>
          <a:picLocks noChangeAspect="1"/>
        </xdr:cNvPicPr>
      </xdr:nvPicPr>
      <xdr:blipFill>
        <a:blip xmlns:r="http://schemas.openxmlformats.org/officeDocument/2006/relationships" r:embed="rId4622"/>
        <a:stretch>
          <a:fillRect/>
        </a:stretch>
      </xdr:blipFill>
      <xdr:spPr>
        <a:xfrm>
          <a:off x="7235825" y="6051276950"/>
          <a:ext cx="878840" cy="1183640"/>
        </a:xfrm>
        <a:prstGeom prst="rect">
          <a:avLst/>
        </a:prstGeom>
      </xdr:spPr>
    </xdr:pic>
    <xdr:clientData/>
  </xdr:twoCellAnchor>
  <xdr:twoCellAnchor>
    <xdr:from>
      <xdr:col>9</xdr:col>
      <xdr:colOff>6350</xdr:colOff>
      <xdr:row>5914</xdr:row>
      <xdr:rowOff>25400</xdr:rowOff>
    </xdr:from>
    <xdr:to>
      <xdr:col>9</xdr:col>
      <xdr:colOff>885190</xdr:colOff>
      <xdr:row>5914</xdr:row>
      <xdr:rowOff>1209040</xdr:rowOff>
    </xdr:to>
    <xdr:pic>
      <xdr:nvPicPr>
        <xdr:cNvPr id="10015" name="Изображение 10014" descr="resizeПП-00278566"/>
        <xdr:cNvPicPr>
          <a:picLocks noChangeAspect="1"/>
        </xdr:cNvPicPr>
      </xdr:nvPicPr>
      <xdr:blipFill>
        <a:blip xmlns:r="http://schemas.openxmlformats.org/officeDocument/2006/relationships" r:embed="rId4623"/>
        <a:stretch>
          <a:fillRect/>
        </a:stretch>
      </xdr:blipFill>
      <xdr:spPr>
        <a:xfrm>
          <a:off x="7235825" y="6052499325"/>
          <a:ext cx="878840" cy="1183640"/>
        </a:xfrm>
        <a:prstGeom prst="rect">
          <a:avLst/>
        </a:prstGeom>
      </xdr:spPr>
    </xdr:pic>
    <xdr:clientData/>
  </xdr:twoCellAnchor>
  <xdr:twoCellAnchor>
    <xdr:from>
      <xdr:col>9</xdr:col>
      <xdr:colOff>6350</xdr:colOff>
      <xdr:row>5915</xdr:row>
      <xdr:rowOff>25400</xdr:rowOff>
    </xdr:from>
    <xdr:to>
      <xdr:col>9</xdr:col>
      <xdr:colOff>885190</xdr:colOff>
      <xdr:row>5915</xdr:row>
      <xdr:rowOff>1209040</xdr:rowOff>
    </xdr:to>
    <xdr:pic>
      <xdr:nvPicPr>
        <xdr:cNvPr id="10016" name="Изображение 10015" descr="resizeПП-00278541"/>
        <xdr:cNvPicPr>
          <a:picLocks noChangeAspect="1"/>
        </xdr:cNvPicPr>
      </xdr:nvPicPr>
      <xdr:blipFill>
        <a:blip xmlns:r="http://schemas.openxmlformats.org/officeDocument/2006/relationships" r:embed="rId4624"/>
        <a:stretch>
          <a:fillRect/>
        </a:stretch>
      </xdr:blipFill>
      <xdr:spPr>
        <a:xfrm>
          <a:off x="7235825" y="6053721700"/>
          <a:ext cx="878840" cy="1183640"/>
        </a:xfrm>
        <a:prstGeom prst="rect">
          <a:avLst/>
        </a:prstGeom>
      </xdr:spPr>
    </xdr:pic>
    <xdr:clientData/>
  </xdr:twoCellAnchor>
  <xdr:twoCellAnchor>
    <xdr:from>
      <xdr:col>9</xdr:col>
      <xdr:colOff>6350</xdr:colOff>
      <xdr:row>5916</xdr:row>
      <xdr:rowOff>25400</xdr:rowOff>
    </xdr:from>
    <xdr:to>
      <xdr:col>9</xdr:col>
      <xdr:colOff>885190</xdr:colOff>
      <xdr:row>5916</xdr:row>
      <xdr:rowOff>1209040</xdr:rowOff>
    </xdr:to>
    <xdr:pic>
      <xdr:nvPicPr>
        <xdr:cNvPr id="10017" name="Изображение 10016" descr="resizeПП-00259249"/>
        <xdr:cNvPicPr>
          <a:picLocks noChangeAspect="1"/>
        </xdr:cNvPicPr>
      </xdr:nvPicPr>
      <xdr:blipFill>
        <a:blip xmlns:r="http://schemas.openxmlformats.org/officeDocument/2006/relationships" r:embed="rId4625"/>
        <a:stretch>
          <a:fillRect/>
        </a:stretch>
      </xdr:blipFill>
      <xdr:spPr>
        <a:xfrm>
          <a:off x="7235825" y="6054944075"/>
          <a:ext cx="878840" cy="1183640"/>
        </a:xfrm>
        <a:prstGeom prst="rect">
          <a:avLst/>
        </a:prstGeom>
      </xdr:spPr>
    </xdr:pic>
    <xdr:clientData/>
  </xdr:twoCellAnchor>
  <xdr:twoCellAnchor>
    <xdr:from>
      <xdr:col>9</xdr:col>
      <xdr:colOff>6350</xdr:colOff>
      <xdr:row>5917</xdr:row>
      <xdr:rowOff>25400</xdr:rowOff>
    </xdr:from>
    <xdr:to>
      <xdr:col>9</xdr:col>
      <xdr:colOff>885190</xdr:colOff>
      <xdr:row>5917</xdr:row>
      <xdr:rowOff>1209040</xdr:rowOff>
    </xdr:to>
    <xdr:pic>
      <xdr:nvPicPr>
        <xdr:cNvPr id="10018" name="Изображение 10017" descr="resizeПП-00259250"/>
        <xdr:cNvPicPr>
          <a:picLocks noChangeAspect="1"/>
        </xdr:cNvPicPr>
      </xdr:nvPicPr>
      <xdr:blipFill>
        <a:blip xmlns:r="http://schemas.openxmlformats.org/officeDocument/2006/relationships" r:embed="rId4626"/>
        <a:stretch>
          <a:fillRect/>
        </a:stretch>
      </xdr:blipFill>
      <xdr:spPr>
        <a:xfrm>
          <a:off x="7235825" y="6056166450"/>
          <a:ext cx="878840" cy="1183640"/>
        </a:xfrm>
        <a:prstGeom prst="rect">
          <a:avLst/>
        </a:prstGeom>
      </xdr:spPr>
    </xdr:pic>
    <xdr:clientData/>
  </xdr:twoCellAnchor>
  <xdr:twoCellAnchor>
    <xdr:from>
      <xdr:col>9</xdr:col>
      <xdr:colOff>6350</xdr:colOff>
      <xdr:row>5918</xdr:row>
      <xdr:rowOff>25400</xdr:rowOff>
    </xdr:from>
    <xdr:to>
      <xdr:col>9</xdr:col>
      <xdr:colOff>885190</xdr:colOff>
      <xdr:row>5918</xdr:row>
      <xdr:rowOff>1209040</xdr:rowOff>
    </xdr:to>
    <xdr:pic>
      <xdr:nvPicPr>
        <xdr:cNvPr id="10019" name="Изображение 10018" descr="resizeПП-00278554"/>
        <xdr:cNvPicPr>
          <a:picLocks noChangeAspect="1"/>
        </xdr:cNvPicPr>
      </xdr:nvPicPr>
      <xdr:blipFill>
        <a:blip xmlns:r="http://schemas.openxmlformats.org/officeDocument/2006/relationships" r:embed="rId4627"/>
        <a:stretch>
          <a:fillRect/>
        </a:stretch>
      </xdr:blipFill>
      <xdr:spPr>
        <a:xfrm>
          <a:off x="7235825" y="6057388825"/>
          <a:ext cx="878840" cy="1183640"/>
        </a:xfrm>
        <a:prstGeom prst="rect">
          <a:avLst/>
        </a:prstGeom>
      </xdr:spPr>
    </xdr:pic>
    <xdr:clientData/>
  </xdr:twoCellAnchor>
  <xdr:twoCellAnchor>
    <xdr:from>
      <xdr:col>9</xdr:col>
      <xdr:colOff>6350</xdr:colOff>
      <xdr:row>5919</xdr:row>
      <xdr:rowOff>25400</xdr:rowOff>
    </xdr:from>
    <xdr:to>
      <xdr:col>9</xdr:col>
      <xdr:colOff>885190</xdr:colOff>
      <xdr:row>5919</xdr:row>
      <xdr:rowOff>1209040</xdr:rowOff>
    </xdr:to>
    <xdr:pic>
      <xdr:nvPicPr>
        <xdr:cNvPr id="10020" name="Изображение 10019" descr="resizeПП-00259253"/>
        <xdr:cNvPicPr>
          <a:picLocks noChangeAspect="1"/>
        </xdr:cNvPicPr>
      </xdr:nvPicPr>
      <xdr:blipFill>
        <a:blip xmlns:r="http://schemas.openxmlformats.org/officeDocument/2006/relationships" r:embed="rId4628"/>
        <a:stretch>
          <a:fillRect/>
        </a:stretch>
      </xdr:blipFill>
      <xdr:spPr>
        <a:xfrm>
          <a:off x="7235825" y="6058611200"/>
          <a:ext cx="878840" cy="1183640"/>
        </a:xfrm>
        <a:prstGeom prst="rect">
          <a:avLst/>
        </a:prstGeom>
      </xdr:spPr>
    </xdr:pic>
    <xdr:clientData/>
  </xdr:twoCellAnchor>
  <xdr:twoCellAnchor>
    <xdr:from>
      <xdr:col>9</xdr:col>
      <xdr:colOff>6350</xdr:colOff>
      <xdr:row>5920</xdr:row>
      <xdr:rowOff>25400</xdr:rowOff>
    </xdr:from>
    <xdr:to>
      <xdr:col>9</xdr:col>
      <xdr:colOff>885190</xdr:colOff>
      <xdr:row>5920</xdr:row>
      <xdr:rowOff>1209040</xdr:rowOff>
    </xdr:to>
    <xdr:pic>
      <xdr:nvPicPr>
        <xdr:cNvPr id="10021" name="Изображение 10020" descr="resizeПП-00278570"/>
        <xdr:cNvPicPr>
          <a:picLocks noChangeAspect="1"/>
        </xdr:cNvPicPr>
      </xdr:nvPicPr>
      <xdr:blipFill>
        <a:blip xmlns:r="http://schemas.openxmlformats.org/officeDocument/2006/relationships" r:embed="rId4629"/>
        <a:stretch>
          <a:fillRect/>
        </a:stretch>
      </xdr:blipFill>
      <xdr:spPr>
        <a:xfrm>
          <a:off x="7235825" y="6059833575"/>
          <a:ext cx="878840" cy="1183640"/>
        </a:xfrm>
        <a:prstGeom prst="rect">
          <a:avLst/>
        </a:prstGeom>
      </xdr:spPr>
    </xdr:pic>
    <xdr:clientData/>
  </xdr:twoCellAnchor>
  <xdr:twoCellAnchor>
    <xdr:from>
      <xdr:col>9</xdr:col>
      <xdr:colOff>6350</xdr:colOff>
      <xdr:row>5921</xdr:row>
      <xdr:rowOff>25400</xdr:rowOff>
    </xdr:from>
    <xdr:to>
      <xdr:col>9</xdr:col>
      <xdr:colOff>885190</xdr:colOff>
      <xdr:row>5921</xdr:row>
      <xdr:rowOff>1209040</xdr:rowOff>
    </xdr:to>
    <xdr:pic>
      <xdr:nvPicPr>
        <xdr:cNvPr id="10022" name="Изображение 10021" descr="resizeПП-00278569"/>
        <xdr:cNvPicPr>
          <a:picLocks noChangeAspect="1"/>
        </xdr:cNvPicPr>
      </xdr:nvPicPr>
      <xdr:blipFill>
        <a:blip xmlns:r="http://schemas.openxmlformats.org/officeDocument/2006/relationships" r:embed="rId4630"/>
        <a:stretch>
          <a:fillRect/>
        </a:stretch>
      </xdr:blipFill>
      <xdr:spPr>
        <a:xfrm>
          <a:off x="7235825" y="6061055950"/>
          <a:ext cx="878840" cy="1183640"/>
        </a:xfrm>
        <a:prstGeom prst="rect">
          <a:avLst/>
        </a:prstGeom>
      </xdr:spPr>
    </xdr:pic>
    <xdr:clientData/>
  </xdr:twoCellAnchor>
  <xdr:twoCellAnchor>
    <xdr:from>
      <xdr:col>9</xdr:col>
      <xdr:colOff>6350</xdr:colOff>
      <xdr:row>5922</xdr:row>
      <xdr:rowOff>25400</xdr:rowOff>
    </xdr:from>
    <xdr:to>
      <xdr:col>9</xdr:col>
      <xdr:colOff>885190</xdr:colOff>
      <xdr:row>5922</xdr:row>
      <xdr:rowOff>1209040</xdr:rowOff>
    </xdr:to>
    <xdr:pic>
      <xdr:nvPicPr>
        <xdr:cNvPr id="10023" name="Изображение 10022" descr="resizeПП-00278558"/>
        <xdr:cNvPicPr>
          <a:picLocks noChangeAspect="1"/>
        </xdr:cNvPicPr>
      </xdr:nvPicPr>
      <xdr:blipFill>
        <a:blip xmlns:r="http://schemas.openxmlformats.org/officeDocument/2006/relationships" r:embed="rId4631"/>
        <a:stretch>
          <a:fillRect/>
        </a:stretch>
      </xdr:blipFill>
      <xdr:spPr>
        <a:xfrm>
          <a:off x="7235825" y="6062278325"/>
          <a:ext cx="878840" cy="1183640"/>
        </a:xfrm>
        <a:prstGeom prst="rect">
          <a:avLst/>
        </a:prstGeom>
      </xdr:spPr>
    </xdr:pic>
    <xdr:clientData/>
  </xdr:twoCellAnchor>
  <xdr:twoCellAnchor>
    <xdr:from>
      <xdr:col>9</xdr:col>
      <xdr:colOff>6350</xdr:colOff>
      <xdr:row>5923</xdr:row>
      <xdr:rowOff>25400</xdr:rowOff>
    </xdr:from>
    <xdr:to>
      <xdr:col>9</xdr:col>
      <xdr:colOff>885190</xdr:colOff>
      <xdr:row>5923</xdr:row>
      <xdr:rowOff>1209040</xdr:rowOff>
    </xdr:to>
    <xdr:pic>
      <xdr:nvPicPr>
        <xdr:cNvPr id="10024" name="Изображение 10023" descr="resizeПП-00259260"/>
        <xdr:cNvPicPr>
          <a:picLocks noChangeAspect="1"/>
        </xdr:cNvPicPr>
      </xdr:nvPicPr>
      <xdr:blipFill>
        <a:blip xmlns:r="http://schemas.openxmlformats.org/officeDocument/2006/relationships" r:embed="rId4632"/>
        <a:stretch>
          <a:fillRect/>
        </a:stretch>
      </xdr:blipFill>
      <xdr:spPr>
        <a:xfrm>
          <a:off x="7235825" y="6063500700"/>
          <a:ext cx="878840" cy="1183640"/>
        </a:xfrm>
        <a:prstGeom prst="rect">
          <a:avLst/>
        </a:prstGeom>
      </xdr:spPr>
    </xdr:pic>
    <xdr:clientData/>
  </xdr:twoCellAnchor>
  <xdr:twoCellAnchor>
    <xdr:from>
      <xdr:col>9</xdr:col>
      <xdr:colOff>6350</xdr:colOff>
      <xdr:row>5924</xdr:row>
      <xdr:rowOff>25400</xdr:rowOff>
    </xdr:from>
    <xdr:to>
      <xdr:col>9</xdr:col>
      <xdr:colOff>885190</xdr:colOff>
      <xdr:row>5924</xdr:row>
      <xdr:rowOff>1209040</xdr:rowOff>
    </xdr:to>
    <xdr:pic>
      <xdr:nvPicPr>
        <xdr:cNvPr id="10025" name="Изображение 10024" descr="resizeПП-00278540"/>
        <xdr:cNvPicPr>
          <a:picLocks noChangeAspect="1"/>
        </xdr:cNvPicPr>
      </xdr:nvPicPr>
      <xdr:blipFill>
        <a:blip xmlns:r="http://schemas.openxmlformats.org/officeDocument/2006/relationships" r:embed="rId4633"/>
        <a:stretch>
          <a:fillRect/>
        </a:stretch>
      </xdr:blipFill>
      <xdr:spPr>
        <a:xfrm>
          <a:off x="7235825" y="6064723075"/>
          <a:ext cx="878840" cy="1183640"/>
        </a:xfrm>
        <a:prstGeom prst="rect">
          <a:avLst/>
        </a:prstGeom>
      </xdr:spPr>
    </xdr:pic>
    <xdr:clientData/>
  </xdr:twoCellAnchor>
  <xdr:twoCellAnchor>
    <xdr:from>
      <xdr:col>9</xdr:col>
      <xdr:colOff>6350</xdr:colOff>
      <xdr:row>5925</xdr:row>
      <xdr:rowOff>25400</xdr:rowOff>
    </xdr:from>
    <xdr:to>
      <xdr:col>9</xdr:col>
      <xdr:colOff>885190</xdr:colOff>
      <xdr:row>5925</xdr:row>
      <xdr:rowOff>1209040</xdr:rowOff>
    </xdr:to>
    <xdr:pic>
      <xdr:nvPicPr>
        <xdr:cNvPr id="10026" name="Изображение 10025" descr="resizeПП-00278546"/>
        <xdr:cNvPicPr>
          <a:picLocks noChangeAspect="1"/>
        </xdr:cNvPicPr>
      </xdr:nvPicPr>
      <xdr:blipFill>
        <a:blip xmlns:r="http://schemas.openxmlformats.org/officeDocument/2006/relationships" r:embed="rId4634"/>
        <a:stretch>
          <a:fillRect/>
        </a:stretch>
      </xdr:blipFill>
      <xdr:spPr>
        <a:xfrm>
          <a:off x="7235825" y="6065945450"/>
          <a:ext cx="878840" cy="1183640"/>
        </a:xfrm>
        <a:prstGeom prst="rect">
          <a:avLst/>
        </a:prstGeom>
      </xdr:spPr>
    </xdr:pic>
    <xdr:clientData/>
  </xdr:twoCellAnchor>
  <xdr:twoCellAnchor>
    <xdr:from>
      <xdr:col>9</xdr:col>
      <xdr:colOff>6350</xdr:colOff>
      <xdr:row>5926</xdr:row>
      <xdr:rowOff>25400</xdr:rowOff>
    </xdr:from>
    <xdr:to>
      <xdr:col>9</xdr:col>
      <xdr:colOff>885190</xdr:colOff>
      <xdr:row>5926</xdr:row>
      <xdr:rowOff>1209040</xdr:rowOff>
    </xdr:to>
    <xdr:pic>
      <xdr:nvPicPr>
        <xdr:cNvPr id="10027" name="Изображение 10026" descr="resizeПП-00278544"/>
        <xdr:cNvPicPr>
          <a:picLocks noChangeAspect="1"/>
        </xdr:cNvPicPr>
      </xdr:nvPicPr>
      <xdr:blipFill>
        <a:blip xmlns:r="http://schemas.openxmlformats.org/officeDocument/2006/relationships" r:embed="rId4635"/>
        <a:stretch>
          <a:fillRect/>
        </a:stretch>
      </xdr:blipFill>
      <xdr:spPr>
        <a:xfrm>
          <a:off x="7235825" y="6067167825"/>
          <a:ext cx="878840" cy="1183640"/>
        </a:xfrm>
        <a:prstGeom prst="rect">
          <a:avLst/>
        </a:prstGeom>
      </xdr:spPr>
    </xdr:pic>
    <xdr:clientData/>
  </xdr:twoCellAnchor>
  <xdr:twoCellAnchor>
    <xdr:from>
      <xdr:col>9</xdr:col>
      <xdr:colOff>6350</xdr:colOff>
      <xdr:row>5927</xdr:row>
      <xdr:rowOff>25400</xdr:rowOff>
    </xdr:from>
    <xdr:to>
      <xdr:col>9</xdr:col>
      <xdr:colOff>1189990</xdr:colOff>
      <xdr:row>5927</xdr:row>
      <xdr:rowOff>904240</xdr:rowOff>
    </xdr:to>
    <xdr:pic>
      <xdr:nvPicPr>
        <xdr:cNvPr id="10028" name="Изображение 10027" descr="resizeПП-00227484"/>
        <xdr:cNvPicPr>
          <a:picLocks noChangeAspect="1"/>
        </xdr:cNvPicPr>
      </xdr:nvPicPr>
      <xdr:blipFill>
        <a:blip xmlns:r="http://schemas.openxmlformats.org/officeDocument/2006/relationships" r:embed="rId4636"/>
        <a:stretch>
          <a:fillRect/>
        </a:stretch>
      </xdr:blipFill>
      <xdr:spPr>
        <a:xfrm>
          <a:off x="7235825" y="6068390200"/>
          <a:ext cx="1183640" cy="878840"/>
        </a:xfrm>
        <a:prstGeom prst="rect">
          <a:avLst/>
        </a:prstGeom>
      </xdr:spPr>
    </xdr:pic>
    <xdr:clientData/>
  </xdr:twoCellAnchor>
  <xdr:twoCellAnchor>
    <xdr:from>
      <xdr:col>9</xdr:col>
      <xdr:colOff>6350</xdr:colOff>
      <xdr:row>5928</xdr:row>
      <xdr:rowOff>25400</xdr:rowOff>
    </xdr:from>
    <xdr:to>
      <xdr:col>9</xdr:col>
      <xdr:colOff>885190</xdr:colOff>
      <xdr:row>5928</xdr:row>
      <xdr:rowOff>1209040</xdr:rowOff>
    </xdr:to>
    <xdr:pic>
      <xdr:nvPicPr>
        <xdr:cNvPr id="10029" name="Изображение 10028" descr="resizeПП-00259255"/>
        <xdr:cNvPicPr>
          <a:picLocks noChangeAspect="1"/>
        </xdr:cNvPicPr>
      </xdr:nvPicPr>
      <xdr:blipFill>
        <a:blip xmlns:r="http://schemas.openxmlformats.org/officeDocument/2006/relationships" r:embed="rId4637"/>
        <a:stretch>
          <a:fillRect/>
        </a:stretch>
      </xdr:blipFill>
      <xdr:spPr>
        <a:xfrm>
          <a:off x="7235825" y="6069612575"/>
          <a:ext cx="878840" cy="1183640"/>
        </a:xfrm>
        <a:prstGeom prst="rect">
          <a:avLst/>
        </a:prstGeom>
      </xdr:spPr>
    </xdr:pic>
    <xdr:clientData/>
  </xdr:twoCellAnchor>
  <xdr:twoCellAnchor>
    <xdr:from>
      <xdr:col>9</xdr:col>
      <xdr:colOff>6350</xdr:colOff>
      <xdr:row>5929</xdr:row>
      <xdr:rowOff>25400</xdr:rowOff>
    </xdr:from>
    <xdr:to>
      <xdr:col>9</xdr:col>
      <xdr:colOff>1189990</xdr:colOff>
      <xdr:row>5929</xdr:row>
      <xdr:rowOff>904240</xdr:rowOff>
    </xdr:to>
    <xdr:pic>
      <xdr:nvPicPr>
        <xdr:cNvPr id="10030" name="Изображение 10029" descr="resizeПП-00227485"/>
        <xdr:cNvPicPr>
          <a:picLocks noChangeAspect="1"/>
        </xdr:cNvPicPr>
      </xdr:nvPicPr>
      <xdr:blipFill>
        <a:blip xmlns:r="http://schemas.openxmlformats.org/officeDocument/2006/relationships" r:embed="rId4638"/>
        <a:stretch>
          <a:fillRect/>
        </a:stretch>
      </xdr:blipFill>
      <xdr:spPr>
        <a:xfrm>
          <a:off x="7235825" y="6070834950"/>
          <a:ext cx="1183640" cy="878840"/>
        </a:xfrm>
        <a:prstGeom prst="rect">
          <a:avLst/>
        </a:prstGeom>
      </xdr:spPr>
    </xdr:pic>
    <xdr:clientData/>
  </xdr:twoCellAnchor>
  <xdr:twoCellAnchor>
    <xdr:from>
      <xdr:col>9</xdr:col>
      <xdr:colOff>6350</xdr:colOff>
      <xdr:row>5930</xdr:row>
      <xdr:rowOff>25400</xdr:rowOff>
    </xdr:from>
    <xdr:to>
      <xdr:col>9</xdr:col>
      <xdr:colOff>885190</xdr:colOff>
      <xdr:row>5930</xdr:row>
      <xdr:rowOff>1209040</xdr:rowOff>
    </xdr:to>
    <xdr:pic>
      <xdr:nvPicPr>
        <xdr:cNvPr id="10031" name="Изображение 10030" descr="resizeПП-00278548"/>
        <xdr:cNvPicPr>
          <a:picLocks noChangeAspect="1"/>
        </xdr:cNvPicPr>
      </xdr:nvPicPr>
      <xdr:blipFill>
        <a:blip xmlns:r="http://schemas.openxmlformats.org/officeDocument/2006/relationships" r:embed="rId4639"/>
        <a:stretch>
          <a:fillRect/>
        </a:stretch>
      </xdr:blipFill>
      <xdr:spPr>
        <a:xfrm>
          <a:off x="7235825" y="6072057325"/>
          <a:ext cx="878840" cy="1183640"/>
        </a:xfrm>
        <a:prstGeom prst="rect">
          <a:avLst/>
        </a:prstGeom>
      </xdr:spPr>
    </xdr:pic>
    <xdr:clientData/>
  </xdr:twoCellAnchor>
  <xdr:twoCellAnchor>
    <xdr:from>
      <xdr:col>9</xdr:col>
      <xdr:colOff>6350</xdr:colOff>
      <xdr:row>5931</xdr:row>
      <xdr:rowOff>25400</xdr:rowOff>
    </xdr:from>
    <xdr:to>
      <xdr:col>9</xdr:col>
      <xdr:colOff>885190</xdr:colOff>
      <xdr:row>5931</xdr:row>
      <xdr:rowOff>1209040</xdr:rowOff>
    </xdr:to>
    <xdr:pic>
      <xdr:nvPicPr>
        <xdr:cNvPr id="10032" name="Изображение 10031" descr="resizeПП-00278547"/>
        <xdr:cNvPicPr>
          <a:picLocks noChangeAspect="1"/>
        </xdr:cNvPicPr>
      </xdr:nvPicPr>
      <xdr:blipFill>
        <a:blip xmlns:r="http://schemas.openxmlformats.org/officeDocument/2006/relationships" r:embed="rId4640"/>
        <a:stretch>
          <a:fillRect/>
        </a:stretch>
      </xdr:blipFill>
      <xdr:spPr>
        <a:xfrm>
          <a:off x="7235825" y="6073279700"/>
          <a:ext cx="878840" cy="1183640"/>
        </a:xfrm>
        <a:prstGeom prst="rect">
          <a:avLst/>
        </a:prstGeom>
      </xdr:spPr>
    </xdr:pic>
    <xdr:clientData/>
  </xdr:twoCellAnchor>
  <xdr:twoCellAnchor>
    <xdr:from>
      <xdr:col>9</xdr:col>
      <xdr:colOff>6350</xdr:colOff>
      <xdr:row>5932</xdr:row>
      <xdr:rowOff>25400</xdr:rowOff>
    </xdr:from>
    <xdr:to>
      <xdr:col>9</xdr:col>
      <xdr:colOff>885190</xdr:colOff>
      <xdr:row>5932</xdr:row>
      <xdr:rowOff>1209040</xdr:rowOff>
    </xdr:to>
    <xdr:pic>
      <xdr:nvPicPr>
        <xdr:cNvPr id="10033" name="Изображение 10032" descr="resizeПП-00278550"/>
        <xdr:cNvPicPr>
          <a:picLocks noChangeAspect="1"/>
        </xdr:cNvPicPr>
      </xdr:nvPicPr>
      <xdr:blipFill>
        <a:blip xmlns:r="http://schemas.openxmlformats.org/officeDocument/2006/relationships" r:embed="rId4641"/>
        <a:stretch>
          <a:fillRect/>
        </a:stretch>
      </xdr:blipFill>
      <xdr:spPr>
        <a:xfrm>
          <a:off x="7235825" y="6074502075"/>
          <a:ext cx="878840" cy="1183640"/>
        </a:xfrm>
        <a:prstGeom prst="rect">
          <a:avLst/>
        </a:prstGeom>
      </xdr:spPr>
    </xdr:pic>
    <xdr:clientData/>
  </xdr:twoCellAnchor>
  <xdr:twoCellAnchor>
    <xdr:from>
      <xdr:col>9</xdr:col>
      <xdr:colOff>6350</xdr:colOff>
      <xdr:row>5933</xdr:row>
      <xdr:rowOff>25400</xdr:rowOff>
    </xdr:from>
    <xdr:to>
      <xdr:col>9</xdr:col>
      <xdr:colOff>885190</xdr:colOff>
      <xdr:row>5933</xdr:row>
      <xdr:rowOff>1209040</xdr:rowOff>
    </xdr:to>
    <xdr:pic>
      <xdr:nvPicPr>
        <xdr:cNvPr id="10034" name="Изображение 10033" descr="resizeПП-00278545"/>
        <xdr:cNvPicPr>
          <a:picLocks noChangeAspect="1"/>
        </xdr:cNvPicPr>
      </xdr:nvPicPr>
      <xdr:blipFill>
        <a:blip xmlns:r="http://schemas.openxmlformats.org/officeDocument/2006/relationships" r:embed="rId4642"/>
        <a:stretch>
          <a:fillRect/>
        </a:stretch>
      </xdr:blipFill>
      <xdr:spPr>
        <a:xfrm>
          <a:off x="7235825" y="6075724450"/>
          <a:ext cx="878840" cy="1183640"/>
        </a:xfrm>
        <a:prstGeom prst="rect">
          <a:avLst/>
        </a:prstGeom>
      </xdr:spPr>
    </xdr:pic>
    <xdr:clientData/>
  </xdr:twoCellAnchor>
  <xdr:twoCellAnchor>
    <xdr:from>
      <xdr:col>9</xdr:col>
      <xdr:colOff>6350</xdr:colOff>
      <xdr:row>5934</xdr:row>
      <xdr:rowOff>25400</xdr:rowOff>
    </xdr:from>
    <xdr:to>
      <xdr:col>9</xdr:col>
      <xdr:colOff>885190</xdr:colOff>
      <xdr:row>5934</xdr:row>
      <xdr:rowOff>1209040</xdr:rowOff>
    </xdr:to>
    <xdr:pic>
      <xdr:nvPicPr>
        <xdr:cNvPr id="10035" name="Изображение 10034" descr="resizeПП-00259261"/>
        <xdr:cNvPicPr>
          <a:picLocks noChangeAspect="1"/>
        </xdr:cNvPicPr>
      </xdr:nvPicPr>
      <xdr:blipFill>
        <a:blip xmlns:r="http://schemas.openxmlformats.org/officeDocument/2006/relationships" r:embed="rId4643"/>
        <a:stretch>
          <a:fillRect/>
        </a:stretch>
      </xdr:blipFill>
      <xdr:spPr>
        <a:xfrm>
          <a:off x="7235825" y="6076946825"/>
          <a:ext cx="878840" cy="1183640"/>
        </a:xfrm>
        <a:prstGeom prst="rect">
          <a:avLst/>
        </a:prstGeom>
      </xdr:spPr>
    </xdr:pic>
    <xdr:clientData/>
  </xdr:twoCellAnchor>
  <xdr:twoCellAnchor>
    <xdr:from>
      <xdr:col>9</xdr:col>
      <xdr:colOff>6350</xdr:colOff>
      <xdr:row>5935</xdr:row>
      <xdr:rowOff>25400</xdr:rowOff>
    </xdr:from>
    <xdr:to>
      <xdr:col>9</xdr:col>
      <xdr:colOff>885190</xdr:colOff>
      <xdr:row>5935</xdr:row>
      <xdr:rowOff>1209040</xdr:rowOff>
    </xdr:to>
    <xdr:pic>
      <xdr:nvPicPr>
        <xdr:cNvPr id="10036" name="Изображение 10035" descr="resizeПП-00278571"/>
        <xdr:cNvPicPr>
          <a:picLocks noChangeAspect="1"/>
        </xdr:cNvPicPr>
      </xdr:nvPicPr>
      <xdr:blipFill>
        <a:blip xmlns:r="http://schemas.openxmlformats.org/officeDocument/2006/relationships" r:embed="rId4644"/>
        <a:stretch>
          <a:fillRect/>
        </a:stretch>
      </xdr:blipFill>
      <xdr:spPr>
        <a:xfrm>
          <a:off x="7235825" y="6078169200"/>
          <a:ext cx="878840" cy="1183640"/>
        </a:xfrm>
        <a:prstGeom prst="rect">
          <a:avLst/>
        </a:prstGeom>
      </xdr:spPr>
    </xdr:pic>
    <xdr:clientData/>
  </xdr:twoCellAnchor>
  <xdr:twoCellAnchor>
    <xdr:from>
      <xdr:col>9</xdr:col>
      <xdr:colOff>6350</xdr:colOff>
      <xdr:row>5936</xdr:row>
      <xdr:rowOff>25400</xdr:rowOff>
    </xdr:from>
    <xdr:to>
      <xdr:col>9</xdr:col>
      <xdr:colOff>885190</xdr:colOff>
      <xdr:row>5936</xdr:row>
      <xdr:rowOff>1209040</xdr:rowOff>
    </xdr:to>
    <xdr:pic>
      <xdr:nvPicPr>
        <xdr:cNvPr id="10037" name="Изображение 10036" descr="resizeПП-00259248"/>
        <xdr:cNvPicPr>
          <a:picLocks noChangeAspect="1"/>
        </xdr:cNvPicPr>
      </xdr:nvPicPr>
      <xdr:blipFill>
        <a:blip xmlns:r="http://schemas.openxmlformats.org/officeDocument/2006/relationships" r:embed="rId4645"/>
        <a:stretch>
          <a:fillRect/>
        </a:stretch>
      </xdr:blipFill>
      <xdr:spPr>
        <a:xfrm>
          <a:off x="7235825" y="6079391575"/>
          <a:ext cx="878840" cy="1183640"/>
        </a:xfrm>
        <a:prstGeom prst="rect">
          <a:avLst/>
        </a:prstGeom>
      </xdr:spPr>
    </xdr:pic>
    <xdr:clientData/>
  </xdr:twoCellAnchor>
  <xdr:twoCellAnchor>
    <xdr:from>
      <xdr:col>9</xdr:col>
      <xdr:colOff>6350</xdr:colOff>
      <xdr:row>5938</xdr:row>
      <xdr:rowOff>25400</xdr:rowOff>
    </xdr:from>
    <xdr:to>
      <xdr:col>9</xdr:col>
      <xdr:colOff>885190</xdr:colOff>
      <xdr:row>5938</xdr:row>
      <xdr:rowOff>1209040</xdr:rowOff>
    </xdr:to>
    <xdr:pic>
      <xdr:nvPicPr>
        <xdr:cNvPr id="10038" name="Изображение 10037" descr="resizeПП-00263573"/>
        <xdr:cNvPicPr>
          <a:picLocks noChangeAspect="1"/>
        </xdr:cNvPicPr>
      </xdr:nvPicPr>
      <xdr:blipFill>
        <a:blip xmlns:r="http://schemas.openxmlformats.org/officeDocument/2006/relationships" r:embed="rId4646"/>
        <a:stretch>
          <a:fillRect/>
        </a:stretch>
      </xdr:blipFill>
      <xdr:spPr>
        <a:xfrm>
          <a:off x="7235825" y="6080766350"/>
          <a:ext cx="878840" cy="1183640"/>
        </a:xfrm>
        <a:prstGeom prst="rect">
          <a:avLst/>
        </a:prstGeom>
      </xdr:spPr>
    </xdr:pic>
    <xdr:clientData/>
  </xdr:twoCellAnchor>
  <xdr:twoCellAnchor>
    <xdr:from>
      <xdr:col>9</xdr:col>
      <xdr:colOff>6350</xdr:colOff>
      <xdr:row>5939</xdr:row>
      <xdr:rowOff>25400</xdr:rowOff>
    </xdr:from>
    <xdr:to>
      <xdr:col>9</xdr:col>
      <xdr:colOff>885190</xdr:colOff>
      <xdr:row>5939</xdr:row>
      <xdr:rowOff>1209040</xdr:rowOff>
    </xdr:to>
    <xdr:pic>
      <xdr:nvPicPr>
        <xdr:cNvPr id="10039" name="Изображение 10038" descr="resizeПП-00244778"/>
        <xdr:cNvPicPr>
          <a:picLocks noChangeAspect="1"/>
        </xdr:cNvPicPr>
      </xdr:nvPicPr>
      <xdr:blipFill>
        <a:blip xmlns:r="http://schemas.openxmlformats.org/officeDocument/2006/relationships" r:embed="rId4647"/>
        <a:stretch>
          <a:fillRect/>
        </a:stretch>
      </xdr:blipFill>
      <xdr:spPr>
        <a:xfrm>
          <a:off x="7235825" y="6081988725"/>
          <a:ext cx="878840" cy="1183640"/>
        </a:xfrm>
        <a:prstGeom prst="rect">
          <a:avLst/>
        </a:prstGeom>
      </xdr:spPr>
    </xdr:pic>
    <xdr:clientData/>
  </xdr:twoCellAnchor>
  <xdr:twoCellAnchor>
    <xdr:from>
      <xdr:col>9</xdr:col>
      <xdr:colOff>6350</xdr:colOff>
      <xdr:row>5940</xdr:row>
      <xdr:rowOff>25400</xdr:rowOff>
    </xdr:from>
    <xdr:to>
      <xdr:col>9</xdr:col>
      <xdr:colOff>885190</xdr:colOff>
      <xdr:row>5940</xdr:row>
      <xdr:rowOff>1209040</xdr:rowOff>
    </xdr:to>
    <xdr:pic>
      <xdr:nvPicPr>
        <xdr:cNvPr id="10040" name="Изображение 10039" descr="resizeПП-00244771"/>
        <xdr:cNvPicPr>
          <a:picLocks noChangeAspect="1"/>
        </xdr:cNvPicPr>
      </xdr:nvPicPr>
      <xdr:blipFill>
        <a:blip xmlns:r="http://schemas.openxmlformats.org/officeDocument/2006/relationships" r:embed="rId4648"/>
        <a:stretch>
          <a:fillRect/>
        </a:stretch>
      </xdr:blipFill>
      <xdr:spPr>
        <a:xfrm>
          <a:off x="7235825" y="6083211100"/>
          <a:ext cx="878840" cy="1183640"/>
        </a:xfrm>
        <a:prstGeom prst="rect">
          <a:avLst/>
        </a:prstGeom>
      </xdr:spPr>
    </xdr:pic>
    <xdr:clientData/>
  </xdr:twoCellAnchor>
  <xdr:twoCellAnchor>
    <xdr:from>
      <xdr:col>9</xdr:col>
      <xdr:colOff>6350</xdr:colOff>
      <xdr:row>5941</xdr:row>
      <xdr:rowOff>25400</xdr:rowOff>
    </xdr:from>
    <xdr:to>
      <xdr:col>9</xdr:col>
      <xdr:colOff>885190</xdr:colOff>
      <xdr:row>5941</xdr:row>
      <xdr:rowOff>1209040</xdr:rowOff>
    </xdr:to>
    <xdr:pic>
      <xdr:nvPicPr>
        <xdr:cNvPr id="10041" name="Изображение 10040" descr="resizeПП-00244764"/>
        <xdr:cNvPicPr>
          <a:picLocks noChangeAspect="1"/>
        </xdr:cNvPicPr>
      </xdr:nvPicPr>
      <xdr:blipFill>
        <a:blip xmlns:r="http://schemas.openxmlformats.org/officeDocument/2006/relationships" r:embed="rId4649"/>
        <a:stretch>
          <a:fillRect/>
        </a:stretch>
      </xdr:blipFill>
      <xdr:spPr>
        <a:xfrm>
          <a:off x="7235825" y="6084433475"/>
          <a:ext cx="878840" cy="1183640"/>
        </a:xfrm>
        <a:prstGeom prst="rect">
          <a:avLst/>
        </a:prstGeom>
      </xdr:spPr>
    </xdr:pic>
    <xdr:clientData/>
  </xdr:twoCellAnchor>
  <xdr:twoCellAnchor>
    <xdr:from>
      <xdr:col>9</xdr:col>
      <xdr:colOff>6350</xdr:colOff>
      <xdr:row>5942</xdr:row>
      <xdr:rowOff>25400</xdr:rowOff>
    </xdr:from>
    <xdr:to>
      <xdr:col>9</xdr:col>
      <xdr:colOff>885190</xdr:colOff>
      <xdr:row>5942</xdr:row>
      <xdr:rowOff>1209040</xdr:rowOff>
    </xdr:to>
    <xdr:pic>
      <xdr:nvPicPr>
        <xdr:cNvPr id="10042" name="Изображение 10041" descr="resizeПП-00244770"/>
        <xdr:cNvPicPr>
          <a:picLocks noChangeAspect="1"/>
        </xdr:cNvPicPr>
      </xdr:nvPicPr>
      <xdr:blipFill>
        <a:blip xmlns:r="http://schemas.openxmlformats.org/officeDocument/2006/relationships" r:embed="rId4650"/>
        <a:stretch>
          <a:fillRect/>
        </a:stretch>
      </xdr:blipFill>
      <xdr:spPr>
        <a:xfrm>
          <a:off x="7235825" y="6085655850"/>
          <a:ext cx="878840" cy="1183640"/>
        </a:xfrm>
        <a:prstGeom prst="rect">
          <a:avLst/>
        </a:prstGeom>
      </xdr:spPr>
    </xdr:pic>
    <xdr:clientData/>
  </xdr:twoCellAnchor>
  <xdr:twoCellAnchor>
    <xdr:from>
      <xdr:col>9</xdr:col>
      <xdr:colOff>6350</xdr:colOff>
      <xdr:row>5943</xdr:row>
      <xdr:rowOff>25400</xdr:rowOff>
    </xdr:from>
    <xdr:to>
      <xdr:col>9</xdr:col>
      <xdr:colOff>885190</xdr:colOff>
      <xdr:row>5943</xdr:row>
      <xdr:rowOff>1209040</xdr:rowOff>
    </xdr:to>
    <xdr:pic>
      <xdr:nvPicPr>
        <xdr:cNvPr id="10043" name="Изображение 10042" descr="resizeПП-00244765"/>
        <xdr:cNvPicPr>
          <a:picLocks noChangeAspect="1"/>
        </xdr:cNvPicPr>
      </xdr:nvPicPr>
      <xdr:blipFill>
        <a:blip xmlns:r="http://schemas.openxmlformats.org/officeDocument/2006/relationships" r:embed="rId4651"/>
        <a:stretch>
          <a:fillRect/>
        </a:stretch>
      </xdr:blipFill>
      <xdr:spPr>
        <a:xfrm>
          <a:off x="7235825" y="6086878225"/>
          <a:ext cx="878840" cy="1183640"/>
        </a:xfrm>
        <a:prstGeom prst="rect">
          <a:avLst/>
        </a:prstGeom>
      </xdr:spPr>
    </xdr:pic>
    <xdr:clientData/>
  </xdr:twoCellAnchor>
  <xdr:twoCellAnchor>
    <xdr:from>
      <xdr:col>9</xdr:col>
      <xdr:colOff>6350</xdr:colOff>
      <xdr:row>5944</xdr:row>
      <xdr:rowOff>25400</xdr:rowOff>
    </xdr:from>
    <xdr:to>
      <xdr:col>9</xdr:col>
      <xdr:colOff>885190</xdr:colOff>
      <xdr:row>5944</xdr:row>
      <xdr:rowOff>1209040</xdr:rowOff>
    </xdr:to>
    <xdr:pic>
      <xdr:nvPicPr>
        <xdr:cNvPr id="10044" name="Изображение 10043" descr="resizeПП-00244768"/>
        <xdr:cNvPicPr>
          <a:picLocks noChangeAspect="1"/>
        </xdr:cNvPicPr>
      </xdr:nvPicPr>
      <xdr:blipFill>
        <a:blip xmlns:r="http://schemas.openxmlformats.org/officeDocument/2006/relationships" r:embed="rId4652"/>
        <a:stretch>
          <a:fillRect/>
        </a:stretch>
      </xdr:blipFill>
      <xdr:spPr>
        <a:xfrm>
          <a:off x="7235825" y="6088100600"/>
          <a:ext cx="878840" cy="1183640"/>
        </a:xfrm>
        <a:prstGeom prst="rect">
          <a:avLst/>
        </a:prstGeom>
      </xdr:spPr>
    </xdr:pic>
    <xdr:clientData/>
  </xdr:twoCellAnchor>
  <xdr:twoCellAnchor>
    <xdr:from>
      <xdr:col>9</xdr:col>
      <xdr:colOff>6350</xdr:colOff>
      <xdr:row>5945</xdr:row>
      <xdr:rowOff>25400</xdr:rowOff>
    </xdr:from>
    <xdr:to>
      <xdr:col>9</xdr:col>
      <xdr:colOff>885190</xdr:colOff>
      <xdr:row>5945</xdr:row>
      <xdr:rowOff>1209040</xdr:rowOff>
    </xdr:to>
    <xdr:pic>
      <xdr:nvPicPr>
        <xdr:cNvPr id="10045" name="Изображение 10044" descr="resizeПП-00244776"/>
        <xdr:cNvPicPr>
          <a:picLocks noChangeAspect="1"/>
        </xdr:cNvPicPr>
      </xdr:nvPicPr>
      <xdr:blipFill>
        <a:blip xmlns:r="http://schemas.openxmlformats.org/officeDocument/2006/relationships" r:embed="rId4653"/>
        <a:stretch>
          <a:fillRect/>
        </a:stretch>
      </xdr:blipFill>
      <xdr:spPr>
        <a:xfrm>
          <a:off x="7235825" y="6089322975"/>
          <a:ext cx="878840" cy="1183640"/>
        </a:xfrm>
        <a:prstGeom prst="rect">
          <a:avLst/>
        </a:prstGeom>
      </xdr:spPr>
    </xdr:pic>
    <xdr:clientData/>
  </xdr:twoCellAnchor>
  <xdr:twoCellAnchor>
    <xdr:from>
      <xdr:col>9</xdr:col>
      <xdr:colOff>6350</xdr:colOff>
      <xdr:row>5946</xdr:row>
      <xdr:rowOff>25400</xdr:rowOff>
    </xdr:from>
    <xdr:to>
      <xdr:col>9</xdr:col>
      <xdr:colOff>885190</xdr:colOff>
      <xdr:row>5946</xdr:row>
      <xdr:rowOff>1209040</xdr:rowOff>
    </xdr:to>
    <xdr:pic>
      <xdr:nvPicPr>
        <xdr:cNvPr id="10046" name="Изображение 10045" descr="resizeПП-00244767"/>
        <xdr:cNvPicPr>
          <a:picLocks noChangeAspect="1"/>
        </xdr:cNvPicPr>
      </xdr:nvPicPr>
      <xdr:blipFill>
        <a:blip xmlns:r="http://schemas.openxmlformats.org/officeDocument/2006/relationships" r:embed="rId4654"/>
        <a:stretch>
          <a:fillRect/>
        </a:stretch>
      </xdr:blipFill>
      <xdr:spPr>
        <a:xfrm>
          <a:off x="7235825" y="6090545350"/>
          <a:ext cx="878840" cy="1183640"/>
        </a:xfrm>
        <a:prstGeom prst="rect">
          <a:avLst/>
        </a:prstGeom>
      </xdr:spPr>
    </xdr:pic>
    <xdr:clientData/>
  </xdr:twoCellAnchor>
  <xdr:twoCellAnchor>
    <xdr:from>
      <xdr:col>9</xdr:col>
      <xdr:colOff>6350</xdr:colOff>
      <xdr:row>5947</xdr:row>
      <xdr:rowOff>25400</xdr:rowOff>
    </xdr:from>
    <xdr:to>
      <xdr:col>9</xdr:col>
      <xdr:colOff>885190</xdr:colOff>
      <xdr:row>5947</xdr:row>
      <xdr:rowOff>1209040</xdr:rowOff>
    </xdr:to>
    <xdr:pic>
      <xdr:nvPicPr>
        <xdr:cNvPr id="10047" name="Изображение 10046" descr="resizeПП-00244773"/>
        <xdr:cNvPicPr>
          <a:picLocks noChangeAspect="1"/>
        </xdr:cNvPicPr>
      </xdr:nvPicPr>
      <xdr:blipFill>
        <a:blip xmlns:r="http://schemas.openxmlformats.org/officeDocument/2006/relationships" r:embed="rId4655"/>
        <a:stretch>
          <a:fillRect/>
        </a:stretch>
      </xdr:blipFill>
      <xdr:spPr>
        <a:xfrm>
          <a:off x="7235825" y="6091767725"/>
          <a:ext cx="878840" cy="1183640"/>
        </a:xfrm>
        <a:prstGeom prst="rect">
          <a:avLst/>
        </a:prstGeom>
      </xdr:spPr>
    </xdr:pic>
    <xdr:clientData/>
  </xdr:twoCellAnchor>
  <xdr:twoCellAnchor>
    <xdr:from>
      <xdr:col>9</xdr:col>
      <xdr:colOff>6350</xdr:colOff>
      <xdr:row>5948</xdr:row>
      <xdr:rowOff>25400</xdr:rowOff>
    </xdr:from>
    <xdr:to>
      <xdr:col>9</xdr:col>
      <xdr:colOff>885190</xdr:colOff>
      <xdr:row>5948</xdr:row>
      <xdr:rowOff>1209040</xdr:rowOff>
    </xdr:to>
    <xdr:pic>
      <xdr:nvPicPr>
        <xdr:cNvPr id="10048" name="Изображение 10047" descr="resizeПП-00263572"/>
        <xdr:cNvPicPr>
          <a:picLocks noChangeAspect="1"/>
        </xdr:cNvPicPr>
      </xdr:nvPicPr>
      <xdr:blipFill>
        <a:blip xmlns:r="http://schemas.openxmlformats.org/officeDocument/2006/relationships" r:embed="rId4656"/>
        <a:stretch>
          <a:fillRect/>
        </a:stretch>
      </xdr:blipFill>
      <xdr:spPr>
        <a:xfrm>
          <a:off x="7235825" y="6092990100"/>
          <a:ext cx="878840" cy="1183640"/>
        </a:xfrm>
        <a:prstGeom prst="rect">
          <a:avLst/>
        </a:prstGeom>
      </xdr:spPr>
    </xdr:pic>
    <xdr:clientData/>
  </xdr:twoCellAnchor>
  <xdr:twoCellAnchor>
    <xdr:from>
      <xdr:col>9</xdr:col>
      <xdr:colOff>6350</xdr:colOff>
      <xdr:row>5949</xdr:row>
      <xdr:rowOff>25400</xdr:rowOff>
    </xdr:from>
    <xdr:to>
      <xdr:col>9</xdr:col>
      <xdr:colOff>885190</xdr:colOff>
      <xdr:row>5949</xdr:row>
      <xdr:rowOff>1209040</xdr:rowOff>
    </xdr:to>
    <xdr:pic>
      <xdr:nvPicPr>
        <xdr:cNvPr id="10049" name="Изображение 10048" descr="resizeПП-00263598"/>
        <xdr:cNvPicPr>
          <a:picLocks noChangeAspect="1"/>
        </xdr:cNvPicPr>
      </xdr:nvPicPr>
      <xdr:blipFill>
        <a:blip xmlns:r="http://schemas.openxmlformats.org/officeDocument/2006/relationships" r:embed="rId4657"/>
        <a:stretch>
          <a:fillRect/>
        </a:stretch>
      </xdr:blipFill>
      <xdr:spPr>
        <a:xfrm>
          <a:off x="7235825" y="6094212475"/>
          <a:ext cx="878840" cy="1183640"/>
        </a:xfrm>
        <a:prstGeom prst="rect">
          <a:avLst/>
        </a:prstGeom>
      </xdr:spPr>
    </xdr:pic>
    <xdr:clientData/>
  </xdr:twoCellAnchor>
  <xdr:twoCellAnchor>
    <xdr:from>
      <xdr:col>9</xdr:col>
      <xdr:colOff>6350</xdr:colOff>
      <xdr:row>5950</xdr:row>
      <xdr:rowOff>25400</xdr:rowOff>
    </xdr:from>
    <xdr:to>
      <xdr:col>9</xdr:col>
      <xdr:colOff>885190</xdr:colOff>
      <xdr:row>5950</xdr:row>
      <xdr:rowOff>1209040</xdr:rowOff>
    </xdr:to>
    <xdr:pic>
      <xdr:nvPicPr>
        <xdr:cNvPr id="10050" name="Изображение 10049" descr="resizeПП-00263570"/>
        <xdr:cNvPicPr>
          <a:picLocks noChangeAspect="1"/>
        </xdr:cNvPicPr>
      </xdr:nvPicPr>
      <xdr:blipFill>
        <a:blip xmlns:r="http://schemas.openxmlformats.org/officeDocument/2006/relationships" r:embed="rId4658"/>
        <a:stretch>
          <a:fillRect/>
        </a:stretch>
      </xdr:blipFill>
      <xdr:spPr>
        <a:xfrm>
          <a:off x="7235825" y="6095434850"/>
          <a:ext cx="878840" cy="1183640"/>
        </a:xfrm>
        <a:prstGeom prst="rect">
          <a:avLst/>
        </a:prstGeom>
      </xdr:spPr>
    </xdr:pic>
    <xdr:clientData/>
  </xdr:twoCellAnchor>
  <xdr:twoCellAnchor>
    <xdr:from>
      <xdr:col>9</xdr:col>
      <xdr:colOff>6350</xdr:colOff>
      <xdr:row>5951</xdr:row>
      <xdr:rowOff>25400</xdr:rowOff>
    </xdr:from>
    <xdr:to>
      <xdr:col>9</xdr:col>
      <xdr:colOff>885190</xdr:colOff>
      <xdr:row>5951</xdr:row>
      <xdr:rowOff>1209040</xdr:rowOff>
    </xdr:to>
    <xdr:pic>
      <xdr:nvPicPr>
        <xdr:cNvPr id="10051" name="Изображение 10050" descr="resizeПП-00263571"/>
        <xdr:cNvPicPr>
          <a:picLocks noChangeAspect="1"/>
        </xdr:cNvPicPr>
      </xdr:nvPicPr>
      <xdr:blipFill>
        <a:blip xmlns:r="http://schemas.openxmlformats.org/officeDocument/2006/relationships" r:embed="rId4659"/>
        <a:stretch>
          <a:fillRect/>
        </a:stretch>
      </xdr:blipFill>
      <xdr:spPr>
        <a:xfrm>
          <a:off x="7235825" y="6096657225"/>
          <a:ext cx="878840" cy="1183640"/>
        </a:xfrm>
        <a:prstGeom prst="rect">
          <a:avLst/>
        </a:prstGeom>
      </xdr:spPr>
    </xdr:pic>
    <xdr:clientData/>
  </xdr:twoCellAnchor>
  <xdr:twoCellAnchor>
    <xdr:from>
      <xdr:col>9</xdr:col>
      <xdr:colOff>6350</xdr:colOff>
      <xdr:row>5952</xdr:row>
      <xdr:rowOff>25400</xdr:rowOff>
    </xdr:from>
    <xdr:to>
      <xdr:col>9</xdr:col>
      <xdr:colOff>885190</xdr:colOff>
      <xdr:row>5952</xdr:row>
      <xdr:rowOff>1209040</xdr:rowOff>
    </xdr:to>
    <xdr:pic>
      <xdr:nvPicPr>
        <xdr:cNvPr id="10052" name="Изображение 10051" descr="resizeПП-00263575"/>
        <xdr:cNvPicPr>
          <a:picLocks noChangeAspect="1"/>
        </xdr:cNvPicPr>
      </xdr:nvPicPr>
      <xdr:blipFill>
        <a:blip xmlns:r="http://schemas.openxmlformats.org/officeDocument/2006/relationships" r:embed="rId4660"/>
        <a:stretch>
          <a:fillRect/>
        </a:stretch>
      </xdr:blipFill>
      <xdr:spPr>
        <a:xfrm>
          <a:off x="7235825" y="6097879600"/>
          <a:ext cx="878840" cy="1183640"/>
        </a:xfrm>
        <a:prstGeom prst="rect">
          <a:avLst/>
        </a:prstGeom>
      </xdr:spPr>
    </xdr:pic>
    <xdr:clientData/>
  </xdr:twoCellAnchor>
  <xdr:twoCellAnchor>
    <xdr:from>
      <xdr:col>9</xdr:col>
      <xdr:colOff>6350</xdr:colOff>
      <xdr:row>5953</xdr:row>
      <xdr:rowOff>25400</xdr:rowOff>
    </xdr:from>
    <xdr:to>
      <xdr:col>9</xdr:col>
      <xdr:colOff>885190</xdr:colOff>
      <xdr:row>5953</xdr:row>
      <xdr:rowOff>1209040</xdr:rowOff>
    </xdr:to>
    <xdr:pic>
      <xdr:nvPicPr>
        <xdr:cNvPr id="10053" name="Изображение 10052" descr="resizeПП-00263595"/>
        <xdr:cNvPicPr>
          <a:picLocks noChangeAspect="1"/>
        </xdr:cNvPicPr>
      </xdr:nvPicPr>
      <xdr:blipFill>
        <a:blip xmlns:r="http://schemas.openxmlformats.org/officeDocument/2006/relationships" r:embed="rId4661"/>
        <a:stretch>
          <a:fillRect/>
        </a:stretch>
      </xdr:blipFill>
      <xdr:spPr>
        <a:xfrm>
          <a:off x="7235825" y="6099101975"/>
          <a:ext cx="878840" cy="1183640"/>
        </a:xfrm>
        <a:prstGeom prst="rect">
          <a:avLst/>
        </a:prstGeom>
      </xdr:spPr>
    </xdr:pic>
    <xdr:clientData/>
  </xdr:twoCellAnchor>
  <xdr:twoCellAnchor>
    <xdr:from>
      <xdr:col>9</xdr:col>
      <xdr:colOff>6350</xdr:colOff>
      <xdr:row>5954</xdr:row>
      <xdr:rowOff>25400</xdr:rowOff>
    </xdr:from>
    <xdr:to>
      <xdr:col>9</xdr:col>
      <xdr:colOff>885190</xdr:colOff>
      <xdr:row>5954</xdr:row>
      <xdr:rowOff>1209040</xdr:rowOff>
    </xdr:to>
    <xdr:pic>
      <xdr:nvPicPr>
        <xdr:cNvPr id="10054" name="Изображение 10053" descr="resizeПП-00263568"/>
        <xdr:cNvPicPr>
          <a:picLocks noChangeAspect="1"/>
        </xdr:cNvPicPr>
      </xdr:nvPicPr>
      <xdr:blipFill>
        <a:blip xmlns:r="http://schemas.openxmlformats.org/officeDocument/2006/relationships" r:embed="rId4662"/>
        <a:stretch>
          <a:fillRect/>
        </a:stretch>
      </xdr:blipFill>
      <xdr:spPr>
        <a:xfrm>
          <a:off x="7235825" y="6100324350"/>
          <a:ext cx="878840" cy="1183640"/>
        </a:xfrm>
        <a:prstGeom prst="rect">
          <a:avLst/>
        </a:prstGeom>
      </xdr:spPr>
    </xdr:pic>
    <xdr:clientData/>
  </xdr:twoCellAnchor>
  <xdr:twoCellAnchor>
    <xdr:from>
      <xdr:col>9</xdr:col>
      <xdr:colOff>6350</xdr:colOff>
      <xdr:row>5955</xdr:row>
      <xdr:rowOff>25400</xdr:rowOff>
    </xdr:from>
    <xdr:to>
      <xdr:col>9</xdr:col>
      <xdr:colOff>885190</xdr:colOff>
      <xdr:row>5955</xdr:row>
      <xdr:rowOff>1209040</xdr:rowOff>
    </xdr:to>
    <xdr:pic>
      <xdr:nvPicPr>
        <xdr:cNvPr id="10055" name="Изображение 10054" descr="resizeПП-00263597"/>
        <xdr:cNvPicPr>
          <a:picLocks noChangeAspect="1"/>
        </xdr:cNvPicPr>
      </xdr:nvPicPr>
      <xdr:blipFill>
        <a:blip xmlns:r="http://schemas.openxmlformats.org/officeDocument/2006/relationships" r:embed="rId4663"/>
        <a:stretch>
          <a:fillRect/>
        </a:stretch>
      </xdr:blipFill>
      <xdr:spPr>
        <a:xfrm>
          <a:off x="7235825" y="6101546725"/>
          <a:ext cx="878840" cy="1183640"/>
        </a:xfrm>
        <a:prstGeom prst="rect">
          <a:avLst/>
        </a:prstGeom>
      </xdr:spPr>
    </xdr:pic>
    <xdr:clientData/>
  </xdr:twoCellAnchor>
  <xdr:twoCellAnchor>
    <xdr:from>
      <xdr:col>9</xdr:col>
      <xdr:colOff>6350</xdr:colOff>
      <xdr:row>5956</xdr:row>
      <xdr:rowOff>25400</xdr:rowOff>
    </xdr:from>
    <xdr:to>
      <xdr:col>9</xdr:col>
      <xdr:colOff>885190</xdr:colOff>
      <xdr:row>5956</xdr:row>
      <xdr:rowOff>1209040</xdr:rowOff>
    </xdr:to>
    <xdr:pic>
      <xdr:nvPicPr>
        <xdr:cNvPr id="10056" name="Изображение 10055" descr="resizeПП-00263578"/>
        <xdr:cNvPicPr>
          <a:picLocks noChangeAspect="1"/>
        </xdr:cNvPicPr>
      </xdr:nvPicPr>
      <xdr:blipFill>
        <a:blip xmlns:r="http://schemas.openxmlformats.org/officeDocument/2006/relationships" r:embed="rId4664"/>
        <a:stretch>
          <a:fillRect/>
        </a:stretch>
      </xdr:blipFill>
      <xdr:spPr>
        <a:xfrm>
          <a:off x="7235825" y="6102769100"/>
          <a:ext cx="878840" cy="1183640"/>
        </a:xfrm>
        <a:prstGeom prst="rect">
          <a:avLst/>
        </a:prstGeom>
      </xdr:spPr>
    </xdr:pic>
    <xdr:clientData/>
  </xdr:twoCellAnchor>
  <xdr:twoCellAnchor>
    <xdr:from>
      <xdr:col>9</xdr:col>
      <xdr:colOff>6350</xdr:colOff>
      <xdr:row>5957</xdr:row>
      <xdr:rowOff>25400</xdr:rowOff>
    </xdr:from>
    <xdr:to>
      <xdr:col>9</xdr:col>
      <xdr:colOff>885190</xdr:colOff>
      <xdr:row>5957</xdr:row>
      <xdr:rowOff>1209040</xdr:rowOff>
    </xdr:to>
    <xdr:pic>
      <xdr:nvPicPr>
        <xdr:cNvPr id="10057" name="Изображение 10056" descr="resizeПП-00263596"/>
        <xdr:cNvPicPr>
          <a:picLocks noChangeAspect="1"/>
        </xdr:cNvPicPr>
      </xdr:nvPicPr>
      <xdr:blipFill>
        <a:blip xmlns:r="http://schemas.openxmlformats.org/officeDocument/2006/relationships" r:embed="rId4665"/>
        <a:stretch>
          <a:fillRect/>
        </a:stretch>
      </xdr:blipFill>
      <xdr:spPr>
        <a:xfrm>
          <a:off x="7235825" y="6103991475"/>
          <a:ext cx="878840" cy="1183640"/>
        </a:xfrm>
        <a:prstGeom prst="rect">
          <a:avLst/>
        </a:prstGeom>
      </xdr:spPr>
    </xdr:pic>
    <xdr:clientData/>
  </xdr:twoCellAnchor>
  <xdr:twoCellAnchor>
    <xdr:from>
      <xdr:col>9</xdr:col>
      <xdr:colOff>6350</xdr:colOff>
      <xdr:row>5958</xdr:row>
      <xdr:rowOff>25400</xdr:rowOff>
    </xdr:from>
    <xdr:to>
      <xdr:col>9</xdr:col>
      <xdr:colOff>885190</xdr:colOff>
      <xdr:row>5958</xdr:row>
      <xdr:rowOff>1209040</xdr:rowOff>
    </xdr:to>
    <xdr:pic>
      <xdr:nvPicPr>
        <xdr:cNvPr id="10058" name="Изображение 10057" descr="resizeПП-00263599"/>
        <xdr:cNvPicPr>
          <a:picLocks noChangeAspect="1"/>
        </xdr:cNvPicPr>
      </xdr:nvPicPr>
      <xdr:blipFill>
        <a:blip xmlns:r="http://schemas.openxmlformats.org/officeDocument/2006/relationships" r:embed="rId4666"/>
        <a:stretch>
          <a:fillRect/>
        </a:stretch>
      </xdr:blipFill>
      <xdr:spPr>
        <a:xfrm>
          <a:off x="7235825" y="6105213850"/>
          <a:ext cx="878840" cy="1183640"/>
        </a:xfrm>
        <a:prstGeom prst="rect">
          <a:avLst/>
        </a:prstGeom>
      </xdr:spPr>
    </xdr:pic>
    <xdr:clientData/>
  </xdr:twoCellAnchor>
  <xdr:twoCellAnchor>
    <xdr:from>
      <xdr:col>9</xdr:col>
      <xdr:colOff>6350</xdr:colOff>
      <xdr:row>5959</xdr:row>
      <xdr:rowOff>25400</xdr:rowOff>
    </xdr:from>
    <xdr:to>
      <xdr:col>9</xdr:col>
      <xdr:colOff>885190</xdr:colOff>
      <xdr:row>5959</xdr:row>
      <xdr:rowOff>1209040</xdr:rowOff>
    </xdr:to>
    <xdr:pic>
      <xdr:nvPicPr>
        <xdr:cNvPr id="10059" name="Изображение 10058" descr="resizeПП-00263569"/>
        <xdr:cNvPicPr>
          <a:picLocks noChangeAspect="1"/>
        </xdr:cNvPicPr>
      </xdr:nvPicPr>
      <xdr:blipFill>
        <a:blip xmlns:r="http://schemas.openxmlformats.org/officeDocument/2006/relationships" r:embed="rId4667"/>
        <a:stretch>
          <a:fillRect/>
        </a:stretch>
      </xdr:blipFill>
      <xdr:spPr>
        <a:xfrm>
          <a:off x="7235825" y="6106436225"/>
          <a:ext cx="878840" cy="1183640"/>
        </a:xfrm>
        <a:prstGeom prst="rect">
          <a:avLst/>
        </a:prstGeom>
      </xdr:spPr>
    </xdr:pic>
    <xdr:clientData/>
  </xdr:twoCellAnchor>
  <xdr:twoCellAnchor>
    <xdr:from>
      <xdr:col>9</xdr:col>
      <xdr:colOff>6350</xdr:colOff>
      <xdr:row>5962</xdr:row>
      <xdr:rowOff>25400</xdr:rowOff>
    </xdr:from>
    <xdr:to>
      <xdr:col>9</xdr:col>
      <xdr:colOff>885190</xdr:colOff>
      <xdr:row>5962</xdr:row>
      <xdr:rowOff>1209040</xdr:rowOff>
    </xdr:to>
    <xdr:pic>
      <xdr:nvPicPr>
        <xdr:cNvPr id="10060" name="Изображение 10059" descr="resizeПП-00243041"/>
        <xdr:cNvPicPr>
          <a:picLocks noChangeAspect="1"/>
        </xdr:cNvPicPr>
      </xdr:nvPicPr>
      <xdr:blipFill>
        <a:blip xmlns:r="http://schemas.openxmlformats.org/officeDocument/2006/relationships" r:embed="rId4668"/>
        <a:stretch>
          <a:fillRect/>
        </a:stretch>
      </xdr:blipFill>
      <xdr:spPr>
        <a:xfrm>
          <a:off x="7235825" y="6107963400"/>
          <a:ext cx="878840" cy="1183640"/>
        </a:xfrm>
        <a:prstGeom prst="rect">
          <a:avLst/>
        </a:prstGeom>
      </xdr:spPr>
    </xdr:pic>
    <xdr:clientData/>
  </xdr:twoCellAnchor>
  <xdr:twoCellAnchor>
    <xdr:from>
      <xdr:col>9</xdr:col>
      <xdr:colOff>6350</xdr:colOff>
      <xdr:row>5963</xdr:row>
      <xdr:rowOff>25400</xdr:rowOff>
    </xdr:from>
    <xdr:to>
      <xdr:col>9</xdr:col>
      <xdr:colOff>885190</xdr:colOff>
      <xdr:row>5963</xdr:row>
      <xdr:rowOff>1209040</xdr:rowOff>
    </xdr:to>
    <xdr:pic>
      <xdr:nvPicPr>
        <xdr:cNvPr id="10061" name="Изображение 10060" descr="resizeПП-00243043"/>
        <xdr:cNvPicPr>
          <a:picLocks noChangeAspect="1"/>
        </xdr:cNvPicPr>
      </xdr:nvPicPr>
      <xdr:blipFill>
        <a:blip xmlns:r="http://schemas.openxmlformats.org/officeDocument/2006/relationships" r:embed="rId4669"/>
        <a:stretch>
          <a:fillRect/>
        </a:stretch>
      </xdr:blipFill>
      <xdr:spPr>
        <a:xfrm>
          <a:off x="7235825" y="6109185775"/>
          <a:ext cx="878840" cy="1183640"/>
        </a:xfrm>
        <a:prstGeom prst="rect">
          <a:avLst/>
        </a:prstGeom>
      </xdr:spPr>
    </xdr:pic>
    <xdr:clientData/>
  </xdr:twoCellAnchor>
  <xdr:twoCellAnchor>
    <xdr:from>
      <xdr:col>9</xdr:col>
      <xdr:colOff>6350</xdr:colOff>
      <xdr:row>5964</xdr:row>
      <xdr:rowOff>25400</xdr:rowOff>
    </xdr:from>
    <xdr:to>
      <xdr:col>9</xdr:col>
      <xdr:colOff>885190</xdr:colOff>
      <xdr:row>5964</xdr:row>
      <xdr:rowOff>1209040</xdr:rowOff>
    </xdr:to>
    <xdr:pic>
      <xdr:nvPicPr>
        <xdr:cNvPr id="10062" name="Изображение 10061" descr="resizeПП-00243047"/>
        <xdr:cNvPicPr>
          <a:picLocks noChangeAspect="1"/>
        </xdr:cNvPicPr>
      </xdr:nvPicPr>
      <xdr:blipFill>
        <a:blip xmlns:r="http://schemas.openxmlformats.org/officeDocument/2006/relationships" r:embed="rId4670"/>
        <a:stretch>
          <a:fillRect/>
        </a:stretch>
      </xdr:blipFill>
      <xdr:spPr>
        <a:xfrm>
          <a:off x="7235825" y="6110408150"/>
          <a:ext cx="878840" cy="1183640"/>
        </a:xfrm>
        <a:prstGeom prst="rect">
          <a:avLst/>
        </a:prstGeom>
      </xdr:spPr>
    </xdr:pic>
    <xdr:clientData/>
  </xdr:twoCellAnchor>
  <xdr:twoCellAnchor>
    <xdr:from>
      <xdr:col>9</xdr:col>
      <xdr:colOff>6350</xdr:colOff>
      <xdr:row>5965</xdr:row>
      <xdr:rowOff>25400</xdr:rowOff>
    </xdr:from>
    <xdr:to>
      <xdr:col>9</xdr:col>
      <xdr:colOff>885190</xdr:colOff>
      <xdr:row>5965</xdr:row>
      <xdr:rowOff>1209040</xdr:rowOff>
    </xdr:to>
    <xdr:pic>
      <xdr:nvPicPr>
        <xdr:cNvPr id="10063" name="Изображение 10062" descr="resizeПП-00243036"/>
        <xdr:cNvPicPr>
          <a:picLocks noChangeAspect="1"/>
        </xdr:cNvPicPr>
      </xdr:nvPicPr>
      <xdr:blipFill>
        <a:blip xmlns:r="http://schemas.openxmlformats.org/officeDocument/2006/relationships" r:embed="rId4671"/>
        <a:stretch>
          <a:fillRect/>
        </a:stretch>
      </xdr:blipFill>
      <xdr:spPr>
        <a:xfrm>
          <a:off x="7235825" y="6111630525"/>
          <a:ext cx="878840" cy="1183640"/>
        </a:xfrm>
        <a:prstGeom prst="rect">
          <a:avLst/>
        </a:prstGeom>
      </xdr:spPr>
    </xdr:pic>
    <xdr:clientData/>
  </xdr:twoCellAnchor>
  <xdr:twoCellAnchor>
    <xdr:from>
      <xdr:col>9</xdr:col>
      <xdr:colOff>6350</xdr:colOff>
      <xdr:row>5966</xdr:row>
      <xdr:rowOff>25400</xdr:rowOff>
    </xdr:from>
    <xdr:to>
      <xdr:col>9</xdr:col>
      <xdr:colOff>885190</xdr:colOff>
      <xdr:row>5966</xdr:row>
      <xdr:rowOff>1209040</xdr:rowOff>
    </xdr:to>
    <xdr:pic>
      <xdr:nvPicPr>
        <xdr:cNvPr id="10064" name="Изображение 10063" descr="resizeПП-00262346"/>
        <xdr:cNvPicPr>
          <a:picLocks noChangeAspect="1"/>
        </xdr:cNvPicPr>
      </xdr:nvPicPr>
      <xdr:blipFill>
        <a:blip xmlns:r="http://schemas.openxmlformats.org/officeDocument/2006/relationships" r:embed="rId4672"/>
        <a:stretch>
          <a:fillRect/>
        </a:stretch>
      </xdr:blipFill>
      <xdr:spPr>
        <a:xfrm>
          <a:off x="7235825" y="6112852900"/>
          <a:ext cx="878840" cy="1183640"/>
        </a:xfrm>
        <a:prstGeom prst="rect">
          <a:avLst/>
        </a:prstGeom>
      </xdr:spPr>
    </xdr:pic>
    <xdr:clientData/>
  </xdr:twoCellAnchor>
  <xdr:twoCellAnchor>
    <xdr:from>
      <xdr:col>9</xdr:col>
      <xdr:colOff>6350</xdr:colOff>
      <xdr:row>5967</xdr:row>
      <xdr:rowOff>25400</xdr:rowOff>
    </xdr:from>
    <xdr:to>
      <xdr:col>9</xdr:col>
      <xdr:colOff>885190</xdr:colOff>
      <xdr:row>5967</xdr:row>
      <xdr:rowOff>1209040</xdr:rowOff>
    </xdr:to>
    <xdr:pic>
      <xdr:nvPicPr>
        <xdr:cNvPr id="10065" name="Изображение 10064" descr="resizeПП-00262332"/>
        <xdr:cNvPicPr>
          <a:picLocks noChangeAspect="1"/>
        </xdr:cNvPicPr>
      </xdr:nvPicPr>
      <xdr:blipFill>
        <a:blip xmlns:r="http://schemas.openxmlformats.org/officeDocument/2006/relationships" r:embed="rId4673"/>
        <a:stretch>
          <a:fillRect/>
        </a:stretch>
      </xdr:blipFill>
      <xdr:spPr>
        <a:xfrm>
          <a:off x="7235825" y="6114075275"/>
          <a:ext cx="878840" cy="1183640"/>
        </a:xfrm>
        <a:prstGeom prst="rect">
          <a:avLst/>
        </a:prstGeom>
      </xdr:spPr>
    </xdr:pic>
    <xdr:clientData/>
  </xdr:twoCellAnchor>
  <xdr:twoCellAnchor>
    <xdr:from>
      <xdr:col>9</xdr:col>
      <xdr:colOff>6350</xdr:colOff>
      <xdr:row>5968</xdr:row>
      <xdr:rowOff>25400</xdr:rowOff>
    </xdr:from>
    <xdr:to>
      <xdr:col>9</xdr:col>
      <xdr:colOff>885190</xdr:colOff>
      <xdr:row>5968</xdr:row>
      <xdr:rowOff>1209040</xdr:rowOff>
    </xdr:to>
    <xdr:pic>
      <xdr:nvPicPr>
        <xdr:cNvPr id="10066" name="Изображение 10065" descr="resizeПП-00262337"/>
        <xdr:cNvPicPr>
          <a:picLocks noChangeAspect="1"/>
        </xdr:cNvPicPr>
      </xdr:nvPicPr>
      <xdr:blipFill>
        <a:blip xmlns:r="http://schemas.openxmlformats.org/officeDocument/2006/relationships" r:embed="rId4674"/>
        <a:stretch>
          <a:fillRect/>
        </a:stretch>
      </xdr:blipFill>
      <xdr:spPr>
        <a:xfrm>
          <a:off x="7235825" y="6115297650"/>
          <a:ext cx="878840" cy="1183640"/>
        </a:xfrm>
        <a:prstGeom prst="rect">
          <a:avLst/>
        </a:prstGeom>
      </xdr:spPr>
    </xdr:pic>
    <xdr:clientData/>
  </xdr:twoCellAnchor>
  <xdr:twoCellAnchor>
    <xdr:from>
      <xdr:col>9</xdr:col>
      <xdr:colOff>6350</xdr:colOff>
      <xdr:row>5969</xdr:row>
      <xdr:rowOff>25400</xdr:rowOff>
    </xdr:from>
    <xdr:to>
      <xdr:col>9</xdr:col>
      <xdr:colOff>885190</xdr:colOff>
      <xdr:row>5969</xdr:row>
      <xdr:rowOff>1209040</xdr:rowOff>
    </xdr:to>
    <xdr:pic>
      <xdr:nvPicPr>
        <xdr:cNvPr id="10067" name="Изображение 10066" descr="resizeПП-00262344"/>
        <xdr:cNvPicPr>
          <a:picLocks noChangeAspect="1"/>
        </xdr:cNvPicPr>
      </xdr:nvPicPr>
      <xdr:blipFill>
        <a:blip xmlns:r="http://schemas.openxmlformats.org/officeDocument/2006/relationships" r:embed="rId4675"/>
        <a:stretch>
          <a:fillRect/>
        </a:stretch>
      </xdr:blipFill>
      <xdr:spPr>
        <a:xfrm>
          <a:off x="7235825" y="6116520025"/>
          <a:ext cx="878840" cy="1183640"/>
        </a:xfrm>
        <a:prstGeom prst="rect">
          <a:avLst/>
        </a:prstGeom>
      </xdr:spPr>
    </xdr:pic>
    <xdr:clientData/>
  </xdr:twoCellAnchor>
  <xdr:twoCellAnchor>
    <xdr:from>
      <xdr:col>9</xdr:col>
      <xdr:colOff>6350</xdr:colOff>
      <xdr:row>5970</xdr:row>
      <xdr:rowOff>25400</xdr:rowOff>
    </xdr:from>
    <xdr:to>
      <xdr:col>9</xdr:col>
      <xdr:colOff>885190</xdr:colOff>
      <xdr:row>5970</xdr:row>
      <xdr:rowOff>1209040</xdr:rowOff>
    </xdr:to>
    <xdr:pic>
      <xdr:nvPicPr>
        <xdr:cNvPr id="10068" name="Изображение 10067" descr="resizeПП-00262336"/>
        <xdr:cNvPicPr>
          <a:picLocks noChangeAspect="1"/>
        </xdr:cNvPicPr>
      </xdr:nvPicPr>
      <xdr:blipFill>
        <a:blip xmlns:r="http://schemas.openxmlformats.org/officeDocument/2006/relationships" r:embed="rId4676"/>
        <a:stretch>
          <a:fillRect/>
        </a:stretch>
      </xdr:blipFill>
      <xdr:spPr>
        <a:xfrm>
          <a:off x="7235825" y="6117742400"/>
          <a:ext cx="878840" cy="1183640"/>
        </a:xfrm>
        <a:prstGeom prst="rect">
          <a:avLst/>
        </a:prstGeom>
      </xdr:spPr>
    </xdr:pic>
    <xdr:clientData/>
  </xdr:twoCellAnchor>
  <xdr:twoCellAnchor>
    <xdr:from>
      <xdr:col>9</xdr:col>
      <xdr:colOff>6350</xdr:colOff>
      <xdr:row>5971</xdr:row>
      <xdr:rowOff>25400</xdr:rowOff>
    </xdr:from>
    <xdr:to>
      <xdr:col>9</xdr:col>
      <xdr:colOff>1189990</xdr:colOff>
      <xdr:row>5971</xdr:row>
      <xdr:rowOff>624840</xdr:rowOff>
    </xdr:to>
    <xdr:pic>
      <xdr:nvPicPr>
        <xdr:cNvPr id="10069" name="Изображение 10068" descr="resizeПП-00262348"/>
        <xdr:cNvPicPr>
          <a:picLocks noChangeAspect="1"/>
        </xdr:cNvPicPr>
      </xdr:nvPicPr>
      <xdr:blipFill>
        <a:blip xmlns:r="http://schemas.openxmlformats.org/officeDocument/2006/relationships" r:embed="rId4677"/>
        <a:stretch>
          <a:fillRect/>
        </a:stretch>
      </xdr:blipFill>
      <xdr:spPr>
        <a:xfrm>
          <a:off x="7235825" y="6118964775"/>
          <a:ext cx="1183640" cy="599440"/>
        </a:xfrm>
        <a:prstGeom prst="rect">
          <a:avLst/>
        </a:prstGeom>
      </xdr:spPr>
    </xdr:pic>
    <xdr:clientData/>
  </xdr:twoCellAnchor>
  <xdr:twoCellAnchor>
    <xdr:from>
      <xdr:col>9</xdr:col>
      <xdr:colOff>6350</xdr:colOff>
      <xdr:row>5972</xdr:row>
      <xdr:rowOff>25400</xdr:rowOff>
    </xdr:from>
    <xdr:to>
      <xdr:col>9</xdr:col>
      <xdr:colOff>885190</xdr:colOff>
      <xdr:row>5972</xdr:row>
      <xdr:rowOff>1209040</xdr:rowOff>
    </xdr:to>
    <xdr:pic>
      <xdr:nvPicPr>
        <xdr:cNvPr id="10070" name="Изображение 10069" descr="resizeПП-00243040"/>
        <xdr:cNvPicPr>
          <a:picLocks noChangeAspect="1"/>
        </xdr:cNvPicPr>
      </xdr:nvPicPr>
      <xdr:blipFill>
        <a:blip xmlns:r="http://schemas.openxmlformats.org/officeDocument/2006/relationships" r:embed="rId4678"/>
        <a:stretch>
          <a:fillRect/>
        </a:stretch>
      </xdr:blipFill>
      <xdr:spPr>
        <a:xfrm>
          <a:off x="7235825" y="6120187150"/>
          <a:ext cx="878840" cy="1183640"/>
        </a:xfrm>
        <a:prstGeom prst="rect">
          <a:avLst/>
        </a:prstGeom>
      </xdr:spPr>
    </xdr:pic>
    <xdr:clientData/>
  </xdr:twoCellAnchor>
  <xdr:twoCellAnchor>
    <xdr:from>
      <xdr:col>9</xdr:col>
      <xdr:colOff>6350</xdr:colOff>
      <xdr:row>5973</xdr:row>
      <xdr:rowOff>25400</xdr:rowOff>
    </xdr:from>
    <xdr:to>
      <xdr:col>9</xdr:col>
      <xdr:colOff>885190</xdr:colOff>
      <xdr:row>5973</xdr:row>
      <xdr:rowOff>1209040</xdr:rowOff>
    </xdr:to>
    <xdr:pic>
      <xdr:nvPicPr>
        <xdr:cNvPr id="10071" name="Изображение 10070" descr="resizeПП-00262347"/>
        <xdr:cNvPicPr>
          <a:picLocks noChangeAspect="1"/>
        </xdr:cNvPicPr>
      </xdr:nvPicPr>
      <xdr:blipFill>
        <a:blip xmlns:r="http://schemas.openxmlformats.org/officeDocument/2006/relationships" r:embed="rId4679"/>
        <a:stretch>
          <a:fillRect/>
        </a:stretch>
      </xdr:blipFill>
      <xdr:spPr>
        <a:xfrm>
          <a:off x="7235825" y="6121409525"/>
          <a:ext cx="878840" cy="1183640"/>
        </a:xfrm>
        <a:prstGeom prst="rect">
          <a:avLst/>
        </a:prstGeom>
      </xdr:spPr>
    </xdr:pic>
    <xdr:clientData/>
  </xdr:twoCellAnchor>
  <xdr:twoCellAnchor>
    <xdr:from>
      <xdr:col>9</xdr:col>
      <xdr:colOff>6350</xdr:colOff>
      <xdr:row>5974</xdr:row>
      <xdr:rowOff>25400</xdr:rowOff>
    </xdr:from>
    <xdr:to>
      <xdr:col>9</xdr:col>
      <xdr:colOff>885190</xdr:colOff>
      <xdr:row>5974</xdr:row>
      <xdr:rowOff>1209040</xdr:rowOff>
    </xdr:to>
    <xdr:pic>
      <xdr:nvPicPr>
        <xdr:cNvPr id="10072" name="Изображение 10071" descr="resizeПП-00262349"/>
        <xdr:cNvPicPr>
          <a:picLocks noChangeAspect="1"/>
        </xdr:cNvPicPr>
      </xdr:nvPicPr>
      <xdr:blipFill>
        <a:blip xmlns:r="http://schemas.openxmlformats.org/officeDocument/2006/relationships" r:embed="rId4680"/>
        <a:stretch>
          <a:fillRect/>
        </a:stretch>
      </xdr:blipFill>
      <xdr:spPr>
        <a:xfrm>
          <a:off x="7235825" y="6122631900"/>
          <a:ext cx="878840" cy="1183640"/>
        </a:xfrm>
        <a:prstGeom prst="rect">
          <a:avLst/>
        </a:prstGeom>
      </xdr:spPr>
    </xdr:pic>
    <xdr:clientData/>
  </xdr:twoCellAnchor>
  <xdr:twoCellAnchor>
    <xdr:from>
      <xdr:col>9</xdr:col>
      <xdr:colOff>6350</xdr:colOff>
      <xdr:row>5975</xdr:row>
      <xdr:rowOff>25400</xdr:rowOff>
    </xdr:from>
    <xdr:to>
      <xdr:col>9</xdr:col>
      <xdr:colOff>885190</xdr:colOff>
      <xdr:row>5975</xdr:row>
      <xdr:rowOff>1209040</xdr:rowOff>
    </xdr:to>
    <xdr:pic>
      <xdr:nvPicPr>
        <xdr:cNvPr id="10073" name="Изображение 10072" descr="resizeПП-00262338"/>
        <xdr:cNvPicPr>
          <a:picLocks noChangeAspect="1"/>
        </xdr:cNvPicPr>
      </xdr:nvPicPr>
      <xdr:blipFill>
        <a:blip xmlns:r="http://schemas.openxmlformats.org/officeDocument/2006/relationships" r:embed="rId4681"/>
        <a:stretch>
          <a:fillRect/>
        </a:stretch>
      </xdr:blipFill>
      <xdr:spPr>
        <a:xfrm>
          <a:off x="7235825" y="6123854275"/>
          <a:ext cx="878840" cy="1183640"/>
        </a:xfrm>
        <a:prstGeom prst="rect">
          <a:avLst/>
        </a:prstGeom>
      </xdr:spPr>
    </xdr:pic>
    <xdr:clientData/>
  </xdr:twoCellAnchor>
  <xdr:twoCellAnchor>
    <xdr:from>
      <xdr:col>9</xdr:col>
      <xdr:colOff>6350</xdr:colOff>
      <xdr:row>5976</xdr:row>
      <xdr:rowOff>25400</xdr:rowOff>
    </xdr:from>
    <xdr:to>
      <xdr:col>9</xdr:col>
      <xdr:colOff>885190</xdr:colOff>
      <xdr:row>5976</xdr:row>
      <xdr:rowOff>1209040</xdr:rowOff>
    </xdr:to>
    <xdr:pic>
      <xdr:nvPicPr>
        <xdr:cNvPr id="10074" name="Изображение 10073" descr="resizeПП-00262350"/>
        <xdr:cNvPicPr>
          <a:picLocks noChangeAspect="1"/>
        </xdr:cNvPicPr>
      </xdr:nvPicPr>
      <xdr:blipFill>
        <a:blip xmlns:r="http://schemas.openxmlformats.org/officeDocument/2006/relationships" r:embed="rId4682"/>
        <a:stretch>
          <a:fillRect/>
        </a:stretch>
      </xdr:blipFill>
      <xdr:spPr>
        <a:xfrm>
          <a:off x="7235825" y="6125076650"/>
          <a:ext cx="878840" cy="1183640"/>
        </a:xfrm>
        <a:prstGeom prst="rect">
          <a:avLst/>
        </a:prstGeom>
      </xdr:spPr>
    </xdr:pic>
    <xdr:clientData/>
  </xdr:twoCellAnchor>
  <xdr:twoCellAnchor>
    <xdr:from>
      <xdr:col>9</xdr:col>
      <xdr:colOff>6350</xdr:colOff>
      <xdr:row>5977</xdr:row>
      <xdr:rowOff>25400</xdr:rowOff>
    </xdr:from>
    <xdr:to>
      <xdr:col>9</xdr:col>
      <xdr:colOff>885190</xdr:colOff>
      <xdr:row>5977</xdr:row>
      <xdr:rowOff>1209040</xdr:rowOff>
    </xdr:to>
    <xdr:pic>
      <xdr:nvPicPr>
        <xdr:cNvPr id="10075" name="Изображение 10074" descr="resizeПП-00262340"/>
        <xdr:cNvPicPr>
          <a:picLocks noChangeAspect="1"/>
        </xdr:cNvPicPr>
      </xdr:nvPicPr>
      <xdr:blipFill>
        <a:blip xmlns:r="http://schemas.openxmlformats.org/officeDocument/2006/relationships" r:embed="rId4683"/>
        <a:stretch>
          <a:fillRect/>
        </a:stretch>
      </xdr:blipFill>
      <xdr:spPr>
        <a:xfrm>
          <a:off x="7235825" y="6126299025"/>
          <a:ext cx="878840" cy="1183640"/>
        </a:xfrm>
        <a:prstGeom prst="rect">
          <a:avLst/>
        </a:prstGeom>
      </xdr:spPr>
    </xdr:pic>
    <xdr:clientData/>
  </xdr:twoCellAnchor>
  <xdr:twoCellAnchor>
    <xdr:from>
      <xdr:col>9</xdr:col>
      <xdr:colOff>6350</xdr:colOff>
      <xdr:row>5979</xdr:row>
      <xdr:rowOff>25400</xdr:rowOff>
    </xdr:from>
    <xdr:to>
      <xdr:col>9</xdr:col>
      <xdr:colOff>885190</xdr:colOff>
      <xdr:row>5979</xdr:row>
      <xdr:rowOff>1209040</xdr:rowOff>
    </xdr:to>
    <xdr:pic>
      <xdr:nvPicPr>
        <xdr:cNvPr id="10076" name="Изображение 10075" descr="resizeПП-00264558"/>
        <xdr:cNvPicPr>
          <a:picLocks noChangeAspect="1"/>
        </xdr:cNvPicPr>
      </xdr:nvPicPr>
      <xdr:blipFill>
        <a:blip xmlns:r="http://schemas.openxmlformats.org/officeDocument/2006/relationships" r:embed="rId4684"/>
        <a:stretch>
          <a:fillRect/>
        </a:stretch>
      </xdr:blipFill>
      <xdr:spPr>
        <a:xfrm>
          <a:off x="7235825" y="6127673800"/>
          <a:ext cx="878840" cy="1183640"/>
        </a:xfrm>
        <a:prstGeom prst="rect">
          <a:avLst/>
        </a:prstGeom>
      </xdr:spPr>
    </xdr:pic>
    <xdr:clientData/>
  </xdr:twoCellAnchor>
  <xdr:twoCellAnchor>
    <xdr:from>
      <xdr:col>9</xdr:col>
      <xdr:colOff>6350</xdr:colOff>
      <xdr:row>5980</xdr:row>
      <xdr:rowOff>25400</xdr:rowOff>
    </xdr:from>
    <xdr:to>
      <xdr:col>9</xdr:col>
      <xdr:colOff>885190</xdr:colOff>
      <xdr:row>5980</xdr:row>
      <xdr:rowOff>1209040</xdr:rowOff>
    </xdr:to>
    <xdr:pic>
      <xdr:nvPicPr>
        <xdr:cNvPr id="10077" name="Изображение 10076" descr="resizeПП-00264560"/>
        <xdr:cNvPicPr>
          <a:picLocks noChangeAspect="1"/>
        </xdr:cNvPicPr>
      </xdr:nvPicPr>
      <xdr:blipFill>
        <a:blip xmlns:r="http://schemas.openxmlformats.org/officeDocument/2006/relationships" r:embed="rId4685"/>
        <a:stretch>
          <a:fillRect/>
        </a:stretch>
      </xdr:blipFill>
      <xdr:spPr>
        <a:xfrm>
          <a:off x="7235825" y="6128896175"/>
          <a:ext cx="878840" cy="1183640"/>
        </a:xfrm>
        <a:prstGeom prst="rect">
          <a:avLst/>
        </a:prstGeom>
      </xdr:spPr>
    </xdr:pic>
    <xdr:clientData/>
  </xdr:twoCellAnchor>
  <xdr:twoCellAnchor>
    <xdr:from>
      <xdr:col>9</xdr:col>
      <xdr:colOff>6350</xdr:colOff>
      <xdr:row>5981</xdr:row>
      <xdr:rowOff>25400</xdr:rowOff>
    </xdr:from>
    <xdr:to>
      <xdr:col>9</xdr:col>
      <xdr:colOff>885190</xdr:colOff>
      <xdr:row>5981</xdr:row>
      <xdr:rowOff>1209040</xdr:rowOff>
    </xdr:to>
    <xdr:pic>
      <xdr:nvPicPr>
        <xdr:cNvPr id="10078" name="Изображение 10077" descr="resizeПП-00264557"/>
        <xdr:cNvPicPr>
          <a:picLocks noChangeAspect="1"/>
        </xdr:cNvPicPr>
      </xdr:nvPicPr>
      <xdr:blipFill>
        <a:blip xmlns:r="http://schemas.openxmlformats.org/officeDocument/2006/relationships" r:embed="rId4686"/>
        <a:stretch>
          <a:fillRect/>
        </a:stretch>
      </xdr:blipFill>
      <xdr:spPr>
        <a:xfrm>
          <a:off x="7235825" y="6130118550"/>
          <a:ext cx="878840" cy="1183640"/>
        </a:xfrm>
        <a:prstGeom prst="rect">
          <a:avLst/>
        </a:prstGeom>
      </xdr:spPr>
    </xdr:pic>
    <xdr:clientData/>
  </xdr:twoCellAnchor>
  <xdr:twoCellAnchor>
    <xdr:from>
      <xdr:col>9</xdr:col>
      <xdr:colOff>6350</xdr:colOff>
      <xdr:row>5982</xdr:row>
      <xdr:rowOff>25400</xdr:rowOff>
    </xdr:from>
    <xdr:to>
      <xdr:col>9</xdr:col>
      <xdr:colOff>885190</xdr:colOff>
      <xdr:row>5982</xdr:row>
      <xdr:rowOff>1209040</xdr:rowOff>
    </xdr:to>
    <xdr:pic>
      <xdr:nvPicPr>
        <xdr:cNvPr id="10079" name="Изображение 10078" descr="resizeПП-00264550"/>
        <xdr:cNvPicPr>
          <a:picLocks noChangeAspect="1"/>
        </xdr:cNvPicPr>
      </xdr:nvPicPr>
      <xdr:blipFill>
        <a:blip xmlns:r="http://schemas.openxmlformats.org/officeDocument/2006/relationships" r:embed="rId4687"/>
        <a:stretch>
          <a:fillRect/>
        </a:stretch>
      </xdr:blipFill>
      <xdr:spPr>
        <a:xfrm>
          <a:off x="7235825" y="6131340925"/>
          <a:ext cx="878840" cy="1183640"/>
        </a:xfrm>
        <a:prstGeom prst="rect">
          <a:avLst/>
        </a:prstGeom>
      </xdr:spPr>
    </xdr:pic>
    <xdr:clientData/>
  </xdr:twoCellAnchor>
  <xdr:twoCellAnchor>
    <xdr:from>
      <xdr:col>9</xdr:col>
      <xdr:colOff>6350</xdr:colOff>
      <xdr:row>5983</xdr:row>
      <xdr:rowOff>25400</xdr:rowOff>
    </xdr:from>
    <xdr:to>
      <xdr:col>9</xdr:col>
      <xdr:colOff>885190</xdr:colOff>
      <xdr:row>5983</xdr:row>
      <xdr:rowOff>1209040</xdr:rowOff>
    </xdr:to>
    <xdr:pic>
      <xdr:nvPicPr>
        <xdr:cNvPr id="10080" name="Изображение 10079" descr="resizeПП-00264552"/>
        <xdr:cNvPicPr>
          <a:picLocks noChangeAspect="1"/>
        </xdr:cNvPicPr>
      </xdr:nvPicPr>
      <xdr:blipFill>
        <a:blip xmlns:r="http://schemas.openxmlformats.org/officeDocument/2006/relationships" r:embed="rId4688"/>
        <a:stretch>
          <a:fillRect/>
        </a:stretch>
      </xdr:blipFill>
      <xdr:spPr>
        <a:xfrm>
          <a:off x="7235825" y="6132563300"/>
          <a:ext cx="878840" cy="1183640"/>
        </a:xfrm>
        <a:prstGeom prst="rect">
          <a:avLst/>
        </a:prstGeom>
      </xdr:spPr>
    </xdr:pic>
    <xdr:clientData/>
  </xdr:twoCellAnchor>
  <xdr:twoCellAnchor>
    <xdr:from>
      <xdr:col>9</xdr:col>
      <xdr:colOff>6350</xdr:colOff>
      <xdr:row>5984</xdr:row>
      <xdr:rowOff>25400</xdr:rowOff>
    </xdr:from>
    <xdr:to>
      <xdr:col>9</xdr:col>
      <xdr:colOff>885190</xdr:colOff>
      <xdr:row>5984</xdr:row>
      <xdr:rowOff>1209040</xdr:rowOff>
    </xdr:to>
    <xdr:pic>
      <xdr:nvPicPr>
        <xdr:cNvPr id="10081" name="Изображение 10080" descr="resizeПП-00264556"/>
        <xdr:cNvPicPr>
          <a:picLocks noChangeAspect="1"/>
        </xdr:cNvPicPr>
      </xdr:nvPicPr>
      <xdr:blipFill>
        <a:blip xmlns:r="http://schemas.openxmlformats.org/officeDocument/2006/relationships" r:embed="rId4689"/>
        <a:stretch>
          <a:fillRect/>
        </a:stretch>
      </xdr:blipFill>
      <xdr:spPr>
        <a:xfrm>
          <a:off x="7235825" y="6133785675"/>
          <a:ext cx="878840" cy="1183640"/>
        </a:xfrm>
        <a:prstGeom prst="rect">
          <a:avLst/>
        </a:prstGeom>
      </xdr:spPr>
    </xdr:pic>
    <xdr:clientData/>
  </xdr:twoCellAnchor>
  <xdr:twoCellAnchor>
    <xdr:from>
      <xdr:col>9</xdr:col>
      <xdr:colOff>6350</xdr:colOff>
      <xdr:row>5985</xdr:row>
      <xdr:rowOff>25400</xdr:rowOff>
    </xdr:from>
    <xdr:to>
      <xdr:col>9</xdr:col>
      <xdr:colOff>885190</xdr:colOff>
      <xdr:row>5985</xdr:row>
      <xdr:rowOff>1209040</xdr:rowOff>
    </xdr:to>
    <xdr:pic>
      <xdr:nvPicPr>
        <xdr:cNvPr id="10082" name="Изображение 10081" descr="resizeПП-00264555"/>
        <xdr:cNvPicPr>
          <a:picLocks noChangeAspect="1"/>
        </xdr:cNvPicPr>
      </xdr:nvPicPr>
      <xdr:blipFill>
        <a:blip xmlns:r="http://schemas.openxmlformats.org/officeDocument/2006/relationships" r:embed="rId4690"/>
        <a:stretch>
          <a:fillRect/>
        </a:stretch>
      </xdr:blipFill>
      <xdr:spPr>
        <a:xfrm>
          <a:off x="7235825" y="6135008050"/>
          <a:ext cx="878840" cy="1183640"/>
        </a:xfrm>
        <a:prstGeom prst="rect">
          <a:avLst/>
        </a:prstGeom>
      </xdr:spPr>
    </xdr:pic>
    <xdr:clientData/>
  </xdr:twoCellAnchor>
  <xdr:twoCellAnchor>
    <xdr:from>
      <xdr:col>9</xdr:col>
      <xdr:colOff>6350</xdr:colOff>
      <xdr:row>5986</xdr:row>
      <xdr:rowOff>25400</xdr:rowOff>
    </xdr:from>
    <xdr:to>
      <xdr:col>9</xdr:col>
      <xdr:colOff>885190</xdr:colOff>
      <xdr:row>5986</xdr:row>
      <xdr:rowOff>1209040</xdr:rowOff>
    </xdr:to>
    <xdr:pic>
      <xdr:nvPicPr>
        <xdr:cNvPr id="10083" name="Изображение 10082" descr="resizeПП-00264553"/>
        <xdr:cNvPicPr>
          <a:picLocks noChangeAspect="1"/>
        </xdr:cNvPicPr>
      </xdr:nvPicPr>
      <xdr:blipFill>
        <a:blip xmlns:r="http://schemas.openxmlformats.org/officeDocument/2006/relationships" r:embed="rId4691"/>
        <a:stretch>
          <a:fillRect/>
        </a:stretch>
      </xdr:blipFill>
      <xdr:spPr>
        <a:xfrm>
          <a:off x="7235825" y="6136230425"/>
          <a:ext cx="878840" cy="1183640"/>
        </a:xfrm>
        <a:prstGeom prst="rect">
          <a:avLst/>
        </a:prstGeom>
      </xdr:spPr>
    </xdr:pic>
    <xdr:clientData/>
  </xdr:twoCellAnchor>
  <xdr:twoCellAnchor>
    <xdr:from>
      <xdr:col>9</xdr:col>
      <xdr:colOff>6350</xdr:colOff>
      <xdr:row>5987</xdr:row>
      <xdr:rowOff>25400</xdr:rowOff>
    </xdr:from>
    <xdr:to>
      <xdr:col>9</xdr:col>
      <xdr:colOff>885190</xdr:colOff>
      <xdr:row>5987</xdr:row>
      <xdr:rowOff>1209040</xdr:rowOff>
    </xdr:to>
    <xdr:pic>
      <xdr:nvPicPr>
        <xdr:cNvPr id="10084" name="Изображение 10083" descr="resizeПП-00264551"/>
        <xdr:cNvPicPr>
          <a:picLocks noChangeAspect="1"/>
        </xdr:cNvPicPr>
      </xdr:nvPicPr>
      <xdr:blipFill>
        <a:blip xmlns:r="http://schemas.openxmlformats.org/officeDocument/2006/relationships" r:embed="rId4692"/>
        <a:stretch>
          <a:fillRect/>
        </a:stretch>
      </xdr:blipFill>
      <xdr:spPr>
        <a:xfrm>
          <a:off x="7235825" y="6137452800"/>
          <a:ext cx="878840" cy="1183640"/>
        </a:xfrm>
        <a:prstGeom prst="rect">
          <a:avLst/>
        </a:prstGeom>
      </xdr:spPr>
    </xdr:pic>
    <xdr:clientData/>
  </xdr:twoCellAnchor>
  <xdr:twoCellAnchor>
    <xdr:from>
      <xdr:col>9</xdr:col>
      <xdr:colOff>6350</xdr:colOff>
      <xdr:row>5988</xdr:row>
      <xdr:rowOff>25400</xdr:rowOff>
    </xdr:from>
    <xdr:to>
      <xdr:col>9</xdr:col>
      <xdr:colOff>885190</xdr:colOff>
      <xdr:row>5988</xdr:row>
      <xdr:rowOff>1209040</xdr:rowOff>
    </xdr:to>
    <xdr:pic>
      <xdr:nvPicPr>
        <xdr:cNvPr id="10085" name="Изображение 10084" descr="resizeПП-00264554"/>
        <xdr:cNvPicPr>
          <a:picLocks noChangeAspect="1"/>
        </xdr:cNvPicPr>
      </xdr:nvPicPr>
      <xdr:blipFill>
        <a:blip xmlns:r="http://schemas.openxmlformats.org/officeDocument/2006/relationships" r:embed="rId4693"/>
        <a:stretch>
          <a:fillRect/>
        </a:stretch>
      </xdr:blipFill>
      <xdr:spPr>
        <a:xfrm>
          <a:off x="7235825" y="6138675175"/>
          <a:ext cx="878840" cy="1183640"/>
        </a:xfrm>
        <a:prstGeom prst="rect">
          <a:avLst/>
        </a:prstGeom>
      </xdr:spPr>
    </xdr:pic>
    <xdr:clientData/>
  </xdr:twoCellAnchor>
  <xdr:twoCellAnchor>
    <xdr:from>
      <xdr:col>9</xdr:col>
      <xdr:colOff>6350</xdr:colOff>
      <xdr:row>5989</xdr:row>
      <xdr:rowOff>25400</xdr:rowOff>
    </xdr:from>
    <xdr:to>
      <xdr:col>9</xdr:col>
      <xdr:colOff>885190</xdr:colOff>
      <xdr:row>5989</xdr:row>
      <xdr:rowOff>1209040</xdr:rowOff>
    </xdr:to>
    <xdr:pic>
      <xdr:nvPicPr>
        <xdr:cNvPr id="10086" name="Изображение 10085" descr="resizeПП-00264549"/>
        <xdr:cNvPicPr>
          <a:picLocks noChangeAspect="1"/>
        </xdr:cNvPicPr>
      </xdr:nvPicPr>
      <xdr:blipFill>
        <a:blip xmlns:r="http://schemas.openxmlformats.org/officeDocument/2006/relationships" r:embed="rId4694"/>
        <a:stretch>
          <a:fillRect/>
        </a:stretch>
      </xdr:blipFill>
      <xdr:spPr>
        <a:xfrm>
          <a:off x="7235825" y="6139897550"/>
          <a:ext cx="878840" cy="1183640"/>
        </a:xfrm>
        <a:prstGeom prst="rect">
          <a:avLst/>
        </a:prstGeom>
      </xdr:spPr>
    </xdr:pic>
    <xdr:clientData/>
  </xdr:twoCellAnchor>
  <xdr:twoCellAnchor>
    <xdr:from>
      <xdr:col>9</xdr:col>
      <xdr:colOff>6350</xdr:colOff>
      <xdr:row>5990</xdr:row>
      <xdr:rowOff>25400</xdr:rowOff>
    </xdr:from>
    <xdr:to>
      <xdr:col>9</xdr:col>
      <xdr:colOff>885190</xdr:colOff>
      <xdr:row>5990</xdr:row>
      <xdr:rowOff>1209040</xdr:rowOff>
    </xdr:to>
    <xdr:pic>
      <xdr:nvPicPr>
        <xdr:cNvPr id="10087" name="Изображение 10086" descr="resizeПП-00264561"/>
        <xdr:cNvPicPr>
          <a:picLocks noChangeAspect="1"/>
        </xdr:cNvPicPr>
      </xdr:nvPicPr>
      <xdr:blipFill>
        <a:blip xmlns:r="http://schemas.openxmlformats.org/officeDocument/2006/relationships" r:embed="rId4695"/>
        <a:stretch>
          <a:fillRect/>
        </a:stretch>
      </xdr:blipFill>
      <xdr:spPr>
        <a:xfrm>
          <a:off x="7235825" y="6141119925"/>
          <a:ext cx="878840" cy="1183640"/>
        </a:xfrm>
        <a:prstGeom prst="rect">
          <a:avLst/>
        </a:prstGeom>
      </xdr:spPr>
    </xdr:pic>
    <xdr:clientData/>
  </xdr:twoCellAnchor>
  <xdr:twoCellAnchor>
    <xdr:from>
      <xdr:col>9</xdr:col>
      <xdr:colOff>6350</xdr:colOff>
      <xdr:row>5991</xdr:row>
      <xdr:rowOff>25400</xdr:rowOff>
    </xdr:from>
    <xdr:to>
      <xdr:col>9</xdr:col>
      <xdr:colOff>885190</xdr:colOff>
      <xdr:row>5991</xdr:row>
      <xdr:rowOff>1209040</xdr:rowOff>
    </xdr:to>
    <xdr:pic>
      <xdr:nvPicPr>
        <xdr:cNvPr id="10088" name="Изображение 10087" descr="resizeПП-00264562"/>
        <xdr:cNvPicPr>
          <a:picLocks noChangeAspect="1"/>
        </xdr:cNvPicPr>
      </xdr:nvPicPr>
      <xdr:blipFill>
        <a:blip xmlns:r="http://schemas.openxmlformats.org/officeDocument/2006/relationships" r:embed="rId4696"/>
        <a:stretch>
          <a:fillRect/>
        </a:stretch>
      </xdr:blipFill>
      <xdr:spPr>
        <a:xfrm>
          <a:off x="7235825" y="6142342300"/>
          <a:ext cx="878840" cy="1183640"/>
        </a:xfrm>
        <a:prstGeom prst="rect">
          <a:avLst/>
        </a:prstGeom>
      </xdr:spPr>
    </xdr:pic>
    <xdr:clientData/>
  </xdr:twoCellAnchor>
  <xdr:twoCellAnchor>
    <xdr:from>
      <xdr:col>9</xdr:col>
      <xdr:colOff>6350</xdr:colOff>
      <xdr:row>5993</xdr:row>
      <xdr:rowOff>25400</xdr:rowOff>
    </xdr:from>
    <xdr:to>
      <xdr:col>9</xdr:col>
      <xdr:colOff>1189990</xdr:colOff>
      <xdr:row>5993</xdr:row>
      <xdr:rowOff>904240</xdr:rowOff>
    </xdr:to>
    <xdr:pic>
      <xdr:nvPicPr>
        <xdr:cNvPr id="10089" name="Изображение 10088" descr="resizeПП-00206298"/>
        <xdr:cNvPicPr>
          <a:picLocks noChangeAspect="1"/>
        </xdr:cNvPicPr>
      </xdr:nvPicPr>
      <xdr:blipFill>
        <a:blip xmlns:r="http://schemas.openxmlformats.org/officeDocument/2006/relationships" r:embed="rId4697"/>
        <a:stretch>
          <a:fillRect/>
        </a:stretch>
      </xdr:blipFill>
      <xdr:spPr>
        <a:xfrm>
          <a:off x="7235825" y="6143717075"/>
          <a:ext cx="1183640" cy="878840"/>
        </a:xfrm>
        <a:prstGeom prst="rect">
          <a:avLst/>
        </a:prstGeom>
      </xdr:spPr>
    </xdr:pic>
    <xdr:clientData/>
  </xdr:twoCellAnchor>
  <xdr:twoCellAnchor>
    <xdr:from>
      <xdr:col>9</xdr:col>
      <xdr:colOff>6350</xdr:colOff>
      <xdr:row>5994</xdr:row>
      <xdr:rowOff>25400</xdr:rowOff>
    </xdr:from>
    <xdr:to>
      <xdr:col>9</xdr:col>
      <xdr:colOff>885190</xdr:colOff>
      <xdr:row>5994</xdr:row>
      <xdr:rowOff>1209040</xdr:rowOff>
    </xdr:to>
    <xdr:pic>
      <xdr:nvPicPr>
        <xdr:cNvPr id="10090" name="Изображение 10089" descr="resizeПП-00206289"/>
        <xdr:cNvPicPr>
          <a:picLocks noChangeAspect="1"/>
        </xdr:cNvPicPr>
      </xdr:nvPicPr>
      <xdr:blipFill>
        <a:blip xmlns:r="http://schemas.openxmlformats.org/officeDocument/2006/relationships" r:embed="rId4698"/>
        <a:stretch>
          <a:fillRect/>
        </a:stretch>
      </xdr:blipFill>
      <xdr:spPr>
        <a:xfrm>
          <a:off x="7235825" y="6144939450"/>
          <a:ext cx="878840" cy="1183640"/>
        </a:xfrm>
        <a:prstGeom prst="rect">
          <a:avLst/>
        </a:prstGeom>
      </xdr:spPr>
    </xdr:pic>
    <xdr:clientData/>
  </xdr:twoCellAnchor>
  <xdr:twoCellAnchor>
    <xdr:from>
      <xdr:col>9</xdr:col>
      <xdr:colOff>6350</xdr:colOff>
      <xdr:row>5995</xdr:row>
      <xdr:rowOff>25400</xdr:rowOff>
    </xdr:from>
    <xdr:to>
      <xdr:col>9</xdr:col>
      <xdr:colOff>1189990</xdr:colOff>
      <xdr:row>5995</xdr:row>
      <xdr:rowOff>904240</xdr:rowOff>
    </xdr:to>
    <xdr:pic>
      <xdr:nvPicPr>
        <xdr:cNvPr id="10091" name="Изображение 10090" descr="resizeПП-00206295"/>
        <xdr:cNvPicPr>
          <a:picLocks noChangeAspect="1"/>
        </xdr:cNvPicPr>
      </xdr:nvPicPr>
      <xdr:blipFill>
        <a:blip xmlns:r="http://schemas.openxmlformats.org/officeDocument/2006/relationships" r:embed="rId4699"/>
        <a:stretch>
          <a:fillRect/>
        </a:stretch>
      </xdr:blipFill>
      <xdr:spPr>
        <a:xfrm>
          <a:off x="7235825" y="6146161825"/>
          <a:ext cx="1183640" cy="878840"/>
        </a:xfrm>
        <a:prstGeom prst="rect">
          <a:avLst/>
        </a:prstGeom>
      </xdr:spPr>
    </xdr:pic>
    <xdr:clientData/>
  </xdr:twoCellAnchor>
  <xdr:twoCellAnchor>
    <xdr:from>
      <xdr:col>9</xdr:col>
      <xdr:colOff>6350</xdr:colOff>
      <xdr:row>5996</xdr:row>
      <xdr:rowOff>25400</xdr:rowOff>
    </xdr:from>
    <xdr:to>
      <xdr:col>9</xdr:col>
      <xdr:colOff>885190</xdr:colOff>
      <xdr:row>5996</xdr:row>
      <xdr:rowOff>1209040</xdr:rowOff>
    </xdr:to>
    <xdr:pic>
      <xdr:nvPicPr>
        <xdr:cNvPr id="10092" name="Изображение 10091" descr="resizeПП-00206281"/>
        <xdr:cNvPicPr>
          <a:picLocks noChangeAspect="1"/>
        </xdr:cNvPicPr>
      </xdr:nvPicPr>
      <xdr:blipFill>
        <a:blip xmlns:r="http://schemas.openxmlformats.org/officeDocument/2006/relationships" r:embed="rId4700"/>
        <a:stretch>
          <a:fillRect/>
        </a:stretch>
      </xdr:blipFill>
      <xdr:spPr>
        <a:xfrm>
          <a:off x="7235825" y="6147384200"/>
          <a:ext cx="878840" cy="1183640"/>
        </a:xfrm>
        <a:prstGeom prst="rect">
          <a:avLst/>
        </a:prstGeom>
      </xdr:spPr>
    </xdr:pic>
    <xdr:clientData/>
  </xdr:twoCellAnchor>
  <xdr:twoCellAnchor>
    <xdr:from>
      <xdr:col>9</xdr:col>
      <xdr:colOff>6350</xdr:colOff>
      <xdr:row>5997</xdr:row>
      <xdr:rowOff>25400</xdr:rowOff>
    </xdr:from>
    <xdr:to>
      <xdr:col>9</xdr:col>
      <xdr:colOff>885190</xdr:colOff>
      <xdr:row>5997</xdr:row>
      <xdr:rowOff>1209040</xdr:rowOff>
    </xdr:to>
    <xdr:pic>
      <xdr:nvPicPr>
        <xdr:cNvPr id="10093" name="Изображение 10092" descr="resizeПП-00206290"/>
        <xdr:cNvPicPr>
          <a:picLocks noChangeAspect="1"/>
        </xdr:cNvPicPr>
      </xdr:nvPicPr>
      <xdr:blipFill>
        <a:blip xmlns:r="http://schemas.openxmlformats.org/officeDocument/2006/relationships" r:embed="rId4701"/>
        <a:stretch>
          <a:fillRect/>
        </a:stretch>
      </xdr:blipFill>
      <xdr:spPr>
        <a:xfrm>
          <a:off x="7235825" y="6148606575"/>
          <a:ext cx="878840" cy="1183640"/>
        </a:xfrm>
        <a:prstGeom prst="rect">
          <a:avLst/>
        </a:prstGeom>
      </xdr:spPr>
    </xdr:pic>
    <xdr:clientData/>
  </xdr:twoCellAnchor>
  <xdr:twoCellAnchor>
    <xdr:from>
      <xdr:col>9</xdr:col>
      <xdr:colOff>6350</xdr:colOff>
      <xdr:row>5998</xdr:row>
      <xdr:rowOff>25400</xdr:rowOff>
    </xdr:from>
    <xdr:to>
      <xdr:col>9</xdr:col>
      <xdr:colOff>1189990</xdr:colOff>
      <xdr:row>5998</xdr:row>
      <xdr:rowOff>904240</xdr:rowOff>
    </xdr:to>
    <xdr:pic>
      <xdr:nvPicPr>
        <xdr:cNvPr id="10094" name="Изображение 10093" descr="resizeПП-00187007"/>
        <xdr:cNvPicPr>
          <a:picLocks noChangeAspect="1"/>
        </xdr:cNvPicPr>
      </xdr:nvPicPr>
      <xdr:blipFill>
        <a:blip xmlns:r="http://schemas.openxmlformats.org/officeDocument/2006/relationships" r:embed="rId4702"/>
        <a:stretch>
          <a:fillRect/>
        </a:stretch>
      </xdr:blipFill>
      <xdr:spPr>
        <a:xfrm>
          <a:off x="7235825" y="6149828950"/>
          <a:ext cx="1183640" cy="878840"/>
        </a:xfrm>
        <a:prstGeom prst="rect">
          <a:avLst/>
        </a:prstGeom>
      </xdr:spPr>
    </xdr:pic>
    <xdr:clientData/>
  </xdr:twoCellAnchor>
  <xdr:twoCellAnchor>
    <xdr:from>
      <xdr:col>9</xdr:col>
      <xdr:colOff>6350</xdr:colOff>
      <xdr:row>5999</xdr:row>
      <xdr:rowOff>25400</xdr:rowOff>
    </xdr:from>
    <xdr:to>
      <xdr:col>9</xdr:col>
      <xdr:colOff>885190</xdr:colOff>
      <xdr:row>5999</xdr:row>
      <xdr:rowOff>1209040</xdr:rowOff>
    </xdr:to>
    <xdr:pic>
      <xdr:nvPicPr>
        <xdr:cNvPr id="10095" name="Изображение 10094" descr="resizeПП-00187011"/>
        <xdr:cNvPicPr>
          <a:picLocks noChangeAspect="1"/>
        </xdr:cNvPicPr>
      </xdr:nvPicPr>
      <xdr:blipFill>
        <a:blip xmlns:r="http://schemas.openxmlformats.org/officeDocument/2006/relationships" r:embed="rId4703"/>
        <a:stretch>
          <a:fillRect/>
        </a:stretch>
      </xdr:blipFill>
      <xdr:spPr>
        <a:xfrm>
          <a:off x="7235825" y="6151051325"/>
          <a:ext cx="878840" cy="1183640"/>
        </a:xfrm>
        <a:prstGeom prst="rect">
          <a:avLst/>
        </a:prstGeom>
      </xdr:spPr>
    </xdr:pic>
    <xdr:clientData/>
  </xdr:twoCellAnchor>
  <xdr:twoCellAnchor>
    <xdr:from>
      <xdr:col>9</xdr:col>
      <xdr:colOff>6350</xdr:colOff>
      <xdr:row>6000</xdr:row>
      <xdr:rowOff>25400</xdr:rowOff>
    </xdr:from>
    <xdr:to>
      <xdr:col>9</xdr:col>
      <xdr:colOff>885190</xdr:colOff>
      <xdr:row>6000</xdr:row>
      <xdr:rowOff>1209040</xdr:rowOff>
    </xdr:to>
    <xdr:pic>
      <xdr:nvPicPr>
        <xdr:cNvPr id="10096" name="Изображение 10095" descr="resizeПП-00187014"/>
        <xdr:cNvPicPr>
          <a:picLocks noChangeAspect="1"/>
        </xdr:cNvPicPr>
      </xdr:nvPicPr>
      <xdr:blipFill>
        <a:blip xmlns:r="http://schemas.openxmlformats.org/officeDocument/2006/relationships" r:embed="rId4704"/>
        <a:stretch>
          <a:fillRect/>
        </a:stretch>
      </xdr:blipFill>
      <xdr:spPr>
        <a:xfrm>
          <a:off x="7235825" y="6152273700"/>
          <a:ext cx="878840" cy="1183640"/>
        </a:xfrm>
        <a:prstGeom prst="rect">
          <a:avLst/>
        </a:prstGeom>
      </xdr:spPr>
    </xdr:pic>
    <xdr:clientData/>
  </xdr:twoCellAnchor>
  <xdr:twoCellAnchor>
    <xdr:from>
      <xdr:col>9</xdr:col>
      <xdr:colOff>6350</xdr:colOff>
      <xdr:row>6001</xdr:row>
      <xdr:rowOff>25400</xdr:rowOff>
    </xdr:from>
    <xdr:to>
      <xdr:col>9</xdr:col>
      <xdr:colOff>1189990</xdr:colOff>
      <xdr:row>6001</xdr:row>
      <xdr:rowOff>904240</xdr:rowOff>
    </xdr:to>
    <xdr:pic>
      <xdr:nvPicPr>
        <xdr:cNvPr id="10097" name="Изображение 10096" descr="resizeПП-00187023"/>
        <xdr:cNvPicPr>
          <a:picLocks noChangeAspect="1"/>
        </xdr:cNvPicPr>
      </xdr:nvPicPr>
      <xdr:blipFill>
        <a:blip xmlns:r="http://schemas.openxmlformats.org/officeDocument/2006/relationships" r:embed="rId4705"/>
        <a:stretch>
          <a:fillRect/>
        </a:stretch>
      </xdr:blipFill>
      <xdr:spPr>
        <a:xfrm>
          <a:off x="7235825" y="6153496075"/>
          <a:ext cx="1183640" cy="878840"/>
        </a:xfrm>
        <a:prstGeom prst="rect">
          <a:avLst/>
        </a:prstGeom>
      </xdr:spPr>
    </xdr:pic>
    <xdr:clientData/>
  </xdr:twoCellAnchor>
  <xdr:twoCellAnchor>
    <xdr:from>
      <xdr:col>9</xdr:col>
      <xdr:colOff>6350</xdr:colOff>
      <xdr:row>6002</xdr:row>
      <xdr:rowOff>25400</xdr:rowOff>
    </xdr:from>
    <xdr:to>
      <xdr:col>9</xdr:col>
      <xdr:colOff>1189990</xdr:colOff>
      <xdr:row>6002</xdr:row>
      <xdr:rowOff>904240</xdr:rowOff>
    </xdr:to>
    <xdr:pic>
      <xdr:nvPicPr>
        <xdr:cNvPr id="10098" name="Изображение 10097" descr="resizeПП-00187029"/>
        <xdr:cNvPicPr>
          <a:picLocks noChangeAspect="1"/>
        </xdr:cNvPicPr>
      </xdr:nvPicPr>
      <xdr:blipFill>
        <a:blip xmlns:r="http://schemas.openxmlformats.org/officeDocument/2006/relationships" r:embed="rId4706"/>
        <a:stretch>
          <a:fillRect/>
        </a:stretch>
      </xdr:blipFill>
      <xdr:spPr>
        <a:xfrm>
          <a:off x="7235825" y="6154718450"/>
          <a:ext cx="1183640" cy="878840"/>
        </a:xfrm>
        <a:prstGeom prst="rect">
          <a:avLst/>
        </a:prstGeom>
      </xdr:spPr>
    </xdr:pic>
    <xdr:clientData/>
  </xdr:twoCellAnchor>
  <xdr:twoCellAnchor>
    <xdr:from>
      <xdr:col>9</xdr:col>
      <xdr:colOff>6350</xdr:colOff>
      <xdr:row>6003</xdr:row>
      <xdr:rowOff>25400</xdr:rowOff>
    </xdr:from>
    <xdr:to>
      <xdr:col>9</xdr:col>
      <xdr:colOff>1189990</xdr:colOff>
      <xdr:row>6003</xdr:row>
      <xdr:rowOff>904240</xdr:rowOff>
    </xdr:to>
    <xdr:pic>
      <xdr:nvPicPr>
        <xdr:cNvPr id="10099" name="Изображение 10098" descr="resizeПП-00187028"/>
        <xdr:cNvPicPr>
          <a:picLocks noChangeAspect="1"/>
        </xdr:cNvPicPr>
      </xdr:nvPicPr>
      <xdr:blipFill>
        <a:blip xmlns:r="http://schemas.openxmlformats.org/officeDocument/2006/relationships" r:embed="rId4707"/>
        <a:stretch>
          <a:fillRect/>
        </a:stretch>
      </xdr:blipFill>
      <xdr:spPr>
        <a:xfrm>
          <a:off x="7235825" y="6155940825"/>
          <a:ext cx="1183640" cy="878840"/>
        </a:xfrm>
        <a:prstGeom prst="rect">
          <a:avLst/>
        </a:prstGeom>
      </xdr:spPr>
    </xdr:pic>
    <xdr:clientData/>
  </xdr:twoCellAnchor>
  <xdr:twoCellAnchor>
    <xdr:from>
      <xdr:col>9</xdr:col>
      <xdr:colOff>6350</xdr:colOff>
      <xdr:row>6004</xdr:row>
      <xdr:rowOff>25400</xdr:rowOff>
    </xdr:from>
    <xdr:to>
      <xdr:col>9</xdr:col>
      <xdr:colOff>1189990</xdr:colOff>
      <xdr:row>6004</xdr:row>
      <xdr:rowOff>904240</xdr:rowOff>
    </xdr:to>
    <xdr:pic>
      <xdr:nvPicPr>
        <xdr:cNvPr id="10100" name="Изображение 10099" descr="resizeПП-00187010"/>
        <xdr:cNvPicPr>
          <a:picLocks noChangeAspect="1"/>
        </xdr:cNvPicPr>
      </xdr:nvPicPr>
      <xdr:blipFill>
        <a:blip xmlns:r="http://schemas.openxmlformats.org/officeDocument/2006/relationships" r:embed="rId4708"/>
        <a:stretch>
          <a:fillRect/>
        </a:stretch>
      </xdr:blipFill>
      <xdr:spPr>
        <a:xfrm>
          <a:off x="7235825" y="6157163200"/>
          <a:ext cx="1183640" cy="878840"/>
        </a:xfrm>
        <a:prstGeom prst="rect">
          <a:avLst/>
        </a:prstGeom>
      </xdr:spPr>
    </xdr:pic>
    <xdr:clientData/>
  </xdr:twoCellAnchor>
  <xdr:twoCellAnchor>
    <xdr:from>
      <xdr:col>9</xdr:col>
      <xdr:colOff>6350</xdr:colOff>
      <xdr:row>6005</xdr:row>
      <xdr:rowOff>25400</xdr:rowOff>
    </xdr:from>
    <xdr:to>
      <xdr:col>9</xdr:col>
      <xdr:colOff>885190</xdr:colOff>
      <xdr:row>6005</xdr:row>
      <xdr:rowOff>1209040</xdr:rowOff>
    </xdr:to>
    <xdr:pic>
      <xdr:nvPicPr>
        <xdr:cNvPr id="10101" name="Изображение 10100" descr="resizeПП-00245384"/>
        <xdr:cNvPicPr>
          <a:picLocks noChangeAspect="1"/>
        </xdr:cNvPicPr>
      </xdr:nvPicPr>
      <xdr:blipFill>
        <a:blip xmlns:r="http://schemas.openxmlformats.org/officeDocument/2006/relationships" r:embed="rId4709"/>
        <a:stretch>
          <a:fillRect/>
        </a:stretch>
      </xdr:blipFill>
      <xdr:spPr>
        <a:xfrm>
          <a:off x="7235825" y="6158385575"/>
          <a:ext cx="878840" cy="1183640"/>
        </a:xfrm>
        <a:prstGeom prst="rect">
          <a:avLst/>
        </a:prstGeom>
      </xdr:spPr>
    </xdr:pic>
    <xdr:clientData/>
  </xdr:twoCellAnchor>
  <xdr:twoCellAnchor>
    <xdr:from>
      <xdr:col>9</xdr:col>
      <xdr:colOff>6350</xdr:colOff>
      <xdr:row>6006</xdr:row>
      <xdr:rowOff>25400</xdr:rowOff>
    </xdr:from>
    <xdr:to>
      <xdr:col>9</xdr:col>
      <xdr:colOff>885190</xdr:colOff>
      <xdr:row>6006</xdr:row>
      <xdr:rowOff>1209040</xdr:rowOff>
    </xdr:to>
    <xdr:pic>
      <xdr:nvPicPr>
        <xdr:cNvPr id="10102" name="Изображение 10101" descr="resizeПП-00245370"/>
        <xdr:cNvPicPr>
          <a:picLocks noChangeAspect="1"/>
        </xdr:cNvPicPr>
      </xdr:nvPicPr>
      <xdr:blipFill>
        <a:blip xmlns:r="http://schemas.openxmlformats.org/officeDocument/2006/relationships" r:embed="rId4710"/>
        <a:stretch>
          <a:fillRect/>
        </a:stretch>
      </xdr:blipFill>
      <xdr:spPr>
        <a:xfrm>
          <a:off x="7235825" y="6159607950"/>
          <a:ext cx="878840" cy="1183640"/>
        </a:xfrm>
        <a:prstGeom prst="rect">
          <a:avLst/>
        </a:prstGeom>
      </xdr:spPr>
    </xdr:pic>
    <xdr:clientData/>
  </xdr:twoCellAnchor>
  <xdr:twoCellAnchor>
    <xdr:from>
      <xdr:col>9</xdr:col>
      <xdr:colOff>6350</xdr:colOff>
      <xdr:row>6007</xdr:row>
      <xdr:rowOff>25400</xdr:rowOff>
    </xdr:from>
    <xdr:to>
      <xdr:col>9</xdr:col>
      <xdr:colOff>885190</xdr:colOff>
      <xdr:row>6007</xdr:row>
      <xdr:rowOff>1209040</xdr:rowOff>
    </xdr:to>
    <xdr:pic>
      <xdr:nvPicPr>
        <xdr:cNvPr id="10103" name="Изображение 10102" descr="resizeПП-00245379"/>
        <xdr:cNvPicPr>
          <a:picLocks noChangeAspect="1"/>
        </xdr:cNvPicPr>
      </xdr:nvPicPr>
      <xdr:blipFill>
        <a:blip xmlns:r="http://schemas.openxmlformats.org/officeDocument/2006/relationships" r:embed="rId4711"/>
        <a:stretch>
          <a:fillRect/>
        </a:stretch>
      </xdr:blipFill>
      <xdr:spPr>
        <a:xfrm>
          <a:off x="7235825" y="6160830325"/>
          <a:ext cx="878840" cy="1183640"/>
        </a:xfrm>
        <a:prstGeom prst="rect">
          <a:avLst/>
        </a:prstGeom>
      </xdr:spPr>
    </xdr:pic>
    <xdr:clientData/>
  </xdr:twoCellAnchor>
  <xdr:twoCellAnchor>
    <xdr:from>
      <xdr:col>9</xdr:col>
      <xdr:colOff>6350</xdr:colOff>
      <xdr:row>6008</xdr:row>
      <xdr:rowOff>25400</xdr:rowOff>
    </xdr:from>
    <xdr:to>
      <xdr:col>9</xdr:col>
      <xdr:colOff>885190</xdr:colOff>
      <xdr:row>6008</xdr:row>
      <xdr:rowOff>1209040</xdr:rowOff>
    </xdr:to>
    <xdr:pic>
      <xdr:nvPicPr>
        <xdr:cNvPr id="10104" name="Изображение 10103" descr="resizeПП-00245380"/>
        <xdr:cNvPicPr>
          <a:picLocks noChangeAspect="1"/>
        </xdr:cNvPicPr>
      </xdr:nvPicPr>
      <xdr:blipFill>
        <a:blip xmlns:r="http://schemas.openxmlformats.org/officeDocument/2006/relationships" r:embed="rId4712"/>
        <a:stretch>
          <a:fillRect/>
        </a:stretch>
      </xdr:blipFill>
      <xdr:spPr>
        <a:xfrm>
          <a:off x="7235825" y="6162052700"/>
          <a:ext cx="878840" cy="1183640"/>
        </a:xfrm>
        <a:prstGeom prst="rect">
          <a:avLst/>
        </a:prstGeom>
      </xdr:spPr>
    </xdr:pic>
    <xdr:clientData/>
  </xdr:twoCellAnchor>
  <xdr:twoCellAnchor>
    <xdr:from>
      <xdr:col>9</xdr:col>
      <xdr:colOff>6350</xdr:colOff>
      <xdr:row>6009</xdr:row>
      <xdr:rowOff>25400</xdr:rowOff>
    </xdr:from>
    <xdr:to>
      <xdr:col>9</xdr:col>
      <xdr:colOff>1189990</xdr:colOff>
      <xdr:row>6009</xdr:row>
      <xdr:rowOff>904240</xdr:rowOff>
    </xdr:to>
    <xdr:pic>
      <xdr:nvPicPr>
        <xdr:cNvPr id="10105" name="Изображение 10104" descr="resizeПП-00206285"/>
        <xdr:cNvPicPr>
          <a:picLocks noChangeAspect="1"/>
        </xdr:cNvPicPr>
      </xdr:nvPicPr>
      <xdr:blipFill>
        <a:blip xmlns:r="http://schemas.openxmlformats.org/officeDocument/2006/relationships" r:embed="rId4713"/>
        <a:stretch>
          <a:fillRect/>
        </a:stretch>
      </xdr:blipFill>
      <xdr:spPr>
        <a:xfrm>
          <a:off x="7235825" y="6163275075"/>
          <a:ext cx="1183640" cy="878840"/>
        </a:xfrm>
        <a:prstGeom prst="rect">
          <a:avLst/>
        </a:prstGeom>
      </xdr:spPr>
    </xdr:pic>
    <xdr:clientData/>
  </xdr:twoCellAnchor>
  <xdr:twoCellAnchor>
    <xdr:from>
      <xdr:col>9</xdr:col>
      <xdr:colOff>6350</xdr:colOff>
      <xdr:row>6010</xdr:row>
      <xdr:rowOff>25400</xdr:rowOff>
    </xdr:from>
    <xdr:to>
      <xdr:col>9</xdr:col>
      <xdr:colOff>1189990</xdr:colOff>
      <xdr:row>6010</xdr:row>
      <xdr:rowOff>904240</xdr:rowOff>
    </xdr:to>
    <xdr:pic>
      <xdr:nvPicPr>
        <xdr:cNvPr id="10106" name="Изображение 10105" descr="resizeПП-00187015"/>
        <xdr:cNvPicPr>
          <a:picLocks noChangeAspect="1"/>
        </xdr:cNvPicPr>
      </xdr:nvPicPr>
      <xdr:blipFill>
        <a:blip xmlns:r="http://schemas.openxmlformats.org/officeDocument/2006/relationships" r:embed="rId4714"/>
        <a:stretch>
          <a:fillRect/>
        </a:stretch>
      </xdr:blipFill>
      <xdr:spPr>
        <a:xfrm>
          <a:off x="7235825" y="6164497450"/>
          <a:ext cx="1183640" cy="878840"/>
        </a:xfrm>
        <a:prstGeom prst="rect">
          <a:avLst/>
        </a:prstGeom>
      </xdr:spPr>
    </xdr:pic>
    <xdr:clientData/>
  </xdr:twoCellAnchor>
  <xdr:twoCellAnchor>
    <xdr:from>
      <xdr:col>9</xdr:col>
      <xdr:colOff>6350</xdr:colOff>
      <xdr:row>6011</xdr:row>
      <xdr:rowOff>25400</xdr:rowOff>
    </xdr:from>
    <xdr:to>
      <xdr:col>9</xdr:col>
      <xdr:colOff>885190</xdr:colOff>
      <xdr:row>6011</xdr:row>
      <xdr:rowOff>1209040</xdr:rowOff>
    </xdr:to>
    <xdr:pic>
      <xdr:nvPicPr>
        <xdr:cNvPr id="10107" name="Изображение 10106" descr="resizeПП-00245376"/>
        <xdr:cNvPicPr>
          <a:picLocks noChangeAspect="1"/>
        </xdr:cNvPicPr>
      </xdr:nvPicPr>
      <xdr:blipFill>
        <a:blip xmlns:r="http://schemas.openxmlformats.org/officeDocument/2006/relationships" r:embed="rId4715"/>
        <a:stretch>
          <a:fillRect/>
        </a:stretch>
      </xdr:blipFill>
      <xdr:spPr>
        <a:xfrm>
          <a:off x="7235825" y="6165719825"/>
          <a:ext cx="878840" cy="1183640"/>
        </a:xfrm>
        <a:prstGeom prst="rect">
          <a:avLst/>
        </a:prstGeom>
      </xdr:spPr>
    </xdr:pic>
    <xdr:clientData/>
  </xdr:twoCellAnchor>
  <xdr:twoCellAnchor>
    <xdr:from>
      <xdr:col>9</xdr:col>
      <xdr:colOff>6350</xdr:colOff>
      <xdr:row>6012</xdr:row>
      <xdr:rowOff>25400</xdr:rowOff>
    </xdr:from>
    <xdr:to>
      <xdr:col>9</xdr:col>
      <xdr:colOff>885190</xdr:colOff>
      <xdr:row>6012</xdr:row>
      <xdr:rowOff>1209040</xdr:rowOff>
    </xdr:to>
    <xdr:pic>
      <xdr:nvPicPr>
        <xdr:cNvPr id="10108" name="Изображение 10107" descr="resizeПП-00245381"/>
        <xdr:cNvPicPr>
          <a:picLocks noChangeAspect="1"/>
        </xdr:cNvPicPr>
      </xdr:nvPicPr>
      <xdr:blipFill>
        <a:blip xmlns:r="http://schemas.openxmlformats.org/officeDocument/2006/relationships" r:embed="rId4716"/>
        <a:stretch>
          <a:fillRect/>
        </a:stretch>
      </xdr:blipFill>
      <xdr:spPr>
        <a:xfrm>
          <a:off x="7235825" y="6166942200"/>
          <a:ext cx="878840" cy="1183640"/>
        </a:xfrm>
        <a:prstGeom prst="rect">
          <a:avLst/>
        </a:prstGeom>
      </xdr:spPr>
    </xdr:pic>
    <xdr:clientData/>
  </xdr:twoCellAnchor>
  <xdr:twoCellAnchor>
    <xdr:from>
      <xdr:col>9</xdr:col>
      <xdr:colOff>6350</xdr:colOff>
      <xdr:row>6013</xdr:row>
      <xdr:rowOff>25400</xdr:rowOff>
    </xdr:from>
    <xdr:to>
      <xdr:col>9</xdr:col>
      <xdr:colOff>885190</xdr:colOff>
      <xdr:row>6013</xdr:row>
      <xdr:rowOff>1209040</xdr:rowOff>
    </xdr:to>
    <xdr:pic>
      <xdr:nvPicPr>
        <xdr:cNvPr id="10109" name="Изображение 10108" descr="resizeПП-00187026"/>
        <xdr:cNvPicPr>
          <a:picLocks noChangeAspect="1"/>
        </xdr:cNvPicPr>
      </xdr:nvPicPr>
      <xdr:blipFill>
        <a:blip xmlns:r="http://schemas.openxmlformats.org/officeDocument/2006/relationships" r:embed="rId4717"/>
        <a:stretch>
          <a:fillRect/>
        </a:stretch>
      </xdr:blipFill>
      <xdr:spPr>
        <a:xfrm>
          <a:off x="7235825" y="6168164575"/>
          <a:ext cx="878840" cy="1183640"/>
        </a:xfrm>
        <a:prstGeom prst="rect">
          <a:avLst/>
        </a:prstGeom>
      </xdr:spPr>
    </xdr:pic>
    <xdr:clientData/>
  </xdr:twoCellAnchor>
  <xdr:twoCellAnchor>
    <xdr:from>
      <xdr:col>9</xdr:col>
      <xdr:colOff>6350</xdr:colOff>
      <xdr:row>6014</xdr:row>
      <xdr:rowOff>25400</xdr:rowOff>
    </xdr:from>
    <xdr:to>
      <xdr:col>9</xdr:col>
      <xdr:colOff>1189990</xdr:colOff>
      <xdr:row>6014</xdr:row>
      <xdr:rowOff>904240</xdr:rowOff>
    </xdr:to>
    <xdr:pic>
      <xdr:nvPicPr>
        <xdr:cNvPr id="10110" name="Изображение 10109" descr="resizeПП-00187016"/>
        <xdr:cNvPicPr>
          <a:picLocks noChangeAspect="1"/>
        </xdr:cNvPicPr>
      </xdr:nvPicPr>
      <xdr:blipFill>
        <a:blip xmlns:r="http://schemas.openxmlformats.org/officeDocument/2006/relationships" r:embed="rId4718"/>
        <a:stretch>
          <a:fillRect/>
        </a:stretch>
      </xdr:blipFill>
      <xdr:spPr>
        <a:xfrm>
          <a:off x="7235825" y="6169386950"/>
          <a:ext cx="1183640" cy="878840"/>
        </a:xfrm>
        <a:prstGeom prst="rect">
          <a:avLst/>
        </a:prstGeom>
      </xdr:spPr>
    </xdr:pic>
    <xdr:clientData/>
  </xdr:twoCellAnchor>
  <xdr:twoCellAnchor>
    <xdr:from>
      <xdr:col>9</xdr:col>
      <xdr:colOff>6350</xdr:colOff>
      <xdr:row>6015</xdr:row>
      <xdr:rowOff>25400</xdr:rowOff>
    </xdr:from>
    <xdr:to>
      <xdr:col>9</xdr:col>
      <xdr:colOff>885190</xdr:colOff>
      <xdr:row>6015</xdr:row>
      <xdr:rowOff>1209040</xdr:rowOff>
    </xdr:to>
    <xdr:pic>
      <xdr:nvPicPr>
        <xdr:cNvPr id="10111" name="Изображение 10110" descr="resizeПП-00245371"/>
        <xdr:cNvPicPr>
          <a:picLocks noChangeAspect="1"/>
        </xdr:cNvPicPr>
      </xdr:nvPicPr>
      <xdr:blipFill>
        <a:blip xmlns:r="http://schemas.openxmlformats.org/officeDocument/2006/relationships" r:embed="rId4719"/>
        <a:stretch>
          <a:fillRect/>
        </a:stretch>
      </xdr:blipFill>
      <xdr:spPr>
        <a:xfrm>
          <a:off x="7235825" y="6170609325"/>
          <a:ext cx="878840" cy="1183640"/>
        </a:xfrm>
        <a:prstGeom prst="rect">
          <a:avLst/>
        </a:prstGeom>
      </xdr:spPr>
    </xdr:pic>
    <xdr:clientData/>
  </xdr:twoCellAnchor>
  <xdr:twoCellAnchor>
    <xdr:from>
      <xdr:col>9</xdr:col>
      <xdr:colOff>6350</xdr:colOff>
      <xdr:row>6016</xdr:row>
      <xdr:rowOff>25400</xdr:rowOff>
    </xdr:from>
    <xdr:to>
      <xdr:col>9</xdr:col>
      <xdr:colOff>885190</xdr:colOff>
      <xdr:row>6016</xdr:row>
      <xdr:rowOff>1209040</xdr:rowOff>
    </xdr:to>
    <xdr:pic>
      <xdr:nvPicPr>
        <xdr:cNvPr id="10112" name="Изображение 10111" descr="resizeПП-00245377"/>
        <xdr:cNvPicPr>
          <a:picLocks noChangeAspect="1"/>
        </xdr:cNvPicPr>
      </xdr:nvPicPr>
      <xdr:blipFill>
        <a:blip xmlns:r="http://schemas.openxmlformats.org/officeDocument/2006/relationships" r:embed="rId4720"/>
        <a:stretch>
          <a:fillRect/>
        </a:stretch>
      </xdr:blipFill>
      <xdr:spPr>
        <a:xfrm>
          <a:off x="7235825" y="6171831700"/>
          <a:ext cx="878840" cy="1183640"/>
        </a:xfrm>
        <a:prstGeom prst="rect">
          <a:avLst/>
        </a:prstGeom>
      </xdr:spPr>
    </xdr:pic>
    <xdr:clientData/>
  </xdr:twoCellAnchor>
  <xdr:twoCellAnchor>
    <xdr:from>
      <xdr:col>9</xdr:col>
      <xdr:colOff>6350</xdr:colOff>
      <xdr:row>6017</xdr:row>
      <xdr:rowOff>25400</xdr:rowOff>
    </xdr:from>
    <xdr:to>
      <xdr:col>9</xdr:col>
      <xdr:colOff>885190</xdr:colOff>
      <xdr:row>6017</xdr:row>
      <xdr:rowOff>1209040</xdr:rowOff>
    </xdr:to>
    <xdr:pic>
      <xdr:nvPicPr>
        <xdr:cNvPr id="10113" name="Изображение 10112" descr="resizeПП-00245373"/>
        <xdr:cNvPicPr>
          <a:picLocks noChangeAspect="1"/>
        </xdr:cNvPicPr>
      </xdr:nvPicPr>
      <xdr:blipFill>
        <a:blip xmlns:r="http://schemas.openxmlformats.org/officeDocument/2006/relationships" r:embed="rId4721"/>
        <a:stretch>
          <a:fillRect/>
        </a:stretch>
      </xdr:blipFill>
      <xdr:spPr>
        <a:xfrm>
          <a:off x="7235825" y="6173054075"/>
          <a:ext cx="878840" cy="1183640"/>
        </a:xfrm>
        <a:prstGeom prst="rect">
          <a:avLst/>
        </a:prstGeom>
      </xdr:spPr>
    </xdr:pic>
    <xdr:clientData/>
  </xdr:twoCellAnchor>
  <xdr:twoCellAnchor>
    <xdr:from>
      <xdr:col>9</xdr:col>
      <xdr:colOff>6350</xdr:colOff>
      <xdr:row>6018</xdr:row>
      <xdr:rowOff>25400</xdr:rowOff>
    </xdr:from>
    <xdr:to>
      <xdr:col>9</xdr:col>
      <xdr:colOff>885190</xdr:colOff>
      <xdr:row>6018</xdr:row>
      <xdr:rowOff>1209040</xdr:rowOff>
    </xdr:to>
    <xdr:pic>
      <xdr:nvPicPr>
        <xdr:cNvPr id="10114" name="Изображение 10113" descr="resizeПП-00245382"/>
        <xdr:cNvPicPr>
          <a:picLocks noChangeAspect="1"/>
        </xdr:cNvPicPr>
      </xdr:nvPicPr>
      <xdr:blipFill>
        <a:blip xmlns:r="http://schemas.openxmlformats.org/officeDocument/2006/relationships" r:embed="rId4722"/>
        <a:stretch>
          <a:fillRect/>
        </a:stretch>
      </xdr:blipFill>
      <xdr:spPr>
        <a:xfrm>
          <a:off x="7235825" y="6174276450"/>
          <a:ext cx="878840" cy="1183640"/>
        </a:xfrm>
        <a:prstGeom prst="rect">
          <a:avLst/>
        </a:prstGeom>
      </xdr:spPr>
    </xdr:pic>
    <xdr:clientData/>
  </xdr:twoCellAnchor>
  <xdr:twoCellAnchor>
    <xdr:from>
      <xdr:col>9</xdr:col>
      <xdr:colOff>6350</xdr:colOff>
      <xdr:row>6019</xdr:row>
      <xdr:rowOff>25400</xdr:rowOff>
    </xdr:from>
    <xdr:to>
      <xdr:col>9</xdr:col>
      <xdr:colOff>885190</xdr:colOff>
      <xdr:row>6019</xdr:row>
      <xdr:rowOff>1209040</xdr:rowOff>
    </xdr:to>
    <xdr:pic>
      <xdr:nvPicPr>
        <xdr:cNvPr id="10115" name="Изображение 10114" descr="resizeПП-00245378"/>
        <xdr:cNvPicPr>
          <a:picLocks noChangeAspect="1"/>
        </xdr:cNvPicPr>
      </xdr:nvPicPr>
      <xdr:blipFill>
        <a:blip xmlns:r="http://schemas.openxmlformats.org/officeDocument/2006/relationships" r:embed="rId4723"/>
        <a:stretch>
          <a:fillRect/>
        </a:stretch>
      </xdr:blipFill>
      <xdr:spPr>
        <a:xfrm>
          <a:off x="7235825" y="6175498825"/>
          <a:ext cx="878840" cy="1183640"/>
        </a:xfrm>
        <a:prstGeom prst="rect">
          <a:avLst/>
        </a:prstGeom>
      </xdr:spPr>
    </xdr:pic>
    <xdr:clientData/>
  </xdr:twoCellAnchor>
  <xdr:twoCellAnchor>
    <xdr:from>
      <xdr:col>9</xdr:col>
      <xdr:colOff>6350</xdr:colOff>
      <xdr:row>6020</xdr:row>
      <xdr:rowOff>25400</xdr:rowOff>
    </xdr:from>
    <xdr:to>
      <xdr:col>9</xdr:col>
      <xdr:colOff>885190</xdr:colOff>
      <xdr:row>6020</xdr:row>
      <xdr:rowOff>1209040</xdr:rowOff>
    </xdr:to>
    <xdr:pic>
      <xdr:nvPicPr>
        <xdr:cNvPr id="10116" name="Изображение 10115" descr="resizeПП-00245383"/>
        <xdr:cNvPicPr>
          <a:picLocks noChangeAspect="1"/>
        </xdr:cNvPicPr>
      </xdr:nvPicPr>
      <xdr:blipFill>
        <a:blip xmlns:r="http://schemas.openxmlformats.org/officeDocument/2006/relationships" r:embed="rId4724"/>
        <a:stretch>
          <a:fillRect/>
        </a:stretch>
      </xdr:blipFill>
      <xdr:spPr>
        <a:xfrm>
          <a:off x="7235825" y="6176721200"/>
          <a:ext cx="878840" cy="1183640"/>
        </a:xfrm>
        <a:prstGeom prst="rect">
          <a:avLst/>
        </a:prstGeom>
      </xdr:spPr>
    </xdr:pic>
    <xdr:clientData/>
  </xdr:twoCellAnchor>
  <xdr:twoCellAnchor>
    <xdr:from>
      <xdr:col>9</xdr:col>
      <xdr:colOff>6350</xdr:colOff>
      <xdr:row>6021</xdr:row>
      <xdr:rowOff>25400</xdr:rowOff>
    </xdr:from>
    <xdr:to>
      <xdr:col>9</xdr:col>
      <xdr:colOff>885190</xdr:colOff>
      <xdr:row>6021</xdr:row>
      <xdr:rowOff>1209040</xdr:rowOff>
    </xdr:to>
    <xdr:pic>
      <xdr:nvPicPr>
        <xdr:cNvPr id="10117" name="Изображение 10116" descr="resizeПП-00245375"/>
        <xdr:cNvPicPr>
          <a:picLocks noChangeAspect="1"/>
        </xdr:cNvPicPr>
      </xdr:nvPicPr>
      <xdr:blipFill>
        <a:blip xmlns:r="http://schemas.openxmlformats.org/officeDocument/2006/relationships" r:embed="rId4725"/>
        <a:stretch>
          <a:fillRect/>
        </a:stretch>
      </xdr:blipFill>
      <xdr:spPr>
        <a:xfrm>
          <a:off x="7235825" y="6177943575"/>
          <a:ext cx="878840" cy="1183640"/>
        </a:xfrm>
        <a:prstGeom prst="rect">
          <a:avLst/>
        </a:prstGeom>
      </xdr:spPr>
    </xdr:pic>
    <xdr:clientData/>
  </xdr:twoCellAnchor>
  <xdr:twoCellAnchor>
    <xdr:from>
      <xdr:col>9</xdr:col>
      <xdr:colOff>6350</xdr:colOff>
      <xdr:row>6023</xdr:row>
      <xdr:rowOff>25400</xdr:rowOff>
    </xdr:from>
    <xdr:to>
      <xdr:col>9</xdr:col>
      <xdr:colOff>1189990</xdr:colOff>
      <xdr:row>6023</xdr:row>
      <xdr:rowOff>904240</xdr:rowOff>
    </xdr:to>
    <xdr:pic>
      <xdr:nvPicPr>
        <xdr:cNvPr id="10118" name="Изображение 10117" descr="resizeПП-00267626"/>
        <xdr:cNvPicPr>
          <a:picLocks noChangeAspect="1"/>
        </xdr:cNvPicPr>
      </xdr:nvPicPr>
      <xdr:blipFill>
        <a:blip xmlns:r="http://schemas.openxmlformats.org/officeDocument/2006/relationships" r:embed="rId4726"/>
        <a:stretch>
          <a:fillRect/>
        </a:stretch>
      </xdr:blipFill>
      <xdr:spPr>
        <a:xfrm>
          <a:off x="7235825" y="6179318350"/>
          <a:ext cx="1183640" cy="878840"/>
        </a:xfrm>
        <a:prstGeom prst="rect">
          <a:avLst/>
        </a:prstGeom>
      </xdr:spPr>
    </xdr:pic>
    <xdr:clientData/>
  </xdr:twoCellAnchor>
  <xdr:twoCellAnchor>
    <xdr:from>
      <xdr:col>9</xdr:col>
      <xdr:colOff>6350</xdr:colOff>
      <xdr:row>6024</xdr:row>
      <xdr:rowOff>25400</xdr:rowOff>
    </xdr:from>
    <xdr:to>
      <xdr:col>9</xdr:col>
      <xdr:colOff>885190</xdr:colOff>
      <xdr:row>6024</xdr:row>
      <xdr:rowOff>1209040</xdr:rowOff>
    </xdr:to>
    <xdr:pic>
      <xdr:nvPicPr>
        <xdr:cNvPr id="10119" name="Изображение 10118" descr="resizeПП-00262321"/>
        <xdr:cNvPicPr>
          <a:picLocks noChangeAspect="1"/>
        </xdr:cNvPicPr>
      </xdr:nvPicPr>
      <xdr:blipFill>
        <a:blip xmlns:r="http://schemas.openxmlformats.org/officeDocument/2006/relationships" r:embed="rId4727"/>
        <a:stretch>
          <a:fillRect/>
        </a:stretch>
      </xdr:blipFill>
      <xdr:spPr>
        <a:xfrm>
          <a:off x="7235825" y="6180540725"/>
          <a:ext cx="878840" cy="1183640"/>
        </a:xfrm>
        <a:prstGeom prst="rect">
          <a:avLst/>
        </a:prstGeom>
      </xdr:spPr>
    </xdr:pic>
    <xdr:clientData/>
  </xdr:twoCellAnchor>
  <xdr:twoCellAnchor>
    <xdr:from>
      <xdr:col>9</xdr:col>
      <xdr:colOff>6350</xdr:colOff>
      <xdr:row>6025</xdr:row>
      <xdr:rowOff>25400</xdr:rowOff>
    </xdr:from>
    <xdr:to>
      <xdr:col>9</xdr:col>
      <xdr:colOff>885190</xdr:colOff>
      <xdr:row>6025</xdr:row>
      <xdr:rowOff>1209040</xdr:rowOff>
    </xdr:to>
    <xdr:pic>
      <xdr:nvPicPr>
        <xdr:cNvPr id="10120" name="Изображение 10119" descr="resizeПП-00262327"/>
        <xdr:cNvPicPr>
          <a:picLocks noChangeAspect="1"/>
        </xdr:cNvPicPr>
      </xdr:nvPicPr>
      <xdr:blipFill>
        <a:blip xmlns:r="http://schemas.openxmlformats.org/officeDocument/2006/relationships" r:embed="rId4728"/>
        <a:stretch>
          <a:fillRect/>
        </a:stretch>
      </xdr:blipFill>
      <xdr:spPr>
        <a:xfrm>
          <a:off x="7235825" y="6181763100"/>
          <a:ext cx="878840" cy="1183640"/>
        </a:xfrm>
        <a:prstGeom prst="rect">
          <a:avLst/>
        </a:prstGeom>
      </xdr:spPr>
    </xdr:pic>
    <xdr:clientData/>
  </xdr:twoCellAnchor>
  <xdr:twoCellAnchor>
    <xdr:from>
      <xdr:col>9</xdr:col>
      <xdr:colOff>6350</xdr:colOff>
      <xdr:row>6026</xdr:row>
      <xdr:rowOff>25400</xdr:rowOff>
    </xdr:from>
    <xdr:to>
      <xdr:col>9</xdr:col>
      <xdr:colOff>1189990</xdr:colOff>
      <xdr:row>6026</xdr:row>
      <xdr:rowOff>904240</xdr:rowOff>
    </xdr:to>
    <xdr:pic>
      <xdr:nvPicPr>
        <xdr:cNvPr id="10121" name="Изображение 10120" descr="resizeПП-00267623"/>
        <xdr:cNvPicPr>
          <a:picLocks noChangeAspect="1"/>
        </xdr:cNvPicPr>
      </xdr:nvPicPr>
      <xdr:blipFill>
        <a:blip xmlns:r="http://schemas.openxmlformats.org/officeDocument/2006/relationships" r:embed="rId4729"/>
        <a:stretch>
          <a:fillRect/>
        </a:stretch>
      </xdr:blipFill>
      <xdr:spPr>
        <a:xfrm>
          <a:off x="7235825" y="6182985475"/>
          <a:ext cx="1183640" cy="878840"/>
        </a:xfrm>
        <a:prstGeom prst="rect">
          <a:avLst/>
        </a:prstGeom>
      </xdr:spPr>
    </xdr:pic>
    <xdr:clientData/>
  </xdr:twoCellAnchor>
  <xdr:twoCellAnchor>
    <xdr:from>
      <xdr:col>9</xdr:col>
      <xdr:colOff>6350</xdr:colOff>
      <xdr:row>6027</xdr:row>
      <xdr:rowOff>25400</xdr:rowOff>
    </xdr:from>
    <xdr:to>
      <xdr:col>9</xdr:col>
      <xdr:colOff>1189990</xdr:colOff>
      <xdr:row>6027</xdr:row>
      <xdr:rowOff>904240</xdr:rowOff>
    </xdr:to>
    <xdr:pic>
      <xdr:nvPicPr>
        <xdr:cNvPr id="10122" name="Изображение 10121" descr="resizeПП-00267628"/>
        <xdr:cNvPicPr>
          <a:picLocks noChangeAspect="1"/>
        </xdr:cNvPicPr>
      </xdr:nvPicPr>
      <xdr:blipFill>
        <a:blip xmlns:r="http://schemas.openxmlformats.org/officeDocument/2006/relationships" r:embed="rId4730"/>
        <a:stretch>
          <a:fillRect/>
        </a:stretch>
      </xdr:blipFill>
      <xdr:spPr>
        <a:xfrm>
          <a:off x="7235825" y="6184207850"/>
          <a:ext cx="1183640" cy="878840"/>
        </a:xfrm>
        <a:prstGeom prst="rect">
          <a:avLst/>
        </a:prstGeom>
      </xdr:spPr>
    </xdr:pic>
    <xdr:clientData/>
  </xdr:twoCellAnchor>
  <xdr:twoCellAnchor>
    <xdr:from>
      <xdr:col>9</xdr:col>
      <xdr:colOff>6350</xdr:colOff>
      <xdr:row>6028</xdr:row>
      <xdr:rowOff>25400</xdr:rowOff>
    </xdr:from>
    <xdr:to>
      <xdr:col>9</xdr:col>
      <xdr:colOff>1189990</xdr:colOff>
      <xdr:row>6028</xdr:row>
      <xdr:rowOff>904240</xdr:rowOff>
    </xdr:to>
    <xdr:pic>
      <xdr:nvPicPr>
        <xdr:cNvPr id="10123" name="Изображение 10122" descr="resizeПП-00267624"/>
        <xdr:cNvPicPr>
          <a:picLocks noChangeAspect="1"/>
        </xdr:cNvPicPr>
      </xdr:nvPicPr>
      <xdr:blipFill>
        <a:blip xmlns:r="http://schemas.openxmlformats.org/officeDocument/2006/relationships" r:embed="rId4731"/>
        <a:stretch>
          <a:fillRect/>
        </a:stretch>
      </xdr:blipFill>
      <xdr:spPr>
        <a:xfrm>
          <a:off x="7235825" y="6185430225"/>
          <a:ext cx="1183640" cy="878840"/>
        </a:xfrm>
        <a:prstGeom prst="rect">
          <a:avLst/>
        </a:prstGeom>
      </xdr:spPr>
    </xdr:pic>
    <xdr:clientData/>
  </xdr:twoCellAnchor>
  <xdr:twoCellAnchor>
    <xdr:from>
      <xdr:col>9</xdr:col>
      <xdr:colOff>6350</xdr:colOff>
      <xdr:row>6029</xdr:row>
      <xdr:rowOff>25400</xdr:rowOff>
    </xdr:from>
    <xdr:to>
      <xdr:col>9</xdr:col>
      <xdr:colOff>1189990</xdr:colOff>
      <xdr:row>6029</xdr:row>
      <xdr:rowOff>904240</xdr:rowOff>
    </xdr:to>
    <xdr:pic>
      <xdr:nvPicPr>
        <xdr:cNvPr id="10124" name="Изображение 10123" descr="resizeПП-00267632"/>
        <xdr:cNvPicPr>
          <a:picLocks noChangeAspect="1"/>
        </xdr:cNvPicPr>
      </xdr:nvPicPr>
      <xdr:blipFill>
        <a:blip xmlns:r="http://schemas.openxmlformats.org/officeDocument/2006/relationships" r:embed="rId4732"/>
        <a:stretch>
          <a:fillRect/>
        </a:stretch>
      </xdr:blipFill>
      <xdr:spPr>
        <a:xfrm>
          <a:off x="7235825" y="6186652600"/>
          <a:ext cx="1183640" cy="878840"/>
        </a:xfrm>
        <a:prstGeom prst="rect">
          <a:avLst/>
        </a:prstGeom>
      </xdr:spPr>
    </xdr:pic>
    <xdr:clientData/>
  </xdr:twoCellAnchor>
  <xdr:twoCellAnchor>
    <xdr:from>
      <xdr:col>9</xdr:col>
      <xdr:colOff>6350</xdr:colOff>
      <xdr:row>6030</xdr:row>
      <xdr:rowOff>25400</xdr:rowOff>
    </xdr:from>
    <xdr:to>
      <xdr:col>9</xdr:col>
      <xdr:colOff>1189990</xdr:colOff>
      <xdr:row>6030</xdr:row>
      <xdr:rowOff>904240</xdr:rowOff>
    </xdr:to>
    <xdr:pic>
      <xdr:nvPicPr>
        <xdr:cNvPr id="10125" name="Изображение 10124" descr="resizeПП-00267627"/>
        <xdr:cNvPicPr>
          <a:picLocks noChangeAspect="1"/>
        </xdr:cNvPicPr>
      </xdr:nvPicPr>
      <xdr:blipFill>
        <a:blip xmlns:r="http://schemas.openxmlformats.org/officeDocument/2006/relationships" r:embed="rId4733"/>
        <a:stretch>
          <a:fillRect/>
        </a:stretch>
      </xdr:blipFill>
      <xdr:spPr>
        <a:xfrm>
          <a:off x="7235825" y="6187874975"/>
          <a:ext cx="1183640" cy="878840"/>
        </a:xfrm>
        <a:prstGeom prst="rect">
          <a:avLst/>
        </a:prstGeom>
      </xdr:spPr>
    </xdr:pic>
    <xdr:clientData/>
  </xdr:twoCellAnchor>
  <xdr:twoCellAnchor>
    <xdr:from>
      <xdr:col>9</xdr:col>
      <xdr:colOff>6350</xdr:colOff>
      <xdr:row>6031</xdr:row>
      <xdr:rowOff>25400</xdr:rowOff>
    </xdr:from>
    <xdr:to>
      <xdr:col>9</xdr:col>
      <xdr:colOff>885190</xdr:colOff>
      <xdr:row>6031</xdr:row>
      <xdr:rowOff>1209040</xdr:rowOff>
    </xdr:to>
    <xdr:pic>
      <xdr:nvPicPr>
        <xdr:cNvPr id="10126" name="Изображение 10125" descr="resizeПП-00262320"/>
        <xdr:cNvPicPr>
          <a:picLocks noChangeAspect="1"/>
        </xdr:cNvPicPr>
      </xdr:nvPicPr>
      <xdr:blipFill>
        <a:blip xmlns:r="http://schemas.openxmlformats.org/officeDocument/2006/relationships" r:embed="rId4734"/>
        <a:stretch>
          <a:fillRect/>
        </a:stretch>
      </xdr:blipFill>
      <xdr:spPr>
        <a:xfrm>
          <a:off x="7235825" y="6189097350"/>
          <a:ext cx="878840" cy="1183640"/>
        </a:xfrm>
        <a:prstGeom prst="rect">
          <a:avLst/>
        </a:prstGeom>
      </xdr:spPr>
    </xdr:pic>
    <xdr:clientData/>
  </xdr:twoCellAnchor>
  <xdr:twoCellAnchor>
    <xdr:from>
      <xdr:col>9</xdr:col>
      <xdr:colOff>6350</xdr:colOff>
      <xdr:row>6032</xdr:row>
      <xdr:rowOff>25400</xdr:rowOff>
    </xdr:from>
    <xdr:to>
      <xdr:col>9</xdr:col>
      <xdr:colOff>885190</xdr:colOff>
      <xdr:row>6032</xdr:row>
      <xdr:rowOff>1209040</xdr:rowOff>
    </xdr:to>
    <xdr:pic>
      <xdr:nvPicPr>
        <xdr:cNvPr id="10127" name="Изображение 10126" descr="resizeПП-00262331"/>
        <xdr:cNvPicPr>
          <a:picLocks noChangeAspect="1"/>
        </xdr:cNvPicPr>
      </xdr:nvPicPr>
      <xdr:blipFill>
        <a:blip xmlns:r="http://schemas.openxmlformats.org/officeDocument/2006/relationships" r:embed="rId4735"/>
        <a:stretch>
          <a:fillRect/>
        </a:stretch>
      </xdr:blipFill>
      <xdr:spPr>
        <a:xfrm>
          <a:off x="7235825" y="6190319725"/>
          <a:ext cx="878840" cy="1183640"/>
        </a:xfrm>
        <a:prstGeom prst="rect">
          <a:avLst/>
        </a:prstGeom>
      </xdr:spPr>
    </xdr:pic>
    <xdr:clientData/>
  </xdr:twoCellAnchor>
  <xdr:twoCellAnchor>
    <xdr:from>
      <xdr:col>9</xdr:col>
      <xdr:colOff>6350</xdr:colOff>
      <xdr:row>6033</xdr:row>
      <xdr:rowOff>25400</xdr:rowOff>
    </xdr:from>
    <xdr:to>
      <xdr:col>9</xdr:col>
      <xdr:colOff>885190</xdr:colOff>
      <xdr:row>6033</xdr:row>
      <xdr:rowOff>1209040</xdr:rowOff>
    </xdr:to>
    <xdr:pic>
      <xdr:nvPicPr>
        <xdr:cNvPr id="10128" name="Изображение 10127" descr="resizeПП-00262324"/>
        <xdr:cNvPicPr>
          <a:picLocks noChangeAspect="1"/>
        </xdr:cNvPicPr>
      </xdr:nvPicPr>
      <xdr:blipFill>
        <a:blip xmlns:r="http://schemas.openxmlformats.org/officeDocument/2006/relationships" r:embed="rId4736"/>
        <a:stretch>
          <a:fillRect/>
        </a:stretch>
      </xdr:blipFill>
      <xdr:spPr>
        <a:xfrm>
          <a:off x="7235825" y="6191542100"/>
          <a:ext cx="878840" cy="1183640"/>
        </a:xfrm>
        <a:prstGeom prst="rect">
          <a:avLst/>
        </a:prstGeom>
      </xdr:spPr>
    </xdr:pic>
    <xdr:clientData/>
  </xdr:twoCellAnchor>
  <xdr:twoCellAnchor>
    <xdr:from>
      <xdr:col>9</xdr:col>
      <xdr:colOff>6350</xdr:colOff>
      <xdr:row>6034</xdr:row>
      <xdr:rowOff>25400</xdr:rowOff>
    </xdr:from>
    <xdr:to>
      <xdr:col>9</xdr:col>
      <xdr:colOff>885190</xdr:colOff>
      <xdr:row>6034</xdr:row>
      <xdr:rowOff>1209040</xdr:rowOff>
    </xdr:to>
    <xdr:pic>
      <xdr:nvPicPr>
        <xdr:cNvPr id="10129" name="Изображение 10128" descr="resizeПП-00262317"/>
        <xdr:cNvPicPr>
          <a:picLocks noChangeAspect="1"/>
        </xdr:cNvPicPr>
      </xdr:nvPicPr>
      <xdr:blipFill>
        <a:blip xmlns:r="http://schemas.openxmlformats.org/officeDocument/2006/relationships" r:embed="rId4737"/>
        <a:stretch>
          <a:fillRect/>
        </a:stretch>
      </xdr:blipFill>
      <xdr:spPr>
        <a:xfrm>
          <a:off x="7235825" y="6192764475"/>
          <a:ext cx="878840" cy="1183640"/>
        </a:xfrm>
        <a:prstGeom prst="rect">
          <a:avLst/>
        </a:prstGeom>
      </xdr:spPr>
    </xdr:pic>
    <xdr:clientData/>
  </xdr:twoCellAnchor>
  <xdr:twoCellAnchor>
    <xdr:from>
      <xdr:col>9</xdr:col>
      <xdr:colOff>6350</xdr:colOff>
      <xdr:row>6035</xdr:row>
      <xdr:rowOff>25400</xdr:rowOff>
    </xdr:from>
    <xdr:to>
      <xdr:col>9</xdr:col>
      <xdr:colOff>1189990</xdr:colOff>
      <xdr:row>6035</xdr:row>
      <xdr:rowOff>904240</xdr:rowOff>
    </xdr:to>
    <xdr:pic>
      <xdr:nvPicPr>
        <xdr:cNvPr id="10130" name="Изображение 10129" descr="resizeПП-00267630"/>
        <xdr:cNvPicPr>
          <a:picLocks noChangeAspect="1"/>
        </xdr:cNvPicPr>
      </xdr:nvPicPr>
      <xdr:blipFill>
        <a:blip xmlns:r="http://schemas.openxmlformats.org/officeDocument/2006/relationships" r:embed="rId4738"/>
        <a:stretch>
          <a:fillRect/>
        </a:stretch>
      </xdr:blipFill>
      <xdr:spPr>
        <a:xfrm>
          <a:off x="7235825" y="6193986850"/>
          <a:ext cx="1183640" cy="878840"/>
        </a:xfrm>
        <a:prstGeom prst="rect">
          <a:avLst/>
        </a:prstGeom>
      </xdr:spPr>
    </xdr:pic>
    <xdr:clientData/>
  </xdr:twoCellAnchor>
  <xdr:twoCellAnchor>
    <xdr:from>
      <xdr:col>9</xdr:col>
      <xdr:colOff>6350</xdr:colOff>
      <xdr:row>6036</xdr:row>
      <xdr:rowOff>25400</xdr:rowOff>
    </xdr:from>
    <xdr:to>
      <xdr:col>9</xdr:col>
      <xdr:colOff>885190</xdr:colOff>
      <xdr:row>6036</xdr:row>
      <xdr:rowOff>1209040</xdr:rowOff>
    </xdr:to>
    <xdr:pic>
      <xdr:nvPicPr>
        <xdr:cNvPr id="10131" name="Изображение 10130" descr="resizeПП-00262326"/>
        <xdr:cNvPicPr>
          <a:picLocks noChangeAspect="1"/>
        </xdr:cNvPicPr>
      </xdr:nvPicPr>
      <xdr:blipFill>
        <a:blip xmlns:r="http://schemas.openxmlformats.org/officeDocument/2006/relationships" r:embed="rId4739"/>
        <a:stretch>
          <a:fillRect/>
        </a:stretch>
      </xdr:blipFill>
      <xdr:spPr>
        <a:xfrm>
          <a:off x="7235825" y="6195209225"/>
          <a:ext cx="878840" cy="1183640"/>
        </a:xfrm>
        <a:prstGeom prst="rect">
          <a:avLst/>
        </a:prstGeom>
      </xdr:spPr>
    </xdr:pic>
    <xdr:clientData/>
  </xdr:twoCellAnchor>
  <xdr:twoCellAnchor>
    <xdr:from>
      <xdr:col>9</xdr:col>
      <xdr:colOff>6350</xdr:colOff>
      <xdr:row>6037</xdr:row>
      <xdr:rowOff>25400</xdr:rowOff>
    </xdr:from>
    <xdr:to>
      <xdr:col>9</xdr:col>
      <xdr:colOff>885190</xdr:colOff>
      <xdr:row>6037</xdr:row>
      <xdr:rowOff>1209040</xdr:rowOff>
    </xdr:to>
    <xdr:pic>
      <xdr:nvPicPr>
        <xdr:cNvPr id="10132" name="Изображение 10131" descr="resizeПП-00262322"/>
        <xdr:cNvPicPr>
          <a:picLocks noChangeAspect="1"/>
        </xdr:cNvPicPr>
      </xdr:nvPicPr>
      <xdr:blipFill>
        <a:blip xmlns:r="http://schemas.openxmlformats.org/officeDocument/2006/relationships" r:embed="rId4740"/>
        <a:stretch>
          <a:fillRect/>
        </a:stretch>
      </xdr:blipFill>
      <xdr:spPr>
        <a:xfrm>
          <a:off x="7235825" y="6196431600"/>
          <a:ext cx="878840" cy="1183640"/>
        </a:xfrm>
        <a:prstGeom prst="rect">
          <a:avLst/>
        </a:prstGeom>
      </xdr:spPr>
    </xdr:pic>
    <xdr:clientData/>
  </xdr:twoCellAnchor>
  <xdr:twoCellAnchor>
    <xdr:from>
      <xdr:col>9</xdr:col>
      <xdr:colOff>6350</xdr:colOff>
      <xdr:row>6038</xdr:row>
      <xdr:rowOff>25400</xdr:rowOff>
    </xdr:from>
    <xdr:to>
      <xdr:col>9</xdr:col>
      <xdr:colOff>885190</xdr:colOff>
      <xdr:row>6038</xdr:row>
      <xdr:rowOff>1209040</xdr:rowOff>
    </xdr:to>
    <xdr:pic>
      <xdr:nvPicPr>
        <xdr:cNvPr id="10133" name="Изображение 10132" descr="resizeПП-00262329"/>
        <xdr:cNvPicPr>
          <a:picLocks noChangeAspect="1"/>
        </xdr:cNvPicPr>
      </xdr:nvPicPr>
      <xdr:blipFill>
        <a:blip xmlns:r="http://schemas.openxmlformats.org/officeDocument/2006/relationships" r:embed="rId4741"/>
        <a:stretch>
          <a:fillRect/>
        </a:stretch>
      </xdr:blipFill>
      <xdr:spPr>
        <a:xfrm>
          <a:off x="7235825" y="6197653975"/>
          <a:ext cx="878840" cy="1183640"/>
        </a:xfrm>
        <a:prstGeom prst="rect">
          <a:avLst/>
        </a:prstGeom>
      </xdr:spPr>
    </xdr:pic>
    <xdr:clientData/>
  </xdr:twoCellAnchor>
  <xdr:twoCellAnchor>
    <xdr:from>
      <xdr:col>9</xdr:col>
      <xdr:colOff>6350</xdr:colOff>
      <xdr:row>6039</xdr:row>
      <xdr:rowOff>25400</xdr:rowOff>
    </xdr:from>
    <xdr:to>
      <xdr:col>9</xdr:col>
      <xdr:colOff>885190</xdr:colOff>
      <xdr:row>6039</xdr:row>
      <xdr:rowOff>1209040</xdr:rowOff>
    </xdr:to>
    <xdr:pic>
      <xdr:nvPicPr>
        <xdr:cNvPr id="10134" name="Изображение 10133" descr="resizeПП-00262330"/>
        <xdr:cNvPicPr>
          <a:picLocks noChangeAspect="1"/>
        </xdr:cNvPicPr>
      </xdr:nvPicPr>
      <xdr:blipFill>
        <a:blip xmlns:r="http://schemas.openxmlformats.org/officeDocument/2006/relationships" r:embed="rId4742"/>
        <a:stretch>
          <a:fillRect/>
        </a:stretch>
      </xdr:blipFill>
      <xdr:spPr>
        <a:xfrm>
          <a:off x="7235825" y="6198876350"/>
          <a:ext cx="878840" cy="1183640"/>
        </a:xfrm>
        <a:prstGeom prst="rect">
          <a:avLst/>
        </a:prstGeom>
      </xdr:spPr>
    </xdr:pic>
    <xdr:clientData/>
  </xdr:twoCellAnchor>
  <xdr:twoCellAnchor>
    <xdr:from>
      <xdr:col>9</xdr:col>
      <xdr:colOff>6350</xdr:colOff>
      <xdr:row>6040</xdr:row>
      <xdr:rowOff>25400</xdr:rowOff>
    </xdr:from>
    <xdr:to>
      <xdr:col>9</xdr:col>
      <xdr:colOff>885190</xdr:colOff>
      <xdr:row>6040</xdr:row>
      <xdr:rowOff>1209040</xdr:rowOff>
    </xdr:to>
    <xdr:pic>
      <xdr:nvPicPr>
        <xdr:cNvPr id="10135" name="Изображение 10134" descr="resizeПП-00262318"/>
        <xdr:cNvPicPr>
          <a:picLocks noChangeAspect="1"/>
        </xdr:cNvPicPr>
      </xdr:nvPicPr>
      <xdr:blipFill>
        <a:blip xmlns:r="http://schemas.openxmlformats.org/officeDocument/2006/relationships" r:embed="rId4743"/>
        <a:stretch>
          <a:fillRect/>
        </a:stretch>
      </xdr:blipFill>
      <xdr:spPr>
        <a:xfrm>
          <a:off x="7235825" y="6200098725"/>
          <a:ext cx="878840" cy="1183640"/>
        </a:xfrm>
        <a:prstGeom prst="rect">
          <a:avLst/>
        </a:prstGeom>
      </xdr:spPr>
    </xdr:pic>
    <xdr:clientData/>
  </xdr:twoCellAnchor>
  <xdr:twoCellAnchor>
    <xdr:from>
      <xdr:col>9</xdr:col>
      <xdr:colOff>6350</xdr:colOff>
      <xdr:row>6041</xdr:row>
      <xdr:rowOff>25400</xdr:rowOff>
    </xdr:from>
    <xdr:to>
      <xdr:col>9</xdr:col>
      <xdr:colOff>1189990</xdr:colOff>
      <xdr:row>6041</xdr:row>
      <xdr:rowOff>904240</xdr:rowOff>
    </xdr:to>
    <xdr:pic>
      <xdr:nvPicPr>
        <xdr:cNvPr id="10136" name="Изображение 10135" descr="resizeПП-00267629"/>
        <xdr:cNvPicPr>
          <a:picLocks noChangeAspect="1"/>
        </xdr:cNvPicPr>
      </xdr:nvPicPr>
      <xdr:blipFill>
        <a:blip xmlns:r="http://schemas.openxmlformats.org/officeDocument/2006/relationships" r:embed="rId4744"/>
        <a:stretch>
          <a:fillRect/>
        </a:stretch>
      </xdr:blipFill>
      <xdr:spPr>
        <a:xfrm>
          <a:off x="7235825" y="6201321100"/>
          <a:ext cx="1183640" cy="878840"/>
        </a:xfrm>
        <a:prstGeom prst="rect">
          <a:avLst/>
        </a:prstGeom>
      </xdr:spPr>
    </xdr:pic>
    <xdr:clientData/>
  </xdr:twoCellAnchor>
  <xdr:twoCellAnchor>
    <xdr:from>
      <xdr:col>9</xdr:col>
      <xdr:colOff>6350</xdr:colOff>
      <xdr:row>6042</xdr:row>
      <xdr:rowOff>25400</xdr:rowOff>
    </xdr:from>
    <xdr:to>
      <xdr:col>9</xdr:col>
      <xdr:colOff>1189990</xdr:colOff>
      <xdr:row>6042</xdr:row>
      <xdr:rowOff>904240</xdr:rowOff>
    </xdr:to>
    <xdr:pic>
      <xdr:nvPicPr>
        <xdr:cNvPr id="10137" name="Изображение 10136" descr="resizeПП-00267625"/>
        <xdr:cNvPicPr>
          <a:picLocks noChangeAspect="1"/>
        </xdr:cNvPicPr>
      </xdr:nvPicPr>
      <xdr:blipFill>
        <a:blip xmlns:r="http://schemas.openxmlformats.org/officeDocument/2006/relationships" r:embed="rId4745"/>
        <a:stretch>
          <a:fillRect/>
        </a:stretch>
      </xdr:blipFill>
      <xdr:spPr>
        <a:xfrm>
          <a:off x="7235825" y="6202543475"/>
          <a:ext cx="1183640" cy="878840"/>
        </a:xfrm>
        <a:prstGeom prst="rect">
          <a:avLst/>
        </a:prstGeom>
      </xdr:spPr>
    </xdr:pic>
    <xdr:clientData/>
  </xdr:twoCellAnchor>
  <xdr:twoCellAnchor>
    <xdr:from>
      <xdr:col>9</xdr:col>
      <xdr:colOff>6350</xdr:colOff>
      <xdr:row>6043</xdr:row>
      <xdr:rowOff>25400</xdr:rowOff>
    </xdr:from>
    <xdr:to>
      <xdr:col>9</xdr:col>
      <xdr:colOff>1189990</xdr:colOff>
      <xdr:row>6043</xdr:row>
      <xdr:rowOff>904240</xdr:rowOff>
    </xdr:to>
    <xdr:pic>
      <xdr:nvPicPr>
        <xdr:cNvPr id="10138" name="Изображение 10137" descr="resizeПП-00267622"/>
        <xdr:cNvPicPr>
          <a:picLocks noChangeAspect="1"/>
        </xdr:cNvPicPr>
      </xdr:nvPicPr>
      <xdr:blipFill>
        <a:blip xmlns:r="http://schemas.openxmlformats.org/officeDocument/2006/relationships" r:embed="rId4746"/>
        <a:stretch>
          <a:fillRect/>
        </a:stretch>
      </xdr:blipFill>
      <xdr:spPr>
        <a:xfrm>
          <a:off x="7235825" y="6203765850"/>
          <a:ext cx="1183640" cy="878840"/>
        </a:xfrm>
        <a:prstGeom prst="rect">
          <a:avLst/>
        </a:prstGeom>
      </xdr:spPr>
    </xdr:pic>
    <xdr:clientData/>
  </xdr:twoCellAnchor>
  <xdr:twoCellAnchor>
    <xdr:from>
      <xdr:col>9</xdr:col>
      <xdr:colOff>6350</xdr:colOff>
      <xdr:row>6046</xdr:row>
      <xdr:rowOff>25400</xdr:rowOff>
    </xdr:from>
    <xdr:to>
      <xdr:col>9</xdr:col>
      <xdr:colOff>885190</xdr:colOff>
      <xdr:row>6046</xdr:row>
      <xdr:rowOff>1209040</xdr:rowOff>
    </xdr:to>
    <xdr:pic>
      <xdr:nvPicPr>
        <xdr:cNvPr id="10139" name="Изображение 10138" descr="resizeПП-00040492"/>
        <xdr:cNvPicPr>
          <a:picLocks noChangeAspect="1"/>
        </xdr:cNvPicPr>
      </xdr:nvPicPr>
      <xdr:blipFill>
        <a:blip xmlns:r="http://schemas.openxmlformats.org/officeDocument/2006/relationships" r:embed="rId4747"/>
        <a:stretch>
          <a:fillRect/>
        </a:stretch>
      </xdr:blipFill>
      <xdr:spPr>
        <a:xfrm>
          <a:off x="7235825" y="6205343825"/>
          <a:ext cx="878840" cy="1183640"/>
        </a:xfrm>
        <a:prstGeom prst="rect">
          <a:avLst/>
        </a:prstGeom>
      </xdr:spPr>
    </xdr:pic>
    <xdr:clientData/>
  </xdr:twoCellAnchor>
  <xdr:twoCellAnchor>
    <xdr:from>
      <xdr:col>9</xdr:col>
      <xdr:colOff>6350</xdr:colOff>
      <xdr:row>6047</xdr:row>
      <xdr:rowOff>25400</xdr:rowOff>
    </xdr:from>
    <xdr:to>
      <xdr:col>9</xdr:col>
      <xdr:colOff>885190</xdr:colOff>
      <xdr:row>6047</xdr:row>
      <xdr:rowOff>1209040</xdr:rowOff>
    </xdr:to>
    <xdr:pic>
      <xdr:nvPicPr>
        <xdr:cNvPr id="10140" name="Изображение 10139" descr="resizeПП-00040494"/>
        <xdr:cNvPicPr>
          <a:picLocks noChangeAspect="1"/>
        </xdr:cNvPicPr>
      </xdr:nvPicPr>
      <xdr:blipFill>
        <a:blip xmlns:r="http://schemas.openxmlformats.org/officeDocument/2006/relationships" r:embed="rId4748"/>
        <a:stretch>
          <a:fillRect/>
        </a:stretch>
      </xdr:blipFill>
      <xdr:spPr>
        <a:xfrm>
          <a:off x="7235825" y="6206566200"/>
          <a:ext cx="878840" cy="1183640"/>
        </a:xfrm>
        <a:prstGeom prst="rect">
          <a:avLst/>
        </a:prstGeom>
      </xdr:spPr>
    </xdr:pic>
    <xdr:clientData/>
  </xdr:twoCellAnchor>
  <xdr:twoCellAnchor>
    <xdr:from>
      <xdr:col>9</xdr:col>
      <xdr:colOff>6350</xdr:colOff>
      <xdr:row>6048</xdr:row>
      <xdr:rowOff>25400</xdr:rowOff>
    </xdr:from>
    <xdr:to>
      <xdr:col>9</xdr:col>
      <xdr:colOff>885190</xdr:colOff>
      <xdr:row>6048</xdr:row>
      <xdr:rowOff>1209040</xdr:rowOff>
    </xdr:to>
    <xdr:pic>
      <xdr:nvPicPr>
        <xdr:cNvPr id="10141" name="Изображение 10140" descr="resizeПП-00040493"/>
        <xdr:cNvPicPr>
          <a:picLocks noChangeAspect="1"/>
        </xdr:cNvPicPr>
      </xdr:nvPicPr>
      <xdr:blipFill>
        <a:blip xmlns:r="http://schemas.openxmlformats.org/officeDocument/2006/relationships" r:embed="rId4749"/>
        <a:stretch>
          <a:fillRect/>
        </a:stretch>
      </xdr:blipFill>
      <xdr:spPr>
        <a:xfrm>
          <a:off x="7235825" y="6207788575"/>
          <a:ext cx="878840" cy="1183640"/>
        </a:xfrm>
        <a:prstGeom prst="rect">
          <a:avLst/>
        </a:prstGeom>
      </xdr:spPr>
    </xdr:pic>
    <xdr:clientData/>
  </xdr:twoCellAnchor>
  <xdr:twoCellAnchor>
    <xdr:from>
      <xdr:col>9</xdr:col>
      <xdr:colOff>6350</xdr:colOff>
      <xdr:row>6049</xdr:row>
      <xdr:rowOff>25400</xdr:rowOff>
    </xdr:from>
    <xdr:to>
      <xdr:col>9</xdr:col>
      <xdr:colOff>885190</xdr:colOff>
      <xdr:row>6049</xdr:row>
      <xdr:rowOff>1209040</xdr:rowOff>
    </xdr:to>
    <xdr:pic>
      <xdr:nvPicPr>
        <xdr:cNvPr id="10142" name="Изображение 10141" descr="resizeПП-00040501"/>
        <xdr:cNvPicPr>
          <a:picLocks noChangeAspect="1"/>
        </xdr:cNvPicPr>
      </xdr:nvPicPr>
      <xdr:blipFill>
        <a:blip xmlns:r="http://schemas.openxmlformats.org/officeDocument/2006/relationships" r:embed="rId4750"/>
        <a:stretch>
          <a:fillRect/>
        </a:stretch>
      </xdr:blipFill>
      <xdr:spPr>
        <a:xfrm>
          <a:off x="7235825" y="6209010950"/>
          <a:ext cx="878840" cy="1183640"/>
        </a:xfrm>
        <a:prstGeom prst="rect">
          <a:avLst/>
        </a:prstGeom>
      </xdr:spPr>
    </xdr:pic>
    <xdr:clientData/>
  </xdr:twoCellAnchor>
  <xdr:twoCellAnchor>
    <xdr:from>
      <xdr:col>9</xdr:col>
      <xdr:colOff>6350</xdr:colOff>
      <xdr:row>6050</xdr:row>
      <xdr:rowOff>25400</xdr:rowOff>
    </xdr:from>
    <xdr:to>
      <xdr:col>9</xdr:col>
      <xdr:colOff>885190</xdr:colOff>
      <xdr:row>6050</xdr:row>
      <xdr:rowOff>1209040</xdr:rowOff>
    </xdr:to>
    <xdr:pic>
      <xdr:nvPicPr>
        <xdr:cNvPr id="10143" name="Изображение 10142" descr="resizeПП-00040503"/>
        <xdr:cNvPicPr>
          <a:picLocks noChangeAspect="1"/>
        </xdr:cNvPicPr>
      </xdr:nvPicPr>
      <xdr:blipFill>
        <a:blip xmlns:r="http://schemas.openxmlformats.org/officeDocument/2006/relationships" r:embed="rId4751"/>
        <a:stretch>
          <a:fillRect/>
        </a:stretch>
      </xdr:blipFill>
      <xdr:spPr>
        <a:xfrm>
          <a:off x="7235825" y="6210233325"/>
          <a:ext cx="878840" cy="1183640"/>
        </a:xfrm>
        <a:prstGeom prst="rect">
          <a:avLst/>
        </a:prstGeom>
      </xdr:spPr>
    </xdr:pic>
    <xdr:clientData/>
  </xdr:twoCellAnchor>
  <xdr:twoCellAnchor>
    <xdr:from>
      <xdr:col>9</xdr:col>
      <xdr:colOff>6350</xdr:colOff>
      <xdr:row>6051</xdr:row>
      <xdr:rowOff>25400</xdr:rowOff>
    </xdr:from>
    <xdr:to>
      <xdr:col>9</xdr:col>
      <xdr:colOff>885190</xdr:colOff>
      <xdr:row>6051</xdr:row>
      <xdr:rowOff>1209040</xdr:rowOff>
    </xdr:to>
    <xdr:pic>
      <xdr:nvPicPr>
        <xdr:cNvPr id="10144" name="Изображение 10143" descr="resizeПП-00040489"/>
        <xdr:cNvPicPr>
          <a:picLocks noChangeAspect="1"/>
        </xdr:cNvPicPr>
      </xdr:nvPicPr>
      <xdr:blipFill>
        <a:blip xmlns:r="http://schemas.openxmlformats.org/officeDocument/2006/relationships" r:embed="rId4752"/>
        <a:stretch>
          <a:fillRect/>
        </a:stretch>
      </xdr:blipFill>
      <xdr:spPr>
        <a:xfrm>
          <a:off x="7235825" y="6211455700"/>
          <a:ext cx="878840" cy="1183640"/>
        </a:xfrm>
        <a:prstGeom prst="rect">
          <a:avLst/>
        </a:prstGeom>
      </xdr:spPr>
    </xdr:pic>
    <xdr:clientData/>
  </xdr:twoCellAnchor>
  <xdr:twoCellAnchor>
    <xdr:from>
      <xdr:col>9</xdr:col>
      <xdr:colOff>6350</xdr:colOff>
      <xdr:row>6052</xdr:row>
      <xdr:rowOff>25400</xdr:rowOff>
    </xdr:from>
    <xdr:to>
      <xdr:col>9</xdr:col>
      <xdr:colOff>885190</xdr:colOff>
      <xdr:row>6052</xdr:row>
      <xdr:rowOff>1209040</xdr:rowOff>
    </xdr:to>
    <xdr:pic>
      <xdr:nvPicPr>
        <xdr:cNvPr id="10145" name="Изображение 10144" descr="resizeПП-00076342"/>
        <xdr:cNvPicPr>
          <a:picLocks noChangeAspect="1"/>
        </xdr:cNvPicPr>
      </xdr:nvPicPr>
      <xdr:blipFill>
        <a:blip xmlns:r="http://schemas.openxmlformats.org/officeDocument/2006/relationships" r:embed="rId4753"/>
        <a:stretch>
          <a:fillRect/>
        </a:stretch>
      </xdr:blipFill>
      <xdr:spPr>
        <a:xfrm>
          <a:off x="7235825" y="6212678075"/>
          <a:ext cx="878840" cy="1183640"/>
        </a:xfrm>
        <a:prstGeom prst="rect">
          <a:avLst/>
        </a:prstGeom>
      </xdr:spPr>
    </xdr:pic>
    <xdr:clientData/>
  </xdr:twoCellAnchor>
  <xdr:twoCellAnchor>
    <xdr:from>
      <xdr:col>9</xdr:col>
      <xdr:colOff>6350</xdr:colOff>
      <xdr:row>6053</xdr:row>
      <xdr:rowOff>25400</xdr:rowOff>
    </xdr:from>
    <xdr:to>
      <xdr:col>9</xdr:col>
      <xdr:colOff>885190</xdr:colOff>
      <xdr:row>6053</xdr:row>
      <xdr:rowOff>1209040</xdr:rowOff>
    </xdr:to>
    <xdr:pic>
      <xdr:nvPicPr>
        <xdr:cNvPr id="10146" name="Изображение 10145" descr="resizeПП-00040497"/>
        <xdr:cNvPicPr>
          <a:picLocks noChangeAspect="1"/>
        </xdr:cNvPicPr>
      </xdr:nvPicPr>
      <xdr:blipFill>
        <a:blip xmlns:r="http://schemas.openxmlformats.org/officeDocument/2006/relationships" r:embed="rId4754"/>
        <a:stretch>
          <a:fillRect/>
        </a:stretch>
      </xdr:blipFill>
      <xdr:spPr>
        <a:xfrm>
          <a:off x="7235825" y="6213900450"/>
          <a:ext cx="878840" cy="1183640"/>
        </a:xfrm>
        <a:prstGeom prst="rect">
          <a:avLst/>
        </a:prstGeom>
      </xdr:spPr>
    </xdr:pic>
    <xdr:clientData/>
  </xdr:twoCellAnchor>
  <xdr:twoCellAnchor>
    <xdr:from>
      <xdr:col>9</xdr:col>
      <xdr:colOff>6350</xdr:colOff>
      <xdr:row>6054</xdr:row>
      <xdr:rowOff>25400</xdr:rowOff>
    </xdr:from>
    <xdr:to>
      <xdr:col>9</xdr:col>
      <xdr:colOff>1189990</xdr:colOff>
      <xdr:row>6054</xdr:row>
      <xdr:rowOff>904240</xdr:rowOff>
    </xdr:to>
    <xdr:pic>
      <xdr:nvPicPr>
        <xdr:cNvPr id="10147" name="Изображение 10146" descr="resizeПП-00076343"/>
        <xdr:cNvPicPr>
          <a:picLocks noChangeAspect="1"/>
        </xdr:cNvPicPr>
      </xdr:nvPicPr>
      <xdr:blipFill>
        <a:blip xmlns:r="http://schemas.openxmlformats.org/officeDocument/2006/relationships" r:embed="rId4755"/>
        <a:stretch>
          <a:fillRect/>
        </a:stretch>
      </xdr:blipFill>
      <xdr:spPr>
        <a:xfrm>
          <a:off x="7235825" y="6215122825"/>
          <a:ext cx="1183640" cy="878840"/>
        </a:xfrm>
        <a:prstGeom prst="rect">
          <a:avLst/>
        </a:prstGeom>
      </xdr:spPr>
    </xdr:pic>
    <xdr:clientData/>
  </xdr:twoCellAnchor>
  <xdr:twoCellAnchor>
    <xdr:from>
      <xdr:col>9</xdr:col>
      <xdr:colOff>6350</xdr:colOff>
      <xdr:row>6055</xdr:row>
      <xdr:rowOff>25400</xdr:rowOff>
    </xdr:from>
    <xdr:to>
      <xdr:col>9</xdr:col>
      <xdr:colOff>885190</xdr:colOff>
      <xdr:row>6055</xdr:row>
      <xdr:rowOff>1209040</xdr:rowOff>
    </xdr:to>
    <xdr:pic>
      <xdr:nvPicPr>
        <xdr:cNvPr id="10148" name="Изображение 10147" descr="resizeПП-00040490"/>
        <xdr:cNvPicPr>
          <a:picLocks noChangeAspect="1"/>
        </xdr:cNvPicPr>
      </xdr:nvPicPr>
      <xdr:blipFill>
        <a:blip xmlns:r="http://schemas.openxmlformats.org/officeDocument/2006/relationships" r:embed="rId4756"/>
        <a:stretch>
          <a:fillRect/>
        </a:stretch>
      </xdr:blipFill>
      <xdr:spPr>
        <a:xfrm>
          <a:off x="7235825" y="6216345200"/>
          <a:ext cx="878840" cy="1183640"/>
        </a:xfrm>
        <a:prstGeom prst="rect">
          <a:avLst/>
        </a:prstGeom>
      </xdr:spPr>
    </xdr:pic>
    <xdr:clientData/>
  </xdr:twoCellAnchor>
  <xdr:twoCellAnchor>
    <xdr:from>
      <xdr:col>9</xdr:col>
      <xdr:colOff>6350</xdr:colOff>
      <xdr:row>6056</xdr:row>
      <xdr:rowOff>25400</xdr:rowOff>
    </xdr:from>
    <xdr:to>
      <xdr:col>9</xdr:col>
      <xdr:colOff>885190</xdr:colOff>
      <xdr:row>6056</xdr:row>
      <xdr:rowOff>1209040</xdr:rowOff>
    </xdr:to>
    <xdr:pic>
      <xdr:nvPicPr>
        <xdr:cNvPr id="10149" name="Изображение 10148" descr="resizeПП-00040491"/>
        <xdr:cNvPicPr>
          <a:picLocks noChangeAspect="1"/>
        </xdr:cNvPicPr>
      </xdr:nvPicPr>
      <xdr:blipFill>
        <a:blip xmlns:r="http://schemas.openxmlformats.org/officeDocument/2006/relationships" r:embed="rId4757"/>
        <a:stretch>
          <a:fillRect/>
        </a:stretch>
      </xdr:blipFill>
      <xdr:spPr>
        <a:xfrm>
          <a:off x="7235825" y="6217567575"/>
          <a:ext cx="878840" cy="1183640"/>
        </a:xfrm>
        <a:prstGeom prst="rect">
          <a:avLst/>
        </a:prstGeom>
      </xdr:spPr>
    </xdr:pic>
    <xdr:clientData/>
  </xdr:twoCellAnchor>
  <xdr:twoCellAnchor>
    <xdr:from>
      <xdr:col>9</xdr:col>
      <xdr:colOff>6350</xdr:colOff>
      <xdr:row>6057</xdr:row>
      <xdr:rowOff>25400</xdr:rowOff>
    </xdr:from>
    <xdr:to>
      <xdr:col>9</xdr:col>
      <xdr:colOff>885190</xdr:colOff>
      <xdr:row>6057</xdr:row>
      <xdr:rowOff>1209040</xdr:rowOff>
    </xdr:to>
    <xdr:pic>
      <xdr:nvPicPr>
        <xdr:cNvPr id="10150" name="Изображение 10149" descr="resizeПП-00040499"/>
        <xdr:cNvPicPr>
          <a:picLocks noChangeAspect="1"/>
        </xdr:cNvPicPr>
      </xdr:nvPicPr>
      <xdr:blipFill>
        <a:blip xmlns:r="http://schemas.openxmlformats.org/officeDocument/2006/relationships" r:embed="rId4758"/>
        <a:stretch>
          <a:fillRect/>
        </a:stretch>
      </xdr:blipFill>
      <xdr:spPr>
        <a:xfrm>
          <a:off x="7235825" y="6218789950"/>
          <a:ext cx="878840" cy="1183640"/>
        </a:xfrm>
        <a:prstGeom prst="rect">
          <a:avLst/>
        </a:prstGeom>
      </xdr:spPr>
    </xdr:pic>
    <xdr:clientData/>
  </xdr:twoCellAnchor>
  <xdr:twoCellAnchor>
    <xdr:from>
      <xdr:col>9</xdr:col>
      <xdr:colOff>6350</xdr:colOff>
      <xdr:row>6058</xdr:row>
      <xdr:rowOff>25400</xdr:rowOff>
    </xdr:from>
    <xdr:to>
      <xdr:col>9</xdr:col>
      <xdr:colOff>885190</xdr:colOff>
      <xdr:row>6058</xdr:row>
      <xdr:rowOff>1209040</xdr:rowOff>
    </xdr:to>
    <xdr:pic>
      <xdr:nvPicPr>
        <xdr:cNvPr id="10151" name="Изображение 10150" descr="resizeПП-00040498"/>
        <xdr:cNvPicPr>
          <a:picLocks noChangeAspect="1"/>
        </xdr:cNvPicPr>
      </xdr:nvPicPr>
      <xdr:blipFill>
        <a:blip xmlns:r="http://schemas.openxmlformats.org/officeDocument/2006/relationships" r:embed="rId4759"/>
        <a:stretch>
          <a:fillRect/>
        </a:stretch>
      </xdr:blipFill>
      <xdr:spPr>
        <a:xfrm>
          <a:off x="7235825" y="6220012325"/>
          <a:ext cx="878840" cy="1183640"/>
        </a:xfrm>
        <a:prstGeom prst="rect">
          <a:avLst/>
        </a:prstGeom>
      </xdr:spPr>
    </xdr:pic>
    <xdr:clientData/>
  </xdr:twoCellAnchor>
  <xdr:twoCellAnchor>
    <xdr:from>
      <xdr:col>9</xdr:col>
      <xdr:colOff>6350</xdr:colOff>
      <xdr:row>6059</xdr:row>
      <xdr:rowOff>25400</xdr:rowOff>
    </xdr:from>
    <xdr:to>
      <xdr:col>9</xdr:col>
      <xdr:colOff>885190</xdr:colOff>
      <xdr:row>6059</xdr:row>
      <xdr:rowOff>1209040</xdr:rowOff>
    </xdr:to>
    <xdr:pic>
      <xdr:nvPicPr>
        <xdr:cNvPr id="10152" name="Изображение 10151" descr="resizeПП-00040504"/>
        <xdr:cNvPicPr>
          <a:picLocks noChangeAspect="1"/>
        </xdr:cNvPicPr>
      </xdr:nvPicPr>
      <xdr:blipFill>
        <a:blip xmlns:r="http://schemas.openxmlformats.org/officeDocument/2006/relationships" r:embed="rId4760"/>
        <a:stretch>
          <a:fillRect/>
        </a:stretch>
      </xdr:blipFill>
      <xdr:spPr>
        <a:xfrm>
          <a:off x="7235825" y="6221234700"/>
          <a:ext cx="878840" cy="1183640"/>
        </a:xfrm>
        <a:prstGeom prst="rect">
          <a:avLst/>
        </a:prstGeom>
      </xdr:spPr>
    </xdr:pic>
    <xdr:clientData/>
  </xdr:twoCellAnchor>
  <xdr:twoCellAnchor>
    <xdr:from>
      <xdr:col>9</xdr:col>
      <xdr:colOff>6350</xdr:colOff>
      <xdr:row>6061</xdr:row>
      <xdr:rowOff>25400</xdr:rowOff>
    </xdr:from>
    <xdr:to>
      <xdr:col>9</xdr:col>
      <xdr:colOff>885190</xdr:colOff>
      <xdr:row>6061</xdr:row>
      <xdr:rowOff>1209040</xdr:rowOff>
    </xdr:to>
    <xdr:pic>
      <xdr:nvPicPr>
        <xdr:cNvPr id="10153" name="Изображение 10152" descr="resizeПП-00266366"/>
        <xdr:cNvPicPr>
          <a:picLocks noChangeAspect="1"/>
        </xdr:cNvPicPr>
      </xdr:nvPicPr>
      <xdr:blipFill>
        <a:blip xmlns:r="http://schemas.openxmlformats.org/officeDocument/2006/relationships" r:embed="rId4761"/>
        <a:stretch>
          <a:fillRect/>
        </a:stretch>
      </xdr:blipFill>
      <xdr:spPr>
        <a:xfrm>
          <a:off x="7235825" y="6222609475"/>
          <a:ext cx="878840" cy="1183640"/>
        </a:xfrm>
        <a:prstGeom prst="rect">
          <a:avLst/>
        </a:prstGeom>
      </xdr:spPr>
    </xdr:pic>
    <xdr:clientData/>
  </xdr:twoCellAnchor>
  <xdr:twoCellAnchor>
    <xdr:from>
      <xdr:col>9</xdr:col>
      <xdr:colOff>6350</xdr:colOff>
      <xdr:row>6063</xdr:row>
      <xdr:rowOff>25400</xdr:rowOff>
    </xdr:from>
    <xdr:to>
      <xdr:col>9</xdr:col>
      <xdr:colOff>1189990</xdr:colOff>
      <xdr:row>6063</xdr:row>
      <xdr:rowOff>904240</xdr:rowOff>
    </xdr:to>
    <xdr:pic>
      <xdr:nvPicPr>
        <xdr:cNvPr id="10154" name="Изображение 10153" descr="resizeПП-00039952"/>
        <xdr:cNvPicPr>
          <a:picLocks noChangeAspect="1"/>
        </xdr:cNvPicPr>
      </xdr:nvPicPr>
      <xdr:blipFill>
        <a:blip xmlns:r="http://schemas.openxmlformats.org/officeDocument/2006/relationships" r:embed="rId4762"/>
        <a:stretch>
          <a:fillRect/>
        </a:stretch>
      </xdr:blipFill>
      <xdr:spPr>
        <a:xfrm>
          <a:off x="7235825" y="6223984250"/>
          <a:ext cx="1183640" cy="878840"/>
        </a:xfrm>
        <a:prstGeom prst="rect">
          <a:avLst/>
        </a:prstGeom>
      </xdr:spPr>
    </xdr:pic>
    <xdr:clientData/>
  </xdr:twoCellAnchor>
  <xdr:twoCellAnchor>
    <xdr:from>
      <xdr:col>9</xdr:col>
      <xdr:colOff>6350</xdr:colOff>
      <xdr:row>6064</xdr:row>
      <xdr:rowOff>25400</xdr:rowOff>
    </xdr:from>
    <xdr:to>
      <xdr:col>9</xdr:col>
      <xdr:colOff>1189990</xdr:colOff>
      <xdr:row>6064</xdr:row>
      <xdr:rowOff>1056640</xdr:rowOff>
    </xdr:to>
    <xdr:pic>
      <xdr:nvPicPr>
        <xdr:cNvPr id="10155" name="Изображение 10154" descr="resizeПП-00039953"/>
        <xdr:cNvPicPr>
          <a:picLocks noChangeAspect="1"/>
        </xdr:cNvPicPr>
      </xdr:nvPicPr>
      <xdr:blipFill>
        <a:blip xmlns:r="http://schemas.openxmlformats.org/officeDocument/2006/relationships" r:embed="rId4763"/>
        <a:stretch>
          <a:fillRect/>
        </a:stretch>
      </xdr:blipFill>
      <xdr:spPr>
        <a:xfrm>
          <a:off x="7235825" y="6225206625"/>
          <a:ext cx="1183640" cy="1031240"/>
        </a:xfrm>
        <a:prstGeom prst="rect">
          <a:avLst/>
        </a:prstGeom>
      </xdr:spPr>
    </xdr:pic>
    <xdr:clientData/>
  </xdr:twoCellAnchor>
  <xdr:twoCellAnchor>
    <xdr:from>
      <xdr:col>9</xdr:col>
      <xdr:colOff>6350</xdr:colOff>
      <xdr:row>6065</xdr:row>
      <xdr:rowOff>25400</xdr:rowOff>
    </xdr:from>
    <xdr:to>
      <xdr:col>9</xdr:col>
      <xdr:colOff>1189990</xdr:colOff>
      <xdr:row>6065</xdr:row>
      <xdr:rowOff>904240</xdr:rowOff>
    </xdr:to>
    <xdr:pic>
      <xdr:nvPicPr>
        <xdr:cNvPr id="10156" name="Изображение 10155" descr="resizeПП-00039955"/>
        <xdr:cNvPicPr>
          <a:picLocks noChangeAspect="1"/>
        </xdr:cNvPicPr>
      </xdr:nvPicPr>
      <xdr:blipFill>
        <a:blip xmlns:r="http://schemas.openxmlformats.org/officeDocument/2006/relationships" r:embed="rId4764"/>
        <a:stretch>
          <a:fillRect/>
        </a:stretch>
      </xdr:blipFill>
      <xdr:spPr>
        <a:xfrm>
          <a:off x="7235825" y="6226429000"/>
          <a:ext cx="1183640" cy="878840"/>
        </a:xfrm>
        <a:prstGeom prst="rect">
          <a:avLst/>
        </a:prstGeom>
      </xdr:spPr>
    </xdr:pic>
    <xdr:clientData/>
  </xdr:twoCellAnchor>
  <xdr:twoCellAnchor>
    <xdr:from>
      <xdr:col>9</xdr:col>
      <xdr:colOff>6350</xdr:colOff>
      <xdr:row>6066</xdr:row>
      <xdr:rowOff>25400</xdr:rowOff>
    </xdr:from>
    <xdr:to>
      <xdr:col>9</xdr:col>
      <xdr:colOff>1189990</xdr:colOff>
      <xdr:row>6066</xdr:row>
      <xdr:rowOff>904240</xdr:rowOff>
    </xdr:to>
    <xdr:pic>
      <xdr:nvPicPr>
        <xdr:cNvPr id="10157" name="Изображение 10156" descr="resizeПП-00039957"/>
        <xdr:cNvPicPr>
          <a:picLocks noChangeAspect="1"/>
        </xdr:cNvPicPr>
      </xdr:nvPicPr>
      <xdr:blipFill>
        <a:blip xmlns:r="http://schemas.openxmlformats.org/officeDocument/2006/relationships" r:embed="rId4765"/>
        <a:stretch>
          <a:fillRect/>
        </a:stretch>
      </xdr:blipFill>
      <xdr:spPr>
        <a:xfrm>
          <a:off x="7235825" y="6227651375"/>
          <a:ext cx="1183640" cy="878840"/>
        </a:xfrm>
        <a:prstGeom prst="rect">
          <a:avLst/>
        </a:prstGeom>
      </xdr:spPr>
    </xdr:pic>
    <xdr:clientData/>
  </xdr:twoCellAnchor>
  <xdr:twoCellAnchor>
    <xdr:from>
      <xdr:col>9</xdr:col>
      <xdr:colOff>6350</xdr:colOff>
      <xdr:row>6067</xdr:row>
      <xdr:rowOff>25400</xdr:rowOff>
    </xdr:from>
    <xdr:to>
      <xdr:col>9</xdr:col>
      <xdr:colOff>1189990</xdr:colOff>
      <xdr:row>6067</xdr:row>
      <xdr:rowOff>904240</xdr:rowOff>
    </xdr:to>
    <xdr:pic>
      <xdr:nvPicPr>
        <xdr:cNvPr id="10158" name="Изображение 10157" descr="resizeПП-00039963"/>
        <xdr:cNvPicPr>
          <a:picLocks noChangeAspect="1"/>
        </xdr:cNvPicPr>
      </xdr:nvPicPr>
      <xdr:blipFill>
        <a:blip xmlns:r="http://schemas.openxmlformats.org/officeDocument/2006/relationships" r:embed="rId4766"/>
        <a:stretch>
          <a:fillRect/>
        </a:stretch>
      </xdr:blipFill>
      <xdr:spPr>
        <a:xfrm>
          <a:off x="7235825" y="6228873750"/>
          <a:ext cx="1183640" cy="878840"/>
        </a:xfrm>
        <a:prstGeom prst="rect">
          <a:avLst/>
        </a:prstGeom>
      </xdr:spPr>
    </xdr:pic>
    <xdr:clientData/>
  </xdr:twoCellAnchor>
  <xdr:twoCellAnchor>
    <xdr:from>
      <xdr:col>9</xdr:col>
      <xdr:colOff>6350</xdr:colOff>
      <xdr:row>6068</xdr:row>
      <xdr:rowOff>25400</xdr:rowOff>
    </xdr:from>
    <xdr:to>
      <xdr:col>9</xdr:col>
      <xdr:colOff>1189990</xdr:colOff>
      <xdr:row>6068</xdr:row>
      <xdr:rowOff>904240</xdr:rowOff>
    </xdr:to>
    <xdr:pic>
      <xdr:nvPicPr>
        <xdr:cNvPr id="10159" name="Изображение 10158" descr="resizeПП-00039965"/>
        <xdr:cNvPicPr>
          <a:picLocks noChangeAspect="1"/>
        </xdr:cNvPicPr>
      </xdr:nvPicPr>
      <xdr:blipFill>
        <a:blip xmlns:r="http://schemas.openxmlformats.org/officeDocument/2006/relationships" r:embed="rId4767"/>
        <a:stretch>
          <a:fillRect/>
        </a:stretch>
      </xdr:blipFill>
      <xdr:spPr>
        <a:xfrm>
          <a:off x="7235825" y="6230096125"/>
          <a:ext cx="1183640" cy="878840"/>
        </a:xfrm>
        <a:prstGeom prst="rect">
          <a:avLst/>
        </a:prstGeom>
      </xdr:spPr>
    </xdr:pic>
    <xdr:clientData/>
  </xdr:twoCellAnchor>
  <xdr:twoCellAnchor>
    <xdr:from>
      <xdr:col>9</xdr:col>
      <xdr:colOff>6350</xdr:colOff>
      <xdr:row>6069</xdr:row>
      <xdr:rowOff>25400</xdr:rowOff>
    </xdr:from>
    <xdr:to>
      <xdr:col>9</xdr:col>
      <xdr:colOff>1189990</xdr:colOff>
      <xdr:row>6069</xdr:row>
      <xdr:rowOff>904240</xdr:rowOff>
    </xdr:to>
    <xdr:pic>
      <xdr:nvPicPr>
        <xdr:cNvPr id="10160" name="Изображение 10159" descr="resizeПП-00076348"/>
        <xdr:cNvPicPr>
          <a:picLocks noChangeAspect="1"/>
        </xdr:cNvPicPr>
      </xdr:nvPicPr>
      <xdr:blipFill>
        <a:blip xmlns:r="http://schemas.openxmlformats.org/officeDocument/2006/relationships" r:embed="rId4768"/>
        <a:stretch>
          <a:fillRect/>
        </a:stretch>
      </xdr:blipFill>
      <xdr:spPr>
        <a:xfrm>
          <a:off x="7235825" y="6231318500"/>
          <a:ext cx="1183640" cy="878840"/>
        </a:xfrm>
        <a:prstGeom prst="rect">
          <a:avLst/>
        </a:prstGeom>
      </xdr:spPr>
    </xdr:pic>
    <xdr:clientData/>
  </xdr:twoCellAnchor>
  <xdr:twoCellAnchor>
    <xdr:from>
      <xdr:col>9</xdr:col>
      <xdr:colOff>6350</xdr:colOff>
      <xdr:row>6070</xdr:row>
      <xdr:rowOff>25400</xdr:rowOff>
    </xdr:from>
    <xdr:to>
      <xdr:col>9</xdr:col>
      <xdr:colOff>1189990</xdr:colOff>
      <xdr:row>6070</xdr:row>
      <xdr:rowOff>904240</xdr:rowOff>
    </xdr:to>
    <xdr:pic>
      <xdr:nvPicPr>
        <xdr:cNvPr id="10161" name="Изображение 10160" descr="resizeПП-00039958"/>
        <xdr:cNvPicPr>
          <a:picLocks noChangeAspect="1"/>
        </xdr:cNvPicPr>
      </xdr:nvPicPr>
      <xdr:blipFill>
        <a:blip xmlns:r="http://schemas.openxmlformats.org/officeDocument/2006/relationships" r:embed="rId4769"/>
        <a:stretch>
          <a:fillRect/>
        </a:stretch>
      </xdr:blipFill>
      <xdr:spPr>
        <a:xfrm>
          <a:off x="7235825" y="6232540875"/>
          <a:ext cx="1183640" cy="878840"/>
        </a:xfrm>
        <a:prstGeom prst="rect">
          <a:avLst/>
        </a:prstGeom>
      </xdr:spPr>
    </xdr:pic>
    <xdr:clientData/>
  </xdr:twoCellAnchor>
  <xdr:twoCellAnchor>
    <xdr:from>
      <xdr:col>9</xdr:col>
      <xdr:colOff>6350</xdr:colOff>
      <xdr:row>6071</xdr:row>
      <xdr:rowOff>25400</xdr:rowOff>
    </xdr:from>
    <xdr:to>
      <xdr:col>9</xdr:col>
      <xdr:colOff>1189990</xdr:colOff>
      <xdr:row>6071</xdr:row>
      <xdr:rowOff>904240</xdr:rowOff>
    </xdr:to>
    <xdr:pic>
      <xdr:nvPicPr>
        <xdr:cNvPr id="10162" name="Изображение 10161" descr="resizeПП-00076347"/>
        <xdr:cNvPicPr>
          <a:picLocks noChangeAspect="1"/>
        </xdr:cNvPicPr>
      </xdr:nvPicPr>
      <xdr:blipFill>
        <a:blip xmlns:r="http://schemas.openxmlformats.org/officeDocument/2006/relationships" r:embed="rId4770"/>
        <a:stretch>
          <a:fillRect/>
        </a:stretch>
      </xdr:blipFill>
      <xdr:spPr>
        <a:xfrm>
          <a:off x="7235825" y="6233763250"/>
          <a:ext cx="1183640" cy="878840"/>
        </a:xfrm>
        <a:prstGeom prst="rect">
          <a:avLst/>
        </a:prstGeom>
      </xdr:spPr>
    </xdr:pic>
    <xdr:clientData/>
  </xdr:twoCellAnchor>
  <xdr:twoCellAnchor>
    <xdr:from>
      <xdr:col>9</xdr:col>
      <xdr:colOff>6350</xdr:colOff>
      <xdr:row>6072</xdr:row>
      <xdr:rowOff>25400</xdr:rowOff>
    </xdr:from>
    <xdr:to>
      <xdr:col>9</xdr:col>
      <xdr:colOff>1189990</xdr:colOff>
      <xdr:row>6072</xdr:row>
      <xdr:rowOff>904240</xdr:rowOff>
    </xdr:to>
    <xdr:pic>
      <xdr:nvPicPr>
        <xdr:cNvPr id="10163" name="Изображение 10162" descr="resizeПП-00039962"/>
        <xdr:cNvPicPr>
          <a:picLocks noChangeAspect="1"/>
        </xdr:cNvPicPr>
      </xdr:nvPicPr>
      <xdr:blipFill>
        <a:blip xmlns:r="http://schemas.openxmlformats.org/officeDocument/2006/relationships" r:embed="rId4771"/>
        <a:stretch>
          <a:fillRect/>
        </a:stretch>
      </xdr:blipFill>
      <xdr:spPr>
        <a:xfrm>
          <a:off x="7235825" y="6234985625"/>
          <a:ext cx="1183640" cy="878840"/>
        </a:xfrm>
        <a:prstGeom prst="rect">
          <a:avLst/>
        </a:prstGeom>
      </xdr:spPr>
    </xdr:pic>
    <xdr:clientData/>
  </xdr:twoCellAnchor>
  <xdr:twoCellAnchor>
    <xdr:from>
      <xdr:col>9</xdr:col>
      <xdr:colOff>6350</xdr:colOff>
      <xdr:row>6073</xdr:row>
      <xdr:rowOff>25400</xdr:rowOff>
    </xdr:from>
    <xdr:to>
      <xdr:col>9</xdr:col>
      <xdr:colOff>1189990</xdr:colOff>
      <xdr:row>6073</xdr:row>
      <xdr:rowOff>904240</xdr:rowOff>
    </xdr:to>
    <xdr:pic>
      <xdr:nvPicPr>
        <xdr:cNvPr id="10164" name="Изображение 10163" descr="resizeПП-00039954"/>
        <xdr:cNvPicPr>
          <a:picLocks noChangeAspect="1"/>
        </xdr:cNvPicPr>
      </xdr:nvPicPr>
      <xdr:blipFill>
        <a:blip xmlns:r="http://schemas.openxmlformats.org/officeDocument/2006/relationships" r:embed="rId4772"/>
        <a:stretch>
          <a:fillRect/>
        </a:stretch>
      </xdr:blipFill>
      <xdr:spPr>
        <a:xfrm>
          <a:off x="7235825" y="6236208000"/>
          <a:ext cx="1183640" cy="878840"/>
        </a:xfrm>
        <a:prstGeom prst="rect">
          <a:avLst/>
        </a:prstGeom>
      </xdr:spPr>
    </xdr:pic>
    <xdr:clientData/>
  </xdr:twoCellAnchor>
  <xdr:twoCellAnchor>
    <xdr:from>
      <xdr:col>9</xdr:col>
      <xdr:colOff>6350</xdr:colOff>
      <xdr:row>6074</xdr:row>
      <xdr:rowOff>25400</xdr:rowOff>
    </xdr:from>
    <xdr:to>
      <xdr:col>9</xdr:col>
      <xdr:colOff>1189990</xdr:colOff>
      <xdr:row>6074</xdr:row>
      <xdr:rowOff>904240</xdr:rowOff>
    </xdr:to>
    <xdr:pic>
      <xdr:nvPicPr>
        <xdr:cNvPr id="10165" name="Изображение 10164" descr="resizeПП-00039960"/>
        <xdr:cNvPicPr>
          <a:picLocks noChangeAspect="1"/>
        </xdr:cNvPicPr>
      </xdr:nvPicPr>
      <xdr:blipFill>
        <a:blip xmlns:r="http://schemas.openxmlformats.org/officeDocument/2006/relationships" r:embed="rId4773"/>
        <a:stretch>
          <a:fillRect/>
        </a:stretch>
      </xdr:blipFill>
      <xdr:spPr>
        <a:xfrm>
          <a:off x="7235825" y="6237430375"/>
          <a:ext cx="1183640" cy="878840"/>
        </a:xfrm>
        <a:prstGeom prst="rect">
          <a:avLst/>
        </a:prstGeom>
      </xdr:spPr>
    </xdr:pic>
    <xdr:clientData/>
  </xdr:twoCellAnchor>
  <xdr:twoCellAnchor>
    <xdr:from>
      <xdr:col>9</xdr:col>
      <xdr:colOff>6350</xdr:colOff>
      <xdr:row>6075</xdr:row>
      <xdr:rowOff>25400</xdr:rowOff>
    </xdr:from>
    <xdr:to>
      <xdr:col>9</xdr:col>
      <xdr:colOff>1189990</xdr:colOff>
      <xdr:row>6075</xdr:row>
      <xdr:rowOff>904240</xdr:rowOff>
    </xdr:to>
    <xdr:pic>
      <xdr:nvPicPr>
        <xdr:cNvPr id="10166" name="Изображение 10165" descr="resizeПП-00039956"/>
        <xdr:cNvPicPr>
          <a:picLocks noChangeAspect="1"/>
        </xdr:cNvPicPr>
      </xdr:nvPicPr>
      <xdr:blipFill>
        <a:blip xmlns:r="http://schemas.openxmlformats.org/officeDocument/2006/relationships" r:embed="rId4774"/>
        <a:stretch>
          <a:fillRect/>
        </a:stretch>
      </xdr:blipFill>
      <xdr:spPr>
        <a:xfrm>
          <a:off x="7235825" y="6238652750"/>
          <a:ext cx="1183640" cy="878840"/>
        </a:xfrm>
        <a:prstGeom prst="rect">
          <a:avLst/>
        </a:prstGeom>
      </xdr:spPr>
    </xdr:pic>
    <xdr:clientData/>
  </xdr:twoCellAnchor>
  <xdr:twoCellAnchor>
    <xdr:from>
      <xdr:col>9</xdr:col>
      <xdr:colOff>6350</xdr:colOff>
      <xdr:row>6076</xdr:row>
      <xdr:rowOff>25400</xdr:rowOff>
    </xdr:from>
    <xdr:to>
      <xdr:col>9</xdr:col>
      <xdr:colOff>1189990</xdr:colOff>
      <xdr:row>6076</xdr:row>
      <xdr:rowOff>904240</xdr:rowOff>
    </xdr:to>
    <xdr:pic>
      <xdr:nvPicPr>
        <xdr:cNvPr id="10167" name="Изображение 10166" descr="resizeПП-00039961"/>
        <xdr:cNvPicPr>
          <a:picLocks noChangeAspect="1"/>
        </xdr:cNvPicPr>
      </xdr:nvPicPr>
      <xdr:blipFill>
        <a:blip xmlns:r="http://schemas.openxmlformats.org/officeDocument/2006/relationships" r:embed="rId4775"/>
        <a:stretch>
          <a:fillRect/>
        </a:stretch>
      </xdr:blipFill>
      <xdr:spPr>
        <a:xfrm>
          <a:off x="7235825" y="6239875125"/>
          <a:ext cx="1183640" cy="878840"/>
        </a:xfrm>
        <a:prstGeom prst="rect">
          <a:avLst/>
        </a:prstGeom>
      </xdr:spPr>
    </xdr:pic>
    <xdr:clientData/>
  </xdr:twoCellAnchor>
  <xdr:twoCellAnchor>
    <xdr:from>
      <xdr:col>9</xdr:col>
      <xdr:colOff>6350</xdr:colOff>
      <xdr:row>6077</xdr:row>
      <xdr:rowOff>25400</xdr:rowOff>
    </xdr:from>
    <xdr:to>
      <xdr:col>9</xdr:col>
      <xdr:colOff>885190</xdr:colOff>
      <xdr:row>6077</xdr:row>
      <xdr:rowOff>1209040</xdr:rowOff>
    </xdr:to>
    <xdr:pic>
      <xdr:nvPicPr>
        <xdr:cNvPr id="10168" name="Изображение 10167" descr="resizeПП-00256308"/>
        <xdr:cNvPicPr>
          <a:picLocks noChangeAspect="1"/>
        </xdr:cNvPicPr>
      </xdr:nvPicPr>
      <xdr:blipFill>
        <a:blip xmlns:r="http://schemas.openxmlformats.org/officeDocument/2006/relationships" r:embed="rId4776"/>
        <a:stretch>
          <a:fillRect/>
        </a:stretch>
      </xdr:blipFill>
      <xdr:spPr>
        <a:xfrm>
          <a:off x="7235825" y="6241097500"/>
          <a:ext cx="878840" cy="1183640"/>
        </a:xfrm>
        <a:prstGeom prst="rect">
          <a:avLst/>
        </a:prstGeom>
      </xdr:spPr>
    </xdr:pic>
    <xdr:clientData/>
  </xdr:twoCellAnchor>
  <xdr:twoCellAnchor>
    <xdr:from>
      <xdr:col>9</xdr:col>
      <xdr:colOff>6350</xdr:colOff>
      <xdr:row>6082</xdr:row>
      <xdr:rowOff>25400</xdr:rowOff>
    </xdr:from>
    <xdr:to>
      <xdr:col>9</xdr:col>
      <xdr:colOff>885190</xdr:colOff>
      <xdr:row>6082</xdr:row>
      <xdr:rowOff>1209040</xdr:rowOff>
    </xdr:to>
    <xdr:pic>
      <xdr:nvPicPr>
        <xdr:cNvPr id="10169" name="Изображение 10168" descr="resizeПП-00071637"/>
        <xdr:cNvPicPr>
          <a:picLocks noChangeAspect="1"/>
        </xdr:cNvPicPr>
      </xdr:nvPicPr>
      <xdr:blipFill>
        <a:blip xmlns:r="http://schemas.openxmlformats.org/officeDocument/2006/relationships" r:embed="rId4777"/>
        <a:stretch>
          <a:fillRect/>
        </a:stretch>
      </xdr:blipFill>
      <xdr:spPr>
        <a:xfrm>
          <a:off x="7235825" y="6242980275"/>
          <a:ext cx="878840" cy="1183640"/>
        </a:xfrm>
        <a:prstGeom prst="rect">
          <a:avLst/>
        </a:prstGeom>
      </xdr:spPr>
    </xdr:pic>
    <xdr:clientData/>
  </xdr:twoCellAnchor>
  <xdr:twoCellAnchor>
    <xdr:from>
      <xdr:col>9</xdr:col>
      <xdr:colOff>6350</xdr:colOff>
      <xdr:row>6084</xdr:row>
      <xdr:rowOff>25400</xdr:rowOff>
    </xdr:from>
    <xdr:to>
      <xdr:col>9</xdr:col>
      <xdr:colOff>885190</xdr:colOff>
      <xdr:row>6084</xdr:row>
      <xdr:rowOff>1209040</xdr:rowOff>
    </xdr:to>
    <xdr:pic>
      <xdr:nvPicPr>
        <xdr:cNvPr id="10170" name="Изображение 10169" descr="resizeПП-00226210"/>
        <xdr:cNvPicPr>
          <a:picLocks noChangeAspect="1"/>
        </xdr:cNvPicPr>
      </xdr:nvPicPr>
      <xdr:blipFill>
        <a:blip xmlns:r="http://schemas.openxmlformats.org/officeDocument/2006/relationships" r:embed="rId4778"/>
        <a:stretch>
          <a:fillRect/>
        </a:stretch>
      </xdr:blipFill>
      <xdr:spPr>
        <a:xfrm>
          <a:off x="7235825" y="6244355050"/>
          <a:ext cx="878840" cy="1183640"/>
        </a:xfrm>
        <a:prstGeom prst="rect">
          <a:avLst/>
        </a:prstGeom>
      </xdr:spPr>
    </xdr:pic>
    <xdr:clientData/>
  </xdr:twoCellAnchor>
  <xdr:twoCellAnchor>
    <xdr:from>
      <xdr:col>9</xdr:col>
      <xdr:colOff>6350</xdr:colOff>
      <xdr:row>6085</xdr:row>
      <xdr:rowOff>25400</xdr:rowOff>
    </xdr:from>
    <xdr:to>
      <xdr:col>9</xdr:col>
      <xdr:colOff>885190</xdr:colOff>
      <xdr:row>6085</xdr:row>
      <xdr:rowOff>1209040</xdr:rowOff>
    </xdr:to>
    <xdr:pic>
      <xdr:nvPicPr>
        <xdr:cNvPr id="10171" name="Изображение 10170" descr="resizeПП-00093079"/>
        <xdr:cNvPicPr>
          <a:picLocks noChangeAspect="1"/>
        </xdr:cNvPicPr>
      </xdr:nvPicPr>
      <xdr:blipFill>
        <a:blip xmlns:r="http://schemas.openxmlformats.org/officeDocument/2006/relationships" r:embed="rId4779"/>
        <a:stretch>
          <a:fillRect/>
        </a:stretch>
      </xdr:blipFill>
      <xdr:spPr>
        <a:xfrm>
          <a:off x="7235825" y="6245577425"/>
          <a:ext cx="878840" cy="1183640"/>
        </a:xfrm>
        <a:prstGeom prst="rect">
          <a:avLst/>
        </a:prstGeom>
      </xdr:spPr>
    </xdr:pic>
    <xdr:clientData/>
  </xdr:twoCellAnchor>
  <xdr:twoCellAnchor>
    <xdr:from>
      <xdr:col>9</xdr:col>
      <xdr:colOff>6350</xdr:colOff>
      <xdr:row>6086</xdr:row>
      <xdr:rowOff>25400</xdr:rowOff>
    </xdr:from>
    <xdr:to>
      <xdr:col>9</xdr:col>
      <xdr:colOff>885190</xdr:colOff>
      <xdr:row>6086</xdr:row>
      <xdr:rowOff>1209040</xdr:rowOff>
    </xdr:to>
    <xdr:pic>
      <xdr:nvPicPr>
        <xdr:cNvPr id="10172" name="Изображение 10171" descr="resizeПП-00226213"/>
        <xdr:cNvPicPr>
          <a:picLocks noChangeAspect="1"/>
        </xdr:cNvPicPr>
      </xdr:nvPicPr>
      <xdr:blipFill>
        <a:blip xmlns:r="http://schemas.openxmlformats.org/officeDocument/2006/relationships" r:embed="rId4780"/>
        <a:stretch>
          <a:fillRect/>
        </a:stretch>
      </xdr:blipFill>
      <xdr:spPr>
        <a:xfrm>
          <a:off x="7235825" y="6246799800"/>
          <a:ext cx="878840" cy="1183640"/>
        </a:xfrm>
        <a:prstGeom prst="rect">
          <a:avLst/>
        </a:prstGeom>
      </xdr:spPr>
    </xdr:pic>
    <xdr:clientData/>
  </xdr:twoCellAnchor>
  <xdr:twoCellAnchor>
    <xdr:from>
      <xdr:col>9</xdr:col>
      <xdr:colOff>6350</xdr:colOff>
      <xdr:row>6089</xdr:row>
      <xdr:rowOff>25400</xdr:rowOff>
    </xdr:from>
    <xdr:to>
      <xdr:col>9</xdr:col>
      <xdr:colOff>885190</xdr:colOff>
      <xdr:row>6089</xdr:row>
      <xdr:rowOff>1209040</xdr:rowOff>
    </xdr:to>
    <xdr:pic>
      <xdr:nvPicPr>
        <xdr:cNvPr id="10173" name="Изображение 10172" descr="resizeПП-00122483"/>
        <xdr:cNvPicPr>
          <a:picLocks noChangeAspect="1"/>
        </xdr:cNvPicPr>
      </xdr:nvPicPr>
      <xdr:blipFill>
        <a:blip xmlns:r="http://schemas.openxmlformats.org/officeDocument/2006/relationships" r:embed="rId4781"/>
        <a:stretch>
          <a:fillRect/>
        </a:stretch>
      </xdr:blipFill>
      <xdr:spPr>
        <a:xfrm>
          <a:off x="7235825" y="6248326975"/>
          <a:ext cx="878840" cy="1183640"/>
        </a:xfrm>
        <a:prstGeom prst="rect">
          <a:avLst/>
        </a:prstGeom>
      </xdr:spPr>
    </xdr:pic>
    <xdr:clientData/>
  </xdr:twoCellAnchor>
  <xdr:twoCellAnchor>
    <xdr:from>
      <xdr:col>9</xdr:col>
      <xdr:colOff>6350</xdr:colOff>
      <xdr:row>6090</xdr:row>
      <xdr:rowOff>25400</xdr:rowOff>
    </xdr:from>
    <xdr:to>
      <xdr:col>9</xdr:col>
      <xdr:colOff>885190</xdr:colOff>
      <xdr:row>6090</xdr:row>
      <xdr:rowOff>1209040</xdr:rowOff>
    </xdr:to>
    <xdr:pic>
      <xdr:nvPicPr>
        <xdr:cNvPr id="10174" name="Изображение 10173" descr="resizeПП-00122483"/>
        <xdr:cNvPicPr>
          <a:picLocks noChangeAspect="1"/>
        </xdr:cNvPicPr>
      </xdr:nvPicPr>
      <xdr:blipFill>
        <a:blip xmlns:r="http://schemas.openxmlformats.org/officeDocument/2006/relationships" r:embed="rId4781"/>
        <a:stretch>
          <a:fillRect/>
        </a:stretch>
      </xdr:blipFill>
      <xdr:spPr>
        <a:xfrm>
          <a:off x="7235825" y="6249549350"/>
          <a:ext cx="878840" cy="1183640"/>
        </a:xfrm>
        <a:prstGeom prst="rect">
          <a:avLst/>
        </a:prstGeom>
      </xdr:spPr>
    </xdr:pic>
    <xdr:clientData/>
  </xdr:twoCellAnchor>
  <xdr:twoCellAnchor>
    <xdr:from>
      <xdr:col>9</xdr:col>
      <xdr:colOff>6350</xdr:colOff>
      <xdr:row>6091</xdr:row>
      <xdr:rowOff>25400</xdr:rowOff>
    </xdr:from>
    <xdr:to>
      <xdr:col>9</xdr:col>
      <xdr:colOff>885190</xdr:colOff>
      <xdr:row>6091</xdr:row>
      <xdr:rowOff>1209040</xdr:rowOff>
    </xdr:to>
    <xdr:pic>
      <xdr:nvPicPr>
        <xdr:cNvPr id="10175" name="Изображение 10174" descr="resizeПП-00210319"/>
        <xdr:cNvPicPr>
          <a:picLocks noChangeAspect="1"/>
        </xdr:cNvPicPr>
      </xdr:nvPicPr>
      <xdr:blipFill>
        <a:blip xmlns:r="http://schemas.openxmlformats.org/officeDocument/2006/relationships" r:embed="rId4782"/>
        <a:stretch>
          <a:fillRect/>
        </a:stretch>
      </xdr:blipFill>
      <xdr:spPr>
        <a:xfrm>
          <a:off x="7235825" y="6250771725"/>
          <a:ext cx="878840" cy="1183640"/>
        </a:xfrm>
        <a:prstGeom prst="rect">
          <a:avLst/>
        </a:prstGeom>
      </xdr:spPr>
    </xdr:pic>
    <xdr:clientData/>
  </xdr:twoCellAnchor>
  <xdr:twoCellAnchor>
    <xdr:from>
      <xdr:col>9</xdr:col>
      <xdr:colOff>6350</xdr:colOff>
      <xdr:row>6092</xdr:row>
      <xdr:rowOff>25400</xdr:rowOff>
    </xdr:from>
    <xdr:to>
      <xdr:col>9</xdr:col>
      <xdr:colOff>885190</xdr:colOff>
      <xdr:row>6092</xdr:row>
      <xdr:rowOff>1209040</xdr:rowOff>
    </xdr:to>
    <xdr:pic>
      <xdr:nvPicPr>
        <xdr:cNvPr id="10176" name="Изображение 10175" descr="resizeПП-00210316"/>
        <xdr:cNvPicPr>
          <a:picLocks noChangeAspect="1"/>
        </xdr:cNvPicPr>
      </xdr:nvPicPr>
      <xdr:blipFill>
        <a:blip xmlns:r="http://schemas.openxmlformats.org/officeDocument/2006/relationships" r:embed="rId4783"/>
        <a:stretch>
          <a:fillRect/>
        </a:stretch>
      </xdr:blipFill>
      <xdr:spPr>
        <a:xfrm>
          <a:off x="7235825" y="6251994100"/>
          <a:ext cx="878840" cy="1183640"/>
        </a:xfrm>
        <a:prstGeom prst="rect">
          <a:avLst/>
        </a:prstGeom>
      </xdr:spPr>
    </xdr:pic>
    <xdr:clientData/>
  </xdr:twoCellAnchor>
  <xdr:twoCellAnchor>
    <xdr:from>
      <xdr:col>9</xdr:col>
      <xdr:colOff>6350</xdr:colOff>
      <xdr:row>6093</xdr:row>
      <xdr:rowOff>25400</xdr:rowOff>
    </xdr:from>
    <xdr:to>
      <xdr:col>9</xdr:col>
      <xdr:colOff>885190</xdr:colOff>
      <xdr:row>6093</xdr:row>
      <xdr:rowOff>1209040</xdr:rowOff>
    </xdr:to>
    <xdr:pic>
      <xdr:nvPicPr>
        <xdr:cNvPr id="10177" name="Изображение 10176" descr="resizeПП-00231908"/>
        <xdr:cNvPicPr>
          <a:picLocks noChangeAspect="1"/>
        </xdr:cNvPicPr>
      </xdr:nvPicPr>
      <xdr:blipFill>
        <a:blip xmlns:r="http://schemas.openxmlformats.org/officeDocument/2006/relationships" r:embed="rId4784"/>
        <a:stretch>
          <a:fillRect/>
        </a:stretch>
      </xdr:blipFill>
      <xdr:spPr>
        <a:xfrm>
          <a:off x="7235825" y="6253216475"/>
          <a:ext cx="878840" cy="1183640"/>
        </a:xfrm>
        <a:prstGeom prst="rect">
          <a:avLst/>
        </a:prstGeom>
      </xdr:spPr>
    </xdr:pic>
    <xdr:clientData/>
  </xdr:twoCellAnchor>
  <xdr:twoCellAnchor>
    <xdr:from>
      <xdr:col>9</xdr:col>
      <xdr:colOff>6350</xdr:colOff>
      <xdr:row>6094</xdr:row>
      <xdr:rowOff>25400</xdr:rowOff>
    </xdr:from>
    <xdr:to>
      <xdr:col>9</xdr:col>
      <xdr:colOff>885190</xdr:colOff>
      <xdr:row>6094</xdr:row>
      <xdr:rowOff>1209040</xdr:rowOff>
    </xdr:to>
    <xdr:pic>
      <xdr:nvPicPr>
        <xdr:cNvPr id="10178" name="Изображение 10177" descr="resizeПП-00167809"/>
        <xdr:cNvPicPr>
          <a:picLocks noChangeAspect="1"/>
        </xdr:cNvPicPr>
      </xdr:nvPicPr>
      <xdr:blipFill>
        <a:blip xmlns:r="http://schemas.openxmlformats.org/officeDocument/2006/relationships" r:embed="rId4785"/>
        <a:stretch>
          <a:fillRect/>
        </a:stretch>
      </xdr:blipFill>
      <xdr:spPr>
        <a:xfrm>
          <a:off x="7235825" y="6254438850"/>
          <a:ext cx="878840" cy="1183640"/>
        </a:xfrm>
        <a:prstGeom prst="rect">
          <a:avLst/>
        </a:prstGeom>
      </xdr:spPr>
    </xdr:pic>
    <xdr:clientData/>
  </xdr:twoCellAnchor>
  <xdr:twoCellAnchor>
    <xdr:from>
      <xdr:col>9</xdr:col>
      <xdr:colOff>6350</xdr:colOff>
      <xdr:row>6095</xdr:row>
      <xdr:rowOff>25400</xdr:rowOff>
    </xdr:from>
    <xdr:to>
      <xdr:col>9</xdr:col>
      <xdr:colOff>885190</xdr:colOff>
      <xdr:row>6095</xdr:row>
      <xdr:rowOff>1209040</xdr:rowOff>
    </xdr:to>
    <xdr:pic>
      <xdr:nvPicPr>
        <xdr:cNvPr id="10179" name="Изображение 10178" descr="resizeПП-00167811"/>
        <xdr:cNvPicPr>
          <a:picLocks noChangeAspect="1"/>
        </xdr:cNvPicPr>
      </xdr:nvPicPr>
      <xdr:blipFill>
        <a:blip xmlns:r="http://schemas.openxmlformats.org/officeDocument/2006/relationships" r:embed="rId4786"/>
        <a:stretch>
          <a:fillRect/>
        </a:stretch>
      </xdr:blipFill>
      <xdr:spPr>
        <a:xfrm>
          <a:off x="7235825" y="6255661225"/>
          <a:ext cx="878840" cy="1183640"/>
        </a:xfrm>
        <a:prstGeom prst="rect">
          <a:avLst/>
        </a:prstGeom>
      </xdr:spPr>
    </xdr:pic>
    <xdr:clientData/>
  </xdr:twoCellAnchor>
  <xdr:twoCellAnchor>
    <xdr:from>
      <xdr:col>9</xdr:col>
      <xdr:colOff>6350</xdr:colOff>
      <xdr:row>6096</xdr:row>
      <xdr:rowOff>25400</xdr:rowOff>
    </xdr:from>
    <xdr:to>
      <xdr:col>9</xdr:col>
      <xdr:colOff>885190</xdr:colOff>
      <xdr:row>6096</xdr:row>
      <xdr:rowOff>1209040</xdr:rowOff>
    </xdr:to>
    <xdr:pic>
      <xdr:nvPicPr>
        <xdr:cNvPr id="10180" name="Изображение 10179" descr="resizeПП-00122472"/>
        <xdr:cNvPicPr>
          <a:picLocks noChangeAspect="1"/>
        </xdr:cNvPicPr>
      </xdr:nvPicPr>
      <xdr:blipFill>
        <a:blip xmlns:r="http://schemas.openxmlformats.org/officeDocument/2006/relationships" r:embed="rId4787"/>
        <a:stretch>
          <a:fillRect/>
        </a:stretch>
      </xdr:blipFill>
      <xdr:spPr>
        <a:xfrm>
          <a:off x="7235825" y="6256883600"/>
          <a:ext cx="878840" cy="1183640"/>
        </a:xfrm>
        <a:prstGeom prst="rect">
          <a:avLst/>
        </a:prstGeom>
      </xdr:spPr>
    </xdr:pic>
    <xdr:clientData/>
  </xdr:twoCellAnchor>
  <xdr:twoCellAnchor>
    <xdr:from>
      <xdr:col>9</xdr:col>
      <xdr:colOff>6350</xdr:colOff>
      <xdr:row>6099</xdr:row>
      <xdr:rowOff>25400</xdr:rowOff>
    </xdr:from>
    <xdr:to>
      <xdr:col>9</xdr:col>
      <xdr:colOff>885190</xdr:colOff>
      <xdr:row>6099</xdr:row>
      <xdr:rowOff>1209040</xdr:rowOff>
    </xdr:to>
    <xdr:pic>
      <xdr:nvPicPr>
        <xdr:cNvPr id="10181" name="Изображение 10180" descr="resizeПП-00076502"/>
        <xdr:cNvPicPr>
          <a:picLocks noChangeAspect="1"/>
        </xdr:cNvPicPr>
      </xdr:nvPicPr>
      <xdr:blipFill>
        <a:blip xmlns:r="http://schemas.openxmlformats.org/officeDocument/2006/relationships" r:embed="rId4788"/>
        <a:stretch>
          <a:fillRect/>
        </a:stretch>
      </xdr:blipFill>
      <xdr:spPr>
        <a:xfrm>
          <a:off x="7235825" y="6258410775"/>
          <a:ext cx="878840" cy="1183640"/>
        </a:xfrm>
        <a:prstGeom prst="rect">
          <a:avLst/>
        </a:prstGeom>
      </xdr:spPr>
    </xdr:pic>
    <xdr:clientData/>
  </xdr:twoCellAnchor>
  <xdr:twoCellAnchor>
    <xdr:from>
      <xdr:col>9</xdr:col>
      <xdr:colOff>6350</xdr:colOff>
      <xdr:row>6100</xdr:row>
      <xdr:rowOff>25400</xdr:rowOff>
    </xdr:from>
    <xdr:to>
      <xdr:col>9</xdr:col>
      <xdr:colOff>885190</xdr:colOff>
      <xdr:row>6100</xdr:row>
      <xdr:rowOff>1209040</xdr:rowOff>
    </xdr:to>
    <xdr:pic>
      <xdr:nvPicPr>
        <xdr:cNvPr id="10182" name="Изображение 10181" descr="resizeПП-00076505"/>
        <xdr:cNvPicPr>
          <a:picLocks noChangeAspect="1"/>
        </xdr:cNvPicPr>
      </xdr:nvPicPr>
      <xdr:blipFill>
        <a:blip xmlns:r="http://schemas.openxmlformats.org/officeDocument/2006/relationships" r:embed="rId4789"/>
        <a:stretch>
          <a:fillRect/>
        </a:stretch>
      </xdr:blipFill>
      <xdr:spPr>
        <a:xfrm>
          <a:off x="7235825" y="6259633150"/>
          <a:ext cx="878840" cy="1183640"/>
        </a:xfrm>
        <a:prstGeom prst="rect">
          <a:avLst/>
        </a:prstGeom>
      </xdr:spPr>
    </xdr:pic>
    <xdr:clientData/>
  </xdr:twoCellAnchor>
  <xdr:twoCellAnchor>
    <xdr:from>
      <xdr:col>9</xdr:col>
      <xdr:colOff>6350</xdr:colOff>
      <xdr:row>6101</xdr:row>
      <xdr:rowOff>25400</xdr:rowOff>
    </xdr:from>
    <xdr:to>
      <xdr:col>9</xdr:col>
      <xdr:colOff>885190</xdr:colOff>
      <xdr:row>6101</xdr:row>
      <xdr:rowOff>1209040</xdr:rowOff>
    </xdr:to>
    <xdr:pic>
      <xdr:nvPicPr>
        <xdr:cNvPr id="10183" name="Изображение 10182" descr="resizeПП-00076501"/>
        <xdr:cNvPicPr>
          <a:picLocks noChangeAspect="1"/>
        </xdr:cNvPicPr>
      </xdr:nvPicPr>
      <xdr:blipFill>
        <a:blip xmlns:r="http://schemas.openxmlformats.org/officeDocument/2006/relationships" r:embed="rId4790"/>
        <a:stretch>
          <a:fillRect/>
        </a:stretch>
      </xdr:blipFill>
      <xdr:spPr>
        <a:xfrm>
          <a:off x="7235825" y="6260855525"/>
          <a:ext cx="878840" cy="1183640"/>
        </a:xfrm>
        <a:prstGeom prst="rect">
          <a:avLst/>
        </a:prstGeom>
      </xdr:spPr>
    </xdr:pic>
    <xdr:clientData/>
  </xdr:twoCellAnchor>
  <xdr:twoCellAnchor>
    <xdr:from>
      <xdr:col>9</xdr:col>
      <xdr:colOff>6350</xdr:colOff>
      <xdr:row>6102</xdr:row>
      <xdr:rowOff>25400</xdr:rowOff>
    </xdr:from>
    <xdr:to>
      <xdr:col>9</xdr:col>
      <xdr:colOff>885190</xdr:colOff>
      <xdr:row>6102</xdr:row>
      <xdr:rowOff>1209040</xdr:rowOff>
    </xdr:to>
    <xdr:pic>
      <xdr:nvPicPr>
        <xdr:cNvPr id="10184" name="Изображение 10183" descr="resizeПП-00076506"/>
        <xdr:cNvPicPr>
          <a:picLocks noChangeAspect="1"/>
        </xdr:cNvPicPr>
      </xdr:nvPicPr>
      <xdr:blipFill>
        <a:blip xmlns:r="http://schemas.openxmlformats.org/officeDocument/2006/relationships" r:embed="rId4791"/>
        <a:stretch>
          <a:fillRect/>
        </a:stretch>
      </xdr:blipFill>
      <xdr:spPr>
        <a:xfrm>
          <a:off x="7235825" y="6262077900"/>
          <a:ext cx="878840" cy="1183640"/>
        </a:xfrm>
        <a:prstGeom prst="rect">
          <a:avLst/>
        </a:prstGeom>
      </xdr:spPr>
    </xdr:pic>
    <xdr:clientData/>
  </xdr:twoCellAnchor>
  <xdr:twoCellAnchor>
    <xdr:from>
      <xdr:col>9</xdr:col>
      <xdr:colOff>6350</xdr:colOff>
      <xdr:row>6103</xdr:row>
      <xdr:rowOff>25400</xdr:rowOff>
    </xdr:from>
    <xdr:to>
      <xdr:col>9</xdr:col>
      <xdr:colOff>885190</xdr:colOff>
      <xdr:row>6103</xdr:row>
      <xdr:rowOff>1209040</xdr:rowOff>
    </xdr:to>
    <xdr:pic>
      <xdr:nvPicPr>
        <xdr:cNvPr id="10185" name="Изображение 10184" descr="resizeПП-00076499"/>
        <xdr:cNvPicPr>
          <a:picLocks noChangeAspect="1"/>
        </xdr:cNvPicPr>
      </xdr:nvPicPr>
      <xdr:blipFill>
        <a:blip xmlns:r="http://schemas.openxmlformats.org/officeDocument/2006/relationships" r:embed="rId4792"/>
        <a:stretch>
          <a:fillRect/>
        </a:stretch>
      </xdr:blipFill>
      <xdr:spPr>
        <a:xfrm>
          <a:off x="7235825" y="6263300275"/>
          <a:ext cx="878840" cy="1183640"/>
        </a:xfrm>
        <a:prstGeom prst="rect">
          <a:avLst/>
        </a:prstGeom>
      </xdr:spPr>
    </xdr:pic>
    <xdr:clientData/>
  </xdr:twoCellAnchor>
  <xdr:twoCellAnchor>
    <xdr:from>
      <xdr:col>9</xdr:col>
      <xdr:colOff>6350</xdr:colOff>
      <xdr:row>6104</xdr:row>
      <xdr:rowOff>25400</xdr:rowOff>
    </xdr:from>
    <xdr:to>
      <xdr:col>9</xdr:col>
      <xdr:colOff>885190</xdr:colOff>
      <xdr:row>6104</xdr:row>
      <xdr:rowOff>1209040</xdr:rowOff>
    </xdr:to>
    <xdr:pic>
      <xdr:nvPicPr>
        <xdr:cNvPr id="10186" name="Изображение 10185" descr="resizeПП-00076500"/>
        <xdr:cNvPicPr>
          <a:picLocks noChangeAspect="1"/>
        </xdr:cNvPicPr>
      </xdr:nvPicPr>
      <xdr:blipFill>
        <a:blip xmlns:r="http://schemas.openxmlformats.org/officeDocument/2006/relationships" r:embed="rId4793"/>
        <a:stretch>
          <a:fillRect/>
        </a:stretch>
      </xdr:blipFill>
      <xdr:spPr>
        <a:xfrm>
          <a:off x="7235825" y="6264522650"/>
          <a:ext cx="878840" cy="1183640"/>
        </a:xfrm>
        <a:prstGeom prst="rect">
          <a:avLst/>
        </a:prstGeom>
      </xdr:spPr>
    </xdr:pic>
    <xdr:clientData/>
  </xdr:twoCellAnchor>
  <xdr:twoCellAnchor>
    <xdr:from>
      <xdr:col>9</xdr:col>
      <xdr:colOff>6350</xdr:colOff>
      <xdr:row>6105</xdr:row>
      <xdr:rowOff>25400</xdr:rowOff>
    </xdr:from>
    <xdr:to>
      <xdr:col>9</xdr:col>
      <xdr:colOff>885190</xdr:colOff>
      <xdr:row>6105</xdr:row>
      <xdr:rowOff>1209040</xdr:rowOff>
    </xdr:to>
    <xdr:pic>
      <xdr:nvPicPr>
        <xdr:cNvPr id="10187" name="Изображение 10186" descr="resizeПП-00076504"/>
        <xdr:cNvPicPr>
          <a:picLocks noChangeAspect="1"/>
        </xdr:cNvPicPr>
      </xdr:nvPicPr>
      <xdr:blipFill>
        <a:blip xmlns:r="http://schemas.openxmlformats.org/officeDocument/2006/relationships" r:embed="rId4792"/>
        <a:stretch>
          <a:fillRect/>
        </a:stretch>
      </xdr:blipFill>
      <xdr:spPr>
        <a:xfrm>
          <a:off x="7235825" y="6265745025"/>
          <a:ext cx="878840" cy="1183640"/>
        </a:xfrm>
        <a:prstGeom prst="rect">
          <a:avLst/>
        </a:prstGeom>
      </xdr:spPr>
    </xdr:pic>
    <xdr:clientData/>
  </xdr:twoCellAnchor>
  <xdr:twoCellAnchor>
    <xdr:from>
      <xdr:col>9</xdr:col>
      <xdr:colOff>6350</xdr:colOff>
      <xdr:row>6107</xdr:row>
      <xdr:rowOff>25400</xdr:rowOff>
    </xdr:from>
    <xdr:to>
      <xdr:col>9</xdr:col>
      <xdr:colOff>885190</xdr:colOff>
      <xdr:row>6107</xdr:row>
      <xdr:rowOff>1209040</xdr:rowOff>
    </xdr:to>
    <xdr:pic>
      <xdr:nvPicPr>
        <xdr:cNvPr id="10188" name="Изображение 10187" descr="resizeПП-00076509"/>
        <xdr:cNvPicPr>
          <a:picLocks noChangeAspect="1"/>
        </xdr:cNvPicPr>
      </xdr:nvPicPr>
      <xdr:blipFill>
        <a:blip xmlns:r="http://schemas.openxmlformats.org/officeDocument/2006/relationships" r:embed="rId4794"/>
        <a:stretch>
          <a:fillRect/>
        </a:stretch>
      </xdr:blipFill>
      <xdr:spPr>
        <a:xfrm>
          <a:off x="7235825" y="6267119800"/>
          <a:ext cx="878840" cy="1183640"/>
        </a:xfrm>
        <a:prstGeom prst="rect">
          <a:avLst/>
        </a:prstGeom>
      </xdr:spPr>
    </xdr:pic>
    <xdr:clientData/>
  </xdr:twoCellAnchor>
  <xdr:twoCellAnchor>
    <xdr:from>
      <xdr:col>9</xdr:col>
      <xdr:colOff>6350</xdr:colOff>
      <xdr:row>6108</xdr:row>
      <xdr:rowOff>25400</xdr:rowOff>
    </xdr:from>
    <xdr:to>
      <xdr:col>9</xdr:col>
      <xdr:colOff>885190</xdr:colOff>
      <xdr:row>6108</xdr:row>
      <xdr:rowOff>1209040</xdr:rowOff>
    </xdr:to>
    <xdr:pic>
      <xdr:nvPicPr>
        <xdr:cNvPr id="10189" name="Изображение 10188" descr="resizeПП-00076508"/>
        <xdr:cNvPicPr>
          <a:picLocks noChangeAspect="1"/>
        </xdr:cNvPicPr>
      </xdr:nvPicPr>
      <xdr:blipFill>
        <a:blip xmlns:r="http://schemas.openxmlformats.org/officeDocument/2006/relationships" r:embed="rId4795"/>
        <a:stretch>
          <a:fillRect/>
        </a:stretch>
      </xdr:blipFill>
      <xdr:spPr>
        <a:xfrm>
          <a:off x="7235825" y="6268342175"/>
          <a:ext cx="878840" cy="1183640"/>
        </a:xfrm>
        <a:prstGeom prst="rect">
          <a:avLst/>
        </a:prstGeom>
      </xdr:spPr>
    </xdr:pic>
    <xdr:clientData/>
  </xdr:twoCellAnchor>
  <xdr:twoCellAnchor>
    <xdr:from>
      <xdr:col>9</xdr:col>
      <xdr:colOff>6350</xdr:colOff>
      <xdr:row>6110</xdr:row>
      <xdr:rowOff>25400</xdr:rowOff>
    </xdr:from>
    <xdr:to>
      <xdr:col>9</xdr:col>
      <xdr:colOff>885190</xdr:colOff>
      <xdr:row>6110</xdr:row>
      <xdr:rowOff>1209040</xdr:rowOff>
    </xdr:to>
    <xdr:pic>
      <xdr:nvPicPr>
        <xdr:cNvPr id="10190" name="Изображение 10189" descr="resizeПП-00083141"/>
        <xdr:cNvPicPr>
          <a:picLocks noChangeAspect="1"/>
        </xdr:cNvPicPr>
      </xdr:nvPicPr>
      <xdr:blipFill>
        <a:blip xmlns:r="http://schemas.openxmlformats.org/officeDocument/2006/relationships" r:embed="rId4796"/>
        <a:stretch>
          <a:fillRect/>
        </a:stretch>
      </xdr:blipFill>
      <xdr:spPr>
        <a:xfrm>
          <a:off x="7235825" y="6269716950"/>
          <a:ext cx="878840" cy="1183640"/>
        </a:xfrm>
        <a:prstGeom prst="rect">
          <a:avLst/>
        </a:prstGeom>
      </xdr:spPr>
    </xdr:pic>
    <xdr:clientData/>
  </xdr:twoCellAnchor>
  <xdr:twoCellAnchor>
    <xdr:from>
      <xdr:col>9</xdr:col>
      <xdr:colOff>6350</xdr:colOff>
      <xdr:row>6111</xdr:row>
      <xdr:rowOff>25400</xdr:rowOff>
    </xdr:from>
    <xdr:to>
      <xdr:col>9</xdr:col>
      <xdr:colOff>885190</xdr:colOff>
      <xdr:row>6111</xdr:row>
      <xdr:rowOff>1209040</xdr:rowOff>
    </xdr:to>
    <xdr:pic>
      <xdr:nvPicPr>
        <xdr:cNvPr id="10191" name="Изображение 10190" descr="resizeПП-00083140"/>
        <xdr:cNvPicPr>
          <a:picLocks noChangeAspect="1"/>
        </xdr:cNvPicPr>
      </xdr:nvPicPr>
      <xdr:blipFill>
        <a:blip xmlns:r="http://schemas.openxmlformats.org/officeDocument/2006/relationships" r:embed="rId4797"/>
        <a:stretch>
          <a:fillRect/>
        </a:stretch>
      </xdr:blipFill>
      <xdr:spPr>
        <a:xfrm>
          <a:off x="7235825" y="6270939325"/>
          <a:ext cx="878840" cy="1183640"/>
        </a:xfrm>
        <a:prstGeom prst="rect">
          <a:avLst/>
        </a:prstGeom>
      </xdr:spPr>
    </xdr:pic>
    <xdr:clientData/>
  </xdr:twoCellAnchor>
  <xdr:twoCellAnchor>
    <xdr:from>
      <xdr:col>9</xdr:col>
      <xdr:colOff>6350</xdr:colOff>
      <xdr:row>6115</xdr:row>
      <xdr:rowOff>25400</xdr:rowOff>
    </xdr:from>
    <xdr:to>
      <xdr:col>9</xdr:col>
      <xdr:colOff>885190</xdr:colOff>
      <xdr:row>6115</xdr:row>
      <xdr:rowOff>1209040</xdr:rowOff>
    </xdr:to>
    <xdr:pic>
      <xdr:nvPicPr>
        <xdr:cNvPr id="10192" name="Изображение 10191" descr="resizeПП-00092223"/>
        <xdr:cNvPicPr>
          <a:picLocks noChangeAspect="1"/>
        </xdr:cNvPicPr>
      </xdr:nvPicPr>
      <xdr:blipFill>
        <a:blip xmlns:r="http://schemas.openxmlformats.org/officeDocument/2006/relationships" r:embed="rId4798"/>
        <a:stretch>
          <a:fillRect/>
        </a:stretch>
      </xdr:blipFill>
      <xdr:spPr>
        <a:xfrm>
          <a:off x="7235825" y="6272618900"/>
          <a:ext cx="878840" cy="1183640"/>
        </a:xfrm>
        <a:prstGeom prst="rect">
          <a:avLst/>
        </a:prstGeom>
      </xdr:spPr>
    </xdr:pic>
    <xdr:clientData/>
  </xdr:twoCellAnchor>
  <xdr:twoCellAnchor>
    <xdr:from>
      <xdr:col>9</xdr:col>
      <xdr:colOff>6350</xdr:colOff>
      <xdr:row>6116</xdr:row>
      <xdr:rowOff>25400</xdr:rowOff>
    </xdr:from>
    <xdr:to>
      <xdr:col>9</xdr:col>
      <xdr:colOff>885190</xdr:colOff>
      <xdr:row>6116</xdr:row>
      <xdr:rowOff>1209040</xdr:rowOff>
    </xdr:to>
    <xdr:pic>
      <xdr:nvPicPr>
        <xdr:cNvPr id="10193" name="Изображение 10192" descr="resizeПП-00092221"/>
        <xdr:cNvPicPr>
          <a:picLocks noChangeAspect="1"/>
        </xdr:cNvPicPr>
      </xdr:nvPicPr>
      <xdr:blipFill>
        <a:blip xmlns:r="http://schemas.openxmlformats.org/officeDocument/2006/relationships" r:embed="rId4799"/>
        <a:stretch>
          <a:fillRect/>
        </a:stretch>
      </xdr:blipFill>
      <xdr:spPr>
        <a:xfrm>
          <a:off x="7235825" y="6273841275"/>
          <a:ext cx="878840" cy="1183640"/>
        </a:xfrm>
        <a:prstGeom prst="rect">
          <a:avLst/>
        </a:prstGeom>
      </xdr:spPr>
    </xdr:pic>
    <xdr:clientData/>
  </xdr:twoCellAnchor>
  <xdr:twoCellAnchor>
    <xdr:from>
      <xdr:col>9</xdr:col>
      <xdr:colOff>6350</xdr:colOff>
      <xdr:row>6117</xdr:row>
      <xdr:rowOff>25400</xdr:rowOff>
    </xdr:from>
    <xdr:to>
      <xdr:col>9</xdr:col>
      <xdr:colOff>885190</xdr:colOff>
      <xdr:row>6117</xdr:row>
      <xdr:rowOff>1209040</xdr:rowOff>
    </xdr:to>
    <xdr:pic>
      <xdr:nvPicPr>
        <xdr:cNvPr id="10194" name="Изображение 10193" descr="resizeПП-00092222"/>
        <xdr:cNvPicPr>
          <a:picLocks noChangeAspect="1"/>
        </xdr:cNvPicPr>
      </xdr:nvPicPr>
      <xdr:blipFill>
        <a:blip xmlns:r="http://schemas.openxmlformats.org/officeDocument/2006/relationships" r:embed="rId4800"/>
        <a:stretch>
          <a:fillRect/>
        </a:stretch>
      </xdr:blipFill>
      <xdr:spPr>
        <a:xfrm>
          <a:off x="7235825" y="6275063650"/>
          <a:ext cx="878840" cy="1183640"/>
        </a:xfrm>
        <a:prstGeom prst="rect">
          <a:avLst/>
        </a:prstGeom>
      </xdr:spPr>
    </xdr:pic>
    <xdr:clientData/>
  </xdr:twoCellAnchor>
  <xdr:twoCellAnchor>
    <xdr:from>
      <xdr:col>9</xdr:col>
      <xdr:colOff>6350</xdr:colOff>
      <xdr:row>6118</xdr:row>
      <xdr:rowOff>25400</xdr:rowOff>
    </xdr:from>
    <xdr:to>
      <xdr:col>9</xdr:col>
      <xdr:colOff>885190</xdr:colOff>
      <xdr:row>6118</xdr:row>
      <xdr:rowOff>1209040</xdr:rowOff>
    </xdr:to>
    <xdr:pic>
      <xdr:nvPicPr>
        <xdr:cNvPr id="10195" name="Изображение 10194" descr="resizeПП-00113263"/>
        <xdr:cNvPicPr>
          <a:picLocks noChangeAspect="1"/>
        </xdr:cNvPicPr>
      </xdr:nvPicPr>
      <xdr:blipFill>
        <a:blip xmlns:r="http://schemas.openxmlformats.org/officeDocument/2006/relationships" r:embed="rId4801"/>
        <a:stretch>
          <a:fillRect/>
        </a:stretch>
      </xdr:blipFill>
      <xdr:spPr>
        <a:xfrm>
          <a:off x="7235825" y="6276286025"/>
          <a:ext cx="878840" cy="1183640"/>
        </a:xfrm>
        <a:prstGeom prst="rect">
          <a:avLst/>
        </a:prstGeom>
      </xdr:spPr>
    </xdr:pic>
    <xdr:clientData/>
  </xdr:twoCellAnchor>
  <xdr:twoCellAnchor>
    <xdr:from>
      <xdr:col>9</xdr:col>
      <xdr:colOff>6350</xdr:colOff>
      <xdr:row>6119</xdr:row>
      <xdr:rowOff>25400</xdr:rowOff>
    </xdr:from>
    <xdr:to>
      <xdr:col>9</xdr:col>
      <xdr:colOff>885190</xdr:colOff>
      <xdr:row>6119</xdr:row>
      <xdr:rowOff>1209040</xdr:rowOff>
    </xdr:to>
    <xdr:pic>
      <xdr:nvPicPr>
        <xdr:cNvPr id="10196" name="Изображение 10195" descr="resizeПП-00113261"/>
        <xdr:cNvPicPr>
          <a:picLocks noChangeAspect="1"/>
        </xdr:cNvPicPr>
      </xdr:nvPicPr>
      <xdr:blipFill>
        <a:blip xmlns:r="http://schemas.openxmlformats.org/officeDocument/2006/relationships" r:embed="rId4802"/>
        <a:stretch>
          <a:fillRect/>
        </a:stretch>
      </xdr:blipFill>
      <xdr:spPr>
        <a:xfrm>
          <a:off x="7235825" y="6277508400"/>
          <a:ext cx="878840" cy="1183640"/>
        </a:xfrm>
        <a:prstGeom prst="rect">
          <a:avLst/>
        </a:prstGeom>
      </xdr:spPr>
    </xdr:pic>
    <xdr:clientData/>
  </xdr:twoCellAnchor>
  <xdr:twoCellAnchor>
    <xdr:from>
      <xdr:col>9</xdr:col>
      <xdr:colOff>6350</xdr:colOff>
      <xdr:row>6120</xdr:row>
      <xdr:rowOff>25400</xdr:rowOff>
    </xdr:from>
    <xdr:to>
      <xdr:col>9</xdr:col>
      <xdr:colOff>885190</xdr:colOff>
      <xdr:row>6120</xdr:row>
      <xdr:rowOff>1209040</xdr:rowOff>
    </xdr:to>
    <xdr:pic>
      <xdr:nvPicPr>
        <xdr:cNvPr id="10197" name="Изображение 10196" descr="resizeПП-00113264"/>
        <xdr:cNvPicPr>
          <a:picLocks noChangeAspect="1"/>
        </xdr:cNvPicPr>
      </xdr:nvPicPr>
      <xdr:blipFill>
        <a:blip xmlns:r="http://schemas.openxmlformats.org/officeDocument/2006/relationships" r:embed="rId4803"/>
        <a:stretch>
          <a:fillRect/>
        </a:stretch>
      </xdr:blipFill>
      <xdr:spPr>
        <a:xfrm>
          <a:off x="7235825" y="6278730775"/>
          <a:ext cx="878840" cy="1183640"/>
        </a:xfrm>
        <a:prstGeom prst="rect">
          <a:avLst/>
        </a:prstGeom>
      </xdr:spPr>
    </xdr:pic>
    <xdr:clientData/>
  </xdr:twoCellAnchor>
  <xdr:twoCellAnchor>
    <xdr:from>
      <xdr:col>9</xdr:col>
      <xdr:colOff>6350</xdr:colOff>
      <xdr:row>6121</xdr:row>
      <xdr:rowOff>25400</xdr:rowOff>
    </xdr:from>
    <xdr:to>
      <xdr:col>9</xdr:col>
      <xdr:colOff>885190</xdr:colOff>
      <xdr:row>6121</xdr:row>
      <xdr:rowOff>1209040</xdr:rowOff>
    </xdr:to>
    <xdr:pic>
      <xdr:nvPicPr>
        <xdr:cNvPr id="10198" name="Изображение 10197" descr="resizeПП-00113265"/>
        <xdr:cNvPicPr>
          <a:picLocks noChangeAspect="1"/>
        </xdr:cNvPicPr>
      </xdr:nvPicPr>
      <xdr:blipFill>
        <a:blip xmlns:r="http://schemas.openxmlformats.org/officeDocument/2006/relationships" r:embed="rId4804"/>
        <a:stretch>
          <a:fillRect/>
        </a:stretch>
      </xdr:blipFill>
      <xdr:spPr>
        <a:xfrm>
          <a:off x="7235825" y="6279953150"/>
          <a:ext cx="878840" cy="1183640"/>
        </a:xfrm>
        <a:prstGeom prst="rect">
          <a:avLst/>
        </a:prstGeom>
      </xdr:spPr>
    </xdr:pic>
    <xdr:clientData/>
  </xdr:twoCellAnchor>
  <xdr:twoCellAnchor>
    <xdr:from>
      <xdr:col>9</xdr:col>
      <xdr:colOff>6350</xdr:colOff>
      <xdr:row>6122</xdr:row>
      <xdr:rowOff>25400</xdr:rowOff>
    </xdr:from>
    <xdr:to>
      <xdr:col>9</xdr:col>
      <xdr:colOff>885190</xdr:colOff>
      <xdr:row>6122</xdr:row>
      <xdr:rowOff>1209040</xdr:rowOff>
    </xdr:to>
    <xdr:pic>
      <xdr:nvPicPr>
        <xdr:cNvPr id="10199" name="Изображение 10198" descr="resizeПП-00092215"/>
        <xdr:cNvPicPr>
          <a:picLocks noChangeAspect="1"/>
        </xdr:cNvPicPr>
      </xdr:nvPicPr>
      <xdr:blipFill>
        <a:blip xmlns:r="http://schemas.openxmlformats.org/officeDocument/2006/relationships" r:embed="rId4805"/>
        <a:stretch>
          <a:fillRect/>
        </a:stretch>
      </xdr:blipFill>
      <xdr:spPr>
        <a:xfrm>
          <a:off x="7235825" y="6281175525"/>
          <a:ext cx="878840" cy="1183640"/>
        </a:xfrm>
        <a:prstGeom prst="rect">
          <a:avLst/>
        </a:prstGeom>
      </xdr:spPr>
    </xdr:pic>
    <xdr:clientData/>
  </xdr:twoCellAnchor>
  <xdr:twoCellAnchor>
    <xdr:from>
      <xdr:col>9</xdr:col>
      <xdr:colOff>6350</xdr:colOff>
      <xdr:row>6123</xdr:row>
      <xdr:rowOff>25400</xdr:rowOff>
    </xdr:from>
    <xdr:to>
      <xdr:col>9</xdr:col>
      <xdr:colOff>885190</xdr:colOff>
      <xdr:row>6123</xdr:row>
      <xdr:rowOff>1209040</xdr:rowOff>
    </xdr:to>
    <xdr:pic>
      <xdr:nvPicPr>
        <xdr:cNvPr id="10200" name="Изображение 10199" descr="resizeПП-00092217"/>
        <xdr:cNvPicPr>
          <a:picLocks noChangeAspect="1"/>
        </xdr:cNvPicPr>
      </xdr:nvPicPr>
      <xdr:blipFill>
        <a:blip xmlns:r="http://schemas.openxmlformats.org/officeDocument/2006/relationships" r:embed="rId4806"/>
        <a:stretch>
          <a:fillRect/>
        </a:stretch>
      </xdr:blipFill>
      <xdr:spPr>
        <a:xfrm>
          <a:off x="7235825" y="6282397900"/>
          <a:ext cx="878840" cy="1183640"/>
        </a:xfrm>
        <a:prstGeom prst="rect">
          <a:avLst/>
        </a:prstGeom>
      </xdr:spPr>
    </xdr:pic>
    <xdr:clientData/>
  </xdr:twoCellAnchor>
  <xdr:twoCellAnchor>
    <xdr:from>
      <xdr:col>9</xdr:col>
      <xdr:colOff>6350</xdr:colOff>
      <xdr:row>6124</xdr:row>
      <xdr:rowOff>25400</xdr:rowOff>
    </xdr:from>
    <xdr:to>
      <xdr:col>9</xdr:col>
      <xdr:colOff>885190</xdr:colOff>
      <xdr:row>6124</xdr:row>
      <xdr:rowOff>1209040</xdr:rowOff>
    </xdr:to>
    <xdr:pic>
      <xdr:nvPicPr>
        <xdr:cNvPr id="10201" name="Изображение 10200" descr="resizeПП-00092218"/>
        <xdr:cNvPicPr>
          <a:picLocks noChangeAspect="1"/>
        </xdr:cNvPicPr>
      </xdr:nvPicPr>
      <xdr:blipFill>
        <a:blip xmlns:r="http://schemas.openxmlformats.org/officeDocument/2006/relationships" r:embed="rId4807"/>
        <a:stretch>
          <a:fillRect/>
        </a:stretch>
      </xdr:blipFill>
      <xdr:spPr>
        <a:xfrm>
          <a:off x="7235825" y="6283620275"/>
          <a:ext cx="878840" cy="1183640"/>
        </a:xfrm>
        <a:prstGeom prst="rect">
          <a:avLst/>
        </a:prstGeom>
      </xdr:spPr>
    </xdr:pic>
    <xdr:clientData/>
  </xdr:twoCellAnchor>
  <xdr:twoCellAnchor>
    <xdr:from>
      <xdr:col>9</xdr:col>
      <xdr:colOff>6350</xdr:colOff>
      <xdr:row>6125</xdr:row>
      <xdr:rowOff>25400</xdr:rowOff>
    </xdr:from>
    <xdr:to>
      <xdr:col>9</xdr:col>
      <xdr:colOff>885190</xdr:colOff>
      <xdr:row>6125</xdr:row>
      <xdr:rowOff>1209040</xdr:rowOff>
    </xdr:to>
    <xdr:pic>
      <xdr:nvPicPr>
        <xdr:cNvPr id="10202" name="Изображение 10201" descr="resizeПП-00092212"/>
        <xdr:cNvPicPr>
          <a:picLocks noChangeAspect="1"/>
        </xdr:cNvPicPr>
      </xdr:nvPicPr>
      <xdr:blipFill>
        <a:blip xmlns:r="http://schemas.openxmlformats.org/officeDocument/2006/relationships" r:embed="rId4808"/>
        <a:stretch>
          <a:fillRect/>
        </a:stretch>
      </xdr:blipFill>
      <xdr:spPr>
        <a:xfrm>
          <a:off x="7235825" y="6284842650"/>
          <a:ext cx="878840" cy="1183640"/>
        </a:xfrm>
        <a:prstGeom prst="rect">
          <a:avLst/>
        </a:prstGeom>
      </xdr:spPr>
    </xdr:pic>
    <xdr:clientData/>
  </xdr:twoCellAnchor>
  <xdr:twoCellAnchor>
    <xdr:from>
      <xdr:col>9</xdr:col>
      <xdr:colOff>6350</xdr:colOff>
      <xdr:row>6126</xdr:row>
      <xdr:rowOff>25400</xdr:rowOff>
    </xdr:from>
    <xdr:to>
      <xdr:col>9</xdr:col>
      <xdr:colOff>885190</xdr:colOff>
      <xdr:row>6126</xdr:row>
      <xdr:rowOff>1209040</xdr:rowOff>
    </xdr:to>
    <xdr:pic>
      <xdr:nvPicPr>
        <xdr:cNvPr id="10203" name="Изображение 10202" descr="resizeПП-00092220"/>
        <xdr:cNvPicPr>
          <a:picLocks noChangeAspect="1"/>
        </xdr:cNvPicPr>
      </xdr:nvPicPr>
      <xdr:blipFill>
        <a:blip xmlns:r="http://schemas.openxmlformats.org/officeDocument/2006/relationships" r:embed="rId4809"/>
        <a:stretch>
          <a:fillRect/>
        </a:stretch>
      </xdr:blipFill>
      <xdr:spPr>
        <a:xfrm>
          <a:off x="7235825" y="6286065025"/>
          <a:ext cx="878840" cy="1183640"/>
        </a:xfrm>
        <a:prstGeom prst="rect">
          <a:avLst/>
        </a:prstGeom>
      </xdr:spPr>
    </xdr:pic>
    <xdr:clientData/>
  </xdr:twoCellAnchor>
  <xdr:twoCellAnchor>
    <xdr:from>
      <xdr:col>9</xdr:col>
      <xdr:colOff>6350</xdr:colOff>
      <xdr:row>6128</xdr:row>
      <xdr:rowOff>25400</xdr:rowOff>
    </xdr:from>
    <xdr:to>
      <xdr:col>9</xdr:col>
      <xdr:colOff>885190</xdr:colOff>
      <xdr:row>6128</xdr:row>
      <xdr:rowOff>1209040</xdr:rowOff>
    </xdr:to>
    <xdr:pic>
      <xdr:nvPicPr>
        <xdr:cNvPr id="10204" name="Изображение 10203" descr="resizeПП-00073401"/>
        <xdr:cNvPicPr>
          <a:picLocks noChangeAspect="1"/>
        </xdr:cNvPicPr>
      </xdr:nvPicPr>
      <xdr:blipFill>
        <a:blip xmlns:r="http://schemas.openxmlformats.org/officeDocument/2006/relationships" r:embed="rId4810"/>
        <a:stretch>
          <a:fillRect/>
        </a:stretch>
      </xdr:blipFill>
      <xdr:spPr>
        <a:xfrm>
          <a:off x="7235825" y="6287439800"/>
          <a:ext cx="878840" cy="1183640"/>
        </a:xfrm>
        <a:prstGeom prst="rect">
          <a:avLst/>
        </a:prstGeom>
      </xdr:spPr>
    </xdr:pic>
    <xdr:clientData/>
  </xdr:twoCellAnchor>
  <xdr:twoCellAnchor>
    <xdr:from>
      <xdr:col>9</xdr:col>
      <xdr:colOff>6350</xdr:colOff>
      <xdr:row>6129</xdr:row>
      <xdr:rowOff>25400</xdr:rowOff>
    </xdr:from>
    <xdr:to>
      <xdr:col>9</xdr:col>
      <xdr:colOff>885190</xdr:colOff>
      <xdr:row>6129</xdr:row>
      <xdr:rowOff>1209040</xdr:rowOff>
    </xdr:to>
    <xdr:pic>
      <xdr:nvPicPr>
        <xdr:cNvPr id="10205" name="Изображение 10204" descr="resizeПП-00236359"/>
        <xdr:cNvPicPr>
          <a:picLocks noChangeAspect="1"/>
        </xdr:cNvPicPr>
      </xdr:nvPicPr>
      <xdr:blipFill>
        <a:blip xmlns:r="http://schemas.openxmlformats.org/officeDocument/2006/relationships" r:embed="rId4811"/>
        <a:stretch>
          <a:fillRect/>
        </a:stretch>
      </xdr:blipFill>
      <xdr:spPr>
        <a:xfrm>
          <a:off x="7235825" y="6288662175"/>
          <a:ext cx="878840" cy="1183640"/>
        </a:xfrm>
        <a:prstGeom prst="rect">
          <a:avLst/>
        </a:prstGeom>
      </xdr:spPr>
    </xdr:pic>
    <xdr:clientData/>
  </xdr:twoCellAnchor>
  <xdr:twoCellAnchor>
    <xdr:from>
      <xdr:col>9</xdr:col>
      <xdr:colOff>6350</xdr:colOff>
      <xdr:row>6130</xdr:row>
      <xdr:rowOff>25400</xdr:rowOff>
    </xdr:from>
    <xdr:to>
      <xdr:col>9</xdr:col>
      <xdr:colOff>885190</xdr:colOff>
      <xdr:row>6130</xdr:row>
      <xdr:rowOff>1209040</xdr:rowOff>
    </xdr:to>
    <xdr:pic>
      <xdr:nvPicPr>
        <xdr:cNvPr id="10206" name="Изображение 10205" descr="resizeПП-00068117"/>
        <xdr:cNvPicPr>
          <a:picLocks noChangeAspect="1"/>
        </xdr:cNvPicPr>
      </xdr:nvPicPr>
      <xdr:blipFill>
        <a:blip xmlns:r="http://schemas.openxmlformats.org/officeDocument/2006/relationships" r:embed="rId4812"/>
        <a:stretch>
          <a:fillRect/>
        </a:stretch>
      </xdr:blipFill>
      <xdr:spPr>
        <a:xfrm>
          <a:off x="7235825" y="6289884550"/>
          <a:ext cx="878840" cy="1183640"/>
        </a:xfrm>
        <a:prstGeom prst="rect">
          <a:avLst/>
        </a:prstGeom>
      </xdr:spPr>
    </xdr:pic>
    <xdr:clientData/>
  </xdr:twoCellAnchor>
  <xdr:twoCellAnchor>
    <xdr:from>
      <xdr:col>9</xdr:col>
      <xdr:colOff>6350</xdr:colOff>
      <xdr:row>6131</xdr:row>
      <xdr:rowOff>25400</xdr:rowOff>
    </xdr:from>
    <xdr:to>
      <xdr:col>9</xdr:col>
      <xdr:colOff>885190</xdr:colOff>
      <xdr:row>6131</xdr:row>
      <xdr:rowOff>1209040</xdr:rowOff>
    </xdr:to>
    <xdr:pic>
      <xdr:nvPicPr>
        <xdr:cNvPr id="10207" name="Изображение 10206" descr="resizeПП-00065243"/>
        <xdr:cNvPicPr>
          <a:picLocks noChangeAspect="1"/>
        </xdr:cNvPicPr>
      </xdr:nvPicPr>
      <xdr:blipFill>
        <a:blip xmlns:r="http://schemas.openxmlformats.org/officeDocument/2006/relationships" r:embed="rId4813"/>
        <a:stretch>
          <a:fillRect/>
        </a:stretch>
      </xdr:blipFill>
      <xdr:spPr>
        <a:xfrm>
          <a:off x="7235825" y="6291106925"/>
          <a:ext cx="878840" cy="1183640"/>
        </a:xfrm>
        <a:prstGeom prst="rect">
          <a:avLst/>
        </a:prstGeom>
      </xdr:spPr>
    </xdr:pic>
    <xdr:clientData/>
  </xdr:twoCellAnchor>
  <xdr:twoCellAnchor>
    <xdr:from>
      <xdr:col>9</xdr:col>
      <xdr:colOff>6350</xdr:colOff>
      <xdr:row>6132</xdr:row>
      <xdr:rowOff>25400</xdr:rowOff>
    </xdr:from>
    <xdr:to>
      <xdr:col>9</xdr:col>
      <xdr:colOff>885190</xdr:colOff>
      <xdr:row>6132</xdr:row>
      <xdr:rowOff>1209040</xdr:rowOff>
    </xdr:to>
    <xdr:pic>
      <xdr:nvPicPr>
        <xdr:cNvPr id="10208" name="Изображение 10207" descr="resizeПП-00065242"/>
        <xdr:cNvPicPr>
          <a:picLocks noChangeAspect="1"/>
        </xdr:cNvPicPr>
      </xdr:nvPicPr>
      <xdr:blipFill>
        <a:blip xmlns:r="http://schemas.openxmlformats.org/officeDocument/2006/relationships" r:embed="rId4814"/>
        <a:stretch>
          <a:fillRect/>
        </a:stretch>
      </xdr:blipFill>
      <xdr:spPr>
        <a:xfrm>
          <a:off x="7235825" y="6292329300"/>
          <a:ext cx="878840" cy="1183640"/>
        </a:xfrm>
        <a:prstGeom prst="rect">
          <a:avLst/>
        </a:prstGeom>
      </xdr:spPr>
    </xdr:pic>
    <xdr:clientData/>
  </xdr:twoCellAnchor>
  <xdr:twoCellAnchor>
    <xdr:from>
      <xdr:col>9</xdr:col>
      <xdr:colOff>6350</xdr:colOff>
      <xdr:row>6133</xdr:row>
      <xdr:rowOff>25400</xdr:rowOff>
    </xdr:from>
    <xdr:to>
      <xdr:col>9</xdr:col>
      <xdr:colOff>885190</xdr:colOff>
      <xdr:row>6133</xdr:row>
      <xdr:rowOff>1209040</xdr:rowOff>
    </xdr:to>
    <xdr:pic>
      <xdr:nvPicPr>
        <xdr:cNvPr id="10209" name="Изображение 10208" descr="resizeПП-00068118"/>
        <xdr:cNvPicPr>
          <a:picLocks noChangeAspect="1"/>
        </xdr:cNvPicPr>
      </xdr:nvPicPr>
      <xdr:blipFill>
        <a:blip xmlns:r="http://schemas.openxmlformats.org/officeDocument/2006/relationships" r:embed="rId4815"/>
        <a:stretch>
          <a:fillRect/>
        </a:stretch>
      </xdr:blipFill>
      <xdr:spPr>
        <a:xfrm>
          <a:off x="7235825" y="6293551675"/>
          <a:ext cx="878840" cy="1183640"/>
        </a:xfrm>
        <a:prstGeom prst="rect">
          <a:avLst/>
        </a:prstGeom>
      </xdr:spPr>
    </xdr:pic>
    <xdr:clientData/>
  </xdr:twoCellAnchor>
  <xdr:twoCellAnchor>
    <xdr:from>
      <xdr:col>9</xdr:col>
      <xdr:colOff>6350</xdr:colOff>
      <xdr:row>6134</xdr:row>
      <xdr:rowOff>25400</xdr:rowOff>
    </xdr:from>
    <xdr:to>
      <xdr:col>9</xdr:col>
      <xdr:colOff>885190</xdr:colOff>
      <xdr:row>6134</xdr:row>
      <xdr:rowOff>1209040</xdr:rowOff>
    </xdr:to>
    <xdr:pic>
      <xdr:nvPicPr>
        <xdr:cNvPr id="10210" name="Изображение 10209" descr="resizeПП-00263166"/>
        <xdr:cNvPicPr>
          <a:picLocks noChangeAspect="1"/>
        </xdr:cNvPicPr>
      </xdr:nvPicPr>
      <xdr:blipFill>
        <a:blip xmlns:r="http://schemas.openxmlformats.org/officeDocument/2006/relationships" r:embed="rId4816"/>
        <a:stretch>
          <a:fillRect/>
        </a:stretch>
      </xdr:blipFill>
      <xdr:spPr>
        <a:xfrm>
          <a:off x="7235825" y="6294774050"/>
          <a:ext cx="878840" cy="1183640"/>
        </a:xfrm>
        <a:prstGeom prst="rect">
          <a:avLst/>
        </a:prstGeom>
      </xdr:spPr>
    </xdr:pic>
    <xdr:clientData/>
  </xdr:twoCellAnchor>
  <xdr:twoCellAnchor>
    <xdr:from>
      <xdr:col>9</xdr:col>
      <xdr:colOff>6350</xdr:colOff>
      <xdr:row>6135</xdr:row>
      <xdr:rowOff>25400</xdr:rowOff>
    </xdr:from>
    <xdr:to>
      <xdr:col>9</xdr:col>
      <xdr:colOff>885190</xdr:colOff>
      <xdr:row>6135</xdr:row>
      <xdr:rowOff>1209040</xdr:rowOff>
    </xdr:to>
    <xdr:pic>
      <xdr:nvPicPr>
        <xdr:cNvPr id="10211" name="Изображение 10210" descr="resizeПП-00219383"/>
        <xdr:cNvPicPr>
          <a:picLocks noChangeAspect="1"/>
        </xdr:cNvPicPr>
      </xdr:nvPicPr>
      <xdr:blipFill>
        <a:blip xmlns:r="http://schemas.openxmlformats.org/officeDocument/2006/relationships" r:embed="rId4817"/>
        <a:stretch>
          <a:fillRect/>
        </a:stretch>
      </xdr:blipFill>
      <xdr:spPr>
        <a:xfrm>
          <a:off x="7235825" y="6295996425"/>
          <a:ext cx="878840" cy="1183640"/>
        </a:xfrm>
        <a:prstGeom prst="rect">
          <a:avLst/>
        </a:prstGeom>
      </xdr:spPr>
    </xdr:pic>
    <xdr:clientData/>
  </xdr:twoCellAnchor>
  <xdr:twoCellAnchor>
    <xdr:from>
      <xdr:col>9</xdr:col>
      <xdr:colOff>6350</xdr:colOff>
      <xdr:row>6136</xdr:row>
      <xdr:rowOff>25400</xdr:rowOff>
    </xdr:from>
    <xdr:to>
      <xdr:col>9</xdr:col>
      <xdr:colOff>885190</xdr:colOff>
      <xdr:row>6136</xdr:row>
      <xdr:rowOff>1209040</xdr:rowOff>
    </xdr:to>
    <xdr:pic>
      <xdr:nvPicPr>
        <xdr:cNvPr id="10212" name="Изображение 10211" descr="resizeПП-00189037"/>
        <xdr:cNvPicPr>
          <a:picLocks noChangeAspect="1"/>
        </xdr:cNvPicPr>
      </xdr:nvPicPr>
      <xdr:blipFill>
        <a:blip xmlns:r="http://schemas.openxmlformats.org/officeDocument/2006/relationships" r:embed="rId4818"/>
        <a:stretch>
          <a:fillRect/>
        </a:stretch>
      </xdr:blipFill>
      <xdr:spPr>
        <a:xfrm>
          <a:off x="7235825" y="6297218800"/>
          <a:ext cx="878840" cy="1183640"/>
        </a:xfrm>
        <a:prstGeom prst="rect">
          <a:avLst/>
        </a:prstGeom>
      </xdr:spPr>
    </xdr:pic>
    <xdr:clientData/>
  </xdr:twoCellAnchor>
  <xdr:twoCellAnchor>
    <xdr:from>
      <xdr:col>9</xdr:col>
      <xdr:colOff>6350</xdr:colOff>
      <xdr:row>6137</xdr:row>
      <xdr:rowOff>25400</xdr:rowOff>
    </xdr:from>
    <xdr:to>
      <xdr:col>9</xdr:col>
      <xdr:colOff>885190</xdr:colOff>
      <xdr:row>6137</xdr:row>
      <xdr:rowOff>1209040</xdr:rowOff>
    </xdr:to>
    <xdr:pic>
      <xdr:nvPicPr>
        <xdr:cNvPr id="10213" name="Изображение 10212" descr="resizeПП-00176900"/>
        <xdr:cNvPicPr>
          <a:picLocks noChangeAspect="1"/>
        </xdr:cNvPicPr>
      </xdr:nvPicPr>
      <xdr:blipFill>
        <a:blip xmlns:r="http://schemas.openxmlformats.org/officeDocument/2006/relationships" r:embed="rId4819"/>
        <a:stretch>
          <a:fillRect/>
        </a:stretch>
      </xdr:blipFill>
      <xdr:spPr>
        <a:xfrm>
          <a:off x="7235825" y="6298441175"/>
          <a:ext cx="878840" cy="1183640"/>
        </a:xfrm>
        <a:prstGeom prst="rect">
          <a:avLst/>
        </a:prstGeom>
      </xdr:spPr>
    </xdr:pic>
    <xdr:clientData/>
  </xdr:twoCellAnchor>
  <xdr:twoCellAnchor>
    <xdr:from>
      <xdr:col>9</xdr:col>
      <xdr:colOff>6350</xdr:colOff>
      <xdr:row>6138</xdr:row>
      <xdr:rowOff>25400</xdr:rowOff>
    </xdr:from>
    <xdr:to>
      <xdr:col>9</xdr:col>
      <xdr:colOff>885190</xdr:colOff>
      <xdr:row>6138</xdr:row>
      <xdr:rowOff>1209040</xdr:rowOff>
    </xdr:to>
    <xdr:pic>
      <xdr:nvPicPr>
        <xdr:cNvPr id="10214" name="Изображение 10213" descr="resizeПП-00189038"/>
        <xdr:cNvPicPr>
          <a:picLocks noChangeAspect="1"/>
        </xdr:cNvPicPr>
      </xdr:nvPicPr>
      <xdr:blipFill>
        <a:blip xmlns:r="http://schemas.openxmlformats.org/officeDocument/2006/relationships" r:embed="rId4820"/>
        <a:stretch>
          <a:fillRect/>
        </a:stretch>
      </xdr:blipFill>
      <xdr:spPr>
        <a:xfrm>
          <a:off x="7235825" y="6299663550"/>
          <a:ext cx="878840" cy="1183640"/>
        </a:xfrm>
        <a:prstGeom prst="rect">
          <a:avLst/>
        </a:prstGeom>
      </xdr:spPr>
    </xdr:pic>
    <xdr:clientData/>
  </xdr:twoCellAnchor>
  <xdr:twoCellAnchor>
    <xdr:from>
      <xdr:col>9</xdr:col>
      <xdr:colOff>6350</xdr:colOff>
      <xdr:row>6139</xdr:row>
      <xdr:rowOff>25400</xdr:rowOff>
    </xdr:from>
    <xdr:to>
      <xdr:col>9</xdr:col>
      <xdr:colOff>885190</xdr:colOff>
      <xdr:row>6139</xdr:row>
      <xdr:rowOff>1209040</xdr:rowOff>
    </xdr:to>
    <xdr:pic>
      <xdr:nvPicPr>
        <xdr:cNvPr id="10215" name="Изображение 10214" descr="resizeПП-00176909"/>
        <xdr:cNvPicPr>
          <a:picLocks noChangeAspect="1"/>
        </xdr:cNvPicPr>
      </xdr:nvPicPr>
      <xdr:blipFill>
        <a:blip xmlns:r="http://schemas.openxmlformats.org/officeDocument/2006/relationships" r:embed="rId4821"/>
        <a:stretch>
          <a:fillRect/>
        </a:stretch>
      </xdr:blipFill>
      <xdr:spPr>
        <a:xfrm>
          <a:off x="7235825" y="6300885925"/>
          <a:ext cx="878840" cy="1183640"/>
        </a:xfrm>
        <a:prstGeom prst="rect">
          <a:avLst/>
        </a:prstGeom>
      </xdr:spPr>
    </xdr:pic>
    <xdr:clientData/>
  </xdr:twoCellAnchor>
  <xdr:twoCellAnchor>
    <xdr:from>
      <xdr:col>9</xdr:col>
      <xdr:colOff>6350</xdr:colOff>
      <xdr:row>6140</xdr:row>
      <xdr:rowOff>25400</xdr:rowOff>
    </xdr:from>
    <xdr:to>
      <xdr:col>9</xdr:col>
      <xdr:colOff>885190</xdr:colOff>
      <xdr:row>6140</xdr:row>
      <xdr:rowOff>1209040</xdr:rowOff>
    </xdr:to>
    <xdr:pic>
      <xdr:nvPicPr>
        <xdr:cNvPr id="10216" name="Изображение 10215" descr="resizeПП-00176905"/>
        <xdr:cNvPicPr>
          <a:picLocks noChangeAspect="1"/>
        </xdr:cNvPicPr>
      </xdr:nvPicPr>
      <xdr:blipFill>
        <a:blip xmlns:r="http://schemas.openxmlformats.org/officeDocument/2006/relationships" r:embed="rId4822"/>
        <a:stretch>
          <a:fillRect/>
        </a:stretch>
      </xdr:blipFill>
      <xdr:spPr>
        <a:xfrm>
          <a:off x="7235825" y="6302108300"/>
          <a:ext cx="878840" cy="1183640"/>
        </a:xfrm>
        <a:prstGeom prst="rect">
          <a:avLst/>
        </a:prstGeom>
      </xdr:spPr>
    </xdr:pic>
    <xdr:clientData/>
  </xdr:twoCellAnchor>
  <xdr:twoCellAnchor>
    <xdr:from>
      <xdr:col>9</xdr:col>
      <xdr:colOff>6350</xdr:colOff>
      <xdr:row>6141</xdr:row>
      <xdr:rowOff>25400</xdr:rowOff>
    </xdr:from>
    <xdr:to>
      <xdr:col>9</xdr:col>
      <xdr:colOff>885190</xdr:colOff>
      <xdr:row>6141</xdr:row>
      <xdr:rowOff>1209040</xdr:rowOff>
    </xdr:to>
    <xdr:pic>
      <xdr:nvPicPr>
        <xdr:cNvPr id="10217" name="Изображение 10216" descr="resizeПП-00220608"/>
        <xdr:cNvPicPr>
          <a:picLocks noChangeAspect="1"/>
        </xdr:cNvPicPr>
      </xdr:nvPicPr>
      <xdr:blipFill>
        <a:blip xmlns:r="http://schemas.openxmlformats.org/officeDocument/2006/relationships" r:embed="rId4823"/>
        <a:stretch>
          <a:fillRect/>
        </a:stretch>
      </xdr:blipFill>
      <xdr:spPr>
        <a:xfrm>
          <a:off x="7235825" y="6303330675"/>
          <a:ext cx="878840" cy="1183640"/>
        </a:xfrm>
        <a:prstGeom prst="rect">
          <a:avLst/>
        </a:prstGeom>
      </xdr:spPr>
    </xdr:pic>
    <xdr:clientData/>
  </xdr:twoCellAnchor>
  <xdr:twoCellAnchor>
    <xdr:from>
      <xdr:col>9</xdr:col>
      <xdr:colOff>6350</xdr:colOff>
      <xdr:row>6142</xdr:row>
      <xdr:rowOff>25400</xdr:rowOff>
    </xdr:from>
    <xdr:to>
      <xdr:col>9</xdr:col>
      <xdr:colOff>885190</xdr:colOff>
      <xdr:row>6142</xdr:row>
      <xdr:rowOff>1209040</xdr:rowOff>
    </xdr:to>
    <xdr:pic>
      <xdr:nvPicPr>
        <xdr:cNvPr id="10218" name="Изображение 10217" descr="resizeПП-00176910"/>
        <xdr:cNvPicPr>
          <a:picLocks noChangeAspect="1"/>
        </xdr:cNvPicPr>
      </xdr:nvPicPr>
      <xdr:blipFill>
        <a:blip xmlns:r="http://schemas.openxmlformats.org/officeDocument/2006/relationships" r:embed="rId4824"/>
        <a:stretch>
          <a:fillRect/>
        </a:stretch>
      </xdr:blipFill>
      <xdr:spPr>
        <a:xfrm>
          <a:off x="7235825" y="6304553050"/>
          <a:ext cx="878840" cy="1183640"/>
        </a:xfrm>
        <a:prstGeom prst="rect">
          <a:avLst/>
        </a:prstGeom>
      </xdr:spPr>
    </xdr:pic>
    <xdr:clientData/>
  </xdr:twoCellAnchor>
  <xdr:twoCellAnchor>
    <xdr:from>
      <xdr:col>9</xdr:col>
      <xdr:colOff>6350</xdr:colOff>
      <xdr:row>6143</xdr:row>
      <xdr:rowOff>25400</xdr:rowOff>
    </xdr:from>
    <xdr:to>
      <xdr:col>9</xdr:col>
      <xdr:colOff>885190</xdr:colOff>
      <xdr:row>6143</xdr:row>
      <xdr:rowOff>1209040</xdr:rowOff>
    </xdr:to>
    <xdr:pic>
      <xdr:nvPicPr>
        <xdr:cNvPr id="10219" name="Изображение 10218" descr="resizeПП-00192283"/>
        <xdr:cNvPicPr>
          <a:picLocks noChangeAspect="1"/>
        </xdr:cNvPicPr>
      </xdr:nvPicPr>
      <xdr:blipFill>
        <a:blip xmlns:r="http://schemas.openxmlformats.org/officeDocument/2006/relationships" r:embed="rId4825"/>
        <a:stretch>
          <a:fillRect/>
        </a:stretch>
      </xdr:blipFill>
      <xdr:spPr>
        <a:xfrm>
          <a:off x="7235825" y="6305775425"/>
          <a:ext cx="878840" cy="1183640"/>
        </a:xfrm>
        <a:prstGeom prst="rect">
          <a:avLst/>
        </a:prstGeom>
      </xdr:spPr>
    </xdr:pic>
    <xdr:clientData/>
  </xdr:twoCellAnchor>
  <xdr:twoCellAnchor>
    <xdr:from>
      <xdr:col>9</xdr:col>
      <xdr:colOff>6350</xdr:colOff>
      <xdr:row>6144</xdr:row>
      <xdr:rowOff>25400</xdr:rowOff>
    </xdr:from>
    <xdr:to>
      <xdr:col>9</xdr:col>
      <xdr:colOff>885190</xdr:colOff>
      <xdr:row>6144</xdr:row>
      <xdr:rowOff>1209040</xdr:rowOff>
    </xdr:to>
    <xdr:pic>
      <xdr:nvPicPr>
        <xdr:cNvPr id="10220" name="Изображение 10219" descr="resizeПП-00176903"/>
        <xdr:cNvPicPr>
          <a:picLocks noChangeAspect="1"/>
        </xdr:cNvPicPr>
      </xdr:nvPicPr>
      <xdr:blipFill>
        <a:blip xmlns:r="http://schemas.openxmlformats.org/officeDocument/2006/relationships" r:embed="rId4826"/>
        <a:stretch>
          <a:fillRect/>
        </a:stretch>
      </xdr:blipFill>
      <xdr:spPr>
        <a:xfrm>
          <a:off x="7235825" y="6306997800"/>
          <a:ext cx="878840" cy="1183640"/>
        </a:xfrm>
        <a:prstGeom prst="rect">
          <a:avLst/>
        </a:prstGeom>
      </xdr:spPr>
    </xdr:pic>
    <xdr:clientData/>
  </xdr:twoCellAnchor>
  <xdr:twoCellAnchor>
    <xdr:from>
      <xdr:col>9</xdr:col>
      <xdr:colOff>6350</xdr:colOff>
      <xdr:row>6145</xdr:row>
      <xdr:rowOff>25400</xdr:rowOff>
    </xdr:from>
    <xdr:to>
      <xdr:col>9</xdr:col>
      <xdr:colOff>885190</xdr:colOff>
      <xdr:row>6145</xdr:row>
      <xdr:rowOff>1209040</xdr:rowOff>
    </xdr:to>
    <xdr:pic>
      <xdr:nvPicPr>
        <xdr:cNvPr id="10221" name="Изображение 10220" descr="resizeПП-00192281"/>
        <xdr:cNvPicPr>
          <a:picLocks noChangeAspect="1"/>
        </xdr:cNvPicPr>
      </xdr:nvPicPr>
      <xdr:blipFill>
        <a:blip xmlns:r="http://schemas.openxmlformats.org/officeDocument/2006/relationships" r:embed="rId4827"/>
        <a:stretch>
          <a:fillRect/>
        </a:stretch>
      </xdr:blipFill>
      <xdr:spPr>
        <a:xfrm>
          <a:off x="7235825" y="6308220175"/>
          <a:ext cx="878840" cy="1183640"/>
        </a:xfrm>
        <a:prstGeom prst="rect">
          <a:avLst/>
        </a:prstGeom>
      </xdr:spPr>
    </xdr:pic>
    <xdr:clientData/>
  </xdr:twoCellAnchor>
  <xdr:twoCellAnchor>
    <xdr:from>
      <xdr:col>9</xdr:col>
      <xdr:colOff>6350</xdr:colOff>
      <xdr:row>6146</xdr:row>
      <xdr:rowOff>25400</xdr:rowOff>
    </xdr:from>
    <xdr:to>
      <xdr:col>9</xdr:col>
      <xdr:colOff>885190</xdr:colOff>
      <xdr:row>6146</xdr:row>
      <xdr:rowOff>1209040</xdr:rowOff>
    </xdr:to>
    <xdr:pic>
      <xdr:nvPicPr>
        <xdr:cNvPr id="10222" name="Изображение 10221" descr="resizeПП-00189032"/>
        <xdr:cNvPicPr>
          <a:picLocks noChangeAspect="1"/>
        </xdr:cNvPicPr>
      </xdr:nvPicPr>
      <xdr:blipFill>
        <a:blip xmlns:r="http://schemas.openxmlformats.org/officeDocument/2006/relationships" r:embed="rId4828"/>
        <a:stretch>
          <a:fillRect/>
        </a:stretch>
      </xdr:blipFill>
      <xdr:spPr>
        <a:xfrm>
          <a:off x="7235825" y="6309442550"/>
          <a:ext cx="878840" cy="1183640"/>
        </a:xfrm>
        <a:prstGeom prst="rect">
          <a:avLst/>
        </a:prstGeom>
      </xdr:spPr>
    </xdr:pic>
    <xdr:clientData/>
  </xdr:twoCellAnchor>
  <xdr:twoCellAnchor>
    <xdr:from>
      <xdr:col>9</xdr:col>
      <xdr:colOff>6350</xdr:colOff>
      <xdr:row>6147</xdr:row>
      <xdr:rowOff>25400</xdr:rowOff>
    </xdr:from>
    <xdr:to>
      <xdr:col>9</xdr:col>
      <xdr:colOff>885190</xdr:colOff>
      <xdr:row>6147</xdr:row>
      <xdr:rowOff>1209040</xdr:rowOff>
    </xdr:to>
    <xdr:pic>
      <xdr:nvPicPr>
        <xdr:cNvPr id="10223" name="Изображение 10222" descr="resizeПП-00192280"/>
        <xdr:cNvPicPr>
          <a:picLocks noChangeAspect="1"/>
        </xdr:cNvPicPr>
      </xdr:nvPicPr>
      <xdr:blipFill>
        <a:blip xmlns:r="http://schemas.openxmlformats.org/officeDocument/2006/relationships" r:embed="rId4829"/>
        <a:stretch>
          <a:fillRect/>
        </a:stretch>
      </xdr:blipFill>
      <xdr:spPr>
        <a:xfrm>
          <a:off x="7235825" y="6310664925"/>
          <a:ext cx="878840" cy="1183640"/>
        </a:xfrm>
        <a:prstGeom prst="rect">
          <a:avLst/>
        </a:prstGeom>
      </xdr:spPr>
    </xdr:pic>
    <xdr:clientData/>
  </xdr:twoCellAnchor>
  <xdr:twoCellAnchor>
    <xdr:from>
      <xdr:col>9</xdr:col>
      <xdr:colOff>6350</xdr:colOff>
      <xdr:row>6148</xdr:row>
      <xdr:rowOff>25400</xdr:rowOff>
    </xdr:from>
    <xdr:to>
      <xdr:col>9</xdr:col>
      <xdr:colOff>885190</xdr:colOff>
      <xdr:row>6148</xdr:row>
      <xdr:rowOff>1209040</xdr:rowOff>
    </xdr:to>
    <xdr:pic>
      <xdr:nvPicPr>
        <xdr:cNvPr id="10224" name="Изображение 10223" descr="resizeПП-00220557"/>
        <xdr:cNvPicPr>
          <a:picLocks noChangeAspect="1"/>
        </xdr:cNvPicPr>
      </xdr:nvPicPr>
      <xdr:blipFill>
        <a:blip xmlns:r="http://schemas.openxmlformats.org/officeDocument/2006/relationships" r:embed="rId4830"/>
        <a:stretch>
          <a:fillRect/>
        </a:stretch>
      </xdr:blipFill>
      <xdr:spPr>
        <a:xfrm>
          <a:off x="7235825" y="6311887300"/>
          <a:ext cx="878840" cy="1183640"/>
        </a:xfrm>
        <a:prstGeom prst="rect">
          <a:avLst/>
        </a:prstGeom>
      </xdr:spPr>
    </xdr:pic>
    <xdr:clientData/>
  </xdr:twoCellAnchor>
  <xdr:twoCellAnchor>
    <xdr:from>
      <xdr:col>9</xdr:col>
      <xdr:colOff>6350</xdr:colOff>
      <xdr:row>6149</xdr:row>
      <xdr:rowOff>25400</xdr:rowOff>
    </xdr:from>
    <xdr:to>
      <xdr:col>9</xdr:col>
      <xdr:colOff>885190</xdr:colOff>
      <xdr:row>6149</xdr:row>
      <xdr:rowOff>1209040</xdr:rowOff>
    </xdr:to>
    <xdr:pic>
      <xdr:nvPicPr>
        <xdr:cNvPr id="10225" name="Изображение 10224" descr="resizeПП-00189035"/>
        <xdr:cNvPicPr>
          <a:picLocks noChangeAspect="1"/>
        </xdr:cNvPicPr>
      </xdr:nvPicPr>
      <xdr:blipFill>
        <a:blip xmlns:r="http://schemas.openxmlformats.org/officeDocument/2006/relationships" r:embed="rId4831"/>
        <a:stretch>
          <a:fillRect/>
        </a:stretch>
      </xdr:blipFill>
      <xdr:spPr>
        <a:xfrm>
          <a:off x="7235825" y="6313109675"/>
          <a:ext cx="878840" cy="1183640"/>
        </a:xfrm>
        <a:prstGeom prst="rect">
          <a:avLst/>
        </a:prstGeom>
      </xdr:spPr>
    </xdr:pic>
    <xdr:clientData/>
  </xdr:twoCellAnchor>
  <xdr:twoCellAnchor>
    <xdr:from>
      <xdr:col>9</xdr:col>
      <xdr:colOff>6350</xdr:colOff>
      <xdr:row>6150</xdr:row>
      <xdr:rowOff>25400</xdr:rowOff>
    </xdr:from>
    <xdr:to>
      <xdr:col>9</xdr:col>
      <xdr:colOff>885190</xdr:colOff>
      <xdr:row>6150</xdr:row>
      <xdr:rowOff>1209040</xdr:rowOff>
    </xdr:to>
    <xdr:pic>
      <xdr:nvPicPr>
        <xdr:cNvPr id="10226" name="Изображение 10225" descr="resizeПП-00176904"/>
        <xdr:cNvPicPr>
          <a:picLocks noChangeAspect="1"/>
        </xdr:cNvPicPr>
      </xdr:nvPicPr>
      <xdr:blipFill>
        <a:blip xmlns:r="http://schemas.openxmlformats.org/officeDocument/2006/relationships" r:embed="rId4832"/>
        <a:stretch>
          <a:fillRect/>
        </a:stretch>
      </xdr:blipFill>
      <xdr:spPr>
        <a:xfrm>
          <a:off x="7235825" y="6314332050"/>
          <a:ext cx="878840" cy="1183640"/>
        </a:xfrm>
        <a:prstGeom prst="rect">
          <a:avLst/>
        </a:prstGeom>
      </xdr:spPr>
    </xdr:pic>
    <xdr:clientData/>
  </xdr:twoCellAnchor>
  <xdr:twoCellAnchor>
    <xdr:from>
      <xdr:col>9</xdr:col>
      <xdr:colOff>6350</xdr:colOff>
      <xdr:row>6151</xdr:row>
      <xdr:rowOff>25400</xdr:rowOff>
    </xdr:from>
    <xdr:to>
      <xdr:col>9</xdr:col>
      <xdr:colOff>885190</xdr:colOff>
      <xdr:row>6151</xdr:row>
      <xdr:rowOff>1209040</xdr:rowOff>
    </xdr:to>
    <xdr:pic>
      <xdr:nvPicPr>
        <xdr:cNvPr id="10227" name="Изображение 10226" descr="resizeПП-00192282"/>
        <xdr:cNvPicPr>
          <a:picLocks noChangeAspect="1"/>
        </xdr:cNvPicPr>
      </xdr:nvPicPr>
      <xdr:blipFill>
        <a:blip xmlns:r="http://schemas.openxmlformats.org/officeDocument/2006/relationships" r:embed="rId4833"/>
        <a:stretch>
          <a:fillRect/>
        </a:stretch>
      </xdr:blipFill>
      <xdr:spPr>
        <a:xfrm>
          <a:off x="7235825" y="6315554425"/>
          <a:ext cx="878840" cy="1183640"/>
        </a:xfrm>
        <a:prstGeom prst="rect">
          <a:avLst/>
        </a:prstGeom>
      </xdr:spPr>
    </xdr:pic>
    <xdr:clientData/>
  </xdr:twoCellAnchor>
  <xdr:twoCellAnchor>
    <xdr:from>
      <xdr:col>9</xdr:col>
      <xdr:colOff>6350</xdr:colOff>
      <xdr:row>6152</xdr:row>
      <xdr:rowOff>25400</xdr:rowOff>
    </xdr:from>
    <xdr:to>
      <xdr:col>9</xdr:col>
      <xdr:colOff>885190</xdr:colOff>
      <xdr:row>6152</xdr:row>
      <xdr:rowOff>1209040</xdr:rowOff>
    </xdr:to>
    <xdr:pic>
      <xdr:nvPicPr>
        <xdr:cNvPr id="10228" name="Изображение 10227" descr="resizeПП-00200982"/>
        <xdr:cNvPicPr>
          <a:picLocks noChangeAspect="1"/>
        </xdr:cNvPicPr>
      </xdr:nvPicPr>
      <xdr:blipFill>
        <a:blip xmlns:r="http://schemas.openxmlformats.org/officeDocument/2006/relationships" r:embed="rId4834"/>
        <a:stretch>
          <a:fillRect/>
        </a:stretch>
      </xdr:blipFill>
      <xdr:spPr>
        <a:xfrm>
          <a:off x="7235825" y="6316776800"/>
          <a:ext cx="878840" cy="1183640"/>
        </a:xfrm>
        <a:prstGeom prst="rect">
          <a:avLst/>
        </a:prstGeom>
      </xdr:spPr>
    </xdr:pic>
    <xdr:clientData/>
  </xdr:twoCellAnchor>
  <xdr:twoCellAnchor>
    <xdr:from>
      <xdr:col>9</xdr:col>
      <xdr:colOff>6350</xdr:colOff>
      <xdr:row>6153</xdr:row>
      <xdr:rowOff>25400</xdr:rowOff>
    </xdr:from>
    <xdr:to>
      <xdr:col>9</xdr:col>
      <xdr:colOff>885190</xdr:colOff>
      <xdr:row>6153</xdr:row>
      <xdr:rowOff>1209040</xdr:rowOff>
    </xdr:to>
    <xdr:pic>
      <xdr:nvPicPr>
        <xdr:cNvPr id="10229" name="Изображение 10228" descr="resizeПП-00200981"/>
        <xdr:cNvPicPr>
          <a:picLocks noChangeAspect="1"/>
        </xdr:cNvPicPr>
      </xdr:nvPicPr>
      <xdr:blipFill>
        <a:blip xmlns:r="http://schemas.openxmlformats.org/officeDocument/2006/relationships" r:embed="rId4835"/>
        <a:stretch>
          <a:fillRect/>
        </a:stretch>
      </xdr:blipFill>
      <xdr:spPr>
        <a:xfrm>
          <a:off x="7235825" y="6317999175"/>
          <a:ext cx="878840" cy="1183640"/>
        </a:xfrm>
        <a:prstGeom prst="rect">
          <a:avLst/>
        </a:prstGeom>
      </xdr:spPr>
    </xdr:pic>
    <xdr:clientData/>
  </xdr:twoCellAnchor>
  <xdr:twoCellAnchor>
    <xdr:from>
      <xdr:col>9</xdr:col>
      <xdr:colOff>6350</xdr:colOff>
      <xdr:row>6154</xdr:row>
      <xdr:rowOff>25400</xdr:rowOff>
    </xdr:from>
    <xdr:to>
      <xdr:col>9</xdr:col>
      <xdr:colOff>885190</xdr:colOff>
      <xdr:row>6154</xdr:row>
      <xdr:rowOff>1209040</xdr:rowOff>
    </xdr:to>
    <xdr:pic>
      <xdr:nvPicPr>
        <xdr:cNvPr id="10230" name="Изображение 10229" descr="resizeПП-00194119"/>
        <xdr:cNvPicPr>
          <a:picLocks noChangeAspect="1"/>
        </xdr:cNvPicPr>
      </xdr:nvPicPr>
      <xdr:blipFill>
        <a:blip xmlns:r="http://schemas.openxmlformats.org/officeDocument/2006/relationships" r:embed="rId4836"/>
        <a:stretch>
          <a:fillRect/>
        </a:stretch>
      </xdr:blipFill>
      <xdr:spPr>
        <a:xfrm>
          <a:off x="7235825" y="6319221550"/>
          <a:ext cx="878840" cy="1183640"/>
        </a:xfrm>
        <a:prstGeom prst="rect">
          <a:avLst/>
        </a:prstGeom>
      </xdr:spPr>
    </xdr:pic>
    <xdr:clientData/>
  </xdr:twoCellAnchor>
  <xdr:twoCellAnchor>
    <xdr:from>
      <xdr:col>9</xdr:col>
      <xdr:colOff>6350</xdr:colOff>
      <xdr:row>6155</xdr:row>
      <xdr:rowOff>25400</xdr:rowOff>
    </xdr:from>
    <xdr:to>
      <xdr:col>9</xdr:col>
      <xdr:colOff>885190</xdr:colOff>
      <xdr:row>6155</xdr:row>
      <xdr:rowOff>1209040</xdr:rowOff>
    </xdr:to>
    <xdr:pic>
      <xdr:nvPicPr>
        <xdr:cNvPr id="10231" name="Изображение 10230" descr="resizeПП-00263168"/>
        <xdr:cNvPicPr>
          <a:picLocks noChangeAspect="1"/>
        </xdr:cNvPicPr>
      </xdr:nvPicPr>
      <xdr:blipFill>
        <a:blip xmlns:r="http://schemas.openxmlformats.org/officeDocument/2006/relationships" r:embed="rId4837"/>
        <a:stretch>
          <a:fillRect/>
        </a:stretch>
      </xdr:blipFill>
      <xdr:spPr>
        <a:xfrm>
          <a:off x="7235825" y="6320443925"/>
          <a:ext cx="878840" cy="1183640"/>
        </a:xfrm>
        <a:prstGeom prst="rect">
          <a:avLst/>
        </a:prstGeom>
      </xdr:spPr>
    </xdr:pic>
    <xdr:clientData/>
  </xdr:twoCellAnchor>
  <xdr:twoCellAnchor>
    <xdr:from>
      <xdr:col>9</xdr:col>
      <xdr:colOff>6350</xdr:colOff>
      <xdr:row>6156</xdr:row>
      <xdr:rowOff>25400</xdr:rowOff>
    </xdr:from>
    <xdr:to>
      <xdr:col>9</xdr:col>
      <xdr:colOff>885190</xdr:colOff>
      <xdr:row>6156</xdr:row>
      <xdr:rowOff>1209040</xdr:rowOff>
    </xdr:to>
    <xdr:pic>
      <xdr:nvPicPr>
        <xdr:cNvPr id="10232" name="Изображение 10231" descr="resizeПП-00236358"/>
        <xdr:cNvPicPr>
          <a:picLocks noChangeAspect="1"/>
        </xdr:cNvPicPr>
      </xdr:nvPicPr>
      <xdr:blipFill>
        <a:blip xmlns:r="http://schemas.openxmlformats.org/officeDocument/2006/relationships" r:embed="rId4838"/>
        <a:stretch>
          <a:fillRect/>
        </a:stretch>
      </xdr:blipFill>
      <xdr:spPr>
        <a:xfrm>
          <a:off x="7235825" y="6321666300"/>
          <a:ext cx="878840" cy="1183640"/>
        </a:xfrm>
        <a:prstGeom prst="rect">
          <a:avLst/>
        </a:prstGeom>
      </xdr:spPr>
    </xdr:pic>
    <xdr:clientData/>
  </xdr:twoCellAnchor>
  <xdr:twoCellAnchor>
    <xdr:from>
      <xdr:col>9</xdr:col>
      <xdr:colOff>6350</xdr:colOff>
      <xdr:row>6157</xdr:row>
      <xdr:rowOff>25400</xdr:rowOff>
    </xdr:from>
    <xdr:to>
      <xdr:col>9</xdr:col>
      <xdr:colOff>885190</xdr:colOff>
      <xdr:row>6157</xdr:row>
      <xdr:rowOff>1209040</xdr:rowOff>
    </xdr:to>
    <xdr:pic>
      <xdr:nvPicPr>
        <xdr:cNvPr id="10233" name="Изображение 10232" descr="resizeПП-00263169"/>
        <xdr:cNvPicPr>
          <a:picLocks noChangeAspect="1"/>
        </xdr:cNvPicPr>
      </xdr:nvPicPr>
      <xdr:blipFill>
        <a:blip xmlns:r="http://schemas.openxmlformats.org/officeDocument/2006/relationships" r:embed="rId4839"/>
        <a:stretch>
          <a:fillRect/>
        </a:stretch>
      </xdr:blipFill>
      <xdr:spPr>
        <a:xfrm>
          <a:off x="7235825" y="6322888675"/>
          <a:ext cx="878840" cy="1183640"/>
        </a:xfrm>
        <a:prstGeom prst="rect">
          <a:avLst/>
        </a:prstGeom>
      </xdr:spPr>
    </xdr:pic>
    <xdr:clientData/>
  </xdr:twoCellAnchor>
  <xdr:twoCellAnchor>
    <xdr:from>
      <xdr:col>9</xdr:col>
      <xdr:colOff>6350</xdr:colOff>
      <xdr:row>6158</xdr:row>
      <xdr:rowOff>25400</xdr:rowOff>
    </xdr:from>
    <xdr:to>
      <xdr:col>9</xdr:col>
      <xdr:colOff>885190</xdr:colOff>
      <xdr:row>6158</xdr:row>
      <xdr:rowOff>1209040</xdr:rowOff>
    </xdr:to>
    <xdr:pic>
      <xdr:nvPicPr>
        <xdr:cNvPr id="10234" name="Изображение 10233" descr="resizeПП-00263171"/>
        <xdr:cNvPicPr>
          <a:picLocks noChangeAspect="1"/>
        </xdr:cNvPicPr>
      </xdr:nvPicPr>
      <xdr:blipFill>
        <a:blip xmlns:r="http://schemas.openxmlformats.org/officeDocument/2006/relationships" r:embed="rId4840"/>
        <a:stretch>
          <a:fillRect/>
        </a:stretch>
      </xdr:blipFill>
      <xdr:spPr>
        <a:xfrm>
          <a:off x="7235825" y="6324111050"/>
          <a:ext cx="878840" cy="1183640"/>
        </a:xfrm>
        <a:prstGeom prst="rect">
          <a:avLst/>
        </a:prstGeom>
      </xdr:spPr>
    </xdr:pic>
    <xdr:clientData/>
  </xdr:twoCellAnchor>
  <xdr:twoCellAnchor>
    <xdr:from>
      <xdr:col>9</xdr:col>
      <xdr:colOff>6350</xdr:colOff>
      <xdr:row>6159</xdr:row>
      <xdr:rowOff>25400</xdr:rowOff>
    </xdr:from>
    <xdr:to>
      <xdr:col>9</xdr:col>
      <xdr:colOff>885190</xdr:colOff>
      <xdr:row>6159</xdr:row>
      <xdr:rowOff>1209040</xdr:rowOff>
    </xdr:to>
    <xdr:pic>
      <xdr:nvPicPr>
        <xdr:cNvPr id="10235" name="Изображение 10234" descr="resizeПП-00263170"/>
        <xdr:cNvPicPr>
          <a:picLocks noChangeAspect="1"/>
        </xdr:cNvPicPr>
      </xdr:nvPicPr>
      <xdr:blipFill>
        <a:blip xmlns:r="http://schemas.openxmlformats.org/officeDocument/2006/relationships" r:embed="rId4841"/>
        <a:stretch>
          <a:fillRect/>
        </a:stretch>
      </xdr:blipFill>
      <xdr:spPr>
        <a:xfrm>
          <a:off x="7235825" y="6325333425"/>
          <a:ext cx="878840" cy="1183640"/>
        </a:xfrm>
        <a:prstGeom prst="rect">
          <a:avLst/>
        </a:prstGeom>
      </xdr:spPr>
    </xdr:pic>
    <xdr:clientData/>
  </xdr:twoCellAnchor>
  <xdr:twoCellAnchor>
    <xdr:from>
      <xdr:col>9</xdr:col>
      <xdr:colOff>6350</xdr:colOff>
      <xdr:row>6160</xdr:row>
      <xdr:rowOff>25400</xdr:rowOff>
    </xdr:from>
    <xdr:to>
      <xdr:col>9</xdr:col>
      <xdr:colOff>885190</xdr:colOff>
      <xdr:row>6160</xdr:row>
      <xdr:rowOff>1209040</xdr:rowOff>
    </xdr:to>
    <xdr:pic>
      <xdr:nvPicPr>
        <xdr:cNvPr id="10236" name="Изображение 10235" descr="resizeПП-00263172"/>
        <xdr:cNvPicPr>
          <a:picLocks noChangeAspect="1"/>
        </xdr:cNvPicPr>
      </xdr:nvPicPr>
      <xdr:blipFill>
        <a:blip xmlns:r="http://schemas.openxmlformats.org/officeDocument/2006/relationships" r:embed="rId4842"/>
        <a:stretch>
          <a:fillRect/>
        </a:stretch>
      </xdr:blipFill>
      <xdr:spPr>
        <a:xfrm>
          <a:off x="7235825" y="6326555800"/>
          <a:ext cx="878840" cy="1183640"/>
        </a:xfrm>
        <a:prstGeom prst="rect">
          <a:avLst/>
        </a:prstGeom>
      </xdr:spPr>
    </xdr:pic>
    <xdr:clientData/>
  </xdr:twoCellAnchor>
  <xdr:twoCellAnchor>
    <xdr:from>
      <xdr:col>9</xdr:col>
      <xdr:colOff>6350</xdr:colOff>
      <xdr:row>6161</xdr:row>
      <xdr:rowOff>25400</xdr:rowOff>
    </xdr:from>
    <xdr:to>
      <xdr:col>9</xdr:col>
      <xdr:colOff>885190</xdr:colOff>
      <xdr:row>6161</xdr:row>
      <xdr:rowOff>1209040</xdr:rowOff>
    </xdr:to>
    <xdr:pic>
      <xdr:nvPicPr>
        <xdr:cNvPr id="10237" name="Изображение 10236" descr="resizeПП-00263167"/>
        <xdr:cNvPicPr>
          <a:picLocks noChangeAspect="1"/>
        </xdr:cNvPicPr>
      </xdr:nvPicPr>
      <xdr:blipFill>
        <a:blip xmlns:r="http://schemas.openxmlformats.org/officeDocument/2006/relationships" r:embed="rId4843"/>
        <a:stretch>
          <a:fillRect/>
        </a:stretch>
      </xdr:blipFill>
      <xdr:spPr>
        <a:xfrm>
          <a:off x="7235825" y="6327778175"/>
          <a:ext cx="878840" cy="1183640"/>
        </a:xfrm>
        <a:prstGeom prst="rect">
          <a:avLst/>
        </a:prstGeom>
      </xdr:spPr>
    </xdr:pic>
    <xdr:clientData/>
  </xdr:twoCellAnchor>
  <xdr:twoCellAnchor>
    <xdr:from>
      <xdr:col>9</xdr:col>
      <xdr:colOff>6350</xdr:colOff>
      <xdr:row>6162</xdr:row>
      <xdr:rowOff>25400</xdr:rowOff>
    </xdr:from>
    <xdr:to>
      <xdr:col>9</xdr:col>
      <xdr:colOff>885190</xdr:colOff>
      <xdr:row>6162</xdr:row>
      <xdr:rowOff>1209040</xdr:rowOff>
    </xdr:to>
    <xdr:pic>
      <xdr:nvPicPr>
        <xdr:cNvPr id="10238" name="Изображение 10237" descr="resizeПП-00084250"/>
        <xdr:cNvPicPr>
          <a:picLocks noChangeAspect="1"/>
        </xdr:cNvPicPr>
      </xdr:nvPicPr>
      <xdr:blipFill>
        <a:blip xmlns:r="http://schemas.openxmlformats.org/officeDocument/2006/relationships" r:embed="rId4844"/>
        <a:stretch>
          <a:fillRect/>
        </a:stretch>
      </xdr:blipFill>
      <xdr:spPr>
        <a:xfrm>
          <a:off x="7235825" y="6329000550"/>
          <a:ext cx="878840" cy="1183640"/>
        </a:xfrm>
        <a:prstGeom prst="rect">
          <a:avLst/>
        </a:prstGeom>
      </xdr:spPr>
    </xdr:pic>
    <xdr:clientData/>
  </xdr:twoCellAnchor>
  <xdr:twoCellAnchor>
    <xdr:from>
      <xdr:col>9</xdr:col>
      <xdr:colOff>6350</xdr:colOff>
      <xdr:row>6164</xdr:row>
      <xdr:rowOff>25400</xdr:rowOff>
    </xdr:from>
    <xdr:to>
      <xdr:col>9</xdr:col>
      <xdr:colOff>885190</xdr:colOff>
      <xdr:row>6164</xdr:row>
      <xdr:rowOff>1209040</xdr:rowOff>
    </xdr:to>
    <xdr:pic>
      <xdr:nvPicPr>
        <xdr:cNvPr id="10239" name="Изображение 10238" descr="resizeПП-00044125"/>
        <xdr:cNvPicPr>
          <a:picLocks noChangeAspect="1"/>
        </xdr:cNvPicPr>
      </xdr:nvPicPr>
      <xdr:blipFill>
        <a:blip xmlns:r="http://schemas.openxmlformats.org/officeDocument/2006/relationships" r:embed="rId4845"/>
        <a:stretch>
          <a:fillRect/>
        </a:stretch>
      </xdr:blipFill>
      <xdr:spPr>
        <a:xfrm>
          <a:off x="7235825" y="6330375325"/>
          <a:ext cx="878840" cy="1183640"/>
        </a:xfrm>
        <a:prstGeom prst="rect">
          <a:avLst/>
        </a:prstGeom>
      </xdr:spPr>
    </xdr:pic>
    <xdr:clientData/>
  </xdr:twoCellAnchor>
  <xdr:twoCellAnchor>
    <xdr:from>
      <xdr:col>9</xdr:col>
      <xdr:colOff>6350</xdr:colOff>
      <xdr:row>6166</xdr:row>
      <xdr:rowOff>25400</xdr:rowOff>
    </xdr:from>
    <xdr:to>
      <xdr:col>9</xdr:col>
      <xdr:colOff>885190</xdr:colOff>
      <xdr:row>6166</xdr:row>
      <xdr:rowOff>1209040</xdr:rowOff>
    </xdr:to>
    <xdr:pic>
      <xdr:nvPicPr>
        <xdr:cNvPr id="10240" name="Изображение 10239" descr="resizeПП-00189068"/>
        <xdr:cNvPicPr>
          <a:picLocks noChangeAspect="1"/>
        </xdr:cNvPicPr>
      </xdr:nvPicPr>
      <xdr:blipFill>
        <a:blip xmlns:r="http://schemas.openxmlformats.org/officeDocument/2006/relationships" r:embed="rId4846"/>
        <a:stretch>
          <a:fillRect/>
        </a:stretch>
      </xdr:blipFill>
      <xdr:spPr>
        <a:xfrm>
          <a:off x="7235825" y="6331750100"/>
          <a:ext cx="878840" cy="1183640"/>
        </a:xfrm>
        <a:prstGeom prst="rect">
          <a:avLst/>
        </a:prstGeom>
      </xdr:spPr>
    </xdr:pic>
    <xdr:clientData/>
  </xdr:twoCellAnchor>
  <xdr:twoCellAnchor>
    <xdr:from>
      <xdr:col>9</xdr:col>
      <xdr:colOff>6350</xdr:colOff>
      <xdr:row>6167</xdr:row>
      <xdr:rowOff>25400</xdr:rowOff>
    </xdr:from>
    <xdr:to>
      <xdr:col>9</xdr:col>
      <xdr:colOff>885190</xdr:colOff>
      <xdr:row>6167</xdr:row>
      <xdr:rowOff>1209040</xdr:rowOff>
    </xdr:to>
    <xdr:pic>
      <xdr:nvPicPr>
        <xdr:cNvPr id="10241" name="Изображение 10240" descr="resizeПП-00189074"/>
        <xdr:cNvPicPr>
          <a:picLocks noChangeAspect="1"/>
        </xdr:cNvPicPr>
      </xdr:nvPicPr>
      <xdr:blipFill>
        <a:blip xmlns:r="http://schemas.openxmlformats.org/officeDocument/2006/relationships" r:embed="rId4847"/>
        <a:stretch>
          <a:fillRect/>
        </a:stretch>
      </xdr:blipFill>
      <xdr:spPr>
        <a:xfrm>
          <a:off x="7235825" y="6332972475"/>
          <a:ext cx="878840" cy="1183640"/>
        </a:xfrm>
        <a:prstGeom prst="rect">
          <a:avLst/>
        </a:prstGeom>
      </xdr:spPr>
    </xdr:pic>
    <xdr:clientData/>
  </xdr:twoCellAnchor>
  <xdr:twoCellAnchor>
    <xdr:from>
      <xdr:col>9</xdr:col>
      <xdr:colOff>6350</xdr:colOff>
      <xdr:row>6168</xdr:row>
      <xdr:rowOff>25400</xdr:rowOff>
    </xdr:from>
    <xdr:to>
      <xdr:col>9</xdr:col>
      <xdr:colOff>885190</xdr:colOff>
      <xdr:row>6168</xdr:row>
      <xdr:rowOff>1209040</xdr:rowOff>
    </xdr:to>
    <xdr:pic>
      <xdr:nvPicPr>
        <xdr:cNvPr id="10242" name="Изображение 10241" descr="resizeПП-00189070"/>
        <xdr:cNvPicPr>
          <a:picLocks noChangeAspect="1"/>
        </xdr:cNvPicPr>
      </xdr:nvPicPr>
      <xdr:blipFill>
        <a:blip xmlns:r="http://schemas.openxmlformats.org/officeDocument/2006/relationships" r:embed="rId4848"/>
        <a:stretch>
          <a:fillRect/>
        </a:stretch>
      </xdr:blipFill>
      <xdr:spPr>
        <a:xfrm>
          <a:off x="7235825" y="6334194850"/>
          <a:ext cx="878840" cy="1183640"/>
        </a:xfrm>
        <a:prstGeom prst="rect">
          <a:avLst/>
        </a:prstGeom>
      </xdr:spPr>
    </xdr:pic>
    <xdr:clientData/>
  </xdr:twoCellAnchor>
  <xdr:twoCellAnchor>
    <xdr:from>
      <xdr:col>9</xdr:col>
      <xdr:colOff>6350</xdr:colOff>
      <xdr:row>6170</xdr:row>
      <xdr:rowOff>25400</xdr:rowOff>
    </xdr:from>
    <xdr:to>
      <xdr:col>9</xdr:col>
      <xdr:colOff>885190</xdr:colOff>
      <xdr:row>6170</xdr:row>
      <xdr:rowOff>1209040</xdr:rowOff>
    </xdr:to>
    <xdr:pic>
      <xdr:nvPicPr>
        <xdr:cNvPr id="10243" name="Изображение 10242" descr="resizeПП-00198440"/>
        <xdr:cNvPicPr>
          <a:picLocks noChangeAspect="1"/>
        </xdr:cNvPicPr>
      </xdr:nvPicPr>
      <xdr:blipFill>
        <a:blip xmlns:r="http://schemas.openxmlformats.org/officeDocument/2006/relationships" r:embed="rId4849"/>
        <a:stretch>
          <a:fillRect/>
        </a:stretch>
      </xdr:blipFill>
      <xdr:spPr>
        <a:xfrm>
          <a:off x="7235825" y="6335569625"/>
          <a:ext cx="878840" cy="1183640"/>
        </a:xfrm>
        <a:prstGeom prst="rect">
          <a:avLst/>
        </a:prstGeom>
      </xdr:spPr>
    </xdr:pic>
    <xdr:clientData/>
  </xdr:twoCellAnchor>
  <xdr:twoCellAnchor>
    <xdr:from>
      <xdr:col>9</xdr:col>
      <xdr:colOff>6350</xdr:colOff>
      <xdr:row>6173</xdr:row>
      <xdr:rowOff>25400</xdr:rowOff>
    </xdr:from>
    <xdr:to>
      <xdr:col>9</xdr:col>
      <xdr:colOff>885190</xdr:colOff>
      <xdr:row>6173</xdr:row>
      <xdr:rowOff>1209040</xdr:rowOff>
    </xdr:to>
    <xdr:pic>
      <xdr:nvPicPr>
        <xdr:cNvPr id="10244" name="Изображение 10243" descr="resizeПП-00119396"/>
        <xdr:cNvPicPr>
          <a:picLocks noChangeAspect="1"/>
        </xdr:cNvPicPr>
      </xdr:nvPicPr>
      <xdr:blipFill>
        <a:blip xmlns:r="http://schemas.openxmlformats.org/officeDocument/2006/relationships" r:embed="rId4850"/>
        <a:stretch>
          <a:fillRect/>
        </a:stretch>
      </xdr:blipFill>
      <xdr:spPr>
        <a:xfrm>
          <a:off x="7235825" y="6337096800"/>
          <a:ext cx="878840" cy="1183640"/>
        </a:xfrm>
        <a:prstGeom prst="rect">
          <a:avLst/>
        </a:prstGeom>
      </xdr:spPr>
    </xdr:pic>
    <xdr:clientData/>
  </xdr:twoCellAnchor>
  <xdr:twoCellAnchor>
    <xdr:from>
      <xdr:col>9</xdr:col>
      <xdr:colOff>6350</xdr:colOff>
      <xdr:row>6174</xdr:row>
      <xdr:rowOff>25400</xdr:rowOff>
    </xdr:from>
    <xdr:to>
      <xdr:col>9</xdr:col>
      <xdr:colOff>885190</xdr:colOff>
      <xdr:row>6174</xdr:row>
      <xdr:rowOff>1209040</xdr:rowOff>
    </xdr:to>
    <xdr:pic>
      <xdr:nvPicPr>
        <xdr:cNvPr id="10245" name="Изображение 10244" descr="resizeПП-00113260"/>
        <xdr:cNvPicPr>
          <a:picLocks noChangeAspect="1"/>
        </xdr:cNvPicPr>
      </xdr:nvPicPr>
      <xdr:blipFill>
        <a:blip xmlns:r="http://schemas.openxmlformats.org/officeDocument/2006/relationships" r:embed="rId4851"/>
        <a:stretch>
          <a:fillRect/>
        </a:stretch>
      </xdr:blipFill>
      <xdr:spPr>
        <a:xfrm>
          <a:off x="7235825" y="6338319175"/>
          <a:ext cx="878840" cy="1183640"/>
        </a:xfrm>
        <a:prstGeom prst="rect">
          <a:avLst/>
        </a:prstGeom>
      </xdr:spPr>
    </xdr:pic>
    <xdr:clientData/>
  </xdr:twoCellAnchor>
  <xdr:twoCellAnchor>
    <xdr:from>
      <xdr:col>9</xdr:col>
      <xdr:colOff>6350</xdr:colOff>
      <xdr:row>6175</xdr:row>
      <xdr:rowOff>25400</xdr:rowOff>
    </xdr:from>
    <xdr:to>
      <xdr:col>9</xdr:col>
      <xdr:colOff>885190</xdr:colOff>
      <xdr:row>6175</xdr:row>
      <xdr:rowOff>1209040</xdr:rowOff>
    </xdr:to>
    <xdr:pic>
      <xdr:nvPicPr>
        <xdr:cNvPr id="10246" name="Изображение 10245" descr="resizeПП-00092219"/>
        <xdr:cNvPicPr>
          <a:picLocks noChangeAspect="1"/>
        </xdr:cNvPicPr>
      </xdr:nvPicPr>
      <xdr:blipFill>
        <a:blip xmlns:r="http://schemas.openxmlformats.org/officeDocument/2006/relationships" r:embed="rId4852"/>
        <a:stretch>
          <a:fillRect/>
        </a:stretch>
      </xdr:blipFill>
      <xdr:spPr>
        <a:xfrm>
          <a:off x="7235825" y="6339541550"/>
          <a:ext cx="878840" cy="1183640"/>
        </a:xfrm>
        <a:prstGeom prst="rect">
          <a:avLst/>
        </a:prstGeom>
      </xdr:spPr>
    </xdr:pic>
    <xdr:clientData/>
  </xdr:twoCellAnchor>
  <xdr:twoCellAnchor>
    <xdr:from>
      <xdr:col>9</xdr:col>
      <xdr:colOff>6350</xdr:colOff>
      <xdr:row>6176</xdr:row>
      <xdr:rowOff>25400</xdr:rowOff>
    </xdr:from>
    <xdr:to>
      <xdr:col>9</xdr:col>
      <xdr:colOff>885190</xdr:colOff>
      <xdr:row>6176</xdr:row>
      <xdr:rowOff>1209040</xdr:rowOff>
    </xdr:to>
    <xdr:pic>
      <xdr:nvPicPr>
        <xdr:cNvPr id="10247" name="Изображение 10246" descr="resizeПП-00119398"/>
        <xdr:cNvPicPr>
          <a:picLocks noChangeAspect="1"/>
        </xdr:cNvPicPr>
      </xdr:nvPicPr>
      <xdr:blipFill>
        <a:blip xmlns:r="http://schemas.openxmlformats.org/officeDocument/2006/relationships" r:embed="rId4853"/>
        <a:stretch>
          <a:fillRect/>
        </a:stretch>
      </xdr:blipFill>
      <xdr:spPr>
        <a:xfrm>
          <a:off x="7235825" y="6340763925"/>
          <a:ext cx="878840" cy="1183640"/>
        </a:xfrm>
        <a:prstGeom prst="rect">
          <a:avLst/>
        </a:prstGeom>
      </xdr:spPr>
    </xdr:pic>
    <xdr:clientData/>
  </xdr:twoCellAnchor>
  <xdr:twoCellAnchor>
    <xdr:from>
      <xdr:col>9</xdr:col>
      <xdr:colOff>6350</xdr:colOff>
      <xdr:row>6178</xdr:row>
      <xdr:rowOff>25400</xdr:rowOff>
    </xdr:from>
    <xdr:to>
      <xdr:col>9</xdr:col>
      <xdr:colOff>885190</xdr:colOff>
      <xdr:row>6178</xdr:row>
      <xdr:rowOff>1209040</xdr:rowOff>
    </xdr:to>
    <xdr:pic>
      <xdr:nvPicPr>
        <xdr:cNvPr id="10248" name="Изображение 10247" descr="resizeПП-00119401"/>
        <xdr:cNvPicPr>
          <a:picLocks noChangeAspect="1"/>
        </xdr:cNvPicPr>
      </xdr:nvPicPr>
      <xdr:blipFill>
        <a:blip xmlns:r="http://schemas.openxmlformats.org/officeDocument/2006/relationships" r:embed="rId4854"/>
        <a:stretch>
          <a:fillRect/>
        </a:stretch>
      </xdr:blipFill>
      <xdr:spPr>
        <a:xfrm>
          <a:off x="7235825" y="6342138700"/>
          <a:ext cx="878840" cy="1183640"/>
        </a:xfrm>
        <a:prstGeom prst="rect">
          <a:avLst/>
        </a:prstGeom>
      </xdr:spPr>
    </xdr:pic>
    <xdr:clientData/>
  </xdr:twoCellAnchor>
  <xdr:twoCellAnchor>
    <xdr:from>
      <xdr:col>9</xdr:col>
      <xdr:colOff>6350</xdr:colOff>
      <xdr:row>6179</xdr:row>
      <xdr:rowOff>25400</xdr:rowOff>
    </xdr:from>
    <xdr:to>
      <xdr:col>9</xdr:col>
      <xdr:colOff>885190</xdr:colOff>
      <xdr:row>6179</xdr:row>
      <xdr:rowOff>1209040</xdr:rowOff>
    </xdr:to>
    <xdr:pic>
      <xdr:nvPicPr>
        <xdr:cNvPr id="10249" name="Изображение 10248" descr="resizeПП-00119406"/>
        <xdr:cNvPicPr>
          <a:picLocks noChangeAspect="1"/>
        </xdr:cNvPicPr>
      </xdr:nvPicPr>
      <xdr:blipFill>
        <a:blip xmlns:r="http://schemas.openxmlformats.org/officeDocument/2006/relationships" r:embed="rId4855"/>
        <a:stretch>
          <a:fillRect/>
        </a:stretch>
      </xdr:blipFill>
      <xdr:spPr>
        <a:xfrm>
          <a:off x="7235825" y="6343361075"/>
          <a:ext cx="878840" cy="1183640"/>
        </a:xfrm>
        <a:prstGeom prst="rect">
          <a:avLst/>
        </a:prstGeom>
      </xdr:spPr>
    </xdr:pic>
    <xdr:clientData/>
  </xdr:twoCellAnchor>
  <xdr:twoCellAnchor>
    <xdr:from>
      <xdr:col>9</xdr:col>
      <xdr:colOff>6350</xdr:colOff>
      <xdr:row>6180</xdr:row>
      <xdr:rowOff>25400</xdr:rowOff>
    </xdr:from>
    <xdr:to>
      <xdr:col>9</xdr:col>
      <xdr:colOff>885190</xdr:colOff>
      <xdr:row>6180</xdr:row>
      <xdr:rowOff>1209040</xdr:rowOff>
    </xdr:to>
    <xdr:pic>
      <xdr:nvPicPr>
        <xdr:cNvPr id="10250" name="Изображение 10249" descr="resizeПП-00073417"/>
        <xdr:cNvPicPr>
          <a:picLocks noChangeAspect="1"/>
        </xdr:cNvPicPr>
      </xdr:nvPicPr>
      <xdr:blipFill>
        <a:blip xmlns:r="http://schemas.openxmlformats.org/officeDocument/2006/relationships" r:embed="rId4856"/>
        <a:stretch>
          <a:fillRect/>
        </a:stretch>
      </xdr:blipFill>
      <xdr:spPr>
        <a:xfrm>
          <a:off x="7235825" y="6344583450"/>
          <a:ext cx="878840" cy="1183640"/>
        </a:xfrm>
        <a:prstGeom prst="rect">
          <a:avLst/>
        </a:prstGeom>
      </xdr:spPr>
    </xdr:pic>
    <xdr:clientData/>
  </xdr:twoCellAnchor>
  <xdr:twoCellAnchor>
    <xdr:from>
      <xdr:col>9</xdr:col>
      <xdr:colOff>6350</xdr:colOff>
      <xdr:row>6181</xdr:row>
      <xdr:rowOff>25400</xdr:rowOff>
    </xdr:from>
    <xdr:to>
      <xdr:col>9</xdr:col>
      <xdr:colOff>885190</xdr:colOff>
      <xdr:row>6181</xdr:row>
      <xdr:rowOff>1209040</xdr:rowOff>
    </xdr:to>
    <xdr:pic>
      <xdr:nvPicPr>
        <xdr:cNvPr id="10251" name="Изображение 10250" descr="resizeПП-00065241"/>
        <xdr:cNvPicPr>
          <a:picLocks noChangeAspect="1"/>
        </xdr:cNvPicPr>
      </xdr:nvPicPr>
      <xdr:blipFill>
        <a:blip xmlns:r="http://schemas.openxmlformats.org/officeDocument/2006/relationships" r:embed="rId4857"/>
        <a:stretch>
          <a:fillRect/>
        </a:stretch>
      </xdr:blipFill>
      <xdr:spPr>
        <a:xfrm>
          <a:off x="7235825" y="6345805825"/>
          <a:ext cx="878840" cy="1183640"/>
        </a:xfrm>
        <a:prstGeom prst="rect">
          <a:avLst/>
        </a:prstGeom>
      </xdr:spPr>
    </xdr:pic>
    <xdr:clientData/>
  </xdr:twoCellAnchor>
  <xdr:twoCellAnchor>
    <xdr:from>
      <xdr:col>9</xdr:col>
      <xdr:colOff>6350</xdr:colOff>
      <xdr:row>6182</xdr:row>
      <xdr:rowOff>25400</xdr:rowOff>
    </xdr:from>
    <xdr:to>
      <xdr:col>9</xdr:col>
      <xdr:colOff>885190</xdr:colOff>
      <xdr:row>6182</xdr:row>
      <xdr:rowOff>1209040</xdr:rowOff>
    </xdr:to>
    <xdr:pic>
      <xdr:nvPicPr>
        <xdr:cNvPr id="10252" name="Изображение 10251" descr="resizeПП-00219384"/>
        <xdr:cNvPicPr>
          <a:picLocks noChangeAspect="1"/>
        </xdr:cNvPicPr>
      </xdr:nvPicPr>
      <xdr:blipFill>
        <a:blip xmlns:r="http://schemas.openxmlformats.org/officeDocument/2006/relationships" r:embed="rId4858"/>
        <a:stretch>
          <a:fillRect/>
        </a:stretch>
      </xdr:blipFill>
      <xdr:spPr>
        <a:xfrm>
          <a:off x="7235825" y="6347028200"/>
          <a:ext cx="878840" cy="1183640"/>
        </a:xfrm>
        <a:prstGeom prst="rect">
          <a:avLst/>
        </a:prstGeom>
      </xdr:spPr>
    </xdr:pic>
    <xdr:clientData/>
  </xdr:twoCellAnchor>
  <xdr:twoCellAnchor>
    <xdr:from>
      <xdr:col>9</xdr:col>
      <xdr:colOff>6350</xdr:colOff>
      <xdr:row>6183</xdr:row>
      <xdr:rowOff>25400</xdr:rowOff>
    </xdr:from>
    <xdr:to>
      <xdr:col>9</xdr:col>
      <xdr:colOff>885190</xdr:colOff>
      <xdr:row>6183</xdr:row>
      <xdr:rowOff>1209040</xdr:rowOff>
    </xdr:to>
    <xdr:pic>
      <xdr:nvPicPr>
        <xdr:cNvPr id="10253" name="Изображение 10252" descr="resizeПП-00189027"/>
        <xdr:cNvPicPr>
          <a:picLocks noChangeAspect="1"/>
        </xdr:cNvPicPr>
      </xdr:nvPicPr>
      <xdr:blipFill>
        <a:blip xmlns:r="http://schemas.openxmlformats.org/officeDocument/2006/relationships" r:embed="rId4859"/>
        <a:stretch>
          <a:fillRect/>
        </a:stretch>
      </xdr:blipFill>
      <xdr:spPr>
        <a:xfrm>
          <a:off x="7235825" y="6348250575"/>
          <a:ext cx="878840" cy="1183640"/>
        </a:xfrm>
        <a:prstGeom prst="rect">
          <a:avLst/>
        </a:prstGeom>
      </xdr:spPr>
    </xdr:pic>
    <xdr:clientData/>
  </xdr:twoCellAnchor>
  <xdr:twoCellAnchor>
    <xdr:from>
      <xdr:col>9</xdr:col>
      <xdr:colOff>6350</xdr:colOff>
      <xdr:row>6184</xdr:row>
      <xdr:rowOff>25400</xdr:rowOff>
    </xdr:from>
    <xdr:to>
      <xdr:col>9</xdr:col>
      <xdr:colOff>885190</xdr:colOff>
      <xdr:row>6184</xdr:row>
      <xdr:rowOff>1209040</xdr:rowOff>
    </xdr:to>
    <xdr:pic>
      <xdr:nvPicPr>
        <xdr:cNvPr id="10254" name="Изображение 10253" descr="resizeПП-00192275"/>
        <xdr:cNvPicPr>
          <a:picLocks noChangeAspect="1"/>
        </xdr:cNvPicPr>
      </xdr:nvPicPr>
      <xdr:blipFill>
        <a:blip xmlns:r="http://schemas.openxmlformats.org/officeDocument/2006/relationships" r:embed="rId4860"/>
        <a:stretch>
          <a:fillRect/>
        </a:stretch>
      </xdr:blipFill>
      <xdr:spPr>
        <a:xfrm>
          <a:off x="7235825" y="6349472950"/>
          <a:ext cx="878840" cy="1183640"/>
        </a:xfrm>
        <a:prstGeom prst="rect">
          <a:avLst/>
        </a:prstGeom>
      </xdr:spPr>
    </xdr:pic>
    <xdr:clientData/>
  </xdr:twoCellAnchor>
  <xdr:twoCellAnchor>
    <xdr:from>
      <xdr:col>9</xdr:col>
      <xdr:colOff>6350</xdr:colOff>
      <xdr:row>6185</xdr:row>
      <xdr:rowOff>25400</xdr:rowOff>
    </xdr:from>
    <xdr:to>
      <xdr:col>9</xdr:col>
      <xdr:colOff>885190</xdr:colOff>
      <xdr:row>6185</xdr:row>
      <xdr:rowOff>1209040</xdr:rowOff>
    </xdr:to>
    <xdr:pic>
      <xdr:nvPicPr>
        <xdr:cNvPr id="10255" name="Изображение 10254" descr="resizeПП-00189018"/>
        <xdr:cNvPicPr>
          <a:picLocks noChangeAspect="1"/>
        </xdr:cNvPicPr>
      </xdr:nvPicPr>
      <xdr:blipFill>
        <a:blip xmlns:r="http://schemas.openxmlformats.org/officeDocument/2006/relationships" r:embed="rId4861"/>
        <a:stretch>
          <a:fillRect/>
        </a:stretch>
      </xdr:blipFill>
      <xdr:spPr>
        <a:xfrm>
          <a:off x="7235825" y="6350695325"/>
          <a:ext cx="878840" cy="1183640"/>
        </a:xfrm>
        <a:prstGeom prst="rect">
          <a:avLst/>
        </a:prstGeom>
      </xdr:spPr>
    </xdr:pic>
    <xdr:clientData/>
  </xdr:twoCellAnchor>
  <xdr:twoCellAnchor>
    <xdr:from>
      <xdr:col>9</xdr:col>
      <xdr:colOff>6350</xdr:colOff>
      <xdr:row>6186</xdr:row>
      <xdr:rowOff>25400</xdr:rowOff>
    </xdr:from>
    <xdr:to>
      <xdr:col>9</xdr:col>
      <xdr:colOff>885190</xdr:colOff>
      <xdr:row>6186</xdr:row>
      <xdr:rowOff>1209040</xdr:rowOff>
    </xdr:to>
    <xdr:pic>
      <xdr:nvPicPr>
        <xdr:cNvPr id="10256" name="Изображение 10255" descr="resizeПП-00189024"/>
        <xdr:cNvPicPr>
          <a:picLocks noChangeAspect="1"/>
        </xdr:cNvPicPr>
      </xdr:nvPicPr>
      <xdr:blipFill>
        <a:blip xmlns:r="http://schemas.openxmlformats.org/officeDocument/2006/relationships" r:embed="rId4862"/>
        <a:stretch>
          <a:fillRect/>
        </a:stretch>
      </xdr:blipFill>
      <xdr:spPr>
        <a:xfrm>
          <a:off x="7235825" y="6351917700"/>
          <a:ext cx="878840" cy="1183640"/>
        </a:xfrm>
        <a:prstGeom prst="rect">
          <a:avLst/>
        </a:prstGeom>
      </xdr:spPr>
    </xdr:pic>
    <xdr:clientData/>
  </xdr:twoCellAnchor>
  <xdr:twoCellAnchor>
    <xdr:from>
      <xdr:col>9</xdr:col>
      <xdr:colOff>6350</xdr:colOff>
      <xdr:row>6187</xdr:row>
      <xdr:rowOff>25400</xdr:rowOff>
    </xdr:from>
    <xdr:to>
      <xdr:col>9</xdr:col>
      <xdr:colOff>885190</xdr:colOff>
      <xdr:row>6187</xdr:row>
      <xdr:rowOff>1209040</xdr:rowOff>
    </xdr:to>
    <xdr:pic>
      <xdr:nvPicPr>
        <xdr:cNvPr id="10257" name="Изображение 10256" descr="resizeПП-00192279"/>
        <xdr:cNvPicPr>
          <a:picLocks noChangeAspect="1"/>
        </xdr:cNvPicPr>
      </xdr:nvPicPr>
      <xdr:blipFill>
        <a:blip xmlns:r="http://schemas.openxmlformats.org/officeDocument/2006/relationships" r:embed="rId4863"/>
        <a:stretch>
          <a:fillRect/>
        </a:stretch>
      </xdr:blipFill>
      <xdr:spPr>
        <a:xfrm>
          <a:off x="7235825" y="6353140075"/>
          <a:ext cx="878840" cy="1183640"/>
        </a:xfrm>
        <a:prstGeom prst="rect">
          <a:avLst/>
        </a:prstGeom>
      </xdr:spPr>
    </xdr:pic>
    <xdr:clientData/>
  </xdr:twoCellAnchor>
  <xdr:twoCellAnchor>
    <xdr:from>
      <xdr:col>9</xdr:col>
      <xdr:colOff>6350</xdr:colOff>
      <xdr:row>6188</xdr:row>
      <xdr:rowOff>25400</xdr:rowOff>
    </xdr:from>
    <xdr:to>
      <xdr:col>9</xdr:col>
      <xdr:colOff>885190</xdr:colOff>
      <xdr:row>6188</xdr:row>
      <xdr:rowOff>1209040</xdr:rowOff>
    </xdr:to>
    <xdr:pic>
      <xdr:nvPicPr>
        <xdr:cNvPr id="10258" name="Изображение 10257" descr="resizeПП-00189021"/>
        <xdr:cNvPicPr>
          <a:picLocks noChangeAspect="1"/>
        </xdr:cNvPicPr>
      </xdr:nvPicPr>
      <xdr:blipFill>
        <a:blip xmlns:r="http://schemas.openxmlformats.org/officeDocument/2006/relationships" r:embed="rId4864"/>
        <a:stretch>
          <a:fillRect/>
        </a:stretch>
      </xdr:blipFill>
      <xdr:spPr>
        <a:xfrm>
          <a:off x="7235825" y="6354362450"/>
          <a:ext cx="878840" cy="1183640"/>
        </a:xfrm>
        <a:prstGeom prst="rect">
          <a:avLst/>
        </a:prstGeom>
      </xdr:spPr>
    </xdr:pic>
    <xdr:clientData/>
  </xdr:twoCellAnchor>
  <xdr:twoCellAnchor>
    <xdr:from>
      <xdr:col>9</xdr:col>
      <xdr:colOff>6350</xdr:colOff>
      <xdr:row>6189</xdr:row>
      <xdr:rowOff>25400</xdr:rowOff>
    </xdr:from>
    <xdr:to>
      <xdr:col>9</xdr:col>
      <xdr:colOff>885190</xdr:colOff>
      <xdr:row>6189</xdr:row>
      <xdr:rowOff>1209040</xdr:rowOff>
    </xdr:to>
    <xdr:pic>
      <xdr:nvPicPr>
        <xdr:cNvPr id="10259" name="Изображение 10258" descr="resizeПП-00192276"/>
        <xdr:cNvPicPr>
          <a:picLocks noChangeAspect="1"/>
        </xdr:cNvPicPr>
      </xdr:nvPicPr>
      <xdr:blipFill>
        <a:blip xmlns:r="http://schemas.openxmlformats.org/officeDocument/2006/relationships" r:embed="rId4865"/>
        <a:stretch>
          <a:fillRect/>
        </a:stretch>
      </xdr:blipFill>
      <xdr:spPr>
        <a:xfrm>
          <a:off x="7235825" y="6355584825"/>
          <a:ext cx="878840" cy="1183640"/>
        </a:xfrm>
        <a:prstGeom prst="rect">
          <a:avLst/>
        </a:prstGeom>
      </xdr:spPr>
    </xdr:pic>
    <xdr:clientData/>
  </xdr:twoCellAnchor>
  <xdr:twoCellAnchor>
    <xdr:from>
      <xdr:col>9</xdr:col>
      <xdr:colOff>6350</xdr:colOff>
      <xdr:row>6190</xdr:row>
      <xdr:rowOff>25400</xdr:rowOff>
    </xdr:from>
    <xdr:to>
      <xdr:col>9</xdr:col>
      <xdr:colOff>885190</xdr:colOff>
      <xdr:row>6190</xdr:row>
      <xdr:rowOff>1209040</xdr:rowOff>
    </xdr:to>
    <xdr:pic>
      <xdr:nvPicPr>
        <xdr:cNvPr id="10260" name="Изображение 10259" descr="resizeПП-00208164"/>
        <xdr:cNvPicPr>
          <a:picLocks noChangeAspect="1"/>
        </xdr:cNvPicPr>
      </xdr:nvPicPr>
      <xdr:blipFill>
        <a:blip xmlns:r="http://schemas.openxmlformats.org/officeDocument/2006/relationships" r:embed="rId4866"/>
        <a:stretch>
          <a:fillRect/>
        </a:stretch>
      </xdr:blipFill>
      <xdr:spPr>
        <a:xfrm>
          <a:off x="7235825" y="6356807200"/>
          <a:ext cx="878840" cy="1183640"/>
        </a:xfrm>
        <a:prstGeom prst="rect">
          <a:avLst/>
        </a:prstGeom>
      </xdr:spPr>
    </xdr:pic>
    <xdr:clientData/>
  </xdr:twoCellAnchor>
  <xdr:twoCellAnchor>
    <xdr:from>
      <xdr:col>9</xdr:col>
      <xdr:colOff>6350</xdr:colOff>
      <xdr:row>6191</xdr:row>
      <xdr:rowOff>25400</xdr:rowOff>
    </xdr:from>
    <xdr:to>
      <xdr:col>9</xdr:col>
      <xdr:colOff>885190</xdr:colOff>
      <xdr:row>6191</xdr:row>
      <xdr:rowOff>1209040</xdr:rowOff>
    </xdr:to>
    <xdr:pic>
      <xdr:nvPicPr>
        <xdr:cNvPr id="10261" name="Изображение 10260" descr="resizeПП-00192277"/>
        <xdr:cNvPicPr>
          <a:picLocks noChangeAspect="1"/>
        </xdr:cNvPicPr>
      </xdr:nvPicPr>
      <xdr:blipFill>
        <a:blip xmlns:r="http://schemas.openxmlformats.org/officeDocument/2006/relationships" r:embed="rId4867"/>
        <a:stretch>
          <a:fillRect/>
        </a:stretch>
      </xdr:blipFill>
      <xdr:spPr>
        <a:xfrm>
          <a:off x="7235825" y="6358029575"/>
          <a:ext cx="878840" cy="1183640"/>
        </a:xfrm>
        <a:prstGeom prst="rect">
          <a:avLst/>
        </a:prstGeom>
      </xdr:spPr>
    </xdr:pic>
    <xdr:clientData/>
  </xdr:twoCellAnchor>
  <xdr:twoCellAnchor>
    <xdr:from>
      <xdr:col>9</xdr:col>
      <xdr:colOff>6350</xdr:colOff>
      <xdr:row>6192</xdr:row>
      <xdr:rowOff>25400</xdr:rowOff>
    </xdr:from>
    <xdr:to>
      <xdr:col>9</xdr:col>
      <xdr:colOff>885190</xdr:colOff>
      <xdr:row>6192</xdr:row>
      <xdr:rowOff>1209040</xdr:rowOff>
    </xdr:to>
    <xdr:pic>
      <xdr:nvPicPr>
        <xdr:cNvPr id="10262" name="Изображение 10261" descr="resizeПП-00176901"/>
        <xdr:cNvPicPr>
          <a:picLocks noChangeAspect="1"/>
        </xdr:cNvPicPr>
      </xdr:nvPicPr>
      <xdr:blipFill>
        <a:blip xmlns:r="http://schemas.openxmlformats.org/officeDocument/2006/relationships" r:embed="rId4868"/>
        <a:stretch>
          <a:fillRect/>
        </a:stretch>
      </xdr:blipFill>
      <xdr:spPr>
        <a:xfrm>
          <a:off x="7235825" y="6359251950"/>
          <a:ext cx="878840" cy="1183640"/>
        </a:xfrm>
        <a:prstGeom prst="rect">
          <a:avLst/>
        </a:prstGeom>
      </xdr:spPr>
    </xdr:pic>
    <xdr:clientData/>
  </xdr:twoCellAnchor>
  <xdr:twoCellAnchor>
    <xdr:from>
      <xdr:col>9</xdr:col>
      <xdr:colOff>6350</xdr:colOff>
      <xdr:row>6193</xdr:row>
      <xdr:rowOff>25400</xdr:rowOff>
    </xdr:from>
    <xdr:to>
      <xdr:col>9</xdr:col>
      <xdr:colOff>885190</xdr:colOff>
      <xdr:row>6193</xdr:row>
      <xdr:rowOff>1209040</xdr:rowOff>
    </xdr:to>
    <xdr:pic>
      <xdr:nvPicPr>
        <xdr:cNvPr id="10263" name="Изображение 10262" descr="resizeПП-00236360"/>
        <xdr:cNvPicPr>
          <a:picLocks noChangeAspect="1"/>
        </xdr:cNvPicPr>
      </xdr:nvPicPr>
      <xdr:blipFill>
        <a:blip xmlns:r="http://schemas.openxmlformats.org/officeDocument/2006/relationships" r:embed="rId4869"/>
        <a:stretch>
          <a:fillRect/>
        </a:stretch>
      </xdr:blipFill>
      <xdr:spPr>
        <a:xfrm>
          <a:off x="7235825" y="6360474325"/>
          <a:ext cx="878840" cy="1183640"/>
        </a:xfrm>
        <a:prstGeom prst="rect">
          <a:avLst/>
        </a:prstGeom>
      </xdr:spPr>
    </xdr:pic>
    <xdr:clientData/>
  </xdr:twoCellAnchor>
  <xdr:twoCellAnchor>
    <xdr:from>
      <xdr:col>9</xdr:col>
      <xdr:colOff>6350</xdr:colOff>
      <xdr:row>6194</xdr:row>
      <xdr:rowOff>25400</xdr:rowOff>
    </xdr:from>
    <xdr:to>
      <xdr:col>9</xdr:col>
      <xdr:colOff>885190</xdr:colOff>
      <xdr:row>6194</xdr:row>
      <xdr:rowOff>1209040</xdr:rowOff>
    </xdr:to>
    <xdr:pic>
      <xdr:nvPicPr>
        <xdr:cNvPr id="10264" name="Изображение 10263" descr="resizeПП-00189029"/>
        <xdr:cNvPicPr>
          <a:picLocks noChangeAspect="1"/>
        </xdr:cNvPicPr>
      </xdr:nvPicPr>
      <xdr:blipFill>
        <a:blip xmlns:r="http://schemas.openxmlformats.org/officeDocument/2006/relationships" r:embed="rId4870"/>
        <a:stretch>
          <a:fillRect/>
        </a:stretch>
      </xdr:blipFill>
      <xdr:spPr>
        <a:xfrm>
          <a:off x="7235825" y="6361696700"/>
          <a:ext cx="878840" cy="1183640"/>
        </a:xfrm>
        <a:prstGeom prst="rect">
          <a:avLst/>
        </a:prstGeom>
      </xdr:spPr>
    </xdr:pic>
    <xdr:clientData/>
  </xdr:twoCellAnchor>
  <xdr:twoCellAnchor>
    <xdr:from>
      <xdr:col>9</xdr:col>
      <xdr:colOff>6350</xdr:colOff>
      <xdr:row>6195</xdr:row>
      <xdr:rowOff>25400</xdr:rowOff>
    </xdr:from>
    <xdr:to>
      <xdr:col>9</xdr:col>
      <xdr:colOff>885190</xdr:colOff>
      <xdr:row>6195</xdr:row>
      <xdr:rowOff>1209040</xdr:rowOff>
    </xdr:to>
    <xdr:pic>
      <xdr:nvPicPr>
        <xdr:cNvPr id="10265" name="Изображение 10264" descr="resizeПП-00192278"/>
        <xdr:cNvPicPr>
          <a:picLocks noChangeAspect="1"/>
        </xdr:cNvPicPr>
      </xdr:nvPicPr>
      <xdr:blipFill>
        <a:blip xmlns:r="http://schemas.openxmlformats.org/officeDocument/2006/relationships" r:embed="rId4871"/>
        <a:stretch>
          <a:fillRect/>
        </a:stretch>
      </xdr:blipFill>
      <xdr:spPr>
        <a:xfrm>
          <a:off x="7235825" y="6362919075"/>
          <a:ext cx="878840" cy="1183640"/>
        </a:xfrm>
        <a:prstGeom prst="rect">
          <a:avLst/>
        </a:prstGeom>
      </xdr:spPr>
    </xdr:pic>
    <xdr:clientData/>
  </xdr:twoCellAnchor>
  <xdr:twoCellAnchor>
    <xdr:from>
      <xdr:col>9</xdr:col>
      <xdr:colOff>6350</xdr:colOff>
      <xdr:row>6196</xdr:row>
      <xdr:rowOff>25400</xdr:rowOff>
    </xdr:from>
    <xdr:to>
      <xdr:col>9</xdr:col>
      <xdr:colOff>885190</xdr:colOff>
      <xdr:row>6196</xdr:row>
      <xdr:rowOff>1209040</xdr:rowOff>
    </xdr:to>
    <xdr:pic>
      <xdr:nvPicPr>
        <xdr:cNvPr id="10266" name="Изображение 10265" descr="resizeПП-00200979"/>
        <xdr:cNvPicPr>
          <a:picLocks noChangeAspect="1"/>
        </xdr:cNvPicPr>
      </xdr:nvPicPr>
      <xdr:blipFill>
        <a:blip xmlns:r="http://schemas.openxmlformats.org/officeDocument/2006/relationships" r:embed="rId4872"/>
        <a:stretch>
          <a:fillRect/>
        </a:stretch>
      </xdr:blipFill>
      <xdr:spPr>
        <a:xfrm>
          <a:off x="7235825" y="6364141450"/>
          <a:ext cx="878840" cy="1183640"/>
        </a:xfrm>
        <a:prstGeom prst="rect">
          <a:avLst/>
        </a:prstGeom>
      </xdr:spPr>
    </xdr:pic>
    <xdr:clientData/>
  </xdr:twoCellAnchor>
  <xdr:twoCellAnchor>
    <xdr:from>
      <xdr:col>9</xdr:col>
      <xdr:colOff>6350</xdr:colOff>
      <xdr:row>6197</xdr:row>
      <xdr:rowOff>25400</xdr:rowOff>
    </xdr:from>
    <xdr:to>
      <xdr:col>9</xdr:col>
      <xdr:colOff>885190</xdr:colOff>
      <xdr:row>6197</xdr:row>
      <xdr:rowOff>1209040</xdr:rowOff>
    </xdr:to>
    <xdr:pic>
      <xdr:nvPicPr>
        <xdr:cNvPr id="10267" name="Изображение 10266" descr="resizeПП-00200977"/>
        <xdr:cNvPicPr>
          <a:picLocks noChangeAspect="1"/>
        </xdr:cNvPicPr>
      </xdr:nvPicPr>
      <xdr:blipFill>
        <a:blip xmlns:r="http://schemas.openxmlformats.org/officeDocument/2006/relationships" r:embed="rId4873"/>
        <a:stretch>
          <a:fillRect/>
        </a:stretch>
      </xdr:blipFill>
      <xdr:spPr>
        <a:xfrm>
          <a:off x="7235825" y="6365363825"/>
          <a:ext cx="878840" cy="1183640"/>
        </a:xfrm>
        <a:prstGeom prst="rect">
          <a:avLst/>
        </a:prstGeom>
      </xdr:spPr>
    </xdr:pic>
    <xdr:clientData/>
  </xdr:twoCellAnchor>
  <xdr:twoCellAnchor>
    <xdr:from>
      <xdr:col>9</xdr:col>
      <xdr:colOff>6350</xdr:colOff>
      <xdr:row>6198</xdr:row>
      <xdr:rowOff>25400</xdr:rowOff>
    </xdr:from>
    <xdr:to>
      <xdr:col>9</xdr:col>
      <xdr:colOff>885190</xdr:colOff>
      <xdr:row>6198</xdr:row>
      <xdr:rowOff>1209040</xdr:rowOff>
    </xdr:to>
    <xdr:pic>
      <xdr:nvPicPr>
        <xdr:cNvPr id="10268" name="Изображение 10267" descr="resizeПП-00200980"/>
        <xdr:cNvPicPr>
          <a:picLocks noChangeAspect="1"/>
        </xdr:cNvPicPr>
      </xdr:nvPicPr>
      <xdr:blipFill>
        <a:blip xmlns:r="http://schemas.openxmlformats.org/officeDocument/2006/relationships" r:embed="rId4874"/>
        <a:stretch>
          <a:fillRect/>
        </a:stretch>
      </xdr:blipFill>
      <xdr:spPr>
        <a:xfrm>
          <a:off x="7235825" y="6366586200"/>
          <a:ext cx="878840" cy="1183640"/>
        </a:xfrm>
        <a:prstGeom prst="rect">
          <a:avLst/>
        </a:prstGeom>
      </xdr:spPr>
    </xdr:pic>
    <xdr:clientData/>
  </xdr:twoCellAnchor>
  <xdr:twoCellAnchor>
    <xdr:from>
      <xdr:col>9</xdr:col>
      <xdr:colOff>6350</xdr:colOff>
      <xdr:row>6199</xdr:row>
      <xdr:rowOff>25400</xdr:rowOff>
    </xdr:from>
    <xdr:to>
      <xdr:col>9</xdr:col>
      <xdr:colOff>885190</xdr:colOff>
      <xdr:row>6199</xdr:row>
      <xdr:rowOff>1209040</xdr:rowOff>
    </xdr:to>
    <xdr:pic>
      <xdr:nvPicPr>
        <xdr:cNvPr id="10269" name="Изображение 10268" descr="resizeПП-00200983"/>
        <xdr:cNvPicPr>
          <a:picLocks noChangeAspect="1"/>
        </xdr:cNvPicPr>
      </xdr:nvPicPr>
      <xdr:blipFill>
        <a:blip xmlns:r="http://schemas.openxmlformats.org/officeDocument/2006/relationships" r:embed="rId4875"/>
        <a:stretch>
          <a:fillRect/>
        </a:stretch>
      </xdr:blipFill>
      <xdr:spPr>
        <a:xfrm>
          <a:off x="7235825" y="6367808575"/>
          <a:ext cx="878840" cy="1183640"/>
        </a:xfrm>
        <a:prstGeom prst="rect">
          <a:avLst/>
        </a:prstGeom>
      </xdr:spPr>
    </xdr:pic>
    <xdr:clientData/>
  </xdr:twoCellAnchor>
  <xdr:twoCellAnchor>
    <xdr:from>
      <xdr:col>9</xdr:col>
      <xdr:colOff>6350</xdr:colOff>
      <xdr:row>6200</xdr:row>
      <xdr:rowOff>25400</xdr:rowOff>
    </xdr:from>
    <xdr:to>
      <xdr:col>9</xdr:col>
      <xdr:colOff>885190</xdr:colOff>
      <xdr:row>6200</xdr:row>
      <xdr:rowOff>1209040</xdr:rowOff>
    </xdr:to>
    <xdr:pic>
      <xdr:nvPicPr>
        <xdr:cNvPr id="10270" name="Изображение 10269" descr="resizeПП-00200978"/>
        <xdr:cNvPicPr>
          <a:picLocks noChangeAspect="1"/>
        </xdr:cNvPicPr>
      </xdr:nvPicPr>
      <xdr:blipFill>
        <a:blip xmlns:r="http://schemas.openxmlformats.org/officeDocument/2006/relationships" r:embed="rId4876"/>
        <a:stretch>
          <a:fillRect/>
        </a:stretch>
      </xdr:blipFill>
      <xdr:spPr>
        <a:xfrm>
          <a:off x="7235825" y="6369030950"/>
          <a:ext cx="878840" cy="1183640"/>
        </a:xfrm>
        <a:prstGeom prst="rect">
          <a:avLst/>
        </a:prstGeom>
      </xdr:spPr>
    </xdr:pic>
    <xdr:clientData/>
  </xdr:twoCellAnchor>
  <xdr:twoCellAnchor>
    <xdr:from>
      <xdr:col>9</xdr:col>
      <xdr:colOff>6350</xdr:colOff>
      <xdr:row>6201</xdr:row>
      <xdr:rowOff>25400</xdr:rowOff>
    </xdr:from>
    <xdr:to>
      <xdr:col>9</xdr:col>
      <xdr:colOff>885190</xdr:colOff>
      <xdr:row>6201</xdr:row>
      <xdr:rowOff>1209040</xdr:rowOff>
    </xdr:to>
    <xdr:pic>
      <xdr:nvPicPr>
        <xdr:cNvPr id="10271" name="Изображение 10270" descr="resizeПП-00194122"/>
        <xdr:cNvPicPr>
          <a:picLocks noChangeAspect="1"/>
        </xdr:cNvPicPr>
      </xdr:nvPicPr>
      <xdr:blipFill>
        <a:blip xmlns:r="http://schemas.openxmlformats.org/officeDocument/2006/relationships" r:embed="rId4877"/>
        <a:stretch>
          <a:fillRect/>
        </a:stretch>
      </xdr:blipFill>
      <xdr:spPr>
        <a:xfrm>
          <a:off x="7235825" y="6370253325"/>
          <a:ext cx="878840" cy="1183640"/>
        </a:xfrm>
        <a:prstGeom prst="rect">
          <a:avLst/>
        </a:prstGeom>
      </xdr:spPr>
    </xdr:pic>
    <xdr:clientData/>
  </xdr:twoCellAnchor>
  <xdr:twoCellAnchor>
    <xdr:from>
      <xdr:col>9</xdr:col>
      <xdr:colOff>6350</xdr:colOff>
      <xdr:row>6202</xdr:row>
      <xdr:rowOff>25400</xdr:rowOff>
    </xdr:from>
    <xdr:to>
      <xdr:col>9</xdr:col>
      <xdr:colOff>885190</xdr:colOff>
      <xdr:row>6202</xdr:row>
      <xdr:rowOff>1209040</xdr:rowOff>
    </xdr:to>
    <xdr:pic>
      <xdr:nvPicPr>
        <xdr:cNvPr id="10272" name="Изображение 10271" descr="resizeПП-00263173"/>
        <xdr:cNvPicPr>
          <a:picLocks noChangeAspect="1"/>
        </xdr:cNvPicPr>
      </xdr:nvPicPr>
      <xdr:blipFill>
        <a:blip xmlns:r="http://schemas.openxmlformats.org/officeDocument/2006/relationships" r:embed="rId4878"/>
        <a:stretch>
          <a:fillRect/>
        </a:stretch>
      </xdr:blipFill>
      <xdr:spPr>
        <a:xfrm>
          <a:off x="7235825" y="6371475700"/>
          <a:ext cx="878840" cy="1183640"/>
        </a:xfrm>
        <a:prstGeom prst="rect">
          <a:avLst/>
        </a:prstGeom>
      </xdr:spPr>
    </xdr:pic>
    <xdr:clientData/>
  </xdr:twoCellAnchor>
  <xdr:twoCellAnchor>
    <xdr:from>
      <xdr:col>9</xdr:col>
      <xdr:colOff>6350</xdr:colOff>
      <xdr:row>6203</xdr:row>
      <xdr:rowOff>25400</xdr:rowOff>
    </xdr:from>
    <xdr:to>
      <xdr:col>9</xdr:col>
      <xdr:colOff>885190</xdr:colOff>
      <xdr:row>6203</xdr:row>
      <xdr:rowOff>1209040</xdr:rowOff>
    </xdr:to>
    <xdr:pic>
      <xdr:nvPicPr>
        <xdr:cNvPr id="10273" name="Изображение 10272" descr="resizeПП-00068123"/>
        <xdr:cNvPicPr>
          <a:picLocks noChangeAspect="1"/>
        </xdr:cNvPicPr>
      </xdr:nvPicPr>
      <xdr:blipFill>
        <a:blip xmlns:r="http://schemas.openxmlformats.org/officeDocument/2006/relationships" r:embed="rId4879"/>
        <a:stretch>
          <a:fillRect/>
        </a:stretch>
      </xdr:blipFill>
      <xdr:spPr>
        <a:xfrm>
          <a:off x="7235825" y="6372698075"/>
          <a:ext cx="878840" cy="1183640"/>
        </a:xfrm>
        <a:prstGeom prst="rect">
          <a:avLst/>
        </a:prstGeom>
      </xdr:spPr>
    </xdr:pic>
    <xdr:clientData/>
  </xdr:twoCellAnchor>
  <xdr:twoCellAnchor>
    <xdr:from>
      <xdr:col>9</xdr:col>
      <xdr:colOff>6350</xdr:colOff>
      <xdr:row>6204</xdr:row>
      <xdr:rowOff>25400</xdr:rowOff>
    </xdr:from>
    <xdr:to>
      <xdr:col>9</xdr:col>
      <xdr:colOff>885190</xdr:colOff>
      <xdr:row>6204</xdr:row>
      <xdr:rowOff>1209040</xdr:rowOff>
    </xdr:to>
    <xdr:pic>
      <xdr:nvPicPr>
        <xdr:cNvPr id="10274" name="Изображение 10273" descr="resizeПП-00259084"/>
        <xdr:cNvPicPr>
          <a:picLocks noChangeAspect="1"/>
        </xdr:cNvPicPr>
      </xdr:nvPicPr>
      <xdr:blipFill>
        <a:blip xmlns:r="http://schemas.openxmlformats.org/officeDocument/2006/relationships" r:embed="rId4880"/>
        <a:stretch>
          <a:fillRect/>
        </a:stretch>
      </xdr:blipFill>
      <xdr:spPr>
        <a:xfrm>
          <a:off x="7235825" y="6373920450"/>
          <a:ext cx="878840" cy="1183640"/>
        </a:xfrm>
        <a:prstGeom prst="rect">
          <a:avLst/>
        </a:prstGeom>
      </xdr:spPr>
    </xdr:pic>
    <xdr:clientData/>
  </xdr:twoCellAnchor>
  <xdr:twoCellAnchor>
    <xdr:from>
      <xdr:col>9</xdr:col>
      <xdr:colOff>6350</xdr:colOff>
      <xdr:row>6205</xdr:row>
      <xdr:rowOff>25400</xdr:rowOff>
    </xdr:from>
    <xdr:to>
      <xdr:col>9</xdr:col>
      <xdr:colOff>885190</xdr:colOff>
      <xdr:row>6205</xdr:row>
      <xdr:rowOff>1209040</xdr:rowOff>
    </xdr:to>
    <xdr:pic>
      <xdr:nvPicPr>
        <xdr:cNvPr id="10275" name="Изображение 10274" descr="resizeПП-00119400"/>
        <xdr:cNvPicPr>
          <a:picLocks noChangeAspect="1"/>
        </xdr:cNvPicPr>
      </xdr:nvPicPr>
      <xdr:blipFill>
        <a:blip xmlns:r="http://schemas.openxmlformats.org/officeDocument/2006/relationships" r:embed="rId4881"/>
        <a:stretch>
          <a:fillRect/>
        </a:stretch>
      </xdr:blipFill>
      <xdr:spPr>
        <a:xfrm>
          <a:off x="7235825" y="6375142825"/>
          <a:ext cx="878840" cy="1183640"/>
        </a:xfrm>
        <a:prstGeom prst="rect">
          <a:avLst/>
        </a:prstGeom>
      </xdr:spPr>
    </xdr:pic>
    <xdr:clientData/>
  </xdr:twoCellAnchor>
  <xdr:twoCellAnchor>
    <xdr:from>
      <xdr:col>9</xdr:col>
      <xdr:colOff>6350</xdr:colOff>
      <xdr:row>6206</xdr:row>
      <xdr:rowOff>25400</xdr:rowOff>
    </xdr:from>
    <xdr:to>
      <xdr:col>9</xdr:col>
      <xdr:colOff>885190</xdr:colOff>
      <xdr:row>6206</xdr:row>
      <xdr:rowOff>1209040</xdr:rowOff>
    </xdr:to>
    <xdr:pic>
      <xdr:nvPicPr>
        <xdr:cNvPr id="10276" name="Изображение 10275" descr="resizeПП-00263174"/>
        <xdr:cNvPicPr>
          <a:picLocks noChangeAspect="1"/>
        </xdr:cNvPicPr>
      </xdr:nvPicPr>
      <xdr:blipFill>
        <a:blip xmlns:r="http://schemas.openxmlformats.org/officeDocument/2006/relationships" r:embed="rId4882"/>
        <a:stretch>
          <a:fillRect/>
        </a:stretch>
      </xdr:blipFill>
      <xdr:spPr>
        <a:xfrm>
          <a:off x="7235825" y="6376365200"/>
          <a:ext cx="878840" cy="1183640"/>
        </a:xfrm>
        <a:prstGeom prst="rect">
          <a:avLst/>
        </a:prstGeom>
      </xdr:spPr>
    </xdr:pic>
    <xdr:clientData/>
  </xdr:twoCellAnchor>
  <xdr:twoCellAnchor>
    <xdr:from>
      <xdr:col>9</xdr:col>
      <xdr:colOff>6350</xdr:colOff>
      <xdr:row>6207</xdr:row>
      <xdr:rowOff>25400</xdr:rowOff>
    </xdr:from>
    <xdr:to>
      <xdr:col>9</xdr:col>
      <xdr:colOff>885190</xdr:colOff>
      <xdr:row>6207</xdr:row>
      <xdr:rowOff>1209040</xdr:rowOff>
    </xdr:to>
    <xdr:pic>
      <xdr:nvPicPr>
        <xdr:cNvPr id="10277" name="Изображение 10276" descr="resizeПП-00068463"/>
        <xdr:cNvPicPr>
          <a:picLocks noChangeAspect="1"/>
        </xdr:cNvPicPr>
      </xdr:nvPicPr>
      <xdr:blipFill>
        <a:blip xmlns:r="http://schemas.openxmlformats.org/officeDocument/2006/relationships" r:embed="rId4883"/>
        <a:stretch>
          <a:fillRect/>
        </a:stretch>
      </xdr:blipFill>
      <xdr:spPr>
        <a:xfrm>
          <a:off x="7235825" y="6377587575"/>
          <a:ext cx="878840" cy="1183640"/>
        </a:xfrm>
        <a:prstGeom prst="rect">
          <a:avLst/>
        </a:prstGeom>
      </xdr:spPr>
    </xdr:pic>
    <xdr:clientData/>
  </xdr:twoCellAnchor>
  <xdr:twoCellAnchor>
    <xdr:from>
      <xdr:col>9</xdr:col>
      <xdr:colOff>6350</xdr:colOff>
      <xdr:row>6208</xdr:row>
      <xdr:rowOff>25400</xdr:rowOff>
    </xdr:from>
    <xdr:to>
      <xdr:col>9</xdr:col>
      <xdr:colOff>885190</xdr:colOff>
      <xdr:row>6208</xdr:row>
      <xdr:rowOff>1209040</xdr:rowOff>
    </xdr:to>
    <xdr:pic>
      <xdr:nvPicPr>
        <xdr:cNvPr id="10278" name="Изображение 10277" descr="resizeПП-00119399"/>
        <xdr:cNvPicPr>
          <a:picLocks noChangeAspect="1"/>
        </xdr:cNvPicPr>
      </xdr:nvPicPr>
      <xdr:blipFill>
        <a:blip xmlns:r="http://schemas.openxmlformats.org/officeDocument/2006/relationships" r:embed="rId4884"/>
        <a:stretch>
          <a:fillRect/>
        </a:stretch>
      </xdr:blipFill>
      <xdr:spPr>
        <a:xfrm>
          <a:off x="7235825" y="6378809950"/>
          <a:ext cx="878840" cy="1183640"/>
        </a:xfrm>
        <a:prstGeom prst="rect">
          <a:avLst/>
        </a:prstGeom>
      </xdr:spPr>
    </xdr:pic>
    <xdr:clientData/>
  </xdr:twoCellAnchor>
  <xdr:twoCellAnchor>
    <xdr:from>
      <xdr:col>9</xdr:col>
      <xdr:colOff>6350</xdr:colOff>
      <xdr:row>6209</xdr:row>
      <xdr:rowOff>25400</xdr:rowOff>
    </xdr:from>
    <xdr:to>
      <xdr:col>9</xdr:col>
      <xdr:colOff>885190</xdr:colOff>
      <xdr:row>6209</xdr:row>
      <xdr:rowOff>1209040</xdr:rowOff>
    </xdr:to>
    <xdr:pic>
      <xdr:nvPicPr>
        <xdr:cNvPr id="10279" name="Изображение 10278" descr="resizeПП-00119402"/>
        <xdr:cNvPicPr>
          <a:picLocks noChangeAspect="1"/>
        </xdr:cNvPicPr>
      </xdr:nvPicPr>
      <xdr:blipFill>
        <a:blip xmlns:r="http://schemas.openxmlformats.org/officeDocument/2006/relationships" r:embed="rId4885"/>
        <a:stretch>
          <a:fillRect/>
        </a:stretch>
      </xdr:blipFill>
      <xdr:spPr>
        <a:xfrm>
          <a:off x="7235825" y="6380032325"/>
          <a:ext cx="878840" cy="1183640"/>
        </a:xfrm>
        <a:prstGeom prst="rect">
          <a:avLst/>
        </a:prstGeom>
      </xdr:spPr>
    </xdr:pic>
    <xdr:clientData/>
  </xdr:twoCellAnchor>
  <xdr:twoCellAnchor>
    <xdr:from>
      <xdr:col>9</xdr:col>
      <xdr:colOff>6350</xdr:colOff>
      <xdr:row>6210</xdr:row>
      <xdr:rowOff>25400</xdr:rowOff>
    </xdr:from>
    <xdr:to>
      <xdr:col>9</xdr:col>
      <xdr:colOff>885190</xdr:colOff>
      <xdr:row>6210</xdr:row>
      <xdr:rowOff>1209040</xdr:rowOff>
    </xdr:to>
    <xdr:pic>
      <xdr:nvPicPr>
        <xdr:cNvPr id="10280" name="Изображение 10279" descr="resizeПП-00119404"/>
        <xdr:cNvPicPr>
          <a:picLocks noChangeAspect="1"/>
        </xdr:cNvPicPr>
      </xdr:nvPicPr>
      <xdr:blipFill>
        <a:blip xmlns:r="http://schemas.openxmlformats.org/officeDocument/2006/relationships" r:embed="rId4886"/>
        <a:stretch>
          <a:fillRect/>
        </a:stretch>
      </xdr:blipFill>
      <xdr:spPr>
        <a:xfrm>
          <a:off x="7235825" y="6381254700"/>
          <a:ext cx="878840" cy="1183640"/>
        </a:xfrm>
        <a:prstGeom prst="rect">
          <a:avLst/>
        </a:prstGeom>
      </xdr:spPr>
    </xdr:pic>
    <xdr:clientData/>
  </xdr:twoCellAnchor>
  <xdr:twoCellAnchor>
    <xdr:from>
      <xdr:col>9</xdr:col>
      <xdr:colOff>6350</xdr:colOff>
      <xdr:row>6211</xdr:row>
      <xdr:rowOff>25400</xdr:rowOff>
    </xdr:from>
    <xdr:to>
      <xdr:col>9</xdr:col>
      <xdr:colOff>885190</xdr:colOff>
      <xdr:row>6211</xdr:row>
      <xdr:rowOff>1209040</xdr:rowOff>
    </xdr:to>
    <xdr:pic>
      <xdr:nvPicPr>
        <xdr:cNvPr id="10281" name="Изображение 10280" descr="resizeПП-00220606"/>
        <xdr:cNvPicPr>
          <a:picLocks noChangeAspect="1"/>
        </xdr:cNvPicPr>
      </xdr:nvPicPr>
      <xdr:blipFill>
        <a:blip xmlns:r="http://schemas.openxmlformats.org/officeDocument/2006/relationships" r:embed="rId4887"/>
        <a:stretch>
          <a:fillRect/>
        </a:stretch>
      </xdr:blipFill>
      <xdr:spPr>
        <a:xfrm>
          <a:off x="7235825" y="6382477075"/>
          <a:ext cx="878840" cy="1183640"/>
        </a:xfrm>
        <a:prstGeom prst="rect">
          <a:avLst/>
        </a:prstGeom>
      </xdr:spPr>
    </xdr:pic>
    <xdr:clientData/>
  </xdr:twoCellAnchor>
  <xdr:twoCellAnchor>
    <xdr:from>
      <xdr:col>9</xdr:col>
      <xdr:colOff>6350</xdr:colOff>
      <xdr:row>6212</xdr:row>
      <xdr:rowOff>25400</xdr:rowOff>
    </xdr:from>
    <xdr:to>
      <xdr:col>9</xdr:col>
      <xdr:colOff>885190</xdr:colOff>
      <xdr:row>6212</xdr:row>
      <xdr:rowOff>1209040</xdr:rowOff>
    </xdr:to>
    <xdr:pic>
      <xdr:nvPicPr>
        <xdr:cNvPr id="10282" name="Изображение 10281" descr="resizeПП-00119405"/>
        <xdr:cNvPicPr>
          <a:picLocks noChangeAspect="1"/>
        </xdr:cNvPicPr>
      </xdr:nvPicPr>
      <xdr:blipFill>
        <a:blip xmlns:r="http://schemas.openxmlformats.org/officeDocument/2006/relationships" r:embed="rId4888"/>
        <a:stretch>
          <a:fillRect/>
        </a:stretch>
      </xdr:blipFill>
      <xdr:spPr>
        <a:xfrm>
          <a:off x="7235825" y="6383699450"/>
          <a:ext cx="878840" cy="1183640"/>
        </a:xfrm>
        <a:prstGeom prst="rect">
          <a:avLst/>
        </a:prstGeom>
      </xdr:spPr>
    </xdr:pic>
    <xdr:clientData/>
  </xdr:twoCellAnchor>
  <xdr:twoCellAnchor>
    <xdr:from>
      <xdr:col>9</xdr:col>
      <xdr:colOff>6350</xdr:colOff>
      <xdr:row>6213</xdr:row>
      <xdr:rowOff>25400</xdr:rowOff>
    </xdr:from>
    <xdr:to>
      <xdr:col>9</xdr:col>
      <xdr:colOff>885190</xdr:colOff>
      <xdr:row>6213</xdr:row>
      <xdr:rowOff>1209040</xdr:rowOff>
    </xdr:to>
    <xdr:pic>
      <xdr:nvPicPr>
        <xdr:cNvPr id="10283" name="Изображение 10282" descr="resizeПП-00119403"/>
        <xdr:cNvPicPr>
          <a:picLocks noChangeAspect="1"/>
        </xdr:cNvPicPr>
      </xdr:nvPicPr>
      <xdr:blipFill>
        <a:blip xmlns:r="http://schemas.openxmlformats.org/officeDocument/2006/relationships" r:embed="rId4889"/>
        <a:stretch>
          <a:fillRect/>
        </a:stretch>
      </xdr:blipFill>
      <xdr:spPr>
        <a:xfrm>
          <a:off x="7235825" y="6384921825"/>
          <a:ext cx="878840" cy="1183640"/>
        </a:xfrm>
        <a:prstGeom prst="rect">
          <a:avLst/>
        </a:prstGeom>
      </xdr:spPr>
    </xdr:pic>
    <xdr:clientData/>
  </xdr:twoCellAnchor>
  <xdr:twoCellAnchor>
    <xdr:from>
      <xdr:col>9</xdr:col>
      <xdr:colOff>6350</xdr:colOff>
      <xdr:row>6215</xdr:row>
      <xdr:rowOff>25400</xdr:rowOff>
    </xdr:from>
    <xdr:to>
      <xdr:col>9</xdr:col>
      <xdr:colOff>885190</xdr:colOff>
      <xdr:row>6215</xdr:row>
      <xdr:rowOff>1209040</xdr:rowOff>
    </xdr:to>
    <xdr:pic>
      <xdr:nvPicPr>
        <xdr:cNvPr id="10284" name="Изображение 10283" descr="resizeПП-00208162"/>
        <xdr:cNvPicPr>
          <a:picLocks noChangeAspect="1"/>
        </xdr:cNvPicPr>
      </xdr:nvPicPr>
      <xdr:blipFill>
        <a:blip xmlns:r="http://schemas.openxmlformats.org/officeDocument/2006/relationships" r:embed="rId4890"/>
        <a:stretch>
          <a:fillRect/>
        </a:stretch>
      </xdr:blipFill>
      <xdr:spPr>
        <a:xfrm>
          <a:off x="7235825" y="6386296600"/>
          <a:ext cx="878840" cy="1183640"/>
        </a:xfrm>
        <a:prstGeom prst="rect">
          <a:avLst/>
        </a:prstGeom>
      </xdr:spPr>
    </xdr:pic>
    <xdr:clientData/>
  </xdr:twoCellAnchor>
  <xdr:twoCellAnchor>
    <xdr:from>
      <xdr:col>9</xdr:col>
      <xdr:colOff>6350</xdr:colOff>
      <xdr:row>6216</xdr:row>
      <xdr:rowOff>25400</xdr:rowOff>
    </xdr:from>
    <xdr:to>
      <xdr:col>9</xdr:col>
      <xdr:colOff>885190</xdr:colOff>
      <xdr:row>6216</xdr:row>
      <xdr:rowOff>1209040</xdr:rowOff>
    </xdr:to>
    <xdr:pic>
      <xdr:nvPicPr>
        <xdr:cNvPr id="10285" name="Изображение 10284" descr="resizeПП-00208163"/>
        <xdr:cNvPicPr>
          <a:picLocks noChangeAspect="1"/>
        </xdr:cNvPicPr>
      </xdr:nvPicPr>
      <xdr:blipFill>
        <a:blip xmlns:r="http://schemas.openxmlformats.org/officeDocument/2006/relationships" r:embed="rId4891"/>
        <a:stretch>
          <a:fillRect/>
        </a:stretch>
      </xdr:blipFill>
      <xdr:spPr>
        <a:xfrm>
          <a:off x="7235825" y="6387518975"/>
          <a:ext cx="878840" cy="1183640"/>
        </a:xfrm>
        <a:prstGeom prst="rect">
          <a:avLst/>
        </a:prstGeom>
      </xdr:spPr>
    </xdr:pic>
    <xdr:clientData/>
  </xdr:twoCellAnchor>
  <xdr:twoCellAnchor>
    <xdr:from>
      <xdr:col>9</xdr:col>
      <xdr:colOff>6350</xdr:colOff>
      <xdr:row>6217</xdr:row>
      <xdr:rowOff>25400</xdr:rowOff>
    </xdr:from>
    <xdr:to>
      <xdr:col>9</xdr:col>
      <xdr:colOff>885190</xdr:colOff>
      <xdr:row>6217</xdr:row>
      <xdr:rowOff>1209040</xdr:rowOff>
    </xdr:to>
    <xdr:pic>
      <xdr:nvPicPr>
        <xdr:cNvPr id="10286" name="Изображение 10285" descr="resizeПП-00044124"/>
        <xdr:cNvPicPr>
          <a:picLocks noChangeAspect="1"/>
        </xdr:cNvPicPr>
      </xdr:nvPicPr>
      <xdr:blipFill>
        <a:blip xmlns:r="http://schemas.openxmlformats.org/officeDocument/2006/relationships" r:embed="rId4892"/>
        <a:stretch>
          <a:fillRect/>
        </a:stretch>
      </xdr:blipFill>
      <xdr:spPr>
        <a:xfrm>
          <a:off x="7235825" y="6388741350"/>
          <a:ext cx="878840" cy="1183640"/>
        </a:xfrm>
        <a:prstGeom prst="rect">
          <a:avLst/>
        </a:prstGeom>
      </xdr:spPr>
    </xdr:pic>
    <xdr:clientData/>
  </xdr:twoCellAnchor>
  <xdr:twoCellAnchor>
    <xdr:from>
      <xdr:col>9</xdr:col>
      <xdr:colOff>6350</xdr:colOff>
      <xdr:row>6218</xdr:row>
      <xdr:rowOff>25400</xdr:rowOff>
    </xdr:from>
    <xdr:to>
      <xdr:col>9</xdr:col>
      <xdr:colOff>885190</xdr:colOff>
      <xdr:row>6218</xdr:row>
      <xdr:rowOff>1209040</xdr:rowOff>
    </xdr:to>
    <xdr:pic>
      <xdr:nvPicPr>
        <xdr:cNvPr id="10287" name="Изображение 10286" descr="resizeПП-00044122"/>
        <xdr:cNvPicPr>
          <a:picLocks noChangeAspect="1"/>
        </xdr:cNvPicPr>
      </xdr:nvPicPr>
      <xdr:blipFill>
        <a:blip xmlns:r="http://schemas.openxmlformats.org/officeDocument/2006/relationships" r:embed="rId4893"/>
        <a:stretch>
          <a:fillRect/>
        </a:stretch>
      </xdr:blipFill>
      <xdr:spPr>
        <a:xfrm>
          <a:off x="7235825" y="6389963725"/>
          <a:ext cx="878840" cy="1183640"/>
        </a:xfrm>
        <a:prstGeom prst="rect">
          <a:avLst/>
        </a:prstGeom>
      </xdr:spPr>
    </xdr:pic>
    <xdr:clientData/>
  </xdr:twoCellAnchor>
  <xdr:twoCellAnchor>
    <xdr:from>
      <xdr:col>9</xdr:col>
      <xdr:colOff>6350</xdr:colOff>
      <xdr:row>6219</xdr:row>
      <xdr:rowOff>25400</xdr:rowOff>
    </xdr:from>
    <xdr:to>
      <xdr:col>9</xdr:col>
      <xdr:colOff>885190</xdr:colOff>
      <xdr:row>6219</xdr:row>
      <xdr:rowOff>1209040</xdr:rowOff>
    </xdr:to>
    <xdr:pic>
      <xdr:nvPicPr>
        <xdr:cNvPr id="10288" name="Изображение 10287" descr="resizeПП-00223805"/>
        <xdr:cNvPicPr>
          <a:picLocks noChangeAspect="1"/>
        </xdr:cNvPicPr>
      </xdr:nvPicPr>
      <xdr:blipFill>
        <a:blip xmlns:r="http://schemas.openxmlformats.org/officeDocument/2006/relationships" r:embed="rId4894"/>
        <a:stretch>
          <a:fillRect/>
        </a:stretch>
      </xdr:blipFill>
      <xdr:spPr>
        <a:xfrm>
          <a:off x="7235825" y="6391186100"/>
          <a:ext cx="878840" cy="1183640"/>
        </a:xfrm>
        <a:prstGeom prst="rect">
          <a:avLst/>
        </a:prstGeom>
      </xdr:spPr>
    </xdr:pic>
    <xdr:clientData/>
  </xdr:twoCellAnchor>
  <xdr:twoCellAnchor>
    <xdr:from>
      <xdr:col>9</xdr:col>
      <xdr:colOff>6350</xdr:colOff>
      <xdr:row>6221</xdr:row>
      <xdr:rowOff>25400</xdr:rowOff>
    </xdr:from>
    <xdr:to>
      <xdr:col>9</xdr:col>
      <xdr:colOff>885190</xdr:colOff>
      <xdr:row>6221</xdr:row>
      <xdr:rowOff>1209040</xdr:rowOff>
    </xdr:to>
    <xdr:pic>
      <xdr:nvPicPr>
        <xdr:cNvPr id="10289" name="Изображение 10288" descr="resizeПП-00189065"/>
        <xdr:cNvPicPr>
          <a:picLocks noChangeAspect="1"/>
        </xdr:cNvPicPr>
      </xdr:nvPicPr>
      <xdr:blipFill>
        <a:blip xmlns:r="http://schemas.openxmlformats.org/officeDocument/2006/relationships" r:embed="rId4895"/>
        <a:stretch>
          <a:fillRect/>
        </a:stretch>
      </xdr:blipFill>
      <xdr:spPr>
        <a:xfrm>
          <a:off x="7235825" y="6392560875"/>
          <a:ext cx="878840" cy="1183640"/>
        </a:xfrm>
        <a:prstGeom prst="rect">
          <a:avLst/>
        </a:prstGeom>
      </xdr:spPr>
    </xdr:pic>
    <xdr:clientData/>
  </xdr:twoCellAnchor>
  <xdr:twoCellAnchor>
    <xdr:from>
      <xdr:col>9</xdr:col>
      <xdr:colOff>6350</xdr:colOff>
      <xdr:row>6222</xdr:row>
      <xdr:rowOff>25400</xdr:rowOff>
    </xdr:from>
    <xdr:to>
      <xdr:col>9</xdr:col>
      <xdr:colOff>885190</xdr:colOff>
      <xdr:row>6222</xdr:row>
      <xdr:rowOff>1209040</xdr:rowOff>
    </xdr:to>
    <xdr:pic>
      <xdr:nvPicPr>
        <xdr:cNvPr id="10290" name="Изображение 10289" descr="resizeПП-00189061"/>
        <xdr:cNvPicPr>
          <a:picLocks noChangeAspect="1"/>
        </xdr:cNvPicPr>
      </xdr:nvPicPr>
      <xdr:blipFill>
        <a:blip xmlns:r="http://schemas.openxmlformats.org/officeDocument/2006/relationships" r:embed="rId4896"/>
        <a:stretch>
          <a:fillRect/>
        </a:stretch>
      </xdr:blipFill>
      <xdr:spPr>
        <a:xfrm>
          <a:off x="7235825" y="6393783250"/>
          <a:ext cx="878840" cy="1183640"/>
        </a:xfrm>
        <a:prstGeom prst="rect">
          <a:avLst/>
        </a:prstGeom>
      </xdr:spPr>
    </xdr:pic>
    <xdr:clientData/>
  </xdr:twoCellAnchor>
  <xdr:twoCellAnchor>
    <xdr:from>
      <xdr:col>9</xdr:col>
      <xdr:colOff>6350</xdr:colOff>
      <xdr:row>6223</xdr:row>
      <xdr:rowOff>25400</xdr:rowOff>
    </xdr:from>
    <xdr:to>
      <xdr:col>9</xdr:col>
      <xdr:colOff>885190</xdr:colOff>
      <xdr:row>6223</xdr:row>
      <xdr:rowOff>1209040</xdr:rowOff>
    </xdr:to>
    <xdr:pic>
      <xdr:nvPicPr>
        <xdr:cNvPr id="10291" name="Изображение 10290" descr="resizeПП-00189063"/>
        <xdr:cNvPicPr>
          <a:picLocks noChangeAspect="1"/>
        </xdr:cNvPicPr>
      </xdr:nvPicPr>
      <xdr:blipFill>
        <a:blip xmlns:r="http://schemas.openxmlformats.org/officeDocument/2006/relationships" r:embed="rId4897"/>
        <a:stretch>
          <a:fillRect/>
        </a:stretch>
      </xdr:blipFill>
      <xdr:spPr>
        <a:xfrm>
          <a:off x="7235825" y="6395005625"/>
          <a:ext cx="878840" cy="1183640"/>
        </a:xfrm>
        <a:prstGeom prst="rect">
          <a:avLst/>
        </a:prstGeom>
      </xdr:spPr>
    </xdr:pic>
    <xdr:clientData/>
  </xdr:twoCellAnchor>
  <xdr:twoCellAnchor>
    <xdr:from>
      <xdr:col>9</xdr:col>
      <xdr:colOff>6350</xdr:colOff>
      <xdr:row>6224</xdr:row>
      <xdr:rowOff>25400</xdr:rowOff>
    </xdr:from>
    <xdr:to>
      <xdr:col>9</xdr:col>
      <xdr:colOff>885190</xdr:colOff>
      <xdr:row>6224</xdr:row>
      <xdr:rowOff>1209040</xdr:rowOff>
    </xdr:to>
    <xdr:pic>
      <xdr:nvPicPr>
        <xdr:cNvPr id="10292" name="Изображение 10291" descr="resizeПП-00189064"/>
        <xdr:cNvPicPr>
          <a:picLocks noChangeAspect="1"/>
        </xdr:cNvPicPr>
      </xdr:nvPicPr>
      <xdr:blipFill>
        <a:blip xmlns:r="http://schemas.openxmlformats.org/officeDocument/2006/relationships" r:embed="rId4898"/>
        <a:stretch>
          <a:fillRect/>
        </a:stretch>
      </xdr:blipFill>
      <xdr:spPr>
        <a:xfrm>
          <a:off x="7235825" y="6396228000"/>
          <a:ext cx="878840" cy="1183640"/>
        </a:xfrm>
        <a:prstGeom prst="rect">
          <a:avLst/>
        </a:prstGeom>
      </xdr:spPr>
    </xdr:pic>
    <xdr:clientData/>
  </xdr:twoCellAnchor>
  <xdr:twoCellAnchor>
    <xdr:from>
      <xdr:col>9</xdr:col>
      <xdr:colOff>6350</xdr:colOff>
      <xdr:row>6226</xdr:row>
      <xdr:rowOff>25400</xdr:rowOff>
    </xdr:from>
    <xdr:to>
      <xdr:col>9</xdr:col>
      <xdr:colOff>885190</xdr:colOff>
      <xdr:row>6226</xdr:row>
      <xdr:rowOff>1209040</xdr:rowOff>
    </xdr:to>
    <xdr:pic>
      <xdr:nvPicPr>
        <xdr:cNvPr id="10293" name="Изображение 10292" descr="resizeПП-00215692"/>
        <xdr:cNvPicPr>
          <a:picLocks noChangeAspect="1"/>
        </xdr:cNvPicPr>
      </xdr:nvPicPr>
      <xdr:blipFill>
        <a:blip xmlns:r="http://schemas.openxmlformats.org/officeDocument/2006/relationships" r:embed="rId4899"/>
        <a:stretch>
          <a:fillRect/>
        </a:stretch>
      </xdr:blipFill>
      <xdr:spPr>
        <a:xfrm>
          <a:off x="7235825" y="6397602775"/>
          <a:ext cx="878840" cy="1183640"/>
        </a:xfrm>
        <a:prstGeom prst="rect">
          <a:avLst/>
        </a:prstGeom>
      </xdr:spPr>
    </xdr:pic>
    <xdr:clientData/>
  </xdr:twoCellAnchor>
  <xdr:twoCellAnchor>
    <xdr:from>
      <xdr:col>9</xdr:col>
      <xdr:colOff>6350</xdr:colOff>
      <xdr:row>6227</xdr:row>
      <xdr:rowOff>25400</xdr:rowOff>
    </xdr:from>
    <xdr:to>
      <xdr:col>9</xdr:col>
      <xdr:colOff>885190</xdr:colOff>
      <xdr:row>6227</xdr:row>
      <xdr:rowOff>1209040</xdr:rowOff>
    </xdr:to>
    <xdr:pic>
      <xdr:nvPicPr>
        <xdr:cNvPr id="10294" name="Изображение 10293" descr="resizeПП-00216313"/>
        <xdr:cNvPicPr>
          <a:picLocks noChangeAspect="1"/>
        </xdr:cNvPicPr>
      </xdr:nvPicPr>
      <xdr:blipFill>
        <a:blip xmlns:r="http://schemas.openxmlformats.org/officeDocument/2006/relationships" r:embed="rId4900"/>
        <a:stretch>
          <a:fillRect/>
        </a:stretch>
      </xdr:blipFill>
      <xdr:spPr>
        <a:xfrm>
          <a:off x="7235825" y="6398825150"/>
          <a:ext cx="878840" cy="1183640"/>
        </a:xfrm>
        <a:prstGeom prst="rect">
          <a:avLst/>
        </a:prstGeom>
      </xdr:spPr>
    </xdr:pic>
    <xdr:clientData/>
  </xdr:twoCellAnchor>
  <xdr:twoCellAnchor>
    <xdr:from>
      <xdr:col>9</xdr:col>
      <xdr:colOff>6350</xdr:colOff>
      <xdr:row>6228</xdr:row>
      <xdr:rowOff>25400</xdr:rowOff>
    </xdr:from>
    <xdr:to>
      <xdr:col>9</xdr:col>
      <xdr:colOff>885190</xdr:colOff>
      <xdr:row>6228</xdr:row>
      <xdr:rowOff>1209040</xdr:rowOff>
    </xdr:to>
    <xdr:pic>
      <xdr:nvPicPr>
        <xdr:cNvPr id="10295" name="Изображение 10294" descr="resizeПП-00197574"/>
        <xdr:cNvPicPr>
          <a:picLocks noChangeAspect="1"/>
        </xdr:cNvPicPr>
      </xdr:nvPicPr>
      <xdr:blipFill>
        <a:blip xmlns:r="http://schemas.openxmlformats.org/officeDocument/2006/relationships" r:embed="rId4901"/>
        <a:stretch>
          <a:fillRect/>
        </a:stretch>
      </xdr:blipFill>
      <xdr:spPr>
        <a:xfrm>
          <a:off x="7235825" y="6400047525"/>
          <a:ext cx="878840" cy="1183640"/>
        </a:xfrm>
        <a:prstGeom prst="rect">
          <a:avLst/>
        </a:prstGeom>
      </xdr:spPr>
    </xdr:pic>
    <xdr:clientData/>
  </xdr:twoCellAnchor>
  <xdr:twoCellAnchor>
    <xdr:from>
      <xdr:col>9</xdr:col>
      <xdr:colOff>6350</xdr:colOff>
      <xdr:row>6229</xdr:row>
      <xdr:rowOff>25400</xdr:rowOff>
    </xdr:from>
    <xdr:to>
      <xdr:col>9</xdr:col>
      <xdr:colOff>885190</xdr:colOff>
      <xdr:row>6229</xdr:row>
      <xdr:rowOff>1209040</xdr:rowOff>
    </xdr:to>
    <xdr:pic>
      <xdr:nvPicPr>
        <xdr:cNvPr id="10296" name="Изображение 10295" descr="resizeПП-00193716"/>
        <xdr:cNvPicPr>
          <a:picLocks noChangeAspect="1"/>
        </xdr:cNvPicPr>
      </xdr:nvPicPr>
      <xdr:blipFill>
        <a:blip xmlns:r="http://schemas.openxmlformats.org/officeDocument/2006/relationships" r:embed="rId4902"/>
        <a:stretch>
          <a:fillRect/>
        </a:stretch>
      </xdr:blipFill>
      <xdr:spPr>
        <a:xfrm>
          <a:off x="7235825" y="6401269900"/>
          <a:ext cx="878840" cy="1183640"/>
        </a:xfrm>
        <a:prstGeom prst="rect">
          <a:avLst/>
        </a:prstGeom>
      </xdr:spPr>
    </xdr:pic>
    <xdr:clientData/>
  </xdr:twoCellAnchor>
  <xdr:twoCellAnchor>
    <xdr:from>
      <xdr:col>9</xdr:col>
      <xdr:colOff>6350</xdr:colOff>
      <xdr:row>6230</xdr:row>
      <xdr:rowOff>25400</xdr:rowOff>
    </xdr:from>
    <xdr:to>
      <xdr:col>9</xdr:col>
      <xdr:colOff>885190</xdr:colOff>
      <xdr:row>6230</xdr:row>
      <xdr:rowOff>1209040</xdr:rowOff>
    </xdr:to>
    <xdr:pic>
      <xdr:nvPicPr>
        <xdr:cNvPr id="10297" name="Изображение 10296" descr="resizeПП-00216315"/>
        <xdr:cNvPicPr>
          <a:picLocks noChangeAspect="1"/>
        </xdr:cNvPicPr>
      </xdr:nvPicPr>
      <xdr:blipFill>
        <a:blip xmlns:r="http://schemas.openxmlformats.org/officeDocument/2006/relationships" r:embed="rId4903"/>
        <a:stretch>
          <a:fillRect/>
        </a:stretch>
      </xdr:blipFill>
      <xdr:spPr>
        <a:xfrm>
          <a:off x="7235825" y="6402492275"/>
          <a:ext cx="878840" cy="1183640"/>
        </a:xfrm>
        <a:prstGeom prst="rect">
          <a:avLst/>
        </a:prstGeom>
      </xdr:spPr>
    </xdr:pic>
    <xdr:clientData/>
  </xdr:twoCellAnchor>
  <xdr:twoCellAnchor>
    <xdr:from>
      <xdr:col>9</xdr:col>
      <xdr:colOff>6350</xdr:colOff>
      <xdr:row>6231</xdr:row>
      <xdr:rowOff>25400</xdr:rowOff>
    </xdr:from>
    <xdr:to>
      <xdr:col>9</xdr:col>
      <xdr:colOff>885190</xdr:colOff>
      <xdr:row>6231</xdr:row>
      <xdr:rowOff>1209040</xdr:rowOff>
    </xdr:to>
    <xdr:pic>
      <xdr:nvPicPr>
        <xdr:cNvPr id="10298" name="Изображение 10297" descr="resizeПП-00208160"/>
        <xdr:cNvPicPr>
          <a:picLocks noChangeAspect="1"/>
        </xdr:cNvPicPr>
      </xdr:nvPicPr>
      <xdr:blipFill>
        <a:blip xmlns:r="http://schemas.openxmlformats.org/officeDocument/2006/relationships" r:embed="rId4904"/>
        <a:stretch>
          <a:fillRect/>
        </a:stretch>
      </xdr:blipFill>
      <xdr:spPr>
        <a:xfrm>
          <a:off x="7235825" y="6403714650"/>
          <a:ext cx="878840" cy="1183640"/>
        </a:xfrm>
        <a:prstGeom prst="rect">
          <a:avLst/>
        </a:prstGeom>
      </xdr:spPr>
    </xdr:pic>
    <xdr:clientData/>
  </xdr:twoCellAnchor>
  <xdr:twoCellAnchor>
    <xdr:from>
      <xdr:col>9</xdr:col>
      <xdr:colOff>6350</xdr:colOff>
      <xdr:row>6232</xdr:row>
      <xdr:rowOff>25400</xdr:rowOff>
    </xdr:from>
    <xdr:to>
      <xdr:col>9</xdr:col>
      <xdr:colOff>885190</xdr:colOff>
      <xdr:row>6232</xdr:row>
      <xdr:rowOff>1209040</xdr:rowOff>
    </xdr:to>
    <xdr:pic>
      <xdr:nvPicPr>
        <xdr:cNvPr id="10299" name="Изображение 10298" descr="resizeПП-00208161"/>
        <xdr:cNvPicPr>
          <a:picLocks noChangeAspect="1"/>
        </xdr:cNvPicPr>
      </xdr:nvPicPr>
      <xdr:blipFill>
        <a:blip xmlns:r="http://schemas.openxmlformats.org/officeDocument/2006/relationships" r:embed="rId4905"/>
        <a:stretch>
          <a:fillRect/>
        </a:stretch>
      </xdr:blipFill>
      <xdr:spPr>
        <a:xfrm>
          <a:off x="7235825" y="6404937025"/>
          <a:ext cx="878840" cy="1183640"/>
        </a:xfrm>
        <a:prstGeom prst="rect">
          <a:avLst/>
        </a:prstGeom>
      </xdr:spPr>
    </xdr:pic>
    <xdr:clientData/>
  </xdr:twoCellAnchor>
  <xdr:twoCellAnchor>
    <xdr:from>
      <xdr:col>9</xdr:col>
      <xdr:colOff>6350</xdr:colOff>
      <xdr:row>6235</xdr:row>
      <xdr:rowOff>25400</xdr:rowOff>
    </xdr:from>
    <xdr:to>
      <xdr:col>9</xdr:col>
      <xdr:colOff>885190</xdr:colOff>
      <xdr:row>6235</xdr:row>
      <xdr:rowOff>1209040</xdr:rowOff>
    </xdr:to>
    <xdr:pic>
      <xdr:nvPicPr>
        <xdr:cNvPr id="10300" name="Изображение 10299" descr="resizeПП-00218912"/>
        <xdr:cNvPicPr>
          <a:picLocks noChangeAspect="1"/>
        </xdr:cNvPicPr>
      </xdr:nvPicPr>
      <xdr:blipFill>
        <a:blip xmlns:r="http://schemas.openxmlformats.org/officeDocument/2006/relationships" r:embed="rId4906"/>
        <a:stretch>
          <a:fillRect/>
        </a:stretch>
      </xdr:blipFill>
      <xdr:spPr>
        <a:xfrm>
          <a:off x="7235825" y="6406464200"/>
          <a:ext cx="878840" cy="1183640"/>
        </a:xfrm>
        <a:prstGeom prst="rect">
          <a:avLst/>
        </a:prstGeom>
      </xdr:spPr>
    </xdr:pic>
    <xdr:clientData/>
  </xdr:twoCellAnchor>
  <xdr:twoCellAnchor>
    <xdr:from>
      <xdr:col>9</xdr:col>
      <xdr:colOff>6350</xdr:colOff>
      <xdr:row>6236</xdr:row>
      <xdr:rowOff>25400</xdr:rowOff>
    </xdr:from>
    <xdr:to>
      <xdr:col>9</xdr:col>
      <xdr:colOff>885190</xdr:colOff>
      <xdr:row>6236</xdr:row>
      <xdr:rowOff>1209040</xdr:rowOff>
    </xdr:to>
    <xdr:pic>
      <xdr:nvPicPr>
        <xdr:cNvPr id="10301" name="Изображение 10300" descr="resizeПП-00218911"/>
        <xdr:cNvPicPr>
          <a:picLocks noChangeAspect="1"/>
        </xdr:cNvPicPr>
      </xdr:nvPicPr>
      <xdr:blipFill>
        <a:blip xmlns:r="http://schemas.openxmlformats.org/officeDocument/2006/relationships" r:embed="rId4907"/>
        <a:stretch>
          <a:fillRect/>
        </a:stretch>
      </xdr:blipFill>
      <xdr:spPr>
        <a:xfrm>
          <a:off x="7235825" y="6407686575"/>
          <a:ext cx="878840" cy="1183640"/>
        </a:xfrm>
        <a:prstGeom prst="rect">
          <a:avLst/>
        </a:prstGeom>
      </xdr:spPr>
    </xdr:pic>
    <xdr:clientData/>
  </xdr:twoCellAnchor>
  <xdr:twoCellAnchor>
    <xdr:from>
      <xdr:col>9</xdr:col>
      <xdr:colOff>6350</xdr:colOff>
      <xdr:row>6237</xdr:row>
      <xdr:rowOff>25400</xdr:rowOff>
    </xdr:from>
    <xdr:to>
      <xdr:col>9</xdr:col>
      <xdr:colOff>885190</xdr:colOff>
      <xdr:row>6237</xdr:row>
      <xdr:rowOff>1209040</xdr:rowOff>
    </xdr:to>
    <xdr:pic>
      <xdr:nvPicPr>
        <xdr:cNvPr id="10302" name="Изображение 10301" descr="resizeПП-00245543"/>
        <xdr:cNvPicPr>
          <a:picLocks noChangeAspect="1"/>
        </xdr:cNvPicPr>
      </xdr:nvPicPr>
      <xdr:blipFill>
        <a:blip xmlns:r="http://schemas.openxmlformats.org/officeDocument/2006/relationships" r:embed="rId4908"/>
        <a:stretch>
          <a:fillRect/>
        </a:stretch>
      </xdr:blipFill>
      <xdr:spPr>
        <a:xfrm>
          <a:off x="7235825" y="6408908950"/>
          <a:ext cx="878840" cy="1183640"/>
        </a:xfrm>
        <a:prstGeom prst="rect">
          <a:avLst/>
        </a:prstGeom>
      </xdr:spPr>
    </xdr:pic>
    <xdr:clientData/>
  </xdr:twoCellAnchor>
  <xdr:twoCellAnchor>
    <xdr:from>
      <xdr:col>9</xdr:col>
      <xdr:colOff>6350</xdr:colOff>
      <xdr:row>6238</xdr:row>
      <xdr:rowOff>25400</xdr:rowOff>
    </xdr:from>
    <xdr:to>
      <xdr:col>9</xdr:col>
      <xdr:colOff>885190</xdr:colOff>
      <xdr:row>6238</xdr:row>
      <xdr:rowOff>1209040</xdr:rowOff>
    </xdr:to>
    <xdr:pic>
      <xdr:nvPicPr>
        <xdr:cNvPr id="10303" name="Изображение 10302" descr="resizeПП-00218913"/>
        <xdr:cNvPicPr>
          <a:picLocks noChangeAspect="1"/>
        </xdr:cNvPicPr>
      </xdr:nvPicPr>
      <xdr:blipFill>
        <a:blip xmlns:r="http://schemas.openxmlformats.org/officeDocument/2006/relationships" r:embed="rId4909"/>
        <a:stretch>
          <a:fillRect/>
        </a:stretch>
      </xdr:blipFill>
      <xdr:spPr>
        <a:xfrm>
          <a:off x="7235825" y="6410131325"/>
          <a:ext cx="878840" cy="1183640"/>
        </a:xfrm>
        <a:prstGeom prst="rect">
          <a:avLst/>
        </a:prstGeom>
      </xdr:spPr>
    </xdr:pic>
    <xdr:clientData/>
  </xdr:twoCellAnchor>
  <xdr:twoCellAnchor>
    <xdr:from>
      <xdr:col>9</xdr:col>
      <xdr:colOff>6350</xdr:colOff>
      <xdr:row>6239</xdr:row>
      <xdr:rowOff>25400</xdr:rowOff>
    </xdr:from>
    <xdr:to>
      <xdr:col>9</xdr:col>
      <xdr:colOff>885190</xdr:colOff>
      <xdr:row>6239</xdr:row>
      <xdr:rowOff>1209040</xdr:rowOff>
    </xdr:to>
    <xdr:pic>
      <xdr:nvPicPr>
        <xdr:cNvPr id="10304" name="Изображение 10303" descr="resizeПП-00218914"/>
        <xdr:cNvPicPr>
          <a:picLocks noChangeAspect="1"/>
        </xdr:cNvPicPr>
      </xdr:nvPicPr>
      <xdr:blipFill>
        <a:blip xmlns:r="http://schemas.openxmlformats.org/officeDocument/2006/relationships" r:embed="rId4910"/>
        <a:stretch>
          <a:fillRect/>
        </a:stretch>
      </xdr:blipFill>
      <xdr:spPr>
        <a:xfrm>
          <a:off x="7235825" y="6411353700"/>
          <a:ext cx="878840" cy="1183640"/>
        </a:xfrm>
        <a:prstGeom prst="rect">
          <a:avLst/>
        </a:prstGeom>
      </xdr:spPr>
    </xdr:pic>
    <xdr:clientData/>
  </xdr:twoCellAnchor>
  <xdr:twoCellAnchor>
    <xdr:from>
      <xdr:col>9</xdr:col>
      <xdr:colOff>6350</xdr:colOff>
      <xdr:row>6240</xdr:row>
      <xdr:rowOff>25400</xdr:rowOff>
    </xdr:from>
    <xdr:to>
      <xdr:col>9</xdr:col>
      <xdr:colOff>885190</xdr:colOff>
      <xdr:row>6240</xdr:row>
      <xdr:rowOff>1209040</xdr:rowOff>
    </xdr:to>
    <xdr:pic>
      <xdr:nvPicPr>
        <xdr:cNvPr id="10305" name="Изображение 10304" descr="resizeПП-00218910"/>
        <xdr:cNvPicPr>
          <a:picLocks noChangeAspect="1"/>
        </xdr:cNvPicPr>
      </xdr:nvPicPr>
      <xdr:blipFill>
        <a:blip xmlns:r="http://schemas.openxmlformats.org/officeDocument/2006/relationships" r:embed="rId4911"/>
        <a:stretch>
          <a:fillRect/>
        </a:stretch>
      </xdr:blipFill>
      <xdr:spPr>
        <a:xfrm>
          <a:off x="7235825" y="6412576075"/>
          <a:ext cx="878840" cy="1183640"/>
        </a:xfrm>
        <a:prstGeom prst="rect">
          <a:avLst/>
        </a:prstGeom>
      </xdr:spPr>
    </xdr:pic>
    <xdr:clientData/>
  </xdr:twoCellAnchor>
  <xdr:twoCellAnchor>
    <xdr:from>
      <xdr:col>9</xdr:col>
      <xdr:colOff>6350</xdr:colOff>
      <xdr:row>6242</xdr:row>
      <xdr:rowOff>25400</xdr:rowOff>
    </xdr:from>
    <xdr:to>
      <xdr:col>9</xdr:col>
      <xdr:colOff>885190</xdr:colOff>
      <xdr:row>6242</xdr:row>
      <xdr:rowOff>1209040</xdr:rowOff>
    </xdr:to>
    <xdr:pic>
      <xdr:nvPicPr>
        <xdr:cNvPr id="10306" name="Изображение 10305" descr="resizeПП-00107827"/>
        <xdr:cNvPicPr>
          <a:picLocks noChangeAspect="1"/>
        </xdr:cNvPicPr>
      </xdr:nvPicPr>
      <xdr:blipFill>
        <a:blip xmlns:r="http://schemas.openxmlformats.org/officeDocument/2006/relationships" r:embed="rId4912"/>
        <a:stretch>
          <a:fillRect/>
        </a:stretch>
      </xdr:blipFill>
      <xdr:spPr>
        <a:xfrm>
          <a:off x="7235825" y="6413950850"/>
          <a:ext cx="878840" cy="1183640"/>
        </a:xfrm>
        <a:prstGeom prst="rect">
          <a:avLst/>
        </a:prstGeom>
      </xdr:spPr>
    </xdr:pic>
    <xdr:clientData/>
  </xdr:twoCellAnchor>
  <xdr:twoCellAnchor>
    <xdr:from>
      <xdr:col>9</xdr:col>
      <xdr:colOff>6350</xdr:colOff>
      <xdr:row>6243</xdr:row>
      <xdr:rowOff>25400</xdr:rowOff>
    </xdr:from>
    <xdr:to>
      <xdr:col>9</xdr:col>
      <xdr:colOff>885190</xdr:colOff>
      <xdr:row>6243</xdr:row>
      <xdr:rowOff>1209040</xdr:rowOff>
    </xdr:to>
    <xdr:pic>
      <xdr:nvPicPr>
        <xdr:cNvPr id="10307" name="Изображение 10306" descr="resizeПП-00079690"/>
        <xdr:cNvPicPr>
          <a:picLocks noChangeAspect="1"/>
        </xdr:cNvPicPr>
      </xdr:nvPicPr>
      <xdr:blipFill>
        <a:blip xmlns:r="http://schemas.openxmlformats.org/officeDocument/2006/relationships" r:embed="rId4913"/>
        <a:stretch>
          <a:fillRect/>
        </a:stretch>
      </xdr:blipFill>
      <xdr:spPr>
        <a:xfrm>
          <a:off x="7235825" y="6415173225"/>
          <a:ext cx="878840" cy="1183640"/>
        </a:xfrm>
        <a:prstGeom prst="rect">
          <a:avLst/>
        </a:prstGeom>
      </xdr:spPr>
    </xdr:pic>
    <xdr:clientData/>
  </xdr:twoCellAnchor>
  <xdr:twoCellAnchor>
    <xdr:from>
      <xdr:col>9</xdr:col>
      <xdr:colOff>6350</xdr:colOff>
      <xdr:row>6245</xdr:row>
      <xdr:rowOff>25400</xdr:rowOff>
    </xdr:from>
    <xdr:to>
      <xdr:col>9</xdr:col>
      <xdr:colOff>885190</xdr:colOff>
      <xdr:row>6245</xdr:row>
      <xdr:rowOff>1209040</xdr:rowOff>
    </xdr:to>
    <xdr:pic>
      <xdr:nvPicPr>
        <xdr:cNvPr id="10308" name="Изображение 10307" descr="resizeПП-00093467"/>
        <xdr:cNvPicPr>
          <a:picLocks noChangeAspect="1"/>
        </xdr:cNvPicPr>
      </xdr:nvPicPr>
      <xdr:blipFill>
        <a:blip xmlns:r="http://schemas.openxmlformats.org/officeDocument/2006/relationships" r:embed="rId4914"/>
        <a:stretch>
          <a:fillRect/>
        </a:stretch>
      </xdr:blipFill>
      <xdr:spPr>
        <a:xfrm>
          <a:off x="7235825" y="6416548000"/>
          <a:ext cx="878840" cy="1183640"/>
        </a:xfrm>
        <a:prstGeom prst="rect">
          <a:avLst/>
        </a:prstGeom>
      </xdr:spPr>
    </xdr:pic>
    <xdr:clientData/>
  </xdr:twoCellAnchor>
  <xdr:twoCellAnchor>
    <xdr:from>
      <xdr:col>9</xdr:col>
      <xdr:colOff>6350</xdr:colOff>
      <xdr:row>6246</xdr:row>
      <xdr:rowOff>25400</xdr:rowOff>
    </xdr:from>
    <xdr:to>
      <xdr:col>9</xdr:col>
      <xdr:colOff>1189990</xdr:colOff>
      <xdr:row>6246</xdr:row>
      <xdr:rowOff>904240</xdr:rowOff>
    </xdr:to>
    <xdr:pic>
      <xdr:nvPicPr>
        <xdr:cNvPr id="10309" name="Изображение 10308" descr="resizeПП-00230364"/>
        <xdr:cNvPicPr>
          <a:picLocks noChangeAspect="1"/>
        </xdr:cNvPicPr>
      </xdr:nvPicPr>
      <xdr:blipFill>
        <a:blip xmlns:r="http://schemas.openxmlformats.org/officeDocument/2006/relationships" r:embed="rId4915"/>
        <a:stretch>
          <a:fillRect/>
        </a:stretch>
      </xdr:blipFill>
      <xdr:spPr>
        <a:xfrm>
          <a:off x="7235825" y="6417770375"/>
          <a:ext cx="1183640" cy="878840"/>
        </a:xfrm>
        <a:prstGeom prst="rect">
          <a:avLst/>
        </a:prstGeom>
      </xdr:spPr>
    </xdr:pic>
    <xdr:clientData/>
  </xdr:twoCellAnchor>
  <xdr:twoCellAnchor>
    <xdr:from>
      <xdr:col>9</xdr:col>
      <xdr:colOff>6350</xdr:colOff>
      <xdr:row>6248</xdr:row>
      <xdr:rowOff>25400</xdr:rowOff>
    </xdr:from>
    <xdr:to>
      <xdr:col>9</xdr:col>
      <xdr:colOff>885190</xdr:colOff>
      <xdr:row>6248</xdr:row>
      <xdr:rowOff>1209040</xdr:rowOff>
    </xdr:to>
    <xdr:pic>
      <xdr:nvPicPr>
        <xdr:cNvPr id="10310" name="Изображение 10309" descr="resizeПП-00067308"/>
        <xdr:cNvPicPr>
          <a:picLocks noChangeAspect="1"/>
        </xdr:cNvPicPr>
      </xdr:nvPicPr>
      <xdr:blipFill>
        <a:blip xmlns:r="http://schemas.openxmlformats.org/officeDocument/2006/relationships" r:embed="rId4916"/>
        <a:stretch>
          <a:fillRect/>
        </a:stretch>
      </xdr:blipFill>
      <xdr:spPr>
        <a:xfrm>
          <a:off x="7235825" y="6419145150"/>
          <a:ext cx="878840" cy="1183640"/>
        </a:xfrm>
        <a:prstGeom prst="rect">
          <a:avLst/>
        </a:prstGeom>
      </xdr:spPr>
    </xdr:pic>
    <xdr:clientData/>
  </xdr:twoCellAnchor>
  <xdr:twoCellAnchor>
    <xdr:from>
      <xdr:col>9</xdr:col>
      <xdr:colOff>6350</xdr:colOff>
      <xdr:row>6249</xdr:row>
      <xdr:rowOff>25400</xdr:rowOff>
    </xdr:from>
    <xdr:to>
      <xdr:col>9</xdr:col>
      <xdr:colOff>885190</xdr:colOff>
      <xdr:row>6249</xdr:row>
      <xdr:rowOff>1209040</xdr:rowOff>
    </xdr:to>
    <xdr:pic>
      <xdr:nvPicPr>
        <xdr:cNvPr id="10311" name="Изображение 10310" descr="resizeПП-00235671"/>
        <xdr:cNvPicPr>
          <a:picLocks noChangeAspect="1"/>
        </xdr:cNvPicPr>
      </xdr:nvPicPr>
      <xdr:blipFill>
        <a:blip xmlns:r="http://schemas.openxmlformats.org/officeDocument/2006/relationships" r:embed="rId4917"/>
        <a:stretch>
          <a:fillRect/>
        </a:stretch>
      </xdr:blipFill>
      <xdr:spPr>
        <a:xfrm>
          <a:off x="7235825" y="6420367525"/>
          <a:ext cx="878840" cy="1183640"/>
        </a:xfrm>
        <a:prstGeom prst="rect">
          <a:avLst/>
        </a:prstGeom>
      </xdr:spPr>
    </xdr:pic>
    <xdr:clientData/>
  </xdr:twoCellAnchor>
  <xdr:twoCellAnchor>
    <xdr:from>
      <xdr:col>9</xdr:col>
      <xdr:colOff>6350</xdr:colOff>
      <xdr:row>6250</xdr:row>
      <xdr:rowOff>25400</xdr:rowOff>
    </xdr:from>
    <xdr:to>
      <xdr:col>9</xdr:col>
      <xdr:colOff>885190</xdr:colOff>
      <xdr:row>6250</xdr:row>
      <xdr:rowOff>1209040</xdr:rowOff>
    </xdr:to>
    <xdr:pic>
      <xdr:nvPicPr>
        <xdr:cNvPr id="10312" name="Изображение 10311" descr="resizeПП-00235672"/>
        <xdr:cNvPicPr>
          <a:picLocks noChangeAspect="1"/>
        </xdr:cNvPicPr>
      </xdr:nvPicPr>
      <xdr:blipFill>
        <a:blip xmlns:r="http://schemas.openxmlformats.org/officeDocument/2006/relationships" r:embed="rId4918"/>
        <a:stretch>
          <a:fillRect/>
        </a:stretch>
      </xdr:blipFill>
      <xdr:spPr>
        <a:xfrm>
          <a:off x="7235825" y="6421589900"/>
          <a:ext cx="878840" cy="1183640"/>
        </a:xfrm>
        <a:prstGeom prst="rect">
          <a:avLst/>
        </a:prstGeom>
      </xdr:spPr>
    </xdr:pic>
    <xdr:clientData/>
  </xdr:twoCellAnchor>
  <xdr:twoCellAnchor>
    <xdr:from>
      <xdr:col>9</xdr:col>
      <xdr:colOff>6350</xdr:colOff>
      <xdr:row>6251</xdr:row>
      <xdr:rowOff>25400</xdr:rowOff>
    </xdr:from>
    <xdr:to>
      <xdr:col>9</xdr:col>
      <xdr:colOff>885190</xdr:colOff>
      <xdr:row>6251</xdr:row>
      <xdr:rowOff>1209040</xdr:rowOff>
    </xdr:to>
    <xdr:pic>
      <xdr:nvPicPr>
        <xdr:cNvPr id="10313" name="Изображение 10312" descr="resizeПП-00231892"/>
        <xdr:cNvPicPr>
          <a:picLocks noChangeAspect="1"/>
        </xdr:cNvPicPr>
      </xdr:nvPicPr>
      <xdr:blipFill>
        <a:blip xmlns:r="http://schemas.openxmlformats.org/officeDocument/2006/relationships" r:embed="rId4919"/>
        <a:stretch>
          <a:fillRect/>
        </a:stretch>
      </xdr:blipFill>
      <xdr:spPr>
        <a:xfrm>
          <a:off x="7235825" y="6422812275"/>
          <a:ext cx="878840" cy="1183640"/>
        </a:xfrm>
        <a:prstGeom prst="rect">
          <a:avLst/>
        </a:prstGeom>
      </xdr:spPr>
    </xdr:pic>
    <xdr:clientData/>
  </xdr:twoCellAnchor>
  <xdr:twoCellAnchor>
    <xdr:from>
      <xdr:col>9</xdr:col>
      <xdr:colOff>6350</xdr:colOff>
      <xdr:row>6252</xdr:row>
      <xdr:rowOff>25400</xdr:rowOff>
    </xdr:from>
    <xdr:to>
      <xdr:col>9</xdr:col>
      <xdr:colOff>885190</xdr:colOff>
      <xdr:row>6252</xdr:row>
      <xdr:rowOff>1209040</xdr:rowOff>
    </xdr:to>
    <xdr:pic>
      <xdr:nvPicPr>
        <xdr:cNvPr id="10314" name="Изображение 10313" descr="resizeПП-00211345"/>
        <xdr:cNvPicPr>
          <a:picLocks noChangeAspect="1"/>
        </xdr:cNvPicPr>
      </xdr:nvPicPr>
      <xdr:blipFill>
        <a:blip xmlns:r="http://schemas.openxmlformats.org/officeDocument/2006/relationships" r:embed="rId4920"/>
        <a:stretch>
          <a:fillRect/>
        </a:stretch>
      </xdr:blipFill>
      <xdr:spPr>
        <a:xfrm>
          <a:off x="7235825" y="6424034650"/>
          <a:ext cx="878840" cy="1183640"/>
        </a:xfrm>
        <a:prstGeom prst="rect">
          <a:avLst/>
        </a:prstGeom>
      </xdr:spPr>
    </xdr:pic>
    <xdr:clientData/>
  </xdr:twoCellAnchor>
  <xdr:twoCellAnchor>
    <xdr:from>
      <xdr:col>9</xdr:col>
      <xdr:colOff>6350</xdr:colOff>
      <xdr:row>6253</xdr:row>
      <xdr:rowOff>25400</xdr:rowOff>
    </xdr:from>
    <xdr:to>
      <xdr:col>9</xdr:col>
      <xdr:colOff>885190</xdr:colOff>
      <xdr:row>6253</xdr:row>
      <xdr:rowOff>1209040</xdr:rowOff>
    </xdr:to>
    <xdr:pic>
      <xdr:nvPicPr>
        <xdr:cNvPr id="10315" name="Изображение 10314" descr="resizeПП-00067309"/>
        <xdr:cNvPicPr>
          <a:picLocks noChangeAspect="1"/>
        </xdr:cNvPicPr>
      </xdr:nvPicPr>
      <xdr:blipFill>
        <a:blip xmlns:r="http://schemas.openxmlformats.org/officeDocument/2006/relationships" r:embed="rId4921"/>
        <a:stretch>
          <a:fillRect/>
        </a:stretch>
      </xdr:blipFill>
      <xdr:spPr>
        <a:xfrm>
          <a:off x="7235825" y="6425257025"/>
          <a:ext cx="878840" cy="1183640"/>
        </a:xfrm>
        <a:prstGeom prst="rect">
          <a:avLst/>
        </a:prstGeom>
      </xdr:spPr>
    </xdr:pic>
    <xdr:clientData/>
  </xdr:twoCellAnchor>
  <xdr:twoCellAnchor>
    <xdr:from>
      <xdr:col>9</xdr:col>
      <xdr:colOff>6350</xdr:colOff>
      <xdr:row>6254</xdr:row>
      <xdr:rowOff>25400</xdr:rowOff>
    </xdr:from>
    <xdr:to>
      <xdr:col>9</xdr:col>
      <xdr:colOff>885190</xdr:colOff>
      <xdr:row>6254</xdr:row>
      <xdr:rowOff>1209040</xdr:rowOff>
    </xdr:to>
    <xdr:pic>
      <xdr:nvPicPr>
        <xdr:cNvPr id="10316" name="Изображение 10315" descr="resizeПП-00211346"/>
        <xdr:cNvPicPr>
          <a:picLocks noChangeAspect="1"/>
        </xdr:cNvPicPr>
      </xdr:nvPicPr>
      <xdr:blipFill>
        <a:blip xmlns:r="http://schemas.openxmlformats.org/officeDocument/2006/relationships" r:embed="rId4922"/>
        <a:stretch>
          <a:fillRect/>
        </a:stretch>
      </xdr:blipFill>
      <xdr:spPr>
        <a:xfrm>
          <a:off x="7235825" y="6426479400"/>
          <a:ext cx="878840" cy="1183640"/>
        </a:xfrm>
        <a:prstGeom prst="rect">
          <a:avLst/>
        </a:prstGeom>
      </xdr:spPr>
    </xdr:pic>
    <xdr:clientData/>
  </xdr:twoCellAnchor>
  <xdr:twoCellAnchor>
    <xdr:from>
      <xdr:col>9</xdr:col>
      <xdr:colOff>6350</xdr:colOff>
      <xdr:row>6255</xdr:row>
      <xdr:rowOff>25400</xdr:rowOff>
    </xdr:from>
    <xdr:to>
      <xdr:col>9</xdr:col>
      <xdr:colOff>885190</xdr:colOff>
      <xdr:row>6255</xdr:row>
      <xdr:rowOff>1209040</xdr:rowOff>
    </xdr:to>
    <xdr:pic>
      <xdr:nvPicPr>
        <xdr:cNvPr id="10317" name="Изображение 10316" descr="resizeПП-00067307"/>
        <xdr:cNvPicPr>
          <a:picLocks noChangeAspect="1"/>
        </xdr:cNvPicPr>
      </xdr:nvPicPr>
      <xdr:blipFill>
        <a:blip xmlns:r="http://schemas.openxmlformats.org/officeDocument/2006/relationships" r:embed="rId4923"/>
        <a:stretch>
          <a:fillRect/>
        </a:stretch>
      </xdr:blipFill>
      <xdr:spPr>
        <a:xfrm>
          <a:off x="7235825" y="6427701775"/>
          <a:ext cx="878840" cy="1183640"/>
        </a:xfrm>
        <a:prstGeom prst="rect">
          <a:avLst/>
        </a:prstGeom>
      </xdr:spPr>
    </xdr:pic>
    <xdr:clientData/>
  </xdr:twoCellAnchor>
  <xdr:twoCellAnchor>
    <xdr:from>
      <xdr:col>9</xdr:col>
      <xdr:colOff>6350</xdr:colOff>
      <xdr:row>6256</xdr:row>
      <xdr:rowOff>25400</xdr:rowOff>
    </xdr:from>
    <xdr:to>
      <xdr:col>9</xdr:col>
      <xdr:colOff>885190</xdr:colOff>
      <xdr:row>6256</xdr:row>
      <xdr:rowOff>1209040</xdr:rowOff>
    </xdr:to>
    <xdr:pic>
      <xdr:nvPicPr>
        <xdr:cNvPr id="10318" name="Изображение 10317" descr="resizeПП-00231891"/>
        <xdr:cNvPicPr>
          <a:picLocks noChangeAspect="1"/>
        </xdr:cNvPicPr>
      </xdr:nvPicPr>
      <xdr:blipFill>
        <a:blip xmlns:r="http://schemas.openxmlformats.org/officeDocument/2006/relationships" r:embed="rId4924"/>
        <a:stretch>
          <a:fillRect/>
        </a:stretch>
      </xdr:blipFill>
      <xdr:spPr>
        <a:xfrm>
          <a:off x="7235825" y="6428924150"/>
          <a:ext cx="878840" cy="1183640"/>
        </a:xfrm>
        <a:prstGeom prst="rect">
          <a:avLst/>
        </a:prstGeom>
      </xdr:spPr>
    </xdr:pic>
    <xdr:clientData/>
  </xdr:twoCellAnchor>
  <xdr:twoCellAnchor>
    <xdr:from>
      <xdr:col>9</xdr:col>
      <xdr:colOff>6350</xdr:colOff>
      <xdr:row>6258</xdr:row>
      <xdr:rowOff>25400</xdr:rowOff>
    </xdr:from>
    <xdr:to>
      <xdr:col>9</xdr:col>
      <xdr:colOff>885190</xdr:colOff>
      <xdr:row>6258</xdr:row>
      <xdr:rowOff>1209040</xdr:rowOff>
    </xdr:to>
    <xdr:pic>
      <xdr:nvPicPr>
        <xdr:cNvPr id="10319" name="Изображение 10318" descr="resizeПП-00267039"/>
        <xdr:cNvPicPr>
          <a:picLocks noChangeAspect="1"/>
        </xdr:cNvPicPr>
      </xdr:nvPicPr>
      <xdr:blipFill>
        <a:blip xmlns:r="http://schemas.openxmlformats.org/officeDocument/2006/relationships" r:embed="rId4925"/>
        <a:stretch>
          <a:fillRect/>
        </a:stretch>
      </xdr:blipFill>
      <xdr:spPr>
        <a:xfrm>
          <a:off x="7235825" y="6430298925"/>
          <a:ext cx="878840" cy="1183640"/>
        </a:xfrm>
        <a:prstGeom prst="rect">
          <a:avLst/>
        </a:prstGeom>
      </xdr:spPr>
    </xdr:pic>
    <xdr:clientData/>
  </xdr:twoCellAnchor>
  <xdr:twoCellAnchor>
    <xdr:from>
      <xdr:col>9</xdr:col>
      <xdr:colOff>6350</xdr:colOff>
      <xdr:row>6259</xdr:row>
      <xdr:rowOff>25400</xdr:rowOff>
    </xdr:from>
    <xdr:to>
      <xdr:col>9</xdr:col>
      <xdr:colOff>885190</xdr:colOff>
      <xdr:row>6259</xdr:row>
      <xdr:rowOff>1209040</xdr:rowOff>
    </xdr:to>
    <xdr:pic>
      <xdr:nvPicPr>
        <xdr:cNvPr id="10320" name="Изображение 10319" descr="resizeПП-00226104"/>
        <xdr:cNvPicPr>
          <a:picLocks noChangeAspect="1"/>
        </xdr:cNvPicPr>
      </xdr:nvPicPr>
      <xdr:blipFill>
        <a:blip xmlns:r="http://schemas.openxmlformats.org/officeDocument/2006/relationships" r:embed="rId4926"/>
        <a:stretch>
          <a:fillRect/>
        </a:stretch>
      </xdr:blipFill>
      <xdr:spPr>
        <a:xfrm>
          <a:off x="7235825" y="6431521300"/>
          <a:ext cx="878840" cy="1183640"/>
        </a:xfrm>
        <a:prstGeom prst="rect">
          <a:avLst/>
        </a:prstGeom>
      </xdr:spPr>
    </xdr:pic>
    <xdr:clientData/>
  </xdr:twoCellAnchor>
  <xdr:twoCellAnchor>
    <xdr:from>
      <xdr:col>9</xdr:col>
      <xdr:colOff>6350</xdr:colOff>
      <xdr:row>6261</xdr:row>
      <xdr:rowOff>25400</xdr:rowOff>
    </xdr:from>
    <xdr:to>
      <xdr:col>9</xdr:col>
      <xdr:colOff>885190</xdr:colOff>
      <xdr:row>6261</xdr:row>
      <xdr:rowOff>1209040</xdr:rowOff>
    </xdr:to>
    <xdr:pic>
      <xdr:nvPicPr>
        <xdr:cNvPr id="10321" name="Изображение 10320" descr="resizeПП-00198290"/>
        <xdr:cNvPicPr>
          <a:picLocks noChangeAspect="1"/>
        </xdr:cNvPicPr>
      </xdr:nvPicPr>
      <xdr:blipFill>
        <a:blip xmlns:r="http://schemas.openxmlformats.org/officeDocument/2006/relationships" r:embed="rId4927"/>
        <a:stretch>
          <a:fillRect/>
        </a:stretch>
      </xdr:blipFill>
      <xdr:spPr>
        <a:xfrm>
          <a:off x="7235825" y="6432896075"/>
          <a:ext cx="878840" cy="1183640"/>
        </a:xfrm>
        <a:prstGeom prst="rect">
          <a:avLst/>
        </a:prstGeom>
      </xdr:spPr>
    </xdr:pic>
    <xdr:clientData/>
  </xdr:twoCellAnchor>
  <xdr:twoCellAnchor>
    <xdr:from>
      <xdr:col>9</xdr:col>
      <xdr:colOff>6350</xdr:colOff>
      <xdr:row>6264</xdr:row>
      <xdr:rowOff>25400</xdr:rowOff>
    </xdr:from>
    <xdr:to>
      <xdr:col>9</xdr:col>
      <xdr:colOff>885190</xdr:colOff>
      <xdr:row>6264</xdr:row>
      <xdr:rowOff>1209040</xdr:rowOff>
    </xdr:to>
    <xdr:pic>
      <xdr:nvPicPr>
        <xdr:cNvPr id="10322" name="Изображение 10321" descr="resizeПП-00223402"/>
        <xdr:cNvPicPr>
          <a:picLocks noChangeAspect="1"/>
        </xdr:cNvPicPr>
      </xdr:nvPicPr>
      <xdr:blipFill>
        <a:blip xmlns:r="http://schemas.openxmlformats.org/officeDocument/2006/relationships" r:embed="rId4928"/>
        <a:stretch>
          <a:fillRect/>
        </a:stretch>
      </xdr:blipFill>
      <xdr:spPr>
        <a:xfrm>
          <a:off x="7235825" y="6434474050"/>
          <a:ext cx="878840" cy="1183640"/>
        </a:xfrm>
        <a:prstGeom prst="rect">
          <a:avLst/>
        </a:prstGeom>
      </xdr:spPr>
    </xdr:pic>
    <xdr:clientData/>
  </xdr:twoCellAnchor>
  <xdr:twoCellAnchor>
    <xdr:from>
      <xdr:col>9</xdr:col>
      <xdr:colOff>6350</xdr:colOff>
      <xdr:row>6265</xdr:row>
      <xdr:rowOff>25400</xdr:rowOff>
    </xdr:from>
    <xdr:to>
      <xdr:col>9</xdr:col>
      <xdr:colOff>885190</xdr:colOff>
      <xdr:row>6265</xdr:row>
      <xdr:rowOff>1209040</xdr:rowOff>
    </xdr:to>
    <xdr:pic>
      <xdr:nvPicPr>
        <xdr:cNvPr id="10323" name="Изображение 10322" descr="resizeПП-00223403"/>
        <xdr:cNvPicPr>
          <a:picLocks noChangeAspect="1"/>
        </xdr:cNvPicPr>
      </xdr:nvPicPr>
      <xdr:blipFill>
        <a:blip xmlns:r="http://schemas.openxmlformats.org/officeDocument/2006/relationships" r:embed="rId4929"/>
        <a:stretch>
          <a:fillRect/>
        </a:stretch>
      </xdr:blipFill>
      <xdr:spPr>
        <a:xfrm>
          <a:off x="7235825" y="6435696425"/>
          <a:ext cx="878840" cy="1183640"/>
        </a:xfrm>
        <a:prstGeom prst="rect">
          <a:avLst/>
        </a:prstGeom>
      </xdr:spPr>
    </xdr:pic>
    <xdr:clientData/>
  </xdr:twoCellAnchor>
  <xdr:twoCellAnchor>
    <xdr:from>
      <xdr:col>9</xdr:col>
      <xdr:colOff>6350</xdr:colOff>
      <xdr:row>6268</xdr:row>
      <xdr:rowOff>25400</xdr:rowOff>
    </xdr:from>
    <xdr:to>
      <xdr:col>9</xdr:col>
      <xdr:colOff>885190</xdr:colOff>
      <xdr:row>6268</xdr:row>
      <xdr:rowOff>1209040</xdr:rowOff>
    </xdr:to>
    <xdr:pic>
      <xdr:nvPicPr>
        <xdr:cNvPr id="10324" name="Изображение 10323" descr="resizeПП-00220697"/>
        <xdr:cNvPicPr>
          <a:picLocks noChangeAspect="1"/>
        </xdr:cNvPicPr>
      </xdr:nvPicPr>
      <xdr:blipFill>
        <a:blip xmlns:r="http://schemas.openxmlformats.org/officeDocument/2006/relationships" r:embed="rId4930"/>
        <a:stretch>
          <a:fillRect/>
        </a:stretch>
      </xdr:blipFill>
      <xdr:spPr>
        <a:xfrm>
          <a:off x="7235825" y="6437223600"/>
          <a:ext cx="878840" cy="1183640"/>
        </a:xfrm>
        <a:prstGeom prst="rect">
          <a:avLst/>
        </a:prstGeom>
      </xdr:spPr>
    </xdr:pic>
    <xdr:clientData/>
  </xdr:twoCellAnchor>
  <xdr:twoCellAnchor>
    <xdr:from>
      <xdr:col>9</xdr:col>
      <xdr:colOff>6350</xdr:colOff>
      <xdr:row>6269</xdr:row>
      <xdr:rowOff>25400</xdr:rowOff>
    </xdr:from>
    <xdr:to>
      <xdr:col>9</xdr:col>
      <xdr:colOff>885190</xdr:colOff>
      <xdr:row>6269</xdr:row>
      <xdr:rowOff>1209040</xdr:rowOff>
    </xdr:to>
    <xdr:pic>
      <xdr:nvPicPr>
        <xdr:cNvPr id="10325" name="Изображение 10324" descr="resizeПП-00220696"/>
        <xdr:cNvPicPr>
          <a:picLocks noChangeAspect="1"/>
        </xdr:cNvPicPr>
      </xdr:nvPicPr>
      <xdr:blipFill>
        <a:blip xmlns:r="http://schemas.openxmlformats.org/officeDocument/2006/relationships" r:embed="rId4931"/>
        <a:stretch>
          <a:fillRect/>
        </a:stretch>
      </xdr:blipFill>
      <xdr:spPr>
        <a:xfrm>
          <a:off x="7235825" y="6438445975"/>
          <a:ext cx="878840" cy="1183640"/>
        </a:xfrm>
        <a:prstGeom prst="rect">
          <a:avLst/>
        </a:prstGeom>
      </xdr:spPr>
    </xdr:pic>
    <xdr:clientData/>
  </xdr:twoCellAnchor>
  <xdr:twoCellAnchor>
    <xdr:from>
      <xdr:col>9</xdr:col>
      <xdr:colOff>6350</xdr:colOff>
      <xdr:row>6271</xdr:row>
      <xdr:rowOff>25400</xdr:rowOff>
    </xdr:from>
    <xdr:to>
      <xdr:col>9</xdr:col>
      <xdr:colOff>885190</xdr:colOff>
      <xdr:row>6271</xdr:row>
      <xdr:rowOff>1209040</xdr:rowOff>
    </xdr:to>
    <xdr:pic>
      <xdr:nvPicPr>
        <xdr:cNvPr id="10326" name="Изображение 10325" descr="resizeПП-00215181"/>
        <xdr:cNvPicPr>
          <a:picLocks noChangeAspect="1"/>
        </xdr:cNvPicPr>
      </xdr:nvPicPr>
      <xdr:blipFill>
        <a:blip xmlns:r="http://schemas.openxmlformats.org/officeDocument/2006/relationships" r:embed="rId4932"/>
        <a:stretch>
          <a:fillRect/>
        </a:stretch>
      </xdr:blipFill>
      <xdr:spPr>
        <a:xfrm>
          <a:off x="7235825" y="6439820750"/>
          <a:ext cx="878840" cy="1183640"/>
        </a:xfrm>
        <a:prstGeom prst="rect">
          <a:avLst/>
        </a:prstGeom>
      </xdr:spPr>
    </xdr:pic>
    <xdr:clientData/>
  </xdr:twoCellAnchor>
  <xdr:twoCellAnchor>
    <xdr:from>
      <xdr:col>9</xdr:col>
      <xdr:colOff>6350</xdr:colOff>
      <xdr:row>6275</xdr:row>
      <xdr:rowOff>25400</xdr:rowOff>
    </xdr:from>
    <xdr:to>
      <xdr:col>9</xdr:col>
      <xdr:colOff>885190</xdr:colOff>
      <xdr:row>6275</xdr:row>
      <xdr:rowOff>1209040</xdr:rowOff>
    </xdr:to>
    <xdr:pic>
      <xdr:nvPicPr>
        <xdr:cNvPr id="10327" name="Изображение 10326" descr="resizeПП-00225430"/>
        <xdr:cNvPicPr>
          <a:picLocks noChangeAspect="1"/>
        </xdr:cNvPicPr>
      </xdr:nvPicPr>
      <xdr:blipFill>
        <a:blip xmlns:r="http://schemas.openxmlformats.org/officeDocument/2006/relationships" r:embed="rId4933"/>
        <a:stretch>
          <a:fillRect/>
        </a:stretch>
      </xdr:blipFill>
      <xdr:spPr>
        <a:xfrm>
          <a:off x="7235825" y="6441551125"/>
          <a:ext cx="878840" cy="1183640"/>
        </a:xfrm>
        <a:prstGeom prst="rect">
          <a:avLst/>
        </a:prstGeom>
      </xdr:spPr>
    </xdr:pic>
    <xdr:clientData/>
  </xdr:twoCellAnchor>
  <xdr:twoCellAnchor>
    <xdr:from>
      <xdr:col>9</xdr:col>
      <xdr:colOff>6350</xdr:colOff>
      <xdr:row>6276</xdr:row>
      <xdr:rowOff>25400</xdr:rowOff>
    </xdr:from>
    <xdr:to>
      <xdr:col>9</xdr:col>
      <xdr:colOff>885190</xdr:colOff>
      <xdr:row>6276</xdr:row>
      <xdr:rowOff>1209040</xdr:rowOff>
    </xdr:to>
    <xdr:pic>
      <xdr:nvPicPr>
        <xdr:cNvPr id="10328" name="Изображение 10327" descr="resizeПП-00225428"/>
        <xdr:cNvPicPr>
          <a:picLocks noChangeAspect="1"/>
        </xdr:cNvPicPr>
      </xdr:nvPicPr>
      <xdr:blipFill>
        <a:blip xmlns:r="http://schemas.openxmlformats.org/officeDocument/2006/relationships" r:embed="rId4934"/>
        <a:stretch>
          <a:fillRect/>
        </a:stretch>
      </xdr:blipFill>
      <xdr:spPr>
        <a:xfrm>
          <a:off x="7235825" y="6442773500"/>
          <a:ext cx="878840" cy="1183640"/>
        </a:xfrm>
        <a:prstGeom prst="rect">
          <a:avLst/>
        </a:prstGeom>
      </xdr:spPr>
    </xdr:pic>
    <xdr:clientData/>
  </xdr:twoCellAnchor>
  <xdr:twoCellAnchor>
    <xdr:from>
      <xdr:col>9</xdr:col>
      <xdr:colOff>6350</xdr:colOff>
      <xdr:row>6279</xdr:row>
      <xdr:rowOff>25400</xdr:rowOff>
    </xdr:from>
    <xdr:to>
      <xdr:col>9</xdr:col>
      <xdr:colOff>885190</xdr:colOff>
      <xdr:row>6279</xdr:row>
      <xdr:rowOff>1209040</xdr:rowOff>
    </xdr:to>
    <xdr:pic>
      <xdr:nvPicPr>
        <xdr:cNvPr id="10329" name="Изображение 10328" descr="resizeПП-00239192"/>
        <xdr:cNvPicPr>
          <a:picLocks noChangeAspect="1"/>
        </xdr:cNvPicPr>
      </xdr:nvPicPr>
      <xdr:blipFill>
        <a:blip xmlns:r="http://schemas.openxmlformats.org/officeDocument/2006/relationships" r:embed="rId4935"/>
        <a:stretch>
          <a:fillRect/>
        </a:stretch>
      </xdr:blipFill>
      <xdr:spPr>
        <a:xfrm>
          <a:off x="7235825" y="6444300675"/>
          <a:ext cx="878840" cy="1183640"/>
        </a:xfrm>
        <a:prstGeom prst="rect">
          <a:avLst/>
        </a:prstGeom>
      </xdr:spPr>
    </xdr:pic>
    <xdr:clientData/>
  </xdr:twoCellAnchor>
  <xdr:twoCellAnchor>
    <xdr:from>
      <xdr:col>9</xdr:col>
      <xdr:colOff>6350</xdr:colOff>
      <xdr:row>6280</xdr:row>
      <xdr:rowOff>25400</xdr:rowOff>
    </xdr:from>
    <xdr:to>
      <xdr:col>9</xdr:col>
      <xdr:colOff>885190</xdr:colOff>
      <xdr:row>6280</xdr:row>
      <xdr:rowOff>1209040</xdr:rowOff>
    </xdr:to>
    <xdr:pic>
      <xdr:nvPicPr>
        <xdr:cNvPr id="10330" name="Изображение 10329" descr="resizeПП-00239188"/>
        <xdr:cNvPicPr>
          <a:picLocks noChangeAspect="1"/>
        </xdr:cNvPicPr>
      </xdr:nvPicPr>
      <xdr:blipFill>
        <a:blip xmlns:r="http://schemas.openxmlformats.org/officeDocument/2006/relationships" r:embed="rId4936"/>
        <a:stretch>
          <a:fillRect/>
        </a:stretch>
      </xdr:blipFill>
      <xdr:spPr>
        <a:xfrm>
          <a:off x="7235825" y="6445523050"/>
          <a:ext cx="878840" cy="1183640"/>
        </a:xfrm>
        <a:prstGeom prst="rect">
          <a:avLst/>
        </a:prstGeom>
      </xdr:spPr>
    </xdr:pic>
    <xdr:clientData/>
  </xdr:twoCellAnchor>
  <xdr:twoCellAnchor>
    <xdr:from>
      <xdr:col>9</xdr:col>
      <xdr:colOff>6350</xdr:colOff>
      <xdr:row>6281</xdr:row>
      <xdr:rowOff>25400</xdr:rowOff>
    </xdr:from>
    <xdr:to>
      <xdr:col>9</xdr:col>
      <xdr:colOff>885190</xdr:colOff>
      <xdr:row>6281</xdr:row>
      <xdr:rowOff>1209040</xdr:rowOff>
    </xdr:to>
    <xdr:pic>
      <xdr:nvPicPr>
        <xdr:cNvPr id="10331" name="Изображение 10330" descr="resizeПП-00239190"/>
        <xdr:cNvPicPr>
          <a:picLocks noChangeAspect="1"/>
        </xdr:cNvPicPr>
      </xdr:nvPicPr>
      <xdr:blipFill>
        <a:blip xmlns:r="http://schemas.openxmlformats.org/officeDocument/2006/relationships" r:embed="rId4937"/>
        <a:stretch>
          <a:fillRect/>
        </a:stretch>
      </xdr:blipFill>
      <xdr:spPr>
        <a:xfrm>
          <a:off x="7235825" y="6446745425"/>
          <a:ext cx="878840" cy="1183640"/>
        </a:xfrm>
        <a:prstGeom prst="rect">
          <a:avLst/>
        </a:prstGeom>
      </xdr:spPr>
    </xdr:pic>
    <xdr:clientData/>
  </xdr:twoCellAnchor>
  <xdr:twoCellAnchor>
    <xdr:from>
      <xdr:col>9</xdr:col>
      <xdr:colOff>6350</xdr:colOff>
      <xdr:row>6283</xdr:row>
      <xdr:rowOff>25400</xdr:rowOff>
    </xdr:from>
    <xdr:to>
      <xdr:col>9</xdr:col>
      <xdr:colOff>885190</xdr:colOff>
      <xdr:row>6283</xdr:row>
      <xdr:rowOff>1209040</xdr:rowOff>
    </xdr:to>
    <xdr:pic>
      <xdr:nvPicPr>
        <xdr:cNvPr id="10332" name="Изображение 10331" descr="resizeПП-00220333"/>
        <xdr:cNvPicPr>
          <a:picLocks noChangeAspect="1"/>
        </xdr:cNvPicPr>
      </xdr:nvPicPr>
      <xdr:blipFill>
        <a:blip xmlns:r="http://schemas.openxmlformats.org/officeDocument/2006/relationships" r:embed="rId4938"/>
        <a:stretch>
          <a:fillRect/>
        </a:stretch>
      </xdr:blipFill>
      <xdr:spPr>
        <a:xfrm>
          <a:off x="7235825" y="6448120200"/>
          <a:ext cx="878840" cy="1183640"/>
        </a:xfrm>
        <a:prstGeom prst="rect">
          <a:avLst/>
        </a:prstGeom>
      </xdr:spPr>
    </xdr:pic>
    <xdr:clientData/>
  </xdr:twoCellAnchor>
  <xdr:twoCellAnchor>
    <xdr:from>
      <xdr:col>9</xdr:col>
      <xdr:colOff>6350</xdr:colOff>
      <xdr:row>6285</xdr:row>
      <xdr:rowOff>25400</xdr:rowOff>
    </xdr:from>
    <xdr:to>
      <xdr:col>9</xdr:col>
      <xdr:colOff>885190</xdr:colOff>
      <xdr:row>6285</xdr:row>
      <xdr:rowOff>1209040</xdr:rowOff>
    </xdr:to>
    <xdr:pic>
      <xdr:nvPicPr>
        <xdr:cNvPr id="10333" name="Изображение 10332" descr="resizeПП-00222406"/>
        <xdr:cNvPicPr>
          <a:picLocks noChangeAspect="1"/>
        </xdr:cNvPicPr>
      </xdr:nvPicPr>
      <xdr:blipFill>
        <a:blip xmlns:r="http://schemas.openxmlformats.org/officeDocument/2006/relationships" r:embed="rId4939"/>
        <a:stretch>
          <a:fillRect/>
        </a:stretch>
      </xdr:blipFill>
      <xdr:spPr>
        <a:xfrm>
          <a:off x="7235825" y="6449494975"/>
          <a:ext cx="878840" cy="1183640"/>
        </a:xfrm>
        <a:prstGeom prst="rect">
          <a:avLst/>
        </a:prstGeom>
      </xdr:spPr>
    </xdr:pic>
    <xdr:clientData/>
  </xdr:twoCellAnchor>
  <xdr:twoCellAnchor>
    <xdr:from>
      <xdr:col>9</xdr:col>
      <xdr:colOff>6350</xdr:colOff>
      <xdr:row>6286</xdr:row>
      <xdr:rowOff>25400</xdr:rowOff>
    </xdr:from>
    <xdr:to>
      <xdr:col>9</xdr:col>
      <xdr:colOff>885190</xdr:colOff>
      <xdr:row>6286</xdr:row>
      <xdr:rowOff>1209040</xdr:rowOff>
    </xdr:to>
    <xdr:pic>
      <xdr:nvPicPr>
        <xdr:cNvPr id="10334" name="Изображение 10333" descr="resizeПП-00222407"/>
        <xdr:cNvPicPr>
          <a:picLocks noChangeAspect="1"/>
        </xdr:cNvPicPr>
      </xdr:nvPicPr>
      <xdr:blipFill>
        <a:blip xmlns:r="http://schemas.openxmlformats.org/officeDocument/2006/relationships" r:embed="rId4940"/>
        <a:stretch>
          <a:fillRect/>
        </a:stretch>
      </xdr:blipFill>
      <xdr:spPr>
        <a:xfrm>
          <a:off x="7235825" y="6450717350"/>
          <a:ext cx="878840" cy="1183640"/>
        </a:xfrm>
        <a:prstGeom prst="rect">
          <a:avLst/>
        </a:prstGeom>
      </xdr:spPr>
    </xdr:pic>
    <xdr:clientData/>
  </xdr:twoCellAnchor>
  <xdr:twoCellAnchor>
    <xdr:from>
      <xdr:col>9</xdr:col>
      <xdr:colOff>6350</xdr:colOff>
      <xdr:row>6287</xdr:row>
      <xdr:rowOff>25400</xdr:rowOff>
    </xdr:from>
    <xdr:to>
      <xdr:col>9</xdr:col>
      <xdr:colOff>885190</xdr:colOff>
      <xdr:row>6287</xdr:row>
      <xdr:rowOff>1209040</xdr:rowOff>
    </xdr:to>
    <xdr:pic>
      <xdr:nvPicPr>
        <xdr:cNvPr id="10335" name="Изображение 10334" descr="resizeПП-00222409"/>
        <xdr:cNvPicPr>
          <a:picLocks noChangeAspect="1"/>
        </xdr:cNvPicPr>
      </xdr:nvPicPr>
      <xdr:blipFill>
        <a:blip xmlns:r="http://schemas.openxmlformats.org/officeDocument/2006/relationships" r:embed="rId4941"/>
        <a:stretch>
          <a:fillRect/>
        </a:stretch>
      </xdr:blipFill>
      <xdr:spPr>
        <a:xfrm>
          <a:off x="7235825" y="6451939725"/>
          <a:ext cx="878840" cy="1183640"/>
        </a:xfrm>
        <a:prstGeom prst="rect">
          <a:avLst/>
        </a:prstGeom>
      </xdr:spPr>
    </xdr:pic>
    <xdr:clientData/>
  </xdr:twoCellAnchor>
  <xdr:twoCellAnchor>
    <xdr:from>
      <xdr:col>9</xdr:col>
      <xdr:colOff>6350</xdr:colOff>
      <xdr:row>6288</xdr:row>
      <xdr:rowOff>25400</xdr:rowOff>
    </xdr:from>
    <xdr:to>
      <xdr:col>9</xdr:col>
      <xdr:colOff>885190</xdr:colOff>
      <xdr:row>6288</xdr:row>
      <xdr:rowOff>1209040</xdr:rowOff>
    </xdr:to>
    <xdr:pic>
      <xdr:nvPicPr>
        <xdr:cNvPr id="10336" name="Изображение 10335" descr="resizeПП-00223585"/>
        <xdr:cNvPicPr>
          <a:picLocks noChangeAspect="1"/>
        </xdr:cNvPicPr>
      </xdr:nvPicPr>
      <xdr:blipFill>
        <a:blip xmlns:r="http://schemas.openxmlformats.org/officeDocument/2006/relationships" r:embed="rId4942"/>
        <a:stretch>
          <a:fillRect/>
        </a:stretch>
      </xdr:blipFill>
      <xdr:spPr>
        <a:xfrm>
          <a:off x="7235825" y="6453162100"/>
          <a:ext cx="878840" cy="1183640"/>
        </a:xfrm>
        <a:prstGeom prst="rect">
          <a:avLst/>
        </a:prstGeom>
      </xdr:spPr>
    </xdr:pic>
    <xdr:clientData/>
  </xdr:twoCellAnchor>
  <xdr:twoCellAnchor>
    <xdr:from>
      <xdr:col>9</xdr:col>
      <xdr:colOff>6350</xdr:colOff>
      <xdr:row>6289</xdr:row>
      <xdr:rowOff>25400</xdr:rowOff>
    </xdr:from>
    <xdr:to>
      <xdr:col>9</xdr:col>
      <xdr:colOff>885190</xdr:colOff>
      <xdr:row>6289</xdr:row>
      <xdr:rowOff>1209040</xdr:rowOff>
    </xdr:to>
    <xdr:pic>
      <xdr:nvPicPr>
        <xdr:cNvPr id="10337" name="Изображение 10336" descr="resizeПП-00223590"/>
        <xdr:cNvPicPr>
          <a:picLocks noChangeAspect="1"/>
        </xdr:cNvPicPr>
      </xdr:nvPicPr>
      <xdr:blipFill>
        <a:blip xmlns:r="http://schemas.openxmlformats.org/officeDocument/2006/relationships" r:embed="rId4943"/>
        <a:stretch>
          <a:fillRect/>
        </a:stretch>
      </xdr:blipFill>
      <xdr:spPr>
        <a:xfrm>
          <a:off x="7235825" y="6454384475"/>
          <a:ext cx="878840" cy="1183640"/>
        </a:xfrm>
        <a:prstGeom prst="rect">
          <a:avLst/>
        </a:prstGeom>
      </xdr:spPr>
    </xdr:pic>
    <xdr:clientData/>
  </xdr:twoCellAnchor>
  <xdr:twoCellAnchor>
    <xdr:from>
      <xdr:col>9</xdr:col>
      <xdr:colOff>6350</xdr:colOff>
      <xdr:row>6292</xdr:row>
      <xdr:rowOff>25400</xdr:rowOff>
    </xdr:from>
    <xdr:to>
      <xdr:col>9</xdr:col>
      <xdr:colOff>885190</xdr:colOff>
      <xdr:row>6292</xdr:row>
      <xdr:rowOff>1209040</xdr:rowOff>
    </xdr:to>
    <xdr:pic>
      <xdr:nvPicPr>
        <xdr:cNvPr id="10338" name="Изображение 10337" descr="resizeПП-00235122"/>
        <xdr:cNvPicPr>
          <a:picLocks noChangeAspect="1"/>
        </xdr:cNvPicPr>
      </xdr:nvPicPr>
      <xdr:blipFill>
        <a:blip xmlns:r="http://schemas.openxmlformats.org/officeDocument/2006/relationships" r:embed="rId4944"/>
        <a:stretch>
          <a:fillRect/>
        </a:stretch>
      </xdr:blipFill>
      <xdr:spPr>
        <a:xfrm>
          <a:off x="7235825" y="6455911650"/>
          <a:ext cx="878840" cy="1183640"/>
        </a:xfrm>
        <a:prstGeom prst="rect">
          <a:avLst/>
        </a:prstGeom>
      </xdr:spPr>
    </xdr:pic>
    <xdr:clientData/>
  </xdr:twoCellAnchor>
  <xdr:twoCellAnchor>
    <xdr:from>
      <xdr:col>9</xdr:col>
      <xdr:colOff>6350</xdr:colOff>
      <xdr:row>6293</xdr:row>
      <xdr:rowOff>25400</xdr:rowOff>
    </xdr:from>
    <xdr:to>
      <xdr:col>9</xdr:col>
      <xdr:colOff>885190</xdr:colOff>
      <xdr:row>6293</xdr:row>
      <xdr:rowOff>1209040</xdr:rowOff>
    </xdr:to>
    <xdr:pic>
      <xdr:nvPicPr>
        <xdr:cNvPr id="10339" name="Изображение 10338" descr="resizeПП-00216249"/>
        <xdr:cNvPicPr>
          <a:picLocks noChangeAspect="1"/>
        </xdr:cNvPicPr>
      </xdr:nvPicPr>
      <xdr:blipFill>
        <a:blip xmlns:r="http://schemas.openxmlformats.org/officeDocument/2006/relationships" r:embed="rId4945"/>
        <a:stretch>
          <a:fillRect/>
        </a:stretch>
      </xdr:blipFill>
      <xdr:spPr>
        <a:xfrm>
          <a:off x="7235825" y="6457134025"/>
          <a:ext cx="878840" cy="1183640"/>
        </a:xfrm>
        <a:prstGeom prst="rect">
          <a:avLst/>
        </a:prstGeom>
      </xdr:spPr>
    </xdr:pic>
    <xdr:clientData/>
  </xdr:twoCellAnchor>
  <xdr:twoCellAnchor>
    <xdr:from>
      <xdr:col>9</xdr:col>
      <xdr:colOff>6350</xdr:colOff>
      <xdr:row>6295</xdr:row>
      <xdr:rowOff>25400</xdr:rowOff>
    </xdr:from>
    <xdr:to>
      <xdr:col>9</xdr:col>
      <xdr:colOff>885190</xdr:colOff>
      <xdr:row>6295</xdr:row>
      <xdr:rowOff>1209040</xdr:rowOff>
    </xdr:to>
    <xdr:pic>
      <xdr:nvPicPr>
        <xdr:cNvPr id="10340" name="Изображение 10339" descr="resizeПП-00239196"/>
        <xdr:cNvPicPr>
          <a:picLocks noChangeAspect="1"/>
        </xdr:cNvPicPr>
      </xdr:nvPicPr>
      <xdr:blipFill>
        <a:blip xmlns:r="http://schemas.openxmlformats.org/officeDocument/2006/relationships" r:embed="rId4946"/>
        <a:stretch>
          <a:fillRect/>
        </a:stretch>
      </xdr:blipFill>
      <xdr:spPr>
        <a:xfrm>
          <a:off x="7235825" y="6458508800"/>
          <a:ext cx="878840" cy="1183640"/>
        </a:xfrm>
        <a:prstGeom prst="rect">
          <a:avLst/>
        </a:prstGeom>
      </xdr:spPr>
    </xdr:pic>
    <xdr:clientData/>
  </xdr:twoCellAnchor>
  <xdr:twoCellAnchor>
    <xdr:from>
      <xdr:col>9</xdr:col>
      <xdr:colOff>6350</xdr:colOff>
      <xdr:row>6296</xdr:row>
      <xdr:rowOff>25400</xdr:rowOff>
    </xdr:from>
    <xdr:to>
      <xdr:col>9</xdr:col>
      <xdr:colOff>885190</xdr:colOff>
      <xdr:row>6296</xdr:row>
      <xdr:rowOff>1209040</xdr:rowOff>
    </xdr:to>
    <xdr:pic>
      <xdr:nvPicPr>
        <xdr:cNvPr id="10341" name="Изображение 10340" descr="resizeПП-00239197"/>
        <xdr:cNvPicPr>
          <a:picLocks noChangeAspect="1"/>
        </xdr:cNvPicPr>
      </xdr:nvPicPr>
      <xdr:blipFill>
        <a:blip xmlns:r="http://schemas.openxmlformats.org/officeDocument/2006/relationships" r:embed="rId4947"/>
        <a:stretch>
          <a:fillRect/>
        </a:stretch>
      </xdr:blipFill>
      <xdr:spPr>
        <a:xfrm>
          <a:off x="7235825" y="6459731175"/>
          <a:ext cx="878840" cy="1183640"/>
        </a:xfrm>
        <a:prstGeom prst="rect">
          <a:avLst/>
        </a:prstGeom>
      </xdr:spPr>
    </xdr:pic>
    <xdr:clientData/>
  </xdr:twoCellAnchor>
  <xdr:twoCellAnchor>
    <xdr:from>
      <xdr:col>9</xdr:col>
      <xdr:colOff>6350</xdr:colOff>
      <xdr:row>6297</xdr:row>
      <xdr:rowOff>25400</xdr:rowOff>
    </xdr:from>
    <xdr:to>
      <xdr:col>9</xdr:col>
      <xdr:colOff>885190</xdr:colOff>
      <xdr:row>6297</xdr:row>
      <xdr:rowOff>1209040</xdr:rowOff>
    </xdr:to>
    <xdr:pic>
      <xdr:nvPicPr>
        <xdr:cNvPr id="10342" name="Изображение 10341" descr="resizeПП-00239195"/>
        <xdr:cNvPicPr>
          <a:picLocks noChangeAspect="1"/>
        </xdr:cNvPicPr>
      </xdr:nvPicPr>
      <xdr:blipFill>
        <a:blip xmlns:r="http://schemas.openxmlformats.org/officeDocument/2006/relationships" r:embed="rId4948"/>
        <a:stretch>
          <a:fillRect/>
        </a:stretch>
      </xdr:blipFill>
      <xdr:spPr>
        <a:xfrm>
          <a:off x="7235825" y="6460953550"/>
          <a:ext cx="878840" cy="1183640"/>
        </a:xfrm>
        <a:prstGeom prst="rect">
          <a:avLst/>
        </a:prstGeom>
      </xdr:spPr>
    </xdr:pic>
    <xdr:clientData/>
  </xdr:twoCellAnchor>
  <xdr:twoCellAnchor>
    <xdr:from>
      <xdr:col>9</xdr:col>
      <xdr:colOff>6350</xdr:colOff>
      <xdr:row>6299</xdr:row>
      <xdr:rowOff>25400</xdr:rowOff>
    </xdr:from>
    <xdr:to>
      <xdr:col>9</xdr:col>
      <xdr:colOff>885190</xdr:colOff>
      <xdr:row>6299</xdr:row>
      <xdr:rowOff>1209040</xdr:rowOff>
    </xdr:to>
    <xdr:pic>
      <xdr:nvPicPr>
        <xdr:cNvPr id="10343" name="Изображение 10342" descr="resizeПП-00225624"/>
        <xdr:cNvPicPr>
          <a:picLocks noChangeAspect="1"/>
        </xdr:cNvPicPr>
      </xdr:nvPicPr>
      <xdr:blipFill>
        <a:blip xmlns:r="http://schemas.openxmlformats.org/officeDocument/2006/relationships" r:embed="rId4949"/>
        <a:stretch>
          <a:fillRect/>
        </a:stretch>
      </xdr:blipFill>
      <xdr:spPr>
        <a:xfrm>
          <a:off x="7235825" y="6462328325"/>
          <a:ext cx="878840" cy="1183640"/>
        </a:xfrm>
        <a:prstGeom prst="rect">
          <a:avLst/>
        </a:prstGeom>
      </xdr:spPr>
    </xdr:pic>
    <xdr:clientData/>
  </xdr:twoCellAnchor>
  <xdr:twoCellAnchor>
    <xdr:from>
      <xdr:col>9</xdr:col>
      <xdr:colOff>6350</xdr:colOff>
      <xdr:row>6302</xdr:row>
      <xdr:rowOff>25400</xdr:rowOff>
    </xdr:from>
    <xdr:to>
      <xdr:col>9</xdr:col>
      <xdr:colOff>885190</xdr:colOff>
      <xdr:row>6302</xdr:row>
      <xdr:rowOff>1209040</xdr:rowOff>
    </xdr:to>
    <xdr:pic>
      <xdr:nvPicPr>
        <xdr:cNvPr id="10344" name="Изображение 10343" descr="resizeПП-00222869"/>
        <xdr:cNvPicPr>
          <a:picLocks noChangeAspect="1"/>
        </xdr:cNvPicPr>
      </xdr:nvPicPr>
      <xdr:blipFill>
        <a:blip xmlns:r="http://schemas.openxmlformats.org/officeDocument/2006/relationships" r:embed="rId4950"/>
        <a:stretch>
          <a:fillRect/>
        </a:stretch>
      </xdr:blipFill>
      <xdr:spPr>
        <a:xfrm>
          <a:off x="7235825" y="6463855500"/>
          <a:ext cx="878840" cy="1183640"/>
        </a:xfrm>
        <a:prstGeom prst="rect">
          <a:avLst/>
        </a:prstGeom>
      </xdr:spPr>
    </xdr:pic>
    <xdr:clientData/>
  </xdr:twoCellAnchor>
  <xdr:twoCellAnchor>
    <xdr:from>
      <xdr:col>9</xdr:col>
      <xdr:colOff>6350</xdr:colOff>
      <xdr:row>6303</xdr:row>
      <xdr:rowOff>25400</xdr:rowOff>
    </xdr:from>
    <xdr:to>
      <xdr:col>9</xdr:col>
      <xdr:colOff>885190</xdr:colOff>
      <xdr:row>6303</xdr:row>
      <xdr:rowOff>1209040</xdr:rowOff>
    </xdr:to>
    <xdr:pic>
      <xdr:nvPicPr>
        <xdr:cNvPr id="10345" name="Изображение 10344" descr="resizeПП-00222868"/>
        <xdr:cNvPicPr>
          <a:picLocks noChangeAspect="1"/>
        </xdr:cNvPicPr>
      </xdr:nvPicPr>
      <xdr:blipFill>
        <a:blip xmlns:r="http://schemas.openxmlformats.org/officeDocument/2006/relationships" r:embed="rId4951"/>
        <a:stretch>
          <a:fillRect/>
        </a:stretch>
      </xdr:blipFill>
      <xdr:spPr>
        <a:xfrm>
          <a:off x="7235825" y="6465077875"/>
          <a:ext cx="878840" cy="1183640"/>
        </a:xfrm>
        <a:prstGeom prst="rect">
          <a:avLst/>
        </a:prstGeom>
      </xdr:spPr>
    </xdr:pic>
    <xdr:clientData/>
  </xdr:twoCellAnchor>
  <xdr:twoCellAnchor>
    <xdr:from>
      <xdr:col>9</xdr:col>
      <xdr:colOff>6350</xdr:colOff>
      <xdr:row>6305</xdr:row>
      <xdr:rowOff>25400</xdr:rowOff>
    </xdr:from>
    <xdr:to>
      <xdr:col>9</xdr:col>
      <xdr:colOff>885190</xdr:colOff>
      <xdr:row>6305</xdr:row>
      <xdr:rowOff>1209040</xdr:rowOff>
    </xdr:to>
    <xdr:pic>
      <xdr:nvPicPr>
        <xdr:cNvPr id="10346" name="Изображение 10345" descr="resizeПП-00234775"/>
        <xdr:cNvPicPr>
          <a:picLocks noChangeAspect="1"/>
        </xdr:cNvPicPr>
      </xdr:nvPicPr>
      <xdr:blipFill>
        <a:blip xmlns:r="http://schemas.openxmlformats.org/officeDocument/2006/relationships" r:embed="rId4952"/>
        <a:stretch>
          <a:fillRect/>
        </a:stretch>
      </xdr:blipFill>
      <xdr:spPr>
        <a:xfrm>
          <a:off x="7235825" y="6466452650"/>
          <a:ext cx="878840" cy="1183640"/>
        </a:xfrm>
        <a:prstGeom prst="rect">
          <a:avLst/>
        </a:prstGeom>
      </xdr:spPr>
    </xdr:pic>
    <xdr:clientData/>
  </xdr:twoCellAnchor>
  <xdr:twoCellAnchor>
    <xdr:from>
      <xdr:col>9</xdr:col>
      <xdr:colOff>6350</xdr:colOff>
      <xdr:row>6306</xdr:row>
      <xdr:rowOff>25400</xdr:rowOff>
    </xdr:from>
    <xdr:to>
      <xdr:col>9</xdr:col>
      <xdr:colOff>885190</xdr:colOff>
      <xdr:row>6306</xdr:row>
      <xdr:rowOff>1209040</xdr:rowOff>
    </xdr:to>
    <xdr:pic>
      <xdr:nvPicPr>
        <xdr:cNvPr id="10347" name="Изображение 10346" descr="resizeПП-00234774"/>
        <xdr:cNvPicPr>
          <a:picLocks noChangeAspect="1"/>
        </xdr:cNvPicPr>
      </xdr:nvPicPr>
      <xdr:blipFill>
        <a:blip xmlns:r="http://schemas.openxmlformats.org/officeDocument/2006/relationships" r:embed="rId4953"/>
        <a:stretch>
          <a:fillRect/>
        </a:stretch>
      </xdr:blipFill>
      <xdr:spPr>
        <a:xfrm>
          <a:off x="7235825" y="6467675025"/>
          <a:ext cx="878840" cy="1183640"/>
        </a:xfrm>
        <a:prstGeom prst="rect">
          <a:avLst/>
        </a:prstGeom>
      </xdr:spPr>
    </xdr:pic>
    <xdr:clientData/>
  </xdr:twoCellAnchor>
  <xdr:twoCellAnchor>
    <xdr:from>
      <xdr:col>9</xdr:col>
      <xdr:colOff>6350</xdr:colOff>
      <xdr:row>6310</xdr:row>
      <xdr:rowOff>25400</xdr:rowOff>
    </xdr:from>
    <xdr:to>
      <xdr:col>9</xdr:col>
      <xdr:colOff>885190</xdr:colOff>
      <xdr:row>6310</xdr:row>
      <xdr:rowOff>1209040</xdr:rowOff>
    </xdr:to>
    <xdr:pic>
      <xdr:nvPicPr>
        <xdr:cNvPr id="10348" name="Изображение 10347" descr="resizeПП-00246314"/>
        <xdr:cNvPicPr>
          <a:picLocks noChangeAspect="1"/>
        </xdr:cNvPicPr>
      </xdr:nvPicPr>
      <xdr:blipFill>
        <a:blip xmlns:r="http://schemas.openxmlformats.org/officeDocument/2006/relationships" r:embed="rId4954"/>
        <a:stretch>
          <a:fillRect/>
        </a:stretch>
      </xdr:blipFill>
      <xdr:spPr>
        <a:xfrm>
          <a:off x="7235825" y="6469354600"/>
          <a:ext cx="878840" cy="1183640"/>
        </a:xfrm>
        <a:prstGeom prst="rect">
          <a:avLst/>
        </a:prstGeom>
      </xdr:spPr>
    </xdr:pic>
    <xdr:clientData/>
  </xdr:twoCellAnchor>
  <xdr:twoCellAnchor>
    <xdr:from>
      <xdr:col>9</xdr:col>
      <xdr:colOff>6350</xdr:colOff>
      <xdr:row>6311</xdr:row>
      <xdr:rowOff>25400</xdr:rowOff>
    </xdr:from>
    <xdr:to>
      <xdr:col>9</xdr:col>
      <xdr:colOff>885190</xdr:colOff>
      <xdr:row>6311</xdr:row>
      <xdr:rowOff>1209040</xdr:rowOff>
    </xdr:to>
    <xdr:pic>
      <xdr:nvPicPr>
        <xdr:cNvPr id="10349" name="Изображение 10348" descr="resizeПП-00246315"/>
        <xdr:cNvPicPr>
          <a:picLocks noChangeAspect="1"/>
        </xdr:cNvPicPr>
      </xdr:nvPicPr>
      <xdr:blipFill>
        <a:blip xmlns:r="http://schemas.openxmlformats.org/officeDocument/2006/relationships" r:embed="rId4955"/>
        <a:stretch>
          <a:fillRect/>
        </a:stretch>
      </xdr:blipFill>
      <xdr:spPr>
        <a:xfrm>
          <a:off x="7235825" y="6470576975"/>
          <a:ext cx="878840" cy="1183640"/>
        </a:xfrm>
        <a:prstGeom prst="rect">
          <a:avLst/>
        </a:prstGeom>
      </xdr:spPr>
    </xdr:pic>
    <xdr:clientData/>
  </xdr:twoCellAnchor>
  <xdr:twoCellAnchor>
    <xdr:from>
      <xdr:col>9</xdr:col>
      <xdr:colOff>6350</xdr:colOff>
      <xdr:row>6312</xdr:row>
      <xdr:rowOff>25400</xdr:rowOff>
    </xdr:from>
    <xdr:to>
      <xdr:col>9</xdr:col>
      <xdr:colOff>885190</xdr:colOff>
      <xdr:row>6312</xdr:row>
      <xdr:rowOff>1209040</xdr:rowOff>
    </xdr:to>
    <xdr:pic>
      <xdr:nvPicPr>
        <xdr:cNvPr id="10350" name="Изображение 10349" descr="resizeПП-00246316"/>
        <xdr:cNvPicPr>
          <a:picLocks noChangeAspect="1"/>
        </xdr:cNvPicPr>
      </xdr:nvPicPr>
      <xdr:blipFill>
        <a:blip xmlns:r="http://schemas.openxmlformats.org/officeDocument/2006/relationships" r:embed="rId4956"/>
        <a:stretch>
          <a:fillRect/>
        </a:stretch>
      </xdr:blipFill>
      <xdr:spPr>
        <a:xfrm>
          <a:off x="7235825" y="6471799350"/>
          <a:ext cx="878840" cy="1183640"/>
        </a:xfrm>
        <a:prstGeom prst="rect">
          <a:avLst/>
        </a:prstGeom>
      </xdr:spPr>
    </xdr:pic>
    <xdr:clientData/>
  </xdr:twoCellAnchor>
  <xdr:twoCellAnchor>
    <xdr:from>
      <xdr:col>9</xdr:col>
      <xdr:colOff>6350</xdr:colOff>
      <xdr:row>6313</xdr:row>
      <xdr:rowOff>25400</xdr:rowOff>
    </xdr:from>
    <xdr:to>
      <xdr:col>9</xdr:col>
      <xdr:colOff>885190</xdr:colOff>
      <xdr:row>6313</xdr:row>
      <xdr:rowOff>1209040</xdr:rowOff>
    </xdr:to>
    <xdr:pic>
      <xdr:nvPicPr>
        <xdr:cNvPr id="10351" name="Изображение 10350" descr="resizeПП-00227782"/>
        <xdr:cNvPicPr>
          <a:picLocks noChangeAspect="1"/>
        </xdr:cNvPicPr>
      </xdr:nvPicPr>
      <xdr:blipFill>
        <a:blip xmlns:r="http://schemas.openxmlformats.org/officeDocument/2006/relationships" r:embed="rId4957"/>
        <a:stretch>
          <a:fillRect/>
        </a:stretch>
      </xdr:blipFill>
      <xdr:spPr>
        <a:xfrm>
          <a:off x="7235825" y="6473021725"/>
          <a:ext cx="878840" cy="1183640"/>
        </a:xfrm>
        <a:prstGeom prst="rect">
          <a:avLst/>
        </a:prstGeom>
      </xdr:spPr>
    </xdr:pic>
    <xdr:clientData/>
  </xdr:twoCellAnchor>
  <xdr:twoCellAnchor>
    <xdr:from>
      <xdr:col>9</xdr:col>
      <xdr:colOff>6350</xdr:colOff>
      <xdr:row>6314</xdr:row>
      <xdr:rowOff>25400</xdr:rowOff>
    </xdr:from>
    <xdr:to>
      <xdr:col>9</xdr:col>
      <xdr:colOff>885190</xdr:colOff>
      <xdr:row>6314</xdr:row>
      <xdr:rowOff>1209040</xdr:rowOff>
    </xdr:to>
    <xdr:pic>
      <xdr:nvPicPr>
        <xdr:cNvPr id="10352" name="Изображение 10351" descr="resizeПП-00222863"/>
        <xdr:cNvPicPr>
          <a:picLocks noChangeAspect="1"/>
        </xdr:cNvPicPr>
      </xdr:nvPicPr>
      <xdr:blipFill>
        <a:blip xmlns:r="http://schemas.openxmlformats.org/officeDocument/2006/relationships" r:embed="rId4958"/>
        <a:stretch>
          <a:fillRect/>
        </a:stretch>
      </xdr:blipFill>
      <xdr:spPr>
        <a:xfrm>
          <a:off x="7235825" y="6474244100"/>
          <a:ext cx="878840" cy="1183640"/>
        </a:xfrm>
        <a:prstGeom prst="rect">
          <a:avLst/>
        </a:prstGeom>
      </xdr:spPr>
    </xdr:pic>
    <xdr:clientData/>
  </xdr:twoCellAnchor>
  <xdr:twoCellAnchor>
    <xdr:from>
      <xdr:col>9</xdr:col>
      <xdr:colOff>6350</xdr:colOff>
      <xdr:row>6315</xdr:row>
      <xdr:rowOff>25400</xdr:rowOff>
    </xdr:from>
    <xdr:to>
      <xdr:col>9</xdr:col>
      <xdr:colOff>885190</xdr:colOff>
      <xdr:row>6315</xdr:row>
      <xdr:rowOff>1209040</xdr:rowOff>
    </xdr:to>
    <xdr:pic>
      <xdr:nvPicPr>
        <xdr:cNvPr id="10353" name="Изображение 10352" descr="resizeПП-00222864"/>
        <xdr:cNvPicPr>
          <a:picLocks noChangeAspect="1"/>
        </xdr:cNvPicPr>
      </xdr:nvPicPr>
      <xdr:blipFill>
        <a:blip xmlns:r="http://schemas.openxmlformats.org/officeDocument/2006/relationships" r:embed="rId4959"/>
        <a:stretch>
          <a:fillRect/>
        </a:stretch>
      </xdr:blipFill>
      <xdr:spPr>
        <a:xfrm>
          <a:off x="7235825" y="6475466475"/>
          <a:ext cx="878840" cy="1183640"/>
        </a:xfrm>
        <a:prstGeom prst="rect">
          <a:avLst/>
        </a:prstGeom>
      </xdr:spPr>
    </xdr:pic>
    <xdr:clientData/>
  </xdr:twoCellAnchor>
  <xdr:twoCellAnchor>
    <xdr:from>
      <xdr:col>9</xdr:col>
      <xdr:colOff>6350</xdr:colOff>
      <xdr:row>6316</xdr:row>
      <xdr:rowOff>25400</xdr:rowOff>
    </xdr:from>
    <xdr:to>
      <xdr:col>9</xdr:col>
      <xdr:colOff>885190</xdr:colOff>
      <xdr:row>6316</xdr:row>
      <xdr:rowOff>1209040</xdr:rowOff>
    </xdr:to>
    <xdr:pic>
      <xdr:nvPicPr>
        <xdr:cNvPr id="10354" name="Изображение 10353" descr="resizeПП-00227783"/>
        <xdr:cNvPicPr>
          <a:picLocks noChangeAspect="1"/>
        </xdr:cNvPicPr>
      </xdr:nvPicPr>
      <xdr:blipFill>
        <a:blip xmlns:r="http://schemas.openxmlformats.org/officeDocument/2006/relationships" r:embed="rId4960"/>
        <a:stretch>
          <a:fillRect/>
        </a:stretch>
      </xdr:blipFill>
      <xdr:spPr>
        <a:xfrm>
          <a:off x="7235825" y="6476688850"/>
          <a:ext cx="878840" cy="1183640"/>
        </a:xfrm>
        <a:prstGeom prst="rect">
          <a:avLst/>
        </a:prstGeom>
      </xdr:spPr>
    </xdr:pic>
    <xdr:clientData/>
  </xdr:twoCellAnchor>
  <xdr:twoCellAnchor>
    <xdr:from>
      <xdr:col>9</xdr:col>
      <xdr:colOff>6350</xdr:colOff>
      <xdr:row>6317</xdr:row>
      <xdr:rowOff>25400</xdr:rowOff>
    </xdr:from>
    <xdr:to>
      <xdr:col>9</xdr:col>
      <xdr:colOff>885190</xdr:colOff>
      <xdr:row>6317</xdr:row>
      <xdr:rowOff>1209040</xdr:rowOff>
    </xdr:to>
    <xdr:pic>
      <xdr:nvPicPr>
        <xdr:cNvPr id="10355" name="Изображение 10354" descr="resizeПП-00246312"/>
        <xdr:cNvPicPr>
          <a:picLocks noChangeAspect="1"/>
        </xdr:cNvPicPr>
      </xdr:nvPicPr>
      <xdr:blipFill>
        <a:blip xmlns:r="http://schemas.openxmlformats.org/officeDocument/2006/relationships" r:embed="rId4961"/>
        <a:stretch>
          <a:fillRect/>
        </a:stretch>
      </xdr:blipFill>
      <xdr:spPr>
        <a:xfrm>
          <a:off x="7235825" y="6477911225"/>
          <a:ext cx="878840" cy="1183640"/>
        </a:xfrm>
        <a:prstGeom prst="rect">
          <a:avLst/>
        </a:prstGeom>
      </xdr:spPr>
    </xdr:pic>
    <xdr:clientData/>
  </xdr:twoCellAnchor>
  <xdr:twoCellAnchor>
    <xdr:from>
      <xdr:col>9</xdr:col>
      <xdr:colOff>6350</xdr:colOff>
      <xdr:row>6318</xdr:row>
      <xdr:rowOff>25400</xdr:rowOff>
    </xdr:from>
    <xdr:to>
      <xdr:col>9</xdr:col>
      <xdr:colOff>885190</xdr:colOff>
      <xdr:row>6318</xdr:row>
      <xdr:rowOff>1209040</xdr:rowOff>
    </xdr:to>
    <xdr:pic>
      <xdr:nvPicPr>
        <xdr:cNvPr id="10356" name="Изображение 10355" descr="resizeПП-00246308"/>
        <xdr:cNvPicPr>
          <a:picLocks noChangeAspect="1"/>
        </xdr:cNvPicPr>
      </xdr:nvPicPr>
      <xdr:blipFill>
        <a:blip xmlns:r="http://schemas.openxmlformats.org/officeDocument/2006/relationships" r:embed="rId4962"/>
        <a:stretch>
          <a:fillRect/>
        </a:stretch>
      </xdr:blipFill>
      <xdr:spPr>
        <a:xfrm>
          <a:off x="7235825" y="6479133600"/>
          <a:ext cx="878840" cy="1183640"/>
        </a:xfrm>
        <a:prstGeom prst="rect">
          <a:avLst/>
        </a:prstGeom>
      </xdr:spPr>
    </xdr:pic>
    <xdr:clientData/>
  </xdr:twoCellAnchor>
  <xdr:twoCellAnchor>
    <xdr:from>
      <xdr:col>9</xdr:col>
      <xdr:colOff>6350</xdr:colOff>
      <xdr:row>6319</xdr:row>
      <xdr:rowOff>25400</xdr:rowOff>
    </xdr:from>
    <xdr:to>
      <xdr:col>9</xdr:col>
      <xdr:colOff>885190</xdr:colOff>
      <xdr:row>6319</xdr:row>
      <xdr:rowOff>1209040</xdr:rowOff>
    </xdr:to>
    <xdr:pic>
      <xdr:nvPicPr>
        <xdr:cNvPr id="10357" name="Изображение 10356" descr="resizeПП-00246302"/>
        <xdr:cNvPicPr>
          <a:picLocks noChangeAspect="1"/>
        </xdr:cNvPicPr>
      </xdr:nvPicPr>
      <xdr:blipFill>
        <a:blip xmlns:r="http://schemas.openxmlformats.org/officeDocument/2006/relationships" r:embed="rId4963"/>
        <a:stretch>
          <a:fillRect/>
        </a:stretch>
      </xdr:blipFill>
      <xdr:spPr>
        <a:xfrm>
          <a:off x="7235825" y="6480355975"/>
          <a:ext cx="878840" cy="1183640"/>
        </a:xfrm>
        <a:prstGeom prst="rect">
          <a:avLst/>
        </a:prstGeom>
      </xdr:spPr>
    </xdr:pic>
    <xdr:clientData/>
  </xdr:twoCellAnchor>
  <xdr:twoCellAnchor>
    <xdr:from>
      <xdr:col>9</xdr:col>
      <xdr:colOff>6350</xdr:colOff>
      <xdr:row>6320</xdr:row>
      <xdr:rowOff>25400</xdr:rowOff>
    </xdr:from>
    <xdr:to>
      <xdr:col>9</xdr:col>
      <xdr:colOff>885190</xdr:colOff>
      <xdr:row>6320</xdr:row>
      <xdr:rowOff>1209040</xdr:rowOff>
    </xdr:to>
    <xdr:pic>
      <xdr:nvPicPr>
        <xdr:cNvPr id="10358" name="Изображение 10357" descr="resizeПП-00246295"/>
        <xdr:cNvPicPr>
          <a:picLocks noChangeAspect="1"/>
        </xdr:cNvPicPr>
      </xdr:nvPicPr>
      <xdr:blipFill>
        <a:blip xmlns:r="http://schemas.openxmlformats.org/officeDocument/2006/relationships" r:embed="rId4964"/>
        <a:stretch>
          <a:fillRect/>
        </a:stretch>
      </xdr:blipFill>
      <xdr:spPr>
        <a:xfrm>
          <a:off x="7235825" y="6481578350"/>
          <a:ext cx="878840" cy="1183640"/>
        </a:xfrm>
        <a:prstGeom prst="rect">
          <a:avLst/>
        </a:prstGeom>
      </xdr:spPr>
    </xdr:pic>
    <xdr:clientData/>
  </xdr:twoCellAnchor>
  <xdr:twoCellAnchor>
    <xdr:from>
      <xdr:col>9</xdr:col>
      <xdr:colOff>6350</xdr:colOff>
      <xdr:row>6321</xdr:row>
      <xdr:rowOff>25400</xdr:rowOff>
    </xdr:from>
    <xdr:to>
      <xdr:col>9</xdr:col>
      <xdr:colOff>885190</xdr:colOff>
      <xdr:row>6321</xdr:row>
      <xdr:rowOff>1209040</xdr:rowOff>
    </xdr:to>
    <xdr:pic>
      <xdr:nvPicPr>
        <xdr:cNvPr id="10359" name="Изображение 10358" descr="resizeПП-00246303"/>
        <xdr:cNvPicPr>
          <a:picLocks noChangeAspect="1"/>
        </xdr:cNvPicPr>
      </xdr:nvPicPr>
      <xdr:blipFill>
        <a:blip xmlns:r="http://schemas.openxmlformats.org/officeDocument/2006/relationships" r:embed="rId4965"/>
        <a:stretch>
          <a:fillRect/>
        </a:stretch>
      </xdr:blipFill>
      <xdr:spPr>
        <a:xfrm>
          <a:off x="7235825" y="6482800725"/>
          <a:ext cx="878840" cy="1183640"/>
        </a:xfrm>
        <a:prstGeom prst="rect">
          <a:avLst/>
        </a:prstGeom>
      </xdr:spPr>
    </xdr:pic>
    <xdr:clientData/>
  </xdr:twoCellAnchor>
  <xdr:twoCellAnchor>
    <xdr:from>
      <xdr:col>9</xdr:col>
      <xdr:colOff>6350</xdr:colOff>
      <xdr:row>6322</xdr:row>
      <xdr:rowOff>25400</xdr:rowOff>
    </xdr:from>
    <xdr:to>
      <xdr:col>9</xdr:col>
      <xdr:colOff>885190</xdr:colOff>
      <xdr:row>6322</xdr:row>
      <xdr:rowOff>1209040</xdr:rowOff>
    </xdr:to>
    <xdr:pic>
      <xdr:nvPicPr>
        <xdr:cNvPr id="10360" name="Изображение 10359" descr="resizeПП-00246292"/>
        <xdr:cNvPicPr>
          <a:picLocks noChangeAspect="1"/>
        </xdr:cNvPicPr>
      </xdr:nvPicPr>
      <xdr:blipFill>
        <a:blip xmlns:r="http://schemas.openxmlformats.org/officeDocument/2006/relationships" r:embed="rId4966"/>
        <a:stretch>
          <a:fillRect/>
        </a:stretch>
      </xdr:blipFill>
      <xdr:spPr>
        <a:xfrm>
          <a:off x="7235825" y="6484023100"/>
          <a:ext cx="878840" cy="1183640"/>
        </a:xfrm>
        <a:prstGeom prst="rect">
          <a:avLst/>
        </a:prstGeom>
      </xdr:spPr>
    </xdr:pic>
    <xdr:clientData/>
  </xdr:twoCellAnchor>
  <xdr:twoCellAnchor>
    <xdr:from>
      <xdr:col>9</xdr:col>
      <xdr:colOff>6350</xdr:colOff>
      <xdr:row>6323</xdr:row>
      <xdr:rowOff>25400</xdr:rowOff>
    </xdr:from>
    <xdr:to>
      <xdr:col>9</xdr:col>
      <xdr:colOff>885190</xdr:colOff>
      <xdr:row>6323</xdr:row>
      <xdr:rowOff>1209040</xdr:rowOff>
    </xdr:to>
    <xdr:pic>
      <xdr:nvPicPr>
        <xdr:cNvPr id="10361" name="Изображение 10360" descr="resizeПП-00246299"/>
        <xdr:cNvPicPr>
          <a:picLocks noChangeAspect="1"/>
        </xdr:cNvPicPr>
      </xdr:nvPicPr>
      <xdr:blipFill>
        <a:blip xmlns:r="http://schemas.openxmlformats.org/officeDocument/2006/relationships" r:embed="rId4967"/>
        <a:stretch>
          <a:fillRect/>
        </a:stretch>
      </xdr:blipFill>
      <xdr:spPr>
        <a:xfrm>
          <a:off x="7235825" y="6485245475"/>
          <a:ext cx="878840" cy="1183640"/>
        </a:xfrm>
        <a:prstGeom prst="rect">
          <a:avLst/>
        </a:prstGeom>
      </xdr:spPr>
    </xdr:pic>
    <xdr:clientData/>
  </xdr:twoCellAnchor>
  <xdr:twoCellAnchor>
    <xdr:from>
      <xdr:col>9</xdr:col>
      <xdr:colOff>6350</xdr:colOff>
      <xdr:row>6324</xdr:row>
      <xdr:rowOff>25400</xdr:rowOff>
    </xdr:from>
    <xdr:to>
      <xdr:col>9</xdr:col>
      <xdr:colOff>885190</xdr:colOff>
      <xdr:row>6324</xdr:row>
      <xdr:rowOff>1209040</xdr:rowOff>
    </xdr:to>
    <xdr:pic>
      <xdr:nvPicPr>
        <xdr:cNvPr id="10362" name="Изображение 10361" descr="resizeПП-00246301"/>
        <xdr:cNvPicPr>
          <a:picLocks noChangeAspect="1"/>
        </xdr:cNvPicPr>
      </xdr:nvPicPr>
      <xdr:blipFill>
        <a:blip xmlns:r="http://schemas.openxmlformats.org/officeDocument/2006/relationships" r:embed="rId4968"/>
        <a:stretch>
          <a:fillRect/>
        </a:stretch>
      </xdr:blipFill>
      <xdr:spPr>
        <a:xfrm>
          <a:off x="7235825" y="6486467850"/>
          <a:ext cx="878840" cy="1183640"/>
        </a:xfrm>
        <a:prstGeom prst="rect">
          <a:avLst/>
        </a:prstGeom>
      </xdr:spPr>
    </xdr:pic>
    <xdr:clientData/>
  </xdr:twoCellAnchor>
  <xdr:twoCellAnchor>
    <xdr:from>
      <xdr:col>9</xdr:col>
      <xdr:colOff>6350</xdr:colOff>
      <xdr:row>6325</xdr:row>
      <xdr:rowOff>25400</xdr:rowOff>
    </xdr:from>
    <xdr:to>
      <xdr:col>9</xdr:col>
      <xdr:colOff>885190</xdr:colOff>
      <xdr:row>6325</xdr:row>
      <xdr:rowOff>1209040</xdr:rowOff>
    </xdr:to>
    <xdr:pic>
      <xdr:nvPicPr>
        <xdr:cNvPr id="10363" name="Изображение 10362" descr="resizeПП-00246304"/>
        <xdr:cNvPicPr>
          <a:picLocks noChangeAspect="1"/>
        </xdr:cNvPicPr>
      </xdr:nvPicPr>
      <xdr:blipFill>
        <a:blip xmlns:r="http://schemas.openxmlformats.org/officeDocument/2006/relationships" r:embed="rId4969"/>
        <a:stretch>
          <a:fillRect/>
        </a:stretch>
      </xdr:blipFill>
      <xdr:spPr>
        <a:xfrm>
          <a:off x="7235825" y="6487690225"/>
          <a:ext cx="878840" cy="1183640"/>
        </a:xfrm>
        <a:prstGeom prst="rect">
          <a:avLst/>
        </a:prstGeom>
      </xdr:spPr>
    </xdr:pic>
    <xdr:clientData/>
  </xdr:twoCellAnchor>
  <xdr:twoCellAnchor>
    <xdr:from>
      <xdr:col>9</xdr:col>
      <xdr:colOff>6350</xdr:colOff>
      <xdr:row>6326</xdr:row>
      <xdr:rowOff>25400</xdr:rowOff>
    </xdr:from>
    <xdr:to>
      <xdr:col>9</xdr:col>
      <xdr:colOff>885190</xdr:colOff>
      <xdr:row>6326</xdr:row>
      <xdr:rowOff>1209040</xdr:rowOff>
    </xdr:to>
    <xdr:pic>
      <xdr:nvPicPr>
        <xdr:cNvPr id="10364" name="Изображение 10363" descr="resizeПП-00246306"/>
        <xdr:cNvPicPr>
          <a:picLocks noChangeAspect="1"/>
        </xdr:cNvPicPr>
      </xdr:nvPicPr>
      <xdr:blipFill>
        <a:blip xmlns:r="http://schemas.openxmlformats.org/officeDocument/2006/relationships" r:embed="rId4970"/>
        <a:stretch>
          <a:fillRect/>
        </a:stretch>
      </xdr:blipFill>
      <xdr:spPr>
        <a:xfrm>
          <a:off x="7235825" y="6488912600"/>
          <a:ext cx="878840" cy="1183640"/>
        </a:xfrm>
        <a:prstGeom prst="rect">
          <a:avLst/>
        </a:prstGeom>
      </xdr:spPr>
    </xdr:pic>
    <xdr:clientData/>
  </xdr:twoCellAnchor>
  <xdr:twoCellAnchor>
    <xdr:from>
      <xdr:col>9</xdr:col>
      <xdr:colOff>6350</xdr:colOff>
      <xdr:row>6327</xdr:row>
      <xdr:rowOff>25400</xdr:rowOff>
    </xdr:from>
    <xdr:to>
      <xdr:col>9</xdr:col>
      <xdr:colOff>885190</xdr:colOff>
      <xdr:row>6327</xdr:row>
      <xdr:rowOff>1209040</xdr:rowOff>
    </xdr:to>
    <xdr:pic>
      <xdr:nvPicPr>
        <xdr:cNvPr id="10365" name="Изображение 10364" descr="resizeПП-00246307"/>
        <xdr:cNvPicPr>
          <a:picLocks noChangeAspect="1"/>
        </xdr:cNvPicPr>
      </xdr:nvPicPr>
      <xdr:blipFill>
        <a:blip xmlns:r="http://schemas.openxmlformats.org/officeDocument/2006/relationships" r:embed="rId4971"/>
        <a:stretch>
          <a:fillRect/>
        </a:stretch>
      </xdr:blipFill>
      <xdr:spPr>
        <a:xfrm>
          <a:off x="7235825" y="6490134975"/>
          <a:ext cx="878840" cy="1183640"/>
        </a:xfrm>
        <a:prstGeom prst="rect">
          <a:avLst/>
        </a:prstGeom>
      </xdr:spPr>
    </xdr:pic>
    <xdr:clientData/>
  </xdr:twoCellAnchor>
  <xdr:twoCellAnchor>
    <xdr:from>
      <xdr:col>9</xdr:col>
      <xdr:colOff>6350</xdr:colOff>
      <xdr:row>6328</xdr:row>
      <xdr:rowOff>25400</xdr:rowOff>
    </xdr:from>
    <xdr:to>
      <xdr:col>9</xdr:col>
      <xdr:colOff>885190</xdr:colOff>
      <xdr:row>6328</xdr:row>
      <xdr:rowOff>1209040</xdr:rowOff>
    </xdr:to>
    <xdr:pic>
      <xdr:nvPicPr>
        <xdr:cNvPr id="10366" name="Изображение 10365" descr="resizeПП-00222861"/>
        <xdr:cNvPicPr>
          <a:picLocks noChangeAspect="1"/>
        </xdr:cNvPicPr>
      </xdr:nvPicPr>
      <xdr:blipFill>
        <a:blip xmlns:r="http://schemas.openxmlformats.org/officeDocument/2006/relationships" r:embed="rId4972"/>
        <a:stretch>
          <a:fillRect/>
        </a:stretch>
      </xdr:blipFill>
      <xdr:spPr>
        <a:xfrm>
          <a:off x="7235825" y="6491357350"/>
          <a:ext cx="878840" cy="1183640"/>
        </a:xfrm>
        <a:prstGeom prst="rect">
          <a:avLst/>
        </a:prstGeom>
      </xdr:spPr>
    </xdr:pic>
    <xdr:clientData/>
  </xdr:twoCellAnchor>
  <xdr:twoCellAnchor>
    <xdr:from>
      <xdr:col>9</xdr:col>
      <xdr:colOff>6350</xdr:colOff>
      <xdr:row>6329</xdr:row>
      <xdr:rowOff>25400</xdr:rowOff>
    </xdr:from>
    <xdr:to>
      <xdr:col>9</xdr:col>
      <xdr:colOff>885190</xdr:colOff>
      <xdr:row>6329</xdr:row>
      <xdr:rowOff>1209040</xdr:rowOff>
    </xdr:to>
    <xdr:pic>
      <xdr:nvPicPr>
        <xdr:cNvPr id="10367" name="Изображение 10366" descr="resizeПП-00222862"/>
        <xdr:cNvPicPr>
          <a:picLocks noChangeAspect="1"/>
        </xdr:cNvPicPr>
      </xdr:nvPicPr>
      <xdr:blipFill>
        <a:blip xmlns:r="http://schemas.openxmlformats.org/officeDocument/2006/relationships" r:embed="rId4973"/>
        <a:stretch>
          <a:fillRect/>
        </a:stretch>
      </xdr:blipFill>
      <xdr:spPr>
        <a:xfrm>
          <a:off x="7235825" y="6492579725"/>
          <a:ext cx="878840" cy="1183640"/>
        </a:xfrm>
        <a:prstGeom prst="rect">
          <a:avLst/>
        </a:prstGeom>
      </xdr:spPr>
    </xdr:pic>
    <xdr:clientData/>
  </xdr:twoCellAnchor>
  <xdr:twoCellAnchor>
    <xdr:from>
      <xdr:col>9</xdr:col>
      <xdr:colOff>6350</xdr:colOff>
      <xdr:row>6330</xdr:row>
      <xdr:rowOff>25400</xdr:rowOff>
    </xdr:from>
    <xdr:to>
      <xdr:col>9</xdr:col>
      <xdr:colOff>885190</xdr:colOff>
      <xdr:row>6330</xdr:row>
      <xdr:rowOff>1209040</xdr:rowOff>
    </xdr:to>
    <xdr:pic>
      <xdr:nvPicPr>
        <xdr:cNvPr id="10368" name="Изображение 10367" descr="resizeПП-00222859"/>
        <xdr:cNvPicPr>
          <a:picLocks noChangeAspect="1"/>
        </xdr:cNvPicPr>
      </xdr:nvPicPr>
      <xdr:blipFill>
        <a:blip xmlns:r="http://schemas.openxmlformats.org/officeDocument/2006/relationships" r:embed="rId4974"/>
        <a:stretch>
          <a:fillRect/>
        </a:stretch>
      </xdr:blipFill>
      <xdr:spPr>
        <a:xfrm>
          <a:off x="7235825" y="6493802100"/>
          <a:ext cx="878840" cy="1183640"/>
        </a:xfrm>
        <a:prstGeom prst="rect">
          <a:avLst/>
        </a:prstGeom>
      </xdr:spPr>
    </xdr:pic>
    <xdr:clientData/>
  </xdr:twoCellAnchor>
  <xdr:twoCellAnchor>
    <xdr:from>
      <xdr:col>9</xdr:col>
      <xdr:colOff>6350</xdr:colOff>
      <xdr:row>6331</xdr:row>
      <xdr:rowOff>25400</xdr:rowOff>
    </xdr:from>
    <xdr:to>
      <xdr:col>9</xdr:col>
      <xdr:colOff>885190</xdr:colOff>
      <xdr:row>6331</xdr:row>
      <xdr:rowOff>1209040</xdr:rowOff>
    </xdr:to>
    <xdr:pic>
      <xdr:nvPicPr>
        <xdr:cNvPr id="10369" name="Изображение 10368" descr="resizeПП-00222860"/>
        <xdr:cNvPicPr>
          <a:picLocks noChangeAspect="1"/>
        </xdr:cNvPicPr>
      </xdr:nvPicPr>
      <xdr:blipFill>
        <a:blip xmlns:r="http://schemas.openxmlformats.org/officeDocument/2006/relationships" r:embed="rId4975"/>
        <a:stretch>
          <a:fillRect/>
        </a:stretch>
      </xdr:blipFill>
      <xdr:spPr>
        <a:xfrm>
          <a:off x="7235825" y="6495024475"/>
          <a:ext cx="878840" cy="1183640"/>
        </a:xfrm>
        <a:prstGeom prst="rect">
          <a:avLst/>
        </a:prstGeom>
      </xdr:spPr>
    </xdr:pic>
    <xdr:clientData/>
  </xdr:twoCellAnchor>
  <xdr:twoCellAnchor>
    <xdr:from>
      <xdr:col>9</xdr:col>
      <xdr:colOff>6350</xdr:colOff>
      <xdr:row>6333</xdr:row>
      <xdr:rowOff>25400</xdr:rowOff>
    </xdr:from>
    <xdr:to>
      <xdr:col>9</xdr:col>
      <xdr:colOff>885190</xdr:colOff>
      <xdr:row>6333</xdr:row>
      <xdr:rowOff>1209040</xdr:rowOff>
    </xdr:to>
    <xdr:pic>
      <xdr:nvPicPr>
        <xdr:cNvPr id="10370" name="Изображение 10369" descr="resizeПП-00246335"/>
        <xdr:cNvPicPr>
          <a:picLocks noChangeAspect="1"/>
        </xdr:cNvPicPr>
      </xdr:nvPicPr>
      <xdr:blipFill>
        <a:blip xmlns:r="http://schemas.openxmlformats.org/officeDocument/2006/relationships" r:embed="rId4976"/>
        <a:stretch>
          <a:fillRect/>
        </a:stretch>
      </xdr:blipFill>
      <xdr:spPr>
        <a:xfrm>
          <a:off x="7235825" y="6496399250"/>
          <a:ext cx="878840" cy="1183640"/>
        </a:xfrm>
        <a:prstGeom prst="rect">
          <a:avLst/>
        </a:prstGeom>
      </xdr:spPr>
    </xdr:pic>
    <xdr:clientData/>
  </xdr:twoCellAnchor>
  <xdr:twoCellAnchor>
    <xdr:from>
      <xdr:col>9</xdr:col>
      <xdr:colOff>6350</xdr:colOff>
      <xdr:row>6334</xdr:row>
      <xdr:rowOff>25400</xdr:rowOff>
    </xdr:from>
    <xdr:to>
      <xdr:col>9</xdr:col>
      <xdr:colOff>885190</xdr:colOff>
      <xdr:row>6334</xdr:row>
      <xdr:rowOff>1209040</xdr:rowOff>
    </xdr:to>
    <xdr:pic>
      <xdr:nvPicPr>
        <xdr:cNvPr id="10371" name="Изображение 10370" descr="resizeПП-00246331"/>
        <xdr:cNvPicPr>
          <a:picLocks noChangeAspect="1"/>
        </xdr:cNvPicPr>
      </xdr:nvPicPr>
      <xdr:blipFill>
        <a:blip xmlns:r="http://schemas.openxmlformats.org/officeDocument/2006/relationships" r:embed="rId4977"/>
        <a:stretch>
          <a:fillRect/>
        </a:stretch>
      </xdr:blipFill>
      <xdr:spPr>
        <a:xfrm>
          <a:off x="7235825" y="6497621625"/>
          <a:ext cx="878840" cy="1183640"/>
        </a:xfrm>
        <a:prstGeom prst="rect">
          <a:avLst/>
        </a:prstGeom>
      </xdr:spPr>
    </xdr:pic>
    <xdr:clientData/>
  </xdr:twoCellAnchor>
  <xdr:twoCellAnchor>
    <xdr:from>
      <xdr:col>9</xdr:col>
      <xdr:colOff>6350</xdr:colOff>
      <xdr:row>6335</xdr:row>
      <xdr:rowOff>25400</xdr:rowOff>
    </xdr:from>
    <xdr:to>
      <xdr:col>9</xdr:col>
      <xdr:colOff>885190</xdr:colOff>
      <xdr:row>6335</xdr:row>
      <xdr:rowOff>1209040</xdr:rowOff>
    </xdr:to>
    <xdr:pic>
      <xdr:nvPicPr>
        <xdr:cNvPr id="10372" name="Изображение 10371" descr="resizeПП-00246334"/>
        <xdr:cNvPicPr>
          <a:picLocks noChangeAspect="1"/>
        </xdr:cNvPicPr>
      </xdr:nvPicPr>
      <xdr:blipFill>
        <a:blip xmlns:r="http://schemas.openxmlformats.org/officeDocument/2006/relationships" r:embed="rId4978"/>
        <a:stretch>
          <a:fillRect/>
        </a:stretch>
      </xdr:blipFill>
      <xdr:spPr>
        <a:xfrm>
          <a:off x="7235825" y="6498844000"/>
          <a:ext cx="878840" cy="1183640"/>
        </a:xfrm>
        <a:prstGeom prst="rect">
          <a:avLst/>
        </a:prstGeom>
      </xdr:spPr>
    </xdr:pic>
    <xdr:clientData/>
  </xdr:twoCellAnchor>
  <xdr:twoCellAnchor>
    <xdr:from>
      <xdr:col>9</xdr:col>
      <xdr:colOff>6350</xdr:colOff>
      <xdr:row>6336</xdr:row>
      <xdr:rowOff>25400</xdr:rowOff>
    </xdr:from>
    <xdr:to>
      <xdr:col>9</xdr:col>
      <xdr:colOff>885190</xdr:colOff>
      <xdr:row>6336</xdr:row>
      <xdr:rowOff>1209040</xdr:rowOff>
    </xdr:to>
    <xdr:pic>
      <xdr:nvPicPr>
        <xdr:cNvPr id="10373" name="Изображение 10372" descr="resizeПП-00246332"/>
        <xdr:cNvPicPr>
          <a:picLocks noChangeAspect="1"/>
        </xdr:cNvPicPr>
      </xdr:nvPicPr>
      <xdr:blipFill>
        <a:blip xmlns:r="http://schemas.openxmlformats.org/officeDocument/2006/relationships" r:embed="rId4977"/>
        <a:stretch>
          <a:fillRect/>
        </a:stretch>
      </xdr:blipFill>
      <xdr:spPr>
        <a:xfrm>
          <a:off x="7235825" y="6500066375"/>
          <a:ext cx="878840" cy="1183640"/>
        </a:xfrm>
        <a:prstGeom prst="rect">
          <a:avLst/>
        </a:prstGeom>
      </xdr:spPr>
    </xdr:pic>
    <xdr:clientData/>
  </xdr:twoCellAnchor>
  <xdr:twoCellAnchor>
    <xdr:from>
      <xdr:col>9</xdr:col>
      <xdr:colOff>6350</xdr:colOff>
      <xdr:row>6337</xdr:row>
      <xdr:rowOff>25400</xdr:rowOff>
    </xdr:from>
    <xdr:to>
      <xdr:col>9</xdr:col>
      <xdr:colOff>885190</xdr:colOff>
      <xdr:row>6337</xdr:row>
      <xdr:rowOff>1209040</xdr:rowOff>
    </xdr:to>
    <xdr:pic>
      <xdr:nvPicPr>
        <xdr:cNvPr id="10374" name="Изображение 10373" descr="resizeПП-00246326"/>
        <xdr:cNvPicPr>
          <a:picLocks noChangeAspect="1"/>
        </xdr:cNvPicPr>
      </xdr:nvPicPr>
      <xdr:blipFill>
        <a:blip xmlns:r="http://schemas.openxmlformats.org/officeDocument/2006/relationships" r:embed="rId4979"/>
        <a:stretch>
          <a:fillRect/>
        </a:stretch>
      </xdr:blipFill>
      <xdr:spPr>
        <a:xfrm>
          <a:off x="7235825" y="6501288750"/>
          <a:ext cx="878840" cy="1183640"/>
        </a:xfrm>
        <a:prstGeom prst="rect">
          <a:avLst/>
        </a:prstGeom>
      </xdr:spPr>
    </xdr:pic>
    <xdr:clientData/>
  </xdr:twoCellAnchor>
  <xdr:twoCellAnchor>
    <xdr:from>
      <xdr:col>9</xdr:col>
      <xdr:colOff>6350</xdr:colOff>
      <xdr:row>6339</xdr:row>
      <xdr:rowOff>25400</xdr:rowOff>
    </xdr:from>
    <xdr:to>
      <xdr:col>9</xdr:col>
      <xdr:colOff>885190</xdr:colOff>
      <xdr:row>6339</xdr:row>
      <xdr:rowOff>1209040</xdr:rowOff>
    </xdr:to>
    <xdr:pic>
      <xdr:nvPicPr>
        <xdr:cNvPr id="10375" name="Изображение 10374" descr="resizeПП-00246329"/>
        <xdr:cNvPicPr>
          <a:picLocks noChangeAspect="1"/>
        </xdr:cNvPicPr>
      </xdr:nvPicPr>
      <xdr:blipFill>
        <a:blip xmlns:r="http://schemas.openxmlformats.org/officeDocument/2006/relationships" r:embed="rId4980"/>
        <a:stretch>
          <a:fillRect/>
        </a:stretch>
      </xdr:blipFill>
      <xdr:spPr>
        <a:xfrm>
          <a:off x="7235825" y="6502663525"/>
          <a:ext cx="878840" cy="1183640"/>
        </a:xfrm>
        <a:prstGeom prst="rect">
          <a:avLst/>
        </a:prstGeom>
      </xdr:spPr>
    </xdr:pic>
    <xdr:clientData/>
  </xdr:twoCellAnchor>
  <xdr:twoCellAnchor>
    <xdr:from>
      <xdr:col>9</xdr:col>
      <xdr:colOff>6350</xdr:colOff>
      <xdr:row>6340</xdr:row>
      <xdr:rowOff>25400</xdr:rowOff>
    </xdr:from>
    <xdr:to>
      <xdr:col>9</xdr:col>
      <xdr:colOff>885190</xdr:colOff>
      <xdr:row>6340</xdr:row>
      <xdr:rowOff>1209040</xdr:rowOff>
    </xdr:to>
    <xdr:pic>
      <xdr:nvPicPr>
        <xdr:cNvPr id="10376" name="Изображение 10375" descr="resizeПП-00246330"/>
        <xdr:cNvPicPr>
          <a:picLocks noChangeAspect="1"/>
        </xdr:cNvPicPr>
      </xdr:nvPicPr>
      <xdr:blipFill>
        <a:blip xmlns:r="http://schemas.openxmlformats.org/officeDocument/2006/relationships" r:embed="rId4981"/>
        <a:stretch>
          <a:fillRect/>
        </a:stretch>
      </xdr:blipFill>
      <xdr:spPr>
        <a:xfrm>
          <a:off x="7235825" y="6503885900"/>
          <a:ext cx="878840" cy="1183640"/>
        </a:xfrm>
        <a:prstGeom prst="rect">
          <a:avLst/>
        </a:prstGeom>
      </xdr:spPr>
    </xdr:pic>
    <xdr:clientData/>
  </xdr:twoCellAnchor>
  <xdr:twoCellAnchor>
    <xdr:from>
      <xdr:col>9</xdr:col>
      <xdr:colOff>6350</xdr:colOff>
      <xdr:row>6342</xdr:row>
      <xdr:rowOff>25400</xdr:rowOff>
    </xdr:from>
    <xdr:to>
      <xdr:col>9</xdr:col>
      <xdr:colOff>885190</xdr:colOff>
      <xdr:row>6342</xdr:row>
      <xdr:rowOff>1209040</xdr:rowOff>
    </xdr:to>
    <xdr:pic>
      <xdr:nvPicPr>
        <xdr:cNvPr id="10377" name="Изображение 10376" descr="resizeПП-00240458"/>
        <xdr:cNvPicPr>
          <a:picLocks noChangeAspect="1"/>
        </xdr:cNvPicPr>
      </xdr:nvPicPr>
      <xdr:blipFill>
        <a:blip xmlns:r="http://schemas.openxmlformats.org/officeDocument/2006/relationships" r:embed="rId4982"/>
        <a:stretch>
          <a:fillRect/>
        </a:stretch>
      </xdr:blipFill>
      <xdr:spPr>
        <a:xfrm>
          <a:off x="7235825" y="6505260675"/>
          <a:ext cx="878840" cy="1183640"/>
        </a:xfrm>
        <a:prstGeom prst="rect">
          <a:avLst/>
        </a:prstGeom>
      </xdr:spPr>
    </xdr:pic>
    <xdr:clientData/>
  </xdr:twoCellAnchor>
  <xdr:twoCellAnchor>
    <xdr:from>
      <xdr:col>9</xdr:col>
      <xdr:colOff>6350</xdr:colOff>
      <xdr:row>6343</xdr:row>
      <xdr:rowOff>25400</xdr:rowOff>
    </xdr:from>
    <xdr:to>
      <xdr:col>9</xdr:col>
      <xdr:colOff>885190</xdr:colOff>
      <xdr:row>6343</xdr:row>
      <xdr:rowOff>1209040</xdr:rowOff>
    </xdr:to>
    <xdr:pic>
      <xdr:nvPicPr>
        <xdr:cNvPr id="10378" name="Изображение 10377" descr="resizeПП-00217481"/>
        <xdr:cNvPicPr>
          <a:picLocks noChangeAspect="1"/>
        </xdr:cNvPicPr>
      </xdr:nvPicPr>
      <xdr:blipFill>
        <a:blip xmlns:r="http://schemas.openxmlformats.org/officeDocument/2006/relationships" r:embed="rId4983"/>
        <a:stretch>
          <a:fillRect/>
        </a:stretch>
      </xdr:blipFill>
      <xdr:spPr>
        <a:xfrm>
          <a:off x="7235825" y="6506483050"/>
          <a:ext cx="878840" cy="1183640"/>
        </a:xfrm>
        <a:prstGeom prst="rect">
          <a:avLst/>
        </a:prstGeom>
      </xdr:spPr>
    </xdr:pic>
    <xdr:clientData/>
  </xdr:twoCellAnchor>
  <xdr:twoCellAnchor>
    <xdr:from>
      <xdr:col>9</xdr:col>
      <xdr:colOff>6350</xdr:colOff>
      <xdr:row>6344</xdr:row>
      <xdr:rowOff>25400</xdr:rowOff>
    </xdr:from>
    <xdr:to>
      <xdr:col>9</xdr:col>
      <xdr:colOff>885190</xdr:colOff>
      <xdr:row>6344</xdr:row>
      <xdr:rowOff>1209040</xdr:rowOff>
    </xdr:to>
    <xdr:pic>
      <xdr:nvPicPr>
        <xdr:cNvPr id="10379" name="Изображение 10378" descr="resizeПП-00239903"/>
        <xdr:cNvPicPr>
          <a:picLocks noChangeAspect="1"/>
        </xdr:cNvPicPr>
      </xdr:nvPicPr>
      <xdr:blipFill>
        <a:blip xmlns:r="http://schemas.openxmlformats.org/officeDocument/2006/relationships" r:embed="rId4984"/>
        <a:stretch>
          <a:fillRect/>
        </a:stretch>
      </xdr:blipFill>
      <xdr:spPr>
        <a:xfrm>
          <a:off x="7235825" y="6507705425"/>
          <a:ext cx="878840" cy="1183640"/>
        </a:xfrm>
        <a:prstGeom prst="rect">
          <a:avLst/>
        </a:prstGeom>
      </xdr:spPr>
    </xdr:pic>
    <xdr:clientData/>
  </xdr:twoCellAnchor>
  <xdr:twoCellAnchor>
    <xdr:from>
      <xdr:col>9</xdr:col>
      <xdr:colOff>6350</xdr:colOff>
      <xdr:row>6345</xdr:row>
      <xdr:rowOff>25400</xdr:rowOff>
    </xdr:from>
    <xdr:to>
      <xdr:col>9</xdr:col>
      <xdr:colOff>885190</xdr:colOff>
      <xdr:row>6345</xdr:row>
      <xdr:rowOff>1209040</xdr:rowOff>
    </xdr:to>
    <xdr:pic>
      <xdr:nvPicPr>
        <xdr:cNvPr id="10380" name="Изображение 10379" descr="resizeПП-00239902"/>
        <xdr:cNvPicPr>
          <a:picLocks noChangeAspect="1"/>
        </xdr:cNvPicPr>
      </xdr:nvPicPr>
      <xdr:blipFill>
        <a:blip xmlns:r="http://schemas.openxmlformats.org/officeDocument/2006/relationships" r:embed="rId4985"/>
        <a:stretch>
          <a:fillRect/>
        </a:stretch>
      </xdr:blipFill>
      <xdr:spPr>
        <a:xfrm>
          <a:off x="7235825" y="6508927800"/>
          <a:ext cx="878840" cy="1183640"/>
        </a:xfrm>
        <a:prstGeom prst="rect">
          <a:avLst/>
        </a:prstGeom>
      </xdr:spPr>
    </xdr:pic>
    <xdr:clientData/>
  </xdr:twoCellAnchor>
  <xdr:twoCellAnchor>
    <xdr:from>
      <xdr:col>9</xdr:col>
      <xdr:colOff>6350</xdr:colOff>
      <xdr:row>6347</xdr:row>
      <xdr:rowOff>25400</xdr:rowOff>
    </xdr:from>
    <xdr:to>
      <xdr:col>9</xdr:col>
      <xdr:colOff>885190</xdr:colOff>
      <xdr:row>6347</xdr:row>
      <xdr:rowOff>1209040</xdr:rowOff>
    </xdr:to>
    <xdr:pic>
      <xdr:nvPicPr>
        <xdr:cNvPr id="10381" name="Изображение 10380" descr="resizeПП-00226181"/>
        <xdr:cNvPicPr>
          <a:picLocks noChangeAspect="1"/>
        </xdr:cNvPicPr>
      </xdr:nvPicPr>
      <xdr:blipFill>
        <a:blip xmlns:r="http://schemas.openxmlformats.org/officeDocument/2006/relationships" r:embed="rId4986"/>
        <a:stretch>
          <a:fillRect/>
        </a:stretch>
      </xdr:blipFill>
      <xdr:spPr>
        <a:xfrm>
          <a:off x="7235825" y="6510302575"/>
          <a:ext cx="878840" cy="1183640"/>
        </a:xfrm>
        <a:prstGeom prst="rect">
          <a:avLst/>
        </a:prstGeom>
      </xdr:spPr>
    </xdr:pic>
    <xdr:clientData/>
  </xdr:twoCellAnchor>
  <xdr:twoCellAnchor>
    <xdr:from>
      <xdr:col>9</xdr:col>
      <xdr:colOff>6350</xdr:colOff>
      <xdr:row>6349</xdr:row>
      <xdr:rowOff>25400</xdr:rowOff>
    </xdr:from>
    <xdr:to>
      <xdr:col>9</xdr:col>
      <xdr:colOff>885190</xdr:colOff>
      <xdr:row>6349</xdr:row>
      <xdr:rowOff>1209040</xdr:rowOff>
    </xdr:to>
    <xdr:pic>
      <xdr:nvPicPr>
        <xdr:cNvPr id="10382" name="Изображение 10381" descr="resizeПП-00218905"/>
        <xdr:cNvPicPr>
          <a:picLocks noChangeAspect="1"/>
        </xdr:cNvPicPr>
      </xdr:nvPicPr>
      <xdr:blipFill>
        <a:blip xmlns:r="http://schemas.openxmlformats.org/officeDocument/2006/relationships" r:embed="rId4987"/>
        <a:stretch>
          <a:fillRect/>
        </a:stretch>
      </xdr:blipFill>
      <xdr:spPr>
        <a:xfrm>
          <a:off x="7235825" y="6511677350"/>
          <a:ext cx="878840" cy="118364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E6350"/>
  <sheetViews>
    <sheetView tabSelected="1" workbookViewId="0">
      <selection activeCell="AF1" sqref="AF1:AF1048576"/>
    </sheetView>
  </sheetViews>
  <sheetFormatPr defaultColWidth="10.42578125" defaultRowHeight="11.4" customHeight="1" outlineLevelRow="7"/>
  <cols>
    <col min="1" max="1" width="5.42578125" style="1" customWidth="1"/>
    <col min="2" max="2" width="7.85546875" style="1" customWidth="1"/>
    <col min="3" max="3" width="12.140625" style="1" customWidth="1"/>
    <col min="4" max="7" width="17.42578125" style="1" customWidth="1"/>
    <col min="8" max="8" width="15.140625" style="1" customWidth="1"/>
    <col min="9" max="9" width="15.85546875" style="2" customWidth="1"/>
    <col min="10" max="10" width="21.28515625" style="1" customWidth="1"/>
    <col min="11" max="11" width="16.42578125" style="1" customWidth="1"/>
    <col min="12" max="12" width="14.28515625" style="3" customWidth="1"/>
    <col min="13" max="13" width="11.7109375" style="1" customWidth="1"/>
    <col min="14" max="14" width="13.7109375" style="1" customWidth="1"/>
    <col min="15" max="17" width="10.42578125" style="1" customWidth="1"/>
    <col min="18" max="18" width="19.85546875" style="1" customWidth="1"/>
    <col min="19" max="19" width="14.7109375" style="1" customWidth="1"/>
    <col min="20" max="30" width="13.42578125" style="1" customWidth="1"/>
    <col min="31" max="31" width="22.28515625" style="1" customWidth="1"/>
    <col min="32" max="16384" width="10.42578125" style="4"/>
  </cols>
  <sheetData>
    <row r="1" spans="2:31" ht="10.95" customHeight="1"/>
    <row r="2" spans="2:31" ht="25.05" customHeight="1">
      <c r="F2" s="5" t="s">
        <v>0</v>
      </c>
    </row>
    <row r="3" spans="2:31" ht="46.05" customHeight="1">
      <c r="B3" s="64" t="s">
        <v>1</v>
      </c>
      <c r="C3" s="64"/>
      <c r="D3" s="65" t="s">
        <v>2</v>
      </c>
      <c r="E3" s="65"/>
      <c r="F3" s="65"/>
      <c r="G3" s="65"/>
      <c r="M3" s="66"/>
      <c r="N3" s="66"/>
      <c r="O3" s="4"/>
    </row>
    <row r="4" spans="2:31" ht="10.95" customHeight="1">
      <c r="N4" s="1">
        <f>SUM(N7:N6350)</f>
        <v>0</v>
      </c>
      <c r="O4" s="1">
        <f>SUM(O7:O6350)</f>
        <v>0</v>
      </c>
      <c r="P4" s="1">
        <f>SUM(P7:P6350)</f>
        <v>0</v>
      </c>
    </row>
    <row r="5" spans="2:31" s="1" customFormat="1" ht="21" customHeight="1">
      <c r="B5" s="75" t="s">
        <v>3</v>
      </c>
      <c r="C5" s="77" t="s">
        <v>4</v>
      </c>
      <c r="D5" s="77" t="s">
        <v>5</v>
      </c>
      <c r="E5" s="77"/>
      <c r="F5" s="77"/>
      <c r="G5" s="77"/>
      <c r="H5" s="77" t="s">
        <v>6</v>
      </c>
      <c r="I5" s="79" t="s">
        <v>7</v>
      </c>
      <c r="J5" s="77" t="s">
        <v>8</v>
      </c>
      <c r="K5" s="81" t="s">
        <v>9</v>
      </c>
      <c r="L5" s="83" t="s">
        <v>10</v>
      </c>
      <c r="M5" s="77" t="s">
        <v>11</v>
      </c>
      <c r="N5" s="77" t="s">
        <v>12</v>
      </c>
      <c r="O5" s="77" t="s">
        <v>13</v>
      </c>
      <c r="P5" s="77" t="s">
        <v>14</v>
      </c>
      <c r="Q5" s="77" t="s">
        <v>15</v>
      </c>
      <c r="R5" s="77" t="s">
        <v>16</v>
      </c>
      <c r="S5" s="85" t="s">
        <v>17</v>
      </c>
      <c r="T5" s="85" t="s">
        <v>18</v>
      </c>
      <c r="U5" s="85" t="s">
        <v>19</v>
      </c>
      <c r="V5" s="85" t="s">
        <v>20</v>
      </c>
      <c r="W5" s="85" t="s">
        <v>21</v>
      </c>
      <c r="X5" s="85" t="s">
        <v>22</v>
      </c>
      <c r="Y5" s="85" t="s">
        <v>23</v>
      </c>
      <c r="Z5" s="85" t="s">
        <v>24</v>
      </c>
      <c r="AA5" s="85" t="s">
        <v>25</v>
      </c>
      <c r="AB5" s="85" t="s">
        <v>26</v>
      </c>
      <c r="AC5" s="85" t="s">
        <v>27</v>
      </c>
      <c r="AD5" s="85" t="s">
        <v>28</v>
      </c>
      <c r="AE5" s="88" t="s">
        <v>17</v>
      </c>
    </row>
    <row r="6" spans="2:31" s="1" customFormat="1" ht="25.95" customHeight="1">
      <c r="B6" s="76"/>
      <c r="C6" s="78"/>
      <c r="D6" s="87"/>
      <c r="E6" s="87"/>
      <c r="F6" s="87"/>
      <c r="G6" s="78"/>
      <c r="H6" s="78"/>
      <c r="I6" s="80"/>
      <c r="J6" s="78"/>
      <c r="K6" s="82"/>
      <c r="L6" s="84"/>
      <c r="M6" s="78"/>
      <c r="N6" s="78"/>
      <c r="O6" s="78"/>
      <c r="P6" s="78"/>
      <c r="Q6" s="78"/>
      <c r="R6" s="78"/>
      <c r="S6" s="86"/>
      <c r="T6" s="86"/>
      <c r="U6" s="86"/>
      <c r="V6" s="86"/>
      <c r="W6" s="86"/>
      <c r="X6" s="86"/>
      <c r="Y6" s="86"/>
      <c r="Z6" s="86"/>
      <c r="AA6" s="86"/>
      <c r="AB6" s="86"/>
      <c r="AC6" s="86"/>
      <c r="AD6" s="86"/>
    </row>
    <row r="7" spans="2:31" ht="16.05" customHeight="1">
      <c r="B7" s="67" t="s">
        <v>29</v>
      </c>
      <c r="C7" s="67"/>
      <c r="D7" s="67"/>
      <c r="E7" s="67"/>
      <c r="F7" s="67"/>
      <c r="G7" s="67"/>
    </row>
    <row r="8" spans="2:31" ht="16.05" customHeight="1" outlineLevel="1">
      <c r="B8" s="68" t="s">
        <v>30</v>
      </c>
      <c r="C8" s="68"/>
      <c r="D8" s="68"/>
      <c r="E8" s="68"/>
      <c r="F8" s="68"/>
      <c r="G8" s="68"/>
    </row>
    <row r="9" spans="2:31" ht="12" customHeight="1" outlineLevel="2">
      <c r="B9" s="69" t="s">
        <v>31</v>
      </c>
      <c r="C9" s="69"/>
      <c r="D9" s="69"/>
      <c r="E9" s="69"/>
      <c r="F9" s="69"/>
      <c r="G9" s="69"/>
    </row>
    <row r="10" spans="2:31" ht="12" customHeight="1" outlineLevel="3">
      <c r="B10" s="70" t="s">
        <v>32</v>
      </c>
      <c r="C10" s="70"/>
      <c r="D10" s="70"/>
      <c r="E10" s="70"/>
      <c r="F10" s="70"/>
      <c r="G10" s="70"/>
    </row>
    <row r="11" spans="2:31" s="1" customFormat="1" ht="96.3" customHeight="1" outlineLevel="4">
      <c r="B11" s="6">
        <v>1</v>
      </c>
      <c r="C11" s="7" t="s">
        <v>33</v>
      </c>
      <c r="D11" s="71" t="s">
        <v>34</v>
      </c>
      <c r="E11" s="71"/>
      <c r="F11" s="71"/>
      <c r="G11" s="71"/>
      <c r="H11" s="8" t="s">
        <v>35</v>
      </c>
      <c r="I11" s="9" t="s">
        <v>36</v>
      </c>
      <c r="J11" s="8"/>
      <c r="K11" s="6">
        <v>12</v>
      </c>
      <c r="L11" s="10">
        <v>173.35</v>
      </c>
      <c r="M11" s="11"/>
      <c r="N11" s="8">
        <f>L11*M11</f>
        <v>0</v>
      </c>
      <c r="O11" s="12">
        <f>0.037*M11</f>
        <v>0</v>
      </c>
      <c r="P11" s="13">
        <f>0.00008*M11</f>
        <v>0</v>
      </c>
      <c r="Q11" s="17" t="s">
        <v>37</v>
      </c>
      <c r="R11" s="8" t="s">
        <v>38</v>
      </c>
      <c r="S11" s="8"/>
      <c r="T11" s="7" t="str">
        <f>HYPERLINK("https://miland.ru/api/getInfo/image/a0ea702e-08d9-11f1-a28f-00155d82e908")</f>
        <v>https://miland.ru/api/getInfo/image/a0ea702e-08d9-11f1-a28f-00155d82e908</v>
      </c>
      <c r="U11" s="7"/>
      <c r="V11" s="7" t="s">
        <v>39</v>
      </c>
      <c r="W11" s="7" t="s">
        <v>40</v>
      </c>
      <c r="X11" s="7"/>
      <c r="Y11" s="7" t="s">
        <v>41</v>
      </c>
      <c r="Z11" s="7"/>
      <c r="AA11" s="7" t="str">
        <f>HYPERLINK("https://miland.ru/api/getInfo/item/a0ea702e-08d9-11f1-a28f-00155d82e908")</f>
        <v>https://miland.ru/api/getInfo/item/a0ea702e-08d9-11f1-a28f-00155d82e908</v>
      </c>
      <c r="AB11" s="7" t="s">
        <v>42</v>
      </c>
      <c r="AC11" s="7"/>
      <c r="AD11" s="7"/>
    </row>
    <row r="12" spans="2:31" ht="12" customHeight="1" outlineLevel="3">
      <c r="B12" s="70" t="s">
        <v>43</v>
      </c>
      <c r="C12" s="70"/>
      <c r="D12" s="70"/>
      <c r="E12" s="70"/>
      <c r="F12" s="70"/>
      <c r="G12" s="70"/>
    </row>
    <row r="13" spans="2:31" s="1" customFormat="1" ht="96.3" customHeight="1" outlineLevel="4">
      <c r="B13" s="6">
        <v>2</v>
      </c>
      <c r="C13" s="7" t="s">
        <v>44</v>
      </c>
      <c r="D13" s="71" t="s">
        <v>45</v>
      </c>
      <c r="E13" s="71"/>
      <c r="F13" s="71"/>
      <c r="G13" s="71"/>
      <c r="H13" s="8" t="s">
        <v>46</v>
      </c>
      <c r="I13" s="9" t="s">
        <v>36</v>
      </c>
      <c r="J13" s="8"/>
      <c r="K13" s="6">
        <v>60</v>
      </c>
      <c r="L13" s="10">
        <v>7.09</v>
      </c>
      <c r="M13" s="11"/>
      <c r="N13" s="8">
        <f>L13*M13</f>
        <v>0</v>
      </c>
      <c r="O13" s="12">
        <f>0.002*M13</f>
        <v>0</v>
      </c>
      <c r="P13" s="13">
        <f>0.00001*M13</f>
        <v>0</v>
      </c>
      <c r="Q13" s="17" t="s">
        <v>37</v>
      </c>
      <c r="R13" s="8" t="s">
        <v>47</v>
      </c>
      <c r="S13" s="8"/>
      <c r="T13" s="7" t="str">
        <f>HYPERLINK("https://miland.ru/api/getInfo/image/26e2a76d-0357-11f1-a28e-00155d82e908")</f>
        <v>https://miland.ru/api/getInfo/image/26e2a76d-0357-11f1-a28e-00155d82e908</v>
      </c>
      <c r="U13" s="7"/>
      <c r="V13" s="7" t="s">
        <v>48</v>
      </c>
      <c r="W13" s="7" t="s">
        <v>49</v>
      </c>
      <c r="X13" s="7"/>
      <c r="Y13" s="7" t="s">
        <v>41</v>
      </c>
      <c r="Z13" s="7"/>
      <c r="AA13" s="7" t="str">
        <f>HYPERLINK("https://miland.ru/api/getInfo/item/26e2a76d-0357-11f1-a28e-00155d82e908")</f>
        <v>https://miland.ru/api/getInfo/item/26e2a76d-0357-11f1-a28e-00155d82e908</v>
      </c>
      <c r="AB13" s="7" t="s">
        <v>50</v>
      </c>
      <c r="AC13" s="7"/>
      <c r="AD13" s="7"/>
    </row>
    <row r="14" spans="2:31" s="1" customFormat="1" ht="96.3" customHeight="1" outlineLevel="4">
      <c r="B14" s="6">
        <v>3</v>
      </c>
      <c r="C14" s="7" t="s">
        <v>51</v>
      </c>
      <c r="D14" s="71" t="s">
        <v>52</v>
      </c>
      <c r="E14" s="71"/>
      <c r="F14" s="71"/>
      <c r="G14" s="71"/>
      <c r="H14" s="8" t="s">
        <v>53</v>
      </c>
      <c r="I14" s="9" t="s">
        <v>36</v>
      </c>
      <c r="J14" s="8"/>
      <c r="K14" s="6">
        <v>2</v>
      </c>
      <c r="L14" s="10">
        <v>309.62</v>
      </c>
      <c r="M14" s="11"/>
      <c r="N14" s="8">
        <f>L14*M14</f>
        <v>0</v>
      </c>
      <c r="O14" s="12">
        <f>0.121*M14</f>
        <v>0</v>
      </c>
      <c r="P14" s="13">
        <f>0.00056*M14</f>
        <v>0</v>
      </c>
      <c r="Q14" s="17" t="s">
        <v>37</v>
      </c>
      <c r="R14" s="8" t="s">
        <v>54</v>
      </c>
      <c r="S14" s="8"/>
      <c r="T14" s="7" t="str">
        <f>HYPERLINK("https://miland.ru/api/getInfo/image/7d879621-01bb-11f1-a28e-00155d82e908")</f>
        <v>https://miland.ru/api/getInfo/image/7d879621-01bb-11f1-a28e-00155d82e908</v>
      </c>
      <c r="U14" s="7"/>
      <c r="V14" s="7" t="s">
        <v>48</v>
      </c>
      <c r="W14" s="7" t="s">
        <v>49</v>
      </c>
      <c r="X14" s="7"/>
      <c r="Y14" s="7" t="s">
        <v>41</v>
      </c>
      <c r="Z14" s="7"/>
      <c r="AA14" s="7" t="str">
        <f>HYPERLINK("https://miland.ru/api/getInfo/item/7d879621-01bb-11f1-a28e-00155d82e908")</f>
        <v>https://miland.ru/api/getInfo/item/7d879621-01bb-11f1-a28e-00155d82e908</v>
      </c>
      <c r="AB14" s="7" t="s">
        <v>50</v>
      </c>
      <c r="AC14" s="7"/>
      <c r="AD14" s="7"/>
    </row>
    <row r="15" spans="2:31" s="1" customFormat="1" ht="96.3" customHeight="1" outlineLevel="4">
      <c r="B15" s="6">
        <v>4</v>
      </c>
      <c r="C15" s="7" t="s">
        <v>55</v>
      </c>
      <c r="D15" s="71" t="s">
        <v>56</v>
      </c>
      <c r="E15" s="71"/>
      <c r="F15" s="71"/>
      <c r="G15" s="71"/>
      <c r="H15" s="8" t="s">
        <v>57</v>
      </c>
      <c r="I15" s="9" t="s">
        <v>36</v>
      </c>
      <c r="J15" s="8"/>
      <c r="K15" s="6">
        <v>2</v>
      </c>
      <c r="L15" s="10">
        <v>309.62</v>
      </c>
      <c r="M15" s="11"/>
      <c r="N15" s="8">
        <f>L15*M15</f>
        <v>0</v>
      </c>
      <c r="O15" s="12">
        <f>0.124*M15</f>
        <v>0</v>
      </c>
      <c r="P15" s="13">
        <f>0.00058*M15</f>
        <v>0</v>
      </c>
      <c r="Q15" s="17" t="s">
        <v>37</v>
      </c>
      <c r="R15" s="8" t="s">
        <v>58</v>
      </c>
      <c r="S15" s="8"/>
      <c r="T15" s="7" t="str">
        <f>HYPERLINK("https://miland.ru/api/getInfo/image/4478774e-01bb-11f1-a28e-00155d82e908")</f>
        <v>https://miland.ru/api/getInfo/image/4478774e-01bb-11f1-a28e-00155d82e908</v>
      </c>
      <c r="U15" s="7"/>
      <c r="V15" s="7" t="s">
        <v>48</v>
      </c>
      <c r="W15" s="7" t="s">
        <v>49</v>
      </c>
      <c r="X15" s="7"/>
      <c r="Y15" s="7" t="s">
        <v>41</v>
      </c>
      <c r="Z15" s="7"/>
      <c r="AA15" s="7" t="str">
        <f>HYPERLINK("https://miland.ru/api/getInfo/item/4478774e-01bb-11f1-a28e-00155d82e908")</f>
        <v>https://miland.ru/api/getInfo/item/4478774e-01bb-11f1-a28e-00155d82e908</v>
      </c>
      <c r="AB15" s="7" t="s">
        <v>50</v>
      </c>
      <c r="AC15" s="7"/>
      <c r="AD15" s="7"/>
    </row>
    <row r="16" spans="2:31" ht="12" customHeight="1" outlineLevel="3">
      <c r="B16" s="70" t="s">
        <v>59</v>
      </c>
      <c r="C16" s="70"/>
      <c r="D16" s="70"/>
      <c r="E16" s="70"/>
      <c r="F16" s="70"/>
      <c r="G16" s="70"/>
    </row>
    <row r="17" spans="2:30" ht="12" customHeight="1" outlineLevel="4">
      <c r="B17" s="70" t="s">
        <v>60</v>
      </c>
      <c r="C17" s="70"/>
      <c r="D17" s="70"/>
      <c r="E17" s="70"/>
      <c r="F17" s="70"/>
      <c r="G17" s="70"/>
    </row>
    <row r="18" spans="2:30" s="1" customFormat="1" ht="96.3" customHeight="1" outlineLevel="5">
      <c r="B18" s="6">
        <v>5</v>
      </c>
      <c r="C18" s="7" t="s">
        <v>61</v>
      </c>
      <c r="D18" s="71" t="s">
        <v>62</v>
      </c>
      <c r="E18" s="71"/>
      <c r="F18" s="71"/>
      <c r="G18" s="71"/>
      <c r="H18" s="8" t="s">
        <v>63</v>
      </c>
      <c r="I18" s="9" t="s">
        <v>36</v>
      </c>
      <c r="J18" s="8"/>
      <c r="K18" s="6">
        <v>20</v>
      </c>
      <c r="L18" s="10">
        <v>33.43</v>
      </c>
      <c r="M18" s="11"/>
      <c r="N18" s="8">
        <f>L18*M18</f>
        <v>0</v>
      </c>
      <c r="O18" s="12">
        <f>0.009*M18</f>
        <v>0</v>
      </c>
      <c r="P18" s="13">
        <f>0.00001*M18</f>
        <v>0</v>
      </c>
      <c r="Q18" s="17" t="s">
        <v>37</v>
      </c>
      <c r="R18" s="8" t="s">
        <v>64</v>
      </c>
      <c r="S18" s="8"/>
      <c r="T18" s="7" t="str">
        <f>HYPERLINK("https://miland.ru/api/getInfo/image/5f799e41-b620-11f0-a286-00155d82e908")</f>
        <v>https://miland.ru/api/getInfo/image/5f799e41-b620-11f0-a286-00155d82e908</v>
      </c>
      <c r="U18" s="7"/>
      <c r="V18" s="7"/>
      <c r="W18" s="7"/>
      <c r="X18" s="7"/>
      <c r="Y18" s="7" t="s">
        <v>41</v>
      </c>
      <c r="Z18" s="7"/>
      <c r="AA18" s="7" t="str">
        <f>HYPERLINK("https://miland.ru/api/getInfo/item/5f799e41-b620-11f0-a286-00155d82e908")</f>
        <v>https://miland.ru/api/getInfo/item/5f799e41-b620-11f0-a286-00155d82e908</v>
      </c>
      <c r="AB18" s="7" t="s">
        <v>50</v>
      </c>
      <c r="AC18" s="7"/>
      <c r="AD18" s="7"/>
    </row>
    <row r="19" spans="2:30" ht="12" customHeight="1" outlineLevel="4">
      <c r="B19" s="70" t="s">
        <v>65</v>
      </c>
      <c r="C19" s="70"/>
      <c r="D19" s="70"/>
      <c r="E19" s="70"/>
      <c r="F19" s="70"/>
      <c r="G19" s="70"/>
    </row>
    <row r="20" spans="2:30" s="1" customFormat="1" ht="96.3" customHeight="1" outlineLevel="5">
      <c r="B20" s="6">
        <v>6</v>
      </c>
      <c r="C20" s="7" t="s">
        <v>66</v>
      </c>
      <c r="D20" s="71" t="s">
        <v>67</v>
      </c>
      <c r="E20" s="71"/>
      <c r="F20" s="71"/>
      <c r="G20" s="71"/>
      <c r="H20" s="8" t="s">
        <v>68</v>
      </c>
      <c r="I20" s="9" t="s">
        <v>36</v>
      </c>
      <c r="J20" s="8"/>
      <c r="K20" s="6">
        <v>12</v>
      </c>
      <c r="L20" s="10">
        <v>109.44</v>
      </c>
      <c r="M20" s="11"/>
      <c r="N20" s="8">
        <f>L20*M20</f>
        <v>0</v>
      </c>
      <c r="O20" s="12">
        <f>0.042*M20</f>
        <v>0</v>
      </c>
      <c r="P20" s="13">
        <f>0.00011*M20</f>
        <v>0</v>
      </c>
      <c r="Q20" s="17" t="s">
        <v>37</v>
      </c>
      <c r="R20" s="8" t="s">
        <v>69</v>
      </c>
      <c r="S20" s="8"/>
      <c r="T20" s="7" t="str">
        <f>HYPERLINK("https://miland.ru/api/getInfo/image/8e6d7344-08db-11f1-a28f-00155d82e908")</f>
        <v>https://miland.ru/api/getInfo/image/8e6d7344-08db-11f1-a28f-00155d82e908</v>
      </c>
      <c r="U20" s="7"/>
      <c r="V20" s="7"/>
      <c r="W20" s="7" t="s">
        <v>70</v>
      </c>
      <c r="X20" s="7"/>
      <c r="Y20" s="7" t="s">
        <v>41</v>
      </c>
      <c r="Z20" s="7"/>
      <c r="AA20" s="7" t="str">
        <f>HYPERLINK("https://miland.ru/api/getInfo/item/8e6d7344-08db-11f1-a28f-00155d82e908")</f>
        <v>https://miland.ru/api/getInfo/item/8e6d7344-08db-11f1-a28f-00155d82e908</v>
      </c>
      <c r="AB20" s="7" t="s">
        <v>42</v>
      </c>
      <c r="AC20" s="7"/>
      <c r="AD20" s="7"/>
    </row>
    <row r="21" spans="2:30" s="1" customFormat="1" ht="96.3" customHeight="1" outlineLevel="5">
      <c r="B21" s="6">
        <v>7</v>
      </c>
      <c r="C21" s="7" t="s">
        <v>71</v>
      </c>
      <c r="D21" s="71" t="s">
        <v>72</v>
      </c>
      <c r="E21" s="71"/>
      <c r="F21" s="71"/>
      <c r="G21" s="71"/>
      <c r="H21" s="8" t="s">
        <v>73</v>
      </c>
      <c r="I21" s="9" t="s">
        <v>36</v>
      </c>
      <c r="J21" s="8"/>
      <c r="K21" s="6">
        <v>12</v>
      </c>
      <c r="L21" s="10">
        <v>109.44</v>
      </c>
      <c r="M21" s="11"/>
      <c r="N21" s="8">
        <f>L21*M21</f>
        <v>0</v>
      </c>
      <c r="O21" s="12">
        <f>0.069*M21</f>
        <v>0</v>
      </c>
      <c r="P21" s="13">
        <f>0.00015*M21</f>
        <v>0</v>
      </c>
      <c r="Q21" s="17" t="s">
        <v>37</v>
      </c>
      <c r="R21" s="8" t="s">
        <v>74</v>
      </c>
      <c r="S21" s="8"/>
      <c r="T21" s="7" t="str">
        <f>HYPERLINK("https://miland.ru/api/getInfo/image/4eb34cae-08dc-11f1-a28f-00155d82e908")</f>
        <v>https://miland.ru/api/getInfo/image/4eb34cae-08dc-11f1-a28f-00155d82e908</v>
      </c>
      <c r="U21" s="7"/>
      <c r="V21" s="7"/>
      <c r="W21" s="7" t="s">
        <v>70</v>
      </c>
      <c r="X21" s="7"/>
      <c r="Y21" s="7" t="s">
        <v>41</v>
      </c>
      <c r="Z21" s="7"/>
      <c r="AA21" s="7" t="str">
        <f>HYPERLINK("https://miland.ru/api/getInfo/item/4eb34cae-08dc-11f1-a28f-00155d82e908")</f>
        <v>https://miland.ru/api/getInfo/item/4eb34cae-08dc-11f1-a28f-00155d82e908</v>
      </c>
      <c r="AB21" s="7" t="s">
        <v>42</v>
      </c>
      <c r="AC21" s="7"/>
      <c r="AD21" s="7"/>
    </row>
    <row r="22" spans="2:30" ht="12" customHeight="1" outlineLevel="3">
      <c r="B22" s="70" t="s">
        <v>75</v>
      </c>
      <c r="C22" s="70"/>
      <c r="D22" s="70"/>
      <c r="E22" s="70"/>
      <c r="F22" s="70"/>
      <c r="G22" s="70"/>
    </row>
    <row r="23" spans="2:30" ht="12" customHeight="1" outlineLevel="4">
      <c r="B23" s="70" t="s">
        <v>76</v>
      </c>
      <c r="C23" s="70"/>
      <c r="D23" s="70"/>
      <c r="E23" s="70"/>
      <c r="F23" s="70"/>
      <c r="G23" s="70"/>
    </row>
    <row r="24" spans="2:30" ht="12" customHeight="1" outlineLevel="5">
      <c r="B24" s="70" t="s">
        <v>77</v>
      </c>
      <c r="C24" s="70"/>
      <c r="D24" s="70"/>
      <c r="E24" s="70"/>
      <c r="F24" s="70"/>
      <c r="G24" s="70"/>
    </row>
    <row r="25" spans="2:30" s="1" customFormat="1" ht="96.3" customHeight="1" outlineLevel="6">
      <c r="B25" s="6">
        <v>8</v>
      </c>
      <c r="C25" s="7" t="s">
        <v>78</v>
      </c>
      <c r="D25" s="71" t="s">
        <v>79</v>
      </c>
      <c r="E25" s="71"/>
      <c r="F25" s="71"/>
      <c r="G25" s="71"/>
      <c r="H25" s="8" t="s">
        <v>80</v>
      </c>
      <c r="I25" s="14">
        <v>344</v>
      </c>
      <c r="J25" s="8"/>
      <c r="K25" s="6">
        <v>1</v>
      </c>
      <c r="L25" s="15">
        <v>1421.08</v>
      </c>
      <c r="M25" s="11"/>
      <c r="N25" s="8">
        <f t="shared" ref="N25:N30" si="0">L25*M25</f>
        <v>0</v>
      </c>
      <c r="O25" s="12">
        <f>0.356*M25</f>
        <v>0</v>
      </c>
      <c r="P25" s="13">
        <f>0.00542*M25</f>
        <v>0</v>
      </c>
      <c r="Q25" s="17" t="s">
        <v>37</v>
      </c>
      <c r="R25" s="8" t="s">
        <v>81</v>
      </c>
      <c r="S25" s="8"/>
      <c r="T25" s="7" t="str">
        <f>HYPERLINK("https://miland.ru/api/getInfo/image/0f0680db-d5c5-11f0-a28c-00155d82e908")</f>
        <v>https://miland.ru/api/getInfo/image/0f0680db-d5c5-11f0-a28c-00155d82e908</v>
      </c>
      <c r="U25" s="7"/>
      <c r="V25" s="7"/>
      <c r="W25" s="7" t="s">
        <v>82</v>
      </c>
      <c r="X25" s="7"/>
      <c r="Y25" s="7" t="s">
        <v>41</v>
      </c>
      <c r="Z25" s="7"/>
      <c r="AA25" s="7" t="str">
        <f>HYPERLINK("https://miland.ru/api/getInfo/item/0f0680db-d5c5-11f0-a28c-00155d82e908")</f>
        <v>https://miland.ru/api/getInfo/item/0f0680db-d5c5-11f0-a28c-00155d82e908</v>
      </c>
      <c r="AB25" s="7" t="s">
        <v>42</v>
      </c>
      <c r="AC25" s="7"/>
      <c r="AD25" s="7"/>
    </row>
    <row r="26" spans="2:30" s="1" customFormat="1" ht="96.3" customHeight="1" outlineLevel="6">
      <c r="B26" s="6">
        <v>9</v>
      </c>
      <c r="C26" s="7" t="s">
        <v>83</v>
      </c>
      <c r="D26" s="71" t="s">
        <v>84</v>
      </c>
      <c r="E26" s="71"/>
      <c r="F26" s="71"/>
      <c r="G26" s="71"/>
      <c r="H26" s="8" t="s">
        <v>85</v>
      </c>
      <c r="I26" s="14">
        <v>348</v>
      </c>
      <c r="J26" s="8"/>
      <c r="K26" s="6">
        <v>1</v>
      </c>
      <c r="L26" s="15">
        <v>1421.08</v>
      </c>
      <c r="M26" s="11"/>
      <c r="N26" s="8">
        <f t="shared" si="0"/>
        <v>0</v>
      </c>
      <c r="O26" s="12">
        <f>0.357*M26</f>
        <v>0</v>
      </c>
      <c r="P26" s="13">
        <f>0.00781*M26</f>
        <v>0</v>
      </c>
      <c r="Q26" s="17" t="s">
        <v>37</v>
      </c>
      <c r="R26" s="8" t="s">
        <v>86</v>
      </c>
      <c r="S26" s="8"/>
      <c r="T26" s="7" t="str">
        <f>HYPERLINK("https://miland.ru/api/getInfo/image/45bffd67-d5c5-11f0-a28c-00155d82e908")</f>
        <v>https://miland.ru/api/getInfo/image/45bffd67-d5c5-11f0-a28c-00155d82e908</v>
      </c>
      <c r="U26" s="7"/>
      <c r="V26" s="7"/>
      <c r="W26" s="7" t="s">
        <v>82</v>
      </c>
      <c r="X26" s="7"/>
      <c r="Y26" s="7" t="s">
        <v>41</v>
      </c>
      <c r="Z26" s="7"/>
      <c r="AA26" s="7" t="str">
        <f>HYPERLINK("https://miland.ru/api/getInfo/item/45bffd67-d5c5-11f0-a28c-00155d82e908")</f>
        <v>https://miland.ru/api/getInfo/item/45bffd67-d5c5-11f0-a28c-00155d82e908</v>
      </c>
      <c r="AB26" s="7" t="s">
        <v>42</v>
      </c>
      <c r="AC26" s="7"/>
      <c r="AD26" s="7"/>
    </row>
    <row r="27" spans="2:30" s="1" customFormat="1" ht="96.3" customHeight="1" outlineLevel="6">
      <c r="B27" s="6">
        <v>10</v>
      </c>
      <c r="C27" s="7" t="s">
        <v>87</v>
      </c>
      <c r="D27" s="71" t="s">
        <v>88</v>
      </c>
      <c r="E27" s="71"/>
      <c r="F27" s="71"/>
      <c r="G27" s="71"/>
      <c r="H27" s="8" t="s">
        <v>89</v>
      </c>
      <c r="I27" s="14">
        <v>179</v>
      </c>
      <c r="J27" s="8"/>
      <c r="K27" s="6">
        <v>1</v>
      </c>
      <c r="L27" s="10">
        <v>667</v>
      </c>
      <c r="M27" s="11"/>
      <c r="N27" s="8">
        <f t="shared" si="0"/>
        <v>0</v>
      </c>
      <c r="O27" s="12">
        <f>0.578*M27</f>
        <v>0</v>
      </c>
      <c r="P27" s="13">
        <f>0.00722*M27</f>
        <v>0</v>
      </c>
      <c r="Q27" s="17" t="s">
        <v>37</v>
      </c>
      <c r="R27" s="8" t="s">
        <v>90</v>
      </c>
      <c r="S27" s="8"/>
      <c r="T27" s="7" t="str">
        <f>HYPERLINK("https://miland.ru/api/getInfo/image/21ef2fd8-d5be-11f0-a28c-00155d82e908")</f>
        <v>https://miland.ru/api/getInfo/image/21ef2fd8-d5be-11f0-a28c-00155d82e908</v>
      </c>
      <c r="U27" s="7"/>
      <c r="V27" s="7"/>
      <c r="W27" s="7" t="s">
        <v>82</v>
      </c>
      <c r="X27" s="7"/>
      <c r="Y27" s="7" t="s">
        <v>41</v>
      </c>
      <c r="Z27" s="7"/>
      <c r="AA27" s="7" t="str">
        <f>HYPERLINK("https://miland.ru/api/getInfo/item/21ef2fd8-d5be-11f0-a28c-00155d82e908")</f>
        <v>https://miland.ru/api/getInfo/item/21ef2fd8-d5be-11f0-a28c-00155d82e908</v>
      </c>
      <c r="AB27" s="7" t="s">
        <v>42</v>
      </c>
      <c r="AC27" s="7"/>
      <c r="AD27" s="7"/>
    </row>
    <row r="28" spans="2:30" s="1" customFormat="1" ht="96.3" customHeight="1" outlineLevel="6">
      <c r="B28" s="6">
        <v>11</v>
      </c>
      <c r="C28" s="7" t="s">
        <v>91</v>
      </c>
      <c r="D28" s="71" t="s">
        <v>92</v>
      </c>
      <c r="E28" s="71"/>
      <c r="F28" s="71"/>
      <c r="G28" s="71"/>
      <c r="H28" s="8" t="s">
        <v>93</v>
      </c>
      <c r="I28" s="14">
        <v>138</v>
      </c>
      <c r="J28" s="8"/>
      <c r="K28" s="6">
        <v>1</v>
      </c>
      <c r="L28" s="15">
        <v>1375.3</v>
      </c>
      <c r="M28" s="11"/>
      <c r="N28" s="8">
        <f t="shared" si="0"/>
        <v>0</v>
      </c>
      <c r="O28" s="12">
        <f>0.538*M28</f>
        <v>0</v>
      </c>
      <c r="P28" s="13">
        <f>0.01087*M28</f>
        <v>0</v>
      </c>
      <c r="Q28" s="17" t="s">
        <v>37</v>
      </c>
      <c r="R28" s="8" t="s">
        <v>94</v>
      </c>
      <c r="S28" s="8"/>
      <c r="T28" s="7" t="str">
        <f>HYPERLINK("https://miland.ru/api/getInfo/image/cb03812e-d5c4-11f0-a28c-00155d82e908")</f>
        <v>https://miland.ru/api/getInfo/image/cb03812e-d5c4-11f0-a28c-00155d82e908</v>
      </c>
      <c r="U28" s="7"/>
      <c r="V28" s="7"/>
      <c r="W28" s="7" t="s">
        <v>82</v>
      </c>
      <c r="X28" s="7"/>
      <c r="Y28" s="7" t="s">
        <v>41</v>
      </c>
      <c r="Z28" s="7"/>
      <c r="AA28" s="7" t="str">
        <f>HYPERLINK("https://miland.ru/api/getInfo/item/cb03812e-d5c4-11f0-a28c-00155d82e908")</f>
        <v>https://miland.ru/api/getInfo/item/cb03812e-d5c4-11f0-a28c-00155d82e908</v>
      </c>
      <c r="AB28" s="7" t="s">
        <v>42</v>
      </c>
      <c r="AC28" s="7"/>
      <c r="AD28" s="7"/>
    </row>
    <row r="29" spans="2:30" s="1" customFormat="1" ht="96.3" customHeight="1" outlineLevel="6">
      <c r="B29" s="6">
        <v>12</v>
      </c>
      <c r="C29" s="7" t="s">
        <v>95</v>
      </c>
      <c r="D29" s="71" t="s">
        <v>96</v>
      </c>
      <c r="E29" s="71"/>
      <c r="F29" s="71"/>
      <c r="G29" s="71"/>
      <c r="H29" s="8" t="s">
        <v>97</v>
      </c>
      <c r="I29" s="14">
        <v>357</v>
      </c>
      <c r="J29" s="8"/>
      <c r="K29" s="6">
        <v>1</v>
      </c>
      <c r="L29" s="15">
        <v>1375.3</v>
      </c>
      <c r="M29" s="11"/>
      <c r="N29" s="8">
        <f t="shared" si="0"/>
        <v>0</v>
      </c>
      <c r="O29" s="12">
        <f>0.556*M29</f>
        <v>0</v>
      </c>
      <c r="P29" s="13">
        <f>0.00812*M29</f>
        <v>0</v>
      </c>
      <c r="Q29" s="17" t="s">
        <v>37</v>
      </c>
      <c r="R29" s="8" t="s">
        <v>98</v>
      </c>
      <c r="S29" s="8"/>
      <c r="T29" s="7" t="str">
        <f>HYPERLINK("https://miland.ru/api/getInfo/image/89d7beec-d5c4-11f0-a28c-00155d82e908")</f>
        <v>https://miland.ru/api/getInfo/image/89d7beec-d5c4-11f0-a28c-00155d82e908</v>
      </c>
      <c r="U29" s="7"/>
      <c r="V29" s="7"/>
      <c r="W29" s="7" t="s">
        <v>82</v>
      </c>
      <c r="X29" s="7"/>
      <c r="Y29" s="7" t="s">
        <v>41</v>
      </c>
      <c r="Z29" s="7"/>
      <c r="AA29" s="7" t="str">
        <f>HYPERLINK("https://miland.ru/api/getInfo/item/89d7beec-d5c4-11f0-a28c-00155d82e908")</f>
        <v>https://miland.ru/api/getInfo/item/89d7beec-d5c4-11f0-a28c-00155d82e908</v>
      </c>
      <c r="AB29" s="7" t="s">
        <v>42</v>
      </c>
      <c r="AC29" s="7"/>
      <c r="AD29" s="7"/>
    </row>
    <row r="30" spans="2:30" s="1" customFormat="1" ht="96.3" customHeight="1" outlineLevel="6">
      <c r="B30" s="6">
        <v>13</v>
      </c>
      <c r="C30" s="7" t="s">
        <v>99</v>
      </c>
      <c r="D30" s="71" t="s">
        <v>100</v>
      </c>
      <c r="E30" s="71"/>
      <c r="F30" s="71"/>
      <c r="G30" s="71"/>
      <c r="H30" s="8" t="s">
        <v>101</v>
      </c>
      <c r="I30" s="14">
        <v>191</v>
      </c>
      <c r="J30" s="8"/>
      <c r="K30" s="6">
        <v>1</v>
      </c>
      <c r="L30" s="10">
        <v>894.63</v>
      </c>
      <c r="M30" s="11"/>
      <c r="N30" s="8">
        <f t="shared" si="0"/>
        <v>0</v>
      </c>
      <c r="O30" s="12">
        <f>0.382*M30</f>
        <v>0</v>
      </c>
      <c r="P30" s="13">
        <f>0.00765*M30</f>
        <v>0</v>
      </c>
      <c r="Q30" s="17" t="s">
        <v>37</v>
      </c>
      <c r="R30" s="8" t="s">
        <v>102</v>
      </c>
      <c r="S30" s="8"/>
      <c r="T30" s="7" t="str">
        <f>HYPERLINK("https://miland.ru/api/getInfo/image/3e5a1212-d5bf-11f0-a28c-00155d82e908")</f>
        <v>https://miland.ru/api/getInfo/image/3e5a1212-d5bf-11f0-a28c-00155d82e908</v>
      </c>
      <c r="U30" s="7"/>
      <c r="V30" s="7"/>
      <c r="W30" s="7" t="s">
        <v>82</v>
      </c>
      <c r="X30" s="7"/>
      <c r="Y30" s="7" t="s">
        <v>41</v>
      </c>
      <c r="Z30" s="7"/>
      <c r="AA30" s="7" t="str">
        <f>HYPERLINK("https://miland.ru/api/getInfo/item/3e5a1212-d5bf-11f0-a28c-00155d82e908")</f>
        <v>https://miland.ru/api/getInfo/item/3e5a1212-d5bf-11f0-a28c-00155d82e908</v>
      </c>
      <c r="AB30" s="7" t="s">
        <v>42</v>
      </c>
      <c r="AC30" s="7"/>
      <c r="AD30" s="7"/>
    </row>
    <row r="31" spans="2:30" ht="12" customHeight="1" outlineLevel="5">
      <c r="B31" s="70" t="s">
        <v>103</v>
      </c>
      <c r="C31" s="70"/>
      <c r="D31" s="70"/>
      <c r="E31" s="70"/>
      <c r="F31" s="70"/>
      <c r="G31" s="70"/>
    </row>
    <row r="32" spans="2:30" s="1" customFormat="1" ht="96.3" customHeight="1" outlineLevel="6">
      <c r="B32" s="6">
        <v>14</v>
      </c>
      <c r="C32" s="7" t="s">
        <v>104</v>
      </c>
      <c r="D32" s="71" t="s">
        <v>105</v>
      </c>
      <c r="E32" s="71"/>
      <c r="F32" s="71"/>
      <c r="G32" s="71"/>
      <c r="H32" s="8" t="s">
        <v>106</v>
      </c>
      <c r="I32" s="9" t="s">
        <v>36</v>
      </c>
      <c r="J32" s="8"/>
      <c r="K32" s="6">
        <v>2</v>
      </c>
      <c r="L32" s="10">
        <v>296.23</v>
      </c>
      <c r="M32" s="11"/>
      <c r="N32" s="8">
        <f t="shared" ref="N32:N38" si="1">L32*M32</f>
        <v>0</v>
      </c>
      <c r="O32" s="12">
        <f>0.154*M32</f>
        <v>0</v>
      </c>
      <c r="P32" s="13">
        <f>0.00067*M32</f>
        <v>0</v>
      </c>
      <c r="Q32" s="17" t="s">
        <v>37</v>
      </c>
      <c r="R32" s="8" t="s">
        <v>107</v>
      </c>
      <c r="S32" s="8"/>
      <c r="T32" s="7" t="str">
        <f>HYPERLINK("https://miland.ru/api/getInfo/image/43cb3bf6-08d7-11f1-a28f-00155d82e908")</f>
        <v>https://miland.ru/api/getInfo/image/43cb3bf6-08d7-11f1-a28f-00155d82e908</v>
      </c>
      <c r="U32" s="7"/>
      <c r="V32" s="7"/>
      <c r="W32" s="7" t="s">
        <v>70</v>
      </c>
      <c r="X32" s="7"/>
      <c r="Y32" s="7" t="s">
        <v>41</v>
      </c>
      <c r="Z32" s="7"/>
      <c r="AA32" s="7" t="str">
        <f>HYPERLINK("https://miland.ru/api/getInfo/item/43cb3bf6-08d7-11f1-a28f-00155d82e908")</f>
        <v>https://miland.ru/api/getInfo/item/43cb3bf6-08d7-11f1-a28f-00155d82e908</v>
      </c>
      <c r="AB32" s="7" t="s">
        <v>42</v>
      </c>
      <c r="AC32" s="7"/>
      <c r="AD32" s="7"/>
    </row>
    <row r="33" spans="2:30" s="1" customFormat="1" ht="96.3" customHeight="1" outlineLevel="6">
      <c r="B33" s="6">
        <v>15</v>
      </c>
      <c r="C33" s="7" t="s">
        <v>108</v>
      </c>
      <c r="D33" s="71" t="s">
        <v>109</v>
      </c>
      <c r="E33" s="71"/>
      <c r="F33" s="71"/>
      <c r="G33" s="71"/>
      <c r="H33" s="8" t="s">
        <v>110</v>
      </c>
      <c r="I33" s="9" t="s">
        <v>36</v>
      </c>
      <c r="J33" s="8"/>
      <c r="K33" s="6">
        <v>2</v>
      </c>
      <c r="L33" s="10">
        <v>296.23</v>
      </c>
      <c r="M33" s="11"/>
      <c r="N33" s="8">
        <f t="shared" si="1"/>
        <v>0</v>
      </c>
      <c r="O33" s="12">
        <f>0.117*M33</f>
        <v>0</v>
      </c>
      <c r="P33" s="13">
        <f>0.00067*M33</f>
        <v>0</v>
      </c>
      <c r="Q33" s="17" t="s">
        <v>37</v>
      </c>
      <c r="R33" s="8" t="s">
        <v>111</v>
      </c>
      <c r="S33" s="8"/>
      <c r="T33" s="7" t="str">
        <f>HYPERLINK("https://miland.ru/api/getInfo/image/26cd015c-08d7-11f1-a28f-00155d82e908")</f>
        <v>https://miland.ru/api/getInfo/image/26cd015c-08d7-11f1-a28f-00155d82e908</v>
      </c>
      <c r="U33" s="7"/>
      <c r="V33" s="7"/>
      <c r="W33" s="7" t="s">
        <v>70</v>
      </c>
      <c r="X33" s="7"/>
      <c r="Y33" s="7" t="s">
        <v>41</v>
      </c>
      <c r="Z33" s="7"/>
      <c r="AA33" s="7" t="str">
        <f>HYPERLINK("https://miland.ru/api/getInfo/item/26cd015c-08d7-11f1-a28f-00155d82e908")</f>
        <v>https://miland.ru/api/getInfo/item/26cd015c-08d7-11f1-a28f-00155d82e908</v>
      </c>
      <c r="AB33" s="7" t="s">
        <v>42</v>
      </c>
      <c r="AC33" s="7"/>
      <c r="AD33" s="7"/>
    </row>
    <row r="34" spans="2:30" s="1" customFormat="1" ht="96.3" customHeight="1" outlineLevel="6">
      <c r="B34" s="6">
        <v>16</v>
      </c>
      <c r="C34" s="7" t="s">
        <v>112</v>
      </c>
      <c r="D34" s="71" t="s">
        <v>113</v>
      </c>
      <c r="E34" s="71"/>
      <c r="F34" s="71"/>
      <c r="G34" s="71"/>
      <c r="H34" s="8" t="s">
        <v>114</v>
      </c>
      <c r="I34" s="14">
        <v>18</v>
      </c>
      <c r="J34" s="8"/>
      <c r="K34" s="6">
        <v>2</v>
      </c>
      <c r="L34" s="10">
        <v>368.64</v>
      </c>
      <c r="M34" s="11"/>
      <c r="N34" s="8">
        <f t="shared" si="1"/>
        <v>0</v>
      </c>
      <c r="O34" s="12">
        <f>0.136*M34</f>
        <v>0</v>
      </c>
      <c r="P34" s="16">
        <f>0.0006*M34</f>
        <v>0</v>
      </c>
      <c r="Q34" s="17" t="s">
        <v>37</v>
      </c>
      <c r="R34" s="8" t="s">
        <v>115</v>
      </c>
      <c r="S34" s="8"/>
      <c r="T34" s="7" t="str">
        <f>HYPERLINK("https://miland.ru/api/getInfo/image/b61d2bab-08d7-11f1-a28f-00155d82e908")</f>
        <v>https://miland.ru/api/getInfo/image/b61d2bab-08d7-11f1-a28f-00155d82e908</v>
      </c>
      <c r="U34" s="7"/>
      <c r="V34" s="7"/>
      <c r="W34" s="7" t="s">
        <v>70</v>
      </c>
      <c r="X34" s="7"/>
      <c r="Y34" s="7" t="s">
        <v>41</v>
      </c>
      <c r="Z34" s="7"/>
      <c r="AA34" s="7" t="str">
        <f>HYPERLINK("https://miland.ru/api/getInfo/item/b61d2bab-08d7-11f1-a28f-00155d82e908")</f>
        <v>https://miland.ru/api/getInfo/item/b61d2bab-08d7-11f1-a28f-00155d82e908</v>
      </c>
      <c r="AB34" s="7" t="s">
        <v>42</v>
      </c>
      <c r="AC34" s="7"/>
      <c r="AD34" s="7"/>
    </row>
    <row r="35" spans="2:30" s="1" customFormat="1" ht="96.3" customHeight="1" outlineLevel="6">
      <c r="B35" s="6">
        <v>17</v>
      </c>
      <c r="C35" s="7" t="s">
        <v>116</v>
      </c>
      <c r="D35" s="71" t="s">
        <v>117</v>
      </c>
      <c r="E35" s="71"/>
      <c r="F35" s="71"/>
      <c r="G35" s="71"/>
      <c r="H35" s="8" t="s">
        <v>118</v>
      </c>
      <c r="I35" s="9" t="s">
        <v>36</v>
      </c>
      <c r="J35" s="8"/>
      <c r="K35" s="6">
        <v>2</v>
      </c>
      <c r="L35" s="10">
        <v>296.23</v>
      </c>
      <c r="M35" s="11"/>
      <c r="N35" s="8">
        <f t="shared" si="1"/>
        <v>0</v>
      </c>
      <c r="O35" s="12">
        <f>0.129*M35</f>
        <v>0</v>
      </c>
      <c r="P35" s="13">
        <f>0.00063*M35</f>
        <v>0</v>
      </c>
      <c r="Q35" s="17" t="s">
        <v>37</v>
      </c>
      <c r="R35" s="8" t="s">
        <v>119</v>
      </c>
      <c r="S35" s="8"/>
      <c r="T35" s="7" t="str">
        <f>HYPERLINK("https://miland.ru/api/getInfo/image/055d8800-08d7-11f1-a28f-00155d82e908")</f>
        <v>https://miland.ru/api/getInfo/image/055d8800-08d7-11f1-a28f-00155d82e908</v>
      </c>
      <c r="U35" s="7"/>
      <c r="V35" s="7"/>
      <c r="W35" s="7" t="s">
        <v>70</v>
      </c>
      <c r="X35" s="7"/>
      <c r="Y35" s="7" t="s">
        <v>41</v>
      </c>
      <c r="Z35" s="7"/>
      <c r="AA35" s="7" t="str">
        <f>HYPERLINK("https://miland.ru/api/getInfo/item/055d8800-08d7-11f1-a28f-00155d82e908")</f>
        <v>https://miland.ru/api/getInfo/item/055d8800-08d7-11f1-a28f-00155d82e908</v>
      </c>
      <c r="AB35" s="7" t="s">
        <v>42</v>
      </c>
      <c r="AC35" s="7"/>
      <c r="AD35" s="7"/>
    </row>
    <row r="36" spans="2:30" s="1" customFormat="1" ht="96.3" customHeight="1" outlineLevel="6">
      <c r="B36" s="6">
        <v>18</v>
      </c>
      <c r="C36" s="7" t="s">
        <v>120</v>
      </c>
      <c r="D36" s="71" t="s">
        <v>121</v>
      </c>
      <c r="E36" s="71"/>
      <c r="F36" s="71"/>
      <c r="G36" s="71"/>
      <c r="H36" s="8" t="s">
        <v>122</v>
      </c>
      <c r="I36" s="9" t="s">
        <v>36</v>
      </c>
      <c r="J36" s="8"/>
      <c r="K36" s="6">
        <v>2</v>
      </c>
      <c r="L36" s="10">
        <v>296.23</v>
      </c>
      <c r="M36" s="11"/>
      <c r="N36" s="8">
        <f t="shared" si="1"/>
        <v>0</v>
      </c>
      <c r="O36" s="12">
        <f>0.134*M36</f>
        <v>0</v>
      </c>
      <c r="P36" s="13">
        <f>0.00059*M36</f>
        <v>0</v>
      </c>
      <c r="Q36" s="17" t="s">
        <v>37</v>
      </c>
      <c r="R36" s="8" t="s">
        <v>123</v>
      </c>
      <c r="S36" s="8"/>
      <c r="T36" s="7" t="str">
        <f>HYPERLINK("https://miland.ru/api/getInfo/image/3d0a3f30-08d6-11f1-a28f-00155d82e908")</f>
        <v>https://miland.ru/api/getInfo/image/3d0a3f30-08d6-11f1-a28f-00155d82e908</v>
      </c>
      <c r="U36" s="7"/>
      <c r="V36" s="7"/>
      <c r="W36" s="7" t="s">
        <v>70</v>
      </c>
      <c r="X36" s="7"/>
      <c r="Y36" s="7" t="s">
        <v>41</v>
      </c>
      <c r="Z36" s="7"/>
      <c r="AA36" s="7" t="str">
        <f>HYPERLINK("https://miland.ru/api/getInfo/item/3d0a3f30-08d6-11f1-a28f-00155d82e908")</f>
        <v>https://miland.ru/api/getInfo/item/3d0a3f30-08d6-11f1-a28f-00155d82e908</v>
      </c>
      <c r="AB36" s="7" t="s">
        <v>42</v>
      </c>
      <c r="AC36" s="7"/>
      <c r="AD36" s="7"/>
    </row>
    <row r="37" spans="2:30" s="1" customFormat="1" ht="96.3" customHeight="1" outlineLevel="6">
      <c r="B37" s="6">
        <v>19</v>
      </c>
      <c r="C37" s="7" t="s">
        <v>124</v>
      </c>
      <c r="D37" s="71" t="s">
        <v>125</v>
      </c>
      <c r="E37" s="71"/>
      <c r="F37" s="71"/>
      <c r="G37" s="71"/>
      <c r="H37" s="8" t="s">
        <v>126</v>
      </c>
      <c r="I37" s="14">
        <v>356</v>
      </c>
      <c r="J37" s="8"/>
      <c r="K37" s="6">
        <v>2</v>
      </c>
      <c r="L37" s="10">
        <v>368.64</v>
      </c>
      <c r="M37" s="11"/>
      <c r="N37" s="8">
        <f t="shared" si="1"/>
        <v>0</v>
      </c>
      <c r="O37" s="12">
        <f>0.084*M37</f>
        <v>0</v>
      </c>
      <c r="P37" s="13">
        <f>0.00033*M37</f>
        <v>0</v>
      </c>
      <c r="Q37" s="17" t="s">
        <v>37</v>
      </c>
      <c r="R37" s="8" t="s">
        <v>127</v>
      </c>
      <c r="S37" s="8"/>
      <c r="T37" s="7" t="str">
        <f>HYPERLINK("https://miland.ru/api/getInfo/image/9d918f89-08d7-11f1-a28f-00155d82e908")</f>
        <v>https://miland.ru/api/getInfo/image/9d918f89-08d7-11f1-a28f-00155d82e908</v>
      </c>
      <c r="U37" s="7"/>
      <c r="V37" s="7"/>
      <c r="W37" s="7" t="s">
        <v>70</v>
      </c>
      <c r="X37" s="7"/>
      <c r="Y37" s="7" t="s">
        <v>41</v>
      </c>
      <c r="Z37" s="7"/>
      <c r="AA37" s="7" t="str">
        <f>HYPERLINK("https://miland.ru/api/getInfo/item/9d918f89-08d7-11f1-a28f-00155d82e908")</f>
        <v>https://miland.ru/api/getInfo/item/9d918f89-08d7-11f1-a28f-00155d82e908</v>
      </c>
      <c r="AB37" s="7" t="s">
        <v>42</v>
      </c>
      <c r="AC37" s="7"/>
      <c r="AD37" s="7"/>
    </row>
    <row r="38" spans="2:30" s="1" customFormat="1" ht="96.3" customHeight="1" outlineLevel="6">
      <c r="B38" s="6">
        <v>20</v>
      </c>
      <c r="C38" s="7" t="s">
        <v>128</v>
      </c>
      <c r="D38" s="71" t="s">
        <v>129</v>
      </c>
      <c r="E38" s="71"/>
      <c r="F38" s="71"/>
      <c r="G38" s="71"/>
      <c r="H38" s="8" t="s">
        <v>130</v>
      </c>
      <c r="I38" s="14">
        <v>425</v>
      </c>
      <c r="J38" s="8"/>
      <c r="K38" s="6">
        <v>2</v>
      </c>
      <c r="L38" s="10">
        <v>368.64</v>
      </c>
      <c r="M38" s="11"/>
      <c r="N38" s="8">
        <f t="shared" si="1"/>
        <v>0</v>
      </c>
      <c r="O38" s="12">
        <f>0.088*M38</f>
        <v>0</v>
      </c>
      <c r="P38" s="13">
        <f>0.00038*M38</f>
        <v>0</v>
      </c>
      <c r="Q38" s="17" t="s">
        <v>37</v>
      </c>
      <c r="R38" s="8" t="s">
        <v>131</v>
      </c>
      <c r="S38" s="8"/>
      <c r="T38" s="7" t="str">
        <f>HYPERLINK("https://miland.ru/api/getInfo/image/65d48462-08d7-11f1-a28f-00155d82e908")</f>
        <v>https://miland.ru/api/getInfo/image/65d48462-08d7-11f1-a28f-00155d82e908</v>
      </c>
      <c r="U38" s="7"/>
      <c r="V38" s="7"/>
      <c r="W38" s="7" t="s">
        <v>70</v>
      </c>
      <c r="X38" s="7"/>
      <c r="Y38" s="7" t="s">
        <v>41</v>
      </c>
      <c r="Z38" s="7"/>
      <c r="AA38" s="7" t="str">
        <f>HYPERLINK("https://miland.ru/api/getInfo/item/65d48462-08d7-11f1-a28f-00155d82e908")</f>
        <v>https://miland.ru/api/getInfo/item/65d48462-08d7-11f1-a28f-00155d82e908</v>
      </c>
      <c r="AB38" s="7" t="s">
        <v>42</v>
      </c>
      <c r="AC38" s="7"/>
      <c r="AD38" s="7"/>
    </row>
    <row r="39" spans="2:30" ht="12" customHeight="1" outlineLevel="4">
      <c r="B39" s="70" t="s">
        <v>132</v>
      </c>
      <c r="C39" s="70"/>
      <c r="D39" s="70"/>
      <c r="E39" s="70"/>
      <c r="F39" s="70"/>
      <c r="G39" s="70"/>
    </row>
    <row r="40" spans="2:30" s="1" customFormat="1" ht="96.3" customHeight="1" outlineLevel="5">
      <c r="B40" s="6">
        <v>21</v>
      </c>
      <c r="C40" s="7" t="s">
        <v>133</v>
      </c>
      <c r="D40" s="71" t="s">
        <v>134</v>
      </c>
      <c r="E40" s="71"/>
      <c r="F40" s="71"/>
      <c r="G40" s="71"/>
      <c r="H40" s="8" t="s">
        <v>135</v>
      </c>
      <c r="I40" s="9" t="s">
        <v>36</v>
      </c>
      <c r="J40" s="8"/>
      <c r="K40" s="6">
        <v>3</v>
      </c>
      <c r="L40" s="10">
        <v>123.11</v>
      </c>
      <c r="M40" s="11"/>
      <c r="N40" s="8">
        <f>L40*M40</f>
        <v>0</v>
      </c>
      <c r="O40" s="12">
        <f>0.063*M40</f>
        <v>0</v>
      </c>
      <c r="P40" s="13">
        <f>0.00157*M40</f>
        <v>0</v>
      </c>
      <c r="Q40" s="17" t="s">
        <v>37</v>
      </c>
      <c r="R40" s="8" t="s">
        <v>136</v>
      </c>
      <c r="S40" s="8"/>
      <c r="T40" s="7" t="str">
        <f>HYPERLINK("https://miland.ru/api/getInfo/image/dfb74a4b-fc3f-11f0-a28e-00155d82e908")</f>
        <v>https://miland.ru/api/getInfo/image/dfb74a4b-fc3f-11f0-a28e-00155d82e908</v>
      </c>
      <c r="U40" s="7"/>
      <c r="V40" s="7"/>
      <c r="W40" s="7" t="s">
        <v>82</v>
      </c>
      <c r="X40" s="7"/>
      <c r="Y40" s="7" t="s">
        <v>41</v>
      </c>
      <c r="Z40" s="7"/>
      <c r="AA40" s="7" t="str">
        <f>HYPERLINK("https://miland.ru/api/getInfo/item/dfb74a4b-fc3f-11f0-a28e-00155d82e908")</f>
        <v>https://miland.ru/api/getInfo/item/dfb74a4b-fc3f-11f0-a28e-00155d82e908</v>
      </c>
      <c r="AB40" s="7" t="s">
        <v>42</v>
      </c>
      <c r="AC40" s="7"/>
      <c r="AD40" s="7"/>
    </row>
    <row r="41" spans="2:30" s="1" customFormat="1" ht="96.3" customHeight="1" outlineLevel="5">
      <c r="B41" s="6">
        <v>22</v>
      </c>
      <c r="C41" s="7" t="s">
        <v>137</v>
      </c>
      <c r="D41" s="71" t="s">
        <v>138</v>
      </c>
      <c r="E41" s="71"/>
      <c r="F41" s="71"/>
      <c r="G41" s="71"/>
      <c r="H41" s="8" t="s">
        <v>139</v>
      </c>
      <c r="I41" s="9" t="s">
        <v>36</v>
      </c>
      <c r="J41" s="8"/>
      <c r="K41" s="6">
        <v>3</v>
      </c>
      <c r="L41" s="10">
        <v>123.11</v>
      </c>
      <c r="M41" s="11"/>
      <c r="N41" s="8">
        <f>L41*M41</f>
        <v>0</v>
      </c>
      <c r="O41" s="12">
        <f>0.057*M41</f>
        <v>0</v>
      </c>
      <c r="P41" s="13">
        <f>0.00012*M41</f>
        <v>0</v>
      </c>
      <c r="Q41" s="17" t="s">
        <v>37</v>
      </c>
      <c r="R41" s="8" t="s">
        <v>140</v>
      </c>
      <c r="S41" s="8"/>
      <c r="T41" s="7" t="str">
        <f>HYPERLINK("https://miland.ru/api/getInfo/image/b9d1a529-fc3f-11f0-a28e-00155d82e908")</f>
        <v>https://miland.ru/api/getInfo/image/b9d1a529-fc3f-11f0-a28e-00155d82e908</v>
      </c>
      <c r="U41" s="7"/>
      <c r="V41" s="7"/>
      <c r="W41" s="7" t="s">
        <v>82</v>
      </c>
      <c r="X41" s="7"/>
      <c r="Y41" s="7" t="s">
        <v>41</v>
      </c>
      <c r="Z41" s="7"/>
      <c r="AA41" s="7" t="str">
        <f>HYPERLINK("https://miland.ru/api/getInfo/item/b9d1a529-fc3f-11f0-a28e-00155d82e908")</f>
        <v>https://miland.ru/api/getInfo/item/b9d1a529-fc3f-11f0-a28e-00155d82e908</v>
      </c>
      <c r="AB41" s="7" t="s">
        <v>42</v>
      </c>
      <c r="AC41" s="7"/>
      <c r="AD41" s="7"/>
    </row>
    <row r="42" spans="2:30" s="1" customFormat="1" ht="96.3" customHeight="1" outlineLevel="5">
      <c r="B42" s="6">
        <v>23</v>
      </c>
      <c r="C42" s="7" t="s">
        <v>141</v>
      </c>
      <c r="D42" s="71" t="s">
        <v>142</v>
      </c>
      <c r="E42" s="71"/>
      <c r="F42" s="71"/>
      <c r="G42" s="71"/>
      <c r="H42" s="8" t="s">
        <v>143</v>
      </c>
      <c r="I42" s="9" t="s">
        <v>36</v>
      </c>
      <c r="J42" s="8"/>
      <c r="K42" s="6">
        <v>3</v>
      </c>
      <c r="L42" s="10">
        <v>123.11</v>
      </c>
      <c r="M42" s="11"/>
      <c r="N42" s="8">
        <f>L42*M42</f>
        <v>0</v>
      </c>
      <c r="O42" s="12">
        <f>0.046*M42</f>
        <v>0</v>
      </c>
      <c r="P42" s="13">
        <f>0.00081*M42</f>
        <v>0</v>
      </c>
      <c r="Q42" s="17" t="s">
        <v>37</v>
      </c>
      <c r="R42" s="8" t="s">
        <v>144</v>
      </c>
      <c r="S42" s="8"/>
      <c r="T42" s="7" t="str">
        <f>HYPERLINK("https://miland.ru/api/getInfo/image/cd3cb2e8-fc3f-11f0-a28e-00155d82e908")</f>
        <v>https://miland.ru/api/getInfo/image/cd3cb2e8-fc3f-11f0-a28e-00155d82e908</v>
      </c>
      <c r="U42" s="7"/>
      <c r="V42" s="7"/>
      <c r="W42" s="7" t="s">
        <v>82</v>
      </c>
      <c r="X42" s="7"/>
      <c r="Y42" s="7" t="s">
        <v>41</v>
      </c>
      <c r="Z42" s="7"/>
      <c r="AA42" s="7" t="str">
        <f>HYPERLINK("https://miland.ru/api/getInfo/item/cd3cb2e8-fc3f-11f0-a28e-00155d82e908")</f>
        <v>https://miland.ru/api/getInfo/item/cd3cb2e8-fc3f-11f0-a28e-00155d82e908</v>
      </c>
      <c r="AB42" s="7" t="s">
        <v>42</v>
      </c>
      <c r="AC42" s="7"/>
      <c r="AD42" s="7"/>
    </row>
    <row r="43" spans="2:30" ht="12" customHeight="1" outlineLevel="4">
      <c r="B43" s="70" t="s">
        <v>145</v>
      </c>
      <c r="C43" s="70"/>
      <c r="D43" s="70"/>
      <c r="E43" s="70"/>
      <c r="F43" s="70"/>
      <c r="G43" s="70"/>
    </row>
    <row r="44" spans="2:30" s="1" customFormat="1" ht="96.3" customHeight="1" outlineLevel="5">
      <c r="B44" s="6">
        <v>24</v>
      </c>
      <c r="C44" s="7" t="s">
        <v>146</v>
      </c>
      <c r="D44" s="71" t="s">
        <v>147</v>
      </c>
      <c r="E44" s="71"/>
      <c r="F44" s="71"/>
      <c r="G44" s="71"/>
      <c r="H44" s="8" t="s">
        <v>148</v>
      </c>
      <c r="I44" s="9" t="s">
        <v>36</v>
      </c>
      <c r="J44" s="8"/>
      <c r="K44" s="6">
        <v>5</v>
      </c>
      <c r="L44" s="10">
        <v>93.6</v>
      </c>
      <c r="M44" s="11"/>
      <c r="N44" s="8">
        <f>L44*M44</f>
        <v>0</v>
      </c>
      <c r="O44" s="12">
        <f>0.027*M44</f>
        <v>0</v>
      </c>
      <c r="P44" s="13">
        <f>0.00015*M44</f>
        <v>0</v>
      </c>
      <c r="Q44" s="17" t="s">
        <v>37</v>
      </c>
      <c r="R44" s="8" t="s">
        <v>149</v>
      </c>
      <c r="S44" s="8"/>
      <c r="T44" s="7" t="str">
        <f>HYPERLINK("https://miland.ru/api/getInfo/image/7fcca58f-fc3f-11f0-a28e-00155d82e908")</f>
        <v>https://miland.ru/api/getInfo/image/7fcca58f-fc3f-11f0-a28e-00155d82e908</v>
      </c>
      <c r="U44" s="7"/>
      <c r="V44" s="7"/>
      <c r="W44" s="7" t="s">
        <v>82</v>
      </c>
      <c r="X44" s="7"/>
      <c r="Y44" s="7" t="s">
        <v>41</v>
      </c>
      <c r="Z44" s="7"/>
      <c r="AA44" s="7" t="str">
        <f>HYPERLINK("https://miland.ru/api/getInfo/item/7fcca58f-fc3f-11f0-a28e-00155d82e908")</f>
        <v>https://miland.ru/api/getInfo/item/7fcca58f-fc3f-11f0-a28e-00155d82e908</v>
      </c>
      <c r="AB44" s="7" t="s">
        <v>42</v>
      </c>
      <c r="AC44" s="7"/>
      <c r="AD44" s="7"/>
    </row>
    <row r="45" spans="2:30" s="1" customFormat="1" ht="96.3" customHeight="1" outlineLevel="5">
      <c r="B45" s="6">
        <v>25</v>
      </c>
      <c r="C45" s="7" t="s">
        <v>150</v>
      </c>
      <c r="D45" s="71" t="s">
        <v>151</v>
      </c>
      <c r="E45" s="71"/>
      <c r="F45" s="71"/>
      <c r="G45" s="71"/>
      <c r="H45" s="8" t="s">
        <v>152</v>
      </c>
      <c r="I45" s="9" t="s">
        <v>36</v>
      </c>
      <c r="J45" s="8"/>
      <c r="K45" s="6">
        <v>7</v>
      </c>
      <c r="L45" s="10">
        <v>64.08</v>
      </c>
      <c r="M45" s="11"/>
      <c r="N45" s="8">
        <f>L45*M45</f>
        <v>0</v>
      </c>
      <c r="O45" s="12">
        <f>0.017*M45</f>
        <v>0</v>
      </c>
      <c r="P45" s="13">
        <f>0.00004*M45</f>
        <v>0</v>
      </c>
      <c r="Q45" s="17" t="s">
        <v>37</v>
      </c>
      <c r="R45" s="8" t="s">
        <v>153</v>
      </c>
      <c r="S45" s="8"/>
      <c r="T45" s="7" t="str">
        <f>HYPERLINK("https://miland.ru/api/getInfo/image/75d6c394-fc3e-11f0-a28e-00155d82e908")</f>
        <v>https://miland.ru/api/getInfo/image/75d6c394-fc3e-11f0-a28e-00155d82e908</v>
      </c>
      <c r="U45" s="7"/>
      <c r="V45" s="7"/>
      <c r="W45" s="7" t="s">
        <v>82</v>
      </c>
      <c r="X45" s="7"/>
      <c r="Y45" s="7" t="s">
        <v>41</v>
      </c>
      <c r="Z45" s="7"/>
      <c r="AA45" s="7" t="str">
        <f>HYPERLINK("https://miland.ru/api/getInfo/item/75d6c394-fc3e-11f0-a28e-00155d82e908")</f>
        <v>https://miland.ru/api/getInfo/item/75d6c394-fc3e-11f0-a28e-00155d82e908</v>
      </c>
      <c r="AB45" s="7" t="s">
        <v>42</v>
      </c>
      <c r="AC45" s="7"/>
      <c r="AD45" s="7"/>
    </row>
    <row r="46" spans="2:30" s="1" customFormat="1" ht="96.3" customHeight="1" outlineLevel="5">
      <c r="B46" s="6">
        <v>26</v>
      </c>
      <c r="C46" s="7" t="s">
        <v>154</v>
      </c>
      <c r="D46" s="71" t="s">
        <v>155</v>
      </c>
      <c r="E46" s="71"/>
      <c r="F46" s="71"/>
      <c r="G46" s="71"/>
      <c r="H46" s="8" t="s">
        <v>156</v>
      </c>
      <c r="I46" s="9" t="s">
        <v>36</v>
      </c>
      <c r="J46" s="8"/>
      <c r="K46" s="6">
        <v>7</v>
      </c>
      <c r="L46" s="10">
        <v>64.08</v>
      </c>
      <c r="M46" s="11"/>
      <c r="N46" s="8">
        <f>L46*M46</f>
        <v>0</v>
      </c>
      <c r="O46" s="12">
        <f>0.017*M46</f>
        <v>0</v>
      </c>
      <c r="P46" s="13">
        <f>0.00008*M46</f>
        <v>0</v>
      </c>
      <c r="Q46" s="17" t="s">
        <v>37</v>
      </c>
      <c r="R46" s="8" t="s">
        <v>157</v>
      </c>
      <c r="S46" s="8"/>
      <c r="T46" s="7" t="str">
        <f>HYPERLINK("https://miland.ru/api/getInfo/image/7256e18e-fc3f-11f0-a28e-00155d82e908")</f>
        <v>https://miland.ru/api/getInfo/image/7256e18e-fc3f-11f0-a28e-00155d82e908</v>
      </c>
      <c r="U46" s="7"/>
      <c r="V46" s="7"/>
      <c r="W46" s="7" t="s">
        <v>82</v>
      </c>
      <c r="X46" s="7"/>
      <c r="Y46" s="7" t="s">
        <v>41</v>
      </c>
      <c r="Z46" s="7"/>
      <c r="AA46" s="7" t="str">
        <f>HYPERLINK("https://miland.ru/api/getInfo/item/7256e18e-fc3f-11f0-a28e-00155d82e908")</f>
        <v>https://miland.ru/api/getInfo/item/7256e18e-fc3f-11f0-a28e-00155d82e908</v>
      </c>
      <c r="AB46" s="7" t="s">
        <v>42</v>
      </c>
      <c r="AC46" s="7"/>
      <c r="AD46" s="7"/>
    </row>
    <row r="47" spans="2:30" s="1" customFormat="1" ht="96.3" customHeight="1" outlineLevel="5">
      <c r="B47" s="6">
        <v>27</v>
      </c>
      <c r="C47" s="7" t="s">
        <v>158</v>
      </c>
      <c r="D47" s="71" t="s">
        <v>159</v>
      </c>
      <c r="E47" s="71"/>
      <c r="F47" s="71"/>
      <c r="G47" s="71"/>
      <c r="H47" s="8" t="s">
        <v>160</v>
      </c>
      <c r="I47" s="9" t="s">
        <v>36</v>
      </c>
      <c r="J47" s="8"/>
      <c r="K47" s="6">
        <v>5</v>
      </c>
      <c r="L47" s="10">
        <v>93.6</v>
      </c>
      <c r="M47" s="11"/>
      <c r="N47" s="8">
        <f>L47*M47</f>
        <v>0</v>
      </c>
      <c r="O47" s="12">
        <f>0.026*M47</f>
        <v>0</v>
      </c>
      <c r="P47" s="13">
        <f>0.00015*M47</f>
        <v>0</v>
      </c>
      <c r="Q47" s="17" t="s">
        <v>37</v>
      </c>
      <c r="R47" s="8" t="s">
        <v>161</v>
      </c>
      <c r="S47" s="8"/>
      <c r="T47" s="7" t="str">
        <f>HYPERLINK("https://miland.ru/api/getInfo/image/905290ca-fc3f-11f0-a28e-00155d82e908")</f>
        <v>https://miland.ru/api/getInfo/image/905290ca-fc3f-11f0-a28e-00155d82e908</v>
      </c>
      <c r="U47" s="7"/>
      <c r="V47" s="7"/>
      <c r="W47" s="7" t="s">
        <v>82</v>
      </c>
      <c r="X47" s="7"/>
      <c r="Y47" s="7" t="s">
        <v>41</v>
      </c>
      <c r="Z47" s="7"/>
      <c r="AA47" s="7" t="str">
        <f>HYPERLINK("https://miland.ru/api/getInfo/item/905290ca-fc3f-11f0-a28e-00155d82e908")</f>
        <v>https://miland.ru/api/getInfo/item/905290ca-fc3f-11f0-a28e-00155d82e908</v>
      </c>
      <c r="AB47" s="7" t="s">
        <v>42</v>
      </c>
      <c r="AC47" s="7"/>
      <c r="AD47" s="7"/>
    </row>
    <row r="48" spans="2:30" s="1" customFormat="1" ht="96.3" customHeight="1" outlineLevel="5">
      <c r="B48" s="6">
        <v>28</v>
      </c>
      <c r="C48" s="7" t="s">
        <v>162</v>
      </c>
      <c r="D48" s="71" t="s">
        <v>163</v>
      </c>
      <c r="E48" s="71"/>
      <c r="F48" s="71"/>
      <c r="G48" s="71"/>
      <c r="H48" s="8" t="s">
        <v>164</v>
      </c>
      <c r="I48" s="9" t="s">
        <v>36</v>
      </c>
      <c r="J48" s="8"/>
      <c r="K48" s="6">
        <v>4</v>
      </c>
      <c r="L48" s="10">
        <v>145.25</v>
      </c>
      <c r="M48" s="11"/>
      <c r="N48" s="8">
        <f>L48*M48</f>
        <v>0</v>
      </c>
      <c r="O48" s="12">
        <f>0.052*M48</f>
        <v>0</v>
      </c>
      <c r="P48" s="13">
        <f>0.00067*M48</f>
        <v>0</v>
      </c>
      <c r="Q48" s="17" t="s">
        <v>37</v>
      </c>
      <c r="R48" s="8" t="s">
        <v>165</v>
      </c>
      <c r="S48" s="8"/>
      <c r="T48" s="7" t="str">
        <f>HYPERLINK("https://miland.ru/api/getInfo/image/a09c5b80-fc3f-11f0-a28e-00155d82e908")</f>
        <v>https://miland.ru/api/getInfo/image/a09c5b80-fc3f-11f0-a28e-00155d82e908</v>
      </c>
      <c r="U48" s="7"/>
      <c r="V48" s="7"/>
      <c r="W48" s="7" t="s">
        <v>82</v>
      </c>
      <c r="X48" s="7"/>
      <c r="Y48" s="7" t="s">
        <v>41</v>
      </c>
      <c r="Z48" s="7"/>
      <c r="AA48" s="7" t="str">
        <f>HYPERLINK("https://miland.ru/api/getInfo/item/a09c5b80-fc3f-11f0-a28e-00155d82e908")</f>
        <v>https://miland.ru/api/getInfo/item/a09c5b80-fc3f-11f0-a28e-00155d82e908</v>
      </c>
      <c r="AB48" s="7" t="s">
        <v>42</v>
      </c>
      <c r="AC48" s="7"/>
      <c r="AD48" s="7"/>
    </row>
    <row r="49" spans="2:30" ht="12" customHeight="1" outlineLevel="4">
      <c r="B49" s="70" t="s">
        <v>166</v>
      </c>
      <c r="C49" s="70"/>
      <c r="D49" s="70"/>
      <c r="E49" s="70"/>
      <c r="F49" s="70"/>
      <c r="G49" s="70"/>
    </row>
    <row r="50" spans="2:30" s="1" customFormat="1" ht="96.3" customHeight="1" outlineLevel="5">
      <c r="B50" s="6">
        <v>29</v>
      </c>
      <c r="C50" s="7" t="s">
        <v>167</v>
      </c>
      <c r="D50" s="71" t="s">
        <v>168</v>
      </c>
      <c r="E50" s="71"/>
      <c r="F50" s="71"/>
      <c r="G50" s="71"/>
      <c r="H50" s="8" t="s">
        <v>169</v>
      </c>
      <c r="I50" s="14">
        <v>156</v>
      </c>
      <c r="J50" s="8"/>
      <c r="K50" s="6">
        <v>3</v>
      </c>
      <c r="L50" s="10">
        <v>220.82</v>
      </c>
      <c r="M50" s="11"/>
      <c r="N50" s="8">
        <f>L50*M50</f>
        <v>0</v>
      </c>
      <c r="O50" s="12">
        <f>0.121*M50</f>
        <v>0</v>
      </c>
      <c r="P50" s="13">
        <f>0.00119*M50</f>
        <v>0</v>
      </c>
      <c r="Q50" s="17" t="s">
        <v>37</v>
      </c>
      <c r="R50" s="8" t="s">
        <v>170</v>
      </c>
      <c r="S50" s="8"/>
      <c r="T50" s="7" t="str">
        <f>HYPERLINK("https://miland.ru/api/getInfo/image/375962a4-af18-11f0-a286-00155d82e908")</f>
        <v>https://miland.ru/api/getInfo/image/375962a4-af18-11f0-a286-00155d82e908</v>
      </c>
      <c r="U50" s="7"/>
      <c r="V50" s="7"/>
      <c r="W50" s="7" t="s">
        <v>171</v>
      </c>
      <c r="X50" s="7" t="s">
        <v>172</v>
      </c>
      <c r="Y50" s="7" t="s">
        <v>173</v>
      </c>
      <c r="Z50" s="7" t="s">
        <v>174</v>
      </c>
      <c r="AA50" s="7" t="str">
        <f>HYPERLINK("https://miland.ru/api/getInfo/item/375962a4-af18-11f0-a286-00155d82e908")</f>
        <v>https://miland.ru/api/getInfo/item/375962a4-af18-11f0-a286-00155d82e908</v>
      </c>
      <c r="AB50" s="7" t="s">
        <v>42</v>
      </c>
      <c r="AC50" s="7"/>
      <c r="AD50" s="7"/>
    </row>
    <row r="51" spans="2:30" s="1" customFormat="1" ht="96.3" customHeight="1" outlineLevel="5">
      <c r="B51" s="6">
        <v>30</v>
      </c>
      <c r="C51" s="7" t="s">
        <v>175</v>
      </c>
      <c r="D51" s="71" t="s">
        <v>176</v>
      </c>
      <c r="E51" s="71"/>
      <c r="F51" s="71"/>
      <c r="G51" s="71"/>
      <c r="H51" s="8" t="s">
        <v>177</v>
      </c>
      <c r="I51" s="14">
        <v>99</v>
      </c>
      <c r="J51" s="8"/>
      <c r="K51" s="6">
        <v>3</v>
      </c>
      <c r="L51" s="10">
        <v>220.82</v>
      </c>
      <c r="M51" s="11"/>
      <c r="N51" s="8">
        <f>L51*M51</f>
        <v>0</v>
      </c>
      <c r="O51" s="12">
        <f>0.081*M51</f>
        <v>0</v>
      </c>
      <c r="P51" s="13">
        <f>0.00088*M51</f>
        <v>0</v>
      </c>
      <c r="Q51" s="17" t="s">
        <v>37</v>
      </c>
      <c r="R51" s="8" t="s">
        <v>178</v>
      </c>
      <c r="S51" s="8"/>
      <c r="T51" s="7" t="str">
        <f>HYPERLINK("https://miland.ru/api/getInfo/image/21cf9609-af19-11f0-a286-00155d82e908")</f>
        <v>https://miland.ru/api/getInfo/image/21cf9609-af19-11f0-a286-00155d82e908</v>
      </c>
      <c r="U51" s="7"/>
      <c r="V51" s="7"/>
      <c r="W51" s="7" t="s">
        <v>171</v>
      </c>
      <c r="X51" s="7" t="s">
        <v>172</v>
      </c>
      <c r="Y51" s="7" t="s">
        <v>173</v>
      </c>
      <c r="Z51" s="7" t="s">
        <v>179</v>
      </c>
      <c r="AA51" s="7" t="str">
        <f>HYPERLINK("https://miland.ru/api/getInfo/item/21cf9609-af19-11f0-a286-00155d82e908")</f>
        <v>https://miland.ru/api/getInfo/item/21cf9609-af19-11f0-a286-00155d82e908</v>
      </c>
      <c r="AB51" s="7" t="s">
        <v>42</v>
      </c>
      <c r="AC51" s="7"/>
      <c r="AD51" s="7"/>
    </row>
    <row r="52" spans="2:30" ht="12" customHeight="1" outlineLevel="4">
      <c r="B52" s="70" t="s">
        <v>180</v>
      </c>
      <c r="C52" s="70"/>
      <c r="D52" s="70"/>
      <c r="E52" s="70"/>
      <c r="F52" s="70"/>
      <c r="G52" s="70"/>
    </row>
    <row r="53" spans="2:30" s="1" customFormat="1" ht="96.3" customHeight="1" outlineLevel="5">
      <c r="B53" s="6">
        <v>31</v>
      </c>
      <c r="C53" s="7" t="s">
        <v>181</v>
      </c>
      <c r="D53" s="71" t="s">
        <v>182</v>
      </c>
      <c r="E53" s="71"/>
      <c r="F53" s="71"/>
      <c r="G53" s="71"/>
      <c r="H53" s="8" t="s">
        <v>183</v>
      </c>
      <c r="I53" s="9" t="s">
        <v>36</v>
      </c>
      <c r="J53" s="8"/>
      <c r="K53" s="6">
        <v>2</v>
      </c>
      <c r="L53" s="10">
        <v>374.4</v>
      </c>
      <c r="M53" s="11"/>
      <c r="N53" s="8">
        <f>L53*M53</f>
        <v>0</v>
      </c>
      <c r="O53" s="12">
        <f>0.153*M53</f>
        <v>0</v>
      </c>
      <c r="P53" s="13">
        <f>0.00101*M53</f>
        <v>0</v>
      </c>
      <c r="Q53" s="17" t="s">
        <v>37</v>
      </c>
      <c r="R53" s="8" t="s">
        <v>184</v>
      </c>
      <c r="S53" s="8"/>
      <c r="T53" s="7" t="str">
        <f>HYPERLINK("https://miland.ru/api/getInfo/image/f5ec1680-08e2-11f1-a28f-00155d82e908")</f>
        <v>https://miland.ru/api/getInfo/image/f5ec1680-08e2-11f1-a28f-00155d82e908</v>
      </c>
      <c r="U53" s="7"/>
      <c r="V53" s="7"/>
      <c r="W53" s="7" t="s">
        <v>185</v>
      </c>
      <c r="X53" s="7"/>
      <c r="Y53" s="7" t="s">
        <v>41</v>
      </c>
      <c r="Z53" s="7"/>
      <c r="AA53" s="7" t="str">
        <f>HYPERLINK("https://miland.ru/api/getInfo/item/f5ec1680-08e2-11f1-a28f-00155d82e908")</f>
        <v>https://miland.ru/api/getInfo/item/f5ec1680-08e2-11f1-a28f-00155d82e908</v>
      </c>
      <c r="AB53" s="7" t="s">
        <v>42</v>
      </c>
      <c r="AC53" s="7"/>
      <c r="AD53" s="7"/>
    </row>
    <row r="54" spans="2:30" s="1" customFormat="1" ht="96.3" customHeight="1" outlineLevel="5">
      <c r="B54" s="6">
        <v>32</v>
      </c>
      <c r="C54" s="7" t="s">
        <v>186</v>
      </c>
      <c r="D54" s="71" t="s">
        <v>187</v>
      </c>
      <c r="E54" s="71"/>
      <c r="F54" s="71"/>
      <c r="G54" s="71"/>
      <c r="H54" s="8" t="s">
        <v>188</v>
      </c>
      <c r="I54" s="9" t="s">
        <v>36</v>
      </c>
      <c r="J54" s="8"/>
      <c r="K54" s="6">
        <v>2</v>
      </c>
      <c r="L54" s="10">
        <v>374.4</v>
      </c>
      <c r="M54" s="11"/>
      <c r="N54" s="8">
        <f>L54*M54</f>
        <v>0</v>
      </c>
      <c r="O54" s="12">
        <f>0.077*M54</f>
        <v>0</v>
      </c>
      <c r="P54" s="13">
        <f>0.00111*M54</f>
        <v>0</v>
      </c>
      <c r="Q54" s="17" t="s">
        <v>37</v>
      </c>
      <c r="R54" s="8" t="s">
        <v>189</v>
      </c>
      <c r="S54" s="8"/>
      <c r="T54" s="7" t="str">
        <f>HYPERLINK("https://miland.ru/api/getInfo/image/db3ab3dc-08e2-11f1-a28f-00155d82e908")</f>
        <v>https://miland.ru/api/getInfo/image/db3ab3dc-08e2-11f1-a28f-00155d82e908</v>
      </c>
      <c r="U54" s="7"/>
      <c r="V54" s="7"/>
      <c r="W54" s="7" t="s">
        <v>185</v>
      </c>
      <c r="X54" s="7"/>
      <c r="Y54" s="7" t="s">
        <v>41</v>
      </c>
      <c r="Z54" s="7"/>
      <c r="AA54" s="7" t="str">
        <f>HYPERLINK("https://miland.ru/api/getInfo/item/db3ab3dc-08e2-11f1-a28f-00155d82e908")</f>
        <v>https://miland.ru/api/getInfo/item/db3ab3dc-08e2-11f1-a28f-00155d82e908</v>
      </c>
      <c r="AB54" s="7" t="s">
        <v>42</v>
      </c>
      <c r="AC54" s="7"/>
      <c r="AD54" s="7"/>
    </row>
    <row r="55" spans="2:30" s="1" customFormat="1" ht="96.3" customHeight="1" outlineLevel="5">
      <c r="B55" s="6">
        <v>33</v>
      </c>
      <c r="C55" s="7" t="s">
        <v>190</v>
      </c>
      <c r="D55" s="71" t="s">
        <v>191</v>
      </c>
      <c r="E55" s="71"/>
      <c r="F55" s="71"/>
      <c r="G55" s="71"/>
      <c r="H55" s="8" t="s">
        <v>192</v>
      </c>
      <c r="I55" s="9" t="s">
        <v>36</v>
      </c>
      <c r="J55" s="8"/>
      <c r="K55" s="6">
        <v>2</v>
      </c>
      <c r="L55" s="10">
        <v>374.4</v>
      </c>
      <c r="M55" s="11"/>
      <c r="N55" s="8">
        <f>L55*M55</f>
        <v>0</v>
      </c>
      <c r="O55" s="12">
        <f>0.166*M55</f>
        <v>0</v>
      </c>
      <c r="P55" s="12">
        <f>0.001*M55</f>
        <v>0</v>
      </c>
      <c r="Q55" s="17" t="s">
        <v>37</v>
      </c>
      <c r="R55" s="8" t="s">
        <v>193</v>
      </c>
      <c r="S55" s="8"/>
      <c r="T55" s="7" t="str">
        <f>HYPERLINK("https://miland.ru/api/getInfo/image/be226261-08e2-11f1-a28f-00155d82e908")</f>
        <v>https://miland.ru/api/getInfo/image/be226261-08e2-11f1-a28f-00155d82e908</v>
      </c>
      <c r="U55" s="7"/>
      <c r="V55" s="7"/>
      <c r="W55" s="7" t="s">
        <v>185</v>
      </c>
      <c r="X55" s="7"/>
      <c r="Y55" s="7" t="s">
        <v>41</v>
      </c>
      <c r="Z55" s="7"/>
      <c r="AA55" s="7" t="str">
        <f>HYPERLINK("https://miland.ru/api/getInfo/item/be226261-08e2-11f1-a28f-00155d82e908")</f>
        <v>https://miland.ru/api/getInfo/item/be226261-08e2-11f1-a28f-00155d82e908</v>
      </c>
      <c r="AB55" s="7" t="s">
        <v>42</v>
      </c>
      <c r="AC55" s="7"/>
      <c r="AD55" s="7"/>
    </row>
    <row r="56" spans="2:30" s="1" customFormat="1" ht="96.3" customHeight="1" outlineLevel="5">
      <c r="B56" s="6">
        <v>34</v>
      </c>
      <c r="C56" s="7" t="s">
        <v>194</v>
      </c>
      <c r="D56" s="71" t="s">
        <v>195</v>
      </c>
      <c r="E56" s="71"/>
      <c r="F56" s="71"/>
      <c r="G56" s="71"/>
      <c r="H56" s="8" t="s">
        <v>196</v>
      </c>
      <c r="I56" s="9" t="s">
        <v>36</v>
      </c>
      <c r="J56" s="8"/>
      <c r="K56" s="6">
        <v>1</v>
      </c>
      <c r="L56" s="10">
        <v>558.26</v>
      </c>
      <c r="M56" s="11"/>
      <c r="N56" s="8">
        <f>L56*M56</f>
        <v>0</v>
      </c>
      <c r="O56" s="12">
        <f>0.304*M56</f>
        <v>0</v>
      </c>
      <c r="P56" s="13">
        <f>0.00268*M56</f>
        <v>0</v>
      </c>
      <c r="Q56" s="17" t="s">
        <v>37</v>
      </c>
      <c r="R56" s="8" t="s">
        <v>197</v>
      </c>
      <c r="S56" s="8"/>
      <c r="T56" s="7" t="str">
        <f>HYPERLINK("https://miland.ru/api/getInfo/image/62ccc8f5-08e2-11f1-a28f-00155d82e908")</f>
        <v>https://miland.ru/api/getInfo/image/62ccc8f5-08e2-11f1-a28f-00155d82e908</v>
      </c>
      <c r="U56" s="7"/>
      <c r="V56" s="7"/>
      <c r="W56" s="7" t="s">
        <v>185</v>
      </c>
      <c r="X56" s="7"/>
      <c r="Y56" s="7" t="s">
        <v>41</v>
      </c>
      <c r="Z56" s="7"/>
      <c r="AA56" s="7" t="str">
        <f>HYPERLINK("https://miland.ru/api/getInfo/item/62ccc8f5-08e2-11f1-a28f-00155d82e908")</f>
        <v>https://miland.ru/api/getInfo/item/62ccc8f5-08e2-11f1-a28f-00155d82e908</v>
      </c>
      <c r="AB56" s="7" t="s">
        <v>42</v>
      </c>
      <c r="AC56" s="7"/>
      <c r="AD56" s="7"/>
    </row>
    <row r="57" spans="2:30" s="1" customFormat="1" ht="96.3" customHeight="1" outlineLevel="5">
      <c r="B57" s="6">
        <v>35</v>
      </c>
      <c r="C57" s="7" t="s">
        <v>198</v>
      </c>
      <c r="D57" s="71" t="s">
        <v>199</v>
      </c>
      <c r="E57" s="71"/>
      <c r="F57" s="71"/>
      <c r="G57" s="71"/>
      <c r="H57" s="8" t="s">
        <v>200</v>
      </c>
      <c r="I57" s="9" t="s">
        <v>36</v>
      </c>
      <c r="J57" s="8"/>
      <c r="K57" s="6">
        <v>1</v>
      </c>
      <c r="L57" s="10">
        <v>558.26</v>
      </c>
      <c r="M57" s="11"/>
      <c r="N57" s="8">
        <f>L57*M57</f>
        <v>0</v>
      </c>
      <c r="O57" s="12">
        <f>0.314*M57</f>
        <v>0</v>
      </c>
      <c r="P57" s="13">
        <f>0.00226*M57</f>
        <v>0</v>
      </c>
      <c r="Q57" s="17" t="s">
        <v>37</v>
      </c>
      <c r="R57" s="8" t="s">
        <v>201</v>
      </c>
      <c r="S57" s="8"/>
      <c r="T57" s="7" t="str">
        <f>HYPERLINK("https://miland.ru/api/getInfo/image/33365135-08e2-11f1-a28f-00155d82e908")</f>
        <v>https://miland.ru/api/getInfo/image/33365135-08e2-11f1-a28f-00155d82e908</v>
      </c>
      <c r="U57" s="7"/>
      <c r="V57" s="7"/>
      <c r="W57" s="7" t="s">
        <v>185</v>
      </c>
      <c r="X57" s="7"/>
      <c r="Y57" s="7" t="s">
        <v>41</v>
      </c>
      <c r="Z57" s="7"/>
      <c r="AA57" s="7" t="str">
        <f>HYPERLINK("https://miland.ru/api/getInfo/item/33365135-08e2-11f1-a28f-00155d82e908")</f>
        <v>https://miland.ru/api/getInfo/item/33365135-08e2-11f1-a28f-00155d82e908</v>
      </c>
      <c r="AB57" s="7" t="s">
        <v>42</v>
      </c>
      <c r="AC57" s="7"/>
      <c r="AD57" s="7"/>
    </row>
    <row r="58" spans="2:30" ht="12" customHeight="1" outlineLevel="3">
      <c r="B58" s="70" t="s">
        <v>202</v>
      </c>
      <c r="C58" s="70"/>
      <c r="D58" s="70"/>
      <c r="E58" s="70"/>
      <c r="F58" s="70"/>
      <c r="G58" s="70"/>
    </row>
    <row r="59" spans="2:30" ht="12" customHeight="1" outlineLevel="4">
      <c r="B59" s="70" t="s">
        <v>203</v>
      </c>
      <c r="C59" s="70"/>
      <c r="D59" s="70"/>
      <c r="E59" s="70"/>
      <c r="F59" s="70"/>
      <c r="G59" s="70"/>
    </row>
    <row r="60" spans="2:30" s="1" customFormat="1" ht="96.3" customHeight="1" outlineLevel="5">
      <c r="B60" s="6">
        <v>36</v>
      </c>
      <c r="C60" s="7" t="s">
        <v>204</v>
      </c>
      <c r="D60" s="71" t="s">
        <v>205</v>
      </c>
      <c r="E60" s="71"/>
      <c r="F60" s="71"/>
      <c r="G60" s="71"/>
      <c r="H60" s="8" t="s">
        <v>206</v>
      </c>
      <c r="I60" s="9" t="s">
        <v>36</v>
      </c>
      <c r="J60" s="8"/>
      <c r="K60" s="6">
        <v>1</v>
      </c>
      <c r="L60" s="10">
        <v>597.53</v>
      </c>
      <c r="M60" s="11"/>
      <c r="N60" s="8">
        <f>L60*M60</f>
        <v>0</v>
      </c>
      <c r="O60" s="12">
        <f>0.085*M60</f>
        <v>0</v>
      </c>
      <c r="P60" s="13">
        <f>0.00036*M60</f>
        <v>0</v>
      </c>
      <c r="Q60" s="17" t="s">
        <v>37</v>
      </c>
      <c r="R60" s="8" t="s">
        <v>207</v>
      </c>
      <c r="S60" s="8"/>
      <c r="T60" s="7" t="str">
        <f>HYPERLINK("https://miland.ru/api/getInfo/image/5ff60f9e-f20e-11f0-a28d-00155d82e908")</f>
        <v>https://miland.ru/api/getInfo/image/5ff60f9e-f20e-11f0-a28d-00155d82e908</v>
      </c>
      <c r="U60" s="7"/>
      <c r="V60" s="7" t="s">
        <v>208</v>
      </c>
      <c r="W60" s="7" t="s">
        <v>82</v>
      </c>
      <c r="X60" s="7"/>
      <c r="Y60" s="7" t="s">
        <v>41</v>
      </c>
      <c r="Z60" s="7"/>
      <c r="AA60" s="7" t="str">
        <f>HYPERLINK("https://miland.ru/api/getInfo/item/5ff60f9e-f20e-11f0-a28d-00155d82e908")</f>
        <v>https://miland.ru/api/getInfo/item/5ff60f9e-f20e-11f0-a28d-00155d82e908</v>
      </c>
      <c r="AB60" s="7" t="s">
        <v>50</v>
      </c>
      <c r="AC60" s="7"/>
      <c r="AD60" s="7"/>
    </row>
    <row r="61" spans="2:30" ht="12" customHeight="1" outlineLevel="4">
      <c r="B61" s="70" t="s">
        <v>209</v>
      </c>
      <c r="C61" s="70"/>
      <c r="D61" s="70"/>
      <c r="E61" s="70"/>
      <c r="F61" s="70"/>
      <c r="G61" s="70"/>
    </row>
    <row r="62" spans="2:30" s="1" customFormat="1" ht="96.3" customHeight="1" outlineLevel="5">
      <c r="B62" s="6">
        <v>37</v>
      </c>
      <c r="C62" s="7" t="s">
        <v>210</v>
      </c>
      <c r="D62" s="71" t="s">
        <v>211</v>
      </c>
      <c r="E62" s="71"/>
      <c r="F62" s="71"/>
      <c r="G62" s="71"/>
      <c r="H62" s="8" t="s">
        <v>212</v>
      </c>
      <c r="I62" s="9" t="s">
        <v>36</v>
      </c>
      <c r="J62" s="8"/>
      <c r="K62" s="6">
        <v>5</v>
      </c>
      <c r="L62" s="10">
        <v>121.19</v>
      </c>
      <c r="M62" s="11"/>
      <c r="N62" s="8">
        <f>L62*M62</f>
        <v>0</v>
      </c>
      <c r="O62" s="12">
        <f>0.019*M62</f>
        <v>0</v>
      </c>
      <c r="P62" s="13">
        <f>0.00014*M62</f>
        <v>0</v>
      </c>
      <c r="Q62" s="17" t="s">
        <v>37</v>
      </c>
      <c r="R62" s="8" t="s">
        <v>213</v>
      </c>
      <c r="S62" s="8"/>
      <c r="T62" s="7" t="str">
        <f>HYPERLINK("https://miland.ru/api/getInfo/image/dcfd585c-f048-11f0-a28d-00155d82e908")</f>
        <v>https://miland.ru/api/getInfo/image/dcfd585c-f048-11f0-a28d-00155d82e908</v>
      </c>
      <c r="U62" s="7"/>
      <c r="V62" s="7" t="s">
        <v>208</v>
      </c>
      <c r="W62" s="7" t="s">
        <v>82</v>
      </c>
      <c r="X62" s="7"/>
      <c r="Y62" s="7" t="s">
        <v>41</v>
      </c>
      <c r="Z62" s="7"/>
      <c r="AA62" s="7" t="str">
        <f>HYPERLINK("https://miland.ru/api/getInfo/item/dcfd585c-f048-11f0-a28d-00155d82e908")</f>
        <v>https://miland.ru/api/getInfo/item/dcfd585c-f048-11f0-a28d-00155d82e908</v>
      </c>
      <c r="AB62" s="7" t="s">
        <v>50</v>
      </c>
      <c r="AC62" s="7"/>
      <c r="AD62" s="7"/>
    </row>
    <row r="63" spans="2:30" s="1" customFormat="1" ht="96.3" customHeight="1" outlineLevel="5">
      <c r="B63" s="6">
        <v>38</v>
      </c>
      <c r="C63" s="7" t="s">
        <v>214</v>
      </c>
      <c r="D63" s="71" t="s">
        <v>215</v>
      </c>
      <c r="E63" s="71"/>
      <c r="F63" s="71"/>
      <c r="G63" s="71"/>
      <c r="H63" s="8" t="s">
        <v>216</v>
      </c>
      <c r="I63" s="9" t="s">
        <v>36</v>
      </c>
      <c r="J63" s="8"/>
      <c r="K63" s="6">
        <v>5</v>
      </c>
      <c r="L63" s="10">
        <v>121.19</v>
      </c>
      <c r="M63" s="11"/>
      <c r="N63" s="8">
        <f>L63*M63</f>
        <v>0</v>
      </c>
      <c r="O63" s="12">
        <f>0.018*M63</f>
        <v>0</v>
      </c>
      <c r="P63" s="13">
        <f>0.00013*M63</f>
        <v>0</v>
      </c>
      <c r="Q63" s="17" t="s">
        <v>37</v>
      </c>
      <c r="R63" s="8" t="s">
        <v>217</v>
      </c>
      <c r="S63" s="8"/>
      <c r="T63" s="7" t="str">
        <f>HYPERLINK("https://miland.ru/api/getInfo/image/2768adc6-f048-11f0-a28d-00155d82e908")</f>
        <v>https://miland.ru/api/getInfo/image/2768adc6-f048-11f0-a28d-00155d82e908</v>
      </c>
      <c r="U63" s="7"/>
      <c r="V63" s="7" t="s">
        <v>208</v>
      </c>
      <c r="W63" s="7" t="s">
        <v>82</v>
      </c>
      <c r="X63" s="7"/>
      <c r="Y63" s="7" t="s">
        <v>41</v>
      </c>
      <c r="Z63" s="7"/>
      <c r="AA63" s="7" t="str">
        <f>HYPERLINK("https://miland.ru/api/getInfo/item/2768adc6-f048-11f0-a28d-00155d82e908")</f>
        <v>https://miland.ru/api/getInfo/item/2768adc6-f048-11f0-a28d-00155d82e908</v>
      </c>
      <c r="AB63" s="7" t="s">
        <v>50</v>
      </c>
      <c r="AC63" s="7"/>
      <c r="AD63" s="7"/>
    </row>
    <row r="64" spans="2:30" ht="12" customHeight="1" outlineLevel="4">
      <c r="B64" s="70" t="s">
        <v>218</v>
      </c>
      <c r="C64" s="70"/>
      <c r="D64" s="70"/>
      <c r="E64" s="70"/>
      <c r="F64" s="70"/>
      <c r="G64" s="70"/>
    </row>
    <row r="65" spans="2:30" s="1" customFormat="1" ht="96.3" customHeight="1" outlineLevel="5">
      <c r="B65" s="6">
        <v>39</v>
      </c>
      <c r="C65" s="7" t="s">
        <v>219</v>
      </c>
      <c r="D65" s="71" t="s">
        <v>220</v>
      </c>
      <c r="E65" s="71"/>
      <c r="F65" s="71"/>
      <c r="G65" s="71"/>
      <c r="H65" s="8" t="s">
        <v>221</v>
      </c>
      <c r="I65" s="9" t="s">
        <v>36</v>
      </c>
      <c r="J65" s="8"/>
      <c r="K65" s="6">
        <v>18</v>
      </c>
      <c r="L65" s="10">
        <v>69.37</v>
      </c>
      <c r="M65" s="11"/>
      <c r="N65" s="8">
        <f t="shared" ref="N65:N83" si="2">L65*M65</f>
        <v>0</v>
      </c>
      <c r="O65" s="12">
        <f>0.232*M65</f>
        <v>0</v>
      </c>
      <c r="P65" s="13">
        <f>0.00091*M65</f>
        <v>0</v>
      </c>
      <c r="Q65" s="17" t="s">
        <v>37</v>
      </c>
      <c r="R65" s="8"/>
      <c r="S65" s="8"/>
      <c r="T65" s="7" t="str">
        <f>HYPERLINK("https://miland.ru/api/getInfo/image/9df72ff2-b4c8-11f0-a286-00155d82e908")</f>
        <v>https://miland.ru/api/getInfo/image/9df72ff2-b4c8-11f0-a286-00155d82e908</v>
      </c>
      <c r="U65" s="7"/>
      <c r="V65" s="7" t="s">
        <v>208</v>
      </c>
      <c r="W65" s="7" t="s">
        <v>82</v>
      </c>
      <c r="X65" s="7"/>
      <c r="Y65" s="7" t="s">
        <v>41</v>
      </c>
      <c r="Z65" s="7"/>
      <c r="AA65" s="7" t="str">
        <f>HYPERLINK("https://miland.ru/api/getInfo/item/9df72ff2-b4c8-11f0-a286-00155d82e908")</f>
        <v>https://miland.ru/api/getInfo/item/9df72ff2-b4c8-11f0-a286-00155d82e908</v>
      </c>
      <c r="AB65" s="7" t="s">
        <v>50</v>
      </c>
      <c r="AC65" s="7"/>
      <c r="AD65" s="7"/>
    </row>
    <row r="66" spans="2:30" s="1" customFormat="1" ht="96.3" customHeight="1" outlineLevel="5">
      <c r="B66" s="6">
        <v>40</v>
      </c>
      <c r="C66" s="7" t="s">
        <v>222</v>
      </c>
      <c r="D66" s="71" t="s">
        <v>223</v>
      </c>
      <c r="E66" s="71"/>
      <c r="F66" s="71"/>
      <c r="G66" s="71"/>
      <c r="H66" s="8" t="s">
        <v>224</v>
      </c>
      <c r="I66" s="9" t="s">
        <v>36</v>
      </c>
      <c r="J66" s="8"/>
      <c r="K66" s="6">
        <v>10</v>
      </c>
      <c r="L66" s="10">
        <v>69.37</v>
      </c>
      <c r="M66" s="11"/>
      <c r="N66" s="8">
        <f t="shared" si="2"/>
        <v>0</v>
      </c>
      <c r="O66" s="12">
        <f t="shared" ref="O66:O83" si="3">0.011*M66</f>
        <v>0</v>
      </c>
      <c r="P66" s="13">
        <f t="shared" ref="P66:P83" si="4">0.00001*M66</f>
        <v>0</v>
      </c>
      <c r="Q66" s="17" t="s">
        <v>37</v>
      </c>
      <c r="R66" s="8" t="s">
        <v>225</v>
      </c>
      <c r="S66" s="8"/>
      <c r="T66" s="7" t="str">
        <f>HYPERLINK("https://miland.ru/api/getInfo/image/e1f4640a-b4c9-11f0-a286-00155d82e908")</f>
        <v>https://miland.ru/api/getInfo/image/e1f4640a-b4c9-11f0-a286-00155d82e908</v>
      </c>
      <c r="U66" s="7"/>
      <c r="V66" s="7" t="s">
        <v>208</v>
      </c>
      <c r="W66" s="7" t="s">
        <v>82</v>
      </c>
      <c r="X66" s="7"/>
      <c r="Y66" s="7" t="s">
        <v>41</v>
      </c>
      <c r="Z66" s="7"/>
      <c r="AA66" s="7" t="str">
        <f>HYPERLINK("https://miland.ru/api/getInfo/item/e1f4640a-b4c9-11f0-a286-00155d82e908")</f>
        <v>https://miland.ru/api/getInfo/item/e1f4640a-b4c9-11f0-a286-00155d82e908</v>
      </c>
      <c r="AB66" s="7" t="s">
        <v>50</v>
      </c>
      <c r="AC66" s="7"/>
      <c r="AD66" s="7"/>
    </row>
    <row r="67" spans="2:30" s="1" customFormat="1" ht="96.3" customHeight="1" outlineLevel="5">
      <c r="B67" s="6">
        <v>41</v>
      </c>
      <c r="C67" s="7" t="s">
        <v>226</v>
      </c>
      <c r="D67" s="71" t="s">
        <v>227</v>
      </c>
      <c r="E67" s="71"/>
      <c r="F67" s="71"/>
      <c r="G67" s="71"/>
      <c r="H67" s="8" t="s">
        <v>228</v>
      </c>
      <c r="I67" s="14">
        <v>130</v>
      </c>
      <c r="J67" s="8"/>
      <c r="K67" s="6">
        <v>10</v>
      </c>
      <c r="L67" s="10">
        <v>69.37</v>
      </c>
      <c r="M67" s="11"/>
      <c r="N67" s="8">
        <f t="shared" si="2"/>
        <v>0</v>
      </c>
      <c r="O67" s="12">
        <f t="shared" si="3"/>
        <v>0</v>
      </c>
      <c r="P67" s="13">
        <f t="shared" si="4"/>
        <v>0</v>
      </c>
      <c r="Q67" s="17" t="s">
        <v>37</v>
      </c>
      <c r="R67" s="8" t="s">
        <v>229</v>
      </c>
      <c r="S67" s="8"/>
      <c r="T67" s="7" t="str">
        <f>HYPERLINK("https://miland.ru/api/getInfo/image/0df6a287-b4c9-11f0-a286-00155d82e908")</f>
        <v>https://miland.ru/api/getInfo/image/0df6a287-b4c9-11f0-a286-00155d82e908</v>
      </c>
      <c r="U67" s="7"/>
      <c r="V67" s="7" t="s">
        <v>208</v>
      </c>
      <c r="W67" s="7" t="s">
        <v>82</v>
      </c>
      <c r="X67" s="7"/>
      <c r="Y67" s="7" t="s">
        <v>41</v>
      </c>
      <c r="Z67" s="7"/>
      <c r="AA67" s="7" t="str">
        <f>HYPERLINK("https://miland.ru/api/getInfo/item/0df6a287-b4c9-11f0-a286-00155d82e908")</f>
        <v>https://miland.ru/api/getInfo/item/0df6a287-b4c9-11f0-a286-00155d82e908</v>
      </c>
      <c r="AB67" s="7" t="s">
        <v>50</v>
      </c>
      <c r="AC67" s="7"/>
      <c r="AD67" s="7"/>
    </row>
    <row r="68" spans="2:30" s="1" customFormat="1" ht="96.3" customHeight="1" outlineLevel="5">
      <c r="B68" s="6">
        <v>42</v>
      </c>
      <c r="C68" s="7" t="s">
        <v>230</v>
      </c>
      <c r="D68" s="71" t="s">
        <v>231</v>
      </c>
      <c r="E68" s="71"/>
      <c r="F68" s="71"/>
      <c r="G68" s="71"/>
      <c r="H68" s="8" t="s">
        <v>232</v>
      </c>
      <c r="I68" s="14">
        <v>399</v>
      </c>
      <c r="J68" s="8"/>
      <c r="K68" s="6">
        <v>10</v>
      </c>
      <c r="L68" s="10">
        <v>69.37</v>
      </c>
      <c r="M68" s="11"/>
      <c r="N68" s="8">
        <f t="shared" si="2"/>
        <v>0</v>
      </c>
      <c r="O68" s="12">
        <f t="shared" si="3"/>
        <v>0</v>
      </c>
      <c r="P68" s="13">
        <f t="shared" si="4"/>
        <v>0</v>
      </c>
      <c r="Q68" s="17" t="s">
        <v>37</v>
      </c>
      <c r="R68" s="8" t="s">
        <v>233</v>
      </c>
      <c r="S68" s="8"/>
      <c r="T68" s="7" t="str">
        <f>HYPERLINK("https://miland.ru/api/getInfo/image/fe7a12d1-b4c9-11f0-a286-00155d82e908")</f>
        <v>https://miland.ru/api/getInfo/image/fe7a12d1-b4c9-11f0-a286-00155d82e908</v>
      </c>
      <c r="U68" s="7"/>
      <c r="V68" s="7" t="s">
        <v>208</v>
      </c>
      <c r="W68" s="7" t="s">
        <v>82</v>
      </c>
      <c r="X68" s="7"/>
      <c r="Y68" s="7" t="s">
        <v>41</v>
      </c>
      <c r="Z68" s="7"/>
      <c r="AA68" s="7" t="str">
        <f>HYPERLINK("https://miland.ru/api/getInfo/item/fe7a12d1-b4c9-11f0-a286-00155d82e908")</f>
        <v>https://miland.ru/api/getInfo/item/fe7a12d1-b4c9-11f0-a286-00155d82e908</v>
      </c>
      <c r="AB68" s="7" t="s">
        <v>50</v>
      </c>
      <c r="AC68" s="7"/>
      <c r="AD68" s="7"/>
    </row>
    <row r="69" spans="2:30" s="1" customFormat="1" ht="96.3" customHeight="1" outlineLevel="5">
      <c r="B69" s="6">
        <v>43</v>
      </c>
      <c r="C69" s="7" t="s">
        <v>234</v>
      </c>
      <c r="D69" s="71" t="s">
        <v>235</v>
      </c>
      <c r="E69" s="71"/>
      <c r="F69" s="71"/>
      <c r="G69" s="71"/>
      <c r="H69" s="8" t="s">
        <v>236</v>
      </c>
      <c r="I69" s="9" t="s">
        <v>36</v>
      </c>
      <c r="J69" s="8"/>
      <c r="K69" s="6">
        <v>10</v>
      </c>
      <c r="L69" s="10">
        <v>69.37</v>
      </c>
      <c r="M69" s="11"/>
      <c r="N69" s="8">
        <f t="shared" si="2"/>
        <v>0</v>
      </c>
      <c r="O69" s="12">
        <f t="shared" si="3"/>
        <v>0</v>
      </c>
      <c r="P69" s="13">
        <f t="shared" si="4"/>
        <v>0</v>
      </c>
      <c r="Q69" s="17" t="s">
        <v>37</v>
      </c>
      <c r="R69" s="8" t="s">
        <v>237</v>
      </c>
      <c r="S69" s="8"/>
      <c r="T69" s="7" t="str">
        <f>HYPERLINK("https://miland.ru/api/getInfo/image/a676f445-b4c9-11f0-a286-00155d82e908")</f>
        <v>https://miland.ru/api/getInfo/image/a676f445-b4c9-11f0-a286-00155d82e908</v>
      </c>
      <c r="U69" s="7"/>
      <c r="V69" s="7" t="s">
        <v>208</v>
      </c>
      <c r="W69" s="7" t="s">
        <v>82</v>
      </c>
      <c r="X69" s="7"/>
      <c r="Y69" s="7" t="s">
        <v>41</v>
      </c>
      <c r="Z69" s="7"/>
      <c r="AA69" s="7" t="str">
        <f>HYPERLINK("https://miland.ru/api/getInfo/item/a676f445-b4c9-11f0-a286-00155d82e908")</f>
        <v>https://miland.ru/api/getInfo/item/a676f445-b4c9-11f0-a286-00155d82e908</v>
      </c>
      <c r="AB69" s="7" t="s">
        <v>50</v>
      </c>
      <c r="AC69" s="7"/>
      <c r="AD69" s="7"/>
    </row>
    <row r="70" spans="2:30" s="1" customFormat="1" ht="96.3" customHeight="1" outlineLevel="5">
      <c r="B70" s="6">
        <v>44</v>
      </c>
      <c r="C70" s="7" t="s">
        <v>238</v>
      </c>
      <c r="D70" s="71" t="s">
        <v>239</v>
      </c>
      <c r="E70" s="71"/>
      <c r="F70" s="71"/>
      <c r="G70" s="71"/>
      <c r="H70" s="8" t="s">
        <v>240</v>
      </c>
      <c r="I70" s="14">
        <v>361</v>
      </c>
      <c r="J70" s="8"/>
      <c r="K70" s="6">
        <v>10</v>
      </c>
      <c r="L70" s="10">
        <v>69.37</v>
      </c>
      <c r="M70" s="11"/>
      <c r="N70" s="8">
        <f t="shared" si="2"/>
        <v>0</v>
      </c>
      <c r="O70" s="12">
        <f t="shared" si="3"/>
        <v>0</v>
      </c>
      <c r="P70" s="13">
        <f t="shared" si="4"/>
        <v>0</v>
      </c>
      <c r="Q70" s="17" t="s">
        <v>37</v>
      </c>
      <c r="R70" s="8" t="s">
        <v>241</v>
      </c>
      <c r="S70" s="8"/>
      <c r="T70" s="7" t="str">
        <f>HYPERLINK("https://miland.ru/api/getInfo/image/c9e39da5-b4c9-11f0-a286-00155d82e908")</f>
        <v>https://miland.ru/api/getInfo/image/c9e39da5-b4c9-11f0-a286-00155d82e908</v>
      </c>
      <c r="U70" s="7"/>
      <c r="V70" s="7" t="s">
        <v>208</v>
      </c>
      <c r="W70" s="7" t="s">
        <v>82</v>
      </c>
      <c r="X70" s="7"/>
      <c r="Y70" s="7" t="s">
        <v>41</v>
      </c>
      <c r="Z70" s="7"/>
      <c r="AA70" s="7" t="str">
        <f>HYPERLINK("https://miland.ru/api/getInfo/item/c9e39da5-b4c9-11f0-a286-00155d82e908")</f>
        <v>https://miland.ru/api/getInfo/item/c9e39da5-b4c9-11f0-a286-00155d82e908</v>
      </c>
      <c r="AB70" s="7" t="s">
        <v>50</v>
      </c>
      <c r="AC70" s="7"/>
      <c r="AD70" s="7"/>
    </row>
    <row r="71" spans="2:30" s="1" customFormat="1" ht="96.3" customHeight="1" outlineLevel="5">
      <c r="B71" s="6">
        <v>45</v>
      </c>
      <c r="C71" s="7" t="s">
        <v>242</v>
      </c>
      <c r="D71" s="71" t="s">
        <v>243</v>
      </c>
      <c r="E71" s="71"/>
      <c r="F71" s="71"/>
      <c r="G71" s="71"/>
      <c r="H71" s="8" t="s">
        <v>244</v>
      </c>
      <c r="I71" s="14">
        <v>396</v>
      </c>
      <c r="J71" s="8"/>
      <c r="K71" s="6">
        <v>10</v>
      </c>
      <c r="L71" s="10">
        <v>69.37</v>
      </c>
      <c r="M71" s="11"/>
      <c r="N71" s="8">
        <f t="shared" si="2"/>
        <v>0</v>
      </c>
      <c r="O71" s="12">
        <f t="shared" si="3"/>
        <v>0</v>
      </c>
      <c r="P71" s="13">
        <f t="shared" si="4"/>
        <v>0</v>
      </c>
      <c r="Q71" s="17" t="s">
        <v>37</v>
      </c>
      <c r="R71" s="8" t="s">
        <v>245</v>
      </c>
      <c r="S71" s="8"/>
      <c r="T71" s="7" t="str">
        <f>HYPERLINK("https://miland.ru/api/getInfo/image/161ed0d7-b4ca-11f0-a286-00155d82e908")</f>
        <v>https://miland.ru/api/getInfo/image/161ed0d7-b4ca-11f0-a286-00155d82e908</v>
      </c>
      <c r="U71" s="7"/>
      <c r="V71" s="7" t="s">
        <v>208</v>
      </c>
      <c r="W71" s="7" t="s">
        <v>82</v>
      </c>
      <c r="X71" s="7"/>
      <c r="Y71" s="7" t="s">
        <v>41</v>
      </c>
      <c r="Z71" s="7"/>
      <c r="AA71" s="7" t="str">
        <f>HYPERLINK("https://miland.ru/api/getInfo/item/161ed0d7-b4ca-11f0-a286-00155d82e908")</f>
        <v>https://miland.ru/api/getInfo/item/161ed0d7-b4ca-11f0-a286-00155d82e908</v>
      </c>
      <c r="AB71" s="7" t="s">
        <v>50</v>
      </c>
      <c r="AC71" s="7"/>
      <c r="AD71" s="7"/>
    </row>
    <row r="72" spans="2:30" s="1" customFormat="1" ht="96.3" customHeight="1" outlineLevel="5">
      <c r="B72" s="6">
        <v>46</v>
      </c>
      <c r="C72" s="7" t="s">
        <v>246</v>
      </c>
      <c r="D72" s="71" t="s">
        <v>247</v>
      </c>
      <c r="E72" s="71"/>
      <c r="F72" s="71"/>
      <c r="G72" s="71"/>
      <c r="H72" s="8" t="s">
        <v>248</v>
      </c>
      <c r="I72" s="9" t="s">
        <v>36</v>
      </c>
      <c r="J72" s="8"/>
      <c r="K72" s="6">
        <v>10</v>
      </c>
      <c r="L72" s="10">
        <v>69.37</v>
      </c>
      <c r="M72" s="11"/>
      <c r="N72" s="8">
        <f t="shared" si="2"/>
        <v>0</v>
      </c>
      <c r="O72" s="12">
        <f t="shared" si="3"/>
        <v>0</v>
      </c>
      <c r="P72" s="13">
        <f t="shared" si="4"/>
        <v>0</v>
      </c>
      <c r="Q72" s="17" t="s">
        <v>37</v>
      </c>
      <c r="R72" s="8" t="s">
        <v>249</v>
      </c>
      <c r="S72" s="8"/>
      <c r="T72" s="7" t="str">
        <f>HYPERLINK("https://miland.ru/api/getInfo/image/88d4b188-b4c9-11f0-a286-00155d82e908")</f>
        <v>https://miland.ru/api/getInfo/image/88d4b188-b4c9-11f0-a286-00155d82e908</v>
      </c>
      <c r="U72" s="7"/>
      <c r="V72" s="7" t="s">
        <v>208</v>
      </c>
      <c r="W72" s="7" t="s">
        <v>82</v>
      </c>
      <c r="X72" s="7"/>
      <c r="Y72" s="7" t="s">
        <v>41</v>
      </c>
      <c r="Z72" s="7"/>
      <c r="AA72" s="7" t="str">
        <f>HYPERLINK("https://miland.ru/api/getInfo/item/88d4b188-b4c9-11f0-a286-00155d82e908")</f>
        <v>https://miland.ru/api/getInfo/item/88d4b188-b4c9-11f0-a286-00155d82e908</v>
      </c>
      <c r="AB72" s="7" t="s">
        <v>50</v>
      </c>
      <c r="AC72" s="7"/>
      <c r="AD72" s="7"/>
    </row>
    <row r="73" spans="2:30" s="1" customFormat="1" ht="96.3" customHeight="1" outlineLevel="5">
      <c r="B73" s="6">
        <v>47</v>
      </c>
      <c r="C73" s="7" t="s">
        <v>250</v>
      </c>
      <c r="D73" s="71" t="s">
        <v>251</v>
      </c>
      <c r="E73" s="71"/>
      <c r="F73" s="71"/>
      <c r="G73" s="71"/>
      <c r="H73" s="8" t="s">
        <v>252</v>
      </c>
      <c r="I73" s="14">
        <v>385</v>
      </c>
      <c r="J73" s="8"/>
      <c r="K73" s="6">
        <v>10</v>
      </c>
      <c r="L73" s="10">
        <v>69.37</v>
      </c>
      <c r="M73" s="11"/>
      <c r="N73" s="8">
        <f t="shared" si="2"/>
        <v>0</v>
      </c>
      <c r="O73" s="12">
        <f t="shared" si="3"/>
        <v>0</v>
      </c>
      <c r="P73" s="13">
        <f t="shared" si="4"/>
        <v>0</v>
      </c>
      <c r="Q73" s="17" t="s">
        <v>37</v>
      </c>
      <c r="R73" s="8" t="s">
        <v>253</v>
      </c>
      <c r="S73" s="8"/>
      <c r="T73" s="7" t="str">
        <f>HYPERLINK("https://miland.ru/api/getInfo/image/319fba20-b4cb-11f0-a286-00155d82e908")</f>
        <v>https://miland.ru/api/getInfo/image/319fba20-b4cb-11f0-a286-00155d82e908</v>
      </c>
      <c r="U73" s="7"/>
      <c r="V73" s="7" t="s">
        <v>208</v>
      </c>
      <c r="W73" s="7" t="s">
        <v>82</v>
      </c>
      <c r="X73" s="7"/>
      <c r="Y73" s="7" t="s">
        <v>41</v>
      </c>
      <c r="Z73" s="7"/>
      <c r="AA73" s="7" t="str">
        <f>HYPERLINK("https://miland.ru/api/getInfo/item/319fba20-b4cb-11f0-a286-00155d82e908")</f>
        <v>https://miland.ru/api/getInfo/item/319fba20-b4cb-11f0-a286-00155d82e908</v>
      </c>
      <c r="AB73" s="7" t="s">
        <v>50</v>
      </c>
      <c r="AC73" s="7"/>
      <c r="AD73" s="7"/>
    </row>
    <row r="74" spans="2:30" s="1" customFormat="1" ht="96.3" customHeight="1" outlineLevel="5">
      <c r="B74" s="6">
        <v>48</v>
      </c>
      <c r="C74" s="7" t="s">
        <v>254</v>
      </c>
      <c r="D74" s="71" t="s">
        <v>255</v>
      </c>
      <c r="E74" s="71"/>
      <c r="F74" s="71"/>
      <c r="G74" s="71"/>
      <c r="H74" s="8" t="s">
        <v>256</v>
      </c>
      <c r="I74" s="14">
        <v>296</v>
      </c>
      <c r="J74" s="8"/>
      <c r="K74" s="6">
        <v>10</v>
      </c>
      <c r="L74" s="10">
        <v>69.37</v>
      </c>
      <c r="M74" s="11"/>
      <c r="N74" s="8">
        <f t="shared" si="2"/>
        <v>0</v>
      </c>
      <c r="O74" s="12">
        <f t="shared" si="3"/>
        <v>0</v>
      </c>
      <c r="P74" s="13">
        <f t="shared" si="4"/>
        <v>0</v>
      </c>
      <c r="Q74" s="17" t="s">
        <v>37</v>
      </c>
      <c r="R74" s="8" t="s">
        <v>257</v>
      </c>
      <c r="S74" s="8"/>
      <c r="T74" s="7" t="str">
        <f>HYPERLINK("https://miland.ru/api/getInfo/image/688a0a95-b4ca-11f0-a286-00155d82e908")</f>
        <v>https://miland.ru/api/getInfo/image/688a0a95-b4ca-11f0-a286-00155d82e908</v>
      </c>
      <c r="U74" s="7"/>
      <c r="V74" s="7" t="s">
        <v>208</v>
      </c>
      <c r="W74" s="7" t="s">
        <v>82</v>
      </c>
      <c r="X74" s="7"/>
      <c r="Y74" s="7" t="s">
        <v>41</v>
      </c>
      <c r="Z74" s="7"/>
      <c r="AA74" s="7" t="str">
        <f>HYPERLINK("https://miland.ru/api/getInfo/item/688a0a95-b4ca-11f0-a286-00155d82e908")</f>
        <v>https://miland.ru/api/getInfo/item/688a0a95-b4ca-11f0-a286-00155d82e908</v>
      </c>
      <c r="AB74" s="7" t="s">
        <v>50</v>
      </c>
      <c r="AC74" s="7"/>
      <c r="AD74" s="7"/>
    </row>
    <row r="75" spans="2:30" s="1" customFormat="1" ht="96.3" customHeight="1" outlineLevel="5">
      <c r="B75" s="6">
        <v>49</v>
      </c>
      <c r="C75" s="7" t="s">
        <v>258</v>
      </c>
      <c r="D75" s="71" t="s">
        <v>259</v>
      </c>
      <c r="E75" s="71"/>
      <c r="F75" s="71"/>
      <c r="G75" s="71"/>
      <c r="H75" s="8" t="s">
        <v>260</v>
      </c>
      <c r="I75" s="14">
        <v>391</v>
      </c>
      <c r="J75" s="8"/>
      <c r="K75" s="6">
        <v>10</v>
      </c>
      <c r="L75" s="10">
        <v>69.37</v>
      </c>
      <c r="M75" s="11"/>
      <c r="N75" s="8">
        <f t="shared" si="2"/>
        <v>0</v>
      </c>
      <c r="O75" s="12">
        <f t="shared" si="3"/>
        <v>0</v>
      </c>
      <c r="P75" s="13">
        <f t="shared" si="4"/>
        <v>0</v>
      </c>
      <c r="Q75" s="17" t="s">
        <v>37</v>
      </c>
      <c r="R75" s="8" t="s">
        <v>261</v>
      </c>
      <c r="S75" s="8"/>
      <c r="T75" s="7" t="str">
        <f>HYPERLINK("https://miland.ru/api/getInfo/image/5418b520-b4cb-11f0-a286-00155d82e908")</f>
        <v>https://miland.ru/api/getInfo/image/5418b520-b4cb-11f0-a286-00155d82e908</v>
      </c>
      <c r="U75" s="7"/>
      <c r="V75" s="7" t="s">
        <v>208</v>
      </c>
      <c r="W75" s="7" t="s">
        <v>82</v>
      </c>
      <c r="X75" s="7"/>
      <c r="Y75" s="7" t="s">
        <v>41</v>
      </c>
      <c r="Z75" s="7"/>
      <c r="AA75" s="7" t="str">
        <f>HYPERLINK("https://miland.ru/api/getInfo/item/5418b520-b4cb-11f0-a286-00155d82e908")</f>
        <v>https://miland.ru/api/getInfo/item/5418b520-b4cb-11f0-a286-00155d82e908</v>
      </c>
      <c r="AB75" s="7" t="s">
        <v>50</v>
      </c>
      <c r="AC75" s="7"/>
      <c r="AD75" s="7"/>
    </row>
    <row r="76" spans="2:30" s="1" customFormat="1" ht="96.3" customHeight="1" outlineLevel="5">
      <c r="B76" s="6">
        <v>50</v>
      </c>
      <c r="C76" s="7" t="s">
        <v>262</v>
      </c>
      <c r="D76" s="71" t="s">
        <v>263</v>
      </c>
      <c r="E76" s="71"/>
      <c r="F76" s="71"/>
      <c r="G76" s="71"/>
      <c r="H76" s="8" t="s">
        <v>264</v>
      </c>
      <c r="I76" s="14">
        <v>317</v>
      </c>
      <c r="J76" s="8"/>
      <c r="K76" s="6">
        <v>10</v>
      </c>
      <c r="L76" s="10">
        <v>69.37</v>
      </c>
      <c r="M76" s="11"/>
      <c r="N76" s="8">
        <f t="shared" si="2"/>
        <v>0</v>
      </c>
      <c r="O76" s="12">
        <f t="shared" si="3"/>
        <v>0</v>
      </c>
      <c r="P76" s="13">
        <f t="shared" si="4"/>
        <v>0</v>
      </c>
      <c r="Q76" s="17" t="s">
        <v>37</v>
      </c>
      <c r="R76" s="8" t="s">
        <v>265</v>
      </c>
      <c r="S76" s="8"/>
      <c r="T76" s="7" t="str">
        <f>HYPERLINK("https://miland.ru/api/getInfo/image/14217a53-b4cb-11f0-a286-00155d82e908")</f>
        <v>https://miland.ru/api/getInfo/image/14217a53-b4cb-11f0-a286-00155d82e908</v>
      </c>
      <c r="U76" s="7"/>
      <c r="V76" s="7" t="s">
        <v>208</v>
      </c>
      <c r="W76" s="7" t="s">
        <v>82</v>
      </c>
      <c r="X76" s="7"/>
      <c r="Y76" s="7" t="s">
        <v>41</v>
      </c>
      <c r="Z76" s="7"/>
      <c r="AA76" s="7" t="str">
        <f>HYPERLINK("https://miland.ru/api/getInfo/item/14217a53-b4cb-11f0-a286-00155d82e908")</f>
        <v>https://miland.ru/api/getInfo/item/14217a53-b4cb-11f0-a286-00155d82e908</v>
      </c>
      <c r="AB76" s="7" t="s">
        <v>50</v>
      </c>
      <c r="AC76" s="7"/>
      <c r="AD76" s="7"/>
    </row>
    <row r="77" spans="2:30" s="1" customFormat="1" ht="96.3" customHeight="1" outlineLevel="5">
      <c r="B77" s="6">
        <v>51</v>
      </c>
      <c r="C77" s="7" t="s">
        <v>266</v>
      </c>
      <c r="D77" s="71" t="s">
        <v>267</v>
      </c>
      <c r="E77" s="71"/>
      <c r="F77" s="71"/>
      <c r="G77" s="71"/>
      <c r="H77" s="8" t="s">
        <v>268</v>
      </c>
      <c r="I77" s="9" t="s">
        <v>36</v>
      </c>
      <c r="J77" s="8"/>
      <c r="K77" s="6">
        <v>10</v>
      </c>
      <c r="L77" s="10">
        <v>69.37</v>
      </c>
      <c r="M77" s="11"/>
      <c r="N77" s="8">
        <f t="shared" si="2"/>
        <v>0</v>
      </c>
      <c r="O77" s="12">
        <f t="shared" si="3"/>
        <v>0</v>
      </c>
      <c r="P77" s="13">
        <f t="shared" si="4"/>
        <v>0</v>
      </c>
      <c r="Q77" s="17" t="s">
        <v>37</v>
      </c>
      <c r="R77" s="8" t="s">
        <v>269</v>
      </c>
      <c r="S77" s="8"/>
      <c r="T77" s="7" t="str">
        <f>HYPERLINK("https://miland.ru/api/getInfo/image/4ea4835a-b4ca-11f0-a286-00155d82e908")</f>
        <v>https://miland.ru/api/getInfo/image/4ea4835a-b4ca-11f0-a286-00155d82e908</v>
      </c>
      <c r="U77" s="7"/>
      <c r="V77" s="7" t="s">
        <v>208</v>
      </c>
      <c r="W77" s="7" t="s">
        <v>82</v>
      </c>
      <c r="X77" s="7"/>
      <c r="Y77" s="7" t="s">
        <v>41</v>
      </c>
      <c r="Z77" s="7"/>
      <c r="AA77" s="7" t="str">
        <f>HYPERLINK("https://miland.ru/api/getInfo/item/4ea4835a-b4ca-11f0-a286-00155d82e908")</f>
        <v>https://miland.ru/api/getInfo/item/4ea4835a-b4ca-11f0-a286-00155d82e908</v>
      </c>
      <c r="AB77" s="7" t="s">
        <v>50</v>
      </c>
      <c r="AC77" s="7"/>
      <c r="AD77" s="7"/>
    </row>
    <row r="78" spans="2:30" s="1" customFormat="1" ht="96.3" customHeight="1" outlineLevel="5">
      <c r="B78" s="6">
        <v>52</v>
      </c>
      <c r="C78" s="7" t="s">
        <v>270</v>
      </c>
      <c r="D78" s="71" t="s">
        <v>271</v>
      </c>
      <c r="E78" s="71"/>
      <c r="F78" s="71"/>
      <c r="G78" s="71"/>
      <c r="H78" s="8" t="s">
        <v>272</v>
      </c>
      <c r="I78" s="14">
        <v>440</v>
      </c>
      <c r="J78" s="8"/>
      <c r="K78" s="6">
        <v>10</v>
      </c>
      <c r="L78" s="10">
        <v>69.37</v>
      </c>
      <c r="M78" s="11"/>
      <c r="N78" s="8">
        <f t="shared" si="2"/>
        <v>0</v>
      </c>
      <c r="O78" s="12">
        <f t="shared" si="3"/>
        <v>0</v>
      </c>
      <c r="P78" s="13">
        <f t="shared" si="4"/>
        <v>0</v>
      </c>
      <c r="Q78" s="17" t="s">
        <v>37</v>
      </c>
      <c r="R78" s="8" t="s">
        <v>273</v>
      </c>
      <c r="S78" s="8"/>
      <c r="T78" s="7" t="str">
        <f>HYPERLINK("https://miland.ru/api/getInfo/image/f5040898-b4ca-11f0-a286-00155d82e908")</f>
        <v>https://miland.ru/api/getInfo/image/f5040898-b4ca-11f0-a286-00155d82e908</v>
      </c>
      <c r="U78" s="7"/>
      <c r="V78" s="7" t="s">
        <v>208</v>
      </c>
      <c r="W78" s="7" t="s">
        <v>82</v>
      </c>
      <c r="X78" s="7"/>
      <c r="Y78" s="7" t="s">
        <v>41</v>
      </c>
      <c r="Z78" s="7"/>
      <c r="AA78" s="7" t="str">
        <f>HYPERLINK("https://miland.ru/api/getInfo/item/f5040898-b4ca-11f0-a286-00155d82e908")</f>
        <v>https://miland.ru/api/getInfo/item/f5040898-b4ca-11f0-a286-00155d82e908</v>
      </c>
      <c r="AB78" s="7" t="s">
        <v>50</v>
      </c>
      <c r="AC78" s="7"/>
      <c r="AD78" s="7"/>
    </row>
    <row r="79" spans="2:30" s="1" customFormat="1" ht="96.3" customHeight="1" outlineLevel="5">
      <c r="B79" s="6">
        <v>53</v>
      </c>
      <c r="C79" s="7" t="s">
        <v>274</v>
      </c>
      <c r="D79" s="71" t="s">
        <v>275</v>
      </c>
      <c r="E79" s="71"/>
      <c r="F79" s="71"/>
      <c r="G79" s="71"/>
      <c r="H79" s="8" t="s">
        <v>276</v>
      </c>
      <c r="I79" s="9" t="s">
        <v>36</v>
      </c>
      <c r="J79" s="8"/>
      <c r="K79" s="6">
        <v>10</v>
      </c>
      <c r="L79" s="10">
        <v>69.37</v>
      </c>
      <c r="M79" s="11"/>
      <c r="N79" s="8">
        <f t="shared" si="2"/>
        <v>0</v>
      </c>
      <c r="O79" s="12">
        <f t="shared" si="3"/>
        <v>0</v>
      </c>
      <c r="P79" s="13">
        <f t="shared" si="4"/>
        <v>0</v>
      </c>
      <c r="Q79" s="17" t="s">
        <v>37</v>
      </c>
      <c r="R79" s="8" t="s">
        <v>277</v>
      </c>
      <c r="S79" s="8"/>
      <c r="T79" s="7" t="str">
        <f>HYPERLINK("https://miland.ru/api/getInfo/image/85a2d2e0-b4ca-11f0-a286-00155d82e908")</f>
        <v>https://miland.ru/api/getInfo/image/85a2d2e0-b4ca-11f0-a286-00155d82e908</v>
      </c>
      <c r="U79" s="7"/>
      <c r="V79" s="7" t="s">
        <v>208</v>
      </c>
      <c r="W79" s="7" t="s">
        <v>82</v>
      </c>
      <c r="X79" s="7"/>
      <c r="Y79" s="7" t="s">
        <v>41</v>
      </c>
      <c r="Z79" s="7"/>
      <c r="AA79" s="7" t="str">
        <f>HYPERLINK("https://miland.ru/api/getInfo/item/85a2d2e0-b4ca-11f0-a286-00155d82e908")</f>
        <v>https://miland.ru/api/getInfo/item/85a2d2e0-b4ca-11f0-a286-00155d82e908</v>
      </c>
      <c r="AB79" s="7" t="s">
        <v>50</v>
      </c>
      <c r="AC79" s="7"/>
      <c r="AD79" s="7"/>
    </row>
    <row r="80" spans="2:30" s="1" customFormat="1" ht="96.3" customHeight="1" outlineLevel="5">
      <c r="B80" s="6">
        <v>54</v>
      </c>
      <c r="C80" s="7" t="s">
        <v>278</v>
      </c>
      <c r="D80" s="71" t="s">
        <v>279</v>
      </c>
      <c r="E80" s="71"/>
      <c r="F80" s="71"/>
      <c r="G80" s="71"/>
      <c r="H80" s="8" t="s">
        <v>280</v>
      </c>
      <c r="I80" s="14">
        <v>441</v>
      </c>
      <c r="J80" s="8"/>
      <c r="K80" s="6">
        <v>10</v>
      </c>
      <c r="L80" s="10">
        <v>69.37</v>
      </c>
      <c r="M80" s="11"/>
      <c r="N80" s="8">
        <f t="shared" si="2"/>
        <v>0</v>
      </c>
      <c r="O80" s="12">
        <f t="shared" si="3"/>
        <v>0</v>
      </c>
      <c r="P80" s="13">
        <f t="shared" si="4"/>
        <v>0</v>
      </c>
      <c r="Q80" s="17" t="s">
        <v>37</v>
      </c>
      <c r="R80" s="8" t="s">
        <v>281</v>
      </c>
      <c r="S80" s="8"/>
      <c r="T80" s="7" t="str">
        <f>HYPERLINK("https://miland.ru/api/getInfo/image/bb2e07bf-b4ca-11f0-a286-00155d82e908")</f>
        <v>https://miland.ru/api/getInfo/image/bb2e07bf-b4ca-11f0-a286-00155d82e908</v>
      </c>
      <c r="U80" s="7"/>
      <c r="V80" s="7" t="s">
        <v>208</v>
      </c>
      <c r="W80" s="7" t="s">
        <v>82</v>
      </c>
      <c r="X80" s="7"/>
      <c r="Y80" s="7" t="s">
        <v>41</v>
      </c>
      <c r="Z80" s="7"/>
      <c r="AA80" s="7" t="str">
        <f>HYPERLINK("https://miland.ru/api/getInfo/item/bb2e07bf-b4ca-11f0-a286-00155d82e908")</f>
        <v>https://miland.ru/api/getInfo/item/bb2e07bf-b4ca-11f0-a286-00155d82e908</v>
      </c>
      <c r="AB80" s="7" t="s">
        <v>50</v>
      </c>
      <c r="AC80" s="7"/>
      <c r="AD80" s="7"/>
    </row>
    <row r="81" spans="2:30" s="1" customFormat="1" ht="96.3" customHeight="1" outlineLevel="5">
      <c r="B81" s="6">
        <v>55</v>
      </c>
      <c r="C81" s="7" t="s">
        <v>282</v>
      </c>
      <c r="D81" s="71" t="s">
        <v>283</v>
      </c>
      <c r="E81" s="71"/>
      <c r="F81" s="71"/>
      <c r="G81" s="71"/>
      <c r="H81" s="8" t="s">
        <v>284</v>
      </c>
      <c r="I81" s="14">
        <v>142</v>
      </c>
      <c r="J81" s="8"/>
      <c r="K81" s="6">
        <v>10</v>
      </c>
      <c r="L81" s="10">
        <v>69.37</v>
      </c>
      <c r="M81" s="11"/>
      <c r="N81" s="8">
        <f t="shared" si="2"/>
        <v>0</v>
      </c>
      <c r="O81" s="12">
        <f t="shared" si="3"/>
        <v>0</v>
      </c>
      <c r="P81" s="13">
        <f t="shared" si="4"/>
        <v>0</v>
      </c>
      <c r="Q81" s="17" t="s">
        <v>37</v>
      </c>
      <c r="R81" s="8" t="s">
        <v>285</v>
      </c>
      <c r="S81" s="8"/>
      <c r="T81" s="7" t="str">
        <f>HYPERLINK("https://miland.ru/api/getInfo/image/a06a7c1a-b4ca-11f0-a286-00155d82e908")</f>
        <v>https://miland.ru/api/getInfo/image/a06a7c1a-b4ca-11f0-a286-00155d82e908</v>
      </c>
      <c r="U81" s="7"/>
      <c r="V81" s="7" t="s">
        <v>208</v>
      </c>
      <c r="W81" s="7" t="s">
        <v>82</v>
      </c>
      <c r="X81" s="7"/>
      <c r="Y81" s="7" t="s">
        <v>41</v>
      </c>
      <c r="Z81" s="7"/>
      <c r="AA81" s="7" t="str">
        <f>HYPERLINK("https://miland.ru/api/getInfo/item/a06a7c1a-b4ca-11f0-a286-00155d82e908")</f>
        <v>https://miland.ru/api/getInfo/item/a06a7c1a-b4ca-11f0-a286-00155d82e908</v>
      </c>
      <c r="AB81" s="7" t="s">
        <v>50</v>
      </c>
      <c r="AC81" s="7"/>
      <c r="AD81" s="7"/>
    </row>
    <row r="82" spans="2:30" s="1" customFormat="1" ht="96.3" customHeight="1" outlineLevel="5">
      <c r="B82" s="6">
        <v>56</v>
      </c>
      <c r="C82" s="7" t="s">
        <v>286</v>
      </c>
      <c r="D82" s="71" t="s">
        <v>287</v>
      </c>
      <c r="E82" s="71"/>
      <c r="F82" s="71"/>
      <c r="G82" s="71"/>
      <c r="H82" s="8" t="s">
        <v>288</v>
      </c>
      <c r="I82" s="9" t="s">
        <v>36</v>
      </c>
      <c r="J82" s="8"/>
      <c r="K82" s="6">
        <v>10</v>
      </c>
      <c r="L82" s="10">
        <v>69.37</v>
      </c>
      <c r="M82" s="11"/>
      <c r="N82" s="8">
        <f t="shared" si="2"/>
        <v>0</v>
      </c>
      <c r="O82" s="12">
        <f t="shared" si="3"/>
        <v>0</v>
      </c>
      <c r="P82" s="13">
        <f t="shared" si="4"/>
        <v>0</v>
      </c>
      <c r="Q82" s="17" t="s">
        <v>37</v>
      </c>
      <c r="R82" s="8" t="s">
        <v>289</v>
      </c>
      <c r="S82" s="8"/>
      <c r="T82" s="7" t="str">
        <f>HYPERLINK("https://miland.ru/api/getInfo/image/354199d9-b4ca-11f0-a286-00155d82e908")</f>
        <v>https://miland.ru/api/getInfo/image/354199d9-b4ca-11f0-a286-00155d82e908</v>
      </c>
      <c r="U82" s="7"/>
      <c r="V82" s="7" t="s">
        <v>208</v>
      </c>
      <c r="W82" s="7" t="s">
        <v>82</v>
      </c>
      <c r="X82" s="7"/>
      <c r="Y82" s="7" t="s">
        <v>41</v>
      </c>
      <c r="Z82" s="7"/>
      <c r="AA82" s="7" t="str">
        <f>HYPERLINK("https://miland.ru/api/getInfo/item/354199d9-b4ca-11f0-a286-00155d82e908")</f>
        <v>https://miland.ru/api/getInfo/item/354199d9-b4ca-11f0-a286-00155d82e908</v>
      </c>
      <c r="AB82" s="7" t="s">
        <v>50</v>
      </c>
      <c r="AC82" s="7"/>
      <c r="AD82" s="7"/>
    </row>
    <row r="83" spans="2:30" s="1" customFormat="1" ht="96.3" customHeight="1" outlineLevel="5">
      <c r="B83" s="6">
        <v>57</v>
      </c>
      <c r="C83" s="7" t="s">
        <v>290</v>
      </c>
      <c r="D83" s="71" t="s">
        <v>291</v>
      </c>
      <c r="E83" s="71"/>
      <c r="F83" s="71"/>
      <c r="G83" s="71"/>
      <c r="H83" s="8" t="s">
        <v>292</v>
      </c>
      <c r="I83" s="14">
        <v>356</v>
      </c>
      <c r="J83" s="8"/>
      <c r="K83" s="6">
        <v>10</v>
      </c>
      <c r="L83" s="10">
        <v>69.37</v>
      </c>
      <c r="M83" s="11"/>
      <c r="N83" s="8">
        <f t="shared" si="2"/>
        <v>0</v>
      </c>
      <c r="O83" s="12">
        <f t="shared" si="3"/>
        <v>0</v>
      </c>
      <c r="P83" s="13">
        <f t="shared" si="4"/>
        <v>0</v>
      </c>
      <c r="Q83" s="17" t="s">
        <v>37</v>
      </c>
      <c r="R83" s="8" t="s">
        <v>293</v>
      </c>
      <c r="S83" s="8"/>
      <c r="T83" s="7" t="str">
        <f>HYPERLINK("https://miland.ru/api/getInfo/image/d467494d-b4ca-11f0-a286-00155d82e908")</f>
        <v>https://miland.ru/api/getInfo/image/d467494d-b4ca-11f0-a286-00155d82e908</v>
      </c>
      <c r="U83" s="7"/>
      <c r="V83" s="7" t="s">
        <v>208</v>
      </c>
      <c r="W83" s="7" t="s">
        <v>82</v>
      </c>
      <c r="X83" s="7"/>
      <c r="Y83" s="7" t="s">
        <v>41</v>
      </c>
      <c r="Z83" s="7"/>
      <c r="AA83" s="7" t="str">
        <f>HYPERLINK("https://miland.ru/api/getInfo/item/d467494d-b4ca-11f0-a286-00155d82e908")</f>
        <v>https://miland.ru/api/getInfo/item/d467494d-b4ca-11f0-a286-00155d82e908</v>
      </c>
      <c r="AB83" s="7" t="s">
        <v>50</v>
      </c>
      <c r="AC83" s="7"/>
      <c r="AD83" s="7"/>
    </row>
    <row r="84" spans="2:30" ht="12" customHeight="1" outlineLevel="3">
      <c r="B84" s="70" t="s">
        <v>294</v>
      </c>
      <c r="C84" s="70"/>
      <c r="D84" s="70"/>
      <c r="E84" s="70"/>
      <c r="F84" s="70"/>
      <c r="G84" s="70"/>
    </row>
    <row r="85" spans="2:30" ht="12" customHeight="1" outlineLevel="4">
      <c r="B85" s="70" t="s">
        <v>295</v>
      </c>
      <c r="C85" s="70"/>
      <c r="D85" s="70"/>
      <c r="E85" s="70"/>
      <c r="F85" s="70"/>
      <c r="G85" s="70"/>
    </row>
    <row r="86" spans="2:30" ht="12" customHeight="1" outlineLevel="5">
      <c r="B86" s="70" t="s">
        <v>296</v>
      </c>
      <c r="C86" s="70"/>
      <c r="D86" s="70"/>
      <c r="E86" s="70"/>
      <c r="F86" s="70"/>
      <c r="G86" s="70"/>
    </row>
    <row r="87" spans="2:30" ht="12" customHeight="1" outlineLevel="6">
      <c r="B87" s="70" t="s">
        <v>297</v>
      </c>
      <c r="C87" s="70"/>
      <c r="D87" s="70"/>
      <c r="E87" s="70"/>
      <c r="F87" s="70"/>
      <c r="G87" s="70"/>
    </row>
    <row r="88" spans="2:30" s="1" customFormat="1" ht="96.3" customHeight="1" outlineLevel="7">
      <c r="B88" s="6">
        <v>58</v>
      </c>
      <c r="C88" s="7" t="s">
        <v>298</v>
      </c>
      <c r="D88" s="71" t="s">
        <v>299</v>
      </c>
      <c r="E88" s="71"/>
      <c r="F88" s="71"/>
      <c r="G88" s="71"/>
      <c r="H88" s="8" t="s">
        <v>300</v>
      </c>
      <c r="I88" s="9" t="s">
        <v>36</v>
      </c>
      <c r="J88" s="8"/>
      <c r="K88" s="6">
        <v>1</v>
      </c>
      <c r="L88" s="10">
        <v>647.5</v>
      </c>
      <c r="M88" s="11"/>
      <c r="N88" s="8">
        <f t="shared" ref="N88:N94" si="5">L88*M88</f>
        <v>0</v>
      </c>
      <c r="O88" s="12">
        <f>0.158*M88</f>
        <v>0</v>
      </c>
      <c r="P88" s="13">
        <f>0.00097*M88</f>
        <v>0</v>
      </c>
      <c r="Q88" s="17" t="s">
        <v>37</v>
      </c>
      <c r="R88" s="8" t="s">
        <v>301</v>
      </c>
      <c r="S88" s="8"/>
      <c r="T88" s="7" t="str">
        <f>HYPERLINK("https://miland.ru/api/getInfo/image/57f72dc7-067b-11f1-a28f-00155d82e908")</f>
        <v>https://miland.ru/api/getInfo/image/57f72dc7-067b-11f1-a28f-00155d82e908</v>
      </c>
      <c r="U88" s="7"/>
      <c r="V88" s="7"/>
      <c r="W88" s="7" t="s">
        <v>302</v>
      </c>
      <c r="X88" s="7"/>
      <c r="Y88" s="7" t="s">
        <v>41</v>
      </c>
      <c r="Z88" s="7"/>
      <c r="AA88" s="7" t="str">
        <f>HYPERLINK("https://miland.ru/api/getInfo/item/57f72dc7-067b-11f1-a28f-00155d82e908")</f>
        <v>https://miland.ru/api/getInfo/item/57f72dc7-067b-11f1-a28f-00155d82e908</v>
      </c>
      <c r="AB88" s="7" t="s">
        <v>50</v>
      </c>
      <c r="AC88" s="7"/>
      <c r="AD88" s="7"/>
    </row>
    <row r="89" spans="2:30" s="1" customFormat="1" ht="96.3" customHeight="1" outlineLevel="7">
      <c r="B89" s="6">
        <v>59</v>
      </c>
      <c r="C89" s="7" t="s">
        <v>303</v>
      </c>
      <c r="D89" s="71" t="s">
        <v>304</v>
      </c>
      <c r="E89" s="71"/>
      <c r="F89" s="71"/>
      <c r="G89" s="71"/>
      <c r="H89" s="8" t="s">
        <v>305</v>
      </c>
      <c r="I89" s="9" t="s">
        <v>36</v>
      </c>
      <c r="J89" s="8"/>
      <c r="K89" s="6">
        <v>6</v>
      </c>
      <c r="L89" s="10">
        <v>101.58</v>
      </c>
      <c r="M89" s="11"/>
      <c r="N89" s="8">
        <f t="shared" si="5"/>
        <v>0</v>
      </c>
      <c r="O89" s="12">
        <f>0.016*M89</f>
        <v>0</v>
      </c>
      <c r="P89" s="13">
        <f>0.00013*M89</f>
        <v>0</v>
      </c>
      <c r="Q89" s="17" t="s">
        <v>37</v>
      </c>
      <c r="R89" s="8" t="s">
        <v>306</v>
      </c>
      <c r="S89" s="8"/>
      <c r="T89" s="7" t="str">
        <f>HYPERLINK("https://miland.ru/api/getInfo/image/e21d7585-067d-11f1-a28f-00155d82e908")</f>
        <v>https://miland.ru/api/getInfo/image/e21d7585-067d-11f1-a28f-00155d82e908</v>
      </c>
      <c r="U89" s="7"/>
      <c r="V89" s="7"/>
      <c r="W89" s="7" t="s">
        <v>302</v>
      </c>
      <c r="X89" s="7" t="s">
        <v>307</v>
      </c>
      <c r="Y89" s="7" t="s">
        <v>41</v>
      </c>
      <c r="Z89" s="7"/>
      <c r="AA89" s="7" t="str">
        <f>HYPERLINK("https://miland.ru/api/getInfo/item/e21d7585-067d-11f1-a28f-00155d82e908")</f>
        <v>https://miland.ru/api/getInfo/item/e21d7585-067d-11f1-a28f-00155d82e908</v>
      </c>
      <c r="AB89" s="7" t="s">
        <v>50</v>
      </c>
      <c r="AC89" s="7"/>
      <c r="AD89" s="7"/>
    </row>
    <row r="90" spans="2:30" s="1" customFormat="1" ht="96.3" customHeight="1" outlineLevel="7">
      <c r="B90" s="6">
        <v>60</v>
      </c>
      <c r="C90" s="7" t="s">
        <v>308</v>
      </c>
      <c r="D90" s="71" t="s">
        <v>309</v>
      </c>
      <c r="E90" s="71"/>
      <c r="F90" s="71"/>
      <c r="G90" s="71"/>
      <c r="H90" s="8" t="s">
        <v>310</v>
      </c>
      <c r="I90" s="14">
        <v>34</v>
      </c>
      <c r="J90" s="8"/>
      <c r="K90" s="6">
        <v>6</v>
      </c>
      <c r="L90" s="10">
        <v>101.58</v>
      </c>
      <c r="M90" s="11"/>
      <c r="N90" s="8">
        <f t="shared" si="5"/>
        <v>0</v>
      </c>
      <c r="O90" s="12">
        <f>0.029*M90</f>
        <v>0</v>
      </c>
      <c r="P90" s="16">
        <f>0.0001*M90</f>
        <v>0</v>
      </c>
      <c r="Q90" s="17" t="s">
        <v>37</v>
      </c>
      <c r="R90" s="8" t="s">
        <v>311</v>
      </c>
      <c r="S90" s="8"/>
      <c r="T90" s="7" t="str">
        <f>HYPERLINK("https://miland.ru/api/getInfo/image/dc8a2cc0-0680-11f1-a28f-00155d82e908")</f>
        <v>https://miland.ru/api/getInfo/image/dc8a2cc0-0680-11f1-a28f-00155d82e908</v>
      </c>
      <c r="U90" s="7"/>
      <c r="V90" s="7"/>
      <c r="W90" s="7" t="s">
        <v>302</v>
      </c>
      <c r="X90" s="7" t="s">
        <v>307</v>
      </c>
      <c r="Y90" s="7" t="s">
        <v>41</v>
      </c>
      <c r="Z90" s="7"/>
      <c r="AA90" s="7" t="str">
        <f>HYPERLINK("https://miland.ru/api/getInfo/item/dc8a2cc0-0680-11f1-a28f-00155d82e908")</f>
        <v>https://miland.ru/api/getInfo/item/dc8a2cc0-0680-11f1-a28f-00155d82e908</v>
      </c>
      <c r="AB90" s="7" t="s">
        <v>50</v>
      </c>
      <c r="AC90" s="7"/>
      <c r="AD90" s="7"/>
    </row>
    <row r="91" spans="2:30" s="1" customFormat="1" ht="96.3" customHeight="1" outlineLevel="7">
      <c r="B91" s="6">
        <v>61</v>
      </c>
      <c r="C91" s="7" t="s">
        <v>312</v>
      </c>
      <c r="D91" s="71" t="s">
        <v>313</v>
      </c>
      <c r="E91" s="71"/>
      <c r="F91" s="71"/>
      <c r="G91" s="71"/>
      <c r="H91" s="8" t="s">
        <v>314</v>
      </c>
      <c r="I91" s="14">
        <v>6</v>
      </c>
      <c r="J91" s="8"/>
      <c r="K91" s="6">
        <v>6</v>
      </c>
      <c r="L91" s="10">
        <v>101.58</v>
      </c>
      <c r="M91" s="11"/>
      <c r="N91" s="8">
        <f t="shared" si="5"/>
        <v>0</v>
      </c>
      <c r="O91" s="12">
        <f>0.019*M91</f>
        <v>0</v>
      </c>
      <c r="P91" s="16">
        <f>0.0001*M91</f>
        <v>0</v>
      </c>
      <c r="Q91" s="17" t="s">
        <v>37</v>
      </c>
      <c r="R91" s="8" t="s">
        <v>315</v>
      </c>
      <c r="S91" s="8"/>
      <c r="T91" s="7" t="str">
        <f>HYPERLINK("https://miland.ru/api/getInfo/image/f4d11686-067d-11f1-a28f-00155d82e908")</f>
        <v>https://miland.ru/api/getInfo/image/f4d11686-067d-11f1-a28f-00155d82e908</v>
      </c>
      <c r="U91" s="7"/>
      <c r="V91" s="7"/>
      <c r="W91" s="7" t="s">
        <v>302</v>
      </c>
      <c r="X91" s="7" t="s">
        <v>307</v>
      </c>
      <c r="Y91" s="7" t="s">
        <v>41</v>
      </c>
      <c r="Z91" s="7"/>
      <c r="AA91" s="7" t="str">
        <f>HYPERLINK("https://miland.ru/api/getInfo/item/f4d11686-067d-11f1-a28f-00155d82e908")</f>
        <v>https://miland.ru/api/getInfo/item/f4d11686-067d-11f1-a28f-00155d82e908</v>
      </c>
      <c r="AB91" s="7" t="s">
        <v>50</v>
      </c>
      <c r="AC91" s="7"/>
      <c r="AD91" s="7"/>
    </row>
    <row r="92" spans="2:30" s="1" customFormat="1" ht="96.3" customHeight="1" outlineLevel="7">
      <c r="B92" s="6">
        <v>62</v>
      </c>
      <c r="C92" s="7" t="s">
        <v>316</v>
      </c>
      <c r="D92" s="71" t="s">
        <v>317</v>
      </c>
      <c r="E92" s="71"/>
      <c r="F92" s="71"/>
      <c r="G92" s="71"/>
      <c r="H92" s="8" t="s">
        <v>318</v>
      </c>
      <c r="I92" s="9" t="s">
        <v>36</v>
      </c>
      <c r="J92" s="8"/>
      <c r="K92" s="6">
        <v>6</v>
      </c>
      <c r="L92" s="10">
        <v>101.58</v>
      </c>
      <c r="M92" s="11"/>
      <c r="N92" s="8">
        <f t="shared" si="5"/>
        <v>0</v>
      </c>
      <c r="O92" s="12">
        <f>0.018*M92</f>
        <v>0</v>
      </c>
      <c r="P92" s="13">
        <f>0.00009*M92</f>
        <v>0</v>
      </c>
      <c r="Q92" s="17" t="s">
        <v>37</v>
      </c>
      <c r="R92" s="8" t="s">
        <v>319</v>
      </c>
      <c r="S92" s="8"/>
      <c r="T92" s="7" t="str">
        <f>HYPERLINK("https://miland.ru/api/getInfo/image/e6022c35-067e-11f1-a28f-00155d82e908")</f>
        <v>https://miland.ru/api/getInfo/image/e6022c35-067e-11f1-a28f-00155d82e908</v>
      </c>
      <c r="U92" s="7"/>
      <c r="V92" s="7"/>
      <c r="W92" s="7" t="s">
        <v>302</v>
      </c>
      <c r="X92" s="7" t="s">
        <v>307</v>
      </c>
      <c r="Y92" s="7" t="s">
        <v>41</v>
      </c>
      <c r="Z92" s="7"/>
      <c r="AA92" s="7" t="str">
        <f>HYPERLINK("https://miland.ru/api/getInfo/item/e6022c35-067e-11f1-a28f-00155d82e908")</f>
        <v>https://miland.ru/api/getInfo/item/e6022c35-067e-11f1-a28f-00155d82e908</v>
      </c>
      <c r="AB92" s="7" t="s">
        <v>50</v>
      </c>
      <c r="AC92" s="7"/>
      <c r="AD92" s="7"/>
    </row>
    <row r="93" spans="2:30" s="1" customFormat="1" ht="96.3" customHeight="1" outlineLevel="7">
      <c r="B93" s="6">
        <v>63</v>
      </c>
      <c r="C93" s="7" t="s">
        <v>320</v>
      </c>
      <c r="D93" s="71" t="s">
        <v>321</v>
      </c>
      <c r="E93" s="71"/>
      <c r="F93" s="71"/>
      <c r="G93" s="71"/>
      <c r="H93" s="8" t="s">
        <v>322</v>
      </c>
      <c r="I93" s="9" t="s">
        <v>36</v>
      </c>
      <c r="J93" s="8"/>
      <c r="K93" s="6">
        <v>6</v>
      </c>
      <c r="L93" s="10">
        <v>101.58</v>
      </c>
      <c r="M93" s="11"/>
      <c r="N93" s="8">
        <f t="shared" si="5"/>
        <v>0</v>
      </c>
      <c r="O93" s="12">
        <f>0.024*M93</f>
        <v>0</v>
      </c>
      <c r="P93" s="13">
        <f>0.00011*M93</f>
        <v>0</v>
      </c>
      <c r="Q93" s="17" t="s">
        <v>37</v>
      </c>
      <c r="R93" s="8" t="s">
        <v>323</v>
      </c>
      <c r="S93" s="8"/>
      <c r="T93" s="7" t="str">
        <f>HYPERLINK("https://miland.ru/api/getInfo/image/47457844-067e-11f1-a28f-00155d82e908")</f>
        <v>https://miland.ru/api/getInfo/image/47457844-067e-11f1-a28f-00155d82e908</v>
      </c>
      <c r="U93" s="7"/>
      <c r="V93" s="7"/>
      <c r="W93" s="7" t="s">
        <v>302</v>
      </c>
      <c r="X93" s="7" t="s">
        <v>307</v>
      </c>
      <c r="Y93" s="7" t="s">
        <v>41</v>
      </c>
      <c r="Z93" s="7"/>
      <c r="AA93" s="7" t="str">
        <f>HYPERLINK("https://miland.ru/api/getInfo/item/47457844-067e-11f1-a28f-00155d82e908")</f>
        <v>https://miland.ru/api/getInfo/item/47457844-067e-11f1-a28f-00155d82e908</v>
      </c>
      <c r="AB93" s="7" t="s">
        <v>50</v>
      </c>
      <c r="AC93" s="7"/>
      <c r="AD93" s="7"/>
    </row>
    <row r="94" spans="2:30" s="1" customFormat="1" ht="96.3" customHeight="1" outlineLevel="7">
      <c r="B94" s="6">
        <v>64</v>
      </c>
      <c r="C94" s="7" t="s">
        <v>324</v>
      </c>
      <c r="D94" s="71" t="s">
        <v>325</v>
      </c>
      <c r="E94" s="71"/>
      <c r="F94" s="71"/>
      <c r="G94" s="71"/>
      <c r="H94" s="8" t="s">
        <v>326</v>
      </c>
      <c r="I94" s="9" t="s">
        <v>36</v>
      </c>
      <c r="J94" s="8"/>
      <c r="K94" s="6">
        <v>6</v>
      </c>
      <c r="L94" s="10">
        <v>101.58</v>
      </c>
      <c r="M94" s="11"/>
      <c r="N94" s="8">
        <f t="shared" si="5"/>
        <v>0</v>
      </c>
      <c r="O94" s="12">
        <f>0.021*M94</f>
        <v>0</v>
      </c>
      <c r="P94" s="13">
        <f>0.00014*M94</f>
        <v>0</v>
      </c>
      <c r="Q94" s="17" t="s">
        <v>37</v>
      </c>
      <c r="R94" s="8" t="s">
        <v>327</v>
      </c>
      <c r="S94" s="8"/>
      <c r="T94" s="7" t="str">
        <f>HYPERLINK("https://miland.ru/api/getInfo/image/ca496a17-067d-11f1-a28f-00155d82e908")</f>
        <v>https://miland.ru/api/getInfo/image/ca496a17-067d-11f1-a28f-00155d82e908</v>
      </c>
      <c r="U94" s="7"/>
      <c r="V94" s="7"/>
      <c r="W94" s="7" t="s">
        <v>302</v>
      </c>
      <c r="X94" s="7"/>
      <c r="Y94" s="7" t="s">
        <v>41</v>
      </c>
      <c r="Z94" s="7"/>
      <c r="AA94" s="7" t="str">
        <f>HYPERLINK("https://miland.ru/api/getInfo/item/ca496a17-067d-11f1-a28f-00155d82e908")</f>
        <v>https://miland.ru/api/getInfo/item/ca496a17-067d-11f1-a28f-00155d82e908</v>
      </c>
      <c r="AB94" s="7" t="s">
        <v>50</v>
      </c>
      <c r="AC94" s="7"/>
      <c r="AD94" s="7"/>
    </row>
    <row r="95" spans="2:30" ht="12" customHeight="1" outlineLevel="6">
      <c r="B95" s="70" t="s">
        <v>328</v>
      </c>
      <c r="C95" s="70"/>
      <c r="D95" s="70"/>
      <c r="E95" s="70"/>
      <c r="F95" s="70"/>
      <c r="G95" s="70"/>
    </row>
    <row r="96" spans="2:30" s="1" customFormat="1" ht="96.3" customHeight="1" outlineLevel="7">
      <c r="B96" s="6">
        <v>65</v>
      </c>
      <c r="C96" s="7" t="s">
        <v>329</v>
      </c>
      <c r="D96" s="71" t="s">
        <v>330</v>
      </c>
      <c r="E96" s="71"/>
      <c r="F96" s="71"/>
      <c r="G96" s="71"/>
      <c r="H96" s="8" t="s">
        <v>331</v>
      </c>
      <c r="I96" s="14">
        <v>481</v>
      </c>
      <c r="J96" s="8"/>
      <c r="K96" s="6">
        <v>1</v>
      </c>
      <c r="L96" s="10">
        <v>519.16999999999996</v>
      </c>
      <c r="M96" s="11"/>
      <c r="N96" s="8">
        <f t="shared" ref="N96:N103" si="6">L96*M96</f>
        <v>0</v>
      </c>
      <c r="O96" s="12">
        <f>0.087*M96</f>
        <v>0</v>
      </c>
      <c r="P96" s="13">
        <f>0.00065*M96</f>
        <v>0</v>
      </c>
      <c r="Q96" s="17" t="s">
        <v>37</v>
      </c>
      <c r="R96" s="8" t="s">
        <v>332</v>
      </c>
      <c r="S96" s="8"/>
      <c r="T96" s="7" t="str">
        <f>HYPERLINK("https://miland.ru/api/getInfo/image/f398641c-318c-11f1-a292-00155d82e908")</f>
        <v>https://miland.ru/api/getInfo/image/f398641c-318c-11f1-a292-00155d82e908</v>
      </c>
      <c r="U96" s="7"/>
      <c r="V96" s="7"/>
      <c r="W96" s="7"/>
      <c r="X96" s="7"/>
      <c r="Y96" s="7" t="s">
        <v>41</v>
      </c>
      <c r="Z96" s="7"/>
      <c r="AA96" s="7" t="str">
        <f>HYPERLINK("https://miland.ru/api/getInfo/item/f398641c-318c-11f1-a292-00155d82e908")</f>
        <v>https://miland.ru/api/getInfo/item/f398641c-318c-11f1-a292-00155d82e908</v>
      </c>
      <c r="AB96" s="7" t="s">
        <v>50</v>
      </c>
      <c r="AC96" s="7"/>
      <c r="AD96" s="7"/>
    </row>
    <row r="97" spans="2:30" s="1" customFormat="1" ht="96.3" customHeight="1" outlineLevel="7">
      <c r="B97" s="6">
        <v>66</v>
      </c>
      <c r="C97" s="7" t="s">
        <v>333</v>
      </c>
      <c r="D97" s="71" t="s">
        <v>334</v>
      </c>
      <c r="E97" s="71"/>
      <c r="F97" s="71"/>
      <c r="G97" s="71"/>
      <c r="H97" s="8" t="s">
        <v>335</v>
      </c>
      <c r="I97" s="14">
        <v>179</v>
      </c>
      <c r="J97" s="8"/>
      <c r="K97" s="6">
        <v>10</v>
      </c>
      <c r="L97" s="10">
        <v>83.03</v>
      </c>
      <c r="M97" s="11"/>
      <c r="N97" s="8">
        <f t="shared" si="6"/>
        <v>0</v>
      </c>
      <c r="O97" s="12">
        <f>0.011*M97</f>
        <v>0</v>
      </c>
      <c r="P97" s="13">
        <f>0.00003*M97</f>
        <v>0</v>
      </c>
      <c r="Q97" s="17" t="s">
        <v>37</v>
      </c>
      <c r="R97" s="8" t="s">
        <v>336</v>
      </c>
      <c r="S97" s="8"/>
      <c r="T97" s="7" t="str">
        <f>HYPERLINK("https://miland.ru/api/getInfo/image/5da9fd98-318c-11f1-a292-00155d82e908")</f>
        <v>https://miland.ru/api/getInfo/image/5da9fd98-318c-11f1-a292-00155d82e908</v>
      </c>
      <c r="U97" s="7"/>
      <c r="V97" s="7"/>
      <c r="W97" s="7"/>
      <c r="X97" s="7" t="s">
        <v>307</v>
      </c>
      <c r="Y97" s="7" t="s">
        <v>41</v>
      </c>
      <c r="Z97" s="7"/>
      <c r="AA97" s="7" t="str">
        <f>HYPERLINK("https://miland.ru/api/getInfo/item/5da9fd98-318c-11f1-a292-00155d82e908")</f>
        <v>https://miland.ru/api/getInfo/item/5da9fd98-318c-11f1-a292-00155d82e908</v>
      </c>
      <c r="AB97" s="7" t="s">
        <v>50</v>
      </c>
      <c r="AC97" s="7"/>
      <c r="AD97" s="7"/>
    </row>
    <row r="98" spans="2:30" s="1" customFormat="1" ht="96.3" customHeight="1" outlineLevel="7">
      <c r="B98" s="6">
        <v>67</v>
      </c>
      <c r="C98" s="7" t="s">
        <v>337</v>
      </c>
      <c r="D98" s="71" t="s">
        <v>338</v>
      </c>
      <c r="E98" s="71"/>
      <c r="F98" s="71"/>
      <c r="G98" s="71"/>
      <c r="H98" s="8" t="s">
        <v>339</v>
      </c>
      <c r="I98" s="14">
        <v>293</v>
      </c>
      <c r="J98" s="8"/>
      <c r="K98" s="6">
        <v>10</v>
      </c>
      <c r="L98" s="10">
        <v>83.03</v>
      </c>
      <c r="M98" s="11"/>
      <c r="N98" s="8">
        <f t="shared" si="6"/>
        <v>0</v>
      </c>
      <c r="O98" s="12">
        <f>0.009*M98</f>
        <v>0</v>
      </c>
      <c r="P98" s="13">
        <f>0.00002*M98</f>
        <v>0</v>
      </c>
      <c r="Q98" s="17" t="s">
        <v>37</v>
      </c>
      <c r="R98" s="8" t="s">
        <v>340</v>
      </c>
      <c r="S98" s="8"/>
      <c r="T98" s="7" t="str">
        <f>HYPERLINK("https://miland.ru/api/getInfo/image/717d9613-318c-11f1-a292-00155d82e908")</f>
        <v>https://miland.ru/api/getInfo/image/717d9613-318c-11f1-a292-00155d82e908</v>
      </c>
      <c r="U98" s="7"/>
      <c r="V98" s="7"/>
      <c r="W98" s="7"/>
      <c r="X98" s="7" t="s">
        <v>307</v>
      </c>
      <c r="Y98" s="7" t="s">
        <v>41</v>
      </c>
      <c r="Z98" s="7"/>
      <c r="AA98" s="7" t="str">
        <f>HYPERLINK("https://miland.ru/api/getInfo/item/717d9613-318c-11f1-a292-00155d82e908")</f>
        <v>https://miland.ru/api/getInfo/item/717d9613-318c-11f1-a292-00155d82e908</v>
      </c>
      <c r="AB98" s="7" t="s">
        <v>50</v>
      </c>
      <c r="AC98" s="7"/>
      <c r="AD98" s="7"/>
    </row>
    <row r="99" spans="2:30" s="1" customFormat="1" ht="96.3" customHeight="1" outlineLevel="7">
      <c r="B99" s="6">
        <v>68</v>
      </c>
      <c r="C99" s="7" t="s">
        <v>341</v>
      </c>
      <c r="D99" s="71" t="s">
        <v>342</v>
      </c>
      <c r="E99" s="71"/>
      <c r="F99" s="71"/>
      <c r="G99" s="71"/>
      <c r="H99" s="8" t="s">
        <v>343</v>
      </c>
      <c r="I99" s="9" t="s">
        <v>36</v>
      </c>
      <c r="J99" s="8"/>
      <c r="K99" s="6">
        <v>10</v>
      </c>
      <c r="L99" s="10">
        <v>83.03</v>
      </c>
      <c r="M99" s="11"/>
      <c r="N99" s="8">
        <f t="shared" si="6"/>
        <v>0</v>
      </c>
      <c r="O99" s="12">
        <f>0.012*M99</f>
        <v>0</v>
      </c>
      <c r="P99" s="13">
        <f>0.00007*M99</f>
        <v>0</v>
      </c>
      <c r="Q99" s="17" t="s">
        <v>37</v>
      </c>
      <c r="R99" s="8" t="s">
        <v>344</v>
      </c>
      <c r="S99" s="8"/>
      <c r="T99" s="7" t="str">
        <f>HYPERLINK("https://miland.ru/api/getInfo/image/bb81ee3e-318c-11f1-a292-00155d82e908")</f>
        <v>https://miland.ru/api/getInfo/image/bb81ee3e-318c-11f1-a292-00155d82e908</v>
      </c>
      <c r="U99" s="7"/>
      <c r="V99" s="7"/>
      <c r="W99" s="7"/>
      <c r="X99" s="7"/>
      <c r="Y99" s="7" t="s">
        <v>41</v>
      </c>
      <c r="Z99" s="7"/>
      <c r="AA99" s="7" t="str">
        <f>HYPERLINK("https://miland.ru/api/getInfo/item/bb81ee3e-318c-11f1-a292-00155d82e908")</f>
        <v>https://miland.ru/api/getInfo/item/bb81ee3e-318c-11f1-a292-00155d82e908</v>
      </c>
      <c r="AB99" s="7" t="s">
        <v>50</v>
      </c>
      <c r="AC99" s="7"/>
      <c r="AD99" s="7"/>
    </row>
    <row r="100" spans="2:30" s="1" customFormat="1" ht="96.3" customHeight="1" outlineLevel="7">
      <c r="B100" s="6">
        <v>69</v>
      </c>
      <c r="C100" s="7" t="s">
        <v>345</v>
      </c>
      <c r="D100" s="71" t="s">
        <v>346</v>
      </c>
      <c r="E100" s="71"/>
      <c r="F100" s="71"/>
      <c r="G100" s="71"/>
      <c r="H100" s="8" t="s">
        <v>347</v>
      </c>
      <c r="I100" s="9" t="s">
        <v>36</v>
      </c>
      <c r="J100" s="8"/>
      <c r="K100" s="6">
        <v>10</v>
      </c>
      <c r="L100" s="10">
        <v>83.03</v>
      </c>
      <c r="M100" s="11"/>
      <c r="N100" s="8">
        <f t="shared" si="6"/>
        <v>0</v>
      </c>
      <c r="O100" s="12">
        <f>0.011*M100</f>
        <v>0</v>
      </c>
      <c r="P100" s="13">
        <f>0.00012*M100</f>
        <v>0</v>
      </c>
      <c r="Q100" s="17" t="s">
        <v>37</v>
      </c>
      <c r="R100" s="8" t="s">
        <v>348</v>
      </c>
      <c r="S100" s="8"/>
      <c r="T100" s="7" t="str">
        <f>HYPERLINK("https://miland.ru/api/getInfo/image/84810cbb-318c-11f1-a292-00155d82e908")</f>
        <v>https://miland.ru/api/getInfo/image/84810cbb-318c-11f1-a292-00155d82e908</v>
      </c>
      <c r="U100" s="7"/>
      <c r="V100" s="7"/>
      <c r="W100" s="7"/>
      <c r="X100" s="7" t="s">
        <v>307</v>
      </c>
      <c r="Y100" s="7" t="s">
        <v>41</v>
      </c>
      <c r="Z100" s="7"/>
      <c r="AA100" s="7" t="str">
        <f>HYPERLINK("https://miland.ru/api/getInfo/item/84810cbb-318c-11f1-a292-00155d82e908")</f>
        <v>https://miland.ru/api/getInfo/item/84810cbb-318c-11f1-a292-00155d82e908</v>
      </c>
      <c r="AB100" s="7" t="s">
        <v>50</v>
      </c>
      <c r="AC100" s="7"/>
      <c r="AD100" s="7"/>
    </row>
    <row r="101" spans="2:30" s="1" customFormat="1" ht="96.3" customHeight="1" outlineLevel="7">
      <c r="B101" s="6">
        <v>70</v>
      </c>
      <c r="C101" s="7" t="s">
        <v>349</v>
      </c>
      <c r="D101" s="71" t="s">
        <v>350</v>
      </c>
      <c r="E101" s="71"/>
      <c r="F101" s="71"/>
      <c r="G101" s="71"/>
      <c r="H101" s="8" t="s">
        <v>351</v>
      </c>
      <c r="I101" s="14">
        <v>353</v>
      </c>
      <c r="J101" s="8"/>
      <c r="K101" s="6">
        <v>10</v>
      </c>
      <c r="L101" s="10">
        <v>83.03</v>
      </c>
      <c r="M101" s="11"/>
      <c r="N101" s="8">
        <f t="shared" si="6"/>
        <v>0</v>
      </c>
      <c r="O101" s="12">
        <f>0.011*M101</f>
        <v>0</v>
      </c>
      <c r="P101" s="13">
        <f>0.00034*M101</f>
        <v>0</v>
      </c>
      <c r="Q101" s="17" t="s">
        <v>37</v>
      </c>
      <c r="R101" s="8" t="s">
        <v>352</v>
      </c>
      <c r="S101" s="8"/>
      <c r="T101" s="7" t="str">
        <f>HYPERLINK("https://miland.ru/api/getInfo/image/9831177a-318c-11f1-a292-00155d82e908")</f>
        <v>https://miland.ru/api/getInfo/image/9831177a-318c-11f1-a292-00155d82e908</v>
      </c>
      <c r="U101" s="7"/>
      <c r="V101" s="7"/>
      <c r="W101" s="7"/>
      <c r="X101" s="7" t="s">
        <v>307</v>
      </c>
      <c r="Y101" s="7" t="s">
        <v>41</v>
      </c>
      <c r="Z101" s="7"/>
      <c r="AA101" s="7" t="str">
        <f>HYPERLINK("https://miland.ru/api/getInfo/item/9831177a-318c-11f1-a292-00155d82e908")</f>
        <v>https://miland.ru/api/getInfo/item/9831177a-318c-11f1-a292-00155d82e908</v>
      </c>
      <c r="AB101" s="7" t="s">
        <v>50</v>
      </c>
      <c r="AC101" s="7"/>
      <c r="AD101" s="7"/>
    </row>
    <row r="102" spans="2:30" s="1" customFormat="1" ht="96.3" customHeight="1" outlineLevel="7">
      <c r="B102" s="6">
        <v>71</v>
      </c>
      <c r="C102" s="7" t="s">
        <v>353</v>
      </c>
      <c r="D102" s="71" t="s">
        <v>354</v>
      </c>
      <c r="E102" s="71"/>
      <c r="F102" s="71"/>
      <c r="G102" s="71"/>
      <c r="H102" s="8" t="s">
        <v>355</v>
      </c>
      <c r="I102" s="14">
        <v>226</v>
      </c>
      <c r="J102" s="8"/>
      <c r="K102" s="6">
        <v>10</v>
      </c>
      <c r="L102" s="10">
        <v>83.03</v>
      </c>
      <c r="M102" s="11"/>
      <c r="N102" s="8">
        <f t="shared" si="6"/>
        <v>0</v>
      </c>
      <c r="O102" s="12">
        <f>0.011*M102</f>
        <v>0</v>
      </c>
      <c r="P102" s="13">
        <f>0.00035*M102</f>
        <v>0</v>
      </c>
      <c r="Q102" s="17" t="s">
        <v>37</v>
      </c>
      <c r="R102" s="8" t="s">
        <v>356</v>
      </c>
      <c r="S102" s="8"/>
      <c r="T102" s="7" t="str">
        <f>HYPERLINK("https://miland.ru/api/getInfo/image/4e1571a9-318c-11f1-a292-00155d82e908")</f>
        <v>https://miland.ru/api/getInfo/image/4e1571a9-318c-11f1-a292-00155d82e908</v>
      </c>
      <c r="U102" s="7"/>
      <c r="V102" s="7"/>
      <c r="W102" s="7"/>
      <c r="X102" s="7" t="s">
        <v>307</v>
      </c>
      <c r="Y102" s="7" t="s">
        <v>41</v>
      </c>
      <c r="Z102" s="7"/>
      <c r="AA102" s="7" t="str">
        <f>HYPERLINK("https://miland.ru/api/getInfo/item/4e1571a9-318c-11f1-a292-00155d82e908")</f>
        <v>https://miland.ru/api/getInfo/item/4e1571a9-318c-11f1-a292-00155d82e908</v>
      </c>
      <c r="AB102" s="7" t="s">
        <v>50</v>
      </c>
      <c r="AC102" s="7"/>
      <c r="AD102" s="7"/>
    </row>
    <row r="103" spans="2:30" s="1" customFormat="1" ht="96.3" customHeight="1" outlineLevel="7">
      <c r="B103" s="6">
        <v>72</v>
      </c>
      <c r="C103" s="7" t="s">
        <v>357</v>
      </c>
      <c r="D103" s="71" t="s">
        <v>358</v>
      </c>
      <c r="E103" s="71"/>
      <c r="F103" s="71"/>
      <c r="G103" s="71"/>
      <c r="H103" s="8" t="s">
        <v>359</v>
      </c>
      <c r="I103" s="14">
        <v>195</v>
      </c>
      <c r="J103" s="8"/>
      <c r="K103" s="6">
        <v>10</v>
      </c>
      <c r="L103" s="10">
        <v>83.03</v>
      </c>
      <c r="M103" s="11"/>
      <c r="N103" s="8">
        <f t="shared" si="6"/>
        <v>0</v>
      </c>
      <c r="O103" s="12">
        <f>0.013*M103</f>
        <v>0</v>
      </c>
      <c r="P103" s="13">
        <f>0.00036*M103</f>
        <v>0</v>
      </c>
      <c r="Q103" s="17" t="s">
        <v>37</v>
      </c>
      <c r="R103" s="8" t="s">
        <v>360</v>
      </c>
      <c r="S103" s="8"/>
      <c r="T103" s="7" t="str">
        <f>HYPERLINK("https://miland.ru/api/getInfo/image/25d64606-318c-11f1-a292-00155d82e908")</f>
        <v>https://miland.ru/api/getInfo/image/25d64606-318c-11f1-a292-00155d82e908</v>
      </c>
      <c r="U103" s="7"/>
      <c r="V103" s="7"/>
      <c r="W103" s="7"/>
      <c r="X103" s="7" t="s">
        <v>307</v>
      </c>
      <c r="Y103" s="7" t="s">
        <v>41</v>
      </c>
      <c r="Z103" s="7"/>
      <c r="AA103" s="7" t="str">
        <f>HYPERLINK("https://miland.ru/api/getInfo/item/25d64606-318c-11f1-a292-00155d82e908")</f>
        <v>https://miland.ru/api/getInfo/item/25d64606-318c-11f1-a292-00155d82e908</v>
      </c>
      <c r="AB103" s="7" t="s">
        <v>50</v>
      </c>
      <c r="AC103" s="7"/>
      <c r="AD103" s="7"/>
    </row>
    <row r="104" spans="2:30" ht="12" customHeight="1" outlineLevel="5">
      <c r="B104" s="70" t="s">
        <v>361</v>
      </c>
      <c r="C104" s="70"/>
      <c r="D104" s="70"/>
      <c r="E104" s="70"/>
      <c r="F104" s="70"/>
      <c r="G104" s="70"/>
    </row>
    <row r="105" spans="2:30" s="1" customFormat="1" ht="96.3" customHeight="1" outlineLevel="6">
      <c r="B105" s="6">
        <v>73</v>
      </c>
      <c r="C105" s="7" t="s">
        <v>362</v>
      </c>
      <c r="D105" s="71" t="s">
        <v>363</v>
      </c>
      <c r="E105" s="71"/>
      <c r="F105" s="71"/>
      <c r="G105" s="71"/>
      <c r="H105" s="8" t="s">
        <v>364</v>
      </c>
      <c r="I105" s="14">
        <v>194</v>
      </c>
      <c r="J105" s="8"/>
      <c r="K105" s="6">
        <v>2</v>
      </c>
      <c r="L105" s="10">
        <v>368.64</v>
      </c>
      <c r="M105" s="11"/>
      <c r="N105" s="8">
        <f>L105*M105</f>
        <v>0</v>
      </c>
      <c r="O105" s="12">
        <f>0.079*M105</f>
        <v>0</v>
      </c>
      <c r="P105" s="13">
        <f>0.00029*M105</f>
        <v>0</v>
      </c>
      <c r="Q105" s="17" t="s">
        <v>37</v>
      </c>
      <c r="R105" s="8" t="s">
        <v>365</v>
      </c>
      <c r="S105" s="8"/>
      <c r="T105" s="7" t="str">
        <f>HYPERLINK("https://miland.ru/api/getInfo/image/6dba8da9-08d0-11f1-a28f-00155d82e908")</f>
        <v>https://miland.ru/api/getInfo/image/6dba8da9-08d0-11f1-a28f-00155d82e908</v>
      </c>
      <c r="U105" s="7"/>
      <c r="V105" s="7"/>
      <c r="W105" s="7" t="s">
        <v>82</v>
      </c>
      <c r="X105" s="7"/>
      <c r="Y105" s="7" t="s">
        <v>41</v>
      </c>
      <c r="Z105" s="7"/>
      <c r="AA105" s="7" t="str">
        <f>HYPERLINK("https://miland.ru/api/getInfo/item/6dba8da9-08d0-11f1-a28f-00155d82e908")</f>
        <v>https://miland.ru/api/getInfo/item/6dba8da9-08d0-11f1-a28f-00155d82e908</v>
      </c>
      <c r="AB105" s="7" t="s">
        <v>42</v>
      </c>
      <c r="AC105" s="7"/>
      <c r="AD105" s="7"/>
    </row>
    <row r="106" spans="2:30" s="1" customFormat="1" ht="96.3" customHeight="1" outlineLevel="6">
      <c r="B106" s="6">
        <v>74</v>
      </c>
      <c r="C106" s="7" t="s">
        <v>366</v>
      </c>
      <c r="D106" s="71" t="s">
        <v>367</v>
      </c>
      <c r="E106" s="71"/>
      <c r="F106" s="71"/>
      <c r="G106" s="71"/>
      <c r="H106" s="8" t="s">
        <v>368</v>
      </c>
      <c r="I106" s="9" t="s">
        <v>36</v>
      </c>
      <c r="J106" s="8"/>
      <c r="K106" s="6">
        <v>2</v>
      </c>
      <c r="L106" s="10">
        <v>368.64</v>
      </c>
      <c r="M106" s="11"/>
      <c r="N106" s="8">
        <f>L106*M106</f>
        <v>0</v>
      </c>
      <c r="O106" s="12">
        <f>0.072*M106</f>
        <v>0</v>
      </c>
      <c r="P106" s="13">
        <f>0.00029*M106</f>
        <v>0</v>
      </c>
      <c r="Q106" s="17" t="s">
        <v>37</v>
      </c>
      <c r="R106" s="8" t="s">
        <v>369</v>
      </c>
      <c r="S106" s="8"/>
      <c r="T106" s="7" t="str">
        <f>HYPERLINK("https://miland.ru/api/getInfo/image/3fd9a294-08d0-11f1-a28f-00155d82e908")</f>
        <v>https://miland.ru/api/getInfo/image/3fd9a294-08d0-11f1-a28f-00155d82e908</v>
      </c>
      <c r="U106" s="7"/>
      <c r="V106" s="7"/>
      <c r="W106" s="7" t="s">
        <v>82</v>
      </c>
      <c r="X106" s="7"/>
      <c r="Y106" s="7" t="s">
        <v>41</v>
      </c>
      <c r="Z106" s="7"/>
      <c r="AA106" s="7" t="str">
        <f>HYPERLINK("https://miland.ru/api/getInfo/item/3fd9a294-08d0-11f1-a28f-00155d82e908")</f>
        <v>https://miland.ru/api/getInfo/item/3fd9a294-08d0-11f1-a28f-00155d82e908</v>
      </c>
      <c r="AB106" s="7" t="s">
        <v>42</v>
      </c>
      <c r="AC106" s="7"/>
      <c r="AD106" s="7"/>
    </row>
    <row r="107" spans="2:30" ht="12" customHeight="1" outlineLevel="3">
      <c r="B107" s="70" t="s">
        <v>370</v>
      </c>
      <c r="C107" s="70"/>
      <c r="D107" s="70"/>
      <c r="E107" s="70"/>
      <c r="F107" s="70"/>
      <c r="G107" s="70"/>
    </row>
    <row r="108" spans="2:30" ht="12" customHeight="1" outlineLevel="4">
      <c r="B108" s="70" t="s">
        <v>371</v>
      </c>
      <c r="C108" s="70"/>
      <c r="D108" s="70"/>
      <c r="E108" s="70"/>
      <c r="F108" s="70"/>
      <c r="G108" s="70"/>
    </row>
    <row r="109" spans="2:30" ht="12" customHeight="1" outlineLevel="5">
      <c r="B109" s="70" t="s">
        <v>372</v>
      </c>
      <c r="C109" s="70"/>
      <c r="D109" s="70"/>
      <c r="E109" s="70"/>
      <c r="F109" s="70"/>
      <c r="G109" s="70"/>
    </row>
    <row r="110" spans="2:30" ht="12" customHeight="1" outlineLevel="6">
      <c r="B110" s="70" t="s">
        <v>373</v>
      </c>
      <c r="C110" s="70"/>
      <c r="D110" s="70"/>
      <c r="E110" s="70"/>
      <c r="F110" s="70"/>
      <c r="G110" s="70"/>
    </row>
    <row r="111" spans="2:30" s="1" customFormat="1" ht="96.3" customHeight="1" outlineLevel="7">
      <c r="B111" s="6">
        <v>75</v>
      </c>
      <c r="C111" s="7" t="s">
        <v>374</v>
      </c>
      <c r="D111" s="71" t="s">
        <v>375</v>
      </c>
      <c r="E111" s="71"/>
      <c r="F111" s="71"/>
      <c r="G111" s="71"/>
      <c r="H111" s="8" t="s">
        <v>376</v>
      </c>
      <c r="I111" s="9" t="s">
        <v>36</v>
      </c>
      <c r="J111" s="8"/>
      <c r="K111" s="6">
        <v>12</v>
      </c>
      <c r="L111" s="10">
        <v>86.31</v>
      </c>
      <c r="M111" s="11"/>
      <c r="N111" s="8">
        <f>L111*M111</f>
        <v>0</v>
      </c>
      <c r="O111" s="18">
        <f>0.09*M111</f>
        <v>0</v>
      </c>
      <c r="P111" s="13">
        <f>0.00037*M111</f>
        <v>0</v>
      </c>
      <c r="Q111" s="17" t="s">
        <v>37</v>
      </c>
      <c r="R111" s="8" t="s">
        <v>377</v>
      </c>
      <c r="S111" s="8"/>
      <c r="T111" s="7" t="str">
        <f>HYPERLINK("https://miland.ru/api/getInfo/image/c152a683-faaa-11f0-a28e-00155d82e908")</f>
        <v>https://miland.ru/api/getInfo/image/c152a683-faaa-11f0-a28e-00155d82e908</v>
      </c>
      <c r="U111" s="7"/>
      <c r="V111" s="7"/>
      <c r="W111" s="7" t="s">
        <v>378</v>
      </c>
      <c r="X111" s="7"/>
      <c r="Y111" s="7" t="s">
        <v>41</v>
      </c>
      <c r="Z111" s="7"/>
      <c r="AA111" s="7" t="str">
        <f>HYPERLINK("https://miland.ru/api/getInfo/item/c152a683-faaa-11f0-a28e-00155d82e908")</f>
        <v>https://miland.ru/api/getInfo/item/c152a683-faaa-11f0-a28e-00155d82e908</v>
      </c>
      <c r="AB111" s="7" t="s">
        <v>42</v>
      </c>
      <c r="AC111" s="7"/>
      <c r="AD111" s="7"/>
    </row>
    <row r="112" spans="2:30" ht="12" customHeight="1" outlineLevel="5">
      <c r="B112" s="70" t="s">
        <v>379</v>
      </c>
      <c r="C112" s="70"/>
      <c r="D112" s="70"/>
      <c r="E112" s="70"/>
      <c r="F112" s="70"/>
      <c r="G112" s="70"/>
    </row>
    <row r="113" spans="2:30" ht="12" customHeight="1" outlineLevel="6">
      <c r="B113" s="70" t="s">
        <v>373</v>
      </c>
      <c r="C113" s="70"/>
      <c r="D113" s="70"/>
      <c r="E113" s="70"/>
      <c r="F113" s="70"/>
      <c r="G113" s="70"/>
    </row>
    <row r="114" spans="2:30" s="1" customFormat="1" ht="96.3" customHeight="1" outlineLevel="7">
      <c r="B114" s="6">
        <v>76</v>
      </c>
      <c r="C114" s="7" t="s">
        <v>380</v>
      </c>
      <c r="D114" s="71" t="s">
        <v>381</v>
      </c>
      <c r="E114" s="71"/>
      <c r="F114" s="71"/>
      <c r="G114" s="71"/>
      <c r="H114" s="8" t="s">
        <v>382</v>
      </c>
      <c r="I114" s="9" t="s">
        <v>36</v>
      </c>
      <c r="J114" s="8"/>
      <c r="K114" s="6">
        <v>12</v>
      </c>
      <c r="L114" s="10">
        <v>107.54</v>
      </c>
      <c r="M114" s="11"/>
      <c r="N114" s="8">
        <f>L114*M114</f>
        <v>0</v>
      </c>
      <c r="O114" s="12">
        <f>0.103*M114</f>
        <v>0</v>
      </c>
      <c r="P114" s="13">
        <f>0.00059*M114</f>
        <v>0</v>
      </c>
      <c r="Q114" s="17" t="s">
        <v>37</v>
      </c>
      <c r="R114" s="8" t="s">
        <v>383</v>
      </c>
      <c r="S114" s="8"/>
      <c r="T114" s="7" t="str">
        <f>HYPERLINK("https://miland.ru/api/getInfo/image/0872960f-faab-11f0-a28e-00155d82e908")</f>
        <v>https://miland.ru/api/getInfo/image/0872960f-faab-11f0-a28e-00155d82e908</v>
      </c>
      <c r="U114" s="7"/>
      <c r="V114" s="7"/>
      <c r="W114" s="7" t="s">
        <v>378</v>
      </c>
      <c r="X114" s="7"/>
      <c r="Y114" s="7" t="s">
        <v>41</v>
      </c>
      <c r="Z114" s="7"/>
      <c r="AA114" s="7" t="str">
        <f>HYPERLINK("https://miland.ru/api/getInfo/item/0872960f-faab-11f0-a28e-00155d82e908")</f>
        <v>https://miland.ru/api/getInfo/item/0872960f-faab-11f0-a28e-00155d82e908</v>
      </c>
      <c r="AB114" s="7" t="s">
        <v>42</v>
      </c>
      <c r="AC114" s="7"/>
      <c r="AD114" s="7"/>
    </row>
    <row r="115" spans="2:30" ht="12" customHeight="1" outlineLevel="6">
      <c r="B115" s="70" t="s">
        <v>384</v>
      </c>
      <c r="C115" s="70"/>
      <c r="D115" s="70"/>
      <c r="E115" s="70"/>
      <c r="F115" s="70"/>
      <c r="G115" s="70"/>
    </row>
    <row r="116" spans="2:30" s="1" customFormat="1" ht="96.3" customHeight="1" outlineLevel="7">
      <c r="B116" s="6">
        <v>77</v>
      </c>
      <c r="C116" s="7" t="s">
        <v>385</v>
      </c>
      <c r="D116" s="71" t="s">
        <v>386</v>
      </c>
      <c r="E116" s="71"/>
      <c r="F116" s="71"/>
      <c r="G116" s="71"/>
      <c r="H116" s="8" t="s">
        <v>387</v>
      </c>
      <c r="I116" s="9" t="s">
        <v>36</v>
      </c>
      <c r="J116" s="8"/>
      <c r="K116" s="6">
        <v>12</v>
      </c>
      <c r="L116" s="10">
        <v>72.36</v>
      </c>
      <c r="M116" s="11"/>
      <c r="N116" s="8">
        <f>L116*M116</f>
        <v>0</v>
      </c>
      <c r="O116" s="12">
        <f>0.094*M116</f>
        <v>0</v>
      </c>
      <c r="P116" s="16">
        <f>0.0006*M116</f>
        <v>0</v>
      </c>
      <c r="Q116" s="17" t="s">
        <v>37</v>
      </c>
      <c r="R116" s="8" t="s">
        <v>388</v>
      </c>
      <c r="S116" s="8"/>
      <c r="T116" s="7" t="str">
        <f>HYPERLINK("https://miland.ru/api/getInfo/image/377272af-faab-11f0-a28e-00155d82e908")</f>
        <v>https://miland.ru/api/getInfo/image/377272af-faab-11f0-a28e-00155d82e908</v>
      </c>
      <c r="U116" s="7"/>
      <c r="V116" s="7"/>
      <c r="W116" s="7" t="s">
        <v>378</v>
      </c>
      <c r="X116" s="7"/>
      <c r="Y116" s="7" t="s">
        <v>41</v>
      </c>
      <c r="Z116" s="7"/>
      <c r="AA116" s="7" t="str">
        <f>HYPERLINK("https://miland.ru/api/getInfo/item/377272af-faab-11f0-a28e-00155d82e908")</f>
        <v>https://miland.ru/api/getInfo/item/377272af-faab-11f0-a28e-00155d82e908</v>
      </c>
      <c r="AB116" s="7" t="s">
        <v>42</v>
      </c>
      <c r="AC116" s="7"/>
      <c r="AD116" s="7"/>
    </row>
    <row r="117" spans="2:30" s="1" customFormat="1" ht="96.3" customHeight="1" outlineLevel="7">
      <c r="B117" s="6">
        <v>78</v>
      </c>
      <c r="C117" s="7" t="s">
        <v>389</v>
      </c>
      <c r="D117" s="71" t="s">
        <v>390</v>
      </c>
      <c r="E117" s="71"/>
      <c r="F117" s="71"/>
      <c r="G117" s="71"/>
      <c r="H117" s="8" t="s">
        <v>391</v>
      </c>
      <c r="I117" s="9" t="s">
        <v>36</v>
      </c>
      <c r="J117" s="8"/>
      <c r="K117" s="6">
        <v>12</v>
      </c>
      <c r="L117" s="10">
        <v>72.36</v>
      </c>
      <c r="M117" s="11"/>
      <c r="N117" s="8">
        <f>L117*M117</f>
        <v>0</v>
      </c>
      <c r="O117" s="12">
        <f>0.093*M117</f>
        <v>0</v>
      </c>
      <c r="P117" s="13">
        <f>0.00253*M117</f>
        <v>0</v>
      </c>
      <c r="Q117" s="17" t="s">
        <v>37</v>
      </c>
      <c r="R117" s="8" t="s">
        <v>392</v>
      </c>
      <c r="S117" s="8"/>
      <c r="T117" s="7" t="str">
        <f>HYPERLINK("https://miland.ru/api/getInfo/image/234aed68-faab-11f0-a28e-00155d82e908")</f>
        <v>https://miland.ru/api/getInfo/image/234aed68-faab-11f0-a28e-00155d82e908</v>
      </c>
      <c r="U117" s="7"/>
      <c r="V117" s="7"/>
      <c r="W117" s="7" t="s">
        <v>378</v>
      </c>
      <c r="X117" s="7"/>
      <c r="Y117" s="7" t="s">
        <v>41</v>
      </c>
      <c r="Z117" s="7"/>
      <c r="AA117" s="7" t="str">
        <f>HYPERLINK("https://miland.ru/api/getInfo/item/234aed68-faab-11f0-a28e-00155d82e908")</f>
        <v>https://miland.ru/api/getInfo/item/234aed68-faab-11f0-a28e-00155d82e908</v>
      </c>
      <c r="AB117" s="7" t="s">
        <v>42</v>
      </c>
      <c r="AC117" s="7"/>
      <c r="AD117" s="7"/>
    </row>
    <row r="118" spans="2:30" ht="12" customHeight="1" outlineLevel="5">
      <c r="B118" s="70" t="s">
        <v>393</v>
      </c>
      <c r="C118" s="70"/>
      <c r="D118" s="70"/>
      <c r="E118" s="70"/>
      <c r="F118" s="70"/>
      <c r="G118" s="70"/>
    </row>
    <row r="119" spans="2:30" ht="12" customHeight="1" outlineLevel="6">
      <c r="B119" s="70" t="s">
        <v>373</v>
      </c>
      <c r="C119" s="70"/>
      <c r="D119" s="70"/>
      <c r="E119" s="70"/>
      <c r="F119" s="70"/>
      <c r="G119" s="70"/>
    </row>
    <row r="120" spans="2:30" s="1" customFormat="1" ht="96.3" customHeight="1" outlineLevel="7">
      <c r="B120" s="6">
        <v>79</v>
      </c>
      <c r="C120" s="7" t="s">
        <v>394</v>
      </c>
      <c r="D120" s="71" t="s">
        <v>395</v>
      </c>
      <c r="E120" s="71"/>
      <c r="F120" s="71"/>
      <c r="G120" s="71"/>
      <c r="H120" s="8" t="s">
        <v>396</v>
      </c>
      <c r="I120" s="14">
        <v>228</v>
      </c>
      <c r="J120" s="8"/>
      <c r="K120" s="6">
        <v>12</v>
      </c>
      <c r="L120" s="10">
        <v>52.01</v>
      </c>
      <c r="M120" s="11"/>
      <c r="N120" s="8">
        <f>L120*M120</f>
        <v>0</v>
      </c>
      <c r="O120" s="12">
        <f>0.044*M120</f>
        <v>0</v>
      </c>
      <c r="P120" s="13">
        <f>0.00054*M120</f>
        <v>0</v>
      </c>
      <c r="Q120" s="17" t="s">
        <v>37</v>
      </c>
      <c r="R120" s="8" t="s">
        <v>397</v>
      </c>
      <c r="S120" s="8"/>
      <c r="T120" s="7" t="str">
        <f>HYPERLINK("https://miland.ru/api/getInfo/image/ef5a5a54-faa9-11f0-a28e-00155d82e908")</f>
        <v>https://miland.ru/api/getInfo/image/ef5a5a54-faa9-11f0-a28e-00155d82e908</v>
      </c>
      <c r="U120" s="7"/>
      <c r="V120" s="7"/>
      <c r="W120" s="7" t="s">
        <v>378</v>
      </c>
      <c r="X120" s="7"/>
      <c r="Y120" s="7" t="s">
        <v>41</v>
      </c>
      <c r="Z120" s="7"/>
      <c r="AA120" s="7" t="str">
        <f>HYPERLINK("https://miland.ru/api/getInfo/item/ef5a5a54-faa9-11f0-a28e-00155d82e908")</f>
        <v>https://miland.ru/api/getInfo/item/ef5a5a54-faa9-11f0-a28e-00155d82e908</v>
      </c>
      <c r="AB120" s="7" t="s">
        <v>42</v>
      </c>
      <c r="AC120" s="7"/>
      <c r="AD120" s="7"/>
    </row>
    <row r="121" spans="2:30" ht="12" customHeight="1" outlineLevel="6">
      <c r="B121" s="70" t="s">
        <v>384</v>
      </c>
      <c r="C121" s="70"/>
      <c r="D121" s="70"/>
      <c r="E121" s="70"/>
      <c r="F121" s="70"/>
      <c r="G121" s="70"/>
    </row>
    <row r="122" spans="2:30" s="1" customFormat="1" ht="96.3" customHeight="1" outlineLevel="7">
      <c r="B122" s="6">
        <v>80</v>
      </c>
      <c r="C122" s="7" t="s">
        <v>398</v>
      </c>
      <c r="D122" s="71" t="s">
        <v>399</v>
      </c>
      <c r="E122" s="71"/>
      <c r="F122" s="71"/>
      <c r="G122" s="71"/>
      <c r="H122" s="8" t="s">
        <v>400</v>
      </c>
      <c r="I122" s="14">
        <v>468</v>
      </c>
      <c r="J122" s="8"/>
      <c r="K122" s="6">
        <v>12</v>
      </c>
      <c r="L122" s="10">
        <v>37.89</v>
      </c>
      <c r="M122" s="11"/>
      <c r="N122" s="8">
        <f>L122*M122</f>
        <v>0</v>
      </c>
      <c r="O122" s="19">
        <f>0.5*M122</f>
        <v>0</v>
      </c>
      <c r="P122" s="13">
        <f>0.00201*M122</f>
        <v>0</v>
      </c>
      <c r="Q122" s="17" t="s">
        <v>37</v>
      </c>
      <c r="R122" s="8" t="s">
        <v>401</v>
      </c>
      <c r="S122" s="8"/>
      <c r="T122" s="7" t="str">
        <f>HYPERLINK("https://miland.ru/api/getInfo/image/a0405a87-faaa-11f0-a28e-00155d82e908")</f>
        <v>https://miland.ru/api/getInfo/image/a0405a87-faaa-11f0-a28e-00155d82e908</v>
      </c>
      <c r="U122" s="7"/>
      <c r="V122" s="7"/>
      <c r="W122" s="7" t="s">
        <v>378</v>
      </c>
      <c r="X122" s="7"/>
      <c r="Y122" s="7" t="s">
        <v>41</v>
      </c>
      <c r="Z122" s="7"/>
      <c r="AA122" s="7" t="str">
        <f>HYPERLINK("https://miland.ru/api/getInfo/item/a0405a87-faaa-11f0-a28e-00155d82e908")</f>
        <v>https://miland.ru/api/getInfo/item/a0405a87-faaa-11f0-a28e-00155d82e908</v>
      </c>
      <c r="AB122" s="7" t="s">
        <v>42</v>
      </c>
      <c r="AC122" s="7"/>
      <c r="AD122" s="7"/>
    </row>
    <row r="123" spans="2:30" ht="12" customHeight="1" outlineLevel="4">
      <c r="B123" s="70" t="s">
        <v>402</v>
      </c>
      <c r="C123" s="70"/>
      <c r="D123" s="70"/>
      <c r="E123" s="70"/>
      <c r="F123" s="70"/>
      <c r="G123" s="70"/>
    </row>
    <row r="124" spans="2:30" ht="12" customHeight="1" outlineLevel="5">
      <c r="B124" s="70" t="s">
        <v>403</v>
      </c>
      <c r="C124" s="70"/>
      <c r="D124" s="70"/>
      <c r="E124" s="70"/>
      <c r="F124" s="70"/>
      <c r="G124" s="70"/>
    </row>
    <row r="125" spans="2:30" s="1" customFormat="1" ht="96.3" customHeight="1" outlineLevel="6">
      <c r="B125" s="6">
        <v>81</v>
      </c>
      <c r="C125" s="7" t="s">
        <v>404</v>
      </c>
      <c r="D125" s="71" t="s">
        <v>405</v>
      </c>
      <c r="E125" s="71"/>
      <c r="F125" s="71"/>
      <c r="G125" s="71"/>
      <c r="H125" s="8" t="s">
        <v>406</v>
      </c>
      <c r="I125" s="14">
        <v>200</v>
      </c>
      <c r="J125" s="8"/>
      <c r="K125" s="6">
        <v>50</v>
      </c>
      <c r="L125" s="10">
        <v>10.76</v>
      </c>
      <c r="M125" s="11"/>
      <c r="N125" s="8">
        <f>L125*M125</f>
        <v>0</v>
      </c>
      <c r="O125" s="18">
        <f>0.02*M125</f>
        <v>0</v>
      </c>
      <c r="P125" s="13">
        <f>0.00025*M125</f>
        <v>0</v>
      </c>
      <c r="Q125" s="17" t="s">
        <v>37</v>
      </c>
      <c r="R125" s="8" t="s">
        <v>407</v>
      </c>
      <c r="S125" s="8"/>
      <c r="T125" s="7" t="str">
        <f>HYPERLINK("https://miland.ru/api/getInfo/image/9ea4f6d3-3330-11f1-a292-00155d82e908")</f>
        <v>https://miland.ru/api/getInfo/image/9ea4f6d3-3330-11f1-a292-00155d82e908</v>
      </c>
      <c r="U125" s="7"/>
      <c r="V125" s="7"/>
      <c r="W125" s="7" t="s">
        <v>408</v>
      </c>
      <c r="X125" s="7"/>
      <c r="Y125" s="7"/>
      <c r="Z125" s="7"/>
      <c r="AA125" s="7" t="str">
        <f>HYPERLINK("https://miland.ru/api/getInfo/item/9ea4f6d3-3330-11f1-a292-00155d82e908")</f>
        <v>https://miland.ru/api/getInfo/item/9ea4f6d3-3330-11f1-a292-00155d82e908</v>
      </c>
      <c r="AB125" s="7" t="s">
        <v>50</v>
      </c>
      <c r="AC125" s="7"/>
      <c r="AD125" s="7"/>
    </row>
    <row r="126" spans="2:30" ht="12" customHeight="1" outlineLevel="5">
      <c r="B126" s="70" t="s">
        <v>409</v>
      </c>
      <c r="C126" s="70"/>
      <c r="D126" s="70"/>
      <c r="E126" s="70"/>
      <c r="F126" s="70"/>
      <c r="G126" s="70"/>
    </row>
    <row r="127" spans="2:30" s="1" customFormat="1" ht="96.3" customHeight="1" outlineLevel="6">
      <c r="B127" s="6">
        <v>82</v>
      </c>
      <c r="C127" s="7" t="s">
        <v>410</v>
      </c>
      <c r="D127" s="71" t="s">
        <v>411</v>
      </c>
      <c r="E127" s="71"/>
      <c r="F127" s="71"/>
      <c r="G127" s="71"/>
      <c r="H127" s="8" t="s">
        <v>412</v>
      </c>
      <c r="I127" s="9" t="s">
        <v>36</v>
      </c>
      <c r="J127" s="8"/>
      <c r="K127" s="6">
        <v>50</v>
      </c>
      <c r="L127" s="10">
        <v>21.79</v>
      </c>
      <c r="M127" s="11"/>
      <c r="N127" s="8">
        <f>L127*M127</f>
        <v>0</v>
      </c>
      <c r="O127" s="12">
        <f>0.021*M127</f>
        <v>0</v>
      </c>
      <c r="P127" s="13">
        <f>0.00034*M127</f>
        <v>0</v>
      </c>
      <c r="Q127" s="17" t="s">
        <v>37</v>
      </c>
      <c r="R127" s="8" t="s">
        <v>413</v>
      </c>
      <c r="S127" s="8"/>
      <c r="T127" s="7" t="str">
        <f>HYPERLINK("https://miland.ru/api/getInfo/image/160e7908-333a-11f1-a292-00155d82e908")</f>
        <v>https://miland.ru/api/getInfo/image/160e7908-333a-11f1-a292-00155d82e908</v>
      </c>
      <c r="U127" s="7"/>
      <c r="V127" s="7"/>
      <c r="W127" s="7" t="s">
        <v>408</v>
      </c>
      <c r="X127" s="7"/>
      <c r="Y127" s="7"/>
      <c r="Z127" s="7"/>
      <c r="AA127" s="7" t="str">
        <f>HYPERLINK("https://miland.ru/api/getInfo/item/160e7908-333a-11f1-a292-00155d82e908")</f>
        <v>https://miland.ru/api/getInfo/item/160e7908-333a-11f1-a292-00155d82e908</v>
      </c>
      <c r="AB127" s="7" t="s">
        <v>50</v>
      </c>
      <c r="AC127" s="7"/>
      <c r="AD127" s="7"/>
    </row>
    <row r="128" spans="2:30" ht="12" customHeight="1" outlineLevel="4">
      <c r="B128" s="70" t="s">
        <v>414</v>
      </c>
      <c r="C128" s="70"/>
      <c r="D128" s="70"/>
      <c r="E128" s="70"/>
      <c r="F128" s="70"/>
      <c r="G128" s="70"/>
    </row>
    <row r="129" spans="2:30" s="1" customFormat="1" ht="96.3" customHeight="1" outlineLevel="5">
      <c r="B129" s="6">
        <v>83</v>
      </c>
      <c r="C129" s="7" t="s">
        <v>415</v>
      </c>
      <c r="D129" s="71" t="s">
        <v>416</v>
      </c>
      <c r="E129" s="71"/>
      <c r="F129" s="71"/>
      <c r="G129" s="71"/>
      <c r="H129" s="8" t="s">
        <v>417</v>
      </c>
      <c r="I129" s="14">
        <v>9</v>
      </c>
      <c r="J129" s="8"/>
      <c r="K129" s="6">
        <v>1</v>
      </c>
      <c r="L129" s="10">
        <v>604.27</v>
      </c>
      <c r="M129" s="11"/>
      <c r="N129" s="8">
        <f>L129*M129</f>
        <v>0</v>
      </c>
      <c r="O129" s="12">
        <f>0.437*M129</f>
        <v>0</v>
      </c>
      <c r="P129" s="13">
        <f>0.00455*M129</f>
        <v>0</v>
      </c>
      <c r="Q129" s="17" t="s">
        <v>37</v>
      </c>
      <c r="R129" s="8" t="s">
        <v>418</v>
      </c>
      <c r="S129" s="8"/>
      <c r="T129" s="7" t="str">
        <f>HYPERLINK("https://miland.ru/api/getInfo/image/0a8b1a1e-f607-11f0-a28d-00155d82e908")</f>
        <v>https://miland.ru/api/getInfo/image/0a8b1a1e-f607-11f0-a28d-00155d82e908</v>
      </c>
      <c r="U129" s="7"/>
      <c r="V129" s="7"/>
      <c r="W129" s="7"/>
      <c r="X129" s="7"/>
      <c r="Y129" s="7" t="s">
        <v>41</v>
      </c>
      <c r="Z129" s="7"/>
      <c r="AA129" s="7" t="str">
        <f>HYPERLINK("https://miland.ru/api/getInfo/item/0a8b1a1e-f607-11f0-a28d-00155d82e908")</f>
        <v>https://miland.ru/api/getInfo/item/0a8b1a1e-f607-11f0-a28d-00155d82e908</v>
      </c>
      <c r="AB129" s="7" t="s">
        <v>50</v>
      </c>
      <c r="AC129" s="7"/>
      <c r="AD129" s="7"/>
    </row>
    <row r="130" spans="2:30" s="1" customFormat="1" ht="96.3" customHeight="1" outlineLevel="5">
      <c r="B130" s="6">
        <v>84</v>
      </c>
      <c r="C130" s="7" t="s">
        <v>419</v>
      </c>
      <c r="D130" s="71" t="s">
        <v>420</v>
      </c>
      <c r="E130" s="71"/>
      <c r="F130" s="71"/>
      <c r="G130" s="71"/>
      <c r="H130" s="8" t="s">
        <v>421</v>
      </c>
      <c r="I130" s="14">
        <v>183</v>
      </c>
      <c r="J130" s="8"/>
      <c r="K130" s="6">
        <v>1</v>
      </c>
      <c r="L130" s="15">
        <v>1883.98</v>
      </c>
      <c r="M130" s="11"/>
      <c r="N130" s="8">
        <f>L130*M130</f>
        <v>0</v>
      </c>
      <c r="O130" s="12">
        <f>1.414*M130</f>
        <v>0</v>
      </c>
      <c r="P130" s="16">
        <f>0.0087*M130</f>
        <v>0</v>
      </c>
      <c r="Q130" s="17" t="s">
        <v>37</v>
      </c>
      <c r="R130" s="8" t="s">
        <v>422</v>
      </c>
      <c r="S130" s="8"/>
      <c r="T130" s="7" t="str">
        <f>HYPERLINK("https://miland.ru/api/getInfo/image/a43eb1e8-f689-11f0-a28d-00155d82e908")</f>
        <v>https://miland.ru/api/getInfo/image/a43eb1e8-f689-11f0-a28d-00155d82e908</v>
      </c>
      <c r="U130" s="7"/>
      <c r="V130" s="7"/>
      <c r="W130" s="7"/>
      <c r="X130" s="7"/>
      <c r="Y130" s="7" t="s">
        <v>41</v>
      </c>
      <c r="Z130" s="7"/>
      <c r="AA130" s="7" t="str">
        <f>HYPERLINK("https://miland.ru/api/getInfo/item/a43eb1e8-f689-11f0-a28d-00155d82e908")</f>
        <v>https://miland.ru/api/getInfo/item/a43eb1e8-f689-11f0-a28d-00155d82e908</v>
      </c>
      <c r="AB130" s="7" t="s">
        <v>50</v>
      </c>
      <c r="AC130" s="7"/>
      <c r="AD130" s="7"/>
    </row>
    <row r="131" spans="2:30" ht="12" customHeight="1" outlineLevel="4">
      <c r="B131" s="70" t="s">
        <v>423</v>
      </c>
      <c r="C131" s="70"/>
      <c r="D131" s="70"/>
      <c r="E131" s="70"/>
      <c r="F131" s="70"/>
      <c r="G131" s="70"/>
    </row>
    <row r="132" spans="2:30" s="1" customFormat="1" ht="96.3" customHeight="1" outlineLevel="5">
      <c r="B132" s="6">
        <v>85</v>
      </c>
      <c r="C132" s="7" t="s">
        <v>424</v>
      </c>
      <c r="D132" s="71" t="s">
        <v>425</v>
      </c>
      <c r="E132" s="71"/>
      <c r="F132" s="71"/>
      <c r="G132" s="71"/>
      <c r="H132" s="8" t="s">
        <v>426</v>
      </c>
      <c r="I132" s="9" t="s">
        <v>36</v>
      </c>
      <c r="J132" s="8"/>
      <c r="K132" s="6">
        <v>50</v>
      </c>
      <c r="L132" s="10">
        <v>58.4</v>
      </c>
      <c r="M132" s="11"/>
      <c r="N132" s="8">
        <f>L132*M132</f>
        <v>0</v>
      </c>
      <c r="O132" s="18">
        <f>3.15*M132</f>
        <v>0</v>
      </c>
      <c r="P132" s="13">
        <f>0.02698*M132</f>
        <v>0</v>
      </c>
      <c r="Q132" s="17" t="s">
        <v>37</v>
      </c>
      <c r="R132" s="8" t="s">
        <v>427</v>
      </c>
      <c r="S132" s="8"/>
      <c r="T132" s="7" t="str">
        <f>HYPERLINK("https://miland.ru/api/getInfo/image/02b618c1-f513-11f0-a28d-00155d82e908")</f>
        <v>https://miland.ru/api/getInfo/image/02b618c1-f513-11f0-a28d-00155d82e908</v>
      </c>
      <c r="U132" s="7"/>
      <c r="V132" s="7"/>
      <c r="W132" s="7"/>
      <c r="X132" s="7"/>
      <c r="Y132" s="7" t="s">
        <v>41</v>
      </c>
      <c r="Z132" s="7"/>
      <c r="AA132" s="7" t="str">
        <f>HYPERLINK("https://miland.ru/api/getInfo/item/02b618c1-f513-11f0-a28d-00155d82e908")</f>
        <v>https://miland.ru/api/getInfo/item/02b618c1-f513-11f0-a28d-00155d82e908</v>
      </c>
      <c r="AB132" s="7" t="s">
        <v>50</v>
      </c>
      <c r="AC132" s="7"/>
      <c r="AD132" s="7"/>
    </row>
    <row r="133" spans="2:30" ht="12" customHeight="1" outlineLevel="2">
      <c r="B133" s="69" t="s">
        <v>428</v>
      </c>
      <c r="C133" s="69"/>
      <c r="D133" s="69"/>
      <c r="E133" s="69"/>
      <c r="F133" s="69"/>
      <c r="G133" s="69"/>
    </row>
    <row r="134" spans="2:30" ht="12" customHeight="1" outlineLevel="3">
      <c r="B134" s="70" t="s">
        <v>429</v>
      </c>
      <c r="C134" s="70"/>
      <c r="D134" s="70"/>
      <c r="E134" s="70"/>
      <c r="F134" s="70"/>
      <c r="G134" s="70"/>
    </row>
    <row r="135" spans="2:30" ht="12" customHeight="1" outlineLevel="4">
      <c r="B135" s="70" t="s">
        <v>430</v>
      </c>
      <c r="C135" s="70"/>
      <c r="D135" s="70"/>
      <c r="E135" s="70"/>
      <c r="F135" s="70"/>
      <c r="G135" s="70"/>
    </row>
    <row r="136" spans="2:30" ht="12" customHeight="1" outlineLevel="5">
      <c r="B136" s="70" t="s">
        <v>132</v>
      </c>
      <c r="C136" s="70"/>
      <c r="D136" s="70"/>
      <c r="E136" s="70"/>
      <c r="F136" s="70"/>
      <c r="G136" s="70"/>
    </row>
    <row r="137" spans="2:30" s="1" customFormat="1" ht="96.3" customHeight="1" outlineLevel="6">
      <c r="B137" s="20">
        <v>86</v>
      </c>
      <c r="C137" s="21" t="s">
        <v>431</v>
      </c>
      <c r="D137" s="72" t="s">
        <v>432</v>
      </c>
      <c r="E137" s="72"/>
      <c r="F137" s="72"/>
      <c r="G137" s="72"/>
      <c r="H137" s="22" t="s">
        <v>433</v>
      </c>
      <c r="I137" s="23" t="s">
        <v>36</v>
      </c>
      <c r="J137" s="22"/>
      <c r="K137" s="20">
        <v>4</v>
      </c>
      <c r="L137" s="24">
        <v>139.12</v>
      </c>
      <c r="M137" s="11"/>
      <c r="N137" s="22">
        <f>L137*M137</f>
        <v>0</v>
      </c>
      <c r="O137" s="25">
        <f>0.047*M137</f>
        <v>0</v>
      </c>
      <c r="P137" s="26">
        <f>0.00029*M137</f>
        <v>0</v>
      </c>
      <c r="Q137" s="30"/>
      <c r="R137" s="22" t="s">
        <v>434</v>
      </c>
      <c r="S137" s="22" t="s">
        <v>435</v>
      </c>
      <c r="T137" s="21" t="str">
        <f>HYPERLINK("https://miland.ru/api/getInfo/image/e4e4430c-ff0f-11ef-a277-00155d82e908")</f>
        <v>https://miland.ru/api/getInfo/image/e4e4430c-ff0f-11ef-a277-00155d82e908</v>
      </c>
      <c r="U137" s="21"/>
      <c r="V137" s="21"/>
      <c r="W137" s="21" t="s">
        <v>82</v>
      </c>
      <c r="X137" s="21"/>
      <c r="Y137" s="21" t="s">
        <v>41</v>
      </c>
      <c r="Z137" s="21"/>
      <c r="AA137" s="21" t="str">
        <f>HYPERLINK("https://miland.ru/api/getInfo/item/e4e4430c-ff0f-11ef-a277-00155d82e908")</f>
        <v>https://miland.ru/api/getInfo/item/e4e4430c-ff0f-11ef-a277-00155d82e908</v>
      </c>
      <c r="AB137" s="21" t="s">
        <v>42</v>
      </c>
      <c r="AC137" s="21"/>
      <c r="AD137" s="21"/>
    </row>
    <row r="138" spans="2:30" ht="12" customHeight="1" outlineLevel="5">
      <c r="B138" s="70" t="s">
        <v>436</v>
      </c>
      <c r="C138" s="70"/>
      <c r="D138" s="70"/>
      <c r="E138" s="70"/>
      <c r="F138" s="70"/>
      <c r="G138" s="70"/>
    </row>
    <row r="139" spans="2:30" ht="12" customHeight="1" outlineLevel="6">
      <c r="B139" s="70" t="s">
        <v>437</v>
      </c>
      <c r="C139" s="70"/>
      <c r="D139" s="70"/>
      <c r="E139" s="70"/>
      <c r="F139" s="70"/>
      <c r="G139" s="70"/>
    </row>
    <row r="140" spans="2:30" s="1" customFormat="1" ht="96.3" customHeight="1" outlineLevel="7">
      <c r="B140" s="6">
        <v>87</v>
      </c>
      <c r="C140" s="7" t="s">
        <v>438</v>
      </c>
      <c r="D140" s="71" t="s">
        <v>439</v>
      </c>
      <c r="E140" s="71"/>
      <c r="F140" s="71"/>
      <c r="G140" s="71"/>
      <c r="H140" s="8" t="s">
        <v>440</v>
      </c>
      <c r="I140" s="9" t="s">
        <v>36</v>
      </c>
      <c r="J140" s="8"/>
      <c r="K140" s="6">
        <v>1</v>
      </c>
      <c r="L140" s="10">
        <v>586.66999999999996</v>
      </c>
      <c r="M140" s="11"/>
      <c r="N140" s="8">
        <f>L140*M140</f>
        <v>0</v>
      </c>
      <c r="O140" s="12">
        <f>0.092*M140</f>
        <v>0</v>
      </c>
      <c r="P140" s="16">
        <f>0.0008*M140</f>
        <v>0</v>
      </c>
      <c r="Q140" s="17" t="s">
        <v>37</v>
      </c>
      <c r="R140" s="8" t="s">
        <v>441</v>
      </c>
      <c r="S140" s="8"/>
      <c r="T140" s="7" t="str">
        <f>HYPERLINK("https://miland.ru/api/getInfo/image/075ed362-318e-11f1-a292-00155d82e908")</f>
        <v>https://miland.ru/api/getInfo/image/075ed362-318e-11f1-a292-00155d82e908</v>
      </c>
      <c r="U140" s="7"/>
      <c r="V140" s="7"/>
      <c r="W140" s="7"/>
      <c r="X140" s="7"/>
      <c r="Y140" s="7" t="s">
        <v>41</v>
      </c>
      <c r="Z140" s="7"/>
      <c r="AA140" s="7" t="str">
        <f>HYPERLINK("https://miland.ru/api/getInfo/item/075ed362-318e-11f1-a292-00155d82e908")</f>
        <v>https://miland.ru/api/getInfo/item/075ed362-318e-11f1-a292-00155d82e908</v>
      </c>
      <c r="AB140" s="7" t="s">
        <v>50</v>
      </c>
      <c r="AC140" s="7"/>
      <c r="AD140" s="7"/>
    </row>
    <row r="141" spans="2:30" s="1" customFormat="1" ht="96.3" customHeight="1" outlineLevel="7">
      <c r="B141" s="20">
        <v>88</v>
      </c>
      <c r="C141" s="21" t="s">
        <v>442</v>
      </c>
      <c r="D141" s="72" t="s">
        <v>443</v>
      </c>
      <c r="E141" s="72"/>
      <c r="F141" s="72"/>
      <c r="G141" s="72"/>
      <c r="H141" s="22" t="s">
        <v>444</v>
      </c>
      <c r="I141" s="27">
        <v>19</v>
      </c>
      <c r="J141" s="22"/>
      <c r="K141" s="20">
        <v>1</v>
      </c>
      <c r="L141" s="24">
        <v>586.66999999999996</v>
      </c>
      <c r="M141" s="11"/>
      <c r="N141" s="22">
        <f>L141*M141</f>
        <v>0</v>
      </c>
      <c r="O141" s="25">
        <f>0.084*M141</f>
        <v>0</v>
      </c>
      <c r="P141" s="26">
        <f>0.01173*M141</f>
        <v>0</v>
      </c>
      <c r="Q141" s="30"/>
      <c r="R141" s="22" t="s">
        <v>445</v>
      </c>
      <c r="S141" s="22" t="s">
        <v>435</v>
      </c>
      <c r="T141" s="21" t="str">
        <f>HYPERLINK("https://miland.ru/api/getInfo/image/f5a9081e-0091-11f0-a277-00155d82e908")</f>
        <v>https://miland.ru/api/getInfo/image/f5a9081e-0091-11f0-a277-00155d82e908</v>
      </c>
      <c r="U141" s="21"/>
      <c r="V141" s="21" t="s">
        <v>208</v>
      </c>
      <c r="W141" s="21" t="s">
        <v>82</v>
      </c>
      <c r="X141" s="21"/>
      <c r="Y141" s="21" t="s">
        <v>41</v>
      </c>
      <c r="Z141" s="21"/>
      <c r="AA141" s="21" t="str">
        <f>HYPERLINK("https://miland.ru/api/getInfo/item/f5a9081e-0091-11f0-a277-00155d82e908")</f>
        <v>https://miland.ru/api/getInfo/item/f5a9081e-0091-11f0-a277-00155d82e908</v>
      </c>
      <c r="AB141" s="21" t="s">
        <v>50</v>
      </c>
      <c r="AC141" s="21"/>
      <c r="AD141" s="21"/>
    </row>
    <row r="142" spans="2:30" s="1" customFormat="1" ht="96.3" customHeight="1" outlineLevel="7">
      <c r="B142" s="20">
        <v>89</v>
      </c>
      <c r="C142" s="21" t="s">
        <v>446</v>
      </c>
      <c r="D142" s="72" t="s">
        <v>447</v>
      </c>
      <c r="E142" s="72"/>
      <c r="F142" s="72"/>
      <c r="G142" s="72"/>
      <c r="H142" s="22" t="s">
        <v>448</v>
      </c>
      <c r="I142" s="27">
        <v>99</v>
      </c>
      <c r="J142" s="22"/>
      <c r="K142" s="20">
        <v>1</v>
      </c>
      <c r="L142" s="24">
        <v>867.89</v>
      </c>
      <c r="M142" s="11"/>
      <c r="N142" s="22">
        <f>L142*M142</f>
        <v>0</v>
      </c>
      <c r="O142" s="25">
        <f>0.246*M142</f>
        <v>0</v>
      </c>
      <c r="P142" s="26">
        <f>0.00081*M142</f>
        <v>0</v>
      </c>
      <c r="Q142" s="30"/>
      <c r="R142" s="22" t="s">
        <v>449</v>
      </c>
      <c r="S142" s="22"/>
      <c r="T142" s="21" t="str">
        <f>HYPERLINK("https://miland.ru/api/getInfo/image/f2a5002a-138c-11f0-a279-00155d82e908")</f>
        <v>https://miland.ru/api/getInfo/image/f2a5002a-138c-11f0-a279-00155d82e908</v>
      </c>
      <c r="U142" s="21"/>
      <c r="V142" s="21" t="s">
        <v>208</v>
      </c>
      <c r="W142" s="21" t="s">
        <v>82</v>
      </c>
      <c r="X142" s="21"/>
      <c r="Y142" s="21" t="s">
        <v>41</v>
      </c>
      <c r="Z142" s="21"/>
      <c r="AA142" s="21" t="str">
        <f>HYPERLINK("https://miland.ru/api/getInfo/item/f2a5002a-138c-11f0-a279-00155d82e908")</f>
        <v>https://miland.ru/api/getInfo/item/f2a5002a-138c-11f0-a279-00155d82e908</v>
      </c>
      <c r="AB142" s="21" t="s">
        <v>50</v>
      </c>
      <c r="AC142" s="21"/>
      <c r="AD142" s="21"/>
    </row>
    <row r="143" spans="2:30" ht="12" customHeight="1" outlineLevel="5">
      <c r="B143" s="70" t="s">
        <v>180</v>
      </c>
      <c r="C143" s="70"/>
      <c r="D143" s="70"/>
      <c r="E143" s="70"/>
      <c r="F143" s="70"/>
      <c r="G143" s="70"/>
    </row>
    <row r="144" spans="2:30" s="1" customFormat="1" ht="96.3" customHeight="1" outlineLevel="6">
      <c r="B144" s="20">
        <v>90</v>
      </c>
      <c r="C144" s="21" t="s">
        <v>450</v>
      </c>
      <c r="D144" s="72" t="s">
        <v>451</v>
      </c>
      <c r="E144" s="72"/>
      <c r="F144" s="72"/>
      <c r="G144" s="72"/>
      <c r="H144" s="22" t="s">
        <v>452</v>
      </c>
      <c r="I144" s="23" t="s">
        <v>36</v>
      </c>
      <c r="J144" s="22"/>
      <c r="K144" s="20">
        <v>1</v>
      </c>
      <c r="L144" s="24">
        <v>572.22</v>
      </c>
      <c r="M144" s="11"/>
      <c r="N144" s="22">
        <f>L144*M144</f>
        <v>0</v>
      </c>
      <c r="O144" s="28">
        <f>0.27*M144</f>
        <v>0</v>
      </c>
      <c r="P144" s="26">
        <f>0.00188*M144</f>
        <v>0</v>
      </c>
      <c r="Q144" s="30"/>
      <c r="R144" s="22" t="s">
        <v>453</v>
      </c>
      <c r="S144" s="22"/>
      <c r="T144" s="21" t="str">
        <f>HYPERLINK("https://miland.ru/api/getInfo/image/819866da-1127-11f0-a279-00155d82e908")</f>
        <v>https://miland.ru/api/getInfo/image/819866da-1127-11f0-a279-00155d82e908</v>
      </c>
      <c r="U144" s="21"/>
      <c r="V144" s="21"/>
      <c r="W144" s="21" t="s">
        <v>185</v>
      </c>
      <c r="X144" s="21"/>
      <c r="Y144" s="21" t="s">
        <v>41</v>
      </c>
      <c r="Z144" s="21"/>
      <c r="AA144" s="21" t="str">
        <f>HYPERLINK("https://miland.ru/api/getInfo/item/819866da-1127-11f0-a279-00155d82e908")</f>
        <v>https://miland.ru/api/getInfo/item/819866da-1127-11f0-a279-00155d82e908</v>
      </c>
      <c r="AB144" s="21" t="s">
        <v>42</v>
      </c>
      <c r="AC144" s="21"/>
      <c r="AD144" s="21"/>
    </row>
    <row r="145" spans="2:30" s="1" customFormat="1" ht="96.3" customHeight="1" outlineLevel="6">
      <c r="B145" s="20">
        <v>91</v>
      </c>
      <c r="C145" s="21" t="s">
        <v>454</v>
      </c>
      <c r="D145" s="72" t="s">
        <v>455</v>
      </c>
      <c r="E145" s="72"/>
      <c r="F145" s="72"/>
      <c r="G145" s="72"/>
      <c r="H145" s="22" t="s">
        <v>456</v>
      </c>
      <c r="I145" s="23" t="s">
        <v>36</v>
      </c>
      <c r="J145" s="22"/>
      <c r="K145" s="20">
        <v>1</v>
      </c>
      <c r="L145" s="24">
        <v>572.22</v>
      </c>
      <c r="M145" s="11"/>
      <c r="N145" s="22">
        <f>L145*M145</f>
        <v>0</v>
      </c>
      <c r="O145" s="25">
        <f>0.274*M145</f>
        <v>0</v>
      </c>
      <c r="P145" s="26">
        <f>0.00115*M145</f>
        <v>0</v>
      </c>
      <c r="Q145" s="30"/>
      <c r="R145" s="22" t="s">
        <v>457</v>
      </c>
      <c r="S145" s="22"/>
      <c r="T145" s="21" t="str">
        <f>HYPERLINK("https://miland.ru/api/getInfo/image/d955c72a-1127-11f0-a279-00155d82e908")</f>
        <v>https://miland.ru/api/getInfo/image/d955c72a-1127-11f0-a279-00155d82e908</v>
      </c>
      <c r="U145" s="21"/>
      <c r="V145" s="21"/>
      <c r="W145" s="21" t="s">
        <v>185</v>
      </c>
      <c r="X145" s="21"/>
      <c r="Y145" s="21" t="s">
        <v>41</v>
      </c>
      <c r="Z145" s="21"/>
      <c r="AA145" s="21" t="str">
        <f>HYPERLINK("https://miland.ru/api/getInfo/item/d955c72a-1127-11f0-a279-00155d82e908")</f>
        <v>https://miland.ru/api/getInfo/item/d955c72a-1127-11f0-a279-00155d82e908</v>
      </c>
      <c r="AB145" s="21" t="s">
        <v>42</v>
      </c>
      <c r="AC145" s="21"/>
      <c r="AD145" s="21"/>
    </row>
    <row r="146" spans="2:30" ht="12" customHeight="1" outlineLevel="4">
      <c r="B146" s="70" t="s">
        <v>458</v>
      </c>
      <c r="C146" s="70"/>
      <c r="D146" s="70"/>
      <c r="E146" s="70"/>
      <c r="F146" s="70"/>
      <c r="G146" s="70"/>
    </row>
    <row r="147" spans="2:30" ht="12" customHeight="1" outlineLevel="5">
      <c r="B147" s="70" t="s">
        <v>132</v>
      </c>
      <c r="C147" s="70"/>
      <c r="D147" s="70"/>
      <c r="E147" s="70"/>
      <c r="F147" s="70"/>
      <c r="G147" s="70"/>
    </row>
    <row r="148" spans="2:30" s="1" customFormat="1" ht="96.3" customHeight="1" outlineLevel="6">
      <c r="B148" s="20">
        <v>92</v>
      </c>
      <c r="C148" s="21" t="s">
        <v>459</v>
      </c>
      <c r="D148" s="72" t="s">
        <v>460</v>
      </c>
      <c r="E148" s="72"/>
      <c r="F148" s="72"/>
      <c r="G148" s="72"/>
      <c r="H148" s="22" t="s">
        <v>461</v>
      </c>
      <c r="I148" s="23" t="s">
        <v>36</v>
      </c>
      <c r="J148" s="22"/>
      <c r="K148" s="20">
        <v>4</v>
      </c>
      <c r="L148" s="24">
        <v>94.62</v>
      </c>
      <c r="M148" s="11"/>
      <c r="N148" s="22">
        <f>L148*M148</f>
        <v>0</v>
      </c>
      <c r="O148" s="25">
        <f>0.028*M148</f>
        <v>0</v>
      </c>
      <c r="P148" s="26">
        <f>0.00024*M148</f>
        <v>0</v>
      </c>
      <c r="Q148" s="30"/>
      <c r="R148" s="22" t="s">
        <v>462</v>
      </c>
      <c r="S148" s="22"/>
      <c r="T148" s="21" t="str">
        <f>HYPERLINK("https://miland.ru/api/getInfo/image/877e00a1-ff0d-11ef-a277-00155d82e908")</f>
        <v>https://miland.ru/api/getInfo/image/877e00a1-ff0d-11ef-a277-00155d82e908</v>
      </c>
      <c r="U148" s="21"/>
      <c r="V148" s="21"/>
      <c r="W148" s="21" t="s">
        <v>82</v>
      </c>
      <c r="X148" s="21"/>
      <c r="Y148" s="21" t="s">
        <v>41</v>
      </c>
      <c r="Z148" s="21"/>
      <c r="AA148" s="21" t="str">
        <f>HYPERLINK("https://miland.ru/api/getInfo/item/877e00a1-ff0d-11ef-a277-00155d82e908")</f>
        <v>https://miland.ru/api/getInfo/item/877e00a1-ff0d-11ef-a277-00155d82e908</v>
      </c>
      <c r="AB148" s="21" t="s">
        <v>42</v>
      </c>
      <c r="AC148" s="21"/>
      <c r="AD148" s="21"/>
    </row>
    <row r="149" spans="2:30" ht="12" customHeight="1" outlineLevel="5">
      <c r="B149" s="70" t="s">
        <v>59</v>
      </c>
      <c r="C149" s="70"/>
      <c r="D149" s="70"/>
      <c r="E149" s="70"/>
      <c r="F149" s="70"/>
      <c r="G149" s="70"/>
    </row>
    <row r="150" spans="2:30" s="1" customFormat="1" ht="96.3" customHeight="1" outlineLevel="6">
      <c r="B150" s="20">
        <v>93</v>
      </c>
      <c r="C150" s="21" t="s">
        <v>463</v>
      </c>
      <c r="D150" s="72" t="s">
        <v>464</v>
      </c>
      <c r="E150" s="72"/>
      <c r="F150" s="72"/>
      <c r="G150" s="72"/>
      <c r="H150" s="22" t="s">
        <v>465</v>
      </c>
      <c r="I150" s="27">
        <v>431</v>
      </c>
      <c r="J150" s="22"/>
      <c r="K150" s="20">
        <v>12</v>
      </c>
      <c r="L150" s="24">
        <v>154.94</v>
      </c>
      <c r="M150" s="11"/>
      <c r="N150" s="22">
        <f>L150*M150</f>
        <v>0</v>
      </c>
      <c r="O150" s="25">
        <f>0.029*M150</f>
        <v>0</v>
      </c>
      <c r="P150" s="26">
        <f>0.00012*M150</f>
        <v>0</v>
      </c>
      <c r="Q150" s="30"/>
      <c r="R150" s="22" t="s">
        <v>466</v>
      </c>
      <c r="S150" s="22"/>
      <c r="T150" s="21" t="str">
        <f>HYPERLINK("https://miland.ru/api/getInfo/image/3039f813-fd77-11ef-a274-00155d82e908")</f>
        <v>https://miland.ru/api/getInfo/image/3039f813-fd77-11ef-a274-00155d82e908</v>
      </c>
      <c r="U150" s="21"/>
      <c r="V150" s="21"/>
      <c r="W150" s="21" t="s">
        <v>70</v>
      </c>
      <c r="X150" s="21"/>
      <c r="Y150" s="21" t="s">
        <v>41</v>
      </c>
      <c r="Z150" s="21"/>
      <c r="AA150" s="21" t="str">
        <f>HYPERLINK("https://miland.ru/api/getInfo/item/3039f813-fd77-11ef-a274-00155d82e908")</f>
        <v>https://miland.ru/api/getInfo/item/3039f813-fd77-11ef-a274-00155d82e908</v>
      </c>
      <c r="AB150" s="21" t="s">
        <v>42</v>
      </c>
      <c r="AC150" s="21"/>
      <c r="AD150" s="21"/>
    </row>
    <row r="151" spans="2:30" s="1" customFormat="1" ht="96.3" customHeight="1" outlineLevel="6">
      <c r="B151" s="20">
        <v>94</v>
      </c>
      <c r="C151" s="21" t="s">
        <v>467</v>
      </c>
      <c r="D151" s="72" t="s">
        <v>468</v>
      </c>
      <c r="E151" s="72"/>
      <c r="F151" s="72"/>
      <c r="G151" s="72"/>
      <c r="H151" s="22" t="s">
        <v>469</v>
      </c>
      <c r="I151" s="27">
        <v>397</v>
      </c>
      <c r="J151" s="22"/>
      <c r="K151" s="20">
        <v>12</v>
      </c>
      <c r="L151" s="24">
        <v>154.94</v>
      </c>
      <c r="M151" s="11"/>
      <c r="N151" s="22">
        <f>L151*M151</f>
        <v>0</v>
      </c>
      <c r="O151" s="25">
        <f>0.038*M151</f>
        <v>0</v>
      </c>
      <c r="P151" s="26">
        <f>0.00012*M151</f>
        <v>0</v>
      </c>
      <c r="Q151" s="30"/>
      <c r="R151" s="22" t="s">
        <v>470</v>
      </c>
      <c r="S151" s="22"/>
      <c r="T151" s="21" t="str">
        <f>HYPERLINK("https://miland.ru/api/getInfo/image/aafa39ef-fd77-11ef-a274-00155d82e908")</f>
        <v>https://miland.ru/api/getInfo/image/aafa39ef-fd77-11ef-a274-00155d82e908</v>
      </c>
      <c r="U151" s="21"/>
      <c r="V151" s="21"/>
      <c r="W151" s="21" t="s">
        <v>70</v>
      </c>
      <c r="X151" s="21"/>
      <c r="Y151" s="21" t="s">
        <v>41</v>
      </c>
      <c r="Z151" s="21"/>
      <c r="AA151" s="21" t="str">
        <f>HYPERLINK("https://miland.ru/api/getInfo/item/aafa39ef-fd77-11ef-a274-00155d82e908")</f>
        <v>https://miland.ru/api/getInfo/item/aafa39ef-fd77-11ef-a274-00155d82e908</v>
      </c>
      <c r="AB151" s="21" t="s">
        <v>42</v>
      </c>
      <c r="AC151" s="21"/>
      <c r="AD151" s="21"/>
    </row>
    <row r="152" spans="2:30" ht="12" customHeight="1" outlineLevel="5">
      <c r="B152" s="70" t="s">
        <v>471</v>
      </c>
      <c r="C152" s="70"/>
      <c r="D152" s="70"/>
      <c r="E152" s="70"/>
      <c r="F152" s="70"/>
      <c r="G152" s="70"/>
    </row>
    <row r="153" spans="2:30" ht="12" customHeight="1" outlineLevel="6">
      <c r="B153" s="70" t="s">
        <v>472</v>
      </c>
      <c r="C153" s="70"/>
      <c r="D153" s="70"/>
      <c r="E153" s="70"/>
      <c r="F153" s="70"/>
      <c r="G153" s="70"/>
    </row>
    <row r="154" spans="2:30" s="1" customFormat="1" ht="96.3" customHeight="1" outlineLevel="7">
      <c r="B154" s="20">
        <v>95</v>
      </c>
      <c r="C154" s="21" t="s">
        <v>473</v>
      </c>
      <c r="D154" s="72" t="s">
        <v>474</v>
      </c>
      <c r="E154" s="72"/>
      <c r="F154" s="72"/>
      <c r="G154" s="72"/>
      <c r="H154" s="22" t="s">
        <v>475</v>
      </c>
      <c r="I154" s="23" t="s">
        <v>36</v>
      </c>
      <c r="J154" s="22"/>
      <c r="K154" s="20">
        <v>2</v>
      </c>
      <c r="L154" s="24">
        <v>355.93</v>
      </c>
      <c r="M154" s="11"/>
      <c r="N154" s="22">
        <f>L154*M154</f>
        <v>0</v>
      </c>
      <c r="O154" s="25">
        <f>0.113*M154</f>
        <v>0</v>
      </c>
      <c r="P154" s="29">
        <f>0.0013*M154</f>
        <v>0</v>
      </c>
      <c r="Q154" s="30"/>
      <c r="R154" s="22" t="s">
        <v>476</v>
      </c>
      <c r="S154" s="22"/>
      <c r="T154" s="21" t="str">
        <f>HYPERLINK("https://miland.ru/api/getInfo/image/1f8dd5c2-fe6b-11ef-a277-00155d82e908")</f>
        <v>https://miland.ru/api/getInfo/image/1f8dd5c2-fe6b-11ef-a277-00155d82e908</v>
      </c>
      <c r="U154" s="21"/>
      <c r="V154" s="21"/>
      <c r="W154" s="21"/>
      <c r="X154" s="21" t="s">
        <v>172</v>
      </c>
      <c r="Y154" s="21" t="s">
        <v>477</v>
      </c>
      <c r="Z154" s="21" t="s">
        <v>478</v>
      </c>
      <c r="AA154" s="21" t="str">
        <f>HYPERLINK("https://miland.ru/api/getInfo/item/1f8dd5c2-fe6b-11ef-a277-00155d82e908")</f>
        <v>https://miland.ru/api/getInfo/item/1f8dd5c2-fe6b-11ef-a277-00155d82e908</v>
      </c>
      <c r="AB154" s="21" t="s">
        <v>50</v>
      </c>
      <c r="AC154" s="21"/>
      <c r="AD154" s="21"/>
    </row>
    <row r="155" spans="2:30" ht="12" customHeight="1" outlineLevel="6">
      <c r="B155" s="70" t="s">
        <v>479</v>
      </c>
      <c r="C155" s="70"/>
      <c r="D155" s="70"/>
      <c r="E155" s="70"/>
      <c r="F155" s="70"/>
      <c r="G155" s="70"/>
    </row>
    <row r="156" spans="2:30" s="1" customFormat="1" ht="96.3" customHeight="1" outlineLevel="7">
      <c r="B156" s="20">
        <v>96</v>
      </c>
      <c r="C156" s="21" t="s">
        <v>480</v>
      </c>
      <c r="D156" s="72" t="s">
        <v>481</v>
      </c>
      <c r="E156" s="72"/>
      <c r="F156" s="72"/>
      <c r="G156" s="72"/>
      <c r="H156" s="22" t="s">
        <v>482</v>
      </c>
      <c r="I156" s="23" t="s">
        <v>36</v>
      </c>
      <c r="J156" s="22"/>
      <c r="K156" s="20">
        <v>3</v>
      </c>
      <c r="L156" s="24">
        <v>257.12</v>
      </c>
      <c r="M156" s="11"/>
      <c r="N156" s="22">
        <f>L156*M156</f>
        <v>0</v>
      </c>
      <c r="O156" s="25">
        <f>0.081*M156</f>
        <v>0</v>
      </c>
      <c r="P156" s="26">
        <f>0.00021*M156</f>
        <v>0</v>
      </c>
      <c r="Q156" s="30"/>
      <c r="R156" s="22" t="s">
        <v>483</v>
      </c>
      <c r="S156" s="22"/>
      <c r="T156" s="21" t="str">
        <f>HYPERLINK("https://miland.ru/api/getInfo/image/c47e5d0d-fe6b-11ef-a277-00155d82e908")</f>
        <v>https://miland.ru/api/getInfo/image/c47e5d0d-fe6b-11ef-a277-00155d82e908</v>
      </c>
      <c r="U156" s="21"/>
      <c r="V156" s="21"/>
      <c r="W156" s="21"/>
      <c r="X156" s="21" t="s">
        <v>172</v>
      </c>
      <c r="Y156" s="21" t="s">
        <v>477</v>
      </c>
      <c r="Z156" s="21" t="s">
        <v>484</v>
      </c>
      <c r="AA156" s="21" t="str">
        <f>HYPERLINK("https://miland.ru/api/getInfo/item/c47e5d0d-fe6b-11ef-a277-00155d82e908")</f>
        <v>https://miland.ru/api/getInfo/item/c47e5d0d-fe6b-11ef-a277-00155d82e908</v>
      </c>
      <c r="AB156" s="21" t="s">
        <v>50</v>
      </c>
      <c r="AC156" s="21"/>
      <c r="AD156" s="21"/>
    </row>
    <row r="157" spans="2:30" ht="12" customHeight="1" outlineLevel="5">
      <c r="B157" s="70" t="s">
        <v>436</v>
      </c>
      <c r="C157" s="70"/>
      <c r="D157" s="70"/>
      <c r="E157" s="70"/>
      <c r="F157" s="70"/>
      <c r="G157" s="70"/>
    </row>
    <row r="158" spans="2:30" ht="12" customHeight="1" outlineLevel="6">
      <c r="B158" s="70" t="s">
        <v>437</v>
      </c>
      <c r="C158" s="70"/>
      <c r="D158" s="70"/>
      <c r="E158" s="70"/>
      <c r="F158" s="70"/>
      <c r="G158" s="70"/>
    </row>
    <row r="159" spans="2:30" s="1" customFormat="1" ht="96.3" customHeight="1" outlineLevel="7">
      <c r="B159" s="20">
        <v>97</v>
      </c>
      <c r="C159" s="21" t="s">
        <v>485</v>
      </c>
      <c r="D159" s="72" t="s">
        <v>486</v>
      </c>
      <c r="E159" s="72"/>
      <c r="F159" s="72"/>
      <c r="G159" s="72"/>
      <c r="H159" s="22" t="s">
        <v>487</v>
      </c>
      <c r="I159" s="23" t="s">
        <v>36</v>
      </c>
      <c r="J159" s="22"/>
      <c r="K159" s="20">
        <v>1</v>
      </c>
      <c r="L159" s="24">
        <v>867.89</v>
      </c>
      <c r="M159" s="11"/>
      <c r="N159" s="22">
        <f>L159*M159</f>
        <v>0</v>
      </c>
      <c r="O159" s="25">
        <f>0.238*M159</f>
        <v>0</v>
      </c>
      <c r="P159" s="26">
        <f>0.00096*M159</f>
        <v>0</v>
      </c>
      <c r="Q159" s="30"/>
      <c r="R159" s="22" t="s">
        <v>488</v>
      </c>
      <c r="S159" s="22"/>
      <c r="T159" s="21" t="str">
        <f>HYPERLINK("https://miland.ru/api/getInfo/image/140f8766-138c-11f0-a279-00155d82e908")</f>
        <v>https://miland.ru/api/getInfo/image/140f8766-138c-11f0-a279-00155d82e908</v>
      </c>
      <c r="U159" s="21"/>
      <c r="V159" s="21"/>
      <c r="W159" s="21"/>
      <c r="X159" s="21"/>
      <c r="Y159" s="21" t="s">
        <v>41</v>
      </c>
      <c r="Z159" s="21"/>
      <c r="AA159" s="21" t="str">
        <f>HYPERLINK("https://miland.ru/api/getInfo/item/140f8766-138c-11f0-a279-00155d82e908")</f>
        <v>https://miland.ru/api/getInfo/item/140f8766-138c-11f0-a279-00155d82e908</v>
      </c>
      <c r="AB159" s="21" t="s">
        <v>50</v>
      </c>
      <c r="AC159" s="21"/>
      <c r="AD159" s="21"/>
    </row>
    <row r="160" spans="2:30" s="1" customFormat="1" ht="96.3" customHeight="1" outlineLevel="7">
      <c r="B160" s="6">
        <v>98</v>
      </c>
      <c r="C160" s="7" t="s">
        <v>489</v>
      </c>
      <c r="D160" s="71" t="s">
        <v>490</v>
      </c>
      <c r="E160" s="71"/>
      <c r="F160" s="71"/>
      <c r="G160" s="71"/>
      <c r="H160" s="8" t="s">
        <v>491</v>
      </c>
      <c r="I160" s="14">
        <v>167</v>
      </c>
      <c r="J160" s="8"/>
      <c r="K160" s="6">
        <v>7</v>
      </c>
      <c r="L160" s="10">
        <v>93.82</v>
      </c>
      <c r="M160" s="11"/>
      <c r="N160" s="8">
        <f>L160*M160</f>
        <v>0</v>
      </c>
      <c r="O160" s="12">
        <f>0.016*M160</f>
        <v>0</v>
      </c>
      <c r="P160" s="13">
        <f>0.00014*M160</f>
        <v>0</v>
      </c>
      <c r="Q160" s="17" t="s">
        <v>37</v>
      </c>
      <c r="R160" s="8" t="s">
        <v>492</v>
      </c>
      <c r="S160" s="8"/>
      <c r="T160" s="7" t="str">
        <f>HYPERLINK("https://miland.ru/api/getInfo/image/24032d73-318e-11f1-a292-00155d82e908")</f>
        <v>https://miland.ru/api/getInfo/image/24032d73-318e-11f1-a292-00155d82e908</v>
      </c>
      <c r="U160" s="7"/>
      <c r="V160" s="7"/>
      <c r="W160" s="7"/>
      <c r="X160" s="7"/>
      <c r="Y160" s="7" t="s">
        <v>41</v>
      </c>
      <c r="Z160" s="7"/>
      <c r="AA160" s="7" t="str">
        <f>HYPERLINK("https://miland.ru/api/getInfo/item/24032d73-318e-11f1-a292-00155d82e908")</f>
        <v>https://miland.ru/api/getInfo/item/24032d73-318e-11f1-a292-00155d82e908</v>
      </c>
      <c r="AB160" s="7" t="s">
        <v>50</v>
      </c>
      <c r="AC160" s="7"/>
      <c r="AD160" s="7"/>
    </row>
    <row r="161" spans="2:30" s="1" customFormat="1" ht="96.3" customHeight="1" outlineLevel="7">
      <c r="B161" s="6">
        <v>99</v>
      </c>
      <c r="C161" s="7" t="s">
        <v>493</v>
      </c>
      <c r="D161" s="71" t="s">
        <v>494</v>
      </c>
      <c r="E161" s="71"/>
      <c r="F161" s="71"/>
      <c r="G161" s="71"/>
      <c r="H161" s="8" t="s">
        <v>495</v>
      </c>
      <c r="I161" s="9" t="s">
        <v>36</v>
      </c>
      <c r="J161" s="8"/>
      <c r="K161" s="6">
        <v>4</v>
      </c>
      <c r="L161" s="10">
        <v>187.64</v>
      </c>
      <c r="M161" s="11"/>
      <c r="N161" s="8">
        <f>L161*M161</f>
        <v>0</v>
      </c>
      <c r="O161" s="12">
        <f>0.023*M161</f>
        <v>0</v>
      </c>
      <c r="P161" s="16">
        <f>0.0003*M161</f>
        <v>0</v>
      </c>
      <c r="Q161" s="17" t="s">
        <v>37</v>
      </c>
      <c r="R161" s="8" t="s">
        <v>496</v>
      </c>
      <c r="S161" s="8"/>
      <c r="T161" s="7" t="str">
        <f>HYPERLINK("https://miland.ru/api/getInfo/image/5d7eb201-318e-11f1-a292-00155d82e908")</f>
        <v>https://miland.ru/api/getInfo/image/5d7eb201-318e-11f1-a292-00155d82e908</v>
      </c>
      <c r="U161" s="7"/>
      <c r="V161" s="7"/>
      <c r="W161" s="7"/>
      <c r="X161" s="7"/>
      <c r="Y161" s="7" t="s">
        <v>41</v>
      </c>
      <c r="Z161" s="7"/>
      <c r="AA161" s="7" t="str">
        <f>HYPERLINK("https://miland.ru/api/getInfo/item/5d7eb201-318e-11f1-a292-00155d82e908")</f>
        <v>https://miland.ru/api/getInfo/item/5d7eb201-318e-11f1-a292-00155d82e908</v>
      </c>
      <c r="AB161" s="7" t="s">
        <v>50</v>
      </c>
      <c r="AC161" s="7"/>
      <c r="AD161" s="7"/>
    </row>
    <row r="162" spans="2:30" s="1" customFormat="1" ht="96.3" customHeight="1" outlineLevel="7">
      <c r="B162" s="6">
        <v>100</v>
      </c>
      <c r="C162" s="7" t="s">
        <v>497</v>
      </c>
      <c r="D162" s="71" t="s">
        <v>498</v>
      </c>
      <c r="E162" s="71"/>
      <c r="F162" s="71"/>
      <c r="G162" s="71"/>
      <c r="H162" s="8" t="s">
        <v>499</v>
      </c>
      <c r="I162" s="14">
        <v>190</v>
      </c>
      <c r="J162" s="8"/>
      <c r="K162" s="6">
        <v>7</v>
      </c>
      <c r="L162" s="10">
        <v>93.82</v>
      </c>
      <c r="M162" s="11"/>
      <c r="N162" s="8">
        <f>L162*M162</f>
        <v>0</v>
      </c>
      <c r="O162" s="12">
        <f>0.009*M162</f>
        <v>0</v>
      </c>
      <c r="P162" s="13">
        <f>0.00008*M162</f>
        <v>0</v>
      </c>
      <c r="Q162" s="17" t="s">
        <v>37</v>
      </c>
      <c r="R162" s="8" t="s">
        <v>500</v>
      </c>
      <c r="S162" s="8"/>
      <c r="T162" s="7" t="str">
        <f>HYPERLINK("https://miland.ru/api/getInfo/image/41078257-318e-11f1-a292-00155d82e908")</f>
        <v>https://miland.ru/api/getInfo/image/41078257-318e-11f1-a292-00155d82e908</v>
      </c>
      <c r="U162" s="7"/>
      <c r="V162" s="7"/>
      <c r="W162" s="7"/>
      <c r="X162" s="7"/>
      <c r="Y162" s="7" t="s">
        <v>41</v>
      </c>
      <c r="Z162" s="7"/>
      <c r="AA162" s="7" t="str">
        <f>HYPERLINK("https://miland.ru/api/getInfo/item/41078257-318e-11f1-a292-00155d82e908")</f>
        <v>https://miland.ru/api/getInfo/item/41078257-318e-11f1-a292-00155d82e908</v>
      </c>
      <c r="AB162" s="7" t="s">
        <v>50</v>
      </c>
      <c r="AC162" s="7"/>
      <c r="AD162" s="7"/>
    </row>
    <row r="163" spans="2:30" ht="12" customHeight="1" outlineLevel="6">
      <c r="B163" s="70" t="s">
        <v>501</v>
      </c>
      <c r="C163" s="70"/>
      <c r="D163" s="70"/>
      <c r="E163" s="70"/>
      <c r="F163" s="70"/>
      <c r="G163" s="70"/>
    </row>
    <row r="164" spans="2:30" s="1" customFormat="1" ht="96.3" customHeight="1" outlineLevel="7">
      <c r="B164" s="6">
        <v>101</v>
      </c>
      <c r="C164" s="7" t="s">
        <v>502</v>
      </c>
      <c r="D164" s="71" t="s">
        <v>503</v>
      </c>
      <c r="E164" s="71"/>
      <c r="F164" s="71"/>
      <c r="G164" s="71"/>
      <c r="H164" s="8" t="s">
        <v>504</v>
      </c>
      <c r="I164" s="9" t="s">
        <v>36</v>
      </c>
      <c r="J164" s="8"/>
      <c r="K164" s="6">
        <v>1</v>
      </c>
      <c r="L164" s="10">
        <v>505.65</v>
      </c>
      <c r="M164" s="11"/>
      <c r="N164" s="8">
        <f>L164*M164</f>
        <v>0</v>
      </c>
      <c r="O164" s="8">
        <v>0</v>
      </c>
      <c r="P164" s="8">
        <v>0</v>
      </c>
      <c r="Q164" s="17" t="s">
        <v>37</v>
      </c>
      <c r="R164" s="8" t="s">
        <v>505</v>
      </c>
      <c r="S164" s="8"/>
      <c r="T164" s="7" t="str">
        <f>HYPERLINK("https://miland.ru/api/getInfo/image/82d1c98d-0647-11f1-a28f-00155d82e908")</f>
        <v>https://miland.ru/api/getInfo/image/82d1c98d-0647-11f1-a28f-00155d82e908</v>
      </c>
      <c r="U164" s="7"/>
      <c r="V164" s="7"/>
      <c r="W164" s="7" t="s">
        <v>302</v>
      </c>
      <c r="X164" s="7"/>
      <c r="Y164" s="7" t="s">
        <v>41</v>
      </c>
      <c r="Z164" s="7"/>
      <c r="AA164" s="7" t="str">
        <f>HYPERLINK("https://miland.ru/api/getInfo/item/82d1c98d-0647-11f1-a28f-00155d82e908")</f>
        <v>https://miland.ru/api/getInfo/item/82d1c98d-0647-11f1-a28f-00155d82e908</v>
      </c>
      <c r="AB164" s="7" t="s">
        <v>50</v>
      </c>
      <c r="AC164" s="7"/>
      <c r="AD164" s="7"/>
    </row>
    <row r="165" spans="2:30" ht="12" customHeight="1" outlineLevel="5">
      <c r="B165" s="70" t="s">
        <v>180</v>
      </c>
      <c r="C165" s="70"/>
      <c r="D165" s="70"/>
      <c r="E165" s="70"/>
      <c r="F165" s="70"/>
      <c r="G165" s="70"/>
    </row>
    <row r="166" spans="2:30" s="1" customFormat="1" ht="96.3" customHeight="1" outlineLevel="6">
      <c r="B166" s="20">
        <v>102</v>
      </c>
      <c r="C166" s="21" t="s">
        <v>506</v>
      </c>
      <c r="D166" s="72" t="s">
        <v>507</v>
      </c>
      <c r="E166" s="72"/>
      <c r="F166" s="72"/>
      <c r="G166" s="72"/>
      <c r="H166" s="22" t="s">
        <v>508</v>
      </c>
      <c r="I166" s="23" t="s">
        <v>36</v>
      </c>
      <c r="J166" s="22"/>
      <c r="K166" s="20">
        <v>1</v>
      </c>
      <c r="L166" s="24">
        <v>768.04</v>
      </c>
      <c r="M166" s="11"/>
      <c r="N166" s="22">
        <f>L166*M166</f>
        <v>0</v>
      </c>
      <c r="O166" s="25">
        <f>0.288*M166</f>
        <v>0</v>
      </c>
      <c r="P166" s="26">
        <f>0.00117*M166</f>
        <v>0</v>
      </c>
      <c r="Q166" s="30"/>
      <c r="R166" s="22" t="s">
        <v>509</v>
      </c>
      <c r="S166" s="22"/>
      <c r="T166" s="21" t="str">
        <f>HYPERLINK("https://miland.ru/api/getInfo/image/83562113-1126-11f0-a279-00155d82e908")</f>
        <v>https://miland.ru/api/getInfo/image/83562113-1126-11f0-a279-00155d82e908</v>
      </c>
      <c r="U166" s="21"/>
      <c r="V166" s="21"/>
      <c r="W166" s="21" t="s">
        <v>185</v>
      </c>
      <c r="X166" s="21"/>
      <c r="Y166" s="21" t="s">
        <v>41</v>
      </c>
      <c r="Z166" s="21"/>
      <c r="AA166" s="21" t="str">
        <f>HYPERLINK("https://miland.ru/api/getInfo/item/83562113-1126-11f0-a279-00155d82e908")</f>
        <v>https://miland.ru/api/getInfo/item/83562113-1126-11f0-a279-00155d82e908</v>
      </c>
      <c r="AB166" s="21" t="s">
        <v>42</v>
      </c>
      <c r="AC166" s="21"/>
      <c r="AD166" s="21"/>
    </row>
    <row r="167" spans="2:30" ht="12" customHeight="1" outlineLevel="4">
      <c r="B167" s="70" t="s">
        <v>510</v>
      </c>
      <c r="C167" s="70"/>
      <c r="D167" s="70"/>
      <c r="E167" s="70"/>
      <c r="F167" s="70"/>
      <c r="G167" s="70"/>
    </row>
    <row r="168" spans="2:30" ht="12" customHeight="1" outlineLevel="5">
      <c r="B168" s="70" t="s">
        <v>132</v>
      </c>
      <c r="C168" s="70"/>
      <c r="D168" s="70"/>
      <c r="E168" s="70"/>
      <c r="F168" s="70"/>
      <c r="G168" s="70"/>
    </row>
    <row r="169" spans="2:30" s="1" customFormat="1" ht="96.3" customHeight="1" outlineLevel="6">
      <c r="B169" s="20">
        <v>103</v>
      </c>
      <c r="C169" s="21" t="s">
        <v>511</v>
      </c>
      <c r="D169" s="72" t="s">
        <v>512</v>
      </c>
      <c r="E169" s="72"/>
      <c r="F169" s="72"/>
      <c r="G169" s="72"/>
      <c r="H169" s="22" t="s">
        <v>513</v>
      </c>
      <c r="I169" s="27">
        <v>180</v>
      </c>
      <c r="J169" s="22"/>
      <c r="K169" s="20">
        <v>4</v>
      </c>
      <c r="L169" s="24">
        <v>139.12</v>
      </c>
      <c r="M169" s="11"/>
      <c r="N169" s="22">
        <f>L169*M169</f>
        <v>0</v>
      </c>
      <c r="O169" s="25">
        <f>0.046*M169</f>
        <v>0</v>
      </c>
      <c r="P169" s="26">
        <f>0.00028*M169</f>
        <v>0</v>
      </c>
      <c r="Q169" s="30"/>
      <c r="R169" s="22" t="s">
        <v>514</v>
      </c>
      <c r="S169" s="22"/>
      <c r="T169" s="21" t="str">
        <f>HYPERLINK("https://miland.ru/api/getInfo/image/b03752a7-ff0e-11ef-a277-00155d82e908")</f>
        <v>https://miland.ru/api/getInfo/image/b03752a7-ff0e-11ef-a277-00155d82e908</v>
      </c>
      <c r="U169" s="21"/>
      <c r="V169" s="21"/>
      <c r="W169" s="21" t="s">
        <v>82</v>
      </c>
      <c r="X169" s="21"/>
      <c r="Y169" s="21" t="s">
        <v>41</v>
      </c>
      <c r="Z169" s="21"/>
      <c r="AA169" s="21" t="str">
        <f>HYPERLINK("https://miland.ru/api/getInfo/item/b03752a7-ff0e-11ef-a277-00155d82e908")</f>
        <v>https://miland.ru/api/getInfo/item/b03752a7-ff0e-11ef-a277-00155d82e908</v>
      </c>
      <c r="AB169" s="21" t="s">
        <v>42</v>
      </c>
      <c r="AC169" s="21"/>
      <c r="AD169" s="21"/>
    </row>
    <row r="170" spans="2:30" ht="12" customHeight="1" outlineLevel="5">
      <c r="B170" s="70" t="s">
        <v>471</v>
      </c>
      <c r="C170" s="70"/>
      <c r="D170" s="70"/>
      <c r="E170" s="70"/>
      <c r="F170" s="70"/>
      <c r="G170" s="70"/>
    </row>
    <row r="171" spans="2:30" ht="12" customHeight="1" outlineLevel="6">
      <c r="B171" s="70" t="s">
        <v>472</v>
      </c>
      <c r="C171" s="70"/>
      <c r="D171" s="70"/>
      <c r="E171" s="70"/>
      <c r="F171" s="70"/>
      <c r="G171" s="70"/>
    </row>
    <row r="172" spans="2:30" s="1" customFormat="1" ht="96.3" customHeight="1" outlineLevel="7">
      <c r="B172" s="20">
        <v>104</v>
      </c>
      <c r="C172" s="21" t="s">
        <v>515</v>
      </c>
      <c r="D172" s="72" t="s">
        <v>516</v>
      </c>
      <c r="E172" s="72"/>
      <c r="F172" s="72"/>
      <c r="G172" s="72"/>
      <c r="H172" s="22" t="s">
        <v>517</v>
      </c>
      <c r="I172" s="23" t="s">
        <v>36</v>
      </c>
      <c r="J172" s="22"/>
      <c r="K172" s="20">
        <v>2</v>
      </c>
      <c r="L172" s="24">
        <v>355.93</v>
      </c>
      <c r="M172" s="11"/>
      <c r="N172" s="22">
        <f>L172*M172</f>
        <v>0</v>
      </c>
      <c r="O172" s="25">
        <f>0.114*M172</f>
        <v>0</v>
      </c>
      <c r="P172" s="26">
        <f>0.00131*M172</f>
        <v>0</v>
      </c>
      <c r="Q172" s="30"/>
      <c r="R172" s="22" t="s">
        <v>518</v>
      </c>
      <c r="S172" s="22"/>
      <c r="T172" s="21" t="str">
        <f>HYPERLINK("https://miland.ru/api/getInfo/image/86b8aa28-fe6b-11ef-a277-00155d82e908")</f>
        <v>https://miland.ru/api/getInfo/image/86b8aa28-fe6b-11ef-a277-00155d82e908</v>
      </c>
      <c r="U172" s="21"/>
      <c r="V172" s="21"/>
      <c r="W172" s="21"/>
      <c r="X172" s="21" t="s">
        <v>172</v>
      </c>
      <c r="Y172" s="21" t="s">
        <v>477</v>
      </c>
      <c r="Z172" s="21" t="s">
        <v>519</v>
      </c>
      <c r="AA172" s="21" t="str">
        <f>HYPERLINK("https://miland.ru/api/getInfo/item/86b8aa28-fe6b-11ef-a277-00155d82e908")</f>
        <v>https://miland.ru/api/getInfo/item/86b8aa28-fe6b-11ef-a277-00155d82e908</v>
      </c>
      <c r="AB172" s="21" t="s">
        <v>50</v>
      </c>
      <c r="AC172" s="21"/>
      <c r="AD172" s="21"/>
    </row>
    <row r="173" spans="2:30" ht="12" customHeight="1" outlineLevel="5">
      <c r="B173" s="70" t="s">
        <v>436</v>
      </c>
      <c r="C173" s="70"/>
      <c r="D173" s="70"/>
      <c r="E173" s="70"/>
      <c r="F173" s="70"/>
      <c r="G173" s="70"/>
    </row>
    <row r="174" spans="2:30" ht="12" customHeight="1" outlineLevel="6">
      <c r="B174" s="70" t="s">
        <v>437</v>
      </c>
      <c r="C174" s="70"/>
      <c r="D174" s="70"/>
      <c r="E174" s="70"/>
      <c r="F174" s="70"/>
      <c r="G174" s="70"/>
    </row>
    <row r="175" spans="2:30" s="1" customFormat="1" ht="96.3" customHeight="1" outlineLevel="7">
      <c r="B175" s="6">
        <v>105</v>
      </c>
      <c r="C175" s="7" t="s">
        <v>520</v>
      </c>
      <c r="D175" s="71" t="s">
        <v>521</v>
      </c>
      <c r="E175" s="71"/>
      <c r="F175" s="71"/>
      <c r="G175" s="71"/>
      <c r="H175" s="8" t="s">
        <v>522</v>
      </c>
      <c r="I175" s="9" t="s">
        <v>36</v>
      </c>
      <c r="J175" s="8"/>
      <c r="K175" s="6">
        <v>1</v>
      </c>
      <c r="L175" s="10">
        <v>586.66999999999996</v>
      </c>
      <c r="M175" s="11"/>
      <c r="N175" s="8">
        <f>L175*M175</f>
        <v>0</v>
      </c>
      <c r="O175" s="18">
        <f>0.08*M175</f>
        <v>0</v>
      </c>
      <c r="P175" s="13">
        <f>0.00102*M175</f>
        <v>0</v>
      </c>
      <c r="Q175" s="17" t="s">
        <v>37</v>
      </c>
      <c r="R175" s="8" t="s">
        <v>523</v>
      </c>
      <c r="S175" s="8"/>
      <c r="T175" s="7" t="str">
        <f>HYPERLINK("https://miland.ru/api/getInfo/image/c56053f3-318e-11f1-a292-00155d82e908")</f>
        <v>https://miland.ru/api/getInfo/image/c56053f3-318e-11f1-a292-00155d82e908</v>
      </c>
      <c r="U175" s="7"/>
      <c r="V175" s="7"/>
      <c r="W175" s="7"/>
      <c r="X175" s="7"/>
      <c r="Y175" s="7" t="s">
        <v>41</v>
      </c>
      <c r="Z175" s="7"/>
      <c r="AA175" s="7" t="str">
        <f>HYPERLINK("https://miland.ru/api/getInfo/item/c56053f3-318e-11f1-a292-00155d82e908")</f>
        <v>https://miland.ru/api/getInfo/item/c56053f3-318e-11f1-a292-00155d82e908</v>
      </c>
      <c r="AB175" s="7" t="s">
        <v>50</v>
      </c>
      <c r="AC175" s="7"/>
      <c r="AD175" s="7"/>
    </row>
    <row r="176" spans="2:30" s="1" customFormat="1" ht="96.3" customHeight="1" outlineLevel="7">
      <c r="B176" s="20">
        <v>106</v>
      </c>
      <c r="C176" s="21" t="s">
        <v>524</v>
      </c>
      <c r="D176" s="72" t="s">
        <v>525</v>
      </c>
      <c r="E176" s="72"/>
      <c r="F176" s="72"/>
      <c r="G176" s="72"/>
      <c r="H176" s="22" t="s">
        <v>526</v>
      </c>
      <c r="I176" s="23" t="s">
        <v>36</v>
      </c>
      <c r="J176" s="22"/>
      <c r="K176" s="20">
        <v>1</v>
      </c>
      <c r="L176" s="24">
        <v>867.89</v>
      </c>
      <c r="M176" s="11"/>
      <c r="N176" s="22">
        <f>L176*M176</f>
        <v>0</v>
      </c>
      <c r="O176" s="25">
        <f>0.252*M176</f>
        <v>0</v>
      </c>
      <c r="P176" s="29">
        <f>0.0008*M176</f>
        <v>0</v>
      </c>
      <c r="Q176" s="30"/>
      <c r="R176" s="22" t="s">
        <v>527</v>
      </c>
      <c r="S176" s="22"/>
      <c r="T176" s="21" t="str">
        <f>HYPERLINK("https://miland.ru/api/getInfo/image/74ce877d-138b-11f0-a279-00155d82e908")</f>
        <v>https://miland.ru/api/getInfo/image/74ce877d-138b-11f0-a279-00155d82e908</v>
      </c>
      <c r="U176" s="21"/>
      <c r="V176" s="21" t="s">
        <v>208</v>
      </c>
      <c r="W176" s="21" t="s">
        <v>82</v>
      </c>
      <c r="X176" s="21"/>
      <c r="Y176" s="21" t="s">
        <v>41</v>
      </c>
      <c r="Z176" s="21"/>
      <c r="AA176" s="21" t="str">
        <f>HYPERLINK("https://miland.ru/api/getInfo/item/74ce877d-138b-11f0-a279-00155d82e908")</f>
        <v>https://miland.ru/api/getInfo/item/74ce877d-138b-11f0-a279-00155d82e908</v>
      </c>
      <c r="AB176" s="21" t="s">
        <v>50</v>
      </c>
      <c r="AC176" s="21"/>
      <c r="AD176" s="21"/>
    </row>
    <row r="177" spans="2:30" s="1" customFormat="1" ht="96.3" customHeight="1" outlineLevel="7">
      <c r="B177" s="6">
        <v>107</v>
      </c>
      <c r="C177" s="7" t="s">
        <v>528</v>
      </c>
      <c r="D177" s="71" t="s">
        <v>529</v>
      </c>
      <c r="E177" s="71"/>
      <c r="F177" s="71"/>
      <c r="G177" s="71"/>
      <c r="H177" s="8" t="s">
        <v>530</v>
      </c>
      <c r="I177" s="9" t="s">
        <v>36</v>
      </c>
      <c r="J177" s="8"/>
      <c r="K177" s="6">
        <v>7</v>
      </c>
      <c r="L177" s="10">
        <v>93.82</v>
      </c>
      <c r="M177" s="11"/>
      <c r="N177" s="8">
        <f>L177*M177</f>
        <v>0</v>
      </c>
      <c r="O177" s="12">
        <f>0.009*M177</f>
        <v>0</v>
      </c>
      <c r="P177" s="13">
        <f>0.00035*M177</f>
        <v>0</v>
      </c>
      <c r="Q177" s="17" t="s">
        <v>37</v>
      </c>
      <c r="R177" s="8" t="s">
        <v>531</v>
      </c>
      <c r="S177" s="8"/>
      <c r="T177" s="7" t="str">
        <f>HYPERLINK("https://miland.ru/api/getInfo/image/ac2659e8-318e-11f1-a292-00155d82e908")</f>
        <v>https://miland.ru/api/getInfo/image/ac2659e8-318e-11f1-a292-00155d82e908</v>
      </c>
      <c r="U177" s="7"/>
      <c r="V177" s="7"/>
      <c r="W177" s="7"/>
      <c r="X177" s="7"/>
      <c r="Y177" s="7" t="s">
        <v>41</v>
      </c>
      <c r="Z177" s="7"/>
      <c r="AA177" s="7" t="str">
        <f>HYPERLINK("https://miland.ru/api/getInfo/item/ac2659e8-318e-11f1-a292-00155d82e908")</f>
        <v>https://miland.ru/api/getInfo/item/ac2659e8-318e-11f1-a292-00155d82e908</v>
      </c>
      <c r="AB177" s="7" t="s">
        <v>50</v>
      </c>
      <c r="AC177" s="7"/>
      <c r="AD177" s="7"/>
    </row>
    <row r="178" spans="2:30" ht="12" customHeight="1" outlineLevel="6">
      <c r="B178" s="70" t="s">
        <v>501</v>
      </c>
      <c r="C178" s="70"/>
      <c r="D178" s="70"/>
      <c r="E178" s="70"/>
      <c r="F178" s="70"/>
      <c r="G178" s="70"/>
    </row>
    <row r="179" spans="2:30" s="1" customFormat="1" ht="96.3" customHeight="1" outlineLevel="7">
      <c r="B179" s="6">
        <v>108</v>
      </c>
      <c r="C179" s="7" t="s">
        <v>532</v>
      </c>
      <c r="D179" s="71" t="s">
        <v>533</v>
      </c>
      <c r="E179" s="71"/>
      <c r="F179" s="71"/>
      <c r="G179" s="71"/>
      <c r="H179" s="8" t="s">
        <v>534</v>
      </c>
      <c r="I179" s="9" t="s">
        <v>36</v>
      </c>
      <c r="J179" s="8"/>
      <c r="K179" s="6">
        <v>1</v>
      </c>
      <c r="L179" s="10">
        <v>505.65</v>
      </c>
      <c r="M179" s="11"/>
      <c r="N179" s="8">
        <f>L179*M179</f>
        <v>0</v>
      </c>
      <c r="O179" s="8">
        <v>0</v>
      </c>
      <c r="P179" s="8">
        <v>0</v>
      </c>
      <c r="Q179" s="17" t="s">
        <v>37</v>
      </c>
      <c r="R179" s="8" t="s">
        <v>535</v>
      </c>
      <c r="S179" s="8"/>
      <c r="T179" s="7" t="str">
        <f>HYPERLINK("https://miland.ru/api/getInfo/image/0c0a7f0c-0646-11f1-a28f-00155d82e908")</f>
        <v>https://miland.ru/api/getInfo/image/0c0a7f0c-0646-11f1-a28f-00155d82e908</v>
      </c>
      <c r="U179" s="7"/>
      <c r="V179" s="7"/>
      <c r="W179" s="7" t="s">
        <v>302</v>
      </c>
      <c r="X179" s="7"/>
      <c r="Y179" s="7" t="s">
        <v>41</v>
      </c>
      <c r="Z179" s="7"/>
      <c r="AA179" s="7" t="str">
        <f>HYPERLINK("https://miland.ru/api/getInfo/item/0c0a7f0c-0646-11f1-a28f-00155d82e908")</f>
        <v>https://miland.ru/api/getInfo/item/0c0a7f0c-0646-11f1-a28f-00155d82e908</v>
      </c>
      <c r="AB179" s="7" t="s">
        <v>50</v>
      </c>
      <c r="AC179" s="7"/>
      <c r="AD179" s="7"/>
    </row>
    <row r="180" spans="2:30" ht="12" customHeight="1" outlineLevel="6">
      <c r="B180" s="70" t="s">
        <v>65</v>
      </c>
      <c r="C180" s="70"/>
      <c r="D180" s="70"/>
      <c r="E180" s="70"/>
      <c r="F180" s="70"/>
      <c r="G180" s="70"/>
    </row>
    <row r="181" spans="2:30" s="1" customFormat="1" ht="96.3" customHeight="1" outlineLevel="7">
      <c r="B181" s="20">
        <v>109</v>
      </c>
      <c r="C181" s="21" t="s">
        <v>536</v>
      </c>
      <c r="D181" s="72" t="s">
        <v>537</v>
      </c>
      <c r="E181" s="72"/>
      <c r="F181" s="72"/>
      <c r="G181" s="72"/>
      <c r="H181" s="22" t="s">
        <v>538</v>
      </c>
      <c r="I181" s="27">
        <v>12</v>
      </c>
      <c r="J181" s="22"/>
      <c r="K181" s="20">
        <v>1</v>
      </c>
      <c r="L181" s="24">
        <v>478.19</v>
      </c>
      <c r="M181" s="11"/>
      <c r="N181" s="22">
        <f>L181*M181</f>
        <v>0</v>
      </c>
      <c r="O181" s="25">
        <f>0.062*M181</f>
        <v>0</v>
      </c>
      <c r="P181" s="26">
        <f>0.00034*M181</f>
        <v>0</v>
      </c>
      <c r="Q181" s="30"/>
      <c r="R181" s="22" t="s">
        <v>539</v>
      </c>
      <c r="S181" s="22" t="s">
        <v>435</v>
      </c>
      <c r="T181" s="21" t="str">
        <f>HYPERLINK("https://miland.ru/api/getInfo/image/9a4503b8-fd74-11ef-a274-00155d82e908")</f>
        <v>https://miland.ru/api/getInfo/image/9a4503b8-fd74-11ef-a274-00155d82e908</v>
      </c>
      <c r="U181" s="21"/>
      <c r="V181" s="21" t="s">
        <v>208</v>
      </c>
      <c r="W181" s="21" t="s">
        <v>82</v>
      </c>
      <c r="X181" s="21"/>
      <c r="Y181" s="21" t="s">
        <v>41</v>
      </c>
      <c r="Z181" s="21"/>
      <c r="AA181" s="21" t="str">
        <f>HYPERLINK("https://miland.ru/api/getInfo/item/9a4503b8-fd74-11ef-a274-00155d82e908")</f>
        <v>https://miland.ru/api/getInfo/item/9a4503b8-fd74-11ef-a274-00155d82e908</v>
      </c>
      <c r="AB181" s="21" t="s">
        <v>42</v>
      </c>
      <c r="AC181" s="21"/>
      <c r="AD181" s="21"/>
    </row>
    <row r="182" spans="2:30" ht="12" customHeight="1" outlineLevel="5">
      <c r="B182" s="70" t="s">
        <v>540</v>
      </c>
      <c r="C182" s="70"/>
      <c r="D182" s="70"/>
      <c r="E182" s="70"/>
      <c r="F182" s="70"/>
      <c r="G182" s="70"/>
    </row>
    <row r="183" spans="2:30" ht="12" customHeight="1" outlineLevel="6">
      <c r="B183" s="70" t="s">
        <v>541</v>
      </c>
      <c r="C183" s="70"/>
      <c r="D183" s="70"/>
      <c r="E183" s="70"/>
      <c r="F183" s="70"/>
      <c r="G183" s="70"/>
    </row>
    <row r="184" spans="2:30" s="1" customFormat="1" ht="96.3" customHeight="1" outlineLevel="7">
      <c r="B184" s="20">
        <v>110</v>
      </c>
      <c r="C184" s="21" t="s">
        <v>542</v>
      </c>
      <c r="D184" s="72" t="s">
        <v>543</v>
      </c>
      <c r="E184" s="72"/>
      <c r="F184" s="72"/>
      <c r="G184" s="72"/>
      <c r="H184" s="22" t="s">
        <v>544</v>
      </c>
      <c r="I184" s="23" t="s">
        <v>36</v>
      </c>
      <c r="J184" s="22"/>
      <c r="K184" s="20">
        <v>1</v>
      </c>
      <c r="L184" s="24">
        <v>642.25</v>
      </c>
      <c r="M184" s="11"/>
      <c r="N184" s="22">
        <f>L184*M184</f>
        <v>0</v>
      </c>
      <c r="O184" s="25">
        <f>0.058*M184</f>
        <v>0</v>
      </c>
      <c r="P184" s="26">
        <f>0.00109*M184</f>
        <v>0</v>
      </c>
      <c r="Q184" s="30"/>
      <c r="R184" s="22" t="s">
        <v>545</v>
      </c>
      <c r="S184" s="22"/>
      <c r="T184" s="21" t="str">
        <f>HYPERLINK("https://miland.ru/api/getInfo/image/2a5df5be-fe54-11ef-a275-00155d82e908")</f>
        <v>https://miland.ru/api/getInfo/image/2a5df5be-fe54-11ef-a275-00155d82e908</v>
      </c>
      <c r="U184" s="21"/>
      <c r="V184" s="21"/>
      <c r="W184" s="21" t="s">
        <v>546</v>
      </c>
      <c r="X184" s="21"/>
      <c r="Y184" s="21" t="s">
        <v>41</v>
      </c>
      <c r="Z184" s="21"/>
      <c r="AA184" s="21" t="str">
        <f>HYPERLINK("https://miland.ru/api/getInfo/item/2a5df5be-fe54-11ef-a275-00155d82e908")</f>
        <v>https://miland.ru/api/getInfo/item/2a5df5be-fe54-11ef-a275-00155d82e908</v>
      </c>
      <c r="AB184" s="21" t="s">
        <v>42</v>
      </c>
      <c r="AC184" s="21"/>
      <c r="AD184" s="21"/>
    </row>
    <row r="185" spans="2:30" ht="12" customHeight="1" outlineLevel="5">
      <c r="B185" s="70" t="s">
        <v>547</v>
      </c>
      <c r="C185" s="70"/>
      <c r="D185" s="70"/>
      <c r="E185" s="70"/>
      <c r="F185" s="70"/>
      <c r="G185" s="70"/>
    </row>
    <row r="186" spans="2:30" s="1" customFormat="1" ht="96.3" customHeight="1" outlineLevel="6">
      <c r="B186" s="6">
        <v>111</v>
      </c>
      <c r="C186" s="7" t="s">
        <v>548</v>
      </c>
      <c r="D186" s="71" t="s">
        <v>549</v>
      </c>
      <c r="E186" s="71"/>
      <c r="F186" s="71"/>
      <c r="G186" s="71"/>
      <c r="H186" s="8" t="s">
        <v>550</v>
      </c>
      <c r="I186" s="14">
        <v>289</v>
      </c>
      <c r="J186" s="8"/>
      <c r="K186" s="6">
        <v>1</v>
      </c>
      <c r="L186" s="15">
        <v>1384.21</v>
      </c>
      <c r="M186" s="11"/>
      <c r="N186" s="8">
        <f>L186*M186</f>
        <v>0</v>
      </c>
      <c r="O186" s="12">
        <f>0.393*M186</f>
        <v>0</v>
      </c>
      <c r="P186" s="16">
        <f>0.0096*M186</f>
        <v>0</v>
      </c>
      <c r="Q186" s="17" t="s">
        <v>37</v>
      </c>
      <c r="R186" s="8" t="s">
        <v>551</v>
      </c>
      <c r="S186" s="8"/>
      <c r="T186" s="7" t="str">
        <f>HYPERLINK("https://miland.ru/api/getInfo/image/23668e9d-2777-11f1-a291-00155d82e908")</f>
        <v>https://miland.ru/api/getInfo/image/23668e9d-2777-11f1-a291-00155d82e908</v>
      </c>
      <c r="U186" s="7"/>
      <c r="V186" s="7"/>
      <c r="W186" s="7" t="s">
        <v>82</v>
      </c>
      <c r="X186" s="7"/>
      <c r="Y186" s="7" t="s">
        <v>41</v>
      </c>
      <c r="Z186" s="7"/>
      <c r="AA186" s="7" t="str">
        <f>HYPERLINK("https://miland.ru/api/getInfo/item/23668e9d-2777-11f1-a291-00155d82e908")</f>
        <v>https://miland.ru/api/getInfo/item/23668e9d-2777-11f1-a291-00155d82e908</v>
      </c>
      <c r="AB186" s="7" t="s">
        <v>42</v>
      </c>
      <c r="AC186" s="7"/>
      <c r="AD186" s="7"/>
    </row>
    <row r="187" spans="2:30" ht="12" customHeight="1" outlineLevel="4">
      <c r="B187" s="70" t="s">
        <v>552</v>
      </c>
      <c r="C187" s="70"/>
      <c r="D187" s="70"/>
      <c r="E187" s="70"/>
      <c r="F187" s="70"/>
      <c r="G187" s="70"/>
    </row>
    <row r="188" spans="2:30" ht="12" customHeight="1" outlineLevel="5">
      <c r="B188" s="70" t="s">
        <v>436</v>
      </c>
      <c r="C188" s="70"/>
      <c r="D188" s="70"/>
      <c r="E188" s="70"/>
      <c r="F188" s="70"/>
      <c r="G188" s="70"/>
    </row>
    <row r="189" spans="2:30" ht="12" customHeight="1" outlineLevel="6">
      <c r="B189" s="70" t="s">
        <v>65</v>
      </c>
      <c r="C189" s="70"/>
      <c r="D189" s="70"/>
      <c r="E189" s="70"/>
      <c r="F189" s="70"/>
      <c r="G189" s="70"/>
    </row>
    <row r="190" spans="2:30" s="1" customFormat="1" ht="96.3" customHeight="1" outlineLevel="7">
      <c r="B190" s="20">
        <v>112</v>
      </c>
      <c r="C190" s="21" t="s">
        <v>553</v>
      </c>
      <c r="D190" s="72" t="s">
        <v>554</v>
      </c>
      <c r="E190" s="72"/>
      <c r="F190" s="72"/>
      <c r="G190" s="72"/>
      <c r="H190" s="22" t="s">
        <v>555</v>
      </c>
      <c r="I190" s="27">
        <v>13</v>
      </c>
      <c r="J190" s="22"/>
      <c r="K190" s="20">
        <v>1</v>
      </c>
      <c r="L190" s="24">
        <v>478.19</v>
      </c>
      <c r="M190" s="11"/>
      <c r="N190" s="22">
        <f>L190*M190</f>
        <v>0</v>
      </c>
      <c r="O190" s="25">
        <f>0.107*M190</f>
        <v>0</v>
      </c>
      <c r="P190" s="26">
        <f>0.00039*M190</f>
        <v>0</v>
      </c>
      <c r="Q190" s="30"/>
      <c r="R190" s="22" t="s">
        <v>556</v>
      </c>
      <c r="S190" s="22" t="s">
        <v>435</v>
      </c>
      <c r="T190" s="21" t="str">
        <f>HYPERLINK("https://miland.ru/api/getInfo/image/c8f57757-fd72-11ef-a274-00155d82e908")</f>
        <v>https://miland.ru/api/getInfo/image/c8f57757-fd72-11ef-a274-00155d82e908</v>
      </c>
      <c r="U190" s="21"/>
      <c r="V190" s="21" t="s">
        <v>208</v>
      </c>
      <c r="W190" s="21" t="s">
        <v>82</v>
      </c>
      <c r="X190" s="21"/>
      <c r="Y190" s="21" t="s">
        <v>41</v>
      </c>
      <c r="Z190" s="21"/>
      <c r="AA190" s="21" t="str">
        <f>HYPERLINK("https://miland.ru/api/getInfo/item/c8f57757-fd72-11ef-a274-00155d82e908")</f>
        <v>https://miland.ru/api/getInfo/item/c8f57757-fd72-11ef-a274-00155d82e908</v>
      </c>
      <c r="AB190" s="21" t="s">
        <v>42</v>
      </c>
      <c r="AC190" s="21"/>
      <c r="AD190" s="21"/>
    </row>
    <row r="191" spans="2:30" ht="12" customHeight="1" outlineLevel="4">
      <c r="B191" s="70" t="s">
        <v>557</v>
      </c>
      <c r="C191" s="70"/>
      <c r="D191" s="70"/>
      <c r="E191" s="70"/>
      <c r="F191" s="70"/>
      <c r="G191" s="70"/>
    </row>
    <row r="192" spans="2:30" ht="12" customHeight="1" outlineLevel="5">
      <c r="B192" s="70" t="s">
        <v>547</v>
      </c>
      <c r="C192" s="70"/>
      <c r="D192" s="70"/>
      <c r="E192" s="70"/>
      <c r="F192" s="70"/>
      <c r="G192" s="70"/>
    </row>
    <row r="193" spans="2:30" s="1" customFormat="1" ht="96.3" customHeight="1" outlineLevel="6">
      <c r="B193" s="6">
        <v>113</v>
      </c>
      <c r="C193" s="7" t="s">
        <v>558</v>
      </c>
      <c r="D193" s="71" t="s">
        <v>559</v>
      </c>
      <c r="E193" s="71"/>
      <c r="F193" s="71"/>
      <c r="G193" s="71"/>
      <c r="H193" s="8" t="s">
        <v>560</v>
      </c>
      <c r="I193" s="14">
        <v>279</v>
      </c>
      <c r="J193" s="8"/>
      <c r="K193" s="6">
        <v>1</v>
      </c>
      <c r="L193" s="15">
        <v>1384.21</v>
      </c>
      <c r="M193" s="11"/>
      <c r="N193" s="8">
        <f>L193*M193</f>
        <v>0</v>
      </c>
      <c r="O193" s="12">
        <f>0.397*M193</f>
        <v>0</v>
      </c>
      <c r="P193" s="13">
        <f>0.00967*M193</f>
        <v>0</v>
      </c>
      <c r="Q193" s="17" t="s">
        <v>37</v>
      </c>
      <c r="R193" s="8" t="s">
        <v>561</v>
      </c>
      <c r="S193" s="8"/>
      <c r="T193" s="7" t="str">
        <f>HYPERLINK("https://miland.ru/api/getInfo/image/cfb8c35c-2777-11f1-a291-00155d82e908")</f>
        <v>https://miland.ru/api/getInfo/image/cfb8c35c-2777-11f1-a291-00155d82e908</v>
      </c>
      <c r="U193" s="7"/>
      <c r="V193" s="7"/>
      <c r="W193" s="7" t="s">
        <v>82</v>
      </c>
      <c r="X193" s="7"/>
      <c r="Y193" s="7" t="s">
        <v>41</v>
      </c>
      <c r="Z193" s="7"/>
      <c r="AA193" s="7" t="str">
        <f>HYPERLINK("https://miland.ru/api/getInfo/item/cfb8c35c-2777-11f1-a291-00155d82e908")</f>
        <v>https://miland.ru/api/getInfo/item/cfb8c35c-2777-11f1-a291-00155d82e908</v>
      </c>
      <c r="AB193" s="7" t="s">
        <v>42</v>
      </c>
      <c r="AC193" s="7"/>
      <c r="AD193" s="7"/>
    </row>
    <row r="194" spans="2:30" ht="12" customHeight="1" outlineLevel="3">
      <c r="B194" s="70" t="s">
        <v>562</v>
      </c>
      <c r="C194" s="70"/>
      <c r="D194" s="70"/>
      <c r="E194" s="70"/>
      <c r="F194" s="70"/>
      <c r="G194" s="70"/>
    </row>
    <row r="195" spans="2:30" ht="12" customHeight="1" outlineLevel="4">
      <c r="B195" s="70" t="s">
        <v>436</v>
      </c>
      <c r="C195" s="70"/>
      <c r="D195" s="70"/>
      <c r="E195" s="70"/>
      <c r="F195" s="70"/>
      <c r="G195" s="70"/>
    </row>
    <row r="196" spans="2:30" ht="12" customHeight="1" outlineLevel="5">
      <c r="B196" s="70" t="s">
        <v>501</v>
      </c>
      <c r="C196" s="70"/>
      <c r="D196" s="70"/>
      <c r="E196" s="70"/>
      <c r="F196" s="70"/>
      <c r="G196" s="70"/>
    </row>
    <row r="197" spans="2:30" s="1" customFormat="1" ht="96.3" customHeight="1" outlineLevel="6">
      <c r="B197" s="6">
        <v>114</v>
      </c>
      <c r="C197" s="7" t="s">
        <v>563</v>
      </c>
      <c r="D197" s="71" t="s">
        <v>564</v>
      </c>
      <c r="E197" s="71"/>
      <c r="F197" s="71"/>
      <c r="G197" s="71"/>
      <c r="H197" s="8" t="s">
        <v>565</v>
      </c>
      <c r="I197" s="9" t="s">
        <v>36</v>
      </c>
      <c r="J197" s="8"/>
      <c r="K197" s="6">
        <v>1</v>
      </c>
      <c r="L197" s="10">
        <v>505.65</v>
      </c>
      <c r="M197" s="11"/>
      <c r="N197" s="8">
        <f>L197*M197</f>
        <v>0</v>
      </c>
      <c r="O197" s="8">
        <v>0</v>
      </c>
      <c r="P197" s="8">
        <v>0</v>
      </c>
      <c r="Q197" s="17" t="s">
        <v>37</v>
      </c>
      <c r="R197" s="8" t="s">
        <v>566</v>
      </c>
      <c r="S197" s="8"/>
      <c r="T197" s="7" t="str">
        <f>HYPERLINK("https://miland.ru/api/getInfo/image/7a0b246f-4787-11f1-a294-00155d82e908")</f>
        <v>https://miland.ru/api/getInfo/image/7a0b246f-4787-11f1-a294-00155d82e908</v>
      </c>
      <c r="U197" s="7"/>
      <c r="V197" s="7"/>
      <c r="W197" s="7" t="s">
        <v>302</v>
      </c>
      <c r="X197" s="7"/>
      <c r="Y197" s="7" t="s">
        <v>41</v>
      </c>
      <c r="Z197" s="7"/>
      <c r="AA197" s="7" t="str">
        <f>HYPERLINK("https://miland.ru/api/getInfo/item/7a0b246f-4787-11f1-a294-00155d82e908")</f>
        <v>https://miland.ru/api/getInfo/item/7a0b246f-4787-11f1-a294-00155d82e908</v>
      </c>
      <c r="AB197" s="7" t="s">
        <v>50</v>
      </c>
      <c r="AC197" s="7"/>
      <c r="AD197" s="7"/>
    </row>
    <row r="198" spans="2:30" ht="12" customHeight="1" outlineLevel="3">
      <c r="B198" s="70" t="s">
        <v>567</v>
      </c>
      <c r="C198" s="70"/>
      <c r="D198" s="70"/>
      <c r="E198" s="70"/>
      <c r="F198" s="70"/>
      <c r="G198" s="70"/>
    </row>
    <row r="199" spans="2:30" ht="12" customHeight="1" outlineLevel="4">
      <c r="B199" s="70" t="s">
        <v>436</v>
      </c>
      <c r="C199" s="70"/>
      <c r="D199" s="70"/>
      <c r="E199" s="70"/>
      <c r="F199" s="70"/>
      <c r="G199" s="70"/>
    </row>
    <row r="200" spans="2:30" ht="12" customHeight="1" outlineLevel="5">
      <c r="B200" s="70" t="s">
        <v>437</v>
      </c>
      <c r="C200" s="70"/>
      <c r="D200" s="70"/>
      <c r="E200" s="70"/>
      <c r="F200" s="70"/>
      <c r="G200" s="70"/>
    </row>
    <row r="201" spans="2:30" ht="12" customHeight="1" outlineLevel="6">
      <c r="B201" s="70" t="s">
        <v>501</v>
      </c>
      <c r="C201" s="70"/>
      <c r="D201" s="70"/>
      <c r="E201" s="70"/>
      <c r="F201" s="70"/>
      <c r="G201" s="70"/>
    </row>
    <row r="202" spans="2:30" s="1" customFormat="1" ht="96.3" customHeight="1" outlineLevel="7">
      <c r="B202" s="6">
        <v>115</v>
      </c>
      <c r="C202" s="7" t="s">
        <v>568</v>
      </c>
      <c r="D202" s="71" t="s">
        <v>569</v>
      </c>
      <c r="E202" s="71"/>
      <c r="F202" s="71"/>
      <c r="G202" s="71"/>
      <c r="H202" s="8" t="s">
        <v>570</v>
      </c>
      <c r="I202" s="9" t="s">
        <v>36</v>
      </c>
      <c r="J202" s="8"/>
      <c r="K202" s="6">
        <v>1</v>
      </c>
      <c r="L202" s="31"/>
      <c r="M202" s="11"/>
      <c r="N202" s="8">
        <f>L202*M202</f>
        <v>0</v>
      </c>
      <c r="O202" s="8">
        <v>0</v>
      </c>
      <c r="P202" s="8">
        <v>0</v>
      </c>
      <c r="Q202" s="17" t="s">
        <v>37</v>
      </c>
      <c r="R202" s="8" t="s">
        <v>571</v>
      </c>
      <c r="S202" s="8"/>
      <c r="T202" s="7" t="str">
        <f>HYPERLINK("https://miland.ru/api/getInfo/image/21fe1760-5d92-11f1-a295-00155d82e908")</f>
        <v>https://miland.ru/api/getInfo/image/21fe1760-5d92-11f1-a295-00155d82e908</v>
      </c>
      <c r="U202" s="7"/>
      <c r="V202" s="7"/>
      <c r="W202" s="7" t="s">
        <v>82</v>
      </c>
      <c r="X202" s="7"/>
      <c r="Y202" s="7" t="s">
        <v>41</v>
      </c>
      <c r="Z202" s="7"/>
      <c r="AA202" s="7" t="str">
        <f>HYPERLINK("https://miland.ru/api/getInfo/item/21fe1760-5d92-11f1-a295-00155d82e908")</f>
        <v>https://miland.ru/api/getInfo/item/21fe1760-5d92-11f1-a295-00155d82e908</v>
      </c>
      <c r="AB202" s="7" t="s">
        <v>50</v>
      </c>
      <c r="AC202" s="7"/>
      <c r="AD202" s="7"/>
    </row>
    <row r="203" spans="2:30" ht="12" customHeight="1" outlineLevel="3">
      <c r="B203" s="70" t="s">
        <v>572</v>
      </c>
      <c r="C203" s="70"/>
      <c r="D203" s="70"/>
      <c r="E203" s="70"/>
      <c r="F203" s="70"/>
      <c r="G203" s="70"/>
    </row>
    <row r="204" spans="2:30" ht="12" customHeight="1" outlineLevel="4">
      <c r="B204" s="70" t="s">
        <v>436</v>
      </c>
      <c r="C204" s="70"/>
      <c r="D204" s="70"/>
      <c r="E204" s="70"/>
      <c r="F204" s="70"/>
      <c r="G204" s="70"/>
    </row>
    <row r="205" spans="2:30" ht="12" customHeight="1" outlineLevel="5">
      <c r="B205" s="70" t="s">
        <v>501</v>
      </c>
      <c r="C205" s="70"/>
      <c r="D205" s="70"/>
      <c r="E205" s="70"/>
      <c r="F205" s="70"/>
      <c r="G205" s="70"/>
    </row>
    <row r="206" spans="2:30" s="1" customFormat="1" ht="96.3" customHeight="1" outlineLevel="6">
      <c r="B206" s="6">
        <v>116</v>
      </c>
      <c r="C206" s="7" t="s">
        <v>573</v>
      </c>
      <c r="D206" s="71" t="s">
        <v>574</v>
      </c>
      <c r="E206" s="71"/>
      <c r="F206" s="71"/>
      <c r="G206" s="71"/>
      <c r="H206" s="8" t="s">
        <v>575</v>
      </c>
      <c r="I206" s="9" t="s">
        <v>36</v>
      </c>
      <c r="J206" s="8"/>
      <c r="K206" s="6">
        <v>1</v>
      </c>
      <c r="L206" s="10">
        <v>505.65</v>
      </c>
      <c r="M206" s="11"/>
      <c r="N206" s="8">
        <f>L206*M206</f>
        <v>0</v>
      </c>
      <c r="O206" s="8">
        <v>0</v>
      </c>
      <c r="P206" s="8">
        <v>0</v>
      </c>
      <c r="Q206" s="17" t="s">
        <v>37</v>
      </c>
      <c r="R206" s="8" t="s">
        <v>576</v>
      </c>
      <c r="S206" s="8"/>
      <c r="T206" s="7" t="str">
        <f>HYPERLINK("https://miland.ru/api/getInfo/image/7ff6e9c3-5909-11f1-a295-00155d82e908")</f>
        <v>https://miland.ru/api/getInfo/image/7ff6e9c3-5909-11f1-a295-00155d82e908</v>
      </c>
      <c r="U206" s="7"/>
      <c r="V206" s="7"/>
      <c r="W206" s="7" t="s">
        <v>82</v>
      </c>
      <c r="X206" s="7"/>
      <c r="Y206" s="7" t="s">
        <v>41</v>
      </c>
      <c r="Z206" s="7"/>
      <c r="AA206" s="7" t="str">
        <f>HYPERLINK("https://miland.ru/api/getInfo/item/7ff6e9c3-5909-11f1-a295-00155d82e908")</f>
        <v>https://miland.ru/api/getInfo/item/7ff6e9c3-5909-11f1-a295-00155d82e908</v>
      </c>
      <c r="AB206" s="7" t="s">
        <v>50</v>
      </c>
      <c r="AC206" s="7"/>
      <c r="AD206" s="7"/>
    </row>
    <row r="207" spans="2:30" ht="12" customHeight="1" outlineLevel="3">
      <c r="B207" s="70" t="s">
        <v>577</v>
      </c>
      <c r="C207" s="70"/>
      <c r="D207" s="70"/>
      <c r="E207" s="70"/>
      <c r="F207" s="70"/>
      <c r="G207" s="70"/>
    </row>
    <row r="208" spans="2:30" ht="12" customHeight="1" outlineLevel="4">
      <c r="B208" s="70" t="s">
        <v>132</v>
      </c>
      <c r="C208" s="70"/>
      <c r="D208" s="70"/>
      <c r="E208" s="70"/>
      <c r="F208" s="70"/>
      <c r="G208" s="70"/>
    </row>
    <row r="209" spans="2:30" s="1" customFormat="1" ht="96.3" customHeight="1" outlineLevel="5">
      <c r="B209" s="6">
        <v>117</v>
      </c>
      <c r="C209" s="7" t="s">
        <v>578</v>
      </c>
      <c r="D209" s="71" t="s">
        <v>579</v>
      </c>
      <c r="E209" s="71"/>
      <c r="F209" s="71"/>
      <c r="G209" s="71"/>
      <c r="H209" s="8" t="s">
        <v>580</v>
      </c>
      <c r="I209" s="9" t="s">
        <v>36</v>
      </c>
      <c r="J209" s="8"/>
      <c r="K209" s="6">
        <v>4</v>
      </c>
      <c r="L209" s="10">
        <v>139.12</v>
      </c>
      <c r="M209" s="11"/>
      <c r="N209" s="8">
        <f>L209*M209</f>
        <v>0</v>
      </c>
      <c r="O209" s="12">
        <f>0.046*M209</f>
        <v>0</v>
      </c>
      <c r="P209" s="13">
        <f>0.00012*M209</f>
        <v>0</v>
      </c>
      <c r="Q209" s="17" t="s">
        <v>37</v>
      </c>
      <c r="R209" s="8" t="s">
        <v>581</v>
      </c>
      <c r="S209" s="8"/>
      <c r="T209" s="7" t="str">
        <f>HYPERLINK("https://miland.ru/api/getInfo/image/18d22321-ba48-11f0-a287-00155d82e908")</f>
        <v>https://miland.ru/api/getInfo/image/18d22321-ba48-11f0-a287-00155d82e908</v>
      </c>
      <c r="U209" s="7"/>
      <c r="V209" s="7"/>
      <c r="W209" s="7" t="s">
        <v>82</v>
      </c>
      <c r="X209" s="7"/>
      <c r="Y209" s="7" t="s">
        <v>41</v>
      </c>
      <c r="Z209" s="7"/>
      <c r="AA209" s="7" t="str">
        <f>HYPERLINK("https://miland.ru/api/getInfo/item/18d22321-ba48-11f0-a287-00155d82e908")</f>
        <v>https://miland.ru/api/getInfo/item/18d22321-ba48-11f0-a287-00155d82e908</v>
      </c>
      <c r="AB209" s="7" t="s">
        <v>42</v>
      </c>
      <c r="AC209" s="7"/>
      <c r="AD209" s="7"/>
    </row>
    <row r="210" spans="2:30" s="1" customFormat="1" ht="96.3" customHeight="1" outlineLevel="5">
      <c r="B210" s="6">
        <v>118</v>
      </c>
      <c r="C210" s="7" t="s">
        <v>582</v>
      </c>
      <c r="D210" s="71" t="s">
        <v>583</v>
      </c>
      <c r="E210" s="71"/>
      <c r="F210" s="71"/>
      <c r="G210" s="71"/>
      <c r="H210" s="8" t="s">
        <v>584</v>
      </c>
      <c r="I210" s="9" t="s">
        <v>36</v>
      </c>
      <c r="J210" s="8"/>
      <c r="K210" s="6">
        <v>4</v>
      </c>
      <c r="L210" s="10">
        <v>94.62</v>
      </c>
      <c r="M210" s="11"/>
      <c r="N210" s="8">
        <f>L210*M210</f>
        <v>0</v>
      </c>
      <c r="O210" s="12">
        <f>0.031*M210</f>
        <v>0</v>
      </c>
      <c r="P210" s="13">
        <f>0.00016*M210</f>
        <v>0</v>
      </c>
      <c r="Q210" s="17" t="s">
        <v>37</v>
      </c>
      <c r="R210" s="8" t="s">
        <v>585</v>
      </c>
      <c r="S210" s="8"/>
      <c r="T210" s="7" t="str">
        <f>HYPERLINK("https://miland.ru/api/getInfo/image/5163cb71-ba47-11f0-a287-00155d82e908")</f>
        <v>https://miland.ru/api/getInfo/image/5163cb71-ba47-11f0-a287-00155d82e908</v>
      </c>
      <c r="U210" s="7"/>
      <c r="V210" s="7"/>
      <c r="W210" s="7" t="s">
        <v>82</v>
      </c>
      <c r="X210" s="7"/>
      <c r="Y210" s="7" t="s">
        <v>41</v>
      </c>
      <c r="Z210" s="7"/>
      <c r="AA210" s="7" t="str">
        <f>HYPERLINK("https://miland.ru/api/getInfo/item/5163cb71-ba47-11f0-a287-00155d82e908")</f>
        <v>https://miland.ru/api/getInfo/item/5163cb71-ba47-11f0-a287-00155d82e908</v>
      </c>
      <c r="AB210" s="7" t="s">
        <v>42</v>
      </c>
      <c r="AC210" s="7"/>
      <c r="AD210" s="7"/>
    </row>
    <row r="211" spans="2:30" ht="12" customHeight="1" outlineLevel="4">
      <c r="B211" s="70" t="s">
        <v>59</v>
      </c>
      <c r="C211" s="70"/>
      <c r="D211" s="70"/>
      <c r="E211" s="70"/>
      <c r="F211" s="70"/>
      <c r="G211" s="70"/>
    </row>
    <row r="212" spans="2:30" s="1" customFormat="1" ht="96.3" customHeight="1" outlineLevel="5">
      <c r="B212" s="6">
        <v>119</v>
      </c>
      <c r="C212" s="7" t="s">
        <v>586</v>
      </c>
      <c r="D212" s="71" t="s">
        <v>587</v>
      </c>
      <c r="E212" s="71"/>
      <c r="F212" s="71"/>
      <c r="G212" s="71"/>
      <c r="H212" s="8" t="s">
        <v>588</v>
      </c>
      <c r="I212" s="9" t="s">
        <v>36</v>
      </c>
      <c r="J212" s="8"/>
      <c r="K212" s="6">
        <v>12</v>
      </c>
      <c r="L212" s="10">
        <v>100.64</v>
      </c>
      <c r="M212" s="11"/>
      <c r="N212" s="8">
        <f>L212*M212</f>
        <v>0</v>
      </c>
      <c r="O212" s="12">
        <f>0.045*M212</f>
        <v>0</v>
      </c>
      <c r="P212" s="13">
        <f>0.00018*M212</f>
        <v>0</v>
      </c>
      <c r="Q212" s="17" t="s">
        <v>37</v>
      </c>
      <c r="R212" s="8" t="s">
        <v>589</v>
      </c>
      <c r="S212" s="8"/>
      <c r="T212" s="7" t="str">
        <f>HYPERLINK("https://miland.ru/api/getInfo/image/9a3bddeb-08da-11f1-a28f-00155d82e908")</f>
        <v>https://miland.ru/api/getInfo/image/9a3bddeb-08da-11f1-a28f-00155d82e908</v>
      </c>
      <c r="U212" s="7"/>
      <c r="V212" s="7"/>
      <c r="W212" s="7" t="s">
        <v>70</v>
      </c>
      <c r="X212" s="7"/>
      <c r="Y212" s="7" t="s">
        <v>41</v>
      </c>
      <c r="Z212" s="7"/>
      <c r="AA212" s="7" t="str">
        <f>HYPERLINK("https://miland.ru/api/getInfo/item/9a3bddeb-08da-11f1-a28f-00155d82e908")</f>
        <v>https://miland.ru/api/getInfo/item/9a3bddeb-08da-11f1-a28f-00155d82e908</v>
      </c>
      <c r="AB212" s="7" t="s">
        <v>42</v>
      </c>
      <c r="AC212" s="7"/>
      <c r="AD212" s="7"/>
    </row>
    <row r="213" spans="2:30" ht="12" customHeight="1" outlineLevel="4">
      <c r="B213" s="70" t="s">
        <v>436</v>
      </c>
      <c r="C213" s="70"/>
      <c r="D213" s="70"/>
      <c r="E213" s="70"/>
      <c r="F213" s="70"/>
      <c r="G213" s="70"/>
    </row>
    <row r="214" spans="2:30" ht="12" customHeight="1" outlineLevel="5">
      <c r="B214" s="70" t="s">
        <v>437</v>
      </c>
      <c r="C214" s="70"/>
      <c r="D214" s="70"/>
      <c r="E214" s="70"/>
      <c r="F214" s="70"/>
      <c r="G214" s="70"/>
    </row>
    <row r="215" spans="2:30" s="1" customFormat="1" ht="96.3" customHeight="1" outlineLevel="6">
      <c r="B215" s="6">
        <v>120</v>
      </c>
      <c r="C215" s="7" t="s">
        <v>590</v>
      </c>
      <c r="D215" s="71" t="s">
        <v>591</v>
      </c>
      <c r="E215" s="71"/>
      <c r="F215" s="71"/>
      <c r="G215" s="71"/>
      <c r="H215" s="8" t="s">
        <v>592</v>
      </c>
      <c r="I215" s="9" t="s">
        <v>36</v>
      </c>
      <c r="J215" s="8"/>
      <c r="K215" s="6">
        <v>3</v>
      </c>
      <c r="L215" s="10">
        <v>244.08</v>
      </c>
      <c r="M215" s="11"/>
      <c r="N215" s="8">
        <f t="shared" ref="N215:N223" si="7">L215*M215</f>
        <v>0</v>
      </c>
      <c r="O215" s="12">
        <f>0.029*M215</f>
        <v>0</v>
      </c>
      <c r="P215" s="13">
        <f>0.00017*M215</f>
        <v>0</v>
      </c>
      <c r="Q215" s="17" t="s">
        <v>37</v>
      </c>
      <c r="R215" s="8" t="s">
        <v>593</v>
      </c>
      <c r="S215" s="8"/>
      <c r="T215" s="7" t="str">
        <f>HYPERLINK("https://miland.ru/api/getInfo/image/d3ce3591-318d-11f1-a292-00155d82e908")</f>
        <v>https://miland.ru/api/getInfo/image/d3ce3591-318d-11f1-a292-00155d82e908</v>
      </c>
      <c r="U215" s="7"/>
      <c r="V215" s="7"/>
      <c r="W215" s="7"/>
      <c r="X215" s="7"/>
      <c r="Y215" s="7" t="s">
        <v>41</v>
      </c>
      <c r="Z215" s="7"/>
      <c r="AA215" s="7" t="str">
        <f>HYPERLINK("https://miland.ru/api/getInfo/item/d3ce3591-318d-11f1-a292-00155d82e908")</f>
        <v>https://miland.ru/api/getInfo/item/d3ce3591-318d-11f1-a292-00155d82e908</v>
      </c>
      <c r="AB215" s="7" t="s">
        <v>50</v>
      </c>
      <c r="AC215" s="7"/>
      <c r="AD215" s="7"/>
    </row>
    <row r="216" spans="2:30" s="1" customFormat="1" ht="96.3" customHeight="1" outlineLevel="6">
      <c r="B216" s="6">
        <v>121</v>
      </c>
      <c r="C216" s="7" t="s">
        <v>594</v>
      </c>
      <c r="D216" s="71" t="s">
        <v>595</v>
      </c>
      <c r="E216" s="71"/>
      <c r="F216" s="71"/>
      <c r="G216" s="71"/>
      <c r="H216" s="8" t="s">
        <v>596</v>
      </c>
      <c r="I216" s="9" t="s">
        <v>36</v>
      </c>
      <c r="J216" s="8"/>
      <c r="K216" s="6">
        <v>1</v>
      </c>
      <c r="L216" s="10">
        <v>586.66999999999996</v>
      </c>
      <c r="M216" s="11"/>
      <c r="N216" s="8">
        <f t="shared" si="7"/>
        <v>0</v>
      </c>
      <c r="O216" s="12">
        <f>0.087*M216</f>
        <v>0</v>
      </c>
      <c r="P216" s="13">
        <f>0.00072*M216</f>
        <v>0</v>
      </c>
      <c r="Q216" s="17" t="s">
        <v>37</v>
      </c>
      <c r="R216" s="8" t="s">
        <v>597</v>
      </c>
      <c r="S216" s="8"/>
      <c r="T216" s="7" t="str">
        <f>HYPERLINK("https://miland.ru/api/getInfo/image/bb32e950-318d-11f1-a292-00155d82e908")</f>
        <v>https://miland.ru/api/getInfo/image/bb32e950-318d-11f1-a292-00155d82e908</v>
      </c>
      <c r="U216" s="7"/>
      <c r="V216" s="7"/>
      <c r="W216" s="7"/>
      <c r="X216" s="7"/>
      <c r="Y216" s="7" t="s">
        <v>41</v>
      </c>
      <c r="Z216" s="7"/>
      <c r="AA216" s="7" t="str">
        <f>HYPERLINK("https://miland.ru/api/getInfo/item/bb32e950-318d-11f1-a292-00155d82e908")</f>
        <v>https://miland.ru/api/getInfo/item/bb32e950-318d-11f1-a292-00155d82e908</v>
      </c>
      <c r="AB216" s="7" t="s">
        <v>50</v>
      </c>
      <c r="AC216" s="7"/>
      <c r="AD216" s="7"/>
    </row>
    <row r="217" spans="2:30" s="1" customFormat="1" ht="96.3" customHeight="1" outlineLevel="6">
      <c r="B217" s="6">
        <v>122</v>
      </c>
      <c r="C217" s="7" t="s">
        <v>598</v>
      </c>
      <c r="D217" s="71" t="s">
        <v>599</v>
      </c>
      <c r="E217" s="71"/>
      <c r="F217" s="71"/>
      <c r="G217" s="71"/>
      <c r="H217" s="8" t="s">
        <v>600</v>
      </c>
      <c r="I217" s="9" t="s">
        <v>36</v>
      </c>
      <c r="J217" s="8"/>
      <c r="K217" s="6">
        <v>1</v>
      </c>
      <c r="L217" s="10">
        <v>867.89</v>
      </c>
      <c r="M217" s="11"/>
      <c r="N217" s="8">
        <f t="shared" si="7"/>
        <v>0</v>
      </c>
      <c r="O217" s="12">
        <f>0.245*M217</f>
        <v>0</v>
      </c>
      <c r="P217" s="13">
        <f>0.00081*M217</f>
        <v>0</v>
      </c>
      <c r="Q217" s="17" t="s">
        <v>37</v>
      </c>
      <c r="R217" s="8" t="s">
        <v>601</v>
      </c>
      <c r="S217" s="8"/>
      <c r="T217" s="7" t="str">
        <f>HYPERLINK("https://miland.ru/api/getInfo/image/b4f81eef-31ad-11f1-a292-00155d82e908")</f>
        <v>https://miland.ru/api/getInfo/image/b4f81eef-31ad-11f1-a292-00155d82e908</v>
      </c>
      <c r="U217" s="7"/>
      <c r="V217" s="7"/>
      <c r="W217" s="7" t="s">
        <v>82</v>
      </c>
      <c r="X217" s="7"/>
      <c r="Y217" s="7" t="s">
        <v>41</v>
      </c>
      <c r="Z217" s="7"/>
      <c r="AA217" s="7" t="str">
        <f>HYPERLINK("https://miland.ru/api/getInfo/item/b4f81eef-31ad-11f1-a292-00155d82e908")</f>
        <v>https://miland.ru/api/getInfo/item/b4f81eef-31ad-11f1-a292-00155d82e908</v>
      </c>
      <c r="AB217" s="7" t="s">
        <v>50</v>
      </c>
      <c r="AC217" s="7"/>
      <c r="AD217" s="7"/>
    </row>
    <row r="218" spans="2:30" s="1" customFormat="1" ht="96.3" customHeight="1" outlineLevel="6">
      <c r="B218" s="6">
        <v>123</v>
      </c>
      <c r="C218" s="7" t="s">
        <v>602</v>
      </c>
      <c r="D218" s="71" t="s">
        <v>603</v>
      </c>
      <c r="E218" s="71"/>
      <c r="F218" s="71"/>
      <c r="G218" s="71"/>
      <c r="H218" s="8" t="s">
        <v>604</v>
      </c>
      <c r="I218" s="9" t="s">
        <v>36</v>
      </c>
      <c r="J218" s="8"/>
      <c r="K218" s="6">
        <v>7</v>
      </c>
      <c r="L218" s="10">
        <v>93.82</v>
      </c>
      <c r="M218" s="11"/>
      <c r="N218" s="8">
        <f t="shared" si="7"/>
        <v>0</v>
      </c>
      <c r="O218" s="12">
        <f>0.011*M218</f>
        <v>0</v>
      </c>
      <c r="P218" s="13">
        <f>0.00031*M218</f>
        <v>0</v>
      </c>
      <c r="Q218" s="17" t="s">
        <v>37</v>
      </c>
      <c r="R218" s="8" t="s">
        <v>605</v>
      </c>
      <c r="S218" s="8"/>
      <c r="T218" s="7" t="str">
        <f>HYPERLINK("https://miland.ru/api/getInfo/image/9f6f254f-318d-11f1-a292-00155d82e908")</f>
        <v>https://miland.ru/api/getInfo/image/9f6f254f-318d-11f1-a292-00155d82e908</v>
      </c>
      <c r="U218" s="7"/>
      <c r="V218" s="7"/>
      <c r="W218" s="7"/>
      <c r="X218" s="7"/>
      <c r="Y218" s="7" t="s">
        <v>41</v>
      </c>
      <c r="Z218" s="7"/>
      <c r="AA218" s="7" t="str">
        <f>HYPERLINK("https://miland.ru/api/getInfo/item/9f6f254f-318d-11f1-a292-00155d82e908")</f>
        <v>https://miland.ru/api/getInfo/item/9f6f254f-318d-11f1-a292-00155d82e908</v>
      </c>
      <c r="AB218" s="7" t="s">
        <v>50</v>
      </c>
      <c r="AC218" s="7"/>
      <c r="AD218" s="7"/>
    </row>
    <row r="219" spans="2:30" s="1" customFormat="1" ht="96.3" customHeight="1" outlineLevel="6">
      <c r="B219" s="6">
        <v>124</v>
      </c>
      <c r="C219" s="7" t="s">
        <v>606</v>
      </c>
      <c r="D219" s="71" t="s">
        <v>607</v>
      </c>
      <c r="E219" s="71"/>
      <c r="F219" s="71"/>
      <c r="G219" s="71"/>
      <c r="H219" s="8" t="s">
        <v>608</v>
      </c>
      <c r="I219" s="9" t="s">
        <v>36</v>
      </c>
      <c r="J219" s="8"/>
      <c r="K219" s="6">
        <v>7</v>
      </c>
      <c r="L219" s="10">
        <v>93.82</v>
      </c>
      <c r="M219" s="11"/>
      <c r="N219" s="8">
        <f t="shared" si="7"/>
        <v>0</v>
      </c>
      <c r="O219" s="12">
        <f>0.011*M219</f>
        <v>0</v>
      </c>
      <c r="P219" s="13">
        <f>0.00017*M219</f>
        <v>0</v>
      </c>
      <c r="Q219" s="17" t="s">
        <v>37</v>
      </c>
      <c r="R219" s="8" t="s">
        <v>609</v>
      </c>
      <c r="S219" s="8"/>
      <c r="T219" s="7" t="str">
        <f>HYPERLINK("https://miland.ru/api/getInfo/image/5df62c86-318d-11f1-a292-00155d82e908")</f>
        <v>https://miland.ru/api/getInfo/image/5df62c86-318d-11f1-a292-00155d82e908</v>
      </c>
      <c r="U219" s="7"/>
      <c r="V219" s="7"/>
      <c r="W219" s="7"/>
      <c r="X219" s="7"/>
      <c r="Y219" s="7" t="s">
        <v>41</v>
      </c>
      <c r="Z219" s="7"/>
      <c r="AA219" s="7" t="str">
        <f>HYPERLINK("https://miland.ru/api/getInfo/item/5df62c86-318d-11f1-a292-00155d82e908")</f>
        <v>https://miland.ru/api/getInfo/item/5df62c86-318d-11f1-a292-00155d82e908</v>
      </c>
      <c r="AB219" s="7" t="s">
        <v>50</v>
      </c>
      <c r="AC219" s="7"/>
      <c r="AD219" s="7"/>
    </row>
    <row r="220" spans="2:30" s="1" customFormat="1" ht="96.3" customHeight="1" outlineLevel="6">
      <c r="B220" s="6">
        <v>125</v>
      </c>
      <c r="C220" s="7" t="s">
        <v>610</v>
      </c>
      <c r="D220" s="71" t="s">
        <v>611</v>
      </c>
      <c r="E220" s="71"/>
      <c r="F220" s="71"/>
      <c r="G220" s="71"/>
      <c r="H220" s="8" t="s">
        <v>612</v>
      </c>
      <c r="I220" s="9" t="s">
        <v>36</v>
      </c>
      <c r="J220" s="8"/>
      <c r="K220" s="6">
        <v>7</v>
      </c>
      <c r="L220" s="10">
        <v>93.82</v>
      </c>
      <c r="M220" s="11"/>
      <c r="N220" s="8">
        <f t="shared" si="7"/>
        <v>0</v>
      </c>
      <c r="O220" s="12">
        <f>0.013*M220</f>
        <v>0</v>
      </c>
      <c r="P220" s="13">
        <f>0.00004*M220</f>
        <v>0</v>
      </c>
      <c r="Q220" s="17" t="s">
        <v>37</v>
      </c>
      <c r="R220" s="8" t="s">
        <v>613</v>
      </c>
      <c r="S220" s="8"/>
      <c r="T220" s="7" t="str">
        <f>HYPERLINK("https://miland.ru/api/getInfo/image/353fbef2-318d-11f1-a292-00155d82e908")</f>
        <v>https://miland.ru/api/getInfo/image/353fbef2-318d-11f1-a292-00155d82e908</v>
      </c>
      <c r="U220" s="7"/>
      <c r="V220" s="7"/>
      <c r="W220" s="7"/>
      <c r="X220" s="7"/>
      <c r="Y220" s="7" t="s">
        <v>41</v>
      </c>
      <c r="Z220" s="7"/>
      <c r="AA220" s="7" t="str">
        <f>HYPERLINK("https://miland.ru/api/getInfo/item/353fbef2-318d-11f1-a292-00155d82e908")</f>
        <v>https://miland.ru/api/getInfo/item/353fbef2-318d-11f1-a292-00155d82e908</v>
      </c>
      <c r="AB220" s="7" t="s">
        <v>50</v>
      </c>
      <c r="AC220" s="7"/>
      <c r="AD220" s="7"/>
    </row>
    <row r="221" spans="2:30" s="1" customFormat="1" ht="96.3" customHeight="1" outlineLevel="6">
      <c r="B221" s="6">
        <v>126</v>
      </c>
      <c r="C221" s="7" t="s">
        <v>614</v>
      </c>
      <c r="D221" s="71" t="s">
        <v>615</v>
      </c>
      <c r="E221" s="71"/>
      <c r="F221" s="71"/>
      <c r="G221" s="71"/>
      <c r="H221" s="8" t="s">
        <v>616</v>
      </c>
      <c r="I221" s="9" t="s">
        <v>36</v>
      </c>
      <c r="J221" s="8"/>
      <c r="K221" s="6">
        <v>7</v>
      </c>
      <c r="L221" s="10">
        <v>93.82</v>
      </c>
      <c r="M221" s="11"/>
      <c r="N221" s="8">
        <f t="shared" si="7"/>
        <v>0</v>
      </c>
      <c r="O221" s="12">
        <f>0.011*M221</f>
        <v>0</v>
      </c>
      <c r="P221" s="13">
        <f>0.00013*M221</f>
        <v>0</v>
      </c>
      <c r="Q221" s="17" t="s">
        <v>37</v>
      </c>
      <c r="R221" s="8" t="s">
        <v>617</v>
      </c>
      <c r="S221" s="8"/>
      <c r="T221" s="7" t="str">
        <f>HYPERLINK("https://miland.ru/api/getInfo/image/4aca004d-318d-11f1-a292-00155d82e908")</f>
        <v>https://miland.ru/api/getInfo/image/4aca004d-318d-11f1-a292-00155d82e908</v>
      </c>
      <c r="U221" s="7"/>
      <c r="V221" s="7"/>
      <c r="W221" s="7"/>
      <c r="X221" s="7"/>
      <c r="Y221" s="7" t="s">
        <v>41</v>
      </c>
      <c r="Z221" s="7"/>
      <c r="AA221" s="7" t="str">
        <f>HYPERLINK("https://miland.ru/api/getInfo/item/4aca004d-318d-11f1-a292-00155d82e908")</f>
        <v>https://miland.ru/api/getInfo/item/4aca004d-318d-11f1-a292-00155d82e908</v>
      </c>
      <c r="AB221" s="7" t="s">
        <v>50</v>
      </c>
      <c r="AC221" s="7"/>
      <c r="AD221" s="7"/>
    </row>
    <row r="222" spans="2:30" s="1" customFormat="1" ht="96.3" customHeight="1" outlineLevel="6">
      <c r="B222" s="6">
        <v>127</v>
      </c>
      <c r="C222" s="7" t="s">
        <v>618</v>
      </c>
      <c r="D222" s="71" t="s">
        <v>619</v>
      </c>
      <c r="E222" s="71"/>
      <c r="F222" s="71"/>
      <c r="G222" s="71"/>
      <c r="H222" s="8" t="s">
        <v>620</v>
      </c>
      <c r="I222" s="9" t="s">
        <v>36</v>
      </c>
      <c r="J222" s="8"/>
      <c r="K222" s="6">
        <v>7</v>
      </c>
      <c r="L222" s="10">
        <v>93.82</v>
      </c>
      <c r="M222" s="11"/>
      <c r="N222" s="8">
        <f t="shared" si="7"/>
        <v>0</v>
      </c>
      <c r="O222" s="12">
        <f>0.008*M222</f>
        <v>0</v>
      </c>
      <c r="P222" s="16">
        <f>0.0003*M222</f>
        <v>0</v>
      </c>
      <c r="Q222" s="17" t="s">
        <v>37</v>
      </c>
      <c r="R222" s="8" t="s">
        <v>621</v>
      </c>
      <c r="S222" s="8"/>
      <c r="T222" s="7" t="str">
        <f>HYPERLINK("https://miland.ru/api/getInfo/image/8dbb67ee-318d-11f1-a292-00155d82e908")</f>
        <v>https://miland.ru/api/getInfo/image/8dbb67ee-318d-11f1-a292-00155d82e908</v>
      </c>
      <c r="U222" s="7"/>
      <c r="V222" s="7"/>
      <c r="W222" s="7"/>
      <c r="X222" s="7"/>
      <c r="Y222" s="7" t="s">
        <v>41</v>
      </c>
      <c r="Z222" s="7"/>
      <c r="AA222" s="7" t="str">
        <f>HYPERLINK("https://miland.ru/api/getInfo/item/8dbb67ee-318d-11f1-a292-00155d82e908")</f>
        <v>https://miland.ru/api/getInfo/item/8dbb67ee-318d-11f1-a292-00155d82e908</v>
      </c>
      <c r="AB222" s="7" t="s">
        <v>50</v>
      </c>
      <c r="AC222" s="7"/>
      <c r="AD222" s="7"/>
    </row>
    <row r="223" spans="2:30" s="1" customFormat="1" ht="96.3" customHeight="1" outlineLevel="6">
      <c r="B223" s="6">
        <v>128</v>
      </c>
      <c r="C223" s="7" t="s">
        <v>622</v>
      </c>
      <c r="D223" s="71" t="s">
        <v>623</v>
      </c>
      <c r="E223" s="71"/>
      <c r="F223" s="71"/>
      <c r="G223" s="71"/>
      <c r="H223" s="8" t="s">
        <v>624</v>
      </c>
      <c r="I223" s="9" t="s">
        <v>36</v>
      </c>
      <c r="J223" s="8"/>
      <c r="K223" s="6">
        <v>7</v>
      </c>
      <c r="L223" s="10">
        <v>93.82</v>
      </c>
      <c r="M223" s="11"/>
      <c r="N223" s="8">
        <f t="shared" si="7"/>
        <v>0</v>
      </c>
      <c r="O223" s="12">
        <f>0.013*M223</f>
        <v>0</v>
      </c>
      <c r="P223" s="13">
        <f>0.00002*M223</f>
        <v>0</v>
      </c>
      <c r="Q223" s="17" t="s">
        <v>37</v>
      </c>
      <c r="R223" s="8" t="s">
        <v>625</v>
      </c>
      <c r="S223" s="8"/>
      <c r="T223" s="7" t="str">
        <f>HYPERLINK("https://miland.ru/api/getInfo/image/76a1853e-318d-11f1-a292-00155d82e908")</f>
        <v>https://miland.ru/api/getInfo/image/76a1853e-318d-11f1-a292-00155d82e908</v>
      </c>
      <c r="U223" s="7"/>
      <c r="V223" s="7"/>
      <c r="W223" s="7"/>
      <c r="X223" s="7"/>
      <c r="Y223" s="7" t="s">
        <v>41</v>
      </c>
      <c r="Z223" s="7"/>
      <c r="AA223" s="7" t="str">
        <f>HYPERLINK("https://miland.ru/api/getInfo/item/76a1853e-318d-11f1-a292-00155d82e908")</f>
        <v>https://miland.ru/api/getInfo/item/76a1853e-318d-11f1-a292-00155d82e908</v>
      </c>
      <c r="AB223" s="7" t="s">
        <v>50</v>
      </c>
      <c r="AC223" s="7"/>
      <c r="AD223" s="7"/>
    </row>
    <row r="224" spans="2:30" ht="12" customHeight="1" outlineLevel="5">
      <c r="B224" s="70" t="s">
        <v>501</v>
      </c>
      <c r="C224" s="70"/>
      <c r="D224" s="70"/>
      <c r="E224" s="70"/>
      <c r="F224" s="70"/>
      <c r="G224" s="70"/>
    </row>
    <row r="225" spans="2:30" s="1" customFormat="1" ht="96.3" customHeight="1" outlineLevel="6">
      <c r="B225" s="6">
        <v>129</v>
      </c>
      <c r="C225" s="7" t="s">
        <v>626</v>
      </c>
      <c r="D225" s="71" t="s">
        <v>627</v>
      </c>
      <c r="E225" s="71"/>
      <c r="F225" s="71"/>
      <c r="G225" s="71"/>
      <c r="H225" s="8" t="s">
        <v>628</v>
      </c>
      <c r="I225" s="9" t="s">
        <v>36</v>
      </c>
      <c r="J225" s="8"/>
      <c r="K225" s="6">
        <v>1</v>
      </c>
      <c r="L225" s="10">
        <v>505.65</v>
      </c>
      <c r="M225" s="11"/>
      <c r="N225" s="8">
        <f>L225*M225</f>
        <v>0</v>
      </c>
      <c r="O225" s="8">
        <v>0</v>
      </c>
      <c r="P225" s="8">
        <v>0</v>
      </c>
      <c r="Q225" s="17" t="s">
        <v>37</v>
      </c>
      <c r="R225" s="8" t="s">
        <v>629</v>
      </c>
      <c r="S225" s="8"/>
      <c r="T225" s="7" t="str">
        <f>HYPERLINK("https://miland.ru/api/getInfo/image/f74e39e0-0647-11f1-a28f-00155d82e908")</f>
        <v>https://miland.ru/api/getInfo/image/f74e39e0-0647-11f1-a28f-00155d82e908</v>
      </c>
      <c r="U225" s="7"/>
      <c r="V225" s="7"/>
      <c r="W225" s="7" t="s">
        <v>302</v>
      </c>
      <c r="X225" s="7"/>
      <c r="Y225" s="7" t="s">
        <v>41</v>
      </c>
      <c r="Z225" s="7"/>
      <c r="AA225" s="7" t="str">
        <f>HYPERLINK("https://miland.ru/api/getInfo/item/f74e39e0-0647-11f1-a28f-00155d82e908")</f>
        <v>https://miland.ru/api/getInfo/item/f74e39e0-0647-11f1-a28f-00155d82e908</v>
      </c>
      <c r="AB225" s="7" t="s">
        <v>50</v>
      </c>
      <c r="AC225" s="7"/>
      <c r="AD225" s="7"/>
    </row>
    <row r="226" spans="2:30" ht="12" customHeight="1" outlineLevel="5">
      <c r="B226" s="70" t="s">
        <v>65</v>
      </c>
      <c r="C226" s="70"/>
      <c r="D226" s="70"/>
      <c r="E226" s="70"/>
      <c r="F226" s="70"/>
      <c r="G226" s="70"/>
    </row>
    <row r="227" spans="2:30" s="1" customFormat="1" ht="96.3" customHeight="1" outlineLevel="6">
      <c r="B227" s="6">
        <v>130</v>
      </c>
      <c r="C227" s="7" t="s">
        <v>630</v>
      </c>
      <c r="D227" s="71" t="s">
        <v>631</v>
      </c>
      <c r="E227" s="71"/>
      <c r="F227" s="71"/>
      <c r="G227" s="71"/>
      <c r="H227" s="8" t="s">
        <v>632</v>
      </c>
      <c r="I227" s="9" t="s">
        <v>36</v>
      </c>
      <c r="J227" s="8"/>
      <c r="K227" s="6">
        <v>1</v>
      </c>
      <c r="L227" s="10">
        <v>658.67</v>
      </c>
      <c r="M227" s="11"/>
      <c r="N227" s="8">
        <f>L227*M227</f>
        <v>0</v>
      </c>
      <c r="O227" s="12">
        <f>0.055*M227</f>
        <v>0</v>
      </c>
      <c r="P227" s="13">
        <f>0.00025*M227</f>
        <v>0</v>
      </c>
      <c r="Q227" s="17" t="s">
        <v>37</v>
      </c>
      <c r="R227" s="8" t="s">
        <v>633</v>
      </c>
      <c r="S227" s="8"/>
      <c r="T227" s="7" t="str">
        <f>HYPERLINK("https://miland.ru/api/getInfo/image/27799301-08d1-11f1-a28f-00155d82e908")</f>
        <v>https://miland.ru/api/getInfo/image/27799301-08d1-11f1-a28f-00155d82e908</v>
      </c>
      <c r="U227" s="7"/>
      <c r="V227" s="7"/>
      <c r="W227" s="7" t="s">
        <v>82</v>
      </c>
      <c r="X227" s="7"/>
      <c r="Y227" s="7" t="s">
        <v>41</v>
      </c>
      <c r="Z227" s="7"/>
      <c r="AA227" s="7" t="str">
        <f>HYPERLINK("https://miland.ru/api/getInfo/item/27799301-08d1-11f1-a28f-00155d82e908")</f>
        <v>https://miland.ru/api/getInfo/item/27799301-08d1-11f1-a28f-00155d82e908</v>
      </c>
      <c r="AB227" s="7" t="s">
        <v>42</v>
      </c>
      <c r="AC227" s="7"/>
      <c r="AD227" s="7"/>
    </row>
    <row r="228" spans="2:30" s="1" customFormat="1" ht="96.3" customHeight="1" outlineLevel="6">
      <c r="B228" s="6">
        <v>131</v>
      </c>
      <c r="C228" s="7" t="s">
        <v>634</v>
      </c>
      <c r="D228" s="71" t="s">
        <v>635</v>
      </c>
      <c r="E228" s="71"/>
      <c r="F228" s="71"/>
      <c r="G228" s="71"/>
      <c r="H228" s="8" t="s">
        <v>636</v>
      </c>
      <c r="I228" s="9" t="s">
        <v>36</v>
      </c>
      <c r="J228" s="8"/>
      <c r="K228" s="6">
        <v>1</v>
      </c>
      <c r="L228" s="10">
        <v>658.67</v>
      </c>
      <c r="M228" s="11"/>
      <c r="N228" s="8">
        <f>L228*M228</f>
        <v>0</v>
      </c>
      <c r="O228" s="12">
        <f>0.043*M228</f>
        <v>0</v>
      </c>
      <c r="P228" s="13">
        <f>0.00025*M228</f>
        <v>0</v>
      </c>
      <c r="Q228" s="17" t="s">
        <v>37</v>
      </c>
      <c r="R228" s="8" t="s">
        <v>637</v>
      </c>
      <c r="S228" s="8"/>
      <c r="T228" s="7" t="str">
        <f>HYPERLINK("https://miland.ru/api/getInfo/image/39616bdc-08d5-11f1-a28f-00155d82e908")</f>
        <v>https://miland.ru/api/getInfo/image/39616bdc-08d5-11f1-a28f-00155d82e908</v>
      </c>
      <c r="U228" s="7"/>
      <c r="V228" s="7"/>
      <c r="W228" s="7" t="s">
        <v>82</v>
      </c>
      <c r="X228" s="7"/>
      <c r="Y228" s="7" t="s">
        <v>41</v>
      </c>
      <c r="Z228" s="7"/>
      <c r="AA228" s="7" t="str">
        <f>HYPERLINK("https://miland.ru/api/getInfo/item/39616bdc-08d5-11f1-a28f-00155d82e908")</f>
        <v>https://miland.ru/api/getInfo/item/39616bdc-08d5-11f1-a28f-00155d82e908</v>
      </c>
      <c r="AB228" s="7" t="s">
        <v>42</v>
      </c>
      <c r="AC228" s="7"/>
      <c r="AD228" s="7"/>
    </row>
    <row r="229" spans="2:30" ht="12" customHeight="1" outlineLevel="3">
      <c r="B229" s="70" t="s">
        <v>638</v>
      </c>
      <c r="C229" s="70"/>
      <c r="D229" s="70"/>
      <c r="E229" s="70"/>
      <c r="F229" s="70"/>
      <c r="G229" s="70"/>
    </row>
    <row r="230" spans="2:30" ht="12" customHeight="1" outlineLevel="4">
      <c r="B230" s="70" t="s">
        <v>639</v>
      </c>
      <c r="C230" s="70"/>
      <c r="D230" s="70"/>
      <c r="E230" s="70"/>
      <c r="F230" s="70"/>
      <c r="G230" s="70"/>
    </row>
    <row r="231" spans="2:30" ht="12" customHeight="1" outlineLevel="5">
      <c r="B231" s="70" t="s">
        <v>294</v>
      </c>
      <c r="C231" s="70"/>
      <c r="D231" s="70"/>
      <c r="E231" s="70"/>
      <c r="F231" s="70"/>
      <c r="G231" s="70"/>
    </row>
    <row r="232" spans="2:30" ht="12" customHeight="1" outlineLevel="6">
      <c r="B232" s="70" t="s">
        <v>295</v>
      </c>
      <c r="C232" s="70"/>
      <c r="D232" s="70"/>
      <c r="E232" s="70"/>
      <c r="F232" s="70"/>
      <c r="G232" s="70"/>
    </row>
    <row r="233" spans="2:30" ht="12" customHeight="1" outlineLevel="7">
      <c r="B233" s="70" t="s">
        <v>501</v>
      </c>
      <c r="C233" s="70"/>
      <c r="D233" s="70"/>
      <c r="E233" s="70"/>
      <c r="F233" s="70"/>
      <c r="G233" s="70"/>
    </row>
    <row r="234" spans="2:30" s="1" customFormat="1" ht="96.3" customHeight="1" outlineLevel="7">
      <c r="B234" s="6">
        <v>132</v>
      </c>
      <c r="C234" s="7" t="s">
        <v>640</v>
      </c>
      <c r="D234" s="71" t="s">
        <v>641</v>
      </c>
      <c r="E234" s="71"/>
      <c r="F234" s="71"/>
      <c r="G234" s="71"/>
      <c r="H234" s="8" t="s">
        <v>642</v>
      </c>
      <c r="I234" s="9" t="s">
        <v>36</v>
      </c>
      <c r="J234" s="8"/>
      <c r="K234" s="6">
        <v>1</v>
      </c>
      <c r="L234" s="10">
        <v>505.65</v>
      </c>
      <c r="M234" s="11"/>
      <c r="N234" s="8">
        <f>L234*M234</f>
        <v>0</v>
      </c>
      <c r="O234" s="8">
        <v>0</v>
      </c>
      <c r="P234" s="8">
        <v>0</v>
      </c>
      <c r="Q234" s="17" t="s">
        <v>37</v>
      </c>
      <c r="R234" s="8" t="s">
        <v>643</v>
      </c>
      <c r="S234" s="8"/>
      <c r="T234" s="7" t="str">
        <f>HYPERLINK("https://miland.ru/api/getInfo/image/cb8478fe-5908-11f1-a295-00155d82e908")</f>
        <v>https://miland.ru/api/getInfo/image/cb8478fe-5908-11f1-a295-00155d82e908</v>
      </c>
      <c r="U234" s="7"/>
      <c r="V234" s="7"/>
      <c r="W234" s="7" t="s">
        <v>82</v>
      </c>
      <c r="X234" s="7"/>
      <c r="Y234" s="7" t="s">
        <v>41</v>
      </c>
      <c r="Z234" s="7"/>
      <c r="AA234" s="7" t="str">
        <f>HYPERLINK("https://miland.ru/api/getInfo/item/cb8478fe-5908-11f1-a295-00155d82e908")</f>
        <v>https://miland.ru/api/getInfo/item/cb8478fe-5908-11f1-a295-00155d82e908</v>
      </c>
      <c r="AB234" s="7" t="s">
        <v>50</v>
      </c>
      <c r="AC234" s="7"/>
      <c r="AD234" s="7"/>
    </row>
    <row r="235" spans="2:30" ht="12" customHeight="1" outlineLevel="4">
      <c r="B235" s="70" t="s">
        <v>644</v>
      </c>
      <c r="C235" s="70"/>
      <c r="D235" s="70"/>
      <c r="E235" s="70"/>
      <c r="F235" s="70"/>
      <c r="G235" s="70"/>
    </row>
    <row r="236" spans="2:30" ht="12" customHeight="1" outlineLevel="5">
      <c r="B236" s="70" t="s">
        <v>59</v>
      </c>
      <c r="C236" s="70"/>
      <c r="D236" s="70"/>
      <c r="E236" s="70"/>
      <c r="F236" s="70"/>
      <c r="G236" s="70"/>
    </row>
    <row r="237" spans="2:30" ht="12" customHeight="1" outlineLevel="6">
      <c r="B237" s="70" t="s">
        <v>645</v>
      </c>
      <c r="C237" s="70"/>
      <c r="D237" s="70"/>
      <c r="E237" s="70"/>
      <c r="F237" s="70"/>
      <c r="G237" s="70"/>
    </row>
    <row r="238" spans="2:30" s="1" customFormat="1" ht="96.3" customHeight="1" outlineLevel="7">
      <c r="B238" s="20">
        <v>133</v>
      </c>
      <c r="C238" s="21" t="s">
        <v>646</v>
      </c>
      <c r="D238" s="72" t="s">
        <v>647</v>
      </c>
      <c r="E238" s="72"/>
      <c r="F238" s="72"/>
      <c r="G238" s="72"/>
      <c r="H238" s="22" t="s">
        <v>648</v>
      </c>
      <c r="I238" s="27">
        <v>396</v>
      </c>
      <c r="J238" s="22"/>
      <c r="K238" s="20">
        <v>24</v>
      </c>
      <c r="L238" s="24">
        <v>22.96</v>
      </c>
      <c r="M238" s="11"/>
      <c r="N238" s="22">
        <f>L238*M238</f>
        <v>0</v>
      </c>
      <c r="O238" s="25">
        <f>0.006*M238</f>
        <v>0</v>
      </c>
      <c r="P238" s="26">
        <f>0.00002*M238</f>
        <v>0</v>
      </c>
      <c r="Q238" s="30"/>
      <c r="R238" s="22" t="s">
        <v>649</v>
      </c>
      <c r="S238" s="22" t="s">
        <v>435</v>
      </c>
      <c r="T238" s="21" t="str">
        <f>HYPERLINK("https://miland.ru/api/getInfo/image/40fe199b-18e7-11ef-a25d-00155d82e908")</f>
        <v>https://miland.ru/api/getInfo/image/40fe199b-18e7-11ef-a25d-00155d82e908</v>
      </c>
      <c r="U238" s="21"/>
      <c r="V238" s="21" t="s">
        <v>650</v>
      </c>
      <c r="W238" s="21" t="s">
        <v>70</v>
      </c>
      <c r="X238" s="21"/>
      <c r="Y238" s="21" t="s">
        <v>41</v>
      </c>
      <c r="Z238" s="21"/>
      <c r="AA238" s="21" t="str">
        <f>HYPERLINK("https://miland.ru/api/getInfo/item/40fe199b-18e7-11ef-a25d-00155d82e908")</f>
        <v>https://miland.ru/api/getInfo/item/40fe199b-18e7-11ef-a25d-00155d82e908</v>
      </c>
      <c r="AB238" s="21" t="s">
        <v>50</v>
      </c>
      <c r="AC238" s="21"/>
      <c r="AD238" s="21"/>
    </row>
    <row r="239" spans="2:30" ht="12" customHeight="1" outlineLevel="6">
      <c r="B239" s="70" t="s">
        <v>651</v>
      </c>
      <c r="C239" s="70"/>
      <c r="D239" s="70"/>
      <c r="E239" s="70"/>
      <c r="F239" s="70"/>
      <c r="G239" s="70"/>
    </row>
    <row r="240" spans="2:30" s="1" customFormat="1" ht="96.3" customHeight="1" outlineLevel="7">
      <c r="B240" s="20">
        <v>134</v>
      </c>
      <c r="C240" s="21" t="s">
        <v>652</v>
      </c>
      <c r="D240" s="72" t="s">
        <v>653</v>
      </c>
      <c r="E240" s="72"/>
      <c r="F240" s="72"/>
      <c r="G240" s="72"/>
      <c r="H240" s="22" t="s">
        <v>654</v>
      </c>
      <c r="I240" s="23" t="s">
        <v>36</v>
      </c>
      <c r="J240" s="22"/>
      <c r="K240" s="20">
        <v>4</v>
      </c>
      <c r="L240" s="24">
        <v>154.94</v>
      </c>
      <c r="M240" s="11"/>
      <c r="N240" s="22">
        <f t="shared" ref="N240:N246" si="8">L240*M240</f>
        <v>0</v>
      </c>
      <c r="O240" s="25">
        <f>0.031*M240</f>
        <v>0</v>
      </c>
      <c r="P240" s="26">
        <f>0.00017*M240</f>
        <v>0</v>
      </c>
      <c r="Q240" s="30"/>
      <c r="R240" s="22" t="s">
        <v>655</v>
      </c>
      <c r="S240" s="22" t="s">
        <v>435</v>
      </c>
      <c r="T240" s="21" t="str">
        <f>HYPERLINK("https://miland.ru/api/getInfo/image/78d3bb2a-f8d5-11ee-a25d-00155d82e908")</f>
        <v>https://miland.ru/api/getInfo/image/78d3bb2a-f8d5-11ee-a25d-00155d82e908</v>
      </c>
      <c r="U240" s="21"/>
      <c r="V240" s="21" t="s">
        <v>650</v>
      </c>
      <c r="W240" s="21" t="s">
        <v>70</v>
      </c>
      <c r="X240" s="21"/>
      <c r="Y240" s="21" t="s">
        <v>41</v>
      </c>
      <c r="Z240" s="21"/>
      <c r="AA240" s="21" t="str">
        <f>HYPERLINK("https://miland.ru/api/getInfo/item/78d3bb2a-f8d5-11ee-a25d-00155d82e908")</f>
        <v>https://miland.ru/api/getInfo/item/78d3bb2a-f8d5-11ee-a25d-00155d82e908</v>
      </c>
      <c r="AB240" s="21" t="s">
        <v>42</v>
      </c>
      <c r="AC240" s="21" t="s">
        <v>656</v>
      </c>
      <c r="AD240" s="21"/>
    </row>
    <row r="241" spans="2:30" s="1" customFormat="1" ht="96.3" customHeight="1" outlineLevel="7">
      <c r="B241" s="20">
        <v>135</v>
      </c>
      <c r="C241" s="21" t="s">
        <v>657</v>
      </c>
      <c r="D241" s="72" t="s">
        <v>658</v>
      </c>
      <c r="E241" s="72"/>
      <c r="F241" s="72"/>
      <c r="G241" s="72"/>
      <c r="H241" s="22" t="s">
        <v>659</v>
      </c>
      <c r="I241" s="27">
        <v>415</v>
      </c>
      <c r="J241" s="22"/>
      <c r="K241" s="20">
        <v>4</v>
      </c>
      <c r="L241" s="24">
        <v>154.94</v>
      </c>
      <c r="M241" s="11"/>
      <c r="N241" s="22">
        <f t="shared" si="8"/>
        <v>0</v>
      </c>
      <c r="O241" s="25">
        <f>0.047*M241</f>
        <v>0</v>
      </c>
      <c r="P241" s="26">
        <f>0.00016*M241</f>
        <v>0</v>
      </c>
      <c r="Q241" s="30"/>
      <c r="R241" s="22" t="s">
        <v>660</v>
      </c>
      <c r="S241" s="22" t="s">
        <v>435</v>
      </c>
      <c r="T241" s="21" t="str">
        <f>HYPERLINK("https://miland.ru/api/getInfo/image/8cc6a7fb-f8d5-11ee-a25d-00155d82e908")</f>
        <v>https://miland.ru/api/getInfo/image/8cc6a7fb-f8d5-11ee-a25d-00155d82e908</v>
      </c>
      <c r="U241" s="21"/>
      <c r="V241" s="21" t="s">
        <v>650</v>
      </c>
      <c r="W241" s="21" t="s">
        <v>70</v>
      </c>
      <c r="X241" s="21"/>
      <c r="Y241" s="21" t="s">
        <v>41</v>
      </c>
      <c r="Z241" s="21"/>
      <c r="AA241" s="21" t="str">
        <f>HYPERLINK("https://miland.ru/api/getInfo/item/8cc6a7fb-f8d5-11ee-a25d-00155d82e908")</f>
        <v>https://miland.ru/api/getInfo/item/8cc6a7fb-f8d5-11ee-a25d-00155d82e908</v>
      </c>
      <c r="AB241" s="21" t="s">
        <v>42</v>
      </c>
      <c r="AC241" s="21" t="s">
        <v>656</v>
      </c>
      <c r="AD241" s="21"/>
    </row>
    <row r="242" spans="2:30" s="1" customFormat="1" ht="96.3" customHeight="1" outlineLevel="7">
      <c r="B242" s="20">
        <v>136</v>
      </c>
      <c r="C242" s="21" t="s">
        <v>661</v>
      </c>
      <c r="D242" s="72" t="s">
        <v>662</v>
      </c>
      <c r="E242" s="72"/>
      <c r="F242" s="72"/>
      <c r="G242" s="72"/>
      <c r="H242" s="22" t="s">
        <v>663</v>
      </c>
      <c r="I242" s="23" t="s">
        <v>36</v>
      </c>
      <c r="J242" s="22"/>
      <c r="K242" s="20">
        <v>4</v>
      </c>
      <c r="L242" s="24">
        <v>154.94</v>
      </c>
      <c r="M242" s="11"/>
      <c r="N242" s="22">
        <f t="shared" si="8"/>
        <v>0</v>
      </c>
      <c r="O242" s="25">
        <f>0.052*M242</f>
        <v>0</v>
      </c>
      <c r="P242" s="26">
        <f>0.00016*M242</f>
        <v>0</v>
      </c>
      <c r="Q242" s="30"/>
      <c r="R242" s="22" t="s">
        <v>664</v>
      </c>
      <c r="S242" s="22" t="s">
        <v>435</v>
      </c>
      <c r="T242" s="21" t="str">
        <f>HYPERLINK("https://miland.ru/api/getInfo/image/a66cbe3c-f8d5-11ee-a25d-00155d82e908")</f>
        <v>https://miland.ru/api/getInfo/image/a66cbe3c-f8d5-11ee-a25d-00155d82e908</v>
      </c>
      <c r="U242" s="21"/>
      <c r="V242" s="21" t="s">
        <v>650</v>
      </c>
      <c r="W242" s="21" t="s">
        <v>70</v>
      </c>
      <c r="X242" s="21"/>
      <c r="Y242" s="21" t="s">
        <v>41</v>
      </c>
      <c r="Z242" s="21"/>
      <c r="AA242" s="21" t="str">
        <f>HYPERLINK("https://miland.ru/api/getInfo/item/a66cbe3c-f8d5-11ee-a25d-00155d82e908")</f>
        <v>https://miland.ru/api/getInfo/item/a66cbe3c-f8d5-11ee-a25d-00155d82e908</v>
      </c>
      <c r="AB242" s="21" t="s">
        <v>42</v>
      </c>
      <c r="AC242" s="21" t="s">
        <v>656</v>
      </c>
      <c r="AD242" s="21"/>
    </row>
    <row r="243" spans="2:30" s="1" customFormat="1" ht="96.3" customHeight="1" outlineLevel="7">
      <c r="B243" s="20">
        <v>137</v>
      </c>
      <c r="C243" s="21" t="s">
        <v>665</v>
      </c>
      <c r="D243" s="72" t="s">
        <v>666</v>
      </c>
      <c r="E243" s="72"/>
      <c r="F243" s="72"/>
      <c r="G243" s="72"/>
      <c r="H243" s="22" t="s">
        <v>667</v>
      </c>
      <c r="I243" s="23" t="s">
        <v>36</v>
      </c>
      <c r="J243" s="22"/>
      <c r="K243" s="20">
        <v>4</v>
      </c>
      <c r="L243" s="24">
        <v>154.94</v>
      </c>
      <c r="M243" s="11"/>
      <c r="N243" s="22">
        <f t="shared" si="8"/>
        <v>0</v>
      </c>
      <c r="O243" s="25">
        <f>0.052*M243</f>
        <v>0</v>
      </c>
      <c r="P243" s="26">
        <f>0.00006*M243</f>
        <v>0</v>
      </c>
      <c r="Q243" s="30"/>
      <c r="R243" s="22" t="s">
        <v>668</v>
      </c>
      <c r="S243" s="22" t="s">
        <v>435</v>
      </c>
      <c r="T243" s="21" t="str">
        <f>HYPERLINK("https://miland.ru/api/getInfo/image/98cca7cb-f8d5-11ee-a25d-00155d82e908")</f>
        <v>https://miland.ru/api/getInfo/image/98cca7cb-f8d5-11ee-a25d-00155d82e908</v>
      </c>
      <c r="U243" s="21"/>
      <c r="V243" s="21" t="s">
        <v>650</v>
      </c>
      <c r="W243" s="21" t="s">
        <v>70</v>
      </c>
      <c r="X243" s="21"/>
      <c r="Y243" s="21" t="s">
        <v>41</v>
      </c>
      <c r="Z243" s="21"/>
      <c r="AA243" s="21" t="str">
        <f>HYPERLINK("https://miland.ru/api/getInfo/item/98cca7cb-f8d5-11ee-a25d-00155d82e908")</f>
        <v>https://miland.ru/api/getInfo/item/98cca7cb-f8d5-11ee-a25d-00155d82e908</v>
      </c>
      <c r="AB243" s="21" t="s">
        <v>42</v>
      </c>
      <c r="AC243" s="21" t="s">
        <v>656</v>
      </c>
      <c r="AD243" s="21"/>
    </row>
    <row r="244" spans="2:30" s="1" customFormat="1" ht="96.3" customHeight="1" outlineLevel="7">
      <c r="B244" s="20">
        <v>138</v>
      </c>
      <c r="C244" s="21" t="s">
        <v>669</v>
      </c>
      <c r="D244" s="72" t="s">
        <v>670</v>
      </c>
      <c r="E244" s="72"/>
      <c r="F244" s="72"/>
      <c r="G244" s="72"/>
      <c r="H244" s="22" t="s">
        <v>671</v>
      </c>
      <c r="I244" s="23" t="s">
        <v>36</v>
      </c>
      <c r="J244" s="22"/>
      <c r="K244" s="20">
        <v>12</v>
      </c>
      <c r="L244" s="24">
        <v>154.94</v>
      </c>
      <c r="M244" s="11"/>
      <c r="N244" s="22">
        <f t="shared" si="8"/>
        <v>0</v>
      </c>
      <c r="O244" s="25">
        <f>0.049*M244</f>
        <v>0</v>
      </c>
      <c r="P244" s="26">
        <f>0.00006*M244</f>
        <v>0</v>
      </c>
      <c r="Q244" s="30"/>
      <c r="R244" s="22" t="s">
        <v>672</v>
      </c>
      <c r="S244" s="22" t="s">
        <v>435</v>
      </c>
      <c r="T244" s="21" t="str">
        <f>HYPERLINK("https://miland.ru/api/getInfo/image/6e427fd5-edf7-11ef-a274-00155d82e908")</f>
        <v>https://miland.ru/api/getInfo/image/6e427fd5-edf7-11ef-a274-00155d82e908</v>
      </c>
      <c r="U244" s="21"/>
      <c r="V244" s="21" t="s">
        <v>650</v>
      </c>
      <c r="W244" s="21" t="s">
        <v>70</v>
      </c>
      <c r="X244" s="21"/>
      <c r="Y244" s="21" t="s">
        <v>41</v>
      </c>
      <c r="Z244" s="21"/>
      <c r="AA244" s="21" t="str">
        <f>HYPERLINK("https://miland.ru/api/getInfo/item/6e427fd5-edf7-11ef-a274-00155d82e908")</f>
        <v>https://miland.ru/api/getInfo/item/6e427fd5-edf7-11ef-a274-00155d82e908</v>
      </c>
      <c r="AB244" s="21" t="s">
        <v>42</v>
      </c>
      <c r="AC244" s="21"/>
      <c r="AD244" s="21"/>
    </row>
    <row r="245" spans="2:30" s="1" customFormat="1" ht="96.3" customHeight="1" outlineLevel="7">
      <c r="B245" s="20">
        <v>139</v>
      </c>
      <c r="C245" s="21" t="s">
        <v>673</v>
      </c>
      <c r="D245" s="72" t="s">
        <v>674</v>
      </c>
      <c r="E245" s="72"/>
      <c r="F245" s="72"/>
      <c r="G245" s="72"/>
      <c r="H245" s="22" t="s">
        <v>675</v>
      </c>
      <c r="I245" s="27">
        <v>122</v>
      </c>
      <c r="J245" s="22"/>
      <c r="K245" s="20">
        <v>8</v>
      </c>
      <c r="L245" s="24">
        <v>83.03</v>
      </c>
      <c r="M245" s="11"/>
      <c r="N245" s="22">
        <f t="shared" si="8"/>
        <v>0</v>
      </c>
      <c r="O245" s="25">
        <f>0.048*M245</f>
        <v>0</v>
      </c>
      <c r="P245" s="26">
        <f>0.00006*M245</f>
        <v>0</v>
      </c>
      <c r="Q245" s="30"/>
      <c r="R245" s="22" t="s">
        <v>676</v>
      </c>
      <c r="S245" s="22" t="s">
        <v>435</v>
      </c>
      <c r="T245" s="21" t="str">
        <f>HYPERLINK("https://miland.ru/api/getInfo/image/0af0a3dd-f8d5-11ee-a25d-00155d82e908")</f>
        <v>https://miland.ru/api/getInfo/image/0af0a3dd-f8d5-11ee-a25d-00155d82e908</v>
      </c>
      <c r="U245" s="21"/>
      <c r="V245" s="21" t="s">
        <v>650</v>
      </c>
      <c r="W245" s="21" t="s">
        <v>70</v>
      </c>
      <c r="X245" s="21"/>
      <c r="Y245" s="21" t="s">
        <v>41</v>
      </c>
      <c r="Z245" s="21"/>
      <c r="AA245" s="21" t="str">
        <f>HYPERLINK("https://miland.ru/api/getInfo/item/0af0a3dd-f8d5-11ee-a25d-00155d82e908")</f>
        <v>https://miland.ru/api/getInfo/item/0af0a3dd-f8d5-11ee-a25d-00155d82e908</v>
      </c>
      <c r="AB245" s="21" t="s">
        <v>42</v>
      </c>
      <c r="AC245" s="21" t="s">
        <v>656</v>
      </c>
      <c r="AD245" s="21"/>
    </row>
    <row r="246" spans="2:30" s="1" customFormat="1" ht="96.3" customHeight="1" outlineLevel="7">
      <c r="B246" s="20">
        <v>140</v>
      </c>
      <c r="C246" s="21" t="s">
        <v>677</v>
      </c>
      <c r="D246" s="72" t="s">
        <v>678</v>
      </c>
      <c r="E246" s="72"/>
      <c r="F246" s="72"/>
      <c r="G246" s="72"/>
      <c r="H246" s="22" t="s">
        <v>679</v>
      </c>
      <c r="I246" s="27">
        <v>322</v>
      </c>
      <c r="J246" s="22"/>
      <c r="K246" s="20">
        <v>12</v>
      </c>
      <c r="L246" s="24">
        <v>154.94</v>
      </c>
      <c r="M246" s="11"/>
      <c r="N246" s="22">
        <f t="shared" si="8"/>
        <v>0</v>
      </c>
      <c r="O246" s="25">
        <f>0.053*M246</f>
        <v>0</v>
      </c>
      <c r="P246" s="26">
        <f>0.00006*M246</f>
        <v>0</v>
      </c>
      <c r="Q246" s="30"/>
      <c r="R246" s="22" t="s">
        <v>680</v>
      </c>
      <c r="S246" s="22" t="s">
        <v>435</v>
      </c>
      <c r="T246" s="21" t="str">
        <f>HYPERLINK("https://miland.ru/api/getInfo/image/094e0ed5-edf7-11ef-a274-00155d82e908")</f>
        <v>https://miland.ru/api/getInfo/image/094e0ed5-edf7-11ef-a274-00155d82e908</v>
      </c>
      <c r="U246" s="21"/>
      <c r="V246" s="21" t="s">
        <v>650</v>
      </c>
      <c r="W246" s="21" t="s">
        <v>70</v>
      </c>
      <c r="X246" s="21"/>
      <c r="Y246" s="21" t="s">
        <v>41</v>
      </c>
      <c r="Z246" s="21"/>
      <c r="AA246" s="21" t="str">
        <f>HYPERLINK("https://miland.ru/api/getInfo/item/094e0ed5-edf7-11ef-a274-00155d82e908")</f>
        <v>https://miland.ru/api/getInfo/item/094e0ed5-edf7-11ef-a274-00155d82e908</v>
      </c>
      <c r="AB246" s="21" t="s">
        <v>42</v>
      </c>
      <c r="AC246" s="21"/>
      <c r="AD246" s="21"/>
    </row>
    <row r="247" spans="2:30" ht="12" customHeight="1" outlineLevel="5">
      <c r="B247" s="70" t="s">
        <v>471</v>
      </c>
      <c r="C247" s="70"/>
      <c r="D247" s="70"/>
      <c r="E247" s="70"/>
      <c r="F247" s="70"/>
      <c r="G247" s="70"/>
    </row>
    <row r="248" spans="2:30" s="1" customFormat="1" ht="96.3" customHeight="1" outlineLevel="6">
      <c r="B248" s="20">
        <v>141</v>
      </c>
      <c r="C248" s="21" t="s">
        <v>681</v>
      </c>
      <c r="D248" s="72" t="s">
        <v>682</v>
      </c>
      <c r="E248" s="72"/>
      <c r="F248" s="72"/>
      <c r="G248" s="72"/>
      <c r="H248" s="22" t="s">
        <v>683</v>
      </c>
      <c r="I248" s="23" t="s">
        <v>36</v>
      </c>
      <c r="J248" s="22"/>
      <c r="K248" s="20">
        <v>2</v>
      </c>
      <c r="L248" s="24">
        <v>364.83</v>
      </c>
      <c r="M248" s="11"/>
      <c r="N248" s="22">
        <f>L248*M248</f>
        <v>0</v>
      </c>
      <c r="O248" s="25">
        <f>0.134*M248</f>
        <v>0</v>
      </c>
      <c r="P248" s="26">
        <f>0.00142*M248</f>
        <v>0</v>
      </c>
      <c r="Q248" s="30"/>
      <c r="R248" s="22" t="s">
        <v>684</v>
      </c>
      <c r="S248" s="22" t="s">
        <v>435</v>
      </c>
      <c r="T248" s="21" t="str">
        <f>HYPERLINK("https://miland.ru/api/getInfo/image/79085234-18db-11ef-a25d-00155d82e908")</f>
        <v>https://miland.ru/api/getInfo/image/79085234-18db-11ef-a25d-00155d82e908</v>
      </c>
      <c r="U248" s="21"/>
      <c r="V248" s="21"/>
      <c r="W248" s="21"/>
      <c r="X248" s="21" t="s">
        <v>172</v>
      </c>
      <c r="Y248" s="21" t="s">
        <v>477</v>
      </c>
      <c r="Z248" s="21" t="s">
        <v>685</v>
      </c>
      <c r="AA248" s="21" t="str">
        <f>HYPERLINK("https://miland.ru/api/getInfo/item/79085234-18db-11ef-a25d-00155d82e908")</f>
        <v>https://miland.ru/api/getInfo/item/79085234-18db-11ef-a25d-00155d82e908</v>
      </c>
      <c r="AB248" s="21" t="s">
        <v>50</v>
      </c>
      <c r="AC248" s="21"/>
      <c r="AD248" s="21"/>
    </row>
    <row r="249" spans="2:30" s="1" customFormat="1" ht="96.3" customHeight="1" outlineLevel="6">
      <c r="B249" s="20">
        <v>142</v>
      </c>
      <c r="C249" s="21" t="s">
        <v>686</v>
      </c>
      <c r="D249" s="72" t="s">
        <v>687</v>
      </c>
      <c r="E249" s="72"/>
      <c r="F249" s="72"/>
      <c r="G249" s="72"/>
      <c r="H249" s="22" t="s">
        <v>688</v>
      </c>
      <c r="I249" s="23" t="s">
        <v>36</v>
      </c>
      <c r="J249" s="22"/>
      <c r="K249" s="20">
        <v>10</v>
      </c>
      <c r="L249" s="24">
        <v>69.09</v>
      </c>
      <c r="M249" s="11"/>
      <c r="N249" s="22">
        <f>L249*M249</f>
        <v>0</v>
      </c>
      <c r="O249" s="25">
        <f>0.035*M249</f>
        <v>0</v>
      </c>
      <c r="P249" s="26">
        <f>0.00017*M249</f>
        <v>0</v>
      </c>
      <c r="Q249" s="30"/>
      <c r="R249" s="22" t="s">
        <v>689</v>
      </c>
      <c r="S249" s="22"/>
      <c r="T249" s="21" t="str">
        <f>HYPERLINK("https://miland.ru/api/getInfo/image/2ceaa0fe-18dc-11ef-a25d-00155d82e908")</f>
        <v>https://miland.ru/api/getInfo/image/2ceaa0fe-18dc-11ef-a25d-00155d82e908</v>
      </c>
      <c r="U249" s="21"/>
      <c r="V249" s="21" t="s">
        <v>690</v>
      </c>
      <c r="W249" s="21" t="s">
        <v>691</v>
      </c>
      <c r="X249" s="21" t="s">
        <v>172</v>
      </c>
      <c r="Y249" s="21" t="s">
        <v>477</v>
      </c>
      <c r="Z249" s="21" t="s">
        <v>692</v>
      </c>
      <c r="AA249" s="21" t="str">
        <f>HYPERLINK("https://miland.ru/api/getInfo/item/2ceaa0fe-18dc-11ef-a25d-00155d82e908")</f>
        <v>https://miland.ru/api/getInfo/item/2ceaa0fe-18dc-11ef-a25d-00155d82e908</v>
      </c>
      <c r="AB249" s="21" t="s">
        <v>50</v>
      </c>
      <c r="AC249" s="21"/>
      <c r="AD249" s="21"/>
    </row>
    <row r="250" spans="2:30" ht="12" customHeight="1" outlineLevel="5">
      <c r="B250" s="70" t="s">
        <v>180</v>
      </c>
      <c r="C250" s="70"/>
      <c r="D250" s="70"/>
      <c r="E250" s="70"/>
      <c r="F250" s="70"/>
      <c r="G250" s="70"/>
    </row>
    <row r="251" spans="2:30" s="1" customFormat="1" ht="96.3" customHeight="1" outlineLevel="6">
      <c r="B251" s="20">
        <v>143</v>
      </c>
      <c r="C251" s="21" t="s">
        <v>693</v>
      </c>
      <c r="D251" s="72" t="s">
        <v>694</v>
      </c>
      <c r="E251" s="72"/>
      <c r="F251" s="72"/>
      <c r="G251" s="72"/>
      <c r="H251" s="22" t="s">
        <v>695</v>
      </c>
      <c r="I251" s="23" t="s">
        <v>36</v>
      </c>
      <c r="J251" s="22"/>
      <c r="K251" s="20">
        <v>1</v>
      </c>
      <c r="L251" s="24">
        <v>994.64</v>
      </c>
      <c r="M251" s="11"/>
      <c r="N251" s="22">
        <f>L251*M251</f>
        <v>0</v>
      </c>
      <c r="O251" s="25">
        <f>0.913*M251</f>
        <v>0</v>
      </c>
      <c r="P251" s="25">
        <f>0.004*M251</f>
        <v>0</v>
      </c>
      <c r="Q251" s="30"/>
      <c r="R251" s="22" t="s">
        <v>696</v>
      </c>
      <c r="S251" s="22"/>
      <c r="T251" s="21" t="str">
        <f>HYPERLINK("https://miland.ru/api/getInfo/image/d1d4abd4-5030-11f0-a27e-00155d82e908")</f>
        <v>https://miland.ru/api/getInfo/image/d1d4abd4-5030-11f0-a27e-00155d82e908</v>
      </c>
      <c r="U251" s="21"/>
      <c r="V251" s="21"/>
      <c r="W251" s="21" t="s">
        <v>185</v>
      </c>
      <c r="X251" s="21"/>
      <c r="Y251" s="21" t="s">
        <v>697</v>
      </c>
      <c r="Z251" s="21"/>
      <c r="AA251" s="21" t="str">
        <f>HYPERLINK("https://miland.ru/api/getInfo/item/d1d4abd4-5030-11f0-a27e-00155d82e908")</f>
        <v>https://miland.ru/api/getInfo/item/d1d4abd4-5030-11f0-a27e-00155d82e908</v>
      </c>
      <c r="AB251" s="21" t="s">
        <v>42</v>
      </c>
      <c r="AC251" s="21"/>
      <c r="AD251" s="21"/>
    </row>
    <row r="252" spans="2:30" s="1" customFormat="1" ht="96.3" customHeight="1" outlineLevel="6">
      <c r="B252" s="20">
        <v>144</v>
      </c>
      <c r="C252" s="21" t="s">
        <v>698</v>
      </c>
      <c r="D252" s="72" t="s">
        <v>699</v>
      </c>
      <c r="E252" s="72"/>
      <c r="F252" s="72"/>
      <c r="G252" s="72"/>
      <c r="H252" s="22" t="s">
        <v>700</v>
      </c>
      <c r="I252" s="23" t="s">
        <v>36</v>
      </c>
      <c r="J252" s="22"/>
      <c r="K252" s="20">
        <v>1</v>
      </c>
      <c r="L252" s="24">
        <v>572.22</v>
      </c>
      <c r="M252" s="11"/>
      <c r="N252" s="22">
        <f>L252*M252</f>
        <v>0</v>
      </c>
      <c r="O252" s="25">
        <f>0.288*M252</f>
        <v>0</v>
      </c>
      <c r="P252" s="26">
        <f>0.00117*M252</f>
        <v>0</v>
      </c>
      <c r="Q252" s="30"/>
      <c r="R252" s="22" t="s">
        <v>701</v>
      </c>
      <c r="S252" s="22"/>
      <c r="T252" s="21" t="str">
        <f>HYPERLINK("https://miland.ru/api/getInfo/image/79597826-502f-11f0-a27e-00155d82e908")</f>
        <v>https://miland.ru/api/getInfo/image/79597826-502f-11f0-a27e-00155d82e908</v>
      </c>
      <c r="U252" s="21"/>
      <c r="V252" s="21"/>
      <c r="W252" s="21" t="s">
        <v>185</v>
      </c>
      <c r="X252" s="21"/>
      <c r="Y252" s="21" t="s">
        <v>697</v>
      </c>
      <c r="Z252" s="21"/>
      <c r="AA252" s="21" t="str">
        <f>HYPERLINK("https://miland.ru/api/getInfo/item/79597826-502f-11f0-a27e-00155d82e908")</f>
        <v>https://miland.ru/api/getInfo/item/79597826-502f-11f0-a27e-00155d82e908</v>
      </c>
      <c r="AB252" s="21" t="s">
        <v>42</v>
      </c>
      <c r="AC252" s="21"/>
      <c r="AD252" s="21"/>
    </row>
    <row r="253" spans="2:30" s="1" customFormat="1" ht="96.3" customHeight="1" outlineLevel="6">
      <c r="B253" s="20">
        <v>145</v>
      </c>
      <c r="C253" s="21" t="s">
        <v>702</v>
      </c>
      <c r="D253" s="72" t="s">
        <v>703</v>
      </c>
      <c r="E253" s="72"/>
      <c r="F253" s="72"/>
      <c r="G253" s="72"/>
      <c r="H253" s="22" t="s">
        <v>704</v>
      </c>
      <c r="I253" s="23" t="s">
        <v>36</v>
      </c>
      <c r="J253" s="22"/>
      <c r="K253" s="20">
        <v>1</v>
      </c>
      <c r="L253" s="24">
        <v>572.22</v>
      </c>
      <c r="M253" s="11"/>
      <c r="N253" s="22">
        <f>L253*M253</f>
        <v>0</v>
      </c>
      <c r="O253" s="25">
        <f>0.278*M253</f>
        <v>0</v>
      </c>
      <c r="P253" s="26">
        <f>0.00118*M253</f>
        <v>0</v>
      </c>
      <c r="Q253" s="30"/>
      <c r="R253" s="22" t="s">
        <v>705</v>
      </c>
      <c r="S253" s="22"/>
      <c r="T253" s="21" t="str">
        <f>HYPERLINK("https://miland.ru/api/getInfo/image/39ca4c99-5030-11f0-a27e-00155d82e908")</f>
        <v>https://miland.ru/api/getInfo/image/39ca4c99-5030-11f0-a27e-00155d82e908</v>
      </c>
      <c r="U253" s="21"/>
      <c r="V253" s="21"/>
      <c r="W253" s="21" t="s">
        <v>185</v>
      </c>
      <c r="X253" s="21"/>
      <c r="Y253" s="21" t="s">
        <v>697</v>
      </c>
      <c r="Z253" s="21"/>
      <c r="AA253" s="21" t="str">
        <f>HYPERLINK("https://miland.ru/api/getInfo/item/39ca4c99-5030-11f0-a27e-00155d82e908")</f>
        <v>https://miland.ru/api/getInfo/item/39ca4c99-5030-11f0-a27e-00155d82e908</v>
      </c>
      <c r="AB253" s="21" t="s">
        <v>42</v>
      </c>
      <c r="AC253" s="21"/>
      <c r="AD253" s="21"/>
    </row>
    <row r="254" spans="2:30" ht="12" customHeight="1" outlineLevel="5">
      <c r="B254" s="70" t="s">
        <v>294</v>
      </c>
      <c r="C254" s="70"/>
      <c r="D254" s="70"/>
      <c r="E254" s="70"/>
      <c r="F254" s="70"/>
      <c r="G254" s="70"/>
    </row>
    <row r="255" spans="2:30" ht="12" customHeight="1" outlineLevel="6">
      <c r="B255" s="70" t="s">
        <v>295</v>
      </c>
      <c r="C255" s="70"/>
      <c r="D255" s="70"/>
      <c r="E255" s="70"/>
      <c r="F255" s="70"/>
      <c r="G255" s="70"/>
    </row>
    <row r="256" spans="2:30" ht="12" customHeight="1" outlineLevel="7">
      <c r="B256" s="70" t="s">
        <v>296</v>
      </c>
      <c r="C256" s="70"/>
      <c r="D256" s="70"/>
      <c r="E256" s="70"/>
      <c r="F256" s="70"/>
      <c r="G256" s="70"/>
    </row>
    <row r="257" spans="2:30" s="1" customFormat="1" ht="96.3" customHeight="1" outlineLevel="7">
      <c r="B257" s="20">
        <v>146</v>
      </c>
      <c r="C257" s="21" t="s">
        <v>706</v>
      </c>
      <c r="D257" s="72" t="s">
        <v>707</v>
      </c>
      <c r="E257" s="72"/>
      <c r="F257" s="72"/>
      <c r="G257" s="72"/>
      <c r="H257" s="22" t="s">
        <v>708</v>
      </c>
      <c r="I257" s="23" t="s">
        <v>36</v>
      </c>
      <c r="J257" s="22"/>
      <c r="K257" s="20">
        <v>1</v>
      </c>
      <c r="L257" s="24">
        <v>819.12</v>
      </c>
      <c r="M257" s="11"/>
      <c r="N257" s="22">
        <f t="shared" ref="N257:N263" si="9">L257*M257</f>
        <v>0</v>
      </c>
      <c r="O257" s="25">
        <f>0.092*M257</f>
        <v>0</v>
      </c>
      <c r="P257" s="26">
        <f>0.00106*M257</f>
        <v>0</v>
      </c>
      <c r="Q257" s="30"/>
      <c r="R257" s="22" t="s">
        <v>709</v>
      </c>
      <c r="S257" s="22"/>
      <c r="T257" s="21" t="str">
        <f>HYPERLINK("https://miland.ru/api/getInfo/image/f3abe8ff-03ae-11ef-a25d-00155d82e908")</f>
        <v>https://miland.ru/api/getInfo/image/f3abe8ff-03ae-11ef-a25d-00155d82e908</v>
      </c>
      <c r="U257" s="21"/>
      <c r="V257" s="21" t="s">
        <v>710</v>
      </c>
      <c r="W257" s="21" t="s">
        <v>82</v>
      </c>
      <c r="X257" s="21"/>
      <c r="Y257" s="21" t="s">
        <v>41</v>
      </c>
      <c r="Z257" s="21"/>
      <c r="AA257" s="21" t="str">
        <f>HYPERLINK("https://miland.ru/api/getInfo/item/f3abe8ff-03ae-11ef-a25d-00155d82e908")</f>
        <v>https://miland.ru/api/getInfo/item/f3abe8ff-03ae-11ef-a25d-00155d82e908</v>
      </c>
      <c r="AB257" s="21" t="s">
        <v>50</v>
      </c>
      <c r="AC257" s="21"/>
      <c r="AD257" s="21"/>
    </row>
    <row r="258" spans="2:30" s="1" customFormat="1" ht="96.3" customHeight="1" outlineLevel="7">
      <c r="B258" s="20">
        <v>147</v>
      </c>
      <c r="C258" s="21" t="s">
        <v>711</v>
      </c>
      <c r="D258" s="72" t="s">
        <v>712</v>
      </c>
      <c r="E258" s="72"/>
      <c r="F258" s="72"/>
      <c r="G258" s="72"/>
      <c r="H258" s="22" t="s">
        <v>713</v>
      </c>
      <c r="I258" s="23" t="s">
        <v>36</v>
      </c>
      <c r="J258" s="22"/>
      <c r="K258" s="20">
        <v>5</v>
      </c>
      <c r="L258" s="24">
        <v>114.78</v>
      </c>
      <c r="M258" s="11"/>
      <c r="N258" s="22">
        <f t="shared" si="9"/>
        <v>0</v>
      </c>
      <c r="O258" s="25">
        <f>0.011*M258</f>
        <v>0</v>
      </c>
      <c r="P258" s="26">
        <f>0.00003*M258</f>
        <v>0</v>
      </c>
      <c r="Q258" s="30"/>
      <c r="R258" s="22" t="s">
        <v>714</v>
      </c>
      <c r="S258" s="22"/>
      <c r="T258" s="21" t="str">
        <f>HYPERLINK("https://miland.ru/api/getInfo/image/e3d1d237-03ae-11ef-a25d-00155d82e908")</f>
        <v>https://miland.ru/api/getInfo/image/e3d1d237-03ae-11ef-a25d-00155d82e908</v>
      </c>
      <c r="U258" s="21"/>
      <c r="V258" s="21" t="s">
        <v>710</v>
      </c>
      <c r="W258" s="21" t="s">
        <v>82</v>
      </c>
      <c r="X258" s="21"/>
      <c r="Y258" s="21" t="s">
        <v>41</v>
      </c>
      <c r="Z258" s="21"/>
      <c r="AA258" s="21" t="str">
        <f>HYPERLINK("https://miland.ru/api/getInfo/item/e3d1d237-03ae-11ef-a25d-00155d82e908")</f>
        <v>https://miland.ru/api/getInfo/item/e3d1d237-03ae-11ef-a25d-00155d82e908</v>
      </c>
      <c r="AB258" s="21" t="s">
        <v>50</v>
      </c>
      <c r="AC258" s="21"/>
      <c r="AD258" s="21"/>
    </row>
    <row r="259" spans="2:30" s="1" customFormat="1" ht="96.3" customHeight="1" outlineLevel="7">
      <c r="B259" s="20">
        <v>148</v>
      </c>
      <c r="C259" s="21" t="s">
        <v>715</v>
      </c>
      <c r="D259" s="72" t="s">
        <v>716</v>
      </c>
      <c r="E259" s="72"/>
      <c r="F259" s="72"/>
      <c r="G259" s="72"/>
      <c r="H259" s="22" t="s">
        <v>717</v>
      </c>
      <c r="I259" s="23" t="s">
        <v>36</v>
      </c>
      <c r="J259" s="22"/>
      <c r="K259" s="20">
        <v>5</v>
      </c>
      <c r="L259" s="24">
        <v>114.78</v>
      </c>
      <c r="M259" s="11"/>
      <c r="N259" s="22">
        <f t="shared" si="9"/>
        <v>0</v>
      </c>
      <c r="O259" s="28">
        <f>0.01*M259</f>
        <v>0</v>
      </c>
      <c r="P259" s="26">
        <f>0.00006*M259</f>
        <v>0</v>
      </c>
      <c r="Q259" s="30"/>
      <c r="R259" s="22" t="s">
        <v>718</v>
      </c>
      <c r="S259" s="22"/>
      <c r="T259" s="21" t="str">
        <f>HYPERLINK("https://miland.ru/api/getInfo/image/aa5d9719-03ae-11ef-a25d-00155d82e908")</f>
        <v>https://miland.ru/api/getInfo/image/aa5d9719-03ae-11ef-a25d-00155d82e908</v>
      </c>
      <c r="U259" s="21"/>
      <c r="V259" s="21" t="s">
        <v>710</v>
      </c>
      <c r="W259" s="21" t="s">
        <v>82</v>
      </c>
      <c r="X259" s="21"/>
      <c r="Y259" s="21" t="s">
        <v>41</v>
      </c>
      <c r="Z259" s="21"/>
      <c r="AA259" s="21" t="str">
        <f>HYPERLINK("https://miland.ru/api/getInfo/item/aa5d9719-03ae-11ef-a25d-00155d82e908")</f>
        <v>https://miland.ru/api/getInfo/item/aa5d9719-03ae-11ef-a25d-00155d82e908</v>
      </c>
      <c r="AB259" s="21" t="s">
        <v>50</v>
      </c>
      <c r="AC259" s="21"/>
      <c r="AD259" s="21"/>
    </row>
    <row r="260" spans="2:30" s="1" customFormat="1" ht="96.3" customHeight="1" outlineLevel="7">
      <c r="B260" s="20">
        <v>149</v>
      </c>
      <c r="C260" s="21" t="s">
        <v>719</v>
      </c>
      <c r="D260" s="72" t="s">
        <v>720</v>
      </c>
      <c r="E260" s="72"/>
      <c r="F260" s="72"/>
      <c r="G260" s="72"/>
      <c r="H260" s="22" t="s">
        <v>721</v>
      </c>
      <c r="I260" s="23" t="s">
        <v>36</v>
      </c>
      <c r="J260" s="22"/>
      <c r="K260" s="20">
        <v>5</v>
      </c>
      <c r="L260" s="24">
        <v>114.78</v>
      </c>
      <c r="M260" s="11"/>
      <c r="N260" s="22">
        <f t="shared" si="9"/>
        <v>0</v>
      </c>
      <c r="O260" s="25">
        <f>0.018*M260</f>
        <v>0</v>
      </c>
      <c r="P260" s="26">
        <f>0.00012*M260</f>
        <v>0</v>
      </c>
      <c r="Q260" s="30"/>
      <c r="R260" s="22" t="s">
        <v>722</v>
      </c>
      <c r="S260" s="22"/>
      <c r="T260" s="21" t="str">
        <f>HYPERLINK("https://miland.ru/api/getInfo/image/bfaf0fa4-03ae-11ef-a25d-00155d82e908")</f>
        <v>https://miland.ru/api/getInfo/image/bfaf0fa4-03ae-11ef-a25d-00155d82e908</v>
      </c>
      <c r="U260" s="21"/>
      <c r="V260" s="21" t="s">
        <v>710</v>
      </c>
      <c r="W260" s="21" t="s">
        <v>82</v>
      </c>
      <c r="X260" s="21"/>
      <c r="Y260" s="21" t="s">
        <v>41</v>
      </c>
      <c r="Z260" s="21"/>
      <c r="AA260" s="21" t="str">
        <f>HYPERLINK("https://miland.ru/api/getInfo/item/bfaf0fa4-03ae-11ef-a25d-00155d82e908")</f>
        <v>https://miland.ru/api/getInfo/item/bfaf0fa4-03ae-11ef-a25d-00155d82e908</v>
      </c>
      <c r="AB260" s="21" t="s">
        <v>50</v>
      </c>
      <c r="AC260" s="21"/>
      <c r="AD260" s="21"/>
    </row>
    <row r="261" spans="2:30" s="1" customFormat="1" ht="96.3" customHeight="1" outlineLevel="7">
      <c r="B261" s="20">
        <v>150</v>
      </c>
      <c r="C261" s="21" t="s">
        <v>723</v>
      </c>
      <c r="D261" s="72" t="s">
        <v>724</v>
      </c>
      <c r="E261" s="72"/>
      <c r="F261" s="72"/>
      <c r="G261" s="72"/>
      <c r="H261" s="22" t="s">
        <v>725</v>
      </c>
      <c r="I261" s="27">
        <v>192</v>
      </c>
      <c r="J261" s="22"/>
      <c r="K261" s="20">
        <v>5</v>
      </c>
      <c r="L261" s="24">
        <v>114.78</v>
      </c>
      <c r="M261" s="11"/>
      <c r="N261" s="22">
        <f t="shared" si="9"/>
        <v>0</v>
      </c>
      <c r="O261" s="28">
        <f>0.01*M261</f>
        <v>0</v>
      </c>
      <c r="P261" s="26">
        <f>0.00006*M261</f>
        <v>0</v>
      </c>
      <c r="Q261" s="30"/>
      <c r="R261" s="22" t="s">
        <v>726</v>
      </c>
      <c r="S261" s="22"/>
      <c r="T261" s="21" t="str">
        <f>HYPERLINK("https://miland.ru/api/getInfo/image/9b89eae6-03ae-11ef-a25d-00155d82e908")</f>
        <v>https://miland.ru/api/getInfo/image/9b89eae6-03ae-11ef-a25d-00155d82e908</v>
      </c>
      <c r="U261" s="21"/>
      <c r="V261" s="21" t="s">
        <v>710</v>
      </c>
      <c r="W261" s="21" t="s">
        <v>82</v>
      </c>
      <c r="X261" s="21"/>
      <c r="Y261" s="21" t="s">
        <v>41</v>
      </c>
      <c r="Z261" s="21"/>
      <c r="AA261" s="21" t="str">
        <f>HYPERLINK("https://miland.ru/api/getInfo/item/9b89eae6-03ae-11ef-a25d-00155d82e908")</f>
        <v>https://miland.ru/api/getInfo/item/9b89eae6-03ae-11ef-a25d-00155d82e908</v>
      </c>
      <c r="AB261" s="21" t="s">
        <v>50</v>
      </c>
      <c r="AC261" s="21"/>
      <c r="AD261" s="21"/>
    </row>
    <row r="262" spans="2:30" s="1" customFormat="1" ht="96.3" customHeight="1" outlineLevel="7">
      <c r="B262" s="20">
        <v>151</v>
      </c>
      <c r="C262" s="21" t="s">
        <v>727</v>
      </c>
      <c r="D262" s="72" t="s">
        <v>728</v>
      </c>
      <c r="E262" s="72"/>
      <c r="F262" s="72"/>
      <c r="G262" s="72"/>
      <c r="H262" s="22" t="s">
        <v>729</v>
      </c>
      <c r="I262" s="27">
        <v>124</v>
      </c>
      <c r="J262" s="22"/>
      <c r="K262" s="20">
        <v>5</v>
      </c>
      <c r="L262" s="24">
        <v>114.78</v>
      </c>
      <c r="M262" s="11"/>
      <c r="N262" s="22">
        <f t="shared" si="9"/>
        <v>0</v>
      </c>
      <c r="O262" s="25">
        <f>0.018*M262</f>
        <v>0</v>
      </c>
      <c r="P262" s="26">
        <f>0.00012*M262</f>
        <v>0</v>
      </c>
      <c r="Q262" s="30"/>
      <c r="R262" s="22" t="s">
        <v>730</v>
      </c>
      <c r="S262" s="22"/>
      <c r="T262" s="21" t="str">
        <f>HYPERLINK("https://miland.ru/api/getInfo/image/d3f0bb7d-03ae-11ef-a25d-00155d82e908")</f>
        <v>https://miland.ru/api/getInfo/image/d3f0bb7d-03ae-11ef-a25d-00155d82e908</v>
      </c>
      <c r="U262" s="21"/>
      <c r="V262" s="21" t="s">
        <v>710</v>
      </c>
      <c r="W262" s="21" t="s">
        <v>82</v>
      </c>
      <c r="X262" s="21"/>
      <c r="Y262" s="21" t="s">
        <v>41</v>
      </c>
      <c r="Z262" s="21"/>
      <c r="AA262" s="21" t="str">
        <f>HYPERLINK("https://miland.ru/api/getInfo/item/d3f0bb7d-03ae-11ef-a25d-00155d82e908")</f>
        <v>https://miland.ru/api/getInfo/item/d3f0bb7d-03ae-11ef-a25d-00155d82e908</v>
      </c>
      <c r="AB262" s="21" t="s">
        <v>50</v>
      </c>
      <c r="AC262" s="21"/>
      <c r="AD262" s="21"/>
    </row>
    <row r="263" spans="2:30" s="1" customFormat="1" ht="96.3" customHeight="1" outlineLevel="7">
      <c r="B263" s="20">
        <v>152</v>
      </c>
      <c r="C263" s="21" t="s">
        <v>731</v>
      </c>
      <c r="D263" s="72" t="s">
        <v>732</v>
      </c>
      <c r="E263" s="72"/>
      <c r="F263" s="72"/>
      <c r="G263" s="72"/>
      <c r="H263" s="22" t="s">
        <v>733</v>
      </c>
      <c r="I263" s="23" t="s">
        <v>36</v>
      </c>
      <c r="J263" s="22"/>
      <c r="K263" s="20">
        <v>5</v>
      </c>
      <c r="L263" s="24">
        <v>114.78</v>
      </c>
      <c r="M263" s="11"/>
      <c r="N263" s="22">
        <f t="shared" si="9"/>
        <v>0</v>
      </c>
      <c r="O263" s="28">
        <f>0.01*M263</f>
        <v>0</v>
      </c>
      <c r="P263" s="26">
        <f>0.00006*M263</f>
        <v>0</v>
      </c>
      <c r="Q263" s="30"/>
      <c r="R263" s="22" t="s">
        <v>734</v>
      </c>
      <c r="S263" s="22"/>
      <c r="T263" s="21" t="str">
        <f>HYPERLINK("https://miland.ru/api/getInfo/image/3f91c7f8-03ae-11ef-a25d-00155d82e908")</f>
        <v>https://miland.ru/api/getInfo/image/3f91c7f8-03ae-11ef-a25d-00155d82e908</v>
      </c>
      <c r="U263" s="21"/>
      <c r="V263" s="21" t="s">
        <v>710</v>
      </c>
      <c r="W263" s="21" t="s">
        <v>82</v>
      </c>
      <c r="X263" s="21"/>
      <c r="Y263" s="21" t="s">
        <v>41</v>
      </c>
      <c r="Z263" s="21"/>
      <c r="AA263" s="21" t="str">
        <f>HYPERLINK("https://miland.ru/api/getInfo/item/3f91c7f8-03ae-11ef-a25d-00155d82e908")</f>
        <v>https://miland.ru/api/getInfo/item/3f91c7f8-03ae-11ef-a25d-00155d82e908</v>
      </c>
      <c r="AB263" s="21" t="s">
        <v>50</v>
      </c>
      <c r="AC263" s="21"/>
      <c r="AD263" s="21"/>
    </row>
    <row r="264" spans="2:30" ht="12" customHeight="1" outlineLevel="7">
      <c r="B264" s="70" t="s">
        <v>361</v>
      </c>
      <c r="C264" s="70"/>
      <c r="D264" s="70"/>
      <c r="E264" s="70"/>
      <c r="F264" s="70"/>
      <c r="G264" s="70"/>
    </row>
    <row r="265" spans="2:30" s="1" customFormat="1" ht="96.3" customHeight="1" outlineLevel="7">
      <c r="B265" s="20">
        <v>153</v>
      </c>
      <c r="C265" s="21" t="s">
        <v>735</v>
      </c>
      <c r="D265" s="72" t="s">
        <v>736</v>
      </c>
      <c r="E265" s="72"/>
      <c r="F265" s="72"/>
      <c r="G265" s="72"/>
      <c r="H265" s="22" t="s">
        <v>737</v>
      </c>
      <c r="I265" s="23" t="s">
        <v>36</v>
      </c>
      <c r="J265" s="22"/>
      <c r="K265" s="20">
        <v>1</v>
      </c>
      <c r="L265" s="24">
        <v>451.72</v>
      </c>
      <c r="M265" s="11"/>
      <c r="N265" s="22">
        <f t="shared" ref="N265:N270" si="10">L265*M265</f>
        <v>0</v>
      </c>
      <c r="O265" s="25">
        <f>0.115*M265</f>
        <v>0</v>
      </c>
      <c r="P265" s="26">
        <f>0.00061*M265</f>
        <v>0</v>
      </c>
      <c r="Q265" s="30"/>
      <c r="R265" s="22" t="s">
        <v>738</v>
      </c>
      <c r="S265" s="22"/>
      <c r="T265" s="21" t="str">
        <f>HYPERLINK("https://miland.ru/api/getInfo/image/d8d1a7a5-f8d5-11ee-a25d-00155d82e908")</f>
        <v>https://miland.ru/api/getInfo/image/d8d1a7a5-f8d5-11ee-a25d-00155d82e908</v>
      </c>
      <c r="U265" s="21"/>
      <c r="V265" s="21"/>
      <c r="W265" s="21" t="s">
        <v>82</v>
      </c>
      <c r="X265" s="21"/>
      <c r="Y265" s="21" t="s">
        <v>41</v>
      </c>
      <c r="Z265" s="21"/>
      <c r="AA265" s="21" t="str">
        <f>HYPERLINK("https://miland.ru/api/getInfo/item/d8d1a7a5-f8d5-11ee-a25d-00155d82e908")</f>
        <v>https://miland.ru/api/getInfo/item/d8d1a7a5-f8d5-11ee-a25d-00155d82e908</v>
      </c>
      <c r="AB265" s="21" t="s">
        <v>42</v>
      </c>
      <c r="AC265" s="21" t="s">
        <v>739</v>
      </c>
      <c r="AD265" s="21"/>
    </row>
    <row r="266" spans="2:30" s="1" customFormat="1" ht="96.3" customHeight="1" outlineLevel="7">
      <c r="B266" s="20">
        <v>154</v>
      </c>
      <c r="C266" s="21" t="s">
        <v>740</v>
      </c>
      <c r="D266" s="72" t="s">
        <v>741</v>
      </c>
      <c r="E266" s="72"/>
      <c r="F266" s="72"/>
      <c r="G266" s="72"/>
      <c r="H266" s="22" t="s">
        <v>742</v>
      </c>
      <c r="I266" s="23" t="s">
        <v>36</v>
      </c>
      <c r="J266" s="22"/>
      <c r="K266" s="20">
        <v>1</v>
      </c>
      <c r="L266" s="24">
        <v>451.72</v>
      </c>
      <c r="M266" s="11"/>
      <c r="N266" s="22">
        <f t="shared" si="10"/>
        <v>0</v>
      </c>
      <c r="O266" s="25">
        <f>0.135*M266</f>
        <v>0</v>
      </c>
      <c r="P266" s="26">
        <f>0.00058*M266</f>
        <v>0</v>
      </c>
      <c r="Q266" s="30"/>
      <c r="R266" s="22" t="s">
        <v>743</v>
      </c>
      <c r="S266" s="22"/>
      <c r="T266" s="21" t="str">
        <f>HYPERLINK("https://miland.ru/api/getInfo/image/cf95f79c-edf5-11ef-a274-00155d82e908")</f>
        <v>https://miland.ru/api/getInfo/image/cf95f79c-edf5-11ef-a274-00155d82e908</v>
      </c>
      <c r="U266" s="21"/>
      <c r="V266" s="21"/>
      <c r="W266" s="21" t="s">
        <v>82</v>
      </c>
      <c r="X266" s="21"/>
      <c r="Y266" s="21" t="s">
        <v>41</v>
      </c>
      <c r="Z266" s="21"/>
      <c r="AA266" s="21" t="str">
        <f>HYPERLINK("https://miland.ru/api/getInfo/item/cf95f79c-edf5-11ef-a274-00155d82e908")</f>
        <v>https://miland.ru/api/getInfo/item/cf95f79c-edf5-11ef-a274-00155d82e908</v>
      </c>
      <c r="AB266" s="21" t="s">
        <v>42</v>
      </c>
      <c r="AC266" s="21"/>
      <c r="AD266" s="21"/>
    </row>
    <row r="267" spans="2:30" s="1" customFormat="1" ht="96.3" customHeight="1" outlineLevel="7">
      <c r="B267" s="20">
        <v>155</v>
      </c>
      <c r="C267" s="21" t="s">
        <v>744</v>
      </c>
      <c r="D267" s="72" t="s">
        <v>745</v>
      </c>
      <c r="E267" s="72"/>
      <c r="F267" s="72"/>
      <c r="G267" s="72"/>
      <c r="H267" s="22" t="s">
        <v>746</v>
      </c>
      <c r="I267" s="23" t="s">
        <v>36</v>
      </c>
      <c r="J267" s="22"/>
      <c r="K267" s="20">
        <v>1</v>
      </c>
      <c r="L267" s="24">
        <v>451.72</v>
      </c>
      <c r="M267" s="11"/>
      <c r="N267" s="22">
        <f t="shared" si="10"/>
        <v>0</v>
      </c>
      <c r="O267" s="25">
        <f>0.114*M267</f>
        <v>0</v>
      </c>
      <c r="P267" s="26">
        <f>0.00058*M267</f>
        <v>0</v>
      </c>
      <c r="Q267" s="30"/>
      <c r="R267" s="22" t="s">
        <v>747</v>
      </c>
      <c r="S267" s="22"/>
      <c r="T267" s="21" t="str">
        <f>HYPERLINK("https://miland.ru/api/getInfo/image/36daee75-f8d6-11ee-a25d-00155d82e908")</f>
        <v>https://miland.ru/api/getInfo/image/36daee75-f8d6-11ee-a25d-00155d82e908</v>
      </c>
      <c r="U267" s="21"/>
      <c r="V267" s="21"/>
      <c r="W267" s="21" t="s">
        <v>82</v>
      </c>
      <c r="X267" s="21"/>
      <c r="Y267" s="21" t="s">
        <v>41</v>
      </c>
      <c r="Z267" s="21"/>
      <c r="AA267" s="21" t="str">
        <f>HYPERLINK("https://miland.ru/api/getInfo/item/36daee75-f8d6-11ee-a25d-00155d82e908")</f>
        <v>https://miland.ru/api/getInfo/item/36daee75-f8d6-11ee-a25d-00155d82e908</v>
      </c>
      <c r="AB267" s="21" t="s">
        <v>42</v>
      </c>
      <c r="AC267" s="21" t="s">
        <v>739</v>
      </c>
      <c r="AD267" s="21"/>
    </row>
    <row r="268" spans="2:30" s="1" customFormat="1" ht="96.3" customHeight="1" outlineLevel="7">
      <c r="B268" s="20">
        <v>156</v>
      </c>
      <c r="C268" s="21" t="s">
        <v>748</v>
      </c>
      <c r="D268" s="72" t="s">
        <v>749</v>
      </c>
      <c r="E268" s="72"/>
      <c r="F268" s="72"/>
      <c r="G268" s="72"/>
      <c r="H268" s="22" t="s">
        <v>750</v>
      </c>
      <c r="I268" s="23" t="s">
        <v>36</v>
      </c>
      <c r="J268" s="22"/>
      <c r="K268" s="20">
        <v>1</v>
      </c>
      <c r="L268" s="24">
        <v>451.72</v>
      </c>
      <c r="M268" s="11"/>
      <c r="N268" s="22">
        <f t="shared" si="10"/>
        <v>0</v>
      </c>
      <c r="O268" s="25">
        <f>0.136*M268</f>
        <v>0</v>
      </c>
      <c r="P268" s="26">
        <f>0.00222*M268</f>
        <v>0</v>
      </c>
      <c r="Q268" s="30"/>
      <c r="R268" s="22" t="s">
        <v>751</v>
      </c>
      <c r="S268" s="22"/>
      <c r="T268" s="21" t="str">
        <f>HYPERLINK("https://miland.ru/api/getInfo/image/99127d9c-edf6-11ef-a274-00155d82e908")</f>
        <v>https://miland.ru/api/getInfo/image/99127d9c-edf6-11ef-a274-00155d82e908</v>
      </c>
      <c r="U268" s="21"/>
      <c r="V268" s="21"/>
      <c r="W268" s="21" t="s">
        <v>82</v>
      </c>
      <c r="X268" s="21"/>
      <c r="Y268" s="21" t="s">
        <v>41</v>
      </c>
      <c r="Z268" s="21"/>
      <c r="AA268" s="21" t="str">
        <f>HYPERLINK("https://miland.ru/api/getInfo/item/99127d9c-edf6-11ef-a274-00155d82e908")</f>
        <v>https://miland.ru/api/getInfo/item/99127d9c-edf6-11ef-a274-00155d82e908</v>
      </c>
      <c r="AB268" s="21" t="s">
        <v>42</v>
      </c>
      <c r="AC268" s="21"/>
      <c r="AD268" s="21"/>
    </row>
    <row r="269" spans="2:30" s="1" customFormat="1" ht="96.3" customHeight="1" outlineLevel="7">
      <c r="B269" s="20">
        <v>157</v>
      </c>
      <c r="C269" s="21" t="s">
        <v>752</v>
      </c>
      <c r="D269" s="72" t="s">
        <v>753</v>
      </c>
      <c r="E269" s="72"/>
      <c r="F269" s="72"/>
      <c r="G269" s="72"/>
      <c r="H269" s="22" t="s">
        <v>754</v>
      </c>
      <c r="I269" s="23" t="s">
        <v>36</v>
      </c>
      <c r="J269" s="22"/>
      <c r="K269" s="20">
        <v>1</v>
      </c>
      <c r="L269" s="24">
        <v>451.72</v>
      </c>
      <c r="M269" s="11"/>
      <c r="N269" s="22">
        <f t="shared" si="10"/>
        <v>0</v>
      </c>
      <c r="O269" s="25">
        <f>0.116*M269</f>
        <v>0</v>
      </c>
      <c r="P269" s="29">
        <f>0.0005*M269</f>
        <v>0</v>
      </c>
      <c r="Q269" s="30"/>
      <c r="R269" s="22" t="s">
        <v>755</v>
      </c>
      <c r="S269" s="22"/>
      <c r="T269" s="21" t="str">
        <f>HYPERLINK("https://miland.ru/api/getInfo/image/52a56321-f8d6-11ee-a25d-00155d82e908")</f>
        <v>https://miland.ru/api/getInfo/image/52a56321-f8d6-11ee-a25d-00155d82e908</v>
      </c>
      <c r="U269" s="21"/>
      <c r="V269" s="21"/>
      <c r="W269" s="21" t="s">
        <v>82</v>
      </c>
      <c r="X269" s="21"/>
      <c r="Y269" s="21" t="s">
        <v>41</v>
      </c>
      <c r="Z269" s="21"/>
      <c r="AA269" s="21" t="str">
        <f>HYPERLINK("https://miland.ru/api/getInfo/item/52a56321-f8d6-11ee-a25d-00155d82e908")</f>
        <v>https://miland.ru/api/getInfo/item/52a56321-f8d6-11ee-a25d-00155d82e908</v>
      </c>
      <c r="AB269" s="21" t="s">
        <v>42</v>
      </c>
      <c r="AC269" s="21" t="s">
        <v>739</v>
      </c>
      <c r="AD269" s="21"/>
    </row>
    <row r="270" spans="2:30" s="1" customFormat="1" ht="96.3" customHeight="1" outlineLevel="7">
      <c r="B270" s="20">
        <v>158</v>
      </c>
      <c r="C270" s="21" t="s">
        <v>756</v>
      </c>
      <c r="D270" s="72" t="s">
        <v>757</v>
      </c>
      <c r="E270" s="72"/>
      <c r="F270" s="72"/>
      <c r="G270" s="72"/>
      <c r="H270" s="22" t="s">
        <v>758</v>
      </c>
      <c r="I270" s="23" t="s">
        <v>36</v>
      </c>
      <c r="J270" s="22"/>
      <c r="K270" s="20">
        <v>1</v>
      </c>
      <c r="L270" s="24">
        <v>451.72</v>
      </c>
      <c r="M270" s="11"/>
      <c r="N270" s="22">
        <f t="shared" si="10"/>
        <v>0</v>
      </c>
      <c r="O270" s="25">
        <f>0.104*M270</f>
        <v>0</v>
      </c>
      <c r="P270" s="26">
        <f>0.00215*M270</f>
        <v>0</v>
      </c>
      <c r="Q270" s="30"/>
      <c r="R270" s="22" t="s">
        <v>759</v>
      </c>
      <c r="S270" s="22"/>
      <c r="T270" s="21" t="str">
        <f>HYPERLINK("https://miland.ru/api/getInfo/image/a599774c-f8d6-11ee-a25d-00155d82e908")</f>
        <v>https://miland.ru/api/getInfo/image/a599774c-f8d6-11ee-a25d-00155d82e908</v>
      </c>
      <c r="U270" s="21"/>
      <c r="V270" s="21"/>
      <c r="W270" s="21" t="s">
        <v>82</v>
      </c>
      <c r="X270" s="21"/>
      <c r="Y270" s="21" t="s">
        <v>41</v>
      </c>
      <c r="Z270" s="21"/>
      <c r="AA270" s="21" t="str">
        <f>HYPERLINK("https://miland.ru/api/getInfo/item/a599774c-f8d6-11ee-a25d-00155d82e908")</f>
        <v>https://miland.ru/api/getInfo/item/a599774c-f8d6-11ee-a25d-00155d82e908</v>
      </c>
      <c r="AB270" s="21" t="s">
        <v>42</v>
      </c>
      <c r="AC270" s="21" t="s">
        <v>739</v>
      </c>
      <c r="AD270" s="21"/>
    </row>
    <row r="271" spans="2:30" ht="12" customHeight="1" outlineLevel="6">
      <c r="B271" s="70" t="s">
        <v>760</v>
      </c>
      <c r="C271" s="70"/>
      <c r="D271" s="70"/>
      <c r="E271" s="70"/>
      <c r="F271" s="70"/>
      <c r="G271" s="70"/>
    </row>
    <row r="272" spans="2:30" ht="12" customHeight="1" outlineLevel="7">
      <c r="B272" s="70" t="s">
        <v>761</v>
      </c>
      <c r="C272" s="70"/>
      <c r="D272" s="70"/>
      <c r="E272" s="70"/>
      <c r="F272" s="70"/>
      <c r="G272" s="70"/>
    </row>
    <row r="273" spans="2:30" s="1" customFormat="1" ht="96.3" customHeight="1" outlineLevel="7">
      <c r="B273" s="20">
        <v>159</v>
      </c>
      <c r="C273" s="21" t="s">
        <v>762</v>
      </c>
      <c r="D273" s="72" t="s">
        <v>763</v>
      </c>
      <c r="E273" s="72"/>
      <c r="F273" s="72"/>
      <c r="G273" s="72"/>
      <c r="H273" s="22" t="s">
        <v>764</v>
      </c>
      <c r="I273" s="27">
        <v>128</v>
      </c>
      <c r="J273" s="22"/>
      <c r="K273" s="20">
        <v>3</v>
      </c>
      <c r="L273" s="24">
        <v>264.79000000000002</v>
      </c>
      <c r="M273" s="11"/>
      <c r="N273" s="22">
        <f>L273*M273</f>
        <v>0</v>
      </c>
      <c r="O273" s="25">
        <f>0.035*M273</f>
        <v>0</v>
      </c>
      <c r="P273" s="29">
        <f>0.0008*M273</f>
        <v>0</v>
      </c>
      <c r="Q273" s="30"/>
      <c r="R273" s="22" t="s">
        <v>765</v>
      </c>
      <c r="S273" s="22" t="s">
        <v>435</v>
      </c>
      <c r="T273" s="21" t="str">
        <f>HYPERLINK("https://miland.ru/api/getInfo/image/92f9165a-009f-11ef-a25d-00155d82e908")</f>
        <v>https://miland.ru/api/getInfo/image/92f9165a-009f-11ef-a25d-00155d82e908</v>
      </c>
      <c r="U273" s="21"/>
      <c r="V273" s="21" t="s">
        <v>710</v>
      </c>
      <c r="W273" s="21" t="s">
        <v>546</v>
      </c>
      <c r="X273" s="21"/>
      <c r="Y273" s="21" t="s">
        <v>41</v>
      </c>
      <c r="Z273" s="21"/>
      <c r="AA273" s="21" t="str">
        <f>HYPERLINK("https://miland.ru/api/getInfo/item/92f9165a-009f-11ef-a25d-00155d82e908")</f>
        <v>https://miland.ru/api/getInfo/item/92f9165a-009f-11ef-a25d-00155d82e908</v>
      </c>
      <c r="AB273" s="21" t="s">
        <v>42</v>
      </c>
      <c r="AC273" s="21" t="s">
        <v>766</v>
      </c>
      <c r="AD273" s="21"/>
    </row>
    <row r="274" spans="2:30" s="1" customFormat="1" ht="96.3" customHeight="1" outlineLevel="7">
      <c r="B274" s="20">
        <v>160</v>
      </c>
      <c r="C274" s="21" t="s">
        <v>767</v>
      </c>
      <c r="D274" s="72" t="s">
        <v>768</v>
      </c>
      <c r="E274" s="72"/>
      <c r="F274" s="72"/>
      <c r="G274" s="72"/>
      <c r="H274" s="22" t="s">
        <v>769</v>
      </c>
      <c r="I274" s="27">
        <v>69</v>
      </c>
      <c r="J274" s="22"/>
      <c r="K274" s="20">
        <v>3</v>
      </c>
      <c r="L274" s="24">
        <v>264.79000000000002</v>
      </c>
      <c r="M274" s="11"/>
      <c r="N274" s="22">
        <f>L274*M274</f>
        <v>0</v>
      </c>
      <c r="O274" s="25">
        <f>0.037*M274</f>
        <v>0</v>
      </c>
      <c r="P274" s="26">
        <f>0.00059*M274</f>
        <v>0</v>
      </c>
      <c r="Q274" s="30"/>
      <c r="R274" s="22" t="s">
        <v>770</v>
      </c>
      <c r="S274" s="22" t="s">
        <v>435</v>
      </c>
      <c r="T274" s="21" t="str">
        <f>HYPERLINK("https://miland.ru/api/getInfo/image/a419a1cc-009f-11ef-a25d-00155d82e908")</f>
        <v>https://miland.ru/api/getInfo/image/a419a1cc-009f-11ef-a25d-00155d82e908</v>
      </c>
      <c r="U274" s="21"/>
      <c r="V274" s="21" t="s">
        <v>710</v>
      </c>
      <c r="W274" s="21" t="s">
        <v>546</v>
      </c>
      <c r="X274" s="21"/>
      <c r="Y274" s="21" t="s">
        <v>41</v>
      </c>
      <c r="Z274" s="21"/>
      <c r="AA274" s="21" t="str">
        <f>HYPERLINK("https://miland.ru/api/getInfo/item/a419a1cc-009f-11ef-a25d-00155d82e908")</f>
        <v>https://miland.ru/api/getInfo/item/a419a1cc-009f-11ef-a25d-00155d82e908</v>
      </c>
      <c r="AB274" s="21" t="s">
        <v>42</v>
      </c>
      <c r="AC274" s="21" t="s">
        <v>766</v>
      </c>
      <c r="AD274" s="21"/>
    </row>
    <row r="275" spans="2:30" s="1" customFormat="1" ht="96.3" customHeight="1" outlineLevel="7">
      <c r="B275" s="20">
        <v>161</v>
      </c>
      <c r="C275" s="21" t="s">
        <v>771</v>
      </c>
      <c r="D275" s="72" t="s">
        <v>772</v>
      </c>
      <c r="E275" s="72"/>
      <c r="F275" s="72"/>
      <c r="G275" s="72"/>
      <c r="H275" s="22" t="s">
        <v>773</v>
      </c>
      <c r="I275" s="27">
        <v>211</v>
      </c>
      <c r="J275" s="22"/>
      <c r="K275" s="20">
        <v>3</v>
      </c>
      <c r="L275" s="24">
        <v>264.79000000000002</v>
      </c>
      <c r="M275" s="11"/>
      <c r="N275" s="22">
        <f>L275*M275</f>
        <v>0</v>
      </c>
      <c r="O275" s="25">
        <f>0.034*M275</f>
        <v>0</v>
      </c>
      <c r="P275" s="26">
        <f>0.00057*M275</f>
        <v>0</v>
      </c>
      <c r="Q275" s="30"/>
      <c r="R275" s="22" t="s">
        <v>774</v>
      </c>
      <c r="S275" s="22" t="s">
        <v>435</v>
      </c>
      <c r="T275" s="21" t="str">
        <f>HYPERLINK("https://miland.ru/api/getInfo/image/6133ead2-009f-11ef-a25d-00155d82e908")</f>
        <v>https://miland.ru/api/getInfo/image/6133ead2-009f-11ef-a25d-00155d82e908</v>
      </c>
      <c r="U275" s="21"/>
      <c r="V275" s="21" t="s">
        <v>710</v>
      </c>
      <c r="W275" s="21" t="s">
        <v>546</v>
      </c>
      <c r="X275" s="21"/>
      <c r="Y275" s="21" t="s">
        <v>41</v>
      </c>
      <c r="Z275" s="21"/>
      <c r="AA275" s="21" t="str">
        <f>HYPERLINK("https://miland.ru/api/getInfo/item/6133ead2-009f-11ef-a25d-00155d82e908")</f>
        <v>https://miland.ru/api/getInfo/item/6133ead2-009f-11ef-a25d-00155d82e908</v>
      </c>
      <c r="AB275" s="21" t="s">
        <v>42</v>
      </c>
      <c r="AC275" s="21" t="s">
        <v>766</v>
      </c>
      <c r="AD275" s="21"/>
    </row>
    <row r="276" spans="2:30" s="1" customFormat="1" ht="96.3" customHeight="1" outlineLevel="7">
      <c r="B276" s="20">
        <v>162</v>
      </c>
      <c r="C276" s="21" t="s">
        <v>775</v>
      </c>
      <c r="D276" s="72" t="s">
        <v>776</v>
      </c>
      <c r="E276" s="72"/>
      <c r="F276" s="72"/>
      <c r="G276" s="72"/>
      <c r="H276" s="22" t="s">
        <v>777</v>
      </c>
      <c r="I276" s="27">
        <v>339</v>
      </c>
      <c r="J276" s="22"/>
      <c r="K276" s="20">
        <v>3</v>
      </c>
      <c r="L276" s="24">
        <v>264.79000000000002</v>
      </c>
      <c r="M276" s="11"/>
      <c r="N276" s="22">
        <f>L276*M276</f>
        <v>0</v>
      </c>
      <c r="O276" s="25">
        <f>0.039*M276</f>
        <v>0</v>
      </c>
      <c r="P276" s="26">
        <f>0.00079*M276</f>
        <v>0</v>
      </c>
      <c r="Q276" s="30"/>
      <c r="R276" s="22" t="s">
        <v>778</v>
      </c>
      <c r="S276" s="22" t="s">
        <v>435</v>
      </c>
      <c r="T276" s="21" t="str">
        <f>HYPERLINK("https://miland.ru/api/getInfo/image/774b3dfc-009f-11ef-a25d-00155d82e908")</f>
        <v>https://miland.ru/api/getInfo/image/774b3dfc-009f-11ef-a25d-00155d82e908</v>
      </c>
      <c r="U276" s="21"/>
      <c r="V276" s="21" t="s">
        <v>710</v>
      </c>
      <c r="W276" s="21" t="s">
        <v>546</v>
      </c>
      <c r="X276" s="21"/>
      <c r="Y276" s="21" t="s">
        <v>41</v>
      </c>
      <c r="Z276" s="21"/>
      <c r="AA276" s="21" t="str">
        <f>HYPERLINK("https://miland.ru/api/getInfo/item/774b3dfc-009f-11ef-a25d-00155d82e908")</f>
        <v>https://miland.ru/api/getInfo/item/774b3dfc-009f-11ef-a25d-00155d82e908</v>
      </c>
      <c r="AB276" s="21" t="s">
        <v>42</v>
      </c>
      <c r="AC276" s="21" t="s">
        <v>766</v>
      </c>
      <c r="AD276" s="21"/>
    </row>
    <row r="277" spans="2:30" s="1" customFormat="1" ht="96.3" customHeight="1" outlineLevel="7">
      <c r="B277" s="20">
        <v>163</v>
      </c>
      <c r="C277" s="21" t="s">
        <v>779</v>
      </c>
      <c r="D277" s="72" t="s">
        <v>780</v>
      </c>
      <c r="E277" s="72"/>
      <c r="F277" s="72"/>
      <c r="G277" s="72"/>
      <c r="H277" s="22" t="s">
        <v>781</v>
      </c>
      <c r="I277" s="27">
        <v>212</v>
      </c>
      <c r="J277" s="22"/>
      <c r="K277" s="20">
        <v>1</v>
      </c>
      <c r="L277" s="32">
        <v>1178.9000000000001</v>
      </c>
      <c r="M277" s="11"/>
      <c r="N277" s="22">
        <f>L277*M277</f>
        <v>0</v>
      </c>
      <c r="O277" s="28">
        <f>0.23*M277</f>
        <v>0</v>
      </c>
      <c r="P277" s="26">
        <f>0.00476*M277</f>
        <v>0</v>
      </c>
      <c r="Q277" s="30"/>
      <c r="R277" s="22" t="s">
        <v>782</v>
      </c>
      <c r="S277" s="22" t="s">
        <v>435</v>
      </c>
      <c r="T277" s="21" t="str">
        <f>HYPERLINK("https://miland.ru/api/getInfo/image/50490fda-95cc-11ef-a267-00155d82e908")</f>
        <v>https://miland.ru/api/getInfo/image/50490fda-95cc-11ef-a267-00155d82e908</v>
      </c>
      <c r="U277" s="21"/>
      <c r="V277" s="21" t="s">
        <v>710</v>
      </c>
      <c r="W277" s="21" t="s">
        <v>546</v>
      </c>
      <c r="X277" s="21"/>
      <c r="Y277" s="21" t="s">
        <v>41</v>
      </c>
      <c r="Z277" s="21"/>
      <c r="AA277" s="21" t="str">
        <f>HYPERLINK("https://miland.ru/api/getInfo/item/50490fda-95cc-11ef-a267-00155d82e908")</f>
        <v>https://miland.ru/api/getInfo/item/50490fda-95cc-11ef-a267-00155d82e908</v>
      </c>
      <c r="AB277" s="21" t="s">
        <v>42</v>
      </c>
      <c r="AC277" s="21"/>
      <c r="AD277" s="21"/>
    </row>
    <row r="278" spans="2:30" ht="12" customHeight="1" outlineLevel="7">
      <c r="B278" s="70" t="s">
        <v>783</v>
      </c>
      <c r="C278" s="70"/>
      <c r="D278" s="70"/>
      <c r="E278" s="70"/>
      <c r="F278" s="70"/>
      <c r="G278" s="70"/>
    </row>
    <row r="279" spans="2:30" s="1" customFormat="1" ht="96.3" customHeight="1" outlineLevel="7">
      <c r="B279" s="20">
        <v>164</v>
      </c>
      <c r="C279" s="21" t="s">
        <v>784</v>
      </c>
      <c r="D279" s="72" t="s">
        <v>785</v>
      </c>
      <c r="E279" s="72"/>
      <c r="F279" s="72"/>
      <c r="G279" s="72"/>
      <c r="H279" s="22" t="s">
        <v>786</v>
      </c>
      <c r="I279" s="27">
        <v>131</v>
      </c>
      <c r="J279" s="22"/>
      <c r="K279" s="20">
        <v>2</v>
      </c>
      <c r="L279" s="24">
        <v>317.74</v>
      </c>
      <c r="M279" s="11"/>
      <c r="N279" s="22">
        <f>L279*M279</f>
        <v>0</v>
      </c>
      <c r="O279" s="25">
        <f>0.057*M279</f>
        <v>0</v>
      </c>
      <c r="P279" s="26">
        <f>0.00113*M279</f>
        <v>0</v>
      </c>
      <c r="Q279" s="30"/>
      <c r="R279" s="22" t="s">
        <v>787</v>
      </c>
      <c r="S279" s="22" t="s">
        <v>435</v>
      </c>
      <c r="T279" s="21" t="str">
        <f>HYPERLINK("https://miland.ru/api/getInfo/image/46d17969-009f-11ef-a25d-00155d82e908")</f>
        <v>https://miland.ru/api/getInfo/image/46d17969-009f-11ef-a25d-00155d82e908</v>
      </c>
      <c r="U279" s="21"/>
      <c r="V279" s="21" t="s">
        <v>710</v>
      </c>
      <c r="W279" s="21" t="s">
        <v>546</v>
      </c>
      <c r="X279" s="21"/>
      <c r="Y279" s="21" t="s">
        <v>41</v>
      </c>
      <c r="Z279" s="21"/>
      <c r="AA279" s="21" t="str">
        <f>HYPERLINK("https://miland.ru/api/getInfo/item/46d17969-009f-11ef-a25d-00155d82e908")</f>
        <v>https://miland.ru/api/getInfo/item/46d17969-009f-11ef-a25d-00155d82e908</v>
      </c>
      <c r="AB279" s="21" t="s">
        <v>42</v>
      </c>
      <c r="AC279" s="21" t="s">
        <v>788</v>
      </c>
      <c r="AD279" s="21"/>
    </row>
    <row r="280" spans="2:30" s="1" customFormat="1" ht="96.3" customHeight="1" outlineLevel="7">
      <c r="B280" s="20">
        <v>165</v>
      </c>
      <c r="C280" s="21" t="s">
        <v>789</v>
      </c>
      <c r="D280" s="72" t="s">
        <v>790</v>
      </c>
      <c r="E280" s="72"/>
      <c r="F280" s="72"/>
      <c r="G280" s="72"/>
      <c r="H280" s="22" t="s">
        <v>791</v>
      </c>
      <c r="I280" s="27">
        <v>153</v>
      </c>
      <c r="J280" s="22"/>
      <c r="K280" s="20">
        <v>2</v>
      </c>
      <c r="L280" s="24">
        <v>317.74</v>
      </c>
      <c r="M280" s="11"/>
      <c r="N280" s="22">
        <f>L280*M280</f>
        <v>0</v>
      </c>
      <c r="O280" s="25">
        <f>0.058*M280</f>
        <v>0</v>
      </c>
      <c r="P280" s="26">
        <f>0.00109*M280</f>
        <v>0</v>
      </c>
      <c r="Q280" s="30"/>
      <c r="R280" s="22" t="s">
        <v>792</v>
      </c>
      <c r="S280" s="22" t="s">
        <v>435</v>
      </c>
      <c r="T280" s="21" t="str">
        <f>HYPERLINK("https://miland.ru/api/getInfo/image/2d0ec641-009f-11ef-a25d-00155d82e908")</f>
        <v>https://miland.ru/api/getInfo/image/2d0ec641-009f-11ef-a25d-00155d82e908</v>
      </c>
      <c r="U280" s="21"/>
      <c r="V280" s="21" t="s">
        <v>710</v>
      </c>
      <c r="W280" s="21" t="s">
        <v>546</v>
      </c>
      <c r="X280" s="21"/>
      <c r="Y280" s="21" t="s">
        <v>41</v>
      </c>
      <c r="Z280" s="21"/>
      <c r="AA280" s="21" t="str">
        <f>HYPERLINK("https://miland.ru/api/getInfo/item/2d0ec641-009f-11ef-a25d-00155d82e908")</f>
        <v>https://miland.ru/api/getInfo/item/2d0ec641-009f-11ef-a25d-00155d82e908</v>
      </c>
      <c r="AB280" s="21" t="s">
        <v>42</v>
      </c>
      <c r="AC280" s="21" t="s">
        <v>788</v>
      </c>
      <c r="AD280" s="21"/>
    </row>
    <row r="281" spans="2:30" s="1" customFormat="1" ht="96.3" customHeight="1" outlineLevel="7">
      <c r="B281" s="20">
        <v>166</v>
      </c>
      <c r="C281" s="21" t="s">
        <v>793</v>
      </c>
      <c r="D281" s="72" t="s">
        <v>794</v>
      </c>
      <c r="E281" s="72"/>
      <c r="F281" s="72"/>
      <c r="G281" s="72"/>
      <c r="H281" s="22" t="s">
        <v>795</v>
      </c>
      <c r="I281" s="27">
        <v>50</v>
      </c>
      <c r="J281" s="22"/>
      <c r="K281" s="20">
        <v>2</v>
      </c>
      <c r="L281" s="24">
        <v>317.74</v>
      </c>
      <c r="M281" s="11"/>
      <c r="N281" s="22">
        <f>L281*M281</f>
        <v>0</v>
      </c>
      <c r="O281" s="28">
        <f>0.06*M281</f>
        <v>0</v>
      </c>
      <c r="P281" s="26">
        <f>0.00108*M281</f>
        <v>0</v>
      </c>
      <c r="Q281" s="30"/>
      <c r="R281" s="22" t="s">
        <v>796</v>
      </c>
      <c r="S281" s="22" t="s">
        <v>435</v>
      </c>
      <c r="T281" s="21" t="str">
        <f>HYPERLINK("https://miland.ru/api/getInfo/image/dbf526db-009e-11ef-a25d-00155d82e908")</f>
        <v>https://miland.ru/api/getInfo/image/dbf526db-009e-11ef-a25d-00155d82e908</v>
      </c>
      <c r="U281" s="21"/>
      <c r="V281" s="21" t="s">
        <v>710</v>
      </c>
      <c r="W281" s="21" t="s">
        <v>546</v>
      </c>
      <c r="X281" s="21"/>
      <c r="Y281" s="21" t="s">
        <v>41</v>
      </c>
      <c r="Z281" s="21"/>
      <c r="AA281" s="21" t="str">
        <f>HYPERLINK("https://miland.ru/api/getInfo/item/dbf526db-009e-11ef-a25d-00155d82e908")</f>
        <v>https://miland.ru/api/getInfo/item/dbf526db-009e-11ef-a25d-00155d82e908</v>
      </c>
      <c r="AB281" s="21" t="s">
        <v>42</v>
      </c>
      <c r="AC281" s="21" t="s">
        <v>788</v>
      </c>
      <c r="AD281" s="21"/>
    </row>
    <row r="282" spans="2:30" s="1" customFormat="1" ht="96.3" customHeight="1" outlineLevel="7">
      <c r="B282" s="20">
        <v>167</v>
      </c>
      <c r="C282" s="21" t="s">
        <v>797</v>
      </c>
      <c r="D282" s="72" t="s">
        <v>798</v>
      </c>
      <c r="E282" s="72"/>
      <c r="F282" s="72"/>
      <c r="G282" s="72"/>
      <c r="H282" s="22" t="s">
        <v>799</v>
      </c>
      <c r="I282" s="27">
        <v>88</v>
      </c>
      <c r="J282" s="22"/>
      <c r="K282" s="20">
        <v>2</v>
      </c>
      <c r="L282" s="24">
        <v>317.74</v>
      </c>
      <c r="M282" s="11"/>
      <c r="N282" s="22">
        <f>L282*M282</f>
        <v>0</v>
      </c>
      <c r="O282" s="28">
        <f>0.06*M282</f>
        <v>0</v>
      </c>
      <c r="P282" s="26">
        <f>0.00104*M282</f>
        <v>0</v>
      </c>
      <c r="Q282" s="30"/>
      <c r="R282" s="22" t="s">
        <v>800</v>
      </c>
      <c r="S282" s="22" t="s">
        <v>435</v>
      </c>
      <c r="T282" s="21" t="str">
        <f>HYPERLINK("https://miland.ru/api/getInfo/image/19df51fb-009f-11ef-a25d-00155d82e908")</f>
        <v>https://miland.ru/api/getInfo/image/19df51fb-009f-11ef-a25d-00155d82e908</v>
      </c>
      <c r="U282" s="21"/>
      <c r="V282" s="21" t="s">
        <v>710</v>
      </c>
      <c r="W282" s="21" t="s">
        <v>546</v>
      </c>
      <c r="X282" s="21"/>
      <c r="Y282" s="21" t="s">
        <v>41</v>
      </c>
      <c r="Z282" s="21"/>
      <c r="AA282" s="21" t="str">
        <f>HYPERLINK("https://miland.ru/api/getInfo/item/19df51fb-009f-11ef-a25d-00155d82e908")</f>
        <v>https://miland.ru/api/getInfo/item/19df51fb-009f-11ef-a25d-00155d82e908</v>
      </c>
      <c r="AB282" s="21" t="s">
        <v>42</v>
      </c>
      <c r="AC282" s="21" t="s">
        <v>788</v>
      </c>
      <c r="AD282" s="21"/>
    </row>
    <row r="283" spans="2:30" s="1" customFormat="1" ht="96.3" customHeight="1" outlineLevel="7">
      <c r="B283" s="6">
        <v>168</v>
      </c>
      <c r="C283" s="7" t="s">
        <v>801</v>
      </c>
      <c r="D283" s="71" t="s">
        <v>802</v>
      </c>
      <c r="E283" s="71"/>
      <c r="F283" s="71"/>
      <c r="G283" s="71"/>
      <c r="H283" s="8" t="s">
        <v>803</v>
      </c>
      <c r="I283" s="14">
        <v>192</v>
      </c>
      <c r="J283" s="8"/>
      <c r="K283" s="6">
        <v>1</v>
      </c>
      <c r="L283" s="15">
        <v>1390.74</v>
      </c>
      <c r="M283" s="11"/>
      <c r="N283" s="8">
        <f>L283*M283</f>
        <v>0</v>
      </c>
      <c r="O283" s="12">
        <f>0.366*M283</f>
        <v>0</v>
      </c>
      <c r="P283" s="13">
        <f>0.00624*M283</f>
        <v>0</v>
      </c>
      <c r="Q283" s="17" t="s">
        <v>37</v>
      </c>
      <c r="R283" s="8" t="s">
        <v>804</v>
      </c>
      <c r="S283" s="8" t="s">
        <v>435</v>
      </c>
      <c r="T283" s="7" t="str">
        <f>HYPERLINK("https://miland.ru/api/getInfo/image/7df0732c-95cb-11ef-a267-00155d82e908")</f>
        <v>https://miland.ru/api/getInfo/image/7df0732c-95cb-11ef-a267-00155d82e908</v>
      </c>
      <c r="U283" s="7"/>
      <c r="V283" s="7" t="s">
        <v>710</v>
      </c>
      <c r="W283" s="7" t="s">
        <v>546</v>
      </c>
      <c r="X283" s="7"/>
      <c r="Y283" s="7" t="s">
        <v>41</v>
      </c>
      <c r="Z283" s="7"/>
      <c r="AA283" s="7" t="str">
        <f>HYPERLINK("https://miland.ru/api/getInfo/item/7df0732c-95cb-11ef-a267-00155d82e908")</f>
        <v>https://miland.ru/api/getInfo/item/7df0732c-95cb-11ef-a267-00155d82e908</v>
      </c>
      <c r="AB283" s="7" t="s">
        <v>42</v>
      </c>
      <c r="AC283" s="7"/>
      <c r="AD283" s="7"/>
    </row>
    <row r="284" spans="2:30" ht="12" customHeight="1" outlineLevel="2">
      <c r="B284" s="69" t="s">
        <v>805</v>
      </c>
      <c r="C284" s="69"/>
      <c r="D284" s="69"/>
      <c r="E284" s="69"/>
      <c r="F284" s="69"/>
      <c r="G284" s="69"/>
    </row>
    <row r="285" spans="2:30" ht="12" customHeight="1" outlineLevel="3">
      <c r="B285" s="70" t="s">
        <v>806</v>
      </c>
      <c r="C285" s="70"/>
      <c r="D285" s="70"/>
      <c r="E285" s="70"/>
      <c r="F285" s="70"/>
      <c r="G285" s="70"/>
    </row>
    <row r="286" spans="2:30" ht="12" customHeight="1" outlineLevel="4">
      <c r="B286" s="70" t="s">
        <v>807</v>
      </c>
      <c r="C286" s="70"/>
      <c r="D286" s="70"/>
      <c r="E286" s="70"/>
      <c r="F286" s="70"/>
      <c r="G286" s="70"/>
    </row>
    <row r="287" spans="2:30" ht="12" customHeight="1" outlineLevel="5">
      <c r="B287" s="70" t="s">
        <v>808</v>
      </c>
      <c r="C287" s="70"/>
      <c r="D287" s="70"/>
      <c r="E287" s="70"/>
      <c r="F287" s="70"/>
      <c r="G287" s="70"/>
    </row>
    <row r="288" spans="2:30" s="1" customFormat="1" ht="96.3" customHeight="1" outlineLevel="6">
      <c r="B288" s="20">
        <v>169</v>
      </c>
      <c r="C288" s="21" t="s">
        <v>809</v>
      </c>
      <c r="D288" s="72" t="s">
        <v>810</v>
      </c>
      <c r="E288" s="72"/>
      <c r="F288" s="72"/>
      <c r="G288" s="72"/>
      <c r="H288" s="22" t="s">
        <v>811</v>
      </c>
      <c r="I288" s="23" t="s">
        <v>36</v>
      </c>
      <c r="J288" s="22"/>
      <c r="K288" s="20">
        <v>1</v>
      </c>
      <c r="L288" s="32">
        <v>2429.23</v>
      </c>
      <c r="M288" s="11"/>
      <c r="N288" s="22">
        <f>L288*M288</f>
        <v>0</v>
      </c>
      <c r="O288" s="25">
        <f>0.757*M288</f>
        <v>0</v>
      </c>
      <c r="P288" s="26">
        <f>0.07228*M288</f>
        <v>0</v>
      </c>
      <c r="Q288" s="30"/>
      <c r="R288" s="22" t="s">
        <v>812</v>
      </c>
      <c r="S288" s="22"/>
      <c r="T288" s="21" t="str">
        <f>HYPERLINK("https://miland.ru/api/getInfo/image/942a2fa7-65b2-11ed-a22a-00155d82e902")</f>
        <v>https://miland.ru/api/getInfo/image/942a2fa7-65b2-11ed-a22a-00155d82e902</v>
      </c>
      <c r="U288" s="21"/>
      <c r="V288" s="21" t="s">
        <v>208</v>
      </c>
      <c r="W288" s="21" t="s">
        <v>82</v>
      </c>
      <c r="X288" s="21"/>
      <c r="Y288" s="21" t="s">
        <v>41</v>
      </c>
      <c r="Z288" s="21"/>
      <c r="AA288" s="21" t="str">
        <f>HYPERLINK("https://miland.ru/api/getInfo/item/942a2fa7-65b2-11ed-a22a-00155d82e902")</f>
        <v>https://miland.ru/api/getInfo/item/942a2fa7-65b2-11ed-a22a-00155d82e902</v>
      </c>
      <c r="AB288" s="21" t="s">
        <v>42</v>
      </c>
      <c r="AC288" s="21" t="s">
        <v>813</v>
      </c>
      <c r="AD288" s="21"/>
    </row>
    <row r="289" spans="2:30" s="1" customFormat="1" ht="96.3" customHeight="1" outlineLevel="6">
      <c r="B289" s="20">
        <v>170</v>
      </c>
      <c r="C289" s="21" t="s">
        <v>814</v>
      </c>
      <c r="D289" s="72" t="s">
        <v>815</v>
      </c>
      <c r="E289" s="72"/>
      <c r="F289" s="72"/>
      <c r="G289" s="72"/>
      <c r="H289" s="22" t="s">
        <v>816</v>
      </c>
      <c r="I289" s="23" t="s">
        <v>36</v>
      </c>
      <c r="J289" s="22"/>
      <c r="K289" s="20">
        <v>1</v>
      </c>
      <c r="L289" s="32">
        <v>3498.84</v>
      </c>
      <c r="M289" s="11"/>
      <c r="N289" s="22">
        <f>L289*M289</f>
        <v>0</v>
      </c>
      <c r="O289" s="25">
        <f>0.842*M289</f>
        <v>0</v>
      </c>
      <c r="P289" s="26">
        <f>0.03537*M289</f>
        <v>0</v>
      </c>
      <c r="Q289" s="30"/>
      <c r="R289" s="22" t="s">
        <v>817</v>
      </c>
      <c r="S289" s="22"/>
      <c r="T289" s="21" t="str">
        <f>HYPERLINK("https://miland.ru/api/getInfo/image/031d2c16-65b3-11ed-a22a-00155d82e902")</f>
        <v>https://miland.ru/api/getInfo/image/031d2c16-65b3-11ed-a22a-00155d82e902</v>
      </c>
      <c r="U289" s="21"/>
      <c r="V289" s="21" t="s">
        <v>208</v>
      </c>
      <c r="W289" s="21" t="s">
        <v>82</v>
      </c>
      <c r="X289" s="21"/>
      <c r="Y289" s="21" t="s">
        <v>41</v>
      </c>
      <c r="Z289" s="21"/>
      <c r="AA289" s="21" t="str">
        <f>HYPERLINK("https://miland.ru/api/getInfo/item/031d2c16-65b3-11ed-a22a-00155d82e902")</f>
        <v>https://miland.ru/api/getInfo/item/031d2c16-65b3-11ed-a22a-00155d82e902</v>
      </c>
      <c r="AB289" s="21" t="s">
        <v>42</v>
      </c>
      <c r="AC289" s="21" t="s">
        <v>818</v>
      </c>
      <c r="AD289" s="21"/>
    </row>
    <row r="290" spans="2:30" s="1" customFormat="1" ht="96.3" customHeight="1" outlineLevel="6">
      <c r="B290" s="20">
        <v>171</v>
      </c>
      <c r="C290" s="21" t="s">
        <v>819</v>
      </c>
      <c r="D290" s="72" t="s">
        <v>820</v>
      </c>
      <c r="E290" s="72"/>
      <c r="F290" s="72"/>
      <c r="G290" s="72"/>
      <c r="H290" s="22" t="s">
        <v>821</v>
      </c>
      <c r="I290" s="23" t="s">
        <v>36</v>
      </c>
      <c r="J290" s="22"/>
      <c r="K290" s="20">
        <v>1</v>
      </c>
      <c r="L290" s="32">
        <v>2544.36</v>
      </c>
      <c r="M290" s="11"/>
      <c r="N290" s="22">
        <f>L290*M290</f>
        <v>0</v>
      </c>
      <c r="O290" s="25">
        <f>0.739*M290</f>
        <v>0</v>
      </c>
      <c r="P290" s="26">
        <f>0.02077*M290</f>
        <v>0</v>
      </c>
      <c r="Q290" s="30"/>
      <c r="R290" s="22" t="s">
        <v>822</v>
      </c>
      <c r="S290" s="22"/>
      <c r="T290" s="21" t="str">
        <f>HYPERLINK("https://miland.ru/api/getInfo/image/cc98107a-65b2-11ed-a22a-00155d82e902")</f>
        <v>https://miland.ru/api/getInfo/image/cc98107a-65b2-11ed-a22a-00155d82e902</v>
      </c>
      <c r="U290" s="21"/>
      <c r="V290" s="21" t="s">
        <v>208</v>
      </c>
      <c r="W290" s="21" t="s">
        <v>82</v>
      </c>
      <c r="X290" s="21"/>
      <c r="Y290" s="21" t="s">
        <v>41</v>
      </c>
      <c r="Z290" s="21"/>
      <c r="AA290" s="21" t="str">
        <f>HYPERLINK("https://miland.ru/api/getInfo/item/cc98107a-65b2-11ed-a22a-00155d82e902")</f>
        <v>https://miland.ru/api/getInfo/item/cc98107a-65b2-11ed-a22a-00155d82e902</v>
      </c>
      <c r="AB290" s="21" t="s">
        <v>42</v>
      </c>
      <c r="AC290" s="21" t="s">
        <v>823</v>
      </c>
      <c r="AD290" s="21"/>
    </row>
    <row r="291" spans="2:30" s="1" customFormat="1" ht="96.3" customHeight="1" outlineLevel="6">
      <c r="B291" s="20">
        <v>172</v>
      </c>
      <c r="C291" s="21" t="s">
        <v>824</v>
      </c>
      <c r="D291" s="72" t="s">
        <v>825</v>
      </c>
      <c r="E291" s="72"/>
      <c r="F291" s="72"/>
      <c r="G291" s="72"/>
      <c r="H291" s="22" t="s">
        <v>826</v>
      </c>
      <c r="I291" s="23" t="s">
        <v>36</v>
      </c>
      <c r="J291" s="22"/>
      <c r="K291" s="20">
        <v>1</v>
      </c>
      <c r="L291" s="32">
        <v>2448.09</v>
      </c>
      <c r="M291" s="11"/>
      <c r="N291" s="22">
        <f>L291*M291</f>
        <v>0</v>
      </c>
      <c r="O291" s="25">
        <f>0.727*M291</f>
        <v>0</v>
      </c>
      <c r="P291" s="29">
        <f>0.0065*M291</f>
        <v>0</v>
      </c>
      <c r="Q291" s="30"/>
      <c r="R291" s="22" t="s">
        <v>827</v>
      </c>
      <c r="S291" s="22" t="s">
        <v>435</v>
      </c>
      <c r="T291" s="21" t="str">
        <f>HYPERLINK("https://miland.ru/api/getInfo/image/307f627e-65b3-11ed-a22a-00155d82e902")</f>
        <v>https://miland.ru/api/getInfo/image/307f627e-65b3-11ed-a22a-00155d82e902</v>
      </c>
      <c r="U291" s="21"/>
      <c r="V291" s="21" t="s">
        <v>208</v>
      </c>
      <c r="W291" s="21" t="s">
        <v>82</v>
      </c>
      <c r="X291" s="21"/>
      <c r="Y291" s="21" t="s">
        <v>41</v>
      </c>
      <c r="Z291" s="21"/>
      <c r="AA291" s="21" t="str">
        <f>HYPERLINK("https://miland.ru/api/getInfo/item/307f627e-65b3-11ed-a22a-00155d82e902")</f>
        <v>https://miland.ru/api/getInfo/item/307f627e-65b3-11ed-a22a-00155d82e902</v>
      </c>
      <c r="AB291" s="21" t="s">
        <v>42</v>
      </c>
      <c r="AC291" s="21" t="s">
        <v>828</v>
      </c>
      <c r="AD291" s="21"/>
    </row>
    <row r="292" spans="2:30" s="1" customFormat="1" ht="96.3" customHeight="1" outlineLevel="6">
      <c r="B292" s="20">
        <v>173</v>
      </c>
      <c r="C292" s="21" t="s">
        <v>829</v>
      </c>
      <c r="D292" s="72" t="s">
        <v>830</v>
      </c>
      <c r="E292" s="72"/>
      <c r="F292" s="72"/>
      <c r="G292" s="72"/>
      <c r="H292" s="22" t="s">
        <v>831</v>
      </c>
      <c r="I292" s="23" t="s">
        <v>36</v>
      </c>
      <c r="J292" s="22"/>
      <c r="K292" s="20">
        <v>1</v>
      </c>
      <c r="L292" s="32">
        <v>3111.47</v>
      </c>
      <c r="M292" s="11"/>
      <c r="N292" s="22">
        <f>L292*M292</f>
        <v>0</v>
      </c>
      <c r="O292" s="25">
        <f>1.132*M292</f>
        <v>0</v>
      </c>
      <c r="P292" s="26">
        <f>0.02755*M292</f>
        <v>0</v>
      </c>
      <c r="Q292" s="30"/>
      <c r="R292" s="22" t="s">
        <v>832</v>
      </c>
      <c r="S292" s="22" t="s">
        <v>435</v>
      </c>
      <c r="T292" s="21" t="str">
        <f>HYPERLINK("https://miland.ru/api/getInfo/image/6918329d-65b3-11ed-a22a-00155d82e902")</f>
        <v>https://miland.ru/api/getInfo/image/6918329d-65b3-11ed-a22a-00155d82e902</v>
      </c>
      <c r="U292" s="21"/>
      <c r="V292" s="21" t="s">
        <v>208</v>
      </c>
      <c r="W292" s="21" t="s">
        <v>82</v>
      </c>
      <c r="X292" s="21"/>
      <c r="Y292" s="21" t="s">
        <v>41</v>
      </c>
      <c r="Z292" s="21"/>
      <c r="AA292" s="21" t="str">
        <f>HYPERLINK("https://miland.ru/api/getInfo/item/6918329d-65b3-11ed-a22a-00155d82e902")</f>
        <v>https://miland.ru/api/getInfo/item/6918329d-65b3-11ed-a22a-00155d82e902</v>
      </c>
      <c r="AB292" s="21" t="s">
        <v>42</v>
      </c>
      <c r="AC292" s="21" t="s">
        <v>833</v>
      </c>
      <c r="AD292" s="21"/>
    </row>
    <row r="293" spans="2:30" ht="12" customHeight="1" outlineLevel="5">
      <c r="B293" s="70" t="s">
        <v>834</v>
      </c>
      <c r="C293" s="70"/>
      <c r="D293" s="70"/>
      <c r="E293" s="70"/>
      <c r="F293" s="70"/>
      <c r="G293" s="70"/>
    </row>
    <row r="294" spans="2:30" s="1" customFormat="1" ht="96.3" customHeight="1" outlineLevel="6">
      <c r="B294" s="20">
        <v>174</v>
      </c>
      <c r="C294" s="21" t="s">
        <v>835</v>
      </c>
      <c r="D294" s="72" t="s">
        <v>836</v>
      </c>
      <c r="E294" s="72"/>
      <c r="F294" s="72"/>
      <c r="G294" s="72"/>
      <c r="H294" s="22" t="s">
        <v>837</v>
      </c>
      <c r="I294" s="27">
        <v>5</v>
      </c>
      <c r="J294" s="22"/>
      <c r="K294" s="20">
        <v>1</v>
      </c>
      <c r="L294" s="32">
        <v>1803.8</v>
      </c>
      <c r="M294" s="11"/>
      <c r="N294" s="22">
        <f t="shared" ref="N294:N301" si="11">L294*M294</f>
        <v>0</v>
      </c>
      <c r="O294" s="25">
        <f>0.594*M294</f>
        <v>0</v>
      </c>
      <c r="P294" s="26">
        <f>0.02906*M294</f>
        <v>0</v>
      </c>
      <c r="Q294" s="30"/>
      <c r="R294" s="22" t="s">
        <v>838</v>
      </c>
      <c r="S294" s="22" t="s">
        <v>435</v>
      </c>
      <c r="T294" s="21" t="str">
        <f>HYPERLINK("https://miland.ru/api/getInfo/image/7ce33e99-9642-11ed-a22d-00155d82e902")</f>
        <v>https://miland.ru/api/getInfo/image/7ce33e99-9642-11ed-a22d-00155d82e902</v>
      </c>
      <c r="U294" s="21"/>
      <c r="V294" s="21" t="s">
        <v>208</v>
      </c>
      <c r="W294" s="21" t="s">
        <v>82</v>
      </c>
      <c r="X294" s="21"/>
      <c r="Y294" s="21" t="s">
        <v>41</v>
      </c>
      <c r="Z294" s="21"/>
      <c r="AA294" s="21" t="str">
        <f>HYPERLINK("https://miland.ru/api/getInfo/item/7ce33e99-9642-11ed-a22d-00155d82e902")</f>
        <v>https://miland.ru/api/getInfo/item/7ce33e99-9642-11ed-a22d-00155d82e902</v>
      </c>
      <c r="AB294" s="21" t="s">
        <v>42</v>
      </c>
      <c r="AC294" s="21"/>
      <c r="AD294" s="21"/>
    </row>
    <row r="295" spans="2:30" s="1" customFormat="1" ht="96.3" customHeight="1" outlineLevel="6">
      <c r="B295" s="20">
        <v>175</v>
      </c>
      <c r="C295" s="21" t="s">
        <v>839</v>
      </c>
      <c r="D295" s="72" t="s">
        <v>840</v>
      </c>
      <c r="E295" s="72"/>
      <c r="F295" s="72"/>
      <c r="G295" s="72"/>
      <c r="H295" s="22" t="s">
        <v>841</v>
      </c>
      <c r="I295" s="23" t="s">
        <v>36</v>
      </c>
      <c r="J295" s="22"/>
      <c r="K295" s="20">
        <v>1</v>
      </c>
      <c r="L295" s="24">
        <v>598.66999999999996</v>
      </c>
      <c r="M295" s="11"/>
      <c r="N295" s="22">
        <f t="shared" si="11"/>
        <v>0</v>
      </c>
      <c r="O295" s="25">
        <f>0.617*M295</f>
        <v>0</v>
      </c>
      <c r="P295" s="26">
        <f>0.01273*M295</f>
        <v>0</v>
      </c>
      <c r="Q295" s="30"/>
      <c r="R295" s="22" t="s">
        <v>842</v>
      </c>
      <c r="S295" s="22"/>
      <c r="T295" s="21" t="str">
        <f>HYPERLINK("https://miland.ru/api/getInfo/image/d70d4439-8e5f-11ec-a211-ac1f6b442185")</f>
        <v>https://miland.ru/api/getInfo/image/d70d4439-8e5f-11ec-a211-ac1f6b442185</v>
      </c>
      <c r="U295" s="21"/>
      <c r="V295" s="21" t="s">
        <v>208</v>
      </c>
      <c r="W295" s="21" t="s">
        <v>82</v>
      </c>
      <c r="X295" s="21"/>
      <c r="Y295" s="21" t="s">
        <v>41</v>
      </c>
      <c r="Z295" s="21"/>
      <c r="AA295" s="21" t="str">
        <f>HYPERLINK("https://miland.ru/api/getInfo/item/d70d4439-8e5f-11ec-a211-ac1f6b442185")</f>
        <v>https://miland.ru/api/getInfo/item/d70d4439-8e5f-11ec-a211-ac1f6b442185</v>
      </c>
      <c r="AB295" s="21" t="s">
        <v>42</v>
      </c>
      <c r="AC295" s="21" t="s">
        <v>843</v>
      </c>
      <c r="AD295" s="21"/>
    </row>
    <row r="296" spans="2:30" s="1" customFormat="1" ht="96.3" customHeight="1" outlineLevel="6">
      <c r="B296" s="20">
        <v>176</v>
      </c>
      <c r="C296" s="21" t="s">
        <v>844</v>
      </c>
      <c r="D296" s="72" t="s">
        <v>845</v>
      </c>
      <c r="E296" s="72"/>
      <c r="F296" s="72"/>
      <c r="G296" s="72"/>
      <c r="H296" s="22" t="s">
        <v>846</v>
      </c>
      <c r="I296" s="23" t="s">
        <v>36</v>
      </c>
      <c r="J296" s="22"/>
      <c r="K296" s="20">
        <v>1</v>
      </c>
      <c r="L296" s="24">
        <v>677.08</v>
      </c>
      <c r="M296" s="11"/>
      <c r="N296" s="22">
        <f t="shared" si="11"/>
        <v>0</v>
      </c>
      <c r="O296" s="25">
        <f>0.728*M296</f>
        <v>0</v>
      </c>
      <c r="P296" s="26">
        <f>0.00934*M296</f>
        <v>0</v>
      </c>
      <c r="Q296" s="30"/>
      <c r="R296" s="22" t="s">
        <v>847</v>
      </c>
      <c r="S296" s="22"/>
      <c r="T296" s="21" t="str">
        <f>HYPERLINK("https://miland.ru/api/getInfo/image/4f499f4e-8e60-11ec-a211-ac1f6b442185")</f>
        <v>https://miland.ru/api/getInfo/image/4f499f4e-8e60-11ec-a211-ac1f6b442185</v>
      </c>
      <c r="U296" s="21"/>
      <c r="V296" s="21" t="s">
        <v>208</v>
      </c>
      <c r="W296" s="21" t="s">
        <v>82</v>
      </c>
      <c r="X296" s="21"/>
      <c r="Y296" s="21" t="s">
        <v>41</v>
      </c>
      <c r="Z296" s="21"/>
      <c r="AA296" s="21" t="str">
        <f>HYPERLINK("https://miland.ru/api/getInfo/item/4f499f4e-8e60-11ec-a211-ac1f6b442185")</f>
        <v>https://miland.ru/api/getInfo/item/4f499f4e-8e60-11ec-a211-ac1f6b442185</v>
      </c>
      <c r="AB296" s="21" t="s">
        <v>42</v>
      </c>
      <c r="AC296" s="21" t="s">
        <v>848</v>
      </c>
      <c r="AD296" s="21"/>
    </row>
    <row r="297" spans="2:30" s="1" customFormat="1" ht="96.3" customHeight="1" outlineLevel="6">
      <c r="B297" s="20">
        <v>177</v>
      </c>
      <c r="C297" s="21" t="s">
        <v>849</v>
      </c>
      <c r="D297" s="72" t="s">
        <v>850</v>
      </c>
      <c r="E297" s="72"/>
      <c r="F297" s="72"/>
      <c r="G297" s="72"/>
      <c r="H297" s="22" t="s">
        <v>851</v>
      </c>
      <c r="I297" s="23" t="s">
        <v>36</v>
      </c>
      <c r="J297" s="22"/>
      <c r="K297" s="20">
        <v>1</v>
      </c>
      <c r="L297" s="32">
        <v>1141.3800000000001</v>
      </c>
      <c r="M297" s="11"/>
      <c r="N297" s="22">
        <f t="shared" si="11"/>
        <v>0</v>
      </c>
      <c r="O297" s="25">
        <f>1.065*M297</f>
        <v>0</v>
      </c>
      <c r="P297" s="29">
        <f>0.0178*M297</f>
        <v>0</v>
      </c>
      <c r="Q297" s="30"/>
      <c r="R297" s="22" t="s">
        <v>852</v>
      </c>
      <c r="S297" s="22"/>
      <c r="T297" s="21" t="str">
        <f>HYPERLINK("https://miland.ru/api/getInfo/image/896a43ca-8e61-11ec-a211-ac1f6b442185")</f>
        <v>https://miland.ru/api/getInfo/image/896a43ca-8e61-11ec-a211-ac1f6b442185</v>
      </c>
      <c r="U297" s="21"/>
      <c r="V297" s="21" t="s">
        <v>208</v>
      </c>
      <c r="W297" s="21" t="s">
        <v>82</v>
      </c>
      <c r="X297" s="21"/>
      <c r="Y297" s="21" t="s">
        <v>41</v>
      </c>
      <c r="Z297" s="21"/>
      <c r="AA297" s="21" t="str">
        <f>HYPERLINK("https://miland.ru/api/getInfo/item/896a43ca-8e61-11ec-a211-ac1f6b442185")</f>
        <v>https://miland.ru/api/getInfo/item/896a43ca-8e61-11ec-a211-ac1f6b442185</v>
      </c>
      <c r="AB297" s="21" t="s">
        <v>42</v>
      </c>
      <c r="AC297" s="21" t="s">
        <v>853</v>
      </c>
      <c r="AD297" s="21"/>
    </row>
    <row r="298" spans="2:30" s="1" customFormat="1" ht="96.3" customHeight="1" outlineLevel="6">
      <c r="B298" s="20">
        <v>178</v>
      </c>
      <c r="C298" s="21" t="s">
        <v>854</v>
      </c>
      <c r="D298" s="72" t="s">
        <v>855</v>
      </c>
      <c r="E298" s="72"/>
      <c r="F298" s="72"/>
      <c r="G298" s="72"/>
      <c r="H298" s="22" t="s">
        <v>856</v>
      </c>
      <c r="I298" s="23" t="s">
        <v>36</v>
      </c>
      <c r="J298" s="22"/>
      <c r="K298" s="20">
        <v>1</v>
      </c>
      <c r="L298" s="32">
        <v>1282.54</v>
      </c>
      <c r="M298" s="11"/>
      <c r="N298" s="22">
        <f t="shared" si="11"/>
        <v>0</v>
      </c>
      <c r="O298" s="25">
        <f>1.231*M298</f>
        <v>0</v>
      </c>
      <c r="P298" s="26">
        <f>0.01776*M298</f>
        <v>0</v>
      </c>
      <c r="Q298" s="30"/>
      <c r="R298" s="22" t="s">
        <v>857</v>
      </c>
      <c r="S298" s="22"/>
      <c r="T298" s="21" t="str">
        <f>HYPERLINK("https://miland.ru/api/getInfo/image/8be65b92-8e62-11ec-a211-ac1f6b442185")</f>
        <v>https://miland.ru/api/getInfo/image/8be65b92-8e62-11ec-a211-ac1f6b442185</v>
      </c>
      <c r="U298" s="21"/>
      <c r="V298" s="21" t="s">
        <v>208</v>
      </c>
      <c r="W298" s="21" t="s">
        <v>82</v>
      </c>
      <c r="X298" s="21"/>
      <c r="Y298" s="21" t="s">
        <v>41</v>
      </c>
      <c r="Z298" s="21"/>
      <c r="AA298" s="21" t="str">
        <f>HYPERLINK("https://miland.ru/api/getInfo/item/8be65b92-8e62-11ec-a211-ac1f6b442185")</f>
        <v>https://miland.ru/api/getInfo/item/8be65b92-8e62-11ec-a211-ac1f6b442185</v>
      </c>
      <c r="AB298" s="21" t="s">
        <v>42</v>
      </c>
      <c r="AC298" s="21" t="s">
        <v>853</v>
      </c>
      <c r="AD298" s="21"/>
    </row>
    <row r="299" spans="2:30" s="1" customFormat="1" ht="96.3" customHeight="1" outlineLevel="6">
      <c r="B299" s="20">
        <v>179</v>
      </c>
      <c r="C299" s="21" t="s">
        <v>858</v>
      </c>
      <c r="D299" s="72" t="s">
        <v>859</v>
      </c>
      <c r="E299" s="72"/>
      <c r="F299" s="72"/>
      <c r="G299" s="72"/>
      <c r="H299" s="22" t="s">
        <v>860</v>
      </c>
      <c r="I299" s="23" t="s">
        <v>36</v>
      </c>
      <c r="J299" s="22"/>
      <c r="K299" s="20">
        <v>1</v>
      </c>
      <c r="L299" s="32">
        <v>1387.31</v>
      </c>
      <c r="M299" s="11"/>
      <c r="N299" s="22">
        <f t="shared" si="11"/>
        <v>0</v>
      </c>
      <c r="O299" s="25">
        <f>1.284*M299</f>
        <v>0</v>
      </c>
      <c r="P299" s="26">
        <f>0.02243*M299</f>
        <v>0</v>
      </c>
      <c r="Q299" s="30"/>
      <c r="R299" s="22" t="s">
        <v>861</v>
      </c>
      <c r="S299" s="22"/>
      <c r="T299" s="21" t="str">
        <f>HYPERLINK("https://miland.ru/api/getInfo/image/e2051ad0-8e61-11ec-a211-ac1f6b442185")</f>
        <v>https://miland.ru/api/getInfo/image/e2051ad0-8e61-11ec-a211-ac1f6b442185</v>
      </c>
      <c r="U299" s="21"/>
      <c r="V299" s="21" t="s">
        <v>208</v>
      </c>
      <c r="W299" s="21" t="s">
        <v>82</v>
      </c>
      <c r="X299" s="21"/>
      <c r="Y299" s="21" t="s">
        <v>41</v>
      </c>
      <c r="Z299" s="21"/>
      <c r="AA299" s="21" t="str">
        <f>HYPERLINK("https://miland.ru/api/getInfo/item/e2051ad0-8e61-11ec-a211-ac1f6b442185")</f>
        <v>https://miland.ru/api/getInfo/item/e2051ad0-8e61-11ec-a211-ac1f6b442185</v>
      </c>
      <c r="AB299" s="21" t="s">
        <v>42</v>
      </c>
      <c r="AC299" s="21" t="s">
        <v>853</v>
      </c>
      <c r="AD299" s="21"/>
    </row>
    <row r="300" spans="2:30" s="1" customFormat="1" ht="96.3" customHeight="1" outlineLevel="6">
      <c r="B300" s="20">
        <v>180</v>
      </c>
      <c r="C300" s="21" t="s">
        <v>862</v>
      </c>
      <c r="D300" s="72" t="s">
        <v>863</v>
      </c>
      <c r="E300" s="72"/>
      <c r="F300" s="72"/>
      <c r="G300" s="72"/>
      <c r="H300" s="22" t="s">
        <v>864</v>
      </c>
      <c r="I300" s="23" t="s">
        <v>36</v>
      </c>
      <c r="J300" s="22"/>
      <c r="K300" s="20">
        <v>1</v>
      </c>
      <c r="L300" s="32">
        <v>1663.62</v>
      </c>
      <c r="M300" s="11"/>
      <c r="N300" s="22">
        <f t="shared" si="11"/>
        <v>0</v>
      </c>
      <c r="O300" s="25">
        <f>1.611*M300</f>
        <v>0</v>
      </c>
      <c r="P300" s="26">
        <f>0.02015*M300</f>
        <v>0</v>
      </c>
      <c r="Q300" s="30"/>
      <c r="R300" s="22" t="s">
        <v>865</v>
      </c>
      <c r="S300" s="22"/>
      <c r="T300" s="21" t="str">
        <f>HYPERLINK("https://miland.ru/api/getInfo/image/dd933f67-8e62-11ec-a211-ac1f6b442185")</f>
        <v>https://miland.ru/api/getInfo/image/dd933f67-8e62-11ec-a211-ac1f6b442185</v>
      </c>
      <c r="U300" s="21"/>
      <c r="V300" s="21" t="s">
        <v>208</v>
      </c>
      <c r="W300" s="21" t="s">
        <v>82</v>
      </c>
      <c r="X300" s="21"/>
      <c r="Y300" s="21" t="s">
        <v>41</v>
      </c>
      <c r="Z300" s="21"/>
      <c r="AA300" s="21" t="str">
        <f>HYPERLINK("https://miland.ru/api/getInfo/item/dd933f67-8e62-11ec-a211-ac1f6b442185")</f>
        <v>https://miland.ru/api/getInfo/item/dd933f67-8e62-11ec-a211-ac1f6b442185</v>
      </c>
      <c r="AB300" s="21" t="s">
        <v>42</v>
      </c>
      <c r="AC300" s="21" t="s">
        <v>853</v>
      </c>
      <c r="AD300" s="21"/>
    </row>
    <row r="301" spans="2:30" s="1" customFormat="1" ht="96.3" customHeight="1" outlineLevel="6">
      <c r="B301" s="20">
        <v>181</v>
      </c>
      <c r="C301" s="21" t="s">
        <v>866</v>
      </c>
      <c r="D301" s="72" t="s">
        <v>867</v>
      </c>
      <c r="E301" s="72"/>
      <c r="F301" s="72"/>
      <c r="G301" s="72"/>
      <c r="H301" s="22" t="s">
        <v>868</v>
      </c>
      <c r="I301" s="23" t="s">
        <v>36</v>
      </c>
      <c r="J301" s="22"/>
      <c r="K301" s="20">
        <v>1</v>
      </c>
      <c r="L301" s="32">
        <v>1394</v>
      </c>
      <c r="M301" s="11"/>
      <c r="N301" s="22">
        <f t="shared" si="11"/>
        <v>0</v>
      </c>
      <c r="O301" s="25">
        <f>1.318*M301</f>
        <v>0</v>
      </c>
      <c r="P301" s="25">
        <f>0.019*M301</f>
        <v>0</v>
      </c>
      <c r="Q301" s="30"/>
      <c r="R301" s="22" t="s">
        <v>869</v>
      </c>
      <c r="S301" s="22"/>
      <c r="T301" s="21" t="str">
        <f>HYPERLINK("https://miland.ru/api/getInfo/image/370ec41b-8e62-11ec-a211-ac1f6b442185")</f>
        <v>https://miland.ru/api/getInfo/image/370ec41b-8e62-11ec-a211-ac1f6b442185</v>
      </c>
      <c r="U301" s="21"/>
      <c r="V301" s="21" t="s">
        <v>208</v>
      </c>
      <c r="W301" s="21" t="s">
        <v>82</v>
      </c>
      <c r="X301" s="21"/>
      <c r="Y301" s="21" t="s">
        <v>41</v>
      </c>
      <c r="Z301" s="21"/>
      <c r="AA301" s="21" t="str">
        <f>HYPERLINK("https://miland.ru/api/getInfo/item/370ec41b-8e62-11ec-a211-ac1f6b442185")</f>
        <v>https://miland.ru/api/getInfo/item/370ec41b-8e62-11ec-a211-ac1f6b442185</v>
      </c>
      <c r="AB301" s="21" t="s">
        <v>42</v>
      </c>
      <c r="AC301" s="21" t="s">
        <v>853</v>
      </c>
      <c r="AD301" s="21"/>
    </row>
    <row r="302" spans="2:30" ht="12" customHeight="1" outlineLevel="4">
      <c r="B302" s="70" t="s">
        <v>870</v>
      </c>
      <c r="C302" s="70"/>
      <c r="D302" s="70"/>
      <c r="E302" s="70"/>
      <c r="F302" s="70"/>
      <c r="G302" s="70"/>
    </row>
    <row r="303" spans="2:30" ht="12" customHeight="1" outlineLevel="5">
      <c r="B303" s="70" t="s">
        <v>871</v>
      </c>
      <c r="C303" s="70"/>
      <c r="D303" s="70"/>
      <c r="E303" s="70"/>
      <c r="F303" s="70"/>
      <c r="G303" s="70"/>
    </row>
    <row r="304" spans="2:30" ht="12" customHeight="1" outlineLevel="6">
      <c r="B304" s="70" t="s">
        <v>872</v>
      </c>
      <c r="C304" s="70"/>
      <c r="D304" s="70"/>
      <c r="E304" s="70"/>
      <c r="F304" s="70"/>
      <c r="G304" s="70"/>
    </row>
    <row r="305" spans="2:30" ht="12" customHeight="1" outlineLevel="7">
      <c r="B305" s="70" t="s">
        <v>873</v>
      </c>
      <c r="C305" s="70"/>
      <c r="D305" s="70"/>
      <c r="E305" s="70"/>
      <c r="F305" s="70"/>
      <c r="G305" s="70"/>
    </row>
    <row r="306" spans="2:30" s="1" customFormat="1" ht="96.3" customHeight="1" outlineLevel="7">
      <c r="B306" s="20">
        <v>182</v>
      </c>
      <c r="C306" s="21" t="s">
        <v>874</v>
      </c>
      <c r="D306" s="72" t="s">
        <v>875</v>
      </c>
      <c r="E306" s="72"/>
      <c r="F306" s="72"/>
      <c r="G306" s="72"/>
      <c r="H306" s="22" t="s">
        <v>876</v>
      </c>
      <c r="I306" s="27">
        <v>129</v>
      </c>
      <c r="J306" s="22"/>
      <c r="K306" s="20">
        <v>2</v>
      </c>
      <c r="L306" s="24">
        <v>399.23</v>
      </c>
      <c r="M306" s="11"/>
      <c r="N306" s="22">
        <f>L306*M306</f>
        <v>0</v>
      </c>
      <c r="O306" s="28">
        <f>0.12*M306</f>
        <v>0</v>
      </c>
      <c r="P306" s="26">
        <f>0.00066*M306</f>
        <v>0</v>
      </c>
      <c r="Q306" s="30"/>
      <c r="R306" s="22" t="s">
        <v>877</v>
      </c>
      <c r="S306" s="22"/>
      <c r="T306" s="21" t="str">
        <f>HYPERLINK("https://miland.ru/api/getInfo/image/4df737a7-eb50-11ee-a25b-00155d82e908")</f>
        <v>https://miland.ru/api/getInfo/image/4df737a7-eb50-11ee-a25b-00155d82e908</v>
      </c>
      <c r="U306" s="21"/>
      <c r="V306" s="21" t="s">
        <v>878</v>
      </c>
      <c r="W306" s="21" t="s">
        <v>879</v>
      </c>
      <c r="X306" s="21" t="s">
        <v>172</v>
      </c>
      <c r="Y306" s="21" t="s">
        <v>173</v>
      </c>
      <c r="Z306" s="21" t="s">
        <v>880</v>
      </c>
      <c r="AA306" s="21" t="str">
        <f>HYPERLINK("https://miland.ru/api/getInfo/item/4df737a7-eb50-11ee-a25b-00155d82e908")</f>
        <v>https://miland.ru/api/getInfo/item/4df737a7-eb50-11ee-a25b-00155d82e908</v>
      </c>
      <c r="AB306" s="21" t="s">
        <v>42</v>
      </c>
      <c r="AC306" s="21" t="s">
        <v>881</v>
      </c>
      <c r="AD306" s="21"/>
    </row>
    <row r="307" spans="2:30" s="1" customFormat="1" ht="96.3" customHeight="1" outlineLevel="7">
      <c r="B307" s="20">
        <v>183</v>
      </c>
      <c r="C307" s="21" t="s">
        <v>882</v>
      </c>
      <c r="D307" s="72" t="s">
        <v>883</v>
      </c>
      <c r="E307" s="72"/>
      <c r="F307" s="72"/>
      <c r="G307" s="72"/>
      <c r="H307" s="22" t="s">
        <v>884</v>
      </c>
      <c r="I307" s="23" t="s">
        <v>36</v>
      </c>
      <c r="J307" s="22"/>
      <c r="K307" s="20">
        <v>2</v>
      </c>
      <c r="L307" s="24">
        <v>399.23</v>
      </c>
      <c r="M307" s="11"/>
      <c r="N307" s="22">
        <f>L307*M307</f>
        <v>0</v>
      </c>
      <c r="O307" s="25">
        <f>0.128*M307</f>
        <v>0</v>
      </c>
      <c r="P307" s="26">
        <f>0.00062*M307</f>
        <v>0</v>
      </c>
      <c r="Q307" s="30"/>
      <c r="R307" s="22" t="s">
        <v>885</v>
      </c>
      <c r="S307" s="22"/>
      <c r="T307" s="21" t="str">
        <f>HYPERLINK("https://miland.ru/api/getInfo/image/63da3e0a-eb50-11ee-a25b-00155d82e908")</f>
        <v>https://miland.ru/api/getInfo/image/63da3e0a-eb50-11ee-a25b-00155d82e908</v>
      </c>
      <c r="U307" s="21"/>
      <c r="V307" s="21" t="s">
        <v>878</v>
      </c>
      <c r="W307" s="21" t="s">
        <v>879</v>
      </c>
      <c r="X307" s="21" t="s">
        <v>172</v>
      </c>
      <c r="Y307" s="21" t="s">
        <v>173</v>
      </c>
      <c r="Z307" s="21" t="s">
        <v>886</v>
      </c>
      <c r="AA307" s="21" t="str">
        <f>HYPERLINK("https://miland.ru/api/getInfo/item/63da3e0a-eb50-11ee-a25b-00155d82e908")</f>
        <v>https://miland.ru/api/getInfo/item/63da3e0a-eb50-11ee-a25b-00155d82e908</v>
      </c>
      <c r="AB307" s="21" t="s">
        <v>42</v>
      </c>
      <c r="AC307" s="21" t="s">
        <v>881</v>
      </c>
      <c r="AD307" s="21"/>
    </row>
    <row r="308" spans="2:30" s="1" customFormat="1" ht="96.3" customHeight="1" outlineLevel="7">
      <c r="B308" s="20">
        <v>184</v>
      </c>
      <c r="C308" s="21" t="s">
        <v>887</v>
      </c>
      <c r="D308" s="72" t="s">
        <v>888</v>
      </c>
      <c r="E308" s="72"/>
      <c r="F308" s="72"/>
      <c r="G308" s="72"/>
      <c r="H308" s="22" t="s">
        <v>889</v>
      </c>
      <c r="I308" s="27">
        <v>7</v>
      </c>
      <c r="J308" s="22"/>
      <c r="K308" s="20">
        <v>1</v>
      </c>
      <c r="L308" s="24">
        <v>937.59</v>
      </c>
      <c r="M308" s="11"/>
      <c r="N308" s="22">
        <f>L308*M308</f>
        <v>0</v>
      </c>
      <c r="O308" s="28">
        <f>0.26*M308</f>
        <v>0</v>
      </c>
      <c r="P308" s="26">
        <f>0.00115*M308</f>
        <v>0</v>
      </c>
      <c r="Q308" s="30"/>
      <c r="R308" s="22" t="s">
        <v>890</v>
      </c>
      <c r="S308" s="22" t="s">
        <v>435</v>
      </c>
      <c r="T308" s="21" t="str">
        <f>HYPERLINK("https://miland.ru/api/getInfo/image/ce0941f7-eb62-11ee-a25b-00155d82e908")</f>
        <v>https://miland.ru/api/getInfo/image/ce0941f7-eb62-11ee-a25b-00155d82e908</v>
      </c>
      <c r="U308" s="21"/>
      <c r="V308" s="21" t="s">
        <v>878</v>
      </c>
      <c r="W308" s="21" t="s">
        <v>879</v>
      </c>
      <c r="X308" s="21" t="s">
        <v>172</v>
      </c>
      <c r="Y308" s="21" t="s">
        <v>173</v>
      </c>
      <c r="Z308" s="21" t="s">
        <v>891</v>
      </c>
      <c r="AA308" s="21" t="str">
        <f>HYPERLINK("https://miland.ru/api/getInfo/item/ce0941f7-eb62-11ee-a25b-00155d82e908")</f>
        <v>https://miland.ru/api/getInfo/item/ce0941f7-eb62-11ee-a25b-00155d82e908</v>
      </c>
      <c r="AB308" s="21" t="s">
        <v>42</v>
      </c>
      <c r="AC308" s="21" t="s">
        <v>892</v>
      </c>
      <c r="AD308" s="21"/>
    </row>
    <row r="309" spans="2:30" s="1" customFormat="1" ht="96.3" customHeight="1" outlineLevel="7">
      <c r="B309" s="20">
        <v>185</v>
      </c>
      <c r="C309" s="21" t="s">
        <v>893</v>
      </c>
      <c r="D309" s="72" t="s">
        <v>894</v>
      </c>
      <c r="E309" s="72"/>
      <c r="F309" s="72"/>
      <c r="G309" s="72"/>
      <c r="H309" s="22" t="s">
        <v>895</v>
      </c>
      <c r="I309" s="27">
        <v>122</v>
      </c>
      <c r="J309" s="22"/>
      <c r="K309" s="20">
        <v>1</v>
      </c>
      <c r="L309" s="24">
        <v>937.59</v>
      </c>
      <c r="M309" s="11"/>
      <c r="N309" s="22">
        <f>L309*M309</f>
        <v>0</v>
      </c>
      <c r="O309" s="25">
        <f>13.255*M309</f>
        <v>0</v>
      </c>
      <c r="P309" s="26">
        <f>0.06782*M309</f>
        <v>0</v>
      </c>
      <c r="Q309" s="30"/>
      <c r="R309" s="22" t="s">
        <v>896</v>
      </c>
      <c r="S309" s="22"/>
      <c r="T309" s="21" t="str">
        <f>HYPERLINK("https://miland.ru/api/getInfo/image/f7eee298-eb50-11ee-a25b-00155d82e908")</f>
        <v>https://miland.ru/api/getInfo/image/f7eee298-eb50-11ee-a25b-00155d82e908</v>
      </c>
      <c r="U309" s="21"/>
      <c r="V309" s="21" t="s">
        <v>878</v>
      </c>
      <c r="W309" s="21" t="s">
        <v>879</v>
      </c>
      <c r="X309" s="21" t="s">
        <v>172</v>
      </c>
      <c r="Y309" s="21" t="s">
        <v>173</v>
      </c>
      <c r="Z309" s="21" t="s">
        <v>897</v>
      </c>
      <c r="AA309" s="21" t="str">
        <f>HYPERLINK("https://miland.ru/api/getInfo/item/f7eee298-eb50-11ee-a25b-00155d82e908")</f>
        <v>https://miland.ru/api/getInfo/item/f7eee298-eb50-11ee-a25b-00155d82e908</v>
      </c>
      <c r="AB309" s="21" t="s">
        <v>42</v>
      </c>
      <c r="AC309" s="21" t="s">
        <v>892</v>
      </c>
      <c r="AD309" s="21"/>
    </row>
    <row r="310" spans="2:30" ht="12" customHeight="1" outlineLevel="7">
      <c r="B310" s="70" t="s">
        <v>898</v>
      </c>
      <c r="C310" s="70"/>
      <c r="D310" s="70"/>
      <c r="E310" s="70"/>
      <c r="F310" s="70"/>
      <c r="G310" s="70"/>
    </row>
    <row r="311" spans="2:30" s="1" customFormat="1" ht="96.3" customHeight="1" outlineLevel="7">
      <c r="B311" s="20">
        <v>186</v>
      </c>
      <c r="C311" s="21" t="s">
        <v>899</v>
      </c>
      <c r="D311" s="72" t="s">
        <v>900</v>
      </c>
      <c r="E311" s="72"/>
      <c r="F311" s="72"/>
      <c r="G311" s="72"/>
      <c r="H311" s="22" t="s">
        <v>901</v>
      </c>
      <c r="I311" s="23" t="s">
        <v>36</v>
      </c>
      <c r="J311" s="22"/>
      <c r="K311" s="20">
        <v>2</v>
      </c>
      <c r="L311" s="24">
        <v>232.77</v>
      </c>
      <c r="M311" s="11"/>
      <c r="N311" s="22">
        <f t="shared" ref="N311:N318" si="12">L311*M311</f>
        <v>0</v>
      </c>
      <c r="O311" s="25">
        <f>0.102*M311</f>
        <v>0</v>
      </c>
      <c r="P311" s="29">
        <f>0.0006*M311</f>
        <v>0</v>
      </c>
      <c r="Q311" s="30"/>
      <c r="R311" s="22" t="s">
        <v>902</v>
      </c>
      <c r="S311" s="22"/>
      <c r="T311" s="21" t="str">
        <f>HYPERLINK("https://miland.ru/api/getInfo/image/da06779b-eb4f-11ee-a25b-00155d82e908")</f>
        <v>https://miland.ru/api/getInfo/image/da06779b-eb4f-11ee-a25b-00155d82e908</v>
      </c>
      <c r="U311" s="21"/>
      <c r="V311" s="21" t="s">
        <v>878</v>
      </c>
      <c r="W311" s="21" t="s">
        <v>879</v>
      </c>
      <c r="X311" s="21" t="s">
        <v>172</v>
      </c>
      <c r="Y311" s="21" t="s">
        <v>173</v>
      </c>
      <c r="Z311" s="21" t="s">
        <v>903</v>
      </c>
      <c r="AA311" s="21" t="str">
        <f>HYPERLINK("https://miland.ru/api/getInfo/item/da06779b-eb4f-11ee-a25b-00155d82e908")</f>
        <v>https://miland.ru/api/getInfo/item/da06779b-eb4f-11ee-a25b-00155d82e908</v>
      </c>
      <c r="AB311" s="21" t="s">
        <v>42</v>
      </c>
      <c r="AC311" s="21" t="s">
        <v>904</v>
      </c>
      <c r="AD311" s="21"/>
    </row>
    <row r="312" spans="2:30" s="1" customFormat="1" ht="96.3" customHeight="1" outlineLevel="7">
      <c r="B312" s="20">
        <v>187</v>
      </c>
      <c r="C312" s="21" t="s">
        <v>905</v>
      </c>
      <c r="D312" s="72" t="s">
        <v>906</v>
      </c>
      <c r="E312" s="72"/>
      <c r="F312" s="72"/>
      <c r="G312" s="72"/>
      <c r="H312" s="22" t="s">
        <v>907</v>
      </c>
      <c r="I312" s="23" t="s">
        <v>36</v>
      </c>
      <c r="J312" s="22"/>
      <c r="K312" s="20">
        <v>2</v>
      </c>
      <c r="L312" s="24">
        <v>237.14</v>
      </c>
      <c r="M312" s="11"/>
      <c r="N312" s="22">
        <f t="shared" si="12"/>
        <v>0</v>
      </c>
      <c r="O312" s="25">
        <f>0.111*M312</f>
        <v>0</v>
      </c>
      <c r="P312" s="26">
        <f>0.00518*M312</f>
        <v>0</v>
      </c>
      <c r="Q312" s="30"/>
      <c r="R312" s="22" t="s">
        <v>908</v>
      </c>
      <c r="S312" s="22"/>
      <c r="T312" s="21" t="str">
        <f>HYPERLINK("https://miland.ru/api/getInfo/image/ef1c43a7-eb4f-11ee-a25b-00155d82e908")</f>
        <v>https://miland.ru/api/getInfo/image/ef1c43a7-eb4f-11ee-a25b-00155d82e908</v>
      </c>
      <c r="U312" s="21"/>
      <c r="V312" s="21" t="s">
        <v>878</v>
      </c>
      <c r="W312" s="21" t="s">
        <v>879</v>
      </c>
      <c r="X312" s="21" t="s">
        <v>172</v>
      </c>
      <c r="Y312" s="21" t="s">
        <v>173</v>
      </c>
      <c r="Z312" s="21" t="s">
        <v>909</v>
      </c>
      <c r="AA312" s="21" t="str">
        <f>HYPERLINK("https://miland.ru/api/getInfo/item/ef1c43a7-eb4f-11ee-a25b-00155d82e908")</f>
        <v>https://miland.ru/api/getInfo/item/ef1c43a7-eb4f-11ee-a25b-00155d82e908</v>
      </c>
      <c r="AB312" s="21" t="s">
        <v>42</v>
      </c>
      <c r="AC312" s="21" t="s">
        <v>904</v>
      </c>
      <c r="AD312" s="21"/>
    </row>
    <row r="313" spans="2:30" s="1" customFormat="1" ht="96.3" customHeight="1" outlineLevel="7">
      <c r="B313" s="20">
        <v>188</v>
      </c>
      <c r="C313" s="21" t="s">
        <v>910</v>
      </c>
      <c r="D313" s="72" t="s">
        <v>911</v>
      </c>
      <c r="E313" s="72"/>
      <c r="F313" s="72"/>
      <c r="G313" s="72"/>
      <c r="H313" s="22" t="s">
        <v>912</v>
      </c>
      <c r="I313" s="23" t="s">
        <v>36</v>
      </c>
      <c r="J313" s="22"/>
      <c r="K313" s="20">
        <v>2</v>
      </c>
      <c r="L313" s="24">
        <v>232.77</v>
      </c>
      <c r="M313" s="11"/>
      <c r="N313" s="22">
        <f t="shared" si="12"/>
        <v>0</v>
      </c>
      <c r="O313" s="25">
        <f>0.111*M313</f>
        <v>0</v>
      </c>
      <c r="P313" s="29">
        <f>0.0006*M313</f>
        <v>0</v>
      </c>
      <c r="Q313" s="30"/>
      <c r="R313" s="22" t="s">
        <v>913</v>
      </c>
      <c r="S313" s="22"/>
      <c r="T313" s="21" t="str">
        <f>HYPERLINK("https://miland.ru/api/getInfo/image/7e267986-eb4f-11ee-a25b-00155d82e908")</f>
        <v>https://miland.ru/api/getInfo/image/7e267986-eb4f-11ee-a25b-00155d82e908</v>
      </c>
      <c r="U313" s="21"/>
      <c r="V313" s="21" t="s">
        <v>878</v>
      </c>
      <c r="W313" s="21" t="s">
        <v>879</v>
      </c>
      <c r="X313" s="21" t="s">
        <v>172</v>
      </c>
      <c r="Y313" s="21" t="s">
        <v>173</v>
      </c>
      <c r="Z313" s="21" t="s">
        <v>914</v>
      </c>
      <c r="AA313" s="21" t="str">
        <f>HYPERLINK("https://miland.ru/api/getInfo/item/7e267986-eb4f-11ee-a25b-00155d82e908")</f>
        <v>https://miland.ru/api/getInfo/item/7e267986-eb4f-11ee-a25b-00155d82e908</v>
      </c>
      <c r="AB313" s="21" t="s">
        <v>42</v>
      </c>
      <c r="AC313" s="21" t="s">
        <v>904</v>
      </c>
      <c r="AD313" s="21"/>
    </row>
    <row r="314" spans="2:30" s="1" customFormat="1" ht="96.3" customHeight="1" outlineLevel="7">
      <c r="B314" s="20">
        <v>189</v>
      </c>
      <c r="C314" s="21" t="s">
        <v>915</v>
      </c>
      <c r="D314" s="72" t="s">
        <v>916</v>
      </c>
      <c r="E314" s="72"/>
      <c r="F314" s="72"/>
      <c r="G314" s="72"/>
      <c r="H314" s="22" t="s">
        <v>917</v>
      </c>
      <c r="I314" s="23" t="s">
        <v>36</v>
      </c>
      <c r="J314" s="22"/>
      <c r="K314" s="20">
        <v>2</v>
      </c>
      <c r="L314" s="24">
        <v>232.77</v>
      </c>
      <c r="M314" s="11"/>
      <c r="N314" s="22">
        <f t="shared" si="12"/>
        <v>0</v>
      </c>
      <c r="O314" s="25">
        <f>0.114*M314</f>
        <v>0</v>
      </c>
      <c r="P314" s="29">
        <f>0.0006*M314</f>
        <v>0</v>
      </c>
      <c r="Q314" s="30"/>
      <c r="R314" s="22" t="s">
        <v>918</v>
      </c>
      <c r="S314" s="22"/>
      <c r="T314" s="21" t="str">
        <f>HYPERLINK("https://miland.ru/api/getInfo/image/c71e91d9-eb4f-11ee-a25b-00155d82e908")</f>
        <v>https://miland.ru/api/getInfo/image/c71e91d9-eb4f-11ee-a25b-00155d82e908</v>
      </c>
      <c r="U314" s="21"/>
      <c r="V314" s="21" t="s">
        <v>878</v>
      </c>
      <c r="W314" s="21" t="s">
        <v>879</v>
      </c>
      <c r="X314" s="21" t="s">
        <v>172</v>
      </c>
      <c r="Y314" s="21" t="s">
        <v>173</v>
      </c>
      <c r="Z314" s="21" t="s">
        <v>919</v>
      </c>
      <c r="AA314" s="21" t="str">
        <f>HYPERLINK("https://miland.ru/api/getInfo/item/c71e91d9-eb4f-11ee-a25b-00155d82e908")</f>
        <v>https://miland.ru/api/getInfo/item/c71e91d9-eb4f-11ee-a25b-00155d82e908</v>
      </c>
      <c r="AB314" s="21" t="s">
        <v>42</v>
      </c>
      <c r="AC314" s="21" t="s">
        <v>904</v>
      </c>
      <c r="AD314" s="21"/>
    </row>
    <row r="315" spans="2:30" s="1" customFormat="1" ht="96.3" customHeight="1" outlineLevel="7">
      <c r="B315" s="20">
        <v>190</v>
      </c>
      <c r="C315" s="21" t="s">
        <v>920</v>
      </c>
      <c r="D315" s="72" t="s">
        <v>921</v>
      </c>
      <c r="E315" s="72"/>
      <c r="F315" s="72"/>
      <c r="G315" s="72"/>
      <c r="H315" s="22" t="s">
        <v>922</v>
      </c>
      <c r="I315" s="27">
        <v>153</v>
      </c>
      <c r="J315" s="22"/>
      <c r="K315" s="20">
        <v>1</v>
      </c>
      <c r="L315" s="24">
        <v>605.67999999999995</v>
      </c>
      <c r="M315" s="11"/>
      <c r="N315" s="22">
        <f t="shared" si="12"/>
        <v>0</v>
      </c>
      <c r="O315" s="25">
        <f>28.994*M315</f>
        <v>0</v>
      </c>
      <c r="P315" s="26">
        <f>0.12646*M315</f>
        <v>0</v>
      </c>
      <c r="Q315" s="30"/>
      <c r="R315" s="22" t="s">
        <v>923</v>
      </c>
      <c r="S315" s="22"/>
      <c r="T315" s="21" t="str">
        <f>HYPERLINK("https://miland.ru/api/getInfo/image/379d264f-eb50-11ee-a25b-00155d82e908")</f>
        <v>https://miland.ru/api/getInfo/image/379d264f-eb50-11ee-a25b-00155d82e908</v>
      </c>
      <c r="U315" s="21"/>
      <c r="V315" s="21" t="s">
        <v>878</v>
      </c>
      <c r="W315" s="21" t="s">
        <v>879</v>
      </c>
      <c r="X315" s="21" t="s">
        <v>172</v>
      </c>
      <c r="Y315" s="21" t="s">
        <v>173</v>
      </c>
      <c r="Z315" s="21" t="s">
        <v>924</v>
      </c>
      <c r="AA315" s="21" t="str">
        <f>HYPERLINK("https://miland.ru/api/getInfo/item/379d264f-eb50-11ee-a25b-00155d82e908")</f>
        <v>https://miland.ru/api/getInfo/item/379d264f-eb50-11ee-a25b-00155d82e908</v>
      </c>
      <c r="AB315" s="21" t="s">
        <v>42</v>
      </c>
      <c r="AC315" s="21" t="s">
        <v>925</v>
      </c>
      <c r="AD315" s="21"/>
    </row>
    <row r="316" spans="2:30" s="1" customFormat="1" ht="96.3" customHeight="1" outlineLevel="7">
      <c r="B316" s="20">
        <v>191</v>
      </c>
      <c r="C316" s="21" t="s">
        <v>926</v>
      </c>
      <c r="D316" s="72" t="s">
        <v>927</v>
      </c>
      <c r="E316" s="72"/>
      <c r="F316" s="72"/>
      <c r="G316" s="72"/>
      <c r="H316" s="22" t="s">
        <v>928</v>
      </c>
      <c r="I316" s="23" t="s">
        <v>36</v>
      </c>
      <c r="J316" s="22"/>
      <c r="K316" s="20">
        <v>1</v>
      </c>
      <c r="L316" s="24">
        <v>605.67999999999995</v>
      </c>
      <c r="M316" s="11"/>
      <c r="N316" s="22">
        <f t="shared" si="12"/>
        <v>0</v>
      </c>
      <c r="O316" s="25">
        <f>0.284*M316</f>
        <v>0</v>
      </c>
      <c r="P316" s="29">
        <f>0.0084*M316</f>
        <v>0</v>
      </c>
      <c r="Q316" s="30"/>
      <c r="R316" s="22" t="s">
        <v>929</v>
      </c>
      <c r="S316" s="22" t="s">
        <v>435</v>
      </c>
      <c r="T316" s="21" t="str">
        <f>HYPERLINK("https://miland.ru/api/getInfo/image/085e2cd5-eb50-11ee-a25b-00155d82e908")</f>
        <v>https://miland.ru/api/getInfo/image/085e2cd5-eb50-11ee-a25b-00155d82e908</v>
      </c>
      <c r="U316" s="21"/>
      <c r="V316" s="21" t="s">
        <v>878</v>
      </c>
      <c r="W316" s="21" t="s">
        <v>879</v>
      </c>
      <c r="X316" s="21" t="s">
        <v>172</v>
      </c>
      <c r="Y316" s="21" t="s">
        <v>173</v>
      </c>
      <c r="Z316" s="21" t="s">
        <v>930</v>
      </c>
      <c r="AA316" s="21" t="str">
        <f>HYPERLINK("https://miland.ru/api/getInfo/item/085e2cd5-eb50-11ee-a25b-00155d82e908")</f>
        <v>https://miland.ru/api/getInfo/item/085e2cd5-eb50-11ee-a25b-00155d82e908</v>
      </c>
      <c r="AB316" s="21" t="s">
        <v>42</v>
      </c>
      <c r="AC316" s="21" t="s">
        <v>925</v>
      </c>
      <c r="AD316" s="21"/>
    </row>
    <row r="317" spans="2:30" s="1" customFormat="1" ht="96.3" customHeight="1" outlineLevel="7">
      <c r="B317" s="20">
        <v>192</v>
      </c>
      <c r="C317" s="21" t="s">
        <v>931</v>
      </c>
      <c r="D317" s="72" t="s">
        <v>932</v>
      </c>
      <c r="E317" s="72"/>
      <c r="F317" s="72"/>
      <c r="G317" s="72"/>
      <c r="H317" s="22" t="s">
        <v>933</v>
      </c>
      <c r="I317" s="23" t="s">
        <v>36</v>
      </c>
      <c r="J317" s="22"/>
      <c r="K317" s="20">
        <v>1</v>
      </c>
      <c r="L317" s="24">
        <v>605.67999999999995</v>
      </c>
      <c r="M317" s="11"/>
      <c r="N317" s="22">
        <f t="shared" si="12"/>
        <v>0</v>
      </c>
      <c r="O317" s="25">
        <f>0.294*M317</f>
        <v>0</v>
      </c>
      <c r="P317" s="26">
        <f>0.00777*M317</f>
        <v>0</v>
      </c>
      <c r="Q317" s="30"/>
      <c r="R317" s="22" t="s">
        <v>934</v>
      </c>
      <c r="S317" s="22" t="s">
        <v>435</v>
      </c>
      <c r="T317" s="21" t="str">
        <f>HYPERLINK("https://miland.ru/api/getInfo/image/2035b0de-eb50-11ee-a25b-00155d82e908")</f>
        <v>https://miland.ru/api/getInfo/image/2035b0de-eb50-11ee-a25b-00155d82e908</v>
      </c>
      <c r="U317" s="21"/>
      <c r="V317" s="21" t="s">
        <v>878</v>
      </c>
      <c r="W317" s="21" t="s">
        <v>879</v>
      </c>
      <c r="X317" s="21" t="s">
        <v>172</v>
      </c>
      <c r="Y317" s="21" t="s">
        <v>173</v>
      </c>
      <c r="Z317" s="21" t="s">
        <v>934</v>
      </c>
      <c r="AA317" s="21" t="str">
        <f>HYPERLINK("https://miland.ru/api/getInfo/item/2035b0de-eb50-11ee-a25b-00155d82e908")</f>
        <v>https://miland.ru/api/getInfo/item/2035b0de-eb50-11ee-a25b-00155d82e908</v>
      </c>
      <c r="AB317" s="21" t="s">
        <v>42</v>
      </c>
      <c r="AC317" s="21" t="s">
        <v>925</v>
      </c>
      <c r="AD317" s="21"/>
    </row>
    <row r="318" spans="2:30" s="1" customFormat="1" ht="96.3" customHeight="1" outlineLevel="7">
      <c r="B318" s="20">
        <v>193</v>
      </c>
      <c r="C318" s="21" t="s">
        <v>935</v>
      </c>
      <c r="D318" s="72" t="s">
        <v>936</v>
      </c>
      <c r="E318" s="72"/>
      <c r="F318" s="72"/>
      <c r="G318" s="72"/>
      <c r="H318" s="22" t="s">
        <v>937</v>
      </c>
      <c r="I318" s="23" t="s">
        <v>36</v>
      </c>
      <c r="J318" s="22"/>
      <c r="K318" s="20">
        <v>1</v>
      </c>
      <c r="L318" s="24">
        <v>618.75</v>
      </c>
      <c r="M318" s="11"/>
      <c r="N318" s="22">
        <f t="shared" si="12"/>
        <v>0</v>
      </c>
      <c r="O318" s="25">
        <f>3.019*M318</f>
        <v>0</v>
      </c>
      <c r="P318" s="29">
        <f>0.0152*M318</f>
        <v>0</v>
      </c>
      <c r="Q318" s="30"/>
      <c r="R318" s="22" t="s">
        <v>938</v>
      </c>
      <c r="S318" s="22"/>
      <c r="T318" s="21" t="str">
        <f>HYPERLINK("https://miland.ru/api/getInfo/image/90e83201-1f67-11f0-a279-00155d82e908")</f>
        <v>https://miland.ru/api/getInfo/image/90e83201-1f67-11f0-a279-00155d82e908</v>
      </c>
      <c r="U318" s="21"/>
      <c r="V318" s="21" t="s">
        <v>878</v>
      </c>
      <c r="W318" s="21" t="s">
        <v>879</v>
      </c>
      <c r="X318" s="21" t="s">
        <v>172</v>
      </c>
      <c r="Y318" s="21" t="s">
        <v>173</v>
      </c>
      <c r="Z318" s="21" t="s">
        <v>939</v>
      </c>
      <c r="AA318" s="21" t="str">
        <f>HYPERLINK("https://miland.ru/api/getInfo/item/90e83201-1f67-11f0-a279-00155d82e908")</f>
        <v>https://miland.ru/api/getInfo/item/90e83201-1f67-11f0-a279-00155d82e908</v>
      </c>
      <c r="AB318" s="21" t="s">
        <v>42</v>
      </c>
      <c r="AC318" s="21"/>
      <c r="AD318" s="21"/>
    </row>
    <row r="319" spans="2:30" ht="12" customHeight="1" outlineLevel="7">
      <c r="B319" s="70" t="s">
        <v>940</v>
      </c>
      <c r="C319" s="70"/>
      <c r="D319" s="70"/>
      <c r="E319" s="70"/>
      <c r="F319" s="70"/>
      <c r="G319" s="70"/>
    </row>
    <row r="320" spans="2:30" s="1" customFormat="1" ht="96.3" customHeight="1" outlineLevel="7">
      <c r="B320" s="20">
        <v>194</v>
      </c>
      <c r="C320" s="21" t="s">
        <v>941</v>
      </c>
      <c r="D320" s="72" t="s">
        <v>942</v>
      </c>
      <c r="E320" s="72"/>
      <c r="F320" s="72"/>
      <c r="G320" s="72"/>
      <c r="H320" s="22" t="s">
        <v>943</v>
      </c>
      <c r="I320" s="27">
        <v>63</v>
      </c>
      <c r="J320" s="22"/>
      <c r="K320" s="20">
        <v>1</v>
      </c>
      <c r="L320" s="24">
        <v>699.54</v>
      </c>
      <c r="M320" s="11"/>
      <c r="N320" s="22">
        <f t="shared" ref="N320:N337" si="13">L320*M320</f>
        <v>0</v>
      </c>
      <c r="O320" s="25">
        <f>0.118*M320</f>
        <v>0</v>
      </c>
      <c r="P320" s="26">
        <f>0.00067*M320</f>
        <v>0</v>
      </c>
      <c r="Q320" s="30"/>
      <c r="R320" s="22" t="s">
        <v>944</v>
      </c>
      <c r="S320" s="22"/>
      <c r="T320" s="21" t="str">
        <f>HYPERLINK("https://miland.ru/api/getInfo/image/025592c7-1eb3-11f0-a279-00155d82e908")</f>
        <v>https://miland.ru/api/getInfo/image/025592c7-1eb3-11f0-a279-00155d82e908</v>
      </c>
      <c r="U320" s="21"/>
      <c r="V320" s="21" t="s">
        <v>878</v>
      </c>
      <c r="W320" s="21" t="s">
        <v>879</v>
      </c>
      <c r="X320" s="21" t="s">
        <v>172</v>
      </c>
      <c r="Y320" s="21" t="s">
        <v>173</v>
      </c>
      <c r="Z320" s="21" t="s">
        <v>945</v>
      </c>
      <c r="AA320" s="21" t="str">
        <f>HYPERLINK("https://miland.ru/api/getInfo/item/025592c7-1eb3-11f0-a279-00155d82e908")</f>
        <v>https://miland.ru/api/getInfo/item/025592c7-1eb3-11f0-a279-00155d82e908</v>
      </c>
      <c r="AB320" s="21" t="s">
        <v>42</v>
      </c>
      <c r="AC320" s="21"/>
      <c r="AD320" s="21"/>
    </row>
    <row r="321" spans="2:30" s="1" customFormat="1" ht="96.3" customHeight="1" outlineLevel="7">
      <c r="B321" s="20">
        <v>195</v>
      </c>
      <c r="C321" s="21" t="s">
        <v>946</v>
      </c>
      <c r="D321" s="72" t="s">
        <v>947</v>
      </c>
      <c r="E321" s="72"/>
      <c r="F321" s="72"/>
      <c r="G321" s="72"/>
      <c r="H321" s="22" t="s">
        <v>948</v>
      </c>
      <c r="I321" s="23" t="s">
        <v>36</v>
      </c>
      <c r="J321" s="22"/>
      <c r="K321" s="20">
        <v>2</v>
      </c>
      <c r="L321" s="24">
        <v>296.04000000000002</v>
      </c>
      <c r="M321" s="11"/>
      <c r="N321" s="22">
        <f t="shared" si="13"/>
        <v>0</v>
      </c>
      <c r="O321" s="25">
        <f>0.048*M321</f>
        <v>0</v>
      </c>
      <c r="P321" s="26">
        <f>0.00029*M321</f>
        <v>0</v>
      </c>
      <c r="Q321" s="30"/>
      <c r="R321" s="22" t="s">
        <v>949</v>
      </c>
      <c r="S321" s="22"/>
      <c r="T321" s="21" t="str">
        <f>HYPERLINK("https://miland.ru/api/getInfo/image/0f54b527-eb66-11ee-a25b-00155d82e908")</f>
        <v>https://miland.ru/api/getInfo/image/0f54b527-eb66-11ee-a25b-00155d82e908</v>
      </c>
      <c r="U321" s="21"/>
      <c r="V321" s="21" t="s">
        <v>878</v>
      </c>
      <c r="W321" s="21" t="s">
        <v>879</v>
      </c>
      <c r="X321" s="21" t="s">
        <v>172</v>
      </c>
      <c r="Y321" s="21" t="s">
        <v>173</v>
      </c>
      <c r="Z321" s="21" t="s">
        <v>950</v>
      </c>
      <c r="AA321" s="21" t="str">
        <f>HYPERLINK("https://miland.ru/api/getInfo/item/0f54b527-eb66-11ee-a25b-00155d82e908")</f>
        <v>https://miland.ru/api/getInfo/item/0f54b527-eb66-11ee-a25b-00155d82e908</v>
      </c>
      <c r="AB321" s="21" t="s">
        <v>42</v>
      </c>
      <c r="AC321" s="21" t="s">
        <v>904</v>
      </c>
      <c r="AD321" s="21"/>
    </row>
    <row r="322" spans="2:30" s="1" customFormat="1" ht="96.3" customHeight="1" outlineLevel="7">
      <c r="B322" s="20">
        <v>196</v>
      </c>
      <c r="C322" s="21" t="s">
        <v>951</v>
      </c>
      <c r="D322" s="72" t="s">
        <v>952</v>
      </c>
      <c r="E322" s="72"/>
      <c r="F322" s="72"/>
      <c r="G322" s="72"/>
      <c r="H322" s="22" t="s">
        <v>953</v>
      </c>
      <c r="I322" s="23" t="s">
        <v>36</v>
      </c>
      <c r="J322" s="22"/>
      <c r="K322" s="20">
        <v>2</v>
      </c>
      <c r="L322" s="24">
        <v>296.04000000000002</v>
      </c>
      <c r="M322" s="11"/>
      <c r="N322" s="22">
        <f t="shared" si="13"/>
        <v>0</v>
      </c>
      <c r="O322" s="25">
        <f>3.832*M322</f>
        <v>0</v>
      </c>
      <c r="P322" s="26">
        <f>0.02972*M322</f>
        <v>0</v>
      </c>
      <c r="Q322" s="30"/>
      <c r="R322" s="22" t="s">
        <v>954</v>
      </c>
      <c r="S322" s="22"/>
      <c r="T322" s="21" t="str">
        <f>HYPERLINK("https://miland.ru/api/getInfo/image/e4a1253c-eb65-11ee-a25b-00155d82e908")</f>
        <v>https://miland.ru/api/getInfo/image/e4a1253c-eb65-11ee-a25b-00155d82e908</v>
      </c>
      <c r="U322" s="21"/>
      <c r="V322" s="21" t="s">
        <v>878</v>
      </c>
      <c r="W322" s="21" t="s">
        <v>879</v>
      </c>
      <c r="X322" s="21" t="s">
        <v>172</v>
      </c>
      <c r="Y322" s="21" t="s">
        <v>173</v>
      </c>
      <c r="Z322" s="21" t="s">
        <v>955</v>
      </c>
      <c r="AA322" s="21" t="str">
        <f>HYPERLINK("https://miland.ru/api/getInfo/item/e4a1253c-eb65-11ee-a25b-00155d82e908")</f>
        <v>https://miland.ru/api/getInfo/item/e4a1253c-eb65-11ee-a25b-00155d82e908</v>
      </c>
      <c r="AB322" s="21" t="s">
        <v>42</v>
      </c>
      <c r="AC322" s="21" t="s">
        <v>904</v>
      </c>
      <c r="AD322" s="21"/>
    </row>
    <row r="323" spans="2:30" s="1" customFormat="1" ht="96.3" customHeight="1" outlineLevel="7">
      <c r="B323" s="20">
        <v>197</v>
      </c>
      <c r="C323" s="21" t="s">
        <v>956</v>
      </c>
      <c r="D323" s="72" t="s">
        <v>957</v>
      </c>
      <c r="E323" s="72"/>
      <c r="F323" s="72"/>
      <c r="G323" s="72"/>
      <c r="H323" s="22" t="s">
        <v>958</v>
      </c>
      <c r="I323" s="23" t="s">
        <v>36</v>
      </c>
      <c r="J323" s="22"/>
      <c r="K323" s="20">
        <v>2</v>
      </c>
      <c r="L323" s="24">
        <v>296.04000000000002</v>
      </c>
      <c r="M323" s="11"/>
      <c r="N323" s="22">
        <f t="shared" si="13"/>
        <v>0</v>
      </c>
      <c r="O323" s="28">
        <f>0.03*M323</f>
        <v>0</v>
      </c>
      <c r="P323" s="26">
        <f>0.00024*M323</f>
        <v>0</v>
      </c>
      <c r="Q323" s="30"/>
      <c r="R323" s="22" t="s">
        <v>959</v>
      </c>
      <c r="S323" s="22"/>
      <c r="T323" s="21" t="str">
        <f>HYPERLINK("https://miland.ru/api/getInfo/image/fc6a64d7-eb65-11ee-a25b-00155d82e908")</f>
        <v>https://miland.ru/api/getInfo/image/fc6a64d7-eb65-11ee-a25b-00155d82e908</v>
      </c>
      <c r="U323" s="21"/>
      <c r="V323" s="21" t="s">
        <v>878</v>
      </c>
      <c r="W323" s="21" t="s">
        <v>879</v>
      </c>
      <c r="X323" s="21" t="s">
        <v>172</v>
      </c>
      <c r="Y323" s="21" t="s">
        <v>173</v>
      </c>
      <c r="Z323" s="21" t="s">
        <v>960</v>
      </c>
      <c r="AA323" s="21" t="str">
        <f>HYPERLINK("https://miland.ru/api/getInfo/item/fc6a64d7-eb65-11ee-a25b-00155d82e908")</f>
        <v>https://miland.ru/api/getInfo/item/fc6a64d7-eb65-11ee-a25b-00155d82e908</v>
      </c>
      <c r="AB323" s="21" t="s">
        <v>42</v>
      </c>
      <c r="AC323" s="21" t="s">
        <v>904</v>
      </c>
      <c r="AD323" s="21"/>
    </row>
    <row r="324" spans="2:30" s="1" customFormat="1" ht="96.3" customHeight="1" outlineLevel="7">
      <c r="B324" s="20">
        <v>198</v>
      </c>
      <c r="C324" s="21" t="s">
        <v>961</v>
      </c>
      <c r="D324" s="72" t="s">
        <v>962</v>
      </c>
      <c r="E324" s="72"/>
      <c r="F324" s="72"/>
      <c r="G324" s="72"/>
      <c r="H324" s="22" t="s">
        <v>963</v>
      </c>
      <c r="I324" s="23" t="s">
        <v>36</v>
      </c>
      <c r="J324" s="22"/>
      <c r="K324" s="20">
        <v>1</v>
      </c>
      <c r="L324" s="32">
        <v>2935.53</v>
      </c>
      <c r="M324" s="11"/>
      <c r="N324" s="22">
        <f t="shared" si="13"/>
        <v>0</v>
      </c>
      <c r="O324" s="25">
        <f>0.344*M324</f>
        <v>0</v>
      </c>
      <c r="P324" s="26">
        <f>0.00137*M324</f>
        <v>0</v>
      </c>
      <c r="Q324" s="30"/>
      <c r="R324" s="22" t="s">
        <v>964</v>
      </c>
      <c r="S324" s="22"/>
      <c r="T324" s="21" t="str">
        <f>HYPERLINK("https://miland.ru/api/getInfo/image/ab70af40-eb66-11ee-a25b-00155d82e908")</f>
        <v>https://miland.ru/api/getInfo/image/ab70af40-eb66-11ee-a25b-00155d82e908</v>
      </c>
      <c r="U324" s="21"/>
      <c r="V324" s="21" t="s">
        <v>878</v>
      </c>
      <c r="W324" s="21" t="s">
        <v>879</v>
      </c>
      <c r="X324" s="21" t="s">
        <v>172</v>
      </c>
      <c r="Y324" s="21" t="s">
        <v>173</v>
      </c>
      <c r="Z324" s="21" t="s">
        <v>964</v>
      </c>
      <c r="AA324" s="21" t="str">
        <f>HYPERLINK("https://miland.ru/api/getInfo/item/ab70af40-eb66-11ee-a25b-00155d82e908")</f>
        <v>https://miland.ru/api/getInfo/item/ab70af40-eb66-11ee-a25b-00155d82e908</v>
      </c>
      <c r="AB324" s="21" t="s">
        <v>42</v>
      </c>
      <c r="AC324" s="21" t="s">
        <v>965</v>
      </c>
      <c r="AD324" s="21"/>
    </row>
    <row r="325" spans="2:30" s="1" customFormat="1" ht="96.3" customHeight="1" outlineLevel="7">
      <c r="B325" s="20">
        <v>199</v>
      </c>
      <c r="C325" s="21" t="s">
        <v>966</v>
      </c>
      <c r="D325" s="72" t="s">
        <v>967</v>
      </c>
      <c r="E325" s="72"/>
      <c r="F325" s="72"/>
      <c r="G325" s="72"/>
      <c r="H325" s="22" t="s">
        <v>968</v>
      </c>
      <c r="I325" s="23" t="s">
        <v>36</v>
      </c>
      <c r="J325" s="22"/>
      <c r="K325" s="20">
        <v>1</v>
      </c>
      <c r="L325" s="32">
        <v>2349.02</v>
      </c>
      <c r="M325" s="11"/>
      <c r="N325" s="22">
        <f t="shared" si="13"/>
        <v>0</v>
      </c>
      <c r="O325" s="28">
        <f>0.34*M325</f>
        <v>0</v>
      </c>
      <c r="P325" s="26">
        <f>0.00088*M325</f>
        <v>0</v>
      </c>
      <c r="Q325" s="30"/>
      <c r="R325" s="22" t="s">
        <v>969</v>
      </c>
      <c r="S325" s="22"/>
      <c r="T325" s="21" t="str">
        <f>HYPERLINK("https://miland.ru/api/getInfo/image/c78c33ec-eb66-11ee-a25b-00155d82e908")</f>
        <v>https://miland.ru/api/getInfo/image/c78c33ec-eb66-11ee-a25b-00155d82e908</v>
      </c>
      <c r="U325" s="21"/>
      <c r="V325" s="21" t="s">
        <v>878</v>
      </c>
      <c r="W325" s="21" t="s">
        <v>879</v>
      </c>
      <c r="X325" s="21" t="s">
        <v>172</v>
      </c>
      <c r="Y325" s="21" t="s">
        <v>173</v>
      </c>
      <c r="Z325" s="21" t="s">
        <v>970</v>
      </c>
      <c r="AA325" s="21" t="str">
        <f>HYPERLINK("https://miland.ru/api/getInfo/item/c78c33ec-eb66-11ee-a25b-00155d82e908")</f>
        <v>https://miland.ru/api/getInfo/item/c78c33ec-eb66-11ee-a25b-00155d82e908</v>
      </c>
      <c r="AB325" s="21" t="s">
        <v>42</v>
      </c>
      <c r="AC325" s="21" t="s">
        <v>965</v>
      </c>
      <c r="AD325" s="21"/>
    </row>
    <row r="326" spans="2:30" s="1" customFormat="1" ht="96.3" customHeight="1" outlineLevel="7">
      <c r="B326" s="20">
        <v>200</v>
      </c>
      <c r="C326" s="21" t="s">
        <v>971</v>
      </c>
      <c r="D326" s="72" t="s">
        <v>972</v>
      </c>
      <c r="E326" s="72"/>
      <c r="F326" s="72"/>
      <c r="G326" s="72"/>
      <c r="H326" s="22" t="s">
        <v>973</v>
      </c>
      <c r="I326" s="27">
        <v>342</v>
      </c>
      <c r="J326" s="22"/>
      <c r="K326" s="20">
        <v>1</v>
      </c>
      <c r="L326" s="24">
        <v>569.32000000000005</v>
      </c>
      <c r="M326" s="11"/>
      <c r="N326" s="22">
        <f t="shared" si="13"/>
        <v>0</v>
      </c>
      <c r="O326" s="28">
        <f>0.06*M326</f>
        <v>0</v>
      </c>
      <c r="P326" s="26">
        <f>0.00031*M326</f>
        <v>0</v>
      </c>
      <c r="Q326" s="30"/>
      <c r="R326" s="22" t="s">
        <v>974</v>
      </c>
      <c r="S326" s="22"/>
      <c r="T326" s="21" t="str">
        <f>HYPERLINK("https://miland.ru/api/getInfo/image/57fe3e21-eb66-11ee-a25b-00155d82e908")</f>
        <v>https://miland.ru/api/getInfo/image/57fe3e21-eb66-11ee-a25b-00155d82e908</v>
      </c>
      <c r="U326" s="21"/>
      <c r="V326" s="21" t="s">
        <v>878</v>
      </c>
      <c r="W326" s="21" t="s">
        <v>879</v>
      </c>
      <c r="X326" s="21" t="s">
        <v>172</v>
      </c>
      <c r="Y326" s="21" t="s">
        <v>173</v>
      </c>
      <c r="Z326" s="21" t="s">
        <v>975</v>
      </c>
      <c r="AA326" s="21" t="str">
        <f>HYPERLINK("https://miland.ru/api/getInfo/item/57fe3e21-eb66-11ee-a25b-00155d82e908")</f>
        <v>https://miland.ru/api/getInfo/item/57fe3e21-eb66-11ee-a25b-00155d82e908</v>
      </c>
      <c r="AB326" s="21" t="s">
        <v>42</v>
      </c>
      <c r="AC326" s="21" t="s">
        <v>976</v>
      </c>
      <c r="AD326" s="21"/>
    </row>
    <row r="327" spans="2:30" s="1" customFormat="1" ht="96.3" customHeight="1" outlineLevel="7">
      <c r="B327" s="20">
        <v>201</v>
      </c>
      <c r="C327" s="21" t="s">
        <v>977</v>
      </c>
      <c r="D327" s="72" t="s">
        <v>978</v>
      </c>
      <c r="E327" s="72"/>
      <c r="F327" s="72"/>
      <c r="G327" s="72"/>
      <c r="H327" s="22" t="s">
        <v>979</v>
      </c>
      <c r="I327" s="23" t="s">
        <v>36</v>
      </c>
      <c r="J327" s="22"/>
      <c r="K327" s="20">
        <v>1</v>
      </c>
      <c r="L327" s="24">
        <v>569.32000000000005</v>
      </c>
      <c r="M327" s="11"/>
      <c r="N327" s="22">
        <f t="shared" si="13"/>
        <v>0</v>
      </c>
      <c r="O327" s="25">
        <f>0.065*M327</f>
        <v>0</v>
      </c>
      <c r="P327" s="26">
        <f>0.00028*M327</f>
        <v>0</v>
      </c>
      <c r="Q327" s="30"/>
      <c r="R327" s="22" t="s">
        <v>980</v>
      </c>
      <c r="S327" s="22"/>
      <c r="T327" s="21" t="str">
        <f>HYPERLINK("https://miland.ru/api/getInfo/image/264c25cc-eb66-11ee-a25b-00155d82e908")</f>
        <v>https://miland.ru/api/getInfo/image/264c25cc-eb66-11ee-a25b-00155d82e908</v>
      </c>
      <c r="U327" s="21"/>
      <c r="V327" s="21" t="s">
        <v>878</v>
      </c>
      <c r="W327" s="21" t="s">
        <v>879</v>
      </c>
      <c r="X327" s="21" t="s">
        <v>172</v>
      </c>
      <c r="Y327" s="21" t="s">
        <v>173</v>
      </c>
      <c r="Z327" s="21" t="s">
        <v>981</v>
      </c>
      <c r="AA327" s="21" t="str">
        <f>HYPERLINK("https://miland.ru/api/getInfo/item/264c25cc-eb66-11ee-a25b-00155d82e908")</f>
        <v>https://miland.ru/api/getInfo/item/264c25cc-eb66-11ee-a25b-00155d82e908</v>
      </c>
      <c r="AB327" s="21" t="s">
        <v>42</v>
      </c>
      <c r="AC327" s="21" t="s">
        <v>976</v>
      </c>
      <c r="AD327" s="21"/>
    </row>
    <row r="328" spans="2:30" s="1" customFormat="1" ht="96.3" customHeight="1" outlineLevel="7">
      <c r="B328" s="20">
        <v>202</v>
      </c>
      <c r="C328" s="21" t="s">
        <v>982</v>
      </c>
      <c r="D328" s="72" t="s">
        <v>983</v>
      </c>
      <c r="E328" s="72"/>
      <c r="F328" s="72"/>
      <c r="G328" s="72"/>
      <c r="H328" s="22" t="s">
        <v>984</v>
      </c>
      <c r="I328" s="23" t="s">
        <v>36</v>
      </c>
      <c r="J328" s="22"/>
      <c r="K328" s="20">
        <v>1</v>
      </c>
      <c r="L328" s="24">
        <v>569.32000000000005</v>
      </c>
      <c r="M328" s="11"/>
      <c r="N328" s="22">
        <f t="shared" si="13"/>
        <v>0</v>
      </c>
      <c r="O328" s="28">
        <f>0.06*M328</f>
        <v>0</v>
      </c>
      <c r="P328" s="26">
        <f>0.00031*M328</f>
        <v>0</v>
      </c>
      <c r="Q328" s="30"/>
      <c r="R328" s="22" t="s">
        <v>985</v>
      </c>
      <c r="S328" s="22"/>
      <c r="T328" s="21" t="str">
        <f>HYPERLINK("https://miland.ru/api/getInfo/image/40519aa8-eb66-11ee-a25b-00155d82e908")</f>
        <v>https://miland.ru/api/getInfo/image/40519aa8-eb66-11ee-a25b-00155d82e908</v>
      </c>
      <c r="U328" s="21"/>
      <c r="V328" s="21" t="s">
        <v>878</v>
      </c>
      <c r="W328" s="21" t="s">
        <v>879</v>
      </c>
      <c r="X328" s="21" t="s">
        <v>172</v>
      </c>
      <c r="Y328" s="21" t="s">
        <v>173</v>
      </c>
      <c r="Z328" s="21" t="s">
        <v>986</v>
      </c>
      <c r="AA328" s="21" t="str">
        <f>HYPERLINK("https://miland.ru/api/getInfo/item/40519aa8-eb66-11ee-a25b-00155d82e908")</f>
        <v>https://miland.ru/api/getInfo/item/40519aa8-eb66-11ee-a25b-00155d82e908</v>
      </c>
      <c r="AB328" s="21" t="s">
        <v>42</v>
      </c>
      <c r="AC328" s="21" t="s">
        <v>976</v>
      </c>
      <c r="AD328" s="21"/>
    </row>
    <row r="329" spans="2:30" s="1" customFormat="1" ht="96.3" customHeight="1" outlineLevel="7">
      <c r="B329" s="20">
        <v>203</v>
      </c>
      <c r="C329" s="21" t="s">
        <v>987</v>
      </c>
      <c r="D329" s="72" t="s">
        <v>988</v>
      </c>
      <c r="E329" s="72"/>
      <c r="F329" s="72"/>
      <c r="G329" s="72"/>
      <c r="H329" s="22" t="s">
        <v>989</v>
      </c>
      <c r="I329" s="23" t="s">
        <v>36</v>
      </c>
      <c r="J329" s="22"/>
      <c r="K329" s="20">
        <v>1</v>
      </c>
      <c r="L329" s="32">
        <v>4040.31</v>
      </c>
      <c r="M329" s="11"/>
      <c r="N329" s="22">
        <f t="shared" si="13"/>
        <v>0</v>
      </c>
      <c r="O329" s="25">
        <f>0.601*M329</f>
        <v>0</v>
      </c>
      <c r="P329" s="26">
        <f>0.00181*M329</f>
        <v>0</v>
      </c>
      <c r="Q329" s="30"/>
      <c r="R329" s="22" t="s">
        <v>990</v>
      </c>
      <c r="S329" s="22"/>
      <c r="T329" s="21" t="str">
        <f>HYPERLINK("https://miland.ru/api/getInfo/image/dfab48b4-eb66-11ee-a25b-00155d82e908")</f>
        <v>https://miland.ru/api/getInfo/image/dfab48b4-eb66-11ee-a25b-00155d82e908</v>
      </c>
      <c r="U329" s="21"/>
      <c r="V329" s="21" t="s">
        <v>878</v>
      </c>
      <c r="W329" s="21" t="s">
        <v>879</v>
      </c>
      <c r="X329" s="21" t="s">
        <v>172</v>
      </c>
      <c r="Y329" s="21" t="s">
        <v>173</v>
      </c>
      <c r="Z329" s="21" t="s">
        <v>991</v>
      </c>
      <c r="AA329" s="21" t="str">
        <f>HYPERLINK("https://miland.ru/api/getInfo/item/dfab48b4-eb66-11ee-a25b-00155d82e908")</f>
        <v>https://miland.ru/api/getInfo/item/dfab48b4-eb66-11ee-a25b-00155d82e908</v>
      </c>
      <c r="AB329" s="21" t="s">
        <v>42</v>
      </c>
      <c r="AC329" s="21" t="s">
        <v>992</v>
      </c>
      <c r="AD329" s="21"/>
    </row>
    <row r="330" spans="2:30" s="1" customFormat="1" ht="96.3" customHeight="1" outlineLevel="7">
      <c r="B330" s="20">
        <v>204</v>
      </c>
      <c r="C330" s="21" t="s">
        <v>993</v>
      </c>
      <c r="D330" s="72" t="s">
        <v>994</v>
      </c>
      <c r="E330" s="72"/>
      <c r="F330" s="72"/>
      <c r="G330" s="72"/>
      <c r="H330" s="22" t="s">
        <v>995</v>
      </c>
      <c r="I330" s="27">
        <v>126</v>
      </c>
      <c r="J330" s="22"/>
      <c r="K330" s="20">
        <v>1</v>
      </c>
      <c r="L330" s="24">
        <v>853.97</v>
      </c>
      <c r="M330" s="11"/>
      <c r="N330" s="22">
        <f t="shared" si="13"/>
        <v>0</v>
      </c>
      <c r="O330" s="28">
        <f>0.15*M330</f>
        <v>0</v>
      </c>
      <c r="P330" s="26">
        <f>0.00085*M330</f>
        <v>0</v>
      </c>
      <c r="Q330" s="30"/>
      <c r="R330" s="22" t="s">
        <v>996</v>
      </c>
      <c r="S330" s="22"/>
      <c r="T330" s="21" t="str">
        <f>HYPERLINK("https://miland.ru/api/getInfo/image/2ae6dc27-eb67-11ee-a25b-00155d82e908")</f>
        <v>https://miland.ru/api/getInfo/image/2ae6dc27-eb67-11ee-a25b-00155d82e908</v>
      </c>
      <c r="U330" s="21"/>
      <c r="V330" s="21" t="s">
        <v>878</v>
      </c>
      <c r="W330" s="21" t="s">
        <v>879</v>
      </c>
      <c r="X330" s="21" t="s">
        <v>172</v>
      </c>
      <c r="Y330" s="21" t="s">
        <v>173</v>
      </c>
      <c r="Z330" s="21" t="s">
        <v>997</v>
      </c>
      <c r="AA330" s="21" t="str">
        <f>HYPERLINK("https://miland.ru/api/getInfo/item/2ae6dc27-eb67-11ee-a25b-00155d82e908")</f>
        <v>https://miland.ru/api/getInfo/item/2ae6dc27-eb67-11ee-a25b-00155d82e908</v>
      </c>
      <c r="AB330" s="21" t="s">
        <v>42</v>
      </c>
      <c r="AC330" s="21" t="s">
        <v>998</v>
      </c>
      <c r="AD330" s="21"/>
    </row>
    <row r="331" spans="2:30" s="1" customFormat="1" ht="96.3" customHeight="1" outlineLevel="7">
      <c r="B331" s="20">
        <v>205</v>
      </c>
      <c r="C331" s="21" t="s">
        <v>999</v>
      </c>
      <c r="D331" s="72" t="s">
        <v>1000</v>
      </c>
      <c r="E331" s="72"/>
      <c r="F331" s="72"/>
      <c r="G331" s="72"/>
      <c r="H331" s="22" t="s">
        <v>1001</v>
      </c>
      <c r="I331" s="23" t="s">
        <v>36</v>
      </c>
      <c r="J331" s="22"/>
      <c r="K331" s="20">
        <v>1</v>
      </c>
      <c r="L331" s="24">
        <v>685.28</v>
      </c>
      <c r="M331" s="11"/>
      <c r="N331" s="22">
        <f t="shared" si="13"/>
        <v>0</v>
      </c>
      <c r="O331" s="28">
        <f>0.15*M331</f>
        <v>0</v>
      </c>
      <c r="P331" s="26">
        <f>0.00085*M331</f>
        <v>0</v>
      </c>
      <c r="Q331" s="30"/>
      <c r="R331" s="22" t="s">
        <v>1002</v>
      </c>
      <c r="S331" s="22"/>
      <c r="T331" s="21" t="str">
        <f>HYPERLINK("https://miland.ru/api/getInfo/image/f41a38f6-eb66-11ee-a25b-00155d82e908")</f>
        <v>https://miland.ru/api/getInfo/image/f41a38f6-eb66-11ee-a25b-00155d82e908</v>
      </c>
      <c r="U331" s="21"/>
      <c r="V331" s="21" t="s">
        <v>878</v>
      </c>
      <c r="W331" s="21" t="s">
        <v>879</v>
      </c>
      <c r="X331" s="21" t="s">
        <v>172</v>
      </c>
      <c r="Y331" s="21" t="s">
        <v>173</v>
      </c>
      <c r="Z331" s="21" t="s">
        <v>1003</v>
      </c>
      <c r="AA331" s="21" t="str">
        <f>HYPERLINK("https://miland.ru/api/getInfo/item/f41a38f6-eb66-11ee-a25b-00155d82e908")</f>
        <v>https://miland.ru/api/getInfo/item/f41a38f6-eb66-11ee-a25b-00155d82e908</v>
      </c>
      <c r="AB331" s="21" t="s">
        <v>42</v>
      </c>
      <c r="AC331" s="21" t="s">
        <v>998</v>
      </c>
      <c r="AD331" s="21"/>
    </row>
    <row r="332" spans="2:30" s="1" customFormat="1" ht="96.3" customHeight="1" outlineLevel="7">
      <c r="B332" s="20">
        <v>206</v>
      </c>
      <c r="C332" s="21" t="s">
        <v>1004</v>
      </c>
      <c r="D332" s="72" t="s">
        <v>1005</v>
      </c>
      <c r="E332" s="72"/>
      <c r="F332" s="72"/>
      <c r="G332" s="72"/>
      <c r="H332" s="22" t="s">
        <v>1006</v>
      </c>
      <c r="I332" s="27">
        <v>166</v>
      </c>
      <c r="J332" s="22"/>
      <c r="K332" s="20">
        <v>1</v>
      </c>
      <c r="L332" s="24">
        <v>685.28</v>
      </c>
      <c r="M332" s="11"/>
      <c r="N332" s="22">
        <f t="shared" si="13"/>
        <v>0</v>
      </c>
      <c r="O332" s="25">
        <f>0.156*M332</f>
        <v>0</v>
      </c>
      <c r="P332" s="26">
        <f>0.00085*M332</f>
        <v>0</v>
      </c>
      <c r="Q332" s="30"/>
      <c r="R332" s="22" t="s">
        <v>1007</v>
      </c>
      <c r="S332" s="22"/>
      <c r="T332" s="21" t="str">
        <f>HYPERLINK("https://miland.ru/api/getInfo/image/12c302af-eb67-11ee-a25b-00155d82e908")</f>
        <v>https://miland.ru/api/getInfo/image/12c302af-eb67-11ee-a25b-00155d82e908</v>
      </c>
      <c r="U332" s="21"/>
      <c r="V332" s="21" t="s">
        <v>878</v>
      </c>
      <c r="W332" s="21" t="s">
        <v>879</v>
      </c>
      <c r="X332" s="21" t="s">
        <v>172</v>
      </c>
      <c r="Y332" s="21" t="s">
        <v>173</v>
      </c>
      <c r="Z332" s="21" t="s">
        <v>1008</v>
      </c>
      <c r="AA332" s="21" t="str">
        <f>HYPERLINK("https://miland.ru/api/getInfo/item/12c302af-eb67-11ee-a25b-00155d82e908")</f>
        <v>https://miland.ru/api/getInfo/item/12c302af-eb67-11ee-a25b-00155d82e908</v>
      </c>
      <c r="AB332" s="21" t="s">
        <v>42</v>
      </c>
      <c r="AC332" s="21" t="s">
        <v>998</v>
      </c>
      <c r="AD332" s="21"/>
    </row>
    <row r="333" spans="2:30" s="1" customFormat="1" ht="96.3" customHeight="1" outlineLevel="7">
      <c r="B333" s="20">
        <v>207</v>
      </c>
      <c r="C333" s="21" t="s">
        <v>1009</v>
      </c>
      <c r="D333" s="72" t="s">
        <v>1010</v>
      </c>
      <c r="E333" s="72"/>
      <c r="F333" s="72"/>
      <c r="G333" s="72"/>
      <c r="H333" s="22" t="s">
        <v>1011</v>
      </c>
      <c r="I333" s="23" t="s">
        <v>36</v>
      </c>
      <c r="J333" s="22"/>
      <c r="K333" s="20">
        <v>4</v>
      </c>
      <c r="L333" s="24">
        <v>147.21</v>
      </c>
      <c r="M333" s="11"/>
      <c r="N333" s="22">
        <f t="shared" si="13"/>
        <v>0</v>
      </c>
      <c r="O333" s="25">
        <f>0.029*M333</f>
        <v>0</v>
      </c>
      <c r="P333" s="26">
        <f>0.00025*M333</f>
        <v>0</v>
      </c>
      <c r="Q333" s="30"/>
      <c r="R333" s="22" t="s">
        <v>1012</v>
      </c>
      <c r="S333" s="22"/>
      <c r="T333" s="21" t="str">
        <f>HYPERLINK("https://miland.ru/api/getInfo/image/cb8091fe-eb65-11ee-a25b-00155d82e908")</f>
        <v>https://miland.ru/api/getInfo/image/cb8091fe-eb65-11ee-a25b-00155d82e908</v>
      </c>
      <c r="U333" s="21"/>
      <c r="V333" s="21" t="s">
        <v>878</v>
      </c>
      <c r="W333" s="21" t="s">
        <v>879</v>
      </c>
      <c r="X333" s="21" t="s">
        <v>172</v>
      </c>
      <c r="Y333" s="21" t="s">
        <v>173</v>
      </c>
      <c r="Z333" s="21" t="s">
        <v>1013</v>
      </c>
      <c r="AA333" s="21" t="str">
        <f>HYPERLINK("https://miland.ru/api/getInfo/item/cb8091fe-eb65-11ee-a25b-00155d82e908")</f>
        <v>https://miland.ru/api/getInfo/item/cb8091fe-eb65-11ee-a25b-00155d82e908</v>
      </c>
      <c r="AB333" s="21" t="s">
        <v>42</v>
      </c>
      <c r="AC333" s="21" t="s">
        <v>1014</v>
      </c>
      <c r="AD333" s="21"/>
    </row>
    <row r="334" spans="2:30" s="1" customFormat="1" ht="96.3" customHeight="1" outlineLevel="7">
      <c r="B334" s="20">
        <v>208</v>
      </c>
      <c r="C334" s="21" t="s">
        <v>1015</v>
      </c>
      <c r="D334" s="72" t="s">
        <v>1016</v>
      </c>
      <c r="E334" s="72"/>
      <c r="F334" s="72"/>
      <c r="G334" s="72"/>
      <c r="H334" s="22" t="s">
        <v>1017</v>
      </c>
      <c r="I334" s="23" t="s">
        <v>36</v>
      </c>
      <c r="J334" s="22"/>
      <c r="K334" s="20">
        <v>4</v>
      </c>
      <c r="L334" s="24">
        <v>147.21</v>
      </c>
      <c r="M334" s="11"/>
      <c r="N334" s="22">
        <f t="shared" si="13"/>
        <v>0</v>
      </c>
      <c r="O334" s="25">
        <f>0.027*M334</f>
        <v>0</v>
      </c>
      <c r="P334" s="26">
        <f>0.00026*M334</f>
        <v>0</v>
      </c>
      <c r="Q334" s="30"/>
      <c r="R334" s="22" t="s">
        <v>1018</v>
      </c>
      <c r="S334" s="22"/>
      <c r="T334" s="21" t="str">
        <f>HYPERLINK("https://miland.ru/api/getInfo/image/a1253970-eb65-11ee-a25b-00155d82e908")</f>
        <v>https://miland.ru/api/getInfo/image/a1253970-eb65-11ee-a25b-00155d82e908</v>
      </c>
      <c r="U334" s="21"/>
      <c r="V334" s="21" t="s">
        <v>878</v>
      </c>
      <c r="W334" s="21" t="s">
        <v>879</v>
      </c>
      <c r="X334" s="21" t="s">
        <v>172</v>
      </c>
      <c r="Y334" s="21" t="s">
        <v>173</v>
      </c>
      <c r="Z334" s="21" t="s">
        <v>1019</v>
      </c>
      <c r="AA334" s="21" t="str">
        <f>HYPERLINK("https://miland.ru/api/getInfo/item/a1253970-eb65-11ee-a25b-00155d82e908")</f>
        <v>https://miland.ru/api/getInfo/item/a1253970-eb65-11ee-a25b-00155d82e908</v>
      </c>
      <c r="AB334" s="21" t="s">
        <v>42</v>
      </c>
      <c r="AC334" s="21" t="s">
        <v>1014</v>
      </c>
      <c r="AD334" s="21"/>
    </row>
    <row r="335" spans="2:30" s="1" customFormat="1" ht="96.3" customHeight="1" outlineLevel="7">
      <c r="B335" s="20">
        <v>209</v>
      </c>
      <c r="C335" s="21" t="s">
        <v>1020</v>
      </c>
      <c r="D335" s="72" t="s">
        <v>1021</v>
      </c>
      <c r="E335" s="72"/>
      <c r="F335" s="72"/>
      <c r="G335" s="72"/>
      <c r="H335" s="22" t="s">
        <v>1022</v>
      </c>
      <c r="I335" s="23" t="s">
        <v>36</v>
      </c>
      <c r="J335" s="22"/>
      <c r="K335" s="20">
        <v>4</v>
      </c>
      <c r="L335" s="24">
        <v>147.21</v>
      </c>
      <c r="M335" s="11"/>
      <c r="N335" s="22">
        <f t="shared" si="13"/>
        <v>0</v>
      </c>
      <c r="O335" s="25">
        <f>0.021*M335</f>
        <v>0</v>
      </c>
      <c r="P335" s="29">
        <f>0.0003*M335</f>
        <v>0</v>
      </c>
      <c r="Q335" s="30"/>
      <c r="R335" s="22" t="s">
        <v>1023</v>
      </c>
      <c r="S335" s="22"/>
      <c r="T335" s="21" t="str">
        <f>HYPERLINK("https://miland.ru/api/getInfo/image/b97fe915-eb65-11ee-a25b-00155d82e908")</f>
        <v>https://miland.ru/api/getInfo/image/b97fe915-eb65-11ee-a25b-00155d82e908</v>
      </c>
      <c r="U335" s="21"/>
      <c r="V335" s="21" t="s">
        <v>878</v>
      </c>
      <c r="W335" s="21" t="s">
        <v>879</v>
      </c>
      <c r="X335" s="21" t="s">
        <v>172</v>
      </c>
      <c r="Y335" s="21" t="s">
        <v>173</v>
      </c>
      <c r="Z335" s="21" t="s">
        <v>1024</v>
      </c>
      <c r="AA335" s="21" t="str">
        <f>HYPERLINK("https://miland.ru/api/getInfo/item/b97fe915-eb65-11ee-a25b-00155d82e908")</f>
        <v>https://miland.ru/api/getInfo/item/b97fe915-eb65-11ee-a25b-00155d82e908</v>
      </c>
      <c r="AB335" s="21" t="s">
        <v>42</v>
      </c>
      <c r="AC335" s="21" t="s">
        <v>1014</v>
      </c>
      <c r="AD335" s="21"/>
    </row>
    <row r="336" spans="2:30" s="1" customFormat="1" ht="96.3" customHeight="1" outlineLevel="7">
      <c r="B336" s="20">
        <v>210</v>
      </c>
      <c r="C336" s="21" t="s">
        <v>1025</v>
      </c>
      <c r="D336" s="72" t="s">
        <v>1026</v>
      </c>
      <c r="E336" s="72"/>
      <c r="F336" s="72"/>
      <c r="G336" s="72"/>
      <c r="H336" s="22" t="s">
        <v>1027</v>
      </c>
      <c r="I336" s="23" t="s">
        <v>36</v>
      </c>
      <c r="J336" s="22"/>
      <c r="K336" s="20">
        <v>1</v>
      </c>
      <c r="L336" s="32">
        <v>1790.68</v>
      </c>
      <c r="M336" s="11"/>
      <c r="N336" s="22">
        <f t="shared" si="13"/>
        <v>0</v>
      </c>
      <c r="O336" s="25">
        <f>0.208*M336</f>
        <v>0</v>
      </c>
      <c r="P336" s="26">
        <f>0.00093*M336</f>
        <v>0</v>
      </c>
      <c r="Q336" s="30"/>
      <c r="R336" s="22" t="s">
        <v>1028</v>
      </c>
      <c r="S336" s="22"/>
      <c r="T336" s="21" t="str">
        <f>HYPERLINK("https://miland.ru/api/getInfo/image/926334f7-eb66-11ee-a25b-00155d82e908")</f>
        <v>https://miland.ru/api/getInfo/image/926334f7-eb66-11ee-a25b-00155d82e908</v>
      </c>
      <c r="U336" s="21"/>
      <c r="V336" s="21" t="s">
        <v>878</v>
      </c>
      <c r="W336" s="21" t="s">
        <v>879</v>
      </c>
      <c r="X336" s="21" t="s">
        <v>172</v>
      </c>
      <c r="Y336" s="21" t="s">
        <v>173</v>
      </c>
      <c r="Z336" s="21" t="s">
        <v>1029</v>
      </c>
      <c r="AA336" s="21" t="str">
        <f>HYPERLINK("https://miland.ru/api/getInfo/item/926334f7-eb66-11ee-a25b-00155d82e908")</f>
        <v>https://miland.ru/api/getInfo/item/926334f7-eb66-11ee-a25b-00155d82e908</v>
      </c>
      <c r="AB336" s="21" t="s">
        <v>42</v>
      </c>
      <c r="AC336" s="21" t="s">
        <v>1030</v>
      </c>
      <c r="AD336" s="21"/>
    </row>
    <row r="337" spans="2:30" s="1" customFormat="1" ht="96.3" customHeight="1" outlineLevel="7">
      <c r="B337" s="20">
        <v>211</v>
      </c>
      <c r="C337" s="21" t="s">
        <v>1031</v>
      </c>
      <c r="D337" s="72" t="s">
        <v>1032</v>
      </c>
      <c r="E337" s="72"/>
      <c r="F337" s="72"/>
      <c r="G337" s="72"/>
      <c r="H337" s="22" t="s">
        <v>1033</v>
      </c>
      <c r="I337" s="23" t="s">
        <v>36</v>
      </c>
      <c r="J337" s="22"/>
      <c r="K337" s="20">
        <v>1</v>
      </c>
      <c r="L337" s="32">
        <v>1790.68</v>
      </c>
      <c r="M337" s="11"/>
      <c r="N337" s="22">
        <f t="shared" si="13"/>
        <v>0</v>
      </c>
      <c r="O337" s="25">
        <f>0.209*M337</f>
        <v>0</v>
      </c>
      <c r="P337" s="26">
        <f>0.00096*M337</f>
        <v>0</v>
      </c>
      <c r="Q337" s="30"/>
      <c r="R337" s="22" t="s">
        <v>1034</v>
      </c>
      <c r="S337" s="22"/>
      <c r="T337" s="21" t="str">
        <f>HYPERLINK("https://miland.ru/api/getInfo/image/7cdd4bca-eb66-11ee-a25b-00155d82e908")</f>
        <v>https://miland.ru/api/getInfo/image/7cdd4bca-eb66-11ee-a25b-00155d82e908</v>
      </c>
      <c r="U337" s="21"/>
      <c r="V337" s="21" t="s">
        <v>878</v>
      </c>
      <c r="W337" s="21" t="s">
        <v>879</v>
      </c>
      <c r="X337" s="21" t="s">
        <v>172</v>
      </c>
      <c r="Y337" s="21" t="s">
        <v>173</v>
      </c>
      <c r="Z337" s="21" t="s">
        <v>1034</v>
      </c>
      <c r="AA337" s="21" t="str">
        <f>HYPERLINK("https://miland.ru/api/getInfo/item/7cdd4bca-eb66-11ee-a25b-00155d82e908")</f>
        <v>https://miland.ru/api/getInfo/item/7cdd4bca-eb66-11ee-a25b-00155d82e908</v>
      </c>
      <c r="AB337" s="21" t="s">
        <v>42</v>
      </c>
      <c r="AC337" s="21" t="s">
        <v>1030</v>
      </c>
      <c r="AD337" s="21"/>
    </row>
    <row r="338" spans="2:30" ht="12" customHeight="1" outlineLevel="7">
      <c r="B338" s="70" t="s">
        <v>1035</v>
      </c>
      <c r="C338" s="70"/>
      <c r="D338" s="70"/>
      <c r="E338" s="70"/>
      <c r="F338" s="70"/>
      <c r="G338" s="70"/>
    </row>
    <row r="339" spans="2:30" s="1" customFormat="1" ht="96.3" customHeight="1" outlineLevel="7">
      <c r="B339" s="20">
        <v>212</v>
      </c>
      <c r="C339" s="21" t="s">
        <v>1036</v>
      </c>
      <c r="D339" s="72" t="s">
        <v>1037</v>
      </c>
      <c r="E339" s="72"/>
      <c r="F339" s="72"/>
      <c r="G339" s="72"/>
      <c r="H339" s="22" t="s">
        <v>1038</v>
      </c>
      <c r="I339" s="23" t="s">
        <v>36</v>
      </c>
      <c r="J339" s="22"/>
      <c r="K339" s="20">
        <v>1</v>
      </c>
      <c r="L339" s="24">
        <v>671.8</v>
      </c>
      <c r="M339" s="11"/>
      <c r="N339" s="22">
        <f t="shared" ref="N339:N344" si="14">L339*M339</f>
        <v>0</v>
      </c>
      <c r="O339" s="25">
        <f>0.301*M339</f>
        <v>0</v>
      </c>
      <c r="P339" s="26">
        <f>0.00334*M339</f>
        <v>0</v>
      </c>
      <c r="Q339" s="30"/>
      <c r="R339" s="22" t="s">
        <v>1039</v>
      </c>
      <c r="S339" s="22"/>
      <c r="T339" s="21" t="str">
        <f>HYPERLINK("https://miland.ru/api/getInfo/image/9d2318e2-eb64-11ee-a25b-00155d82e908")</f>
        <v>https://miland.ru/api/getInfo/image/9d2318e2-eb64-11ee-a25b-00155d82e908</v>
      </c>
      <c r="U339" s="21"/>
      <c r="V339" s="21" t="s">
        <v>878</v>
      </c>
      <c r="W339" s="21" t="s">
        <v>879</v>
      </c>
      <c r="X339" s="21" t="s">
        <v>172</v>
      </c>
      <c r="Y339" s="21" t="s">
        <v>173</v>
      </c>
      <c r="Z339" s="21" t="s">
        <v>1040</v>
      </c>
      <c r="AA339" s="21" t="str">
        <f>HYPERLINK("https://miland.ru/api/getInfo/item/9d2318e2-eb64-11ee-a25b-00155d82e908")</f>
        <v>https://miland.ru/api/getInfo/item/9d2318e2-eb64-11ee-a25b-00155d82e908</v>
      </c>
      <c r="AB339" s="21" t="s">
        <v>42</v>
      </c>
      <c r="AC339" s="21" t="s">
        <v>1041</v>
      </c>
      <c r="AD339" s="21"/>
    </row>
    <row r="340" spans="2:30" s="1" customFormat="1" ht="96.3" customHeight="1" outlineLevel="7">
      <c r="B340" s="20">
        <v>213</v>
      </c>
      <c r="C340" s="21" t="s">
        <v>1042</v>
      </c>
      <c r="D340" s="72" t="s">
        <v>1043</v>
      </c>
      <c r="E340" s="72"/>
      <c r="F340" s="72"/>
      <c r="G340" s="72"/>
      <c r="H340" s="22" t="s">
        <v>1044</v>
      </c>
      <c r="I340" s="23" t="s">
        <v>36</v>
      </c>
      <c r="J340" s="22"/>
      <c r="K340" s="20">
        <v>1</v>
      </c>
      <c r="L340" s="24">
        <v>671.8</v>
      </c>
      <c r="M340" s="11"/>
      <c r="N340" s="22">
        <f t="shared" si="14"/>
        <v>0</v>
      </c>
      <c r="O340" s="25">
        <f>0.307*M340</f>
        <v>0</v>
      </c>
      <c r="P340" s="26">
        <f>0.00343*M340</f>
        <v>0</v>
      </c>
      <c r="Q340" s="30"/>
      <c r="R340" s="22" t="s">
        <v>1045</v>
      </c>
      <c r="S340" s="22"/>
      <c r="T340" s="21" t="str">
        <f>HYPERLINK("https://miland.ru/api/getInfo/image/b803e697-eb64-11ee-a25b-00155d82e908")</f>
        <v>https://miland.ru/api/getInfo/image/b803e697-eb64-11ee-a25b-00155d82e908</v>
      </c>
      <c r="U340" s="21"/>
      <c r="V340" s="21" t="s">
        <v>878</v>
      </c>
      <c r="W340" s="21" t="s">
        <v>879</v>
      </c>
      <c r="X340" s="21" t="s">
        <v>172</v>
      </c>
      <c r="Y340" s="21" t="s">
        <v>173</v>
      </c>
      <c r="Z340" s="21" t="s">
        <v>1046</v>
      </c>
      <c r="AA340" s="21" t="str">
        <f>HYPERLINK("https://miland.ru/api/getInfo/item/b803e697-eb64-11ee-a25b-00155d82e908")</f>
        <v>https://miland.ru/api/getInfo/item/b803e697-eb64-11ee-a25b-00155d82e908</v>
      </c>
      <c r="AB340" s="21" t="s">
        <v>42</v>
      </c>
      <c r="AC340" s="21" t="s">
        <v>1041</v>
      </c>
      <c r="AD340" s="21"/>
    </row>
    <row r="341" spans="2:30" s="1" customFormat="1" ht="96.3" customHeight="1" outlineLevel="7">
      <c r="B341" s="20">
        <v>214</v>
      </c>
      <c r="C341" s="21" t="s">
        <v>1047</v>
      </c>
      <c r="D341" s="72" t="s">
        <v>1048</v>
      </c>
      <c r="E341" s="72"/>
      <c r="F341" s="72"/>
      <c r="G341" s="72"/>
      <c r="H341" s="22" t="s">
        <v>1049</v>
      </c>
      <c r="I341" s="23" t="s">
        <v>36</v>
      </c>
      <c r="J341" s="22"/>
      <c r="K341" s="20">
        <v>1</v>
      </c>
      <c r="L341" s="24">
        <v>671.8</v>
      </c>
      <c r="M341" s="11"/>
      <c r="N341" s="22">
        <f t="shared" si="14"/>
        <v>0</v>
      </c>
      <c r="O341" s="25">
        <f>0.144*M341</f>
        <v>0</v>
      </c>
      <c r="P341" s="26">
        <f>0.00328*M341</f>
        <v>0</v>
      </c>
      <c r="Q341" s="30"/>
      <c r="R341" s="22" t="s">
        <v>1050</v>
      </c>
      <c r="S341" s="22"/>
      <c r="T341" s="21" t="str">
        <f>HYPERLINK("https://miland.ru/api/getInfo/image/2f393755-18d0-11ef-a25d-00155d82e908")</f>
        <v>https://miland.ru/api/getInfo/image/2f393755-18d0-11ef-a25d-00155d82e908</v>
      </c>
      <c r="U341" s="21"/>
      <c r="V341" s="21" t="s">
        <v>878</v>
      </c>
      <c r="W341" s="21" t="s">
        <v>879</v>
      </c>
      <c r="X341" s="21" t="s">
        <v>172</v>
      </c>
      <c r="Y341" s="21" t="s">
        <v>173</v>
      </c>
      <c r="Z341" s="21" t="s">
        <v>1051</v>
      </c>
      <c r="AA341" s="21" t="str">
        <f>HYPERLINK("https://miland.ru/api/getInfo/item/2f393755-18d0-11ef-a25d-00155d82e908")</f>
        <v>https://miland.ru/api/getInfo/item/2f393755-18d0-11ef-a25d-00155d82e908</v>
      </c>
      <c r="AB341" s="21" t="s">
        <v>42</v>
      </c>
      <c r="AC341" s="21" t="s">
        <v>1052</v>
      </c>
      <c r="AD341" s="21"/>
    </row>
    <row r="342" spans="2:30" s="1" customFormat="1" ht="96.3" customHeight="1" outlineLevel="7">
      <c r="B342" s="20">
        <v>215</v>
      </c>
      <c r="C342" s="21" t="s">
        <v>1053</v>
      </c>
      <c r="D342" s="72" t="s">
        <v>1054</v>
      </c>
      <c r="E342" s="72"/>
      <c r="F342" s="72"/>
      <c r="G342" s="72"/>
      <c r="H342" s="22" t="s">
        <v>1055</v>
      </c>
      <c r="I342" s="23" t="s">
        <v>36</v>
      </c>
      <c r="J342" s="22"/>
      <c r="K342" s="20">
        <v>1</v>
      </c>
      <c r="L342" s="24">
        <v>637.97</v>
      </c>
      <c r="M342" s="11"/>
      <c r="N342" s="22">
        <f t="shared" si="14"/>
        <v>0</v>
      </c>
      <c r="O342" s="25">
        <f>0.287*M342</f>
        <v>0</v>
      </c>
      <c r="P342" s="26">
        <f>0.00355*M342</f>
        <v>0</v>
      </c>
      <c r="Q342" s="30"/>
      <c r="R342" s="22" t="s">
        <v>1056</v>
      </c>
      <c r="S342" s="22"/>
      <c r="T342" s="21" t="str">
        <f>HYPERLINK("https://miland.ru/api/getInfo/image/aaf80d86-18d0-11ef-a25d-00155d82e908")</f>
        <v>https://miland.ru/api/getInfo/image/aaf80d86-18d0-11ef-a25d-00155d82e908</v>
      </c>
      <c r="U342" s="21"/>
      <c r="V342" s="21" t="s">
        <v>878</v>
      </c>
      <c r="W342" s="21" t="s">
        <v>879</v>
      </c>
      <c r="X342" s="21" t="s">
        <v>172</v>
      </c>
      <c r="Y342" s="21" t="s">
        <v>173</v>
      </c>
      <c r="Z342" s="21" t="s">
        <v>1057</v>
      </c>
      <c r="AA342" s="21" t="str">
        <f>HYPERLINK("https://miland.ru/api/getInfo/item/aaf80d86-18d0-11ef-a25d-00155d82e908")</f>
        <v>https://miland.ru/api/getInfo/item/aaf80d86-18d0-11ef-a25d-00155d82e908</v>
      </c>
      <c r="AB342" s="21" t="s">
        <v>42</v>
      </c>
      <c r="AC342" s="21" t="s">
        <v>1052</v>
      </c>
      <c r="AD342" s="21"/>
    </row>
    <row r="343" spans="2:30" s="1" customFormat="1" ht="96.3" customHeight="1" outlineLevel="7">
      <c r="B343" s="20">
        <v>216</v>
      </c>
      <c r="C343" s="21" t="s">
        <v>1058</v>
      </c>
      <c r="D343" s="72" t="s">
        <v>1059</v>
      </c>
      <c r="E343" s="72"/>
      <c r="F343" s="72"/>
      <c r="G343" s="72"/>
      <c r="H343" s="22" t="s">
        <v>1060</v>
      </c>
      <c r="I343" s="23" t="s">
        <v>36</v>
      </c>
      <c r="J343" s="22"/>
      <c r="K343" s="20">
        <v>1</v>
      </c>
      <c r="L343" s="24">
        <v>637.97</v>
      </c>
      <c r="M343" s="11"/>
      <c r="N343" s="22">
        <f t="shared" si="14"/>
        <v>0</v>
      </c>
      <c r="O343" s="25">
        <f>0.271*M343</f>
        <v>0</v>
      </c>
      <c r="P343" s="26">
        <f>0.00374*M343</f>
        <v>0</v>
      </c>
      <c r="Q343" s="30"/>
      <c r="R343" s="22" t="s">
        <v>1061</v>
      </c>
      <c r="S343" s="22"/>
      <c r="T343" s="21" t="str">
        <f>HYPERLINK("https://miland.ru/api/getInfo/image/e2260cf7-eb64-11ee-a25b-00155d82e908")</f>
        <v>https://miland.ru/api/getInfo/image/e2260cf7-eb64-11ee-a25b-00155d82e908</v>
      </c>
      <c r="U343" s="21"/>
      <c r="V343" s="21" t="s">
        <v>878</v>
      </c>
      <c r="W343" s="21" t="s">
        <v>879</v>
      </c>
      <c r="X343" s="21" t="s">
        <v>172</v>
      </c>
      <c r="Y343" s="21" t="s">
        <v>173</v>
      </c>
      <c r="Z343" s="21" t="s">
        <v>1062</v>
      </c>
      <c r="AA343" s="21" t="str">
        <f>HYPERLINK("https://miland.ru/api/getInfo/item/e2260cf7-eb64-11ee-a25b-00155d82e908")</f>
        <v>https://miland.ru/api/getInfo/item/e2260cf7-eb64-11ee-a25b-00155d82e908</v>
      </c>
      <c r="AB343" s="21" t="s">
        <v>42</v>
      </c>
      <c r="AC343" s="21" t="s">
        <v>1052</v>
      </c>
      <c r="AD343" s="21"/>
    </row>
    <row r="344" spans="2:30" s="1" customFormat="1" ht="96.3" customHeight="1" outlineLevel="7">
      <c r="B344" s="20">
        <v>217</v>
      </c>
      <c r="C344" s="21" t="s">
        <v>1063</v>
      </c>
      <c r="D344" s="72" t="s">
        <v>1064</v>
      </c>
      <c r="E344" s="72"/>
      <c r="F344" s="72"/>
      <c r="G344" s="72"/>
      <c r="H344" s="22" t="s">
        <v>1065</v>
      </c>
      <c r="I344" s="23" t="s">
        <v>36</v>
      </c>
      <c r="J344" s="22"/>
      <c r="K344" s="20">
        <v>1</v>
      </c>
      <c r="L344" s="24">
        <v>637.97</v>
      </c>
      <c r="M344" s="11"/>
      <c r="N344" s="22">
        <f t="shared" si="14"/>
        <v>0</v>
      </c>
      <c r="O344" s="25">
        <f>0.279*M344</f>
        <v>0</v>
      </c>
      <c r="P344" s="29">
        <f>0.0035*M344</f>
        <v>0</v>
      </c>
      <c r="Q344" s="30"/>
      <c r="R344" s="22" t="s">
        <v>1066</v>
      </c>
      <c r="S344" s="22"/>
      <c r="T344" s="21" t="str">
        <f>HYPERLINK("https://miland.ru/api/getInfo/image/0f562c0d-eb65-11ee-a25b-00155d82e908")</f>
        <v>https://miland.ru/api/getInfo/image/0f562c0d-eb65-11ee-a25b-00155d82e908</v>
      </c>
      <c r="U344" s="21"/>
      <c r="V344" s="21" t="s">
        <v>878</v>
      </c>
      <c r="W344" s="21" t="s">
        <v>879</v>
      </c>
      <c r="X344" s="21" t="s">
        <v>172</v>
      </c>
      <c r="Y344" s="21" t="s">
        <v>173</v>
      </c>
      <c r="Z344" s="21" t="s">
        <v>1067</v>
      </c>
      <c r="AA344" s="21" t="str">
        <f>HYPERLINK("https://miland.ru/api/getInfo/item/0f562c0d-eb65-11ee-a25b-00155d82e908")</f>
        <v>https://miland.ru/api/getInfo/item/0f562c0d-eb65-11ee-a25b-00155d82e908</v>
      </c>
      <c r="AB344" s="21" t="s">
        <v>42</v>
      </c>
      <c r="AC344" s="21" t="s">
        <v>1052</v>
      </c>
      <c r="AD344" s="21"/>
    </row>
    <row r="345" spans="2:30" ht="12" customHeight="1" outlineLevel="6">
      <c r="B345" s="70" t="s">
        <v>1068</v>
      </c>
      <c r="C345" s="70"/>
      <c r="D345" s="70"/>
      <c r="E345" s="70"/>
      <c r="F345" s="70"/>
      <c r="G345" s="70"/>
    </row>
    <row r="346" spans="2:30" s="1" customFormat="1" ht="96.3" customHeight="1" outlineLevel="7">
      <c r="B346" s="6">
        <v>218</v>
      </c>
      <c r="C346" s="7" t="s">
        <v>1069</v>
      </c>
      <c r="D346" s="71" t="s">
        <v>1070</v>
      </c>
      <c r="E346" s="71"/>
      <c r="F346" s="71"/>
      <c r="G346" s="71"/>
      <c r="H346" s="8" t="s">
        <v>1071</v>
      </c>
      <c r="I346" s="9" t="s">
        <v>36</v>
      </c>
      <c r="J346" s="8"/>
      <c r="K346" s="6">
        <v>1</v>
      </c>
      <c r="L346" s="15">
        <v>1766.85</v>
      </c>
      <c r="M346" s="11"/>
      <c r="N346" s="8">
        <f t="shared" ref="N346:N351" si="15">L346*M346</f>
        <v>0</v>
      </c>
      <c r="O346" s="12">
        <f>0.905*M346</f>
        <v>0</v>
      </c>
      <c r="P346" s="13">
        <f>0.00856*M346</f>
        <v>0</v>
      </c>
      <c r="Q346" s="17" t="s">
        <v>37</v>
      </c>
      <c r="R346" s="8" t="s">
        <v>1072</v>
      </c>
      <c r="S346" s="8"/>
      <c r="T346" s="7" t="str">
        <f>HYPERLINK("https://miland.ru/api/getInfo/image/c74ea544-331c-11f1-a292-00155d82e908")</f>
        <v>https://miland.ru/api/getInfo/image/c74ea544-331c-11f1-a292-00155d82e908</v>
      </c>
      <c r="U346" s="7"/>
      <c r="V346" s="7"/>
      <c r="W346" s="7" t="s">
        <v>879</v>
      </c>
      <c r="X346" s="7" t="s">
        <v>172</v>
      </c>
      <c r="Y346" s="7" t="s">
        <v>173</v>
      </c>
      <c r="Z346" s="7" t="s">
        <v>1073</v>
      </c>
      <c r="AA346" s="7" t="str">
        <f>HYPERLINK("https://miland.ru/api/getInfo/item/c74ea544-331c-11f1-a292-00155d82e908")</f>
        <v>https://miland.ru/api/getInfo/item/c74ea544-331c-11f1-a292-00155d82e908</v>
      </c>
      <c r="AB346" s="7" t="s">
        <v>42</v>
      </c>
      <c r="AC346" s="7"/>
      <c r="AD346" s="7"/>
    </row>
    <row r="347" spans="2:30" s="1" customFormat="1" ht="96.3" customHeight="1" outlineLevel="7">
      <c r="B347" s="6">
        <v>219</v>
      </c>
      <c r="C347" s="7" t="s">
        <v>1074</v>
      </c>
      <c r="D347" s="71" t="s">
        <v>1075</v>
      </c>
      <c r="E347" s="71"/>
      <c r="F347" s="71"/>
      <c r="G347" s="71"/>
      <c r="H347" s="8" t="s">
        <v>1076</v>
      </c>
      <c r="I347" s="9" t="s">
        <v>36</v>
      </c>
      <c r="J347" s="8"/>
      <c r="K347" s="6">
        <v>1</v>
      </c>
      <c r="L347" s="15">
        <v>1766.85</v>
      </c>
      <c r="M347" s="11"/>
      <c r="N347" s="8">
        <f t="shared" si="15"/>
        <v>0</v>
      </c>
      <c r="O347" s="12">
        <f>0.939*M347</f>
        <v>0</v>
      </c>
      <c r="P347" s="13">
        <f>0.00843*M347</f>
        <v>0</v>
      </c>
      <c r="Q347" s="17" t="s">
        <v>37</v>
      </c>
      <c r="R347" s="8" t="s">
        <v>1077</v>
      </c>
      <c r="S347" s="8"/>
      <c r="T347" s="7" t="str">
        <f>HYPERLINK("https://miland.ru/api/getInfo/image/ddef87b4-331c-11f1-a292-00155d82e908")</f>
        <v>https://miland.ru/api/getInfo/image/ddef87b4-331c-11f1-a292-00155d82e908</v>
      </c>
      <c r="U347" s="7"/>
      <c r="V347" s="7"/>
      <c r="W347" s="7" t="s">
        <v>879</v>
      </c>
      <c r="X347" s="7" t="s">
        <v>172</v>
      </c>
      <c r="Y347" s="7" t="s">
        <v>173</v>
      </c>
      <c r="Z347" s="7" t="s">
        <v>1078</v>
      </c>
      <c r="AA347" s="7" t="str">
        <f>HYPERLINK("https://miland.ru/api/getInfo/item/ddef87b4-331c-11f1-a292-00155d82e908")</f>
        <v>https://miland.ru/api/getInfo/item/ddef87b4-331c-11f1-a292-00155d82e908</v>
      </c>
      <c r="AB347" s="7" t="s">
        <v>42</v>
      </c>
      <c r="AC347" s="7"/>
      <c r="AD347" s="7"/>
    </row>
    <row r="348" spans="2:30" s="1" customFormat="1" ht="96.3" customHeight="1" outlineLevel="7">
      <c r="B348" s="6">
        <v>220</v>
      </c>
      <c r="C348" s="7" t="s">
        <v>1079</v>
      </c>
      <c r="D348" s="71" t="s">
        <v>1080</v>
      </c>
      <c r="E348" s="71"/>
      <c r="F348" s="71"/>
      <c r="G348" s="71"/>
      <c r="H348" s="8" t="s">
        <v>1081</v>
      </c>
      <c r="I348" s="9" t="s">
        <v>36</v>
      </c>
      <c r="J348" s="8"/>
      <c r="K348" s="6">
        <v>1</v>
      </c>
      <c r="L348" s="15">
        <v>1766.85</v>
      </c>
      <c r="M348" s="11"/>
      <c r="N348" s="8">
        <f t="shared" si="15"/>
        <v>0</v>
      </c>
      <c r="O348" s="18">
        <f>0.89*M348</f>
        <v>0</v>
      </c>
      <c r="P348" s="13">
        <f>0.00869*M348</f>
        <v>0</v>
      </c>
      <c r="Q348" s="17" t="s">
        <v>37</v>
      </c>
      <c r="R348" s="8" t="s">
        <v>1082</v>
      </c>
      <c r="S348" s="8"/>
      <c r="T348" s="7" t="str">
        <f>HYPERLINK("https://miland.ru/api/getInfo/image/7b223efa-331c-11f1-a292-00155d82e908")</f>
        <v>https://miland.ru/api/getInfo/image/7b223efa-331c-11f1-a292-00155d82e908</v>
      </c>
      <c r="U348" s="7"/>
      <c r="V348" s="7"/>
      <c r="W348" s="7" t="s">
        <v>879</v>
      </c>
      <c r="X348" s="7" t="s">
        <v>172</v>
      </c>
      <c r="Y348" s="7" t="s">
        <v>173</v>
      </c>
      <c r="Z348" s="7" t="s">
        <v>1083</v>
      </c>
      <c r="AA348" s="7" t="str">
        <f>HYPERLINK("https://miland.ru/api/getInfo/item/7b223efa-331c-11f1-a292-00155d82e908")</f>
        <v>https://miland.ru/api/getInfo/item/7b223efa-331c-11f1-a292-00155d82e908</v>
      </c>
      <c r="AB348" s="7" t="s">
        <v>42</v>
      </c>
      <c r="AC348" s="7"/>
      <c r="AD348" s="7"/>
    </row>
    <row r="349" spans="2:30" s="1" customFormat="1" ht="96.3" customHeight="1" outlineLevel="7">
      <c r="B349" s="6">
        <v>221</v>
      </c>
      <c r="C349" s="7" t="s">
        <v>1084</v>
      </c>
      <c r="D349" s="71" t="s">
        <v>1085</v>
      </c>
      <c r="E349" s="71"/>
      <c r="F349" s="71"/>
      <c r="G349" s="71"/>
      <c r="H349" s="8" t="s">
        <v>1086</v>
      </c>
      <c r="I349" s="9" t="s">
        <v>36</v>
      </c>
      <c r="J349" s="8"/>
      <c r="K349" s="6">
        <v>1</v>
      </c>
      <c r="L349" s="15">
        <v>2406.41</v>
      </c>
      <c r="M349" s="11"/>
      <c r="N349" s="8">
        <f t="shared" si="15"/>
        <v>0</v>
      </c>
      <c r="O349" s="12">
        <f>1.151*M349</f>
        <v>0</v>
      </c>
      <c r="P349" s="13">
        <f>0.01114*M349</f>
        <v>0</v>
      </c>
      <c r="Q349" s="17" t="s">
        <v>37</v>
      </c>
      <c r="R349" s="8" t="s">
        <v>1087</v>
      </c>
      <c r="S349" s="8"/>
      <c r="T349" s="7" t="str">
        <f>HYPERLINK("https://miland.ru/api/getInfo/image/1c16e308-331d-11f1-a292-00155d82e908")</f>
        <v>https://miland.ru/api/getInfo/image/1c16e308-331d-11f1-a292-00155d82e908</v>
      </c>
      <c r="U349" s="7"/>
      <c r="V349" s="7"/>
      <c r="W349" s="7" t="s">
        <v>879</v>
      </c>
      <c r="X349" s="7" t="s">
        <v>172</v>
      </c>
      <c r="Y349" s="7" t="s">
        <v>173</v>
      </c>
      <c r="Z349" s="7" t="s">
        <v>1088</v>
      </c>
      <c r="AA349" s="7" t="str">
        <f>HYPERLINK("https://miland.ru/api/getInfo/item/1c16e308-331d-11f1-a292-00155d82e908")</f>
        <v>https://miland.ru/api/getInfo/item/1c16e308-331d-11f1-a292-00155d82e908</v>
      </c>
      <c r="AB349" s="7" t="s">
        <v>42</v>
      </c>
      <c r="AC349" s="7"/>
      <c r="AD349" s="7"/>
    </row>
    <row r="350" spans="2:30" s="1" customFormat="1" ht="96.3" customHeight="1" outlineLevel="7">
      <c r="B350" s="6">
        <v>222</v>
      </c>
      <c r="C350" s="7" t="s">
        <v>1089</v>
      </c>
      <c r="D350" s="71" t="s">
        <v>1090</v>
      </c>
      <c r="E350" s="71"/>
      <c r="F350" s="71"/>
      <c r="G350" s="71"/>
      <c r="H350" s="8" t="s">
        <v>1091</v>
      </c>
      <c r="I350" s="9" t="s">
        <v>36</v>
      </c>
      <c r="J350" s="8"/>
      <c r="K350" s="6">
        <v>1</v>
      </c>
      <c r="L350" s="15">
        <v>2406.41</v>
      </c>
      <c r="M350" s="11"/>
      <c r="N350" s="8">
        <f t="shared" si="15"/>
        <v>0</v>
      </c>
      <c r="O350" s="18">
        <f>1.14*M350</f>
        <v>0</v>
      </c>
      <c r="P350" s="13">
        <f>0.01104*M350</f>
        <v>0</v>
      </c>
      <c r="Q350" s="17" t="s">
        <v>37</v>
      </c>
      <c r="R350" s="8" t="s">
        <v>1092</v>
      </c>
      <c r="S350" s="8"/>
      <c r="T350" s="7" t="str">
        <f>HYPERLINK("https://miland.ru/api/getInfo/image/331e012b-331d-11f1-a292-00155d82e908")</f>
        <v>https://miland.ru/api/getInfo/image/331e012b-331d-11f1-a292-00155d82e908</v>
      </c>
      <c r="U350" s="7"/>
      <c r="V350" s="7"/>
      <c r="W350" s="7" t="s">
        <v>879</v>
      </c>
      <c r="X350" s="7" t="s">
        <v>172</v>
      </c>
      <c r="Y350" s="7" t="s">
        <v>173</v>
      </c>
      <c r="Z350" s="7" t="s">
        <v>1093</v>
      </c>
      <c r="AA350" s="7" t="str">
        <f>HYPERLINK("https://miland.ru/api/getInfo/item/331e012b-331d-11f1-a292-00155d82e908")</f>
        <v>https://miland.ru/api/getInfo/item/331e012b-331d-11f1-a292-00155d82e908</v>
      </c>
      <c r="AB350" s="7" t="s">
        <v>42</v>
      </c>
      <c r="AC350" s="7"/>
      <c r="AD350" s="7"/>
    </row>
    <row r="351" spans="2:30" s="1" customFormat="1" ht="96.3" customHeight="1" outlineLevel="7">
      <c r="B351" s="6">
        <v>223</v>
      </c>
      <c r="C351" s="7" t="s">
        <v>1094</v>
      </c>
      <c r="D351" s="71" t="s">
        <v>1095</v>
      </c>
      <c r="E351" s="71"/>
      <c r="F351" s="71"/>
      <c r="G351" s="71"/>
      <c r="H351" s="8" t="s">
        <v>1096</v>
      </c>
      <c r="I351" s="9" t="s">
        <v>36</v>
      </c>
      <c r="J351" s="8"/>
      <c r="K351" s="6">
        <v>1</v>
      </c>
      <c r="L351" s="15">
        <v>2406.41</v>
      </c>
      <c r="M351" s="11"/>
      <c r="N351" s="8">
        <f t="shared" si="15"/>
        <v>0</v>
      </c>
      <c r="O351" s="12">
        <f>1.193*M351</f>
        <v>0</v>
      </c>
      <c r="P351" s="13">
        <f>0.01049*M351</f>
        <v>0</v>
      </c>
      <c r="Q351" s="17" t="s">
        <v>37</v>
      </c>
      <c r="R351" s="8" t="s">
        <v>1097</v>
      </c>
      <c r="S351" s="8"/>
      <c r="T351" s="7" t="str">
        <f>HYPERLINK("https://miland.ru/api/getInfo/image/f4374d1c-331c-11f1-a292-00155d82e908")</f>
        <v>https://miland.ru/api/getInfo/image/f4374d1c-331c-11f1-a292-00155d82e908</v>
      </c>
      <c r="U351" s="7"/>
      <c r="V351" s="7"/>
      <c r="W351" s="7" t="s">
        <v>879</v>
      </c>
      <c r="X351" s="7" t="s">
        <v>172</v>
      </c>
      <c r="Y351" s="7" t="s">
        <v>173</v>
      </c>
      <c r="Z351" s="7" t="s">
        <v>1098</v>
      </c>
      <c r="AA351" s="7" t="str">
        <f>HYPERLINK("https://miland.ru/api/getInfo/item/f4374d1c-331c-11f1-a292-00155d82e908")</f>
        <v>https://miland.ru/api/getInfo/item/f4374d1c-331c-11f1-a292-00155d82e908</v>
      </c>
      <c r="AB351" s="7" t="s">
        <v>42</v>
      </c>
      <c r="AC351" s="7"/>
      <c r="AD351" s="7"/>
    </row>
    <row r="352" spans="2:30" ht="12" customHeight="1" outlineLevel="6">
      <c r="B352" s="70" t="s">
        <v>1099</v>
      </c>
      <c r="C352" s="70"/>
      <c r="D352" s="70"/>
      <c r="E352" s="70"/>
      <c r="F352" s="70"/>
      <c r="G352" s="70"/>
    </row>
    <row r="353" spans="2:30" ht="12" customHeight="1" outlineLevel="7">
      <c r="B353" s="70" t="s">
        <v>1100</v>
      </c>
      <c r="C353" s="70"/>
      <c r="D353" s="70"/>
      <c r="E353" s="70"/>
      <c r="F353" s="70"/>
      <c r="G353" s="70"/>
    </row>
    <row r="354" spans="2:30" s="1" customFormat="1" ht="96.3" customHeight="1" outlineLevel="7">
      <c r="B354" s="20">
        <v>224</v>
      </c>
      <c r="C354" s="21" t="s">
        <v>1101</v>
      </c>
      <c r="D354" s="72" t="s">
        <v>1102</v>
      </c>
      <c r="E354" s="72"/>
      <c r="F354" s="72"/>
      <c r="G354" s="72"/>
      <c r="H354" s="22" t="s">
        <v>1103</v>
      </c>
      <c r="I354" s="27">
        <v>14</v>
      </c>
      <c r="J354" s="22"/>
      <c r="K354" s="20">
        <v>1</v>
      </c>
      <c r="L354" s="32">
        <v>1730.71</v>
      </c>
      <c r="M354" s="11"/>
      <c r="N354" s="22">
        <f t="shared" ref="N354:N362" si="16">L354*M354</f>
        <v>0</v>
      </c>
      <c r="O354" s="28">
        <f>0.79*M354</f>
        <v>0</v>
      </c>
      <c r="P354" s="26">
        <f>0.00244*M354</f>
        <v>0</v>
      </c>
      <c r="Q354" s="30"/>
      <c r="R354" s="22" t="s">
        <v>1104</v>
      </c>
      <c r="S354" s="22"/>
      <c r="T354" s="21" t="str">
        <f>HYPERLINK("https://miland.ru/api/getInfo/image/9ff1e897-eb6a-11ee-a25b-00155d82e908")</f>
        <v>https://miland.ru/api/getInfo/image/9ff1e897-eb6a-11ee-a25b-00155d82e908</v>
      </c>
      <c r="U354" s="21"/>
      <c r="V354" s="21" t="s">
        <v>878</v>
      </c>
      <c r="W354" s="21" t="s">
        <v>879</v>
      </c>
      <c r="X354" s="21" t="s">
        <v>172</v>
      </c>
      <c r="Y354" s="21" t="s">
        <v>173</v>
      </c>
      <c r="Z354" s="21" t="s">
        <v>1104</v>
      </c>
      <c r="AA354" s="21" t="str">
        <f>HYPERLINK("https://miland.ru/api/getInfo/item/9ff1e897-eb6a-11ee-a25b-00155d82e908")</f>
        <v>https://miland.ru/api/getInfo/item/9ff1e897-eb6a-11ee-a25b-00155d82e908</v>
      </c>
      <c r="AB354" s="21" t="s">
        <v>42</v>
      </c>
      <c r="AC354" s="21" t="s">
        <v>1105</v>
      </c>
      <c r="AD354" s="21"/>
    </row>
    <row r="355" spans="2:30" s="1" customFormat="1" ht="96.3" customHeight="1" outlineLevel="7">
      <c r="B355" s="20">
        <v>225</v>
      </c>
      <c r="C355" s="21" t="s">
        <v>1106</v>
      </c>
      <c r="D355" s="72" t="s">
        <v>1107</v>
      </c>
      <c r="E355" s="72"/>
      <c r="F355" s="72"/>
      <c r="G355" s="72"/>
      <c r="H355" s="22" t="s">
        <v>1108</v>
      </c>
      <c r="I355" s="27">
        <v>280</v>
      </c>
      <c r="J355" s="22"/>
      <c r="K355" s="20">
        <v>1</v>
      </c>
      <c r="L355" s="32">
        <v>1730.71</v>
      </c>
      <c r="M355" s="11"/>
      <c r="N355" s="22">
        <f t="shared" si="16"/>
        <v>0</v>
      </c>
      <c r="O355" s="25">
        <f>0.797*M355</f>
        <v>0</v>
      </c>
      <c r="P355" s="26">
        <f>0.00286*M355</f>
        <v>0</v>
      </c>
      <c r="Q355" s="30"/>
      <c r="R355" s="22" t="s">
        <v>1109</v>
      </c>
      <c r="S355" s="22" t="s">
        <v>435</v>
      </c>
      <c r="T355" s="21" t="str">
        <f>HYPERLINK("https://miland.ru/api/getInfo/image/6b129fd0-eb6a-11ee-a25b-00155d82e908")</f>
        <v>https://miland.ru/api/getInfo/image/6b129fd0-eb6a-11ee-a25b-00155d82e908</v>
      </c>
      <c r="U355" s="21"/>
      <c r="V355" s="21" t="s">
        <v>878</v>
      </c>
      <c r="W355" s="21" t="s">
        <v>879</v>
      </c>
      <c r="X355" s="21" t="s">
        <v>172</v>
      </c>
      <c r="Y355" s="21" t="s">
        <v>173</v>
      </c>
      <c r="Z355" s="21" t="s">
        <v>1110</v>
      </c>
      <c r="AA355" s="21" t="str">
        <f>HYPERLINK("https://miland.ru/api/getInfo/item/6b129fd0-eb6a-11ee-a25b-00155d82e908")</f>
        <v>https://miland.ru/api/getInfo/item/6b129fd0-eb6a-11ee-a25b-00155d82e908</v>
      </c>
      <c r="AB355" s="21" t="s">
        <v>42</v>
      </c>
      <c r="AC355" s="21" t="s">
        <v>1105</v>
      </c>
      <c r="AD355" s="21"/>
    </row>
    <row r="356" spans="2:30" s="1" customFormat="1" ht="96.3" customHeight="1" outlineLevel="7">
      <c r="B356" s="20">
        <v>226</v>
      </c>
      <c r="C356" s="21" t="s">
        <v>1111</v>
      </c>
      <c r="D356" s="72" t="s">
        <v>1112</v>
      </c>
      <c r="E356" s="72"/>
      <c r="F356" s="72"/>
      <c r="G356" s="72"/>
      <c r="H356" s="22" t="s">
        <v>1113</v>
      </c>
      <c r="I356" s="27">
        <v>24</v>
      </c>
      <c r="J356" s="22"/>
      <c r="K356" s="20">
        <v>1</v>
      </c>
      <c r="L356" s="32">
        <v>1730.71</v>
      </c>
      <c r="M356" s="11"/>
      <c r="N356" s="22">
        <f t="shared" si="16"/>
        <v>0</v>
      </c>
      <c r="O356" s="25">
        <f>0.785*M356</f>
        <v>0</v>
      </c>
      <c r="P356" s="26">
        <f>0.00289*M356</f>
        <v>0</v>
      </c>
      <c r="Q356" s="30"/>
      <c r="R356" s="22" t="s">
        <v>1114</v>
      </c>
      <c r="S356" s="22"/>
      <c r="T356" s="21" t="str">
        <f>HYPERLINK("https://miland.ru/api/getInfo/image/8788d5bd-eb6a-11ee-a25b-00155d82e908")</f>
        <v>https://miland.ru/api/getInfo/image/8788d5bd-eb6a-11ee-a25b-00155d82e908</v>
      </c>
      <c r="U356" s="21"/>
      <c r="V356" s="21" t="s">
        <v>878</v>
      </c>
      <c r="W356" s="21" t="s">
        <v>879</v>
      </c>
      <c r="X356" s="21" t="s">
        <v>172</v>
      </c>
      <c r="Y356" s="21" t="s">
        <v>173</v>
      </c>
      <c r="Z356" s="21" t="s">
        <v>1115</v>
      </c>
      <c r="AA356" s="21" t="str">
        <f>HYPERLINK("https://miland.ru/api/getInfo/item/8788d5bd-eb6a-11ee-a25b-00155d82e908")</f>
        <v>https://miland.ru/api/getInfo/item/8788d5bd-eb6a-11ee-a25b-00155d82e908</v>
      </c>
      <c r="AB356" s="21" t="s">
        <v>42</v>
      </c>
      <c r="AC356" s="21" t="s">
        <v>1105</v>
      </c>
      <c r="AD356" s="21"/>
    </row>
    <row r="357" spans="2:30" s="1" customFormat="1" ht="96.3" customHeight="1" outlineLevel="7">
      <c r="B357" s="20">
        <v>227</v>
      </c>
      <c r="C357" s="21" t="s">
        <v>1116</v>
      </c>
      <c r="D357" s="72" t="s">
        <v>1117</v>
      </c>
      <c r="E357" s="72"/>
      <c r="F357" s="72"/>
      <c r="G357" s="72"/>
      <c r="H357" s="22" t="s">
        <v>1118</v>
      </c>
      <c r="I357" s="27">
        <v>257</v>
      </c>
      <c r="J357" s="22"/>
      <c r="K357" s="20">
        <v>1</v>
      </c>
      <c r="L357" s="32">
        <v>2706.71</v>
      </c>
      <c r="M357" s="11"/>
      <c r="N357" s="22">
        <f t="shared" si="16"/>
        <v>0</v>
      </c>
      <c r="O357" s="25">
        <f>1.604*M357</f>
        <v>0</v>
      </c>
      <c r="P357" s="26">
        <f>0.00616*M357</f>
        <v>0</v>
      </c>
      <c r="Q357" s="30"/>
      <c r="R357" s="22" t="s">
        <v>1119</v>
      </c>
      <c r="S357" s="22" t="s">
        <v>435</v>
      </c>
      <c r="T357" s="21" t="str">
        <f>HYPERLINK("https://miland.ru/api/getInfo/image/4eefdc42-eb6a-11ee-a25b-00155d82e908")</f>
        <v>https://miland.ru/api/getInfo/image/4eefdc42-eb6a-11ee-a25b-00155d82e908</v>
      </c>
      <c r="U357" s="21"/>
      <c r="V357" s="21" t="s">
        <v>878</v>
      </c>
      <c r="W357" s="21" t="s">
        <v>879</v>
      </c>
      <c r="X357" s="21" t="s">
        <v>172</v>
      </c>
      <c r="Y357" s="21" t="s">
        <v>173</v>
      </c>
      <c r="Z357" s="21" t="s">
        <v>1119</v>
      </c>
      <c r="AA357" s="21" t="str">
        <f>HYPERLINK("https://miland.ru/api/getInfo/item/4eefdc42-eb6a-11ee-a25b-00155d82e908")</f>
        <v>https://miland.ru/api/getInfo/item/4eefdc42-eb6a-11ee-a25b-00155d82e908</v>
      </c>
      <c r="AB357" s="21" t="s">
        <v>42</v>
      </c>
      <c r="AC357" s="21" t="s">
        <v>925</v>
      </c>
      <c r="AD357" s="21"/>
    </row>
    <row r="358" spans="2:30" s="1" customFormat="1" ht="96.3" customHeight="1" outlineLevel="7">
      <c r="B358" s="20">
        <v>228</v>
      </c>
      <c r="C358" s="21" t="s">
        <v>1120</v>
      </c>
      <c r="D358" s="72" t="s">
        <v>1121</v>
      </c>
      <c r="E358" s="72"/>
      <c r="F358" s="72"/>
      <c r="G358" s="72"/>
      <c r="H358" s="22" t="s">
        <v>1122</v>
      </c>
      <c r="I358" s="27">
        <v>485</v>
      </c>
      <c r="J358" s="22"/>
      <c r="K358" s="20">
        <v>1</v>
      </c>
      <c r="L358" s="24">
        <v>643.32000000000005</v>
      </c>
      <c r="M358" s="11"/>
      <c r="N358" s="22">
        <f t="shared" si="16"/>
        <v>0</v>
      </c>
      <c r="O358" s="25">
        <f>9.903*M358</f>
        <v>0</v>
      </c>
      <c r="P358" s="26">
        <f>0.04066*M358</f>
        <v>0</v>
      </c>
      <c r="Q358" s="30"/>
      <c r="R358" s="22" t="s">
        <v>1123</v>
      </c>
      <c r="S358" s="22"/>
      <c r="T358" s="21" t="str">
        <f>HYPERLINK("https://miland.ru/api/getInfo/image/34757d44-eb6a-11ee-a25b-00155d82e908")</f>
        <v>https://miland.ru/api/getInfo/image/34757d44-eb6a-11ee-a25b-00155d82e908</v>
      </c>
      <c r="U358" s="21"/>
      <c r="V358" s="21" t="s">
        <v>878</v>
      </c>
      <c r="W358" s="21" t="s">
        <v>879</v>
      </c>
      <c r="X358" s="21" t="s">
        <v>172</v>
      </c>
      <c r="Y358" s="21" t="s">
        <v>173</v>
      </c>
      <c r="Z358" s="21" t="s">
        <v>1124</v>
      </c>
      <c r="AA358" s="21" t="str">
        <f>HYPERLINK("https://miland.ru/api/getInfo/item/34757d44-eb6a-11ee-a25b-00155d82e908")</f>
        <v>https://miland.ru/api/getInfo/item/34757d44-eb6a-11ee-a25b-00155d82e908</v>
      </c>
      <c r="AB358" s="21" t="s">
        <v>42</v>
      </c>
      <c r="AC358" s="21" t="s">
        <v>1125</v>
      </c>
      <c r="AD358" s="21"/>
    </row>
    <row r="359" spans="2:30" s="1" customFormat="1" ht="96.3" customHeight="1" outlineLevel="7">
      <c r="B359" s="20">
        <v>229</v>
      </c>
      <c r="C359" s="21" t="s">
        <v>1126</v>
      </c>
      <c r="D359" s="72" t="s">
        <v>1127</v>
      </c>
      <c r="E359" s="72"/>
      <c r="F359" s="72"/>
      <c r="G359" s="72"/>
      <c r="H359" s="22" t="s">
        <v>1128</v>
      </c>
      <c r="I359" s="27">
        <v>210</v>
      </c>
      <c r="J359" s="22"/>
      <c r="K359" s="20">
        <v>1</v>
      </c>
      <c r="L359" s="24">
        <v>643.32000000000005</v>
      </c>
      <c r="M359" s="11"/>
      <c r="N359" s="22">
        <f t="shared" si="16"/>
        <v>0</v>
      </c>
      <c r="O359" s="25">
        <f>0.197*M359</f>
        <v>0</v>
      </c>
      <c r="P359" s="26">
        <f>0.00077*M359</f>
        <v>0</v>
      </c>
      <c r="Q359" s="30"/>
      <c r="R359" s="22" t="s">
        <v>1129</v>
      </c>
      <c r="S359" s="22" t="s">
        <v>435</v>
      </c>
      <c r="T359" s="21" t="str">
        <f>HYPERLINK("https://miland.ru/api/getInfo/image/e907b0bf-eb69-11ee-a25b-00155d82e908")</f>
        <v>https://miland.ru/api/getInfo/image/e907b0bf-eb69-11ee-a25b-00155d82e908</v>
      </c>
      <c r="U359" s="21"/>
      <c r="V359" s="21" t="s">
        <v>878</v>
      </c>
      <c r="W359" s="21" t="s">
        <v>879</v>
      </c>
      <c r="X359" s="21" t="s">
        <v>172</v>
      </c>
      <c r="Y359" s="21" t="s">
        <v>173</v>
      </c>
      <c r="Z359" s="21" t="s">
        <v>1130</v>
      </c>
      <c r="AA359" s="21" t="str">
        <f>HYPERLINK("https://miland.ru/api/getInfo/item/e907b0bf-eb69-11ee-a25b-00155d82e908")</f>
        <v>https://miland.ru/api/getInfo/item/e907b0bf-eb69-11ee-a25b-00155d82e908</v>
      </c>
      <c r="AB359" s="21" t="s">
        <v>42</v>
      </c>
      <c r="AC359" s="21" t="s">
        <v>1125</v>
      </c>
      <c r="AD359" s="21"/>
    </row>
    <row r="360" spans="2:30" s="1" customFormat="1" ht="96.3" customHeight="1" outlineLevel="7">
      <c r="B360" s="20">
        <v>230</v>
      </c>
      <c r="C360" s="21" t="s">
        <v>1131</v>
      </c>
      <c r="D360" s="72" t="s">
        <v>1132</v>
      </c>
      <c r="E360" s="72"/>
      <c r="F360" s="72"/>
      <c r="G360" s="72"/>
      <c r="H360" s="22" t="s">
        <v>1133</v>
      </c>
      <c r="I360" s="23" t="s">
        <v>36</v>
      </c>
      <c r="J360" s="22"/>
      <c r="K360" s="20">
        <v>1</v>
      </c>
      <c r="L360" s="24">
        <v>643.32000000000005</v>
      </c>
      <c r="M360" s="11"/>
      <c r="N360" s="22">
        <f t="shared" si="16"/>
        <v>0</v>
      </c>
      <c r="O360" s="25">
        <f>9.708*M360</f>
        <v>0</v>
      </c>
      <c r="P360" s="26">
        <f>0.04122*M360</f>
        <v>0</v>
      </c>
      <c r="Q360" s="30"/>
      <c r="R360" s="22" t="s">
        <v>1134</v>
      </c>
      <c r="S360" s="22"/>
      <c r="T360" s="21" t="str">
        <f>HYPERLINK("https://miland.ru/api/getInfo/image/03bb3d24-eb6a-11ee-a25b-00155d82e908")</f>
        <v>https://miland.ru/api/getInfo/image/03bb3d24-eb6a-11ee-a25b-00155d82e908</v>
      </c>
      <c r="U360" s="21"/>
      <c r="V360" s="21" t="s">
        <v>878</v>
      </c>
      <c r="W360" s="21" t="s">
        <v>879</v>
      </c>
      <c r="X360" s="21" t="s">
        <v>172</v>
      </c>
      <c r="Y360" s="21" t="s">
        <v>173</v>
      </c>
      <c r="Z360" s="21" t="s">
        <v>1135</v>
      </c>
      <c r="AA360" s="21" t="str">
        <f>HYPERLINK("https://miland.ru/api/getInfo/item/03bb3d24-eb6a-11ee-a25b-00155d82e908")</f>
        <v>https://miland.ru/api/getInfo/item/03bb3d24-eb6a-11ee-a25b-00155d82e908</v>
      </c>
      <c r="AB360" s="21" t="s">
        <v>42</v>
      </c>
      <c r="AC360" s="21" t="s">
        <v>1125</v>
      </c>
      <c r="AD360" s="21"/>
    </row>
    <row r="361" spans="2:30" s="1" customFormat="1" ht="96.3" customHeight="1" outlineLevel="7">
      <c r="B361" s="20">
        <v>231</v>
      </c>
      <c r="C361" s="21" t="s">
        <v>1136</v>
      </c>
      <c r="D361" s="72" t="s">
        <v>1137</v>
      </c>
      <c r="E361" s="72"/>
      <c r="F361" s="72"/>
      <c r="G361" s="72"/>
      <c r="H361" s="22" t="s">
        <v>1138</v>
      </c>
      <c r="I361" s="23" t="s">
        <v>36</v>
      </c>
      <c r="J361" s="22"/>
      <c r="K361" s="20">
        <v>1</v>
      </c>
      <c r="L361" s="24">
        <v>441.62</v>
      </c>
      <c r="M361" s="11"/>
      <c r="N361" s="22">
        <f t="shared" si="16"/>
        <v>0</v>
      </c>
      <c r="O361" s="25">
        <f>0.161*M361</f>
        <v>0</v>
      </c>
      <c r="P361" s="29">
        <f>0.0007*M361</f>
        <v>0</v>
      </c>
      <c r="Q361" s="30"/>
      <c r="R361" s="22" t="s">
        <v>1139</v>
      </c>
      <c r="S361" s="22" t="s">
        <v>435</v>
      </c>
      <c r="T361" s="21" t="str">
        <f>HYPERLINK("https://miland.ru/api/getInfo/image/242e66b0-eb69-11ee-a25b-00155d82e908")</f>
        <v>https://miland.ru/api/getInfo/image/242e66b0-eb69-11ee-a25b-00155d82e908</v>
      </c>
      <c r="U361" s="21"/>
      <c r="V361" s="21" t="s">
        <v>878</v>
      </c>
      <c r="W361" s="21" t="s">
        <v>879</v>
      </c>
      <c r="X361" s="21" t="s">
        <v>172</v>
      </c>
      <c r="Y361" s="21" t="s">
        <v>173</v>
      </c>
      <c r="Z361" s="21" t="s">
        <v>1140</v>
      </c>
      <c r="AA361" s="21" t="str">
        <f>HYPERLINK("https://miland.ru/api/getInfo/item/242e66b0-eb69-11ee-a25b-00155d82e908")</f>
        <v>https://miland.ru/api/getInfo/item/242e66b0-eb69-11ee-a25b-00155d82e908</v>
      </c>
      <c r="AB361" s="21" t="s">
        <v>42</v>
      </c>
      <c r="AC361" s="21" t="s">
        <v>1125</v>
      </c>
      <c r="AD361" s="21"/>
    </row>
    <row r="362" spans="2:30" s="1" customFormat="1" ht="96.3" customHeight="1" outlineLevel="7">
      <c r="B362" s="20">
        <v>232</v>
      </c>
      <c r="C362" s="21" t="s">
        <v>1141</v>
      </c>
      <c r="D362" s="72" t="s">
        <v>1142</v>
      </c>
      <c r="E362" s="72"/>
      <c r="F362" s="72"/>
      <c r="G362" s="72"/>
      <c r="H362" s="22" t="s">
        <v>1143</v>
      </c>
      <c r="I362" s="23" t="s">
        <v>36</v>
      </c>
      <c r="J362" s="22"/>
      <c r="K362" s="20">
        <v>1</v>
      </c>
      <c r="L362" s="24">
        <v>441.62</v>
      </c>
      <c r="M362" s="11"/>
      <c r="N362" s="22">
        <f t="shared" si="16"/>
        <v>0</v>
      </c>
      <c r="O362" s="25">
        <f>0.166*M362</f>
        <v>0</v>
      </c>
      <c r="P362" s="26">
        <f>0.00066*M362</f>
        <v>0</v>
      </c>
      <c r="Q362" s="30"/>
      <c r="R362" s="22" t="s">
        <v>1144</v>
      </c>
      <c r="S362" s="22" t="s">
        <v>435</v>
      </c>
      <c r="T362" s="21" t="str">
        <f>HYPERLINK("https://miland.ru/api/getInfo/image/b2823a9e-eb69-11ee-a25b-00155d82e908")</f>
        <v>https://miland.ru/api/getInfo/image/b2823a9e-eb69-11ee-a25b-00155d82e908</v>
      </c>
      <c r="U362" s="21"/>
      <c r="V362" s="21" t="s">
        <v>878</v>
      </c>
      <c r="W362" s="21" t="s">
        <v>879</v>
      </c>
      <c r="X362" s="21" t="s">
        <v>172</v>
      </c>
      <c r="Y362" s="21" t="s">
        <v>173</v>
      </c>
      <c r="Z362" s="21" t="s">
        <v>1145</v>
      </c>
      <c r="AA362" s="21" t="str">
        <f>HYPERLINK("https://miland.ru/api/getInfo/item/b2823a9e-eb69-11ee-a25b-00155d82e908")</f>
        <v>https://miland.ru/api/getInfo/item/b2823a9e-eb69-11ee-a25b-00155d82e908</v>
      </c>
      <c r="AB362" s="21" t="s">
        <v>42</v>
      </c>
      <c r="AC362" s="21" t="s">
        <v>1125</v>
      </c>
      <c r="AD362" s="21"/>
    </row>
    <row r="363" spans="2:30" ht="12" customHeight="1" outlineLevel="7">
      <c r="B363" s="70" t="s">
        <v>1146</v>
      </c>
      <c r="C363" s="70"/>
      <c r="D363" s="70"/>
      <c r="E363" s="70"/>
      <c r="F363" s="70"/>
      <c r="G363" s="70"/>
    </row>
    <row r="364" spans="2:30" s="1" customFormat="1" ht="96.3" customHeight="1" outlineLevel="7">
      <c r="B364" s="20">
        <v>233</v>
      </c>
      <c r="C364" s="21" t="s">
        <v>1147</v>
      </c>
      <c r="D364" s="72" t="s">
        <v>1148</v>
      </c>
      <c r="E364" s="72"/>
      <c r="F364" s="72"/>
      <c r="G364" s="72"/>
      <c r="H364" s="22" t="s">
        <v>1149</v>
      </c>
      <c r="I364" s="23" t="s">
        <v>36</v>
      </c>
      <c r="J364" s="22"/>
      <c r="K364" s="20">
        <v>1</v>
      </c>
      <c r="L364" s="24">
        <v>740.11</v>
      </c>
      <c r="M364" s="11"/>
      <c r="N364" s="22">
        <f t="shared" ref="N364:N374" si="17">L364*M364</f>
        <v>0</v>
      </c>
      <c r="O364" s="25">
        <f>0.339*M364</f>
        <v>0</v>
      </c>
      <c r="P364" s="26">
        <f>0.00124*M364</f>
        <v>0</v>
      </c>
      <c r="Q364" s="30"/>
      <c r="R364" s="22" t="s">
        <v>1150</v>
      </c>
      <c r="S364" s="22"/>
      <c r="T364" s="21" t="str">
        <f>HYPERLINK("https://miland.ru/api/getInfo/image/1e9ec11c-0166-11ef-a25d-00155d82e908")</f>
        <v>https://miland.ru/api/getInfo/image/1e9ec11c-0166-11ef-a25d-00155d82e908</v>
      </c>
      <c r="U364" s="21"/>
      <c r="V364" s="21" t="s">
        <v>878</v>
      </c>
      <c r="W364" s="21" t="s">
        <v>879</v>
      </c>
      <c r="X364" s="21" t="s">
        <v>172</v>
      </c>
      <c r="Y364" s="21" t="s">
        <v>173</v>
      </c>
      <c r="Z364" s="21" t="s">
        <v>1151</v>
      </c>
      <c r="AA364" s="21" t="str">
        <f>HYPERLINK("https://miland.ru/api/getInfo/item/1e9ec11c-0166-11ef-a25d-00155d82e908")</f>
        <v>https://miland.ru/api/getInfo/item/1e9ec11c-0166-11ef-a25d-00155d82e908</v>
      </c>
      <c r="AB364" s="21" t="s">
        <v>42</v>
      </c>
      <c r="AC364" s="21" t="s">
        <v>1152</v>
      </c>
      <c r="AD364" s="21"/>
    </row>
    <row r="365" spans="2:30" s="1" customFormat="1" ht="96.3" customHeight="1" outlineLevel="7">
      <c r="B365" s="20">
        <v>234</v>
      </c>
      <c r="C365" s="21" t="s">
        <v>1153</v>
      </c>
      <c r="D365" s="72" t="s">
        <v>1154</v>
      </c>
      <c r="E365" s="72"/>
      <c r="F365" s="72"/>
      <c r="G365" s="72"/>
      <c r="H365" s="22" t="s">
        <v>1155</v>
      </c>
      <c r="I365" s="23" t="s">
        <v>36</v>
      </c>
      <c r="J365" s="22"/>
      <c r="K365" s="20">
        <v>1</v>
      </c>
      <c r="L365" s="24">
        <v>740.11</v>
      </c>
      <c r="M365" s="11"/>
      <c r="N365" s="22">
        <f t="shared" si="17"/>
        <v>0</v>
      </c>
      <c r="O365" s="25">
        <f>0.339*M365</f>
        <v>0</v>
      </c>
      <c r="P365" s="29">
        <f>0.0012*M365</f>
        <v>0</v>
      </c>
      <c r="Q365" s="30"/>
      <c r="R365" s="22" t="s">
        <v>1156</v>
      </c>
      <c r="S365" s="22"/>
      <c r="T365" s="21" t="str">
        <f>HYPERLINK("https://miland.ru/api/getInfo/image/f7c640ad-0165-11ef-a25d-00155d82e908")</f>
        <v>https://miland.ru/api/getInfo/image/f7c640ad-0165-11ef-a25d-00155d82e908</v>
      </c>
      <c r="U365" s="21"/>
      <c r="V365" s="21" t="s">
        <v>878</v>
      </c>
      <c r="W365" s="21" t="s">
        <v>879</v>
      </c>
      <c r="X365" s="21" t="s">
        <v>172</v>
      </c>
      <c r="Y365" s="21" t="s">
        <v>173</v>
      </c>
      <c r="Z365" s="21" t="s">
        <v>1157</v>
      </c>
      <c r="AA365" s="21" t="str">
        <f>HYPERLINK("https://miland.ru/api/getInfo/item/f7c640ad-0165-11ef-a25d-00155d82e908")</f>
        <v>https://miland.ru/api/getInfo/item/f7c640ad-0165-11ef-a25d-00155d82e908</v>
      </c>
      <c r="AB365" s="21" t="s">
        <v>42</v>
      </c>
      <c r="AC365" s="21" t="s">
        <v>1158</v>
      </c>
      <c r="AD365" s="21"/>
    </row>
    <row r="366" spans="2:30" s="1" customFormat="1" ht="96.3" customHeight="1" outlineLevel="7">
      <c r="B366" s="20">
        <v>235</v>
      </c>
      <c r="C366" s="21" t="s">
        <v>1159</v>
      </c>
      <c r="D366" s="72" t="s">
        <v>1160</v>
      </c>
      <c r="E366" s="72"/>
      <c r="F366" s="72"/>
      <c r="G366" s="72"/>
      <c r="H366" s="22" t="s">
        <v>1161</v>
      </c>
      <c r="I366" s="23" t="s">
        <v>36</v>
      </c>
      <c r="J366" s="22"/>
      <c r="K366" s="20">
        <v>1</v>
      </c>
      <c r="L366" s="24">
        <v>797.04</v>
      </c>
      <c r="M366" s="11"/>
      <c r="N366" s="22">
        <f t="shared" si="17"/>
        <v>0</v>
      </c>
      <c r="O366" s="25">
        <f>0.206*M366</f>
        <v>0</v>
      </c>
      <c r="P366" s="26">
        <f>0.00172*M366</f>
        <v>0</v>
      </c>
      <c r="Q366" s="30"/>
      <c r="R366" s="22" t="s">
        <v>1162</v>
      </c>
      <c r="S366" s="22"/>
      <c r="T366" s="21" t="str">
        <f>HYPERLINK("https://miland.ru/api/getInfo/image/7dcfac59-0166-11ef-a25d-00155d82e908")</f>
        <v>https://miland.ru/api/getInfo/image/7dcfac59-0166-11ef-a25d-00155d82e908</v>
      </c>
      <c r="U366" s="21"/>
      <c r="V366" s="21" t="s">
        <v>878</v>
      </c>
      <c r="W366" s="21" t="s">
        <v>879</v>
      </c>
      <c r="X366" s="21" t="s">
        <v>172</v>
      </c>
      <c r="Y366" s="21" t="s">
        <v>173</v>
      </c>
      <c r="Z366" s="21" t="s">
        <v>1163</v>
      </c>
      <c r="AA366" s="21" t="str">
        <f>HYPERLINK("https://miland.ru/api/getInfo/item/7dcfac59-0166-11ef-a25d-00155d82e908")</f>
        <v>https://miland.ru/api/getInfo/item/7dcfac59-0166-11ef-a25d-00155d82e908</v>
      </c>
      <c r="AB366" s="21" t="s">
        <v>42</v>
      </c>
      <c r="AC366" s="21" t="s">
        <v>1158</v>
      </c>
      <c r="AD366" s="21"/>
    </row>
    <row r="367" spans="2:30" s="1" customFormat="1" ht="96.3" customHeight="1" outlineLevel="7">
      <c r="B367" s="20">
        <v>236</v>
      </c>
      <c r="C367" s="21" t="s">
        <v>1164</v>
      </c>
      <c r="D367" s="72" t="s">
        <v>1165</v>
      </c>
      <c r="E367" s="72"/>
      <c r="F367" s="72"/>
      <c r="G367" s="72"/>
      <c r="H367" s="22" t="s">
        <v>1166</v>
      </c>
      <c r="I367" s="23" t="s">
        <v>36</v>
      </c>
      <c r="J367" s="22"/>
      <c r="K367" s="20">
        <v>1</v>
      </c>
      <c r="L367" s="32">
        <v>1224.02</v>
      </c>
      <c r="M367" s="11"/>
      <c r="N367" s="22">
        <f t="shared" si="17"/>
        <v>0</v>
      </c>
      <c r="O367" s="25">
        <f>0.395*M367</f>
        <v>0</v>
      </c>
      <c r="P367" s="26">
        <f>0.00355*M367</f>
        <v>0</v>
      </c>
      <c r="Q367" s="30"/>
      <c r="R367" s="22" t="s">
        <v>1167</v>
      </c>
      <c r="S367" s="22"/>
      <c r="T367" s="21" t="str">
        <f>HYPERLINK("https://miland.ru/api/getInfo/image/9b81f9b0-0165-11ef-a25d-00155d82e908")</f>
        <v>https://miland.ru/api/getInfo/image/9b81f9b0-0165-11ef-a25d-00155d82e908</v>
      </c>
      <c r="U367" s="21"/>
      <c r="V367" s="21" t="s">
        <v>878</v>
      </c>
      <c r="W367" s="21" t="s">
        <v>879</v>
      </c>
      <c r="X367" s="21" t="s">
        <v>172</v>
      </c>
      <c r="Y367" s="21" t="s">
        <v>173</v>
      </c>
      <c r="Z367" s="21" t="s">
        <v>1168</v>
      </c>
      <c r="AA367" s="21" t="str">
        <f>HYPERLINK("https://miland.ru/api/getInfo/item/9b81f9b0-0165-11ef-a25d-00155d82e908")</f>
        <v>https://miland.ru/api/getInfo/item/9b81f9b0-0165-11ef-a25d-00155d82e908</v>
      </c>
      <c r="AB367" s="21" t="s">
        <v>42</v>
      </c>
      <c r="AC367" s="21" t="s">
        <v>1152</v>
      </c>
      <c r="AD367" s="21"/>
    </row>
    <row r="368" spans="2:30" s="1" customFormat="1" ht="96.3" customHeight="1" outlineLevel="7">
      <c r="B368" s="20">
        <v>237</v>
      </c>
      <c r="C368" s="21" t="s">
        <v>1169</v>
      </c>
      <c r="D368" s="72" t="s">
        <v>1170</v>
      </c>
      <c r="E368" s="72"/>
      <c r="F368" s="72"/>
      <c r="G368" s="72"/>
      <c r="H368" s="22" t="s">
        <v>1171</v>
      </c>
      <c r="I368" s="23" t="s">
        <v>36</v>
      </c>
      <c r="J368" s="22"/>
      <c r="K368" s="20">
        <v>1</v>
      </c>
      <c r="L368" s="32">
        <v>1224.02</v>
      </c>
      <c r="M368" s="11"/>
      <c r="N368" s="22">
        <f t="shared" si="17"/>
        <v>0</v>
      </c>
      <c r="O368" s="25">
        <f>0.384*M368</f>
        <v>0</v>
      </c>
      <c r="P368" s="26">
        <f>0.00337*M368</f>
        <v>0</v>
      </c>
      <c r="Q368" s="30"/>
      <c r="R368" s="22" t="s">
        <v>1172</v>
      </c>
      <c r="S368" s="22"/>
      <c r="T368" s="21" t="str">
        <f>HYPERLINK("https://miland.ru/api/getInfo/image/7664ef64-0165-11ef-a25d-00155d82e908")</f>
        <v>https://miland.ru/api/getInfo/image/7664ef64-0165-11ef-a25d-00155d82e908</v>
      </c>
      <c r="U368" s="21"/>
      <c r="V368" s="21" t="s">
        <v>878</v>
      </c>
      <c r="W368" s="21" t="s">
        <v>879</v>
      </c>
      <c r="X368" s="21" t="s">
        <v>172</v>
      </c>
      <c r="Y368" s="21" t="s">
        <v>173</v>
      </c>
      <c r="Z368" s="21" t="s">
        <v>1173</v>
      </c>
      <c r="AA368" s="21" t="str">
        <f>HYPERLINK("https://miland.ru/api/getInfo/item/7664ef64-0165-11ef-a25d-00155d82e908")</f>
        <v>https://miland.ru/api/getInfo/item/7664ef64-0165-11ef-a25d-00155d82e908</v>
      </c>
      <c r="AB368" s="21" t="s">
        <v>42</v>
      </c>
      <c r="AC368" s="21" t="s">
        <v>1152</v>
      </c>
      <c r="AD368" s="21"/>
    </row>
    <row r="369" spans="2:30" s="1" customFormat="1" ht="96.3" customHeight="1" outlineLevel="7">
      <c r="B369" s="20">
        <v>238</v>
      </c>
      <c r="C369" s="21" t="s">
        <v>1174</v>
      </c>
      <c r="D369" s="72" t="s">
        <v>1175</v>
      </c>
      <c r="E369" s="72"/>
      <c r="F369" s="72"/>
      <c r="G369" s="72"/>
      <c r="H369" s="22" t="s">
        <v>1176</v>
      </c>
      <c r="I369" s="23" t="s">
        <v>36</v>
      </c>
      <c r="J369" s="22"/>
      <c r="K369" s="20">
        <v>1</v>
      </c>
      <c r="L369" s="32">
        <v>1224.02</v>
      </c>
      <c r="M369" s="11"/>
      <c r="N369" s="22">
        <f t="shared" si="17"/>
        <v>0</v>
      </c>
      <c r="O369" s="25">
        <f>0.118*M369</f>
        <v>0</v>
      </c>
      <c r="P369" s="26">
        <f>0.00067*M369</f>
        <v>0</v>
      </c>
      <c r="Q369" s="30"/>
      <c r="R369" s="22" t="s">
        <v>1177</v>
      </c>
      <c r="S369" s="22"/>
      <c r="T369" s="21" t="str">
        <f>HYPERLINK("https://miland.ru/api/getInfo/image/8bb3fc72-0165-11ef-a25d-00155d82e908")</f>
        <v>https://miland.ru/api/getInfo/image/8bb3fc72-0165-11ef-a25d-00155d82e908</v>
      </c>
      <c r="U369" s="21"/>
      <c r="V369" s="21" t="s">
        <v>878</v>
      </c>
      <c r="W369" s="21" t="s">
        <v>879</v>
      </c>
      <c r="X369" s="21" t="s">
        <v>172</v>
      </c>
      <c r="Y369" s="21" t="s">
        <v>173</v>
      </c>
      <c r="Z369" s="21" t="s">
        <v>1178</v>
      </c>
      <c r="AA369" s="21" t="str">
        <f>HYPERLINK("https://miland.ru/api/getInfo/item/8bb3fc72-0165-11ef-a25d-00155d82e908")</f>
        <v>https://miland.ru/api/getInfo/item/8bb3fc72-0165-11ef-a25d-00155d82e908</v>
      </c>
      <c r="AB369" s="21" t="s">
        <v>42</v>
      </c>
      <c r="AC369" s="21" t="s">
        <v>1152</v>
      </c>
      <c r="AD369" s="21"/>
    </row>
    <row r="370" spans="2:30" s="1" customFormat="1" ht="96.3" customHeight="1" outlineLevel="7">
      <c r="B370" s="20">
        <v>239</v>
      </c>
      <c r="C370" s="21" t="s">
        <v>1179</v>
      </c>
      <c r="D370" s="72" t="s">
        <v>1180</v>
      </c>
      <c r="E370" s="72"/>
      <c r="F370" s="72"/>
      <c r="G370" s="72"/>
      <c r="H370" s="22" t="s">
        <v>1181</v>
      </c>
      <c r="I370" s="23" t="s">
        <v>36</v>
      </c>
      <c r="J370" s="22"/>
      <c r="K370" s="20">
        <v>1</v>
      </c>
      <c r="L370" s="32">
        <v>1224.02</v>
      </c>
      <c r="M370" s="11"/>
      <c r="N370" s="22">
        <f t="shared" si="17"/>
        <v>0</v>
      </c>
      <c r="O370" s="25">
        <f>0.393*M370</f>
        <v>0</v>
      </c>
      <c r="P370" s="26">
        <f>0.00235*M370</f>
        <v>0</v>
      </c>
      <c r="Q370" s="30"/>
      <c r="R370" s="22" t="s">
        <v>1182</v>
      </c>
      <c r="S370" s="22"/>
      <c r="T370" s="21" t="str">
        <f>HYPERLINK("https://miland.ru/api/getInfo/image/f45a5666-0164-11ef-a25d-00155d82e908")</f>
        <v>https://miland.ru/api/getInfo/image/f45a5666-0164-11ef-a25d-00155d82e908</v>
      </c>
      <c r="U370" s="21"/>
      <c r="V370" s="21" t="s">
        <v>878</v>
      </c>
      <c r="W370" s="21" t="s">
        <v>879</v>
      </c>
      <c r="X370" s="21" t="s">
        <v>172</v>
      </c>
      <c r="Y370" s="21" t="s">
        <v>173</v>
      </c>
      <c r="Z370" s="21" t="s">
        <v>1183</v>
      </c>
      <c r="AA370" s="21" t="str">
        <f>HYPERLINK("https://miland.ru/api/getInfo/item/f45a5666-0164-11ef-a25d-00155d82e908")</f>
        <v>https://miland.ru/api/getInfo/item/f45a5666-0164-11ef-a25d-00155d82e908</v>
      </c>
      <c r="AB370" s="21" t="s">
        <v>42</v>
      </c>
      <c r="AC370" s="21" t="s">
        <v>1152</v>
      </c>
      <c r="AD370" s="21"/>
    </row>
    <row r="371" spans="2:30" s="1" customFormat="1" ht="96.3" customHeight="1" outlineLevel="7">
      <c r="B371" s="20">
        <v>240</v>
      </c>
      <c r="C371" s="21" t="s">
        <v>1184</v>
      </c>
      <c r="D371" s="72" t="s">
        <v>1185</v>
      </c>
      <c r="E371" s="72"/>
      <c r="F371" s="72"/>
      <c r="G371" s="72"/>
      <c r="H371" s="22" t="s">
        <v>1186</v>
      </c>
      <c r="I371" s="27">
        <v>394</v>
      </c>
      <c r="J371" s="22"/>
      <c r="K371" s="20">
        <v>1</v>
      </c>
      <c r="L371" s="32">
        <v>1594.08</v>
      </c>
      <c r="M371" s="11"/>
      <c r="N371" s="22">
        <f t="shared" si="17"/>
        <v>0</v>
      </c>
      <c r="O371" s="25">
        <f>0.725*M371</f>
        <v>0</v>
      </c>
      <c r="P371" s="26">
        <f>0.00509*M371</f>
        <v>0</v>
      </c>
      <c r="Q371" s="30"/>
      <c r="R371" s="22" t="s">
        <v>1187</v>
      </c>
      <c r="S371" s="22"/>
      <c r="T371" s="21" t="str">
        <f>HYPERLINK("https://miland.ru/api/getInfo/image/d0613c1f-0165-11ef-a25d-00155d82e908")</f>
        <v>https://miland.ru/api/getInfo/image/d0613c1f-0165-11ef-a25d-00155d82e908</v>
      </c>
      <c r="U371" s="21"/>
      <c r="V371" s="21" t="s">
        <v>878</v>
      </c>
      <c r="W371" s="21" t="s">
        <v>879</v>
      </c>
      <c r="X371" s="21" t="s">
        <v>172</v>
      </c>
      <c r="Y371" s="21" t="s">
        <v>173</v>
      </c>
      <c r="Z371" s="21" t="s">
        <v>1188</v>
      </c>
      <c r="AA371" s="21" t="str">
        <f>HYPERLINK("https://miland.ru/api/getInfo/item/d0613c1f-0165-11ef-a25d-00155d82e908")</f>
        <v>https://miland.ru/api/getInfo/item/d0613c1f-0165-11ef-a25d-00155d82e908</v>
      </c>
      <c r="AB371" s="21" t="s">
        <v>42</v>
      </c>
      <c r="AC371" s="21" t="s">
        <v>1158</v>
      </c>
      <c r="AD371" s="21"/>
    </row>
    <row r="372" spans="2:30" s="1" customFormat="1" ht="96.3" customHeight="1" outlineLevel="7">
      <c r="B372" s="20">
        <v>241</v>
      </c>
      <c r="C372" s="21" t="s">
        <v>1189</v>
      </c>
      <c r="D372" s="72" t="s">
        <v>1190</v>
      </c>
      <c r="E372" s="72"/>
      <c r="F372" s="72"/>
      <c r="G372" s="72"/>
      <c r="H372" s="22" t="s">
        <v>1191</v>
      </c>
      <c r="I372" s="27">
        <v>325</v>
      </c>
      <c r="J372" s="22"/>
      <c r="K372" s="20">
        <v>1</v>
      </c>
      <c r="L372" s="32">
        <v>1594.08</v>
      </c>
      <c r="M372" s="11"/>
      <c r="N372" s="22">
        <f t="shared" si="17"/>
        <v>0</v>
      </c>
      <c r="O372" s="25">
        <f>0.723*M372</f>
        <v>0</v>
      </c>
      <c r="P372" s="26">
        <f>0.00485*M372</f>
        <v>0</v>
      </c>
      <c r="Q372" s="30"/>
      <c r="R372" s="22" t="s">
        <v>1192</v>
      </c>
      <c r="S372" s="22"/>
      <c r="T372" s="21" t="str">
        <f>HYPERLINK("https://miland.ru/api/getInfo/image/e07b5daf-0165-11ef-a25d-00155d82e908")</f>
        <v>https://miland.ru/api/getInfo/image/e07b5daf-0165-11ef-a25d-00155d82e908</v>
      </c>
      <c r="U372" s="21"/>
      <c r="V372" s="21" t="s">
        <v>878</v>
      </c>
      <c r="W372" s="21" t="s">
        <v>879</v>
      </c>
      <c r="X372" s="21" t="s">
        <v>172</v>
      </c>
      <c r="Y372" s="21" t="s">
        <v>173</v>
      </c>
      <c r="Z372" s="21" t="s">
        <v>1193</v>
      </c>
      <c r="AA372" s="21" t="str">
        <f>HYPERLINK("https://miland.ru/api/getInfo/item/e07b5daf-0165-11ef-a25d-00155d82e908")</f>
        <v>https://miland.ru/api/getInfo/item/e07b5daf-0165-11ef-a25d-00155d82e908</v>
      </c>
      <c r="AB372" s="21" t="s">
        <v>42</v>
      </c>
      <c r="AC372" s="21" t="s">
        <v>1158</v>
      </c>
      <c r="AD372" s="21"/>
    </row>
    <row r="373" spans="2:30" s="1" customFormat="1" ht="96.3" customHeight="1" outlineLevel="7">
      <c r="B373" s="20">
        <v>242</v>
      </c>
      <c r="C373" s="21" t="s">
        <v>1194</v>
      </c>
      <c r="D373" s="72" t="s">
        <v>1195</v>
      </c>
      <c r="E373" s="72"/>
      <c r="F373" s="72"/>
      <c r="G373" s="72"/>
      <c r="H373" s="22" t="s">
        <v>1196</v>
      </c>
      <c r="I373" s="27">
        <v>124</v>
      </c>
      <c r="J373" s="22"/>
      <c r="K373" s="20">
        <v>1</v>
      </c>
      <c r="L373" s="32">
        <v>1594.08</v>
      </c>
      <c r="M373" s="11"/>
      <c r="N373" s="22">
        <f t="shared" si="17"/>
        <v>0</v>
      </c>
      <c r="O373" s="28">
        <f>0.58*M373</f>
        <v>0</v>
      </c>
      <c r="P373" s="29">
        <f>0.0046*M373</f>
        <v>0</v>
      </c>
      <c r="Q373" s="30"/>
      <c r="R373" s="22" t="s">
        <v>1197</v>
      </c>
      <c r="S373" s="22"/>
      <c r="T373" s="21" t="str">
        <f>HYPERLINK("https://miland.ru/api/getInfo/image/c107eb6b-0165-11ef-a25d-00155d82e908")</f>
        <v>https://miland.ru/api/getInfo/image/c107eb6b-0165-11ef-a25d-00155d82e908</v>
      </c>
      <c r="U373" s="21"/>
      <c r="V373" s="21" t="s">
        <v>878</v>
      </c>
      <c r="W373" s="21" t="s">
        <v>879</v>
      </c>
      <c r="X373" s="21" t="s">
        <v>172</v>
      </c>
      <c r="Y373" s="21" t="s">
        <v>173</v>
      </c>
      <c r="Z373" s="21" t="s">
        <v>1198</v>
      </c>
      <c r="AA373" s="21" t="str">
        <f>HYPERLINK("https://miland.ru/api/getInfo/item/c107eb6b-0165-11ef-a25d-00155d82e908")</f>
        <v>https://miland.ru/api/getInfo/item/c107eb6b-0165-11ef-a25d-00155d82e908</v>
      </c>
      <c r="AB373" s="21" t="s">
        <v>42</v>
      </c>
      <c r="AC373" s="21" t="s">
        <v>1158</v>
      </c>
      <c r="AD373" s="21"/>
    </row>
    <row r="374" spans="2:30" s="1" customFormat="1" ht="96.3" customHeight="1" outlineLevel="7">
      <c r="B374" s="20">
        <v>243</v>
      </c>
      <c r="C374" s="21" t="s">
        <v>1199</v>
      </c>
      <c r="D374" s="72" t="s">
        <v>1200</v>
      </c>
      <c r="E374" s="72"/>
      <c r="F374" s="72"/>
      <c r="G374" s="72"/>
      <c r="H374" s="22" t="s">
        <v>1201</v>
      </c>
      <c r="I374" s="23" t="s">
        <v>36</v>
      </c>
      <c r="J374" s="22"/>
      <c r="K374" s="20">
        <v>1</v>
      </c>
      <c r="L374" s="32">
        <v>1594.08</v>
      </c>
      <c r="M374" s="11"/>
      <c r="N374" s="22">
        <f t="shared" si="17"/>
        <v>0</v>
      </c>
      <c r="O374" s="25">
        <f>0.575*M374</f>
        <v>0</v>
      </c>
      <c r="P374" s="26">
        <f>0.00527*M374</f>
        <v>0</v>
      </c>
      <c r="Q374" s="30"/>
      <c r="R374" s="22" t="s">
        <v>1202</v>
      </c>
      <c r="S374" s="22"/>
      <c r="T374" s="21" t="str">
        <f>HYPERLINK("https://miland.ru/api/getInfo/image/ac1d0165-0165-11ef-a25d-00155d82e908")</f>
        <v>https://miland.ru/api/getInfo/image/ac1d0165-0165-11ef-a25d-00155d82e908</v>
      </c>
      <c r="U374" s="21"/>
      <c r="V374" s="21" t="s">
        <v>878</v>
      </c>
      <c r="W374" s="21" t="s">
        <v>879</v>
      </c>
      <c r="X374" s="21" t="s">
        <v>172</v>
      </c>
      <c r="Y374" s="21" t="s">
        <v>173</v>
      </c>
      <c r="Z374" s="21" t="s">
        <v>1203</v>
      </c>
      <c r="AA374" s="21" t="str">
        <f>HYPERLINK("https://miland.ru/api/getInfo/item/ac1d0165-0165-11ef-a25d-00155d82e908")</f>
        <v>https://miland.ru/api/getInfo/item/ac1d0165-0165-11ef-a25d-00155d82e908</v>
      </c>
      <c r="AB374" s="21" t="s">
        <v>42</v>
      </c>
      <c r="AC374" s="21" t="s">
        <v>1158</v>
      </c>
      <c r="AD374" s="21"/>
    </row>
    <row r="375" spans="2:30" ht="12" customHeight="1" outlineLevel="7">
      <c r="B375" s="70" t="s">
        <v>940</v>
      </c>
      <c r="C375" s="70"/>
      <c r="D375" s="70"/>
      <c r="E375" s="70"/>
      <c r="F375" s="70"/>
      <c r="G375" s="70"/>
    </row>
    <row r="376" spans="2:30" s="1" customFormat="1" ht="96.3" customHeight="1" outlineLevel="7">
      <c r="B376" s="20">
        <v>244</v>
      </c>
      <c r="C376" s="21" t="s">
        <v>1204</v>
      </c>
      <c r="D376" s="72" t="s">
        <v>1205</v>
      </c>
      <c r="E376" s="72"/>
      <c r="F376" s="72"/>
      <c r="G376" s="72"/>
      <c r="H376" s="22" t="s">
        <v>1206</v>
      </c>
      <c r="I376" s="23" t="s">
        <v>36</v>
      </c>
      <c r="J376" s="22"/>
      <c r="K376" s="20">
        <v>2</v>
      </c>
      <c r="L376" s="24">
        <v>330.2</v>
      </c>
      <c r="M376" s="11"/>
      <c r="N376" s="22">
        <f t="shared" ref="N376:N383" si="18">L376*M376</f>
        <v>0</v>
      </c>
      <c r="O376" s="25">
        <f>0.057*M376</f>
        <v>0</v>
      </c>
      <c r="P376" s="26">
        <f>0.00024*M376</f>
        <v>0</v>
      </c>
      <c r="Q376" s="30"/>
      <c r="R376" s="22" t="s">
        <v>1207</v>
      </c>
      <c r="S376" s="22"/>
      <c r="T376" s="21" t="str">
        <f>HYPERLINK("https://miland.ru/api/getInfo/image/edf5c416-eb6b-11ee-a25b-00155d82e908")</f>
        <v>https://miland.ru/api/getInfo/image/edf5c416-eb6b-11ee-a25b-00155d82e908</v>
      </c>
      <c r="U376" s="21"/>
      <c r="V376" s="21" t="s">
        <v>878</v>
      </c>
      <c r="W376" s="21" t="s">
        <v>879</v>
      </c>
      <c r="X376" s="21" t="s">
        <v>172</v>
      </c>
      <c r="Y376" s="21" t="s">
        <v>173</v>
      </c>
      <c r="Z376" s="21" t="s">
        <v>1208</v>
      </c>
      <c r="AA376" s="21" t="str">
        <f>HYPERLINK("https://miland.ru/api/getInfo/item/edf5c416-eb6b-11ee-a25b-00155d82e908")</f>
        <v>https://miland.ru/api/getInfo/item/edf5c416-eb6b-11ee-a25b-00155d82e908</v>
      </c>
      <c r="AB376" s="21" t="s">
        <v>42</v>
      </c>
      <c r="AC376" s="21" t="s">
        <v>904</v>
      </c>
      <c r="AD376" s="21"/>
    </row>
    <row r="377" spans="2:30" s="1" customFormat="1" ht="96.3" customHeight="1" outlineLevel="7">
      <c r="B377" s="20">
        <v>245</v>
      </c>
      <c r="C377" s="21" t="s">
        <v>1209</v>
      </c>
      <c r="D377" s="72" t="s">
        <v>1210</v>
      </c>
      <c r="E377" s="72"/>
      <c r="F377" s="72"/>
      <c r="G377" s="72"/>
      <c r="H377" s="22" t="s">
        <v>1211</v>
      </c>
      <c r="I377" s="23" t="s">
        <v>36</v>
      </c>
      <c r="J377" s="22"/>
      <c r="K377" s="20">
        <v>2</v>
      </c>
      <c r="L377" s="24">
        <v>330.2</v>
      </c>
      <c r="M377" s="11"/>
      <c r="N377" s="22">
        <f t="shared" si="18"/>
        <v>0</v>
      </c>
      <c r="O377" s="25">
        <f>0.147*M377</f>
        <v>0</v>
      </c>
      <c r="P377" s="26">
        <f>0.00026*M377</f>
        <v>0</v>
      </c>
      <c r="Q377" s="30"/>
      <c r="R377" s="22" t="s">
        <v>1212</v>
      </c>
      <c r="S377" s="22"/>
      <c r="T377" s="21" t="str">
        <f>HYPERLINK("https://miland.ru/api/getInfo/image/b6016535-eb6b-11ee-a25b-00155d82e908")</f>
        <v>https://miland.ru/api/getInfo/image/b6016535-eb6b-11ee-a25b-00155d82e908</v>
      </c>
      <c r="U377" s="21"/>
      <c r="V377" s="21" t="s">
        <v>878</v>
      </c>
      <c r="W377" s="21" t="s">
        <v>879</v>
      </c>
      <c r="X377" s="21" t="s">
        <v>172</v>
      </c>
      <c r="Y377" s="21" t="s">
        <v>173</v>
      </c>
      <c r="Z377" s="21" t="s">
        <v>1213</v>
      </c>
      <c r="AA377" s="21" t="str">
        <f>HYPERLINK("https://miland.ru/api/getInfo/item/b6016535-eb6b-11ee-a25b-00155d82e908")</f>
        <v>https://miland.ru/api/getInfo/item/b6016535-eb6b-11ee-a25b-00155d82e908</v>
      </c>
      <c r="AB377" s="21" t="s">
        <v>42</v>
      </c>
      <c r="AC377" s="21" t="s">
        <v>904</v>
      </c>
      <c r="AD377" s="21"/>
    </row>
    <row r="378" spans="2:30" s="1" customFormat="1" ht="96.3" customHeight="1" outlineLevel="7">
      <c r="B378" s="20">
        <v>246</v>
      </c>
      <c r="C378" s="21" t="s">
        <v>1214</v>
      </c>
      <c r="D378" s="72" t="s">
        <v>1215</v>
      </c>
      <c r="E378" s="72"/>
      <c r="F378" s="72"/>
      <c r="G378" s="72"/>
      <c r="H378" s="22" t="s">
        <v>1216</v>
      </c>
      <c r="I378" s="23" t="s">
        <v>36</v>
      </c>
      <c r="J378" s="22"/>
      <c r="K378" s="20">
        <v>2</v>
      </c>
      <c r="L378" s="24">
        <v>330.2</v>
      </c>
      <c r="M378" s="11"/>
      <c r="N378" s="22">
        <f t="shared" si="18"/>
        <v>0</v>
      </c>
      <c r="O378" s="25">
        <f>6.153*M378</f>
        <v>0</v>
      </c>
      <c r="P378" s="26">
        <f>0.02954*M378</f>
        <v>0</v>
      </c>
      <c r="Q378" s="30"/>
      <c r="R378" s="22" t="s">
        <v>1217</v>
      </c>
      <c r="S378" s="22"/>
      <c r="T378" s="21" t="str">
        <f>HYPERLINK("https://miland.ru/api/getInfo/image/d6c2af2c-eb6b-11ee-a25b-00155d82e908")</f>
        <v>https://miland.ru/api/getInfo/image/d6c2af2c-eb6b-11ee-a25b-00155d82e908</v>
      </c>
      <c r="U378" s="21"/>
      <c r="V378" s="21" t="s">
        <v>878</v>
      </c>
      <c r="W378" s="21" t="s">
        <v>879</v>
      </c>
      <c r="X378" s="21" t="s">
        <v>172</v>
      </c>
      <c r="Y378" s="21" t="s">
        <v>173</v>
      </c>
      <c r="Z378" s="21" t="s">
        <v>1218</v>
      </c>
      <c r="AA378" s="21" t="str">
        <f>HYPERLINK("https://miland.ru/api/getInfo/item/d6c2af2c-eb6b-11ee-a25b-00155d82e908")</f>
        <v>https://miland.ru/api/getInfo/item/d6c2af2c-eb6b-11ee-a25b-00155d82e908</v>
      </c>
      <c r="AB378" s="21" t="s">
        <v>42</v>
      </c>
      <c r="AC378" s="21" t="s">
        <v>904</v>
      </c>
      <c r="AD378" s="21"/>
    </row>
    <row r="379" spans="2:30" s="1" customFormat="1" ht="96.3" customHeight="1" outlineLevel="7">
      <c r="B379" s="20">
        <v>247</v>
      </c>
      <c r="C379" s="21" t="s">
        <v>1219</v>
      </c>
      <c r="D379" s="72" t="s">
        <v>1220</v>
      </c>
      <c r="E379" s="72"/>
      <c r="F379" s="72"/>
      <c r="G379" s="72"/>
      <c r="H379" s="22" t="s">
        <v>1221</v>
      </c>
      <c r="I379" s="27">
        <v>7</v>
      </c>
      <c r="J379" s="22"/>
      <c r="K379" s="20">
        <v>1</v>
      </c>
      <c r="L379" s="32">
        <v>1197.27</v>
      </c>
      <c r="M379" s="11"/>
      <c r="N379" s="22">
        <f t="shared" si="18"/>
        <v>0</v>
      </c>
      <c r="O379" s="28">
        <f>0.24*M379</f>
        <v>0</v>
      </c>
      <c r="P379" s="26">
        <f>0.00072*M379</f>
        <v>0</v>
      </c>
      <c r="Q379" s="30"/>
      <c r="R379" s="22" t="s">
        <v>1222</v>
      </c>
      <c r="S379" s="22"/>
      <c r="T379" s="21" t="str">
        <f>HYPERLINK("https://miland.ru/api/getInfo/image/f53cb85f-eb6c-11ee-a25b-00155d82e908")</f>
        <v>https://miland.ru/api/getInfo/image/f53cb85f-eb6c-11ee-a25b-00155d82e908</v>
      </c>
      <c r="U379" s="21"/>
      <c r="V379" s="21" t="s">
        <v>878</v>
      </c>
      <c r="W379" s="21" t="s">
        <v>879</v>
      </c>
      <c r="X379" s="21" t="s">
        <v>172</v>
      </c>
      <c r="Y379" s="21" t="s">
        <v>173</v>
      </c>
      <c r="Z379" s="21" t="s">
        <v>1222</v>
      </c>
      <c r="AA379" s="21" t="str">
        <f>HYPERLINK("https://miland.ru/api/getInfo/item/f53cb85f-eb6c-11ee-a25b-00155d82e908")</f>
        <v>https://miland.ru/api/getInfo/item/f53cb85f-eb6c-11ee-a25b-00155d82e908</v>
      </c>
      <c r="AB379" s="21" t="s">
        <v>42</v>
      </c>
      <c r="AC379" s="21" t="s">
        <v>1030</v>
      </c>
      <c r="AD379" s="21"/>
    </row>
    <row r="380" spans="2:30" s="1" customFormat="1" ht="96.3" customHeight="1" outlineLevel="7">
      <c r="B380" s="20">
        <v>248</v>
      </c>
      <c r="C380" s="21" t="s">
        <v>1223</v>
      </c>
      <c r="D380" s="72" t="s">
        <v>1224</v>
      </c>
      <c r="E380" s="72"/>
      <c r="F380" s="72"/>
      <c r="G380" s="72"/>
      <c r="H380" s="22" t="s">
        <v>1225</v>
      </c>
      <c r="I380" s="23" t="s">
        <v>36</v>
      </c>
      <c r="J380" s="22"/>
      <c r="K380" s="20">
        <v>1</v>
      </c>
      <c r="L380" s="32">
        <v>1197.27</v>
      </c>
      <c r="M380" s="11"/>
      <c r="N380" s="22">
        <f t="shared" si="18"/>
        <v>0</v>
      </c>
      <c r="O380" s="28">
        <f>0.22*M380</f>
        <v>0</v>
      </c>
      <c r="P380" s="29">
        <f>0.0007*M380</f>
        <v>0</v>
      </c>
      <c r="Q380" s="30"/>
      <c r="R380" s="22" t="s">
        <v>1226</v>
      </c>
      <c r="S380" s="22"/>
      <c r="T380" s="21" t="str">
        <f>HYPERLINK("https://miland.ru/api/getInfo/image/167456c3-eb6c-11ee-a25b-00155d82e908")</f>
        <v>https://miland.ru/api/getInfo/image/167456c3-eb6c-11ee-a25b-00155d82e908</v>
      </c>
      <c r="U380" s="21"/>
      <c r="V380" s="21" t="s">
        <v>878</v>
      </c>
      <c r="W380" s="21" t="s">
        <v>879</v>
      </c>
      <c r="X380" s="21" t="s">
        <v>172</v>
      </c>
      <c r="Y380" s="21" t="s">
        <v>173</v>
      </c>
      <c r="Z380" s="21" t="s">
        <v>1227</v>
      </c>
      <c r="AA380" s="21" t="str">
        <f>HYPERLINK("https://miland.ru/api/getInfo/item/167456c3-eb6c-11ee-a25b-00155d82e908")</f>
        <v>https://miland.ru/api/getInfo/item/167456c3-eb6c-11ee-a25b-00155d82e908</v>
      </c>
      <c r="AB380" s="21" t="s">
        <v>42</v>
      </c>
      <c r="AC380" s="21" t="s">
        <v>1030</v>
      </c>
      <c r="AD380" s="21"/>
    </row>
    <row r="381" spans="2:30" s="1" customFormat="1" ht="96.3" customHeight="1" outlineLevel="7">
      <c r="B381" s="20">
        <v>249</v>
      </c>
      <c r="C381" s="21" t="s">
        <v>1228</v>
      </c>
      <c r="D381" s="72" t="s">
        <v>1229</v>
      </c>
      <c r="E381" s="72"/>
      <c r="F381" s="72"/>
      <c r="G381" s="72"/>
      <c r="H381" s="22" t="s">
        <v>1230</v>
      </c>
      <c r="I381" s="23" t="s">
        <v>36</v>
      </c>
      <c r="J381" s="22"/>
      <c r="K381" s="20">
        <v>1</v>
      </c>
      <c r="L381" s="32">
        <v>1878.73</v>
      </c>
      <c r="M381" s="11"/>
      <c r="N381" s="22">
        <f t="shared" si="18"/>
        <v>0</v>
      </c>
      <c r="O381" s="28">
        <f>26.35*M381</f>
        <v>0</v>
      </c>
      <c r="P381" s="26">
        <f>0.08748*M381</f>
        <v>0</v>
      </c>
      <c r="Q381" s="30"/>
      <c r="R381" s="22" t="s">
        <v>1231</v>
      </c>
      <c r="S381" s="22"/>
      <c r="T381" s="21" t="str">
        <f>HYPERLINK("https://miland.ru/api/getInfo/image/1123bd23-eb6d-11ee-a25b-00155d82e908")</f>
        <v>https://miland.ru/api/getInfo/image/1123bd23-eb6d-11ee-a25b-00155d82e908</v>
      </c>
      <c r="U381" s="21"/>
      <c r="V381" s="21" t="s">
        <v>878</v>
      </c>
      <c r="W381" s="21" t="s">
        <v>879</v>
      </c>
      <c r="X381" s="21" t="s">
        <v>172</v>
      </c>
      <c r="Y381" s="21" t="s">
        <v>173</v>
      </c>
      <c r="Z381" s="21" t="s">
        <v>1232</v>
      </c>
      <c r="AA381" s="21" t="str">
        <f>HYPERLINK("https://miland.ru/api/getInfo/item/1123bd23-eb6d-11ee-a25b-00155d82e908")</f>
        <v>https://miland.ru/api/getInfo/item/1123bd23-eb6d-11ee-a25b-00155d82e908</v>
      </c>
      <c r="AB381" s="21" t="s">
        <v>42</v>
      </c>
      <c r="AC381" s="21" t="s">
        <v>1233</v>
      </c>
      <c r="AD381" s="21"/>
    </row>
    <row r="382" spans="2:30" s="1" customFormat="1" ht="96.3" customHeight="1" outlineLevel="7">
      <c r="B382" s="20">
        <v>250</v>
      </c>
      <c r="C382" s="21" t="s">
        <v>1234</v>
      </c>
      <c r="D382" s="72" t="s">
        <v>1235</v>
      </c>
      <c r="E382" s="72"/>
      <c r="F382" s="72"/>
      <c r="G382" s="72"/>
      <c r="H382" s="22" t="s">
        <v>1236</v>
      </c>
      <c r="I382" s="23" t="s">
        <v>36</v>
      </c>
      <c r="J382" s="22"/>
      <c r="K382" s="20">
        <v>1</v>
      </c>
      <c r="L382" s="32">
        <v>1878.73</v>
      </c>
      <c r="M382" s="11"/>
      <c r="N382" s="22">
        <f t="shared" si="18"/>
        <v>0</v>
      </c>
      <c r="O382" s="33">
        <f>0.3*M382</f>
        <v>0</v>
      </c>
      <c r="P382" s="26">
        <f>0.00076*M382</f>
        <v>0</v>
      </c>
      <c r="Q382" s="30"/>
      <c r="R382" s="22" t="s">
        <v>1237</v>
      </c>
      <c r="S382" s="22"/>
      <c r="T382" s="21" t="str">
        <f>HYPERLINK("https://miland.ru/api/getInfo/image/3b948911-eb6d-11ee-a25b-00155d82e908")</f>
        <v>https://miland.ru/api/getInfo/image/3b948911-eb6d-11ee-a25b-00155d82e908</v>
      </c>
      <c r="U382" s="21"/>
      <c r="V382" s="21" t="s">
        <v>878</v>
      </c>
      <c r="W382" s="21" t="s">
        <v>879</v>
      </c>
      <c r="X382" s="21" t="s">
        <v>172</v>
      </c>
      <c r="Y382" s="21" t="s">
        <v>173</v>
      </c>
      <c r="Z382" s="21" t="s">
        <v>1238</v>
      </c>
      <c r="AA382" s="21" t="str">
        <f>HYPERLINK("https://miland.ru/api/getInfo/item/3b948911-eb6d-11ee-a25b-00155d82e908")</f>
        <v>https://miland.ru/api/getInfo/item/3b948911-eb6d-11ee-a25b-00155d82e908</v>
      </c>
      <c r="AB382" s="21" t="s">
        <v>42</v>
      </c>
      <c r="AC382" s="21" t="s">
        <v>1233</v>
      </c>
      <c r="AD382" s="21"/>
    </row>
    <row r="383" spans="2:30" s="1" customFormat="1" ht="96.3" customHeight="1" outlineLevel="7">
      <c r="B383" s="20">
        <v>251</v>
      </c>
      <c r="C383" s="21" t="s">
        <v>1239</v>
      </c>
      <c r="D383" s="72" t="s">
        <v>1240</v>
      </c>
      <c r="E383" s="72"/>
      <c r="F383" s="72"/>
      <c r="G383" s="72"/>
      <c r="H383" s="22" t="s">
        <v>1241</v>
      </c>
      <c r="I383" s="23" t="s">
        <v>36</v>
      </c>
      <c r="J383" s="22"/>
      <c r="K383" s="20">
        <v>1</v>
      </c>
      <c r="L383" s="32">
        <v>1878.73</v>
      </c>
      <c r="M383" s="11"/>
      <c r="N383" s="22">
        <f t="shared" si="18"/>
        <v>0</v>
      </c>
      <c r="O383" s="28">
        <f>26.49*M383</f>
        <v>0</v>
      </c>
      <c r="P383" s="26">
        <f>0.10757*M383</f>
        <v>0</v>
      </c>
      <c r="Q383" s="30"/>
      <c r="R383" s="22" t="s">
        <v>1242</v>
      </c>
      <c r="S383" s="22"/>
      <c r="T383" s="21" t="str">
        <f>HYPERLINK("https://miland.ru/api/getInfo/image/23ac49ec-eb6d-11ee-a25b-00155d82e908")</f>
        <v>https://miland.ru/api/getInfo/image/23ac49ec-eb6d-11ee-a25b-00155d82e908</v>
      </c>
      <c r="U383" s="21"/>
      <c r="V383" s="21" t="s">
        <v>878</v>
      </c>
      <c r="W383" s="21" t="s">
        <v>879</v>
      </c>
      <c r="X383" s="21" t="s">
        <v>172</v>
      </c>
      <c r="Y383" s="21" t="s">
        <v>173</v>
      </c>
      <c r="Z383" s="21" t="s">
        <v>1243</v>
      </c>
      <c r="AA383" s="21" t="str">
        <f>HYPERLINK("https://miland.ru/api/getInfo/item/23ac49ec-eb6d-11ee-a25b-00155d82e908")</f>
        <v>https://miland.ru/api/getInfo/item/23ac49ec-eb6d-11ee-a25b-00155d82e908</v>
      </c>
      <c r="AB383" s="21" t="s">
        <v>42</v>
      </c>
      <c r="AC383" s="21" t="s">
        <v>1233</v>
      </c>
      <c r="AD383" s="21"/>
    </row>
    <row r="384" spans="2:30" ht="12" customHeight="1" outlineLevel="5">
      <c r="B384" s="70" t="s">
        <v>1244</v>
      </c>
      <c r="C384" s="70"/>
      <c r="D384" s="70"/>
      <c r="E384" s="70"/>
      <c r="F384" s="70"/>
      <c r="G384" s="70"/>
    </row>
    <row r="385" spans="2:31" ht="12" customHeight="1" outlineLevel="6">
      <c r="B385" s="70" t="s">
        <v>1245</v>
      </c>
      <c r="C385" s="70"/>
      <c r="D385" s="70"/>
      <c r="E385" s="70"/>
      <c r="F385" s="70"/>
      <c r="G385" s="70"/>
    </row>
    <row r="386" spans="2:31" s="1" customFormat="1" ht="96.3" customHeight="1" outlineLevel="7">
      <c r="B386" s="34">
        <v>252</v>
      </c>
      <c r="C386" s="35" t="s">
        <v>1246</v>
      </c>
      <c r="D386" s="73" t="s">
        <v>1247</v>
      </c>
      <c r="E386" s="73"/>
      <c r="F386" s="73"/>
      <c r="G386" s="73"/>
      <c r="H386" s="36" t="s">
        <v>1248</v>
      </c>
      <c r="I386" s="40">
        <v>9</v>
      </c>
      <c r="J386" s="36"/>
      <c r="K386" s="34">
        <v>1</v>
      </c>
      <c r="L386" s="41">
        <v>406.09333333333331</v>
      </c>
      <c r="M386" s="11"/>
      <c r="N386" s="36">
        <f>L386*M386</f>
        <v>0</v>
      </c>
      <c r="O386" s="42">
        <f>0.277*M386</f>
        <v>0</v>
      </c>
      <c r="P386" s="43">
        <f>0.00423*M386</f>
        <v>0</v>
      </c>
      <c r="Q386" s="50"/>
      <c r="R386" s="36" t="s">
        <v>1249</v>
      </c>
      <c r="S386" s="36" t="s">
        <v>435</v>
      </c>
      <c r="T386" s="35" t="str">
        <f>HYPERLINK("https://miland.ru/api/getInfo/image/5b39f40b-e95e-11eb-a20c-ac1f6b442185")</f>
        <v>https://miland.ru/api/getInfo/image/5b39f40b-e95e-11eb-a20c-ac1f6b442185</v>
      </c>
      <c r="U386" s="35"/>
      <c r="V386" s="35" t="s">
        <v>878</v>
      </c>
      <c r="W386" s="35" t="s">
        <v>879</v>
      </c>
      <c r="X386" s="35" t="s">
        <v>172</v>
      </c>
      <c r="Y386" s="35" t="s">
        <v>173</v>
      </c>
      <c r="Z386" s="35" t="s">
        <v>1250</v>
      </c>
      <c r="AA386" s="35" t="str">
        <f>HYPERLINK("https://miland.ru/api/getInfo/item/5b39f40b-e95e-11eb-a20c-ac1f6b442185")</f>
        <v>https://miland.ru/api/getInfo/item/5b39f40b-e95e-11eb-a20c-ac1f6b442185</v>
      </c>
      <c r="AB386" s="35" t="s">
        <v>42</v>
      </c>
      <c r="AC386" s="35"/>
      <c r="AD386" s="35"/>
      <c r="AE386" s="52" t="s">
        <v>1251</v>
      </c>
    </row>
    <row r="387" spans="2:31" s="1" customFormat="1" ht="96.3" customHeight="1" outlineLevel="7">
      <c r="B387" s="20">
        <v>253</v>
      </c>
      <c r="C387" s="21" t="s">
        <v>1252</v>
      </c>
      <c r="D387" s="72" t="s">
        <v>1253</v>
      </c>
      <c r="E387" s="72"/>
      <c r="F387" s="72"/>
      <c r="G387" s="72"/>
      <c r="H387" s="22" t="s">
        <v>1254</v>
      </c>
      <c r="I387" s="27">
        <v>22</v>
      </c>
      <c r="J387" s="22"/>
      <c r="K387" s="20">
        <v>1</v>
      </c>
      <c r="L387" s="24">
        <v>567.6</v>
      </c>
      <c r="M387" s="11"/>
      <c r="N387" s="22">
        <f>L387*M387</f>
        <v>0</v>
      </c>
      <c r="O387" s="25">
        <f>0.288*M387</f>
        <v>0</v>
      </c>
      <c r="P387" s="29">
        <f>0.0041*M387</f>
        <v>0</v>
      </c>
      <c r="Q387" s="30"/>
      <c r="R387" s="22" t="s">
        <v>1255</v>
      </c>
      <c r="S387" s="22" t="s">
        <v>435</v>
      </c>
      <c r="T387" s="21" t="str">
        <f>HYPERLINK("https://miland.ru/api/getInfo/image/cc15fac1-e95e-11eb-a20c-ac1f6b442185")</f>
        <v>https://miland.ru/api/getInfo/image/cc15fac1-e95e-11eb-a20c-ac1f6b442185</v>
      </c>
      <c r="U387" s="21"/>
      <c r="V387" s="21" t="s">
        <v>878</v>
      </c>
      <c r="W387" s="21" t="s">
        <v>879</v>
      </c>
      <c r="X387" s="21" t="s">
        <v>172</v>
      </c>
      <c r="Y387" s="21" t="s">
        <v>173</v>
      </c>
      <c r="Z387" s="21" t="s">
        <v>1256</v>
      </c>
      <c r="AA387" s="21" t="str">
        <f>HYPERLINK("https://miland.ru/api/getInfo/item/cc15fac1-e95e-11eb-a20c-ac1f6b442185")</f>
        <v>https://miland.ru/api/getInfo/item/cc15fac1-e95e-11eb-a20c-ac1f6b442185</v>
      </c>
      <c r="AB387" s="21" t="s">
        <v>42</v>
      </c>
      <c r="AC387" s="21"/>
      <c r="AD387" s="21"/>
    </row>
    <row r="388" spans="2:31" ht="12" customHeight="1" outlineLevel="6">
      <c r="B388" s="70" t="s">
        <v>1257</v>
      </c>
      <c r="C388" s="70"/>
      <c r="D388" s="70"/>
      <c r="E388" s="70"/>
      <c r="F388" s="70"/>
      <c r="G388" s="70"/>
    </row>
    <row r="389" spans="2:31" s="1" customFormat="1" ht="96.3" customHeight="1" outlineLevel="7">
      <c r="B389" s="20">
        <v>254</v>
      </c>
      <c r="C389" s="21" t="s">
        <v>1258</v>
      </c>
      <c r="D389" s="72" t="s">
        <v>1259</v>
      </c>
      <c r="E389" s="72"/>
      <c r="F389" s="72"/>
      <c r="G389" s="72"/>
      <c r="H389" s="22" t="s">
        <v>1260</v>
      </c>
      <c r="I389" s="27">
        <v>7</v>
      </c>
      <c r="J389" s="22"/>
      <c r="K389" s="20">
        <v>1</v>
      </c>
      <c r="L389" s="24">
        <v>359.18</v>
      </c>
      <c r="M389" s="11"/>
      <c r="N389" s="22">
        <f>L389*M389</f>
        <v>0</v>
      </c>
      <c r="O389" s="25">
        <f>0.158*M389</f>
        <v>0</v>
      </c>
      <c r="P389" s="26">
        <f>0.00071*M389</f>
        <v>0</v>
      </c>
      <c r="Q389" s="30"/>
      <c r="R389" s="22" t="s">
        <v>1261</v>
      </c>
      <c r="S389" s="22" t="s">
        <v>435</v>
      </c>
      <c r="T389" s="21" t="str">
        <f>HYPERLINK("https://miland.ru/api/getInfo/image/f145acb6-04fa-11ee-a23b-00155d82e902")</f>
        <v>https://miland.ru/api/getInfo/image/f145acb6-04fa-11ee-a23b-00155d82e902</v>
      </c>
      <c r="U389" s="21"/>
      <c r="V389" s="21" t="s">
        <v>878</v>
      </c>
      <c r="W389" s="21" t="s">
        <v>879</v>
      </c>
      <c r="X389" s="21" t="s">
        <v>172</v>
      </c>
      <c r="Y389" s="21" t="s">
        <v>173</v>
      </c>
      <c r="Z389" s="21" t="s">
        <v>1262</v>
      </c>
      <c r="AA389" s="21" t="str">
        <f>HYPERLINK("https://miland.ru/api/getInfo/item/f145acb6-04fa-11ee-a23b-00155d82e902")</f>
        <v>https://miland.ru/api/getInfo/item/f145acb6-04fa-11ee-a23b-00155d82e902</v>
      </c>
      <c r="AB389" s="21" t="s">
        <v>42</v>
      </c>
      <c r="AC389" s="21"/>
      <c r="AD389" s="21"/>
    </row>
    <row r="390" spans="2:31" s="1" customFormat="1" ht="96.3" customHeight="1" outlineLevel="7">
      <c r="B390" s="20">
        <v>255</v>
      </c>
      <c r="C390" s="21" t="s">
        <v>1263</v>
      </c>
      <c r="D390" s="72" t="s">
        <v>1264</v>
      </c>
      <c r="E390" s="72"/>
      <c r="F390" s="72"/>
      <c r="G390" s="72"/>
      <c r="H390" s="22" t="s">
        <v>1265</v>
      </c>
      <c r="I390" s="27">
        <v>6</v>
      </c>
      <c r="J390" s="22"/>
      <c r="K390" s="20">
        <v>1</v>
      </c>
      <c r="L390" s="24">
        <v>359.18</v>
      </c>
      <c r="M390" s="11"/>
      <c r="N390" s="22">
        <f>L390*M390</f>
        <v>0</v>
      </c>
      <c r="O390" s="25">
        <f>0.158*M390</f>
        <v>0</v>
      </c>
      <c r="P390" s="26">
        <f>0.00071*M390</f>
        <v>0</v>
      </c>
      <c r="Q390" s="30"/>
      <c r="R390" s="22" t="s">
        <v>1266</v>
      </c>
      <c r="S390" s="22" t="s">
        <v>435</v>
      </c>
      <c r="T390" s="21" t="str">
        <f>HYPERLINK("https://miland.ru/api/getInfo/image/783840cc-04fa-11ee-a23b-00155d82e902")</f>
        <v>https://miland.ru/api/getInfo/image/783840cc-04fa-11ee-a23b-00155d82e902</v>
      </c>
      <c r="U390" s="21"/>
      <c r="V390" s="21" t="s">
        <v>878</v>
      </c>
      <c r="W390" s="21" t="s">
        <v>879</v>
      </c>
      <c r="X390" s="21" t="s">
        <v>172</v>
      </c>
      <c r="Y390" s="21" t="s">
        <v>173</v>
      </c>
      <c r="Z390" s="21" t="s">
        <v>1267</v>
      </c>
      <c r="AA390" s="21" t="str">
        <f>HYPERLINK("https://miland.ru/api/getInfo/item/783840cc-04fa-11ee-a23b-00155d82e902")</f>
        <v>https://miland.ru/api/getInfo/item/783840cc-04fa-11ee-a23b-00155d82e902</v>
      </c>
      <c r="AB390" s="21" t="s">
        <v>42</v>
      </c>
      <c r="AC390" s="21"/>
      <c r="AD390" s="21"/>
    </row>
    <row r="391" spans="2:31" ht="12" customHeight="1" outlineLevel="6">
      <c r="B391" s="70" t="s">
        <v>1268</v>
      </c>
      <c r="C391" s="70"/>
      <c r="D391" s="70"/>
      <c r="E391" s="70"/>
      <c r="F391" s="70"/>
      <c r="G391" s="70"/>
    </row>
    <row r="392" spans="2:31" s="1" customFormat="1" ht="96.3" customHeight="1" outlineLevel="7">
      <c r="B392" s="20">
        <v>256</v>
      </c>
      <c r="C392" s="21" t="s">
        <v>1269</v>
      </c>
      <c r="D392" s="72" t="s">
        <v>1270</v>
      </c>
      <c r="E392" s="72"/>
      <c r="F392" s="72"/>
      <c r="G392" s="72"/>
      <c r="H392" s="22" t="s">
        <v>1271</v>
      </c>
      <c r="I392" s="27">
        <v>13</v>
      </c>
      <c r="J392" s="22"/>
      <c r="K392" s="20">
        <v>1</v>
      </c>
      <c r="L392" s="32">
        <v>1275.1199999999999</v>
      </c>
      <c r="M392" s="11"/>
      <c r="N392" s="22">
        <f>L392*M392</f>
        <v>0</v>
      </c>
      <c r="O392" s="28">
        <f>0.29*M392</f>
        <v>0</v>
      </c>
      <c r="P392" s="26">
        <f>0.00103*M392</f>
        <v>0</v>
      </c>
      <c r="Q392" s="30"/>
      <c r="R392" s="22" t="s">
        <v>1272</v>
      </c>
      <c r="S392" s="22" t="s">
        <v>435</v>
      </c>
      <c r="T392" s="21" t="str">
        <f>HYPERLINK("https://miland.ru/api/getInfo/image/1aec7aa6-9e77-11eb-a201-ac1f6b442185")</f>
        <v>https://miland.ru/api/getInfo/image/1aec7aa6-9e77-11eb-a201-ac1f6b442185</v>
      </c>
      <c r="U392" s="21"/>
      <c r="V392" s="21" t="s">
        <v>878</v>
      </c>
      <c r="W392" s="21" t="s">
        <v>879</v>
      </c>
      <c r="X392" s="21" t="s">
        <v>172</v>
      </c>
      <c r="Y392" s="21" t="s">
        <v>173</v>
      </c>
      <c r="Z392" s="21" t="s">
        <v>1273</v>
      </c>
      <c r="AA392" s="21" t="str">
        <f>HYPERLINK("https://miland.ru/api/getInfo/item/1aec7aa6-9e77-11eb-a201-ac1f6b442185")</f>
        <v>https://miland.ru/api/getInfo/item/1aec7aa6-9e77-11eb-a201-ac1f6b442185</v>
      </c>
      <c r="AB392" s="21" t="s">
        <v>42</v>
      </c>
      <c r="AC392" s="21"/>
      <c r="AD392" s="21"/>
    </row>
    <row r="393" spans="2:31" s="1" customFormat="1" ht="96.3" customHeight="1" outlineLevel="7">
      <c r="B393" s="20">
        <v>257</v>
      </c>
      <c r="C393" s="21" t="s">
        <v>1274</v>
      </c>
      <c r="D393" s="72" t="s">
        <v>1275</v>
      </c>
      <c r="E393" s="72"/>
      <c r="F393" s="72"/>
      <c r="G393" s="72"/>
      <c r="H393" s="22" t="s">
        <v>1276</v>
      </c>
      <c r="I393" s="27">
        <v>10</v>
      </c>
      <c r="J393" s="22"/>
      <c r="K393" s="20">
        <v>1</v>
      </c>
      <c r="L393" s="24">
        <v>743.76</v>
      </c>
      <c r="M393" s="11"/>
      <c r="N393" s="22">
        <f>L393*M393</f>
        <v>0</v>
      </c>
      <c r="O393" s="28">
        <f>0.29*M393</f>
        <v>0</v>
      </c>
      <c r="P393" s="26">
        <f>0.00088*M393</f>
        <v>0</v>
      </c>
      <c r="Q393" s="30"/>
      <c r="R393" s="22" t="s">
        <v>1277</v>
      </c>
      <c r="S393" s="22" t="s">
        <v>435</v>
      </c>
      <c r="T393" s="21" t="str">
        <f>HYPERLINK("https://miland.ru/api/getInfo/image/d548f17c-fab0-11eb-a20e-ac1f6b442185")</f>
        <v>https://miland.ru/api/getInfo/image/d548f17c-fab0-11eb-a20e-ac1f6b442185</v>
      </c>
      <c r="U393" s="21"/>
      <c r="V393" s="21" t="s">
        <v>878</v>
      </c>
      <c r="W393" s="21" t="s">
        <v>879</v>
      </c>
      <c r="X393" s="21" t="s">
        <v>172</v>
      </c>
      <c r="Y393" s="21" t="s">
        <v>173</v>
      </c>
      <c r="Z393" s="21" t="s">
        <v>1278</v>
      </c>
      <c r="AA393" s="21" t="str">
        <f>HYPERLINK("https://miland.ru/api/getInfo/item/d548f17c-fab0-11eb-a20e-ac1f6b442185")</f>
        <v>https://miland.ru/api/getInfo/item/d548f17c-fab0-11eb-a20e-ac1f6b442185</v>
      </c>
      <c r="AB393" s="21" t="s">
        <v>42</v>
      </c>
      <c r="AC393" s="21"/>
      <c r="AD393" s="21"/>
    </row>
    <row r="394" spans="2:31" s="1" customFormat="1" ht="96.3" customHeight="1" outlineLevel="7">
      <c r="B394" s="20">
        <v>258</v>
      </c>
      <c r="C394" s="21" t="s">
        <v>1279</v>
      </c>
      <c r="D394" s="72" t="s">
        <v>1280</v>
      </c>
      <c r="E394" s="72"/>
      <c r="F394" s="72"/>
      <c r="G394" s="72"/>
      <c r="H394" s="22" t="s">
        <v>1281</v>
      </c>
      <c r="I394" s="23" t="s">
        <v>36</v>
      </c>
      <c r="J394" s="22"/>
      <c r="K394" s="20">
        <v>1</v>
      </c>
      <c r="L394" s="24">
        <v>718.12</v>
      </c>
      <c r="M394" s="11"/>
      <c r="N394" s="22">
        <f>L394*M394</f>
        <v>0</v>
      </c>
      <c r="O394" s="28">
        <f>0.29*M394</f>
        <v>0</v>
      </c>
      <c r="P394" s="26">
        <f>0.00088*M394</f>
        <v>0</v>
      </c>
      <c r="Q394" s="30"/>
      <c r="R394" s="22" t="s">
        <v>1282</v>
      </c>
      <c r="S394" s="22" t="s">
        <v>435</v>
      </c>
      <c r="T394" s="21" t="str">
        <f>HYPERLINK("https://miland.ru/api/getInfo/image/8438f4d4-fab0-11eb-a20e-ac1f6b442185")</f>
        <v>https://miland.ru/api/getInfo/image/8438f4d4-fab0-11eb-a20e-ac1f6b442185</v>
      </c>
      <c r="U394" s="21"/>
      <c r="V394" s="21" t="s">
        <v>878</v>
      </c>
      <c r="W394" s="21" t="s">
        <v>879</v>
      </c>
      <c r="X394" s="21" t="s">
        <v>172</v>
      </c>
      <c r="Y394" s="21" t="s">
        <v>173</v>
      </c>
      <c r="Z394" s="21" t="s">
        <v>1283</v>
      </c>
      <c r="AA394" s="21" t="str">
        <f>HYPERLINK("https://miland.ru/api/getInfo/item/8438f4d4-fab0-11eb-a20e-ac1f6b442185")</f>
        <v>https://miland.ru/api/getInfo/item/8438f4d4-fab0-11eb-a20e-ac1f6b442185</v>
      </c>
      <c r="AB394" s="21" t="s">
        <v>42</v>
      </c>
      <c r="AC394" s="21"/>
      <c r="AD394" s="21"/>
    </row>
    <row r="395" spans="2:31" s="1" customFormat="1" ht="96.3" customHeight="1" outlineLevel="7">
      <c r="B395" s="20">
        <v>259</v>
      </c>
      <c r="C395" s="21" t="s">
        <v>1284</v>
      </c>
      <c r="D395" s="72" t="s">
        <v>1285</v>
      </c>
      <c r="E395" s="72"/>
      <c r="F395" s="72"/>
      <c r="G395" s="72"/>
      <c r="H395" s="22" t="s">
        <v>1286</v>
      </c>
      <c r="I395" s="27">
        <v>7</v>
      </c>
      <c r="J395" s="22"/>
      <c r="K395" s="20">
        <v>1</v>
      </c>
      <c r="L395" s="24">
        <v>718.12</v>
      </c>
      <c r="M395" s="11"/>
      <c r="N395" s="22">
        <f>L395*M395</f>
        <v>0</v>
      </c>
      <c r="O395" s="28">
        <f>0.29*M395</f>
        <v>0</v>
      </c>
      <c r="P395" s="26">
        <f>0.00088*M395</f>
        <v>0</v>
      </c>
      <c r="Q395" s="30"/>
      <c r="R395" s="22" t="s">
        <v>1287</v>
      </c>
      <c r="S395" s="22" t="s">
        <v>435</v>
      </c>
      <c r="T395" s="21" t="str">
        <f>HYPERLINK("https://miland.ru/api/getInfo/image/52f81fef-fab0-11eb-a20e-ac1f6b442185")</f>
        <v>https://miland.ru/api/getInfo/image/52f81fef-fab0-11eb-a20e-ac1f6b442185</v>
      </c>
      <c r="U395" s="21"/>
      <c r="V395" s="21" t="s">
        <v>878</v>
      </c>
      <c r="W395" s="21" t="s">
        <v>879</v>
      </c>
      <c r="X395" s="21" t="s">
        <v>172</v>
      </c>
      <c r="Y395" s="21" t="s">
        <v>173</v>
      </c>
      <c r="Z395" s="21" t="s">
        <v>1288</v>
      </c>
      <c r="AA395" s="21" t="str">
        <f>HYPERLINK("https://miland.ru/api/getInfo/item/52f81fef-fab0-11eb-a20e-ac1f6b442185")</f>
        <v>https://miland.ru/api/getInfo/item/52f81fef-fab0-11eb-a20e-ac1f6b442185</v>
      </c>
      <c r="AB395" s="21" t="s">
        <v>42</v>
      </c>
      <c r="AC395" s="21"/>
      <c r="AD395" s="21"/>
    </row>
    <row r="396" spans="2:31" ht="12" customHeight="1" outlineLevel="6">
      <c r="B396" s="70" t="s">
        <v>1289</v>
      </c>
      <c r="C396" s="70"/>
      <c r="D396" s="70"/>
      <c r="E396" s="70"/>
      <c r="F396" s="70"/>
      <c r="G396" s="70"/>
    </row>
    <row r="397" spans="2:31" s="1" customFormat="1" ht="96.3" customHeight="1" outlineLevel="7">
      <c r="B397" s="20">
        <v>260</v>
      </c>
      <c r="C397" s="21" t="s">
        <v>1290</v>
      </c>
      <c r="D397" s="72" t="s">
        <v>1291</v>
      </c>
      <c r="E397" s="72"/>
      <c r="F397" s="72"/>
      <c r="G397" s="72"/>
      <c r="H397" s="22" t="s">
        <v>1292</v>
      </c>
      <c r="I397" s="27">
        <v>9</v>
      </c>
      <c r="J397" s="22"/>
      <c r="K397" s="20">
        <v>1</v>
      </c>
      <c r="L397" s="24">
        <v>547.51</v>
      </c>
      <c r="M397" s="11"/>
      <c r="N397" s="22">
        <f>L397*M397</f>
        <v>0</v>
      </c>
      <c r="O397" s="28">
        <f>0.24*M397</f>
        <v>0</v>
      </c>
      <c r="P397" s="26">
        <f>0.00476*M397</f>
        <v>0</v>
      </c>
      <c r="Q397" s="30"/>
      <c r="R397" s="22" t="s">
        <v>1293</v>
      </c>
      <c r="S397" s="22" t="s">
        <v>435</v>
      </c>
      <c r="T397" s="21" t="str">
        <f>HYPERLINK("https://miland.ru/api/getInfo/image/c6ce84be-04fb-11ee-a23b-00155d82e902")</f>
        <v>https://miland.ru/api/getInfo/image/c6ce84be-04fb-11ee-a23b-00155d82e902</v>
      </c>
      <c r="U397" s="21"/>
      <c r="V397" s="21" t="s">
        <v>878</v>
      </c>
      <c r="W397" s="21" t="s">
        <v>879</v>
      </c>
      <c r="X397" s="21" t="s">
        <v>172</v>
      </c>
      <c r="Y397" s="21" t="s">
        <v>173</v>
      </c>
      <c r="Z397" s="21" t="s">
        <v>1294</v>
      </c>
      <c r="AA397" s="21" t="str">
        <f>HYPERLINK("https://miland.ru/api/getInfo/item/c6ce84be-04fb-11ee-a23b-00155d82e902")</f>
        <v>https://miland.ru/api/getInfo/item/c6ce84be-04fb-11ee-a23b-00155d82e902</v>
      </c>
      <c r="AB397" s="21" t="s">
        <v>42</v>
      </c>
      <c r="AC397" s="21"/>
      <c r="AD397" s="21"/>
    </row>
    <row r="398" spans="2:31" s="1" customFormat="1" ht="96.3" customHeight="1" outlineLevel="7">
      <c r="B398" s="20">
        <v>261</v>
      </c>
      <c r="C398" s="21" t="s">
        <v>1295</v>
      </c>
      <c r="D398" s="72" t="s">
        <v>1296</v>
      </c>
      <c r="E398" s="72"/>
      <c r="F398" s="72"/>
      <c r="G398" s="72"/>
      <c r="H398" s="22" t="s">
        <v>1297</v>
      </c>
      <c r="I398" s="27">
        <v>7</v>
      </c>
      <c r="J398" s="22"/>
      <c r="K398" s="20">
        <v>1</v>
      </c>
      <c r="L398" s="24">
        <v>542.33000000000004</v>
      </c>
      <c r="M398" s="11"/>
      <c r="N398" s="22">
        <f>L398*M398</f>
        <v>0</v>
      </c>
      <c r="O398" s="25">
        <f>0.181*M398</f>
        <v>0</v>
      </c>
      <c r="P398" s="29">
        <f>0.0009*M398</f>
        <v>0</v>
      </c>
      <c r="Q398" s="30"/>
      <c r="R398" s="22" t="s">
        <v>1298</v>
      </c>
      <c r="S398" s="22" t="s">
        <v>435</v>
      </c>
      <c r="T398" s="21" t="str">
        <f>HYPERLINK("https://miland.ru/api/getInfo/image/b003203d-93bf-11ec-a211-ac1f6b442185")</f>
        <v>https://miland.ru/api/getInfo/image/b003203d-93bf-11ec-a211-ac1f6b442185</v>
      </c>
      <c r="U398" s="21"/>
      <c r="V398" s="21" t="s">
        <v>878</v>
      </c>
      <c r="W398" s="21" t="s">
        <v>879</v>
      </c>
      <c r="X398" s="21" t="s">
        <v>172</v>
      </c>
      <c r="Y398" s="21" t="s">
        <v>173</v>
      </c>
      <c r="Z398" s="21" t="s">
        <v>1299</v>
      </c>
      <c r="AA398" s="21" t="str">
        <f>HYPERLINK("https://miland.ru/api/getInfo/item/b003203d-93bf-11ec-a211-ac1f6b442185")</f>
        <v>https://miland.ru/api/getInfo/item/b003203d-93bf-11ec-a211-ac1f6b442185</v>
      </c>
      <c r="AB398" s="21" t="s">
        <v>42</v>
      </c>
      <c r="AC398" s="21"/>
      <c r="AD398" s="21"/>
    </row>
    <row r="399" spans="2:31" ht="12" customHeight="1" outlineLevel="6">
      <c r="B399" s="70" t="s">
        <v>1300</v>
      </c>
      <c r="C399" s="70"/>
      <c r="D399" s="70"/>
      <c r="E399" s="70"/>
      <c r="F399" s="70"/>
      <c r="G399" s="70"/>
    </row>
    <row r="400" spans="2:31" s="1" customFormat="1" ht="96.3" customHeight="1" outlineLevel="7">
      <c r="B400" s="37">
        <v>262</v>
      </c>
      <c r="C400" s="38" t="s">
        <v>1301</v>
      </c>
      <c r="D400" s="74" t="s">
        <v>1302</v>
      </c>
      <c r="E400" s="74"/>
      <c r="F400" s="74"/>
      <c r="G400" s="74"/>
      <c r="H400" s="39" t="s">
        <v>1303</v>
      </c>
      <c r="I400" s="44">
        <v>5</v>
      </c>
      <c r="J400" s="39"/>
      <c r="K400" s="37">
        <v>4</v>
      </c>
      <c r="L400" s="41">
        <v>151.17333333333332</v>
      </c>
      <c r="M400" s="11"/>
      <c r="N400" s="39">
        <f>L400*M400</f>
        <v>0</v>
      </c>
      <c r="O400" s="45">
        <f>0.16*M400</f>
        <v>0</v>
      </c>
      <c r="P400" s="46">
        <f>0.00058*M400</f>
        <v>0</v>
      </c>
      <c r="Q400" s="51"/>
      <c r="R400" s="39" t="s">
        <v>1304</v>
      </c>
      <c r="S400" s="39" t="s">
        <v>435</v>
      </c>
      <c r="T400" s="38" t="str">
        <f>HYPERLINK("https://miland.ru/api/getInfo/image/90a66769-fab2-11eb-a20e-ac1f6b442185")</f>
        <v>https://miland.ru/api/getInfo/image/90a66769-fab2-11eb-a20e-ac1f6b442185</v>
      </c>
      <c r="U400" s="38"/>
      <c r="V400" s="38" t="s">
        <v>878</v>
      </c>
      <c r="W400" s="38" t="s">
        <v>879</v>
      </c>
      <c r="X400" s="38" t="s">
        <v>172</v>
      </c>
      <c r="Y400" s="38" t="s">
        <v>173</v>
      </c>
      <c r="Z400" s="38" t="s">
        <v>1305</v>
      </c>
      <c r="AA400" s="38" t="str">
        <f>HYPERLINK("https://miland.ru/api/getInfo/item/90a66769-fab2-11eb-a20e-ac1f6b442185")</f>
        <v>https://miland.ru/api/getInfo/item/90a66769-fab2-11eb-a20e-ac1f6b442185</v>
      </c>
      <c r="AB400" s="38" t="s">
        <v>42</v>
      </c>
      <c r="AC400" s="38"/>
      <c r="AD400" s="38"/>
      <c r="AE400" s="53" t="s">
        <v>1306</v>
      </c>
    </row>
    <row r="401" spans="2:31" s="1" customFormat="1" ht="96.3" customHeight="1" outlineLevel="7">
      <c r="B401" s="34">
        <v>263</v>
      </c>
      <c r="C401" s="35" t="s">
        <v>1307</v>
      </c>
      <c r="D401" s="73" t="s">
        <v>1308</v>
      </c>
      <c r="E401" s="73"/>
      <c r="F401" s="73"/>
      <c r="G401" s="73"/>
      <c r="H401" s="36" t="s">
        <v>1309</v>
      </c>
      <c r="I401" s="40">
        <v>5</v>
      </c>
      <c r="J401" s="36"/>
      <c r="K401" s="34">
        <v>3</v>
      </c>
      <c r="L401" s="41">
        <v>151.17333333333332</v>
      </c>
      <c r="M401" s="11"/>
      <c r="N401" s="36">
        <f>L401*M401</f>
        <v>0</v>
      </c>
      <c r="O401" s="47">
        <f>0.16*M401</f>
        <v>0</v>
      </c>
      <c r="P401" s="43">
        <f>0.00058*M401</f>
        <v>0</v>
      </c>
      <c r="Q401" s="50"/>
      <c r="R401" s="36" t="s">
        <v>1310</v>
      </c>
      <c r="S401" s="36" t="s">
        <v>435</v>
      </c>
      <c r="T401" s="35" t="str">
        <f>HYPERLINK("https://miland.ru/api/getInfo/image/3f5532d7-fab2-11eb-a20e-ac1f6b442185")</f>
        <v>https://miland.ru/api/getInfo/image/3f5532d7-fab2-11eb-a20e-ac1f6b442185</v>
      </c>
      <c r="U401" s="35"/>
      <c r="V401" s="35" t="s">
        <v>878</v>
      </c>
      <c r="W401" s="35" t="s">
        <v>879</v>
      </c>
      <c r="X401" s="35" t="s">
        <v>172</v>
      </c>
      <c r="Y401" s="35" t="s">
        <v>173</v>
      </c>
      <c r="Z401" s="35" t="s">
        <v>1311</v>
      </c>
      <c r="AA401" s="35" t="str">
        <f>HYPERLINK("https://miland.ru/api/getInfo/item/3f5532d7-fab2-11eb-a20e-ac1f6b442185")</f>
        <v>https://miland.ru/api/getInfo/item/3f5532d7-fab2-11eb-a20e-ac1f6b442185</v>
      </c>
      <c r="AB401" s="35" t="s">
        <v>42</v>
      </c>
      <c r="AC401" s="35"/>
      <c r="AD401" s="35"/>
      <c r="AE401" s="52" t="s">
        <v>1251</v>
      </c>
    </row>
    <row r="402" spans="2:31" s="1" customFormat="1" ht="96.3" customHeight="1" outlineLevel="7">
      <c r="B402" s="20">
        <v>264</v>
      </c>
      <c r="C402" s="21" t="s">
        <v>1312</v>
      </c>
      <c r="D402" s="72" t="s">
        <v>1313</v>
      </c>
      <c r="E402" s="72"/>
      <c r="F402" s="72"/>
      <c r="G402" s="72"/>
      <c r="H402" s="22" t="s">
        <v>1314</v>
      </c>
      <c r="I402" s="27">
        <v>5</v>
      </c>
      <c r="J402" s="22"/>
      <c r="K402" s="20">
        <v>3</v>
      </c>
      <c r="L402" s="24">
        <v>187.55</v>
      </c>
      <c r="M402" s="11"/>
      <c r="N402" s="22">
        <f>L402*M402</f>
        <v>0</v>
      </c>
      <c r="O402" s="25">
        <f>0.122*M402</f>
        <v>0</v>
      </c>
      <c r="P402" s="26">
        <f>0.00062*M402</f>
        <v>0</v>
      </c>
      <c r="Q402" s="30"/>
      <c r="R402" s="22" t="s">
        <v>1315</v>
      </c>
      <c r="S402" s="22" t="s">
        <v>435</v>
      </c>
      <c r="T402" s="21" t="str">
        <f>HYPERLINK("https://miland.ru/api/getInfo/image/ac26bdac-011b-11ed-a213-ac1f6b442185")</f>
        <v>https://miland.ru/api/getInfo/image/ac26bdac-011b-11ed-a213-ac1f6b442185</v>
      </c>
      <c r="U402" s="21"/>
      <c r="V402" s="21" t="s">
        <v>878</v>
      </c>
      <c r="W402" s="21" t="s">
        <v>879</v>
      </c>
      <c r="X402" s="21" t="s">
        <v>172</v>
      </c>
      <c r="Y402" s="21" t="s">
        <v>173</v>
      </c>
      <c r="Z402" s="21" t="s">
        <v>1316</v>
      </c>
      <c r="AA402" s="21" t="str">
        <f>HYPERLINK("https://miland.ru/api/getInfo/item/ac26bdac-011b-11ed-a213-ac1f6b442185")</f>
        <v>https://miland.ru/api/getInfo/item/ac26bdac-011b-11ed-a213-ac1f6b442185</v>
      </c>
      <c r="AB402" s="21" t="s">
        <v>42</v>
      </c>
      <c r="AC402" s="21"/>
      <c r="AD402" s="21"/>
    </row>
    <row r="403" spans="2:31" ht="12" customHeight="1" outlineLevel="6">
      <c r="B403" s="70" t="s">
        <v>1317</v>
      </c>
      <c r="C403" s="70"/>
      <c r="D403" s="70"/>
      <c r="E403" s="70"/>
      <c r="F403" s="70"/>
      <c r="G403" s="70"/>
    </row>
    <row r="404" spans="2:31" s="1" customFormat="1" ht="96.3" customHeight="1" outlineLevel="7">
      <c r="B404" s="20">
        <v>265</v>
      </c>
      <c r="C404" s="21" t="s">
        <v>1318</v>
      </c>
      <c r="D404" s="72" t="s">
        <v>1319</v>
      </c>
      <c r="E404" s="72"/>
      <c r="F404" s="72"/>
      <c r="G404" s="72"/>
      <c r="H404" s="22" t="s">
        <v>1320</v>
      </c>
      <c r="I404" s="27">
        <v>6</v>
      </c>
      <c r="J404" s="22"/>
      <c r="K404" s="20">
        <v>2</v>
      </c>
      <c r="L404" s="24">
        <v>360.8</v>
      </c>
      <c r="M404" s="11"/>
      <c r="N404" s="22">
        <f>L404*M404</f>
        <v>0</v>
      </c>
      <c r="O404" s="28">
        <f>0.15*M404</f>
        <v>0</v>
      </c>
      <c r="P404" s="26">
        <f>0.00176*M404</f>
        <v>0</v>
      </c>
      <c r="Q404" s="30"/>
      <c r="R404" s="22" t="s">
        <v>1321</v>
      </c>
      <c r="S404" s="22" t="s">
        <v>435</v>
      </c>
      <c r="T404" s="21" t="str">
        <f>HYPERLINK("https://miland.ru/api/getInfo/image/ce46f54b-da5c-11eb-a209-ac1f6b442185")</f>
        <v>https://miland.ru/api/getInfo/image/ce46f54b-da5c-11eb-a209-ac1f6b442185</v>
      </c>
      <c r="U404" s="21"/>
      <c r="V404" s="21" t="s">
        <v>878</v>
      </c>
      <c r="W404" s="21" t="s">
        <v>879</v>
      </c>
      <c r="X404" s="21" t="s">
        <v>172</v>
      </c>
      <c r="Y404" s="21" t="s">
        <v>173</v>
      </c>
      <c r="Z404" s="21" t="s">
        <v>1322</v>
      </c>
      <c r="AA404" s="21" t="str">
        <f>HYPERLINK("https://miland.ru/api/getInfo/item/ce46f54b-da5c-11eb-a209-ac1f6b442185")</f>
        <v>https://miland.ru/api/getInfo/item/ce46f54b-da5c-11eb-a209-ac1f6b442185</v>
      </c>
      <c r="AB404" s="21" t="s">
        <v>42</v>
      </c>
      <c r="AC404" s="21" t="s">
        <v>1323</v>
      </c>
      <c r="AD404" s="21"/>
    </row>
    <row r="405" spans="2:31" s="1" customFormat="1" ht="96.3" customHeight="1" outlineLevel="7">
      <c r="B405" s="20">
        <v>266</v>
      </c>
      <c r="C405" s="21" t="s">
        <v>1324</v>
      </c>
      <c r="D405" s="72" t="s">
        <v>1325</v>
      </c>
      <c r="E405" s="72"/>
      <c r="F405" s="72"/>
      <c r="G405" s="72"/>
      <c r="H405" s="22" t="s">
        <v>1326</v>
      </c>
      <c r="I405" s="23" t="s">
        <v>36</v>
      </c>
      <c r="J405" s="22"/>
      <c r="K405" s="20">
        <v>2</v>
      </c>
      <c r="L405" s="24">
        <v>228.61</v>
      </c>
      <c r="M405" s="11"/>
      <c r="N405" s="22">
        <f>L405*M405</f>
        <v>0</v>
      </c>
      <c r="O405" s="25">
        <f>0.092*M405</f>
        <v>0</v>
      </c>
      <c r="P405" s="26">
        <f>0.00069*M405</f>
        <v>0</v>
      </c>
      <c r="Q405" s="30"/>
      <c r="R405" s="22" t="s">
        <v>1327</v>
      </c>
      <c r="S405" s="22"/>
      <c r="T405" s="21" t="str">
        <f>HYPERLINK("https://miland.ru/api/getInfo/image/c5b3fefd-fab1-11eb-a20e-ac1f6b442185")</f>
        <v>https://miland.ru/api/getInfo/image/c5b3fefd-fab1-11eb-a20e-ac1f6b442185</v>
      </c>
      <c r="U405" s="21"/>
      <c r="V405" s="21" t="s">
        <v>878</v>
      </c>
      <c r="W405" s="21" t="s">
        <v>879</v>
      </c>
      <c r="X405" s="21" t="s">
        <v>172</v>
      </c>
      <c r="Y405" s="21" t="s">
        <v>173</v>
      </c>
      <c r="Z405" s="21" t="s">
        <v>1328</v>
      </c>
      <c r="AA405" s="21" t="str">
        <f>HYPERLINK("https://miland.ru/api/getInfo/item/c5b3fefd-fab1-11eb-a20e-ac1f6b442185")</f>
        <v>https://miland.ru/api/getInfo/item/c5b3fefd-fab1-11eb-a20e-ac1f6b442185</v>
      </c>
      <c r="AB405" s="21" t="s">
        <v>42</v>
      </c>
      <c r="AC405" s="21"/>
      <c r="AD405" s="21"/>
    </row>
    <row r="406" spans="2:31" ht="12" customHeight="1" outlineLevel="6">
      <c r="B406" s="70" t="s">
        <v>1329</v>
      </c>
      <c r="C406" s="70"/>
      <c r="D406" s="70"/>
      <c r="E406" s="70"/>
      <c r="F406" s="70"/>
      <c r="G406" s="70"/>
    </row>
    <row r="407" spans="2:31" s="1" customFormat="1" ht="96.3" customHeight="1" outlineLevel="7">
      <c r="B407" s="20">
        <v>267</v>
      </c>
      <c r="C407" s="21" t="s">
        <v>1330</v>
      </c>
      <c r="D407" s="72" t="s">
        <v>1331</v>
      </c>
      <c r="E407" s="72"/>
      <c r="F407" s="72"/>
      <c r="G407" s="72"/>
      <c r="H407" s="22" t="s">
        <v>1332</v>
      </c>
      <c r="I407" s="27">
        <v>5</v>
      </c>
      <c r="J407" s="22"/>
      <c r="K407" s="20">
        <v>3</v>
      </c>
      <c r="L407" s="24">
        <v>180.78</v>
      </c>
      <c r="M407" s="11"/>
      <c r="N407" s="22">
        <f t="shared" ref="N407:N413" si="19">L407*M407</f>
        <v>0</v>
      </c>
      <c r="O407" s="28">
        <f>0.04*M407</f>
        <v>0</v>
      </c>
      <c r="P407" s="26">
        <f>0.00012*M407</f>
        <v>0</v>
      </c>
      <c r="Q407" s="30"/>
      <c r="R407" s="22" t="s">
        <v>1333</v>
      </c>
      <c r="S407" s="22" t="s">
        <v>435</v>
      </c>
      <c r="T407" s="21" t="str">
        <f>HYPERLINK("https://miland.ru/api/getInfo/image/f3738035-29d5-11ed-a216-ac1f6b442185")</f>
        <v>https://miland.ru/api/getInfo/image/f3738035-29d5-11ed-a216-ac1f6b442185</v>
      </c>
      <c r="U407" s="21"/>
      <c r="V407" s="21" t="s">
        <v>878</v>
      </c>
      <c r="W407" s="21" t="s">
        <v>879</v>
      </c>
      <c r="X407" s="21" t="s">
        <v>172</v>
      </c>
      <c r="Y407" s="21" t="s">
        <v>173</v>
      </c>
      <c r="Z407" s="21" t="s">
        <v>1334</v>
      </c>
      <c r="AA407" s="21" t="str">
        <f>HYPERLINK("https://miland.ru/api/getInfo/item/f3738035-29d5-11ed-a216-ac1f6b442185")</f>
        <v>https://miland.ru/api/getInfo/item/f3738035-29d5-11ed-a216-ac1f6b442185</v>
      </c>
      <c r="AB407" s="21" t="s">
        <v>42</v>
      </c>
      <c r="AC407" s="21"/>
      <c r="AD407" s="21"/>
    </row>
    <row r="408" spans="2:31" s="1" customFormat="1" ht="96.3" customHeight="1" outlineLevel="7">
      <c r="B408" s="37">
        <v>268</v>
      </c>
      <c r="C408" s="38" t="s">
        <v>1335</v>
      </c>
      <c r="D408" s="74" t="s">
        <v>1336</v>
      </c>
      <c r="E408" s="74"/>
      <c r="F408" s="74"/>
      <c r="G408" s="74"/>
      <c r="H408" s="39" t="s">
        <v>1337</v>
      </c>
      <c r="I408" s="44">
        <v>7</v>
      </c>
      <c r="J408" s="39"/>
      <c r="K408" s="37">
        <v>4</v>
      </c>
      <c r="L408" s="41">
        <v>179.17333333333332</v>
      </c>
      <c r="M408" s="11"/>
      <c r="N408" s="39">
        <f t="shared" si="19"/>
        <v>0</v>
      </c>
      <c r="O408" s="48">
        <f>0.047*M408</f>
        <v>0</v>
      </c>
      <c r="P408" s="49">
        <f>0.0001*M408</f>
        <v>0</v>
      </c>
      <c r="Q408" s="51"/>
      <c r="R408" s="39" t="s">
        <v>1338</v>
      </c>
      <c r="S408" s="39" t="s">
        <v>435</v>
      </c>
      <c r="T408" s="38" t="str">
        <f>HYPERLINK("https://miland.ru/api/getInfo/image/7ad50417-04fe-11ee-a23b-00155d82e902")</f>
        <v>https://miland.ru/api/getInfo/image/7ad50417-04fe-11ee-a23b-00155d82e902</v>
      </c>
      <c r="U408" s="38"/>
      <c r="V408" s="38" t="s">
        <v>878</v>
      </c>
      <c r="W408" s="38" t="s">
        <v>879</v>
      </c>
      <c r="X408" s="38" t="s">
        <v>172</v>
      </c>
      <c r="Y408" s="38" t="s">
        <v>173</v>
      </c>
      <c r="Z408" s="38" t="s">
        <v>1339</v>
      </c>
      <c r="AA408" s="38" t="str">
        <f>HYPERLINK("https://miland.ru/api/getInfo/item/7ad50417-04fe-11ee-a23b-00155d82e902")</f>
        <v>https://miland.ru/api/getInfo/item/7ad50417-04fe-11ee-a23b-00155d82e902</v>
      </c>
      <c r="AB408" s="38" t="s">
        <v>42</v>
      </c>
      <c r="AC408" s="38"/>
      <c r="AD408" s="38"/>
      <c r="AE408" s="53" t="s">
        <v>1306</v>
      </c>
    </row>
    <row r="409" spans="2:31" s="1" customFormat="1" ht="96.3" customHeight="1" outlineLevel="7">
      <c r="B409" s="20">
        <v>269</v>
      </c>
      <c r="C409" s="21" t="s">
        <v>1340</v>
      </c>
      <c r="D409" s="72" t="s">
        <v>1341</v>
      </c>
      <c r="E409" s="72"/>
      <c r="F409" s="72"/>
      <c r="G409" s="72"/>
      <c r="H409" s="22" t="s">
        <v>1342</v>
      </c>
      <c r="I409" s="27">
        <v>6</v>
      </c>
      <c r="J409" s="22"/>
      <c r="K409" s="20">
        <v>1</v>
      </c>
      <c r="L409" s="24">
        <v>284.22000000000003</v>
      </c>
      <c r="M409" s="11"/>
      <c r="N409" s="22">
        <f t="shared" si="19"/>
        <v>0</v>
      </c>
      <c r="O409" s="25">
        <f>0.047*M409</f>
        <v>0</v>
      </c>
      <c r="P409" s="29">
        <f>0.0001*M409</f>
        <v>0</v>
      </c>
      <c r="Q409" s="30"/>
      <c r="R409" s="22" t="s">
        <v>1343</v>
      </c>
      <c r="S409" s="22" t="s">
        <v>435</v>
      </c>
      <c r="T409" s="21" t="str">
        <f>HYPERLINK("https://miland.ru/api/getInfo/image/26e40ff2-04fe-11ee-a23b-00155d82e902")</f>
        <v>https://miland.ru/api/getInfo/image/26e40ff2-04fe-11ee-a23b-00155d82e902</v>
      </c>
      <c r="U409" s="21"/>
      <c r="V409" s="21" t="s">
        <v>878</v>
      </c>
      <c r="W409" s="21" t="s">
        <v>879</v>
      </c>
      <c r="X409" s="21" t="s">
        <v>307</v>
      </c>
      <c r="Y409" s="21" t="s">
        <v>173</v>
      </c>
      <c r="Z409" s="21" t="s">
        <v>1344</v>
      </c>
      <c r="AA409" s="21" t="str">
        <f>HYPERLINK("https://miland.ru/api/getInfo/item/26e40ff2-04fe-11ee-a23b-00155d82e902")</f>
        <v>https://miland.ru/api/getInfo/item/26e40ff2-04fe-11ee-a23b-00155d82e902</v>
      </c>
      <c r="AB409" s="21" t="s">
        <v>42</v>
      </c>
      <c r="AC409" s="21"/>
      <c r="AD409" s="21"/>
    </row>
    <row r="410" spans="2:31" s="1" customFormat="1" ht="96.3" customHeight="1" outlineLevel="7">
      <c r="B410" s="20">
        <v>270</v>
      </c>
      <c r="C410" s="21" t="s">
        <v>1345</v>
      </c>
      <c r="D410" s="72" t="s">
        <v>1346</v>
      </c>
      <c r="E410" s="72"/>
      <c r="F410" s="72"/>
      <c r="G410" s="72"/>
      <c r="H410" s="22" t="s">
        <v>1347</v>
      </c>
      <c r="I410" s="27">
        <v>14</v>
      </c>
      <c r="J410" s="22"/>
      <c r="K410" s="20">
        <v>1</v>
      </c>
      <c r="L410" s="32">
        <v>1289.04</v>
      </c>
      <c r="M410" s="11"/>
      <c r="N410" s="22">
        <f t="shared" si="19"/>
        <v>0</v>
      </c>
      <c r="O410" s="28">
        <f>0.21*M410</f>
        <v>0</v>
      </c>
      <c r="P410" s="26">
        <f>0.00078*M410</f>
        <v>0</v>
      </c>
      <c r="Q410" s="30"/>
      <c r="R410" s="22" t="s">
        <v>1348</v>
      </c>
      <c r="S410" s="22" t="s">
        <v>435</v>
      </c>
      <c r="T410" s="21" t="str">
        <f>HYPERLINK("https://miland.ru/api/getInfo/image/5c6423ac-3cfc-11ef-a261-00155d82e908")</f>
        <v>https://miland.ru/api/getInfo/image/5c6423ac-3cfc-11ef-a261-00155d82e908</v>
      </c>
      <c r="U410" s="21"/>
      <c r="V410" s="21" t="s">
        <v>878</v>
      </c>
      <c r="W410" s="21" t="s">
        <v>879</v>
      </c>
      <c r="X410" s="21" t="s">
        <v>172</v>
      </c>
      <c r="Y410" s="21" t="s">
        <v>173</v>
      </c>
      <c r="Z410" s="21" t="s">
        <v>1348</v>
      </c>
      <c r="AA410" s="21" t="str">
        <f>HYPERLINK("https://miland.ru/api/getInfo/item/5c6423ac-3cfc-11ef-a261-00155d82e908")</f>
        <v>https://miland.ru/api/getInfo/item/5c6423ac-3cfc-11ef-a261-00155d82e908</v>
      </c>
      <c r="AB410" s="21" t="s">
        <v>42</v>
      </c>
      <c r="AC410" s="21"/>
      <c r="AD410" s="21"/>
    </row>
    <row r="411" spans="2:31" s="1" customFormat="1" ht="96.3" customHeight="1" outlineLevel="7">
      <c r="B411" s="20">
        <v>271</v>
      </c>
      <c r="C411" s="21" t="s">
        <v>1349</v>
      </c>
      <c r="D411" s="72" t="s">
        <v>1350</v>
      </c>
      <c r="E411" s="72"/>
      <c r="F411" s="72"/>
      <c r="G411" s="72"/>
      <c r="H411" s="22" t="s">
        <v>1351</v>
      </c>
      <c r="I411" s="23" t="s">
        <v>36</v>
      </c>
      <c r="J411" s="22"/>
      <c r="K411" s="20">
        <v>1</v>
      </c>
      <c r="L411" s="32">
        <v>1289.04</v>
      </c>
      <c r="M411" s="11"/>
      <c r="N411" s="22">
        <f t="shared" si="19"/>
        <v>0</v>
      </c>
      <c r="O411" s="28">
        <f>0.19*M411</f>
        <v>0</v>
      </c>
      <c r="P411" s="29">
        <f>0.0008*M411</f>
        <v>0</v>
      </c>
      <c r="Q411" s="30"/>
      <c r="R411" s="22" t="s">
        <v>1352</v>
      </c>
      <c r="S411" s="22" t="s">
        <v>435</v>
      </c>
      <c r="T411" s="21" t="str">
        <f>HYPERLINK("https://miland.ru/api/getInfo/image/1f33f05c-3cfc-11ef-a261-00155d82e908")</f>
        <v>https://miland.ru/api/getInfo/image/1f33f05c-3cfc-11ef-a261-00155d82e908</v>
      </c>
      <c r="U411" s="21"/>
      <c r="V411" s="21" t="s">
        <v>878</v>
      </c>
      <c r="W411" s="21" t="s">
        <v>879</v>
      </c>
      <c r="X411" s="21" t="s">
        <v>172</v>
      </c>
      <c r="Y411" s="21" t="s">
        <v>173</v>
      </c>
      <c r="Z411" s="21" t="s">
        <v>1353</v>
      </c>
      <c r="AA411" s="21" t="str">
        <f>HYPERLINK("https://miland.ru/api/getInfo/item/1f33f05c-3cfc-11ef-a261-00155d82e908")</f>
        <v>https://miland.ru/api/getInfo/item/1f33f05c-3cfc-11ef-a261-00155d82e908</v>
      </c>
      <c r="AB411" s="21" t="s">
        <v>42</v>
      </c>
      <c r="AC411" s="21"/>
      <c r="AD411" s="21"/>
    </row>
    <row r="412" spans="2:31" s="1" customFormat="1" ht="96.3" customHeight="1" outlineLevel="7">
      <c r="B412" s="20">
        <v>272</v>
      </c>
      <c r="C412" s="21" t="s">
        <v>1354</v>
      </c>
      <c r="D412" s="72" t="s">
        <v>1355</v>
      </c>
      <c r="E412" s="72"/>
      <c r="F412" s="72"/>
      <c r="G412" s="72"/>
      <c r="H412" s="22" t="s">
        <v>1356</v>
      </c>
      <c r="I412" s="23" t="s">
        <v>36</v>
      </c>
      <c r="J412" s="22"/>
      <c r="K412" s="20">
        <v>1</v>
      </c>
      <c r="L412" s="32">
        <v>1289.04</v>
      </c>
      <c r="M412" s="11"/>
      <c r="N412" s="22">
        <f t="shared" si="19"/>
        <v>0</v>
      </c>
      <c r="O412" s="25">
        <f>0.198*M412</f>
        <v>0</v>
      </c>
      <c r="P412" s="26">
        <f>0.00075*M412</f>
        <v>0</v>
      </c>
      <c r="Q412" s="30"/>
      <c r="R412" s="22" t="s">
        <v>1357</v>
      </c>
      <c r="S412" s="22" t="s">
        <v>435</v>
      </c>
      <c r="T412" s="21" t="str">
        <f>HYPERLINK("https://miland.ru/api/getInfo/image/3c61a3f3-3cfc-11ef-a261-00155d82e908")</f>
        <v>https://miland.ru/api/getInfo/image/3c61a3f3-3cfc-11ef-a261-00155d82e908</v>
      </c>
      <c r="U412" s="21"/>
      <c r="V412" s="21" t="s">
        <v>878</v>
      </c>
      <c r="W412" s="21" t="s">
        <v>879</v>
      </c>
      <c r="X412" s="21" t="s">
        <v>172</v>
      </c>
      <c r="Y412" s="21" t="s">
        <v>173</v>
      </c>
      <c r="Z412" s="21" t="s">
        <v>1357</v>
      </c>
      <c r="AA412" s="21" t="str">
        <f>HYPERLINK("https://miland.ru/api/getInfo/item/3c61a3f3-3cfc-11ef-a261-00155d82e908")</f>
        <v>https://miland.ru/api/getInfo/item/3c61a3f3-3cfc-11ef-a261-00155d82e908</v>
      </c>
      <c r="AB412" s="21" t="s">
        <v>42</v>
      </c>
      <c r="AC412" s="21"/>
      <c r="AD412" s="21"/>
    </row>
    <row r="413" spans="2:31" s="1" customFormat="1" ht="96.3" customHeight="1" outlineLevel="7">
      <c r="B413" s="20">
        <v>273</v>
      </c>
      <c r="C413" s="21" t="s">
        <v>1358</v>
      </c>
      <c r="D413" s="72" t="s">
        <v>1359</v>
      </c>
      <c r="E413" s="72"/>
      <c r="F413" s="72"/>
      <c r="G413" s="72"/>
      <c r="H413" s="22" t="s">
        <v>1360</v>
      </c>
      <c r="I413" s="27">
        <v>428</v>
      </c>
      <c r="J413" s="22"/>
      <c r="K413" s="20">
        <v>5</v>
      </c>
      <c r="L413" s="24">
        <v>102.92</v>
      </c>
      <c r="M413" s="11"/>
      <c r="N413" s="22">
        <f t="shared" si="19"/>
        <v>0</v>
      </c>
      <c r="O413" s="25">
        <f>0.013*M413</f>
        <v>0</v>
      </c>
      <c r="P413" s="26">
        <f>0.00004*M413</f>
        <v>0</v>
      </c>
      <c r="Q413" s="30"/>
      <c r="R413" s="22" t="s">
        <v>1361</v>
      </c>
      <c r="S413" s="22" t="s">
        <v>435</v>
      </c>
      <c r="T413" s="21" t="str">
        <f>HYPERLINK("https://miland.ru/api/getInfo/image/0c9b007d-9e8d-11eb-a201-ac1f6b442185")</f>
        <v>https://miland.ru/api/getInfo/image/0c9b007d-9e8d-11eb-a201-ac1f6b442185</v>
      </c>
      <c r="U413" s="21"/>
      <c r="V413" s="21" t="s">
        <v>878</v>
      </c>
      <c r="W413" s="21" t="s">
        <v>879</v>
      </c>
      <c r="X413" s="21" t="s">
        <v>172</v>
      </c>
      <c r="Y413" s="21" t="s">
        <v>173</v>
      </c>
      <c r="Z413" s="21" t="s">
        <v>1362</v>
      </c>
      <c r="AA413" s="21" t="str">
        <f>HYPERLINK("https://miland.ru/api/getInfo/item/0c9b007d-9e8d-11eb-a201-ac1f6b442185")</f>
        <v>https://miland.ru/api/getInfo/item/0c9b007d-9e8d-11eb-a201-ac1f6b442185</v>
      </c>
      <c r="AB413" s="21" t="s">
        <v>42</v>
      </c>
      <c r="AC413" s="21"/>
      <c r="AD413" s="21"/>
    </row>
    <row r="414" spans="2:31" ht="12" customHeight="1" outlineLevel="6">
      <c r="B414" s="70" t="s">
        <v>1363</v>
      </c>
      <c r="C414" s="70"/>
      <c r="D414" s="70"/>
      <c r="E414" s="70"/>
      <c r="F414" s="70"/>
      <c r="G414" s="70"/>
    </row>
    <row r="415" spans="2:31" s="1" customFormat="1" ht="96.3" customHeight="1" outlineLevel="7">
      <c r="B415" s="20">
        <v>274</v>
      </c>
      <c r="C415" s="21" t="s">
        <v>1364</v>
      </c>
      <c r="D415" s="72" t="s">
        <v>1365</v>
      </c>
      <c r="E415" s="72"/>
      <c r="F415" s="72"/>
      <c r="G415" s="72"/>
      <c r="H415" s="22" t="s">
        <v>1366</v>
      </c>
      <c r="I415" s="27">
        <v>8</v>
      </c>
      <c r="J415" s="22"/>
      <c r="K415" s="20">
        <v>1</v>
      </c>
      <c r="L415" s="24">
        <v>536.04</v>
      </c>
      <c r="M415" s="11"/>
      <c r="N415" s="22">
        <f>L415*M415</f>
        <v>0</v>
      </c>
      <c r="O415" s="25">
        <f>0.221*M415</f>
        <v>0</v>
      </c>
      <c r="P415" s="26">
        <f>0.00156*M415</f>
        <v>0</v>
      </c>
      <c r="Q415" s="30"/>
      <c r="R415" s="22" t="s">
        <v>1367</v>
      </c>
      <c r="S415" s="22" t="s">
        <v>435</v>
      </c>
      <c r="T415" s="21" t="str">
        <f>HYPERLINK("https://miland.ru/api/getInfo/image/68b92633-1680-11ef-a25d-00155d82e908")</f>
        <v>https://miland.ru/api/getInfo/image/68b92633-1680-11ef-a25d-00155d82e908</v>
      </c>
      <c r="U415" s="21"/>
      <c r="V415" s="21" t="s">
        <v>878</v>
      </c>
      <c r="W415" s="21" t="s">
        <v>879</v>
      </c>
      <c r="X415" s="21" t="s">
        <v>172</v>
      </c>
      <c r="Y415" s="21" t="s">
        <v>173</v>
      </c>
      <c r="Z415" s="21" t="s">
        <v>1368</v>
      </c>
      <c r="AA415" s="21" t="str">
        <f>HYPERLINK("https://miland.ru/api/getInfo/item/68b92633-1680-11ef-a25d-00155d82e908")</f>
        <v>https://miland.ru/api/getInfo/item/68b92633-1680-11ef-a25d-00155d82e908</v>
      </c>
      <c r="AB415" s="21" t="s">
        <v>42</v>
      </c>
      <c r="AC415" s="21"/>
      <c r="AD415" s="21"/>
    </row>
    <row r="416" spans="2:31" s="1" customFormat="1" ht="96.3" customHeight="1" outlineLevel="7">
      <c r="B416" s="20">
        <v>275</v>
      </c>
      <c r="C416" s="21" t="s">
        <v>1369</v>
      </c>
      <c r="D416" s="72" t="s">
        <v>1370</v>
      </c>
      <c r="E416" s="72"/>
      <c r="F416" s="72"/>
      <c r="G416" s="72"/>
      <c r="H416" s="22" t="s">
        <v>1371</v>
      </c>
      <c r="I416" s="23" t="s">
        <v>36</v>
      </c>
      <c r="J416" s="22"/>
      <c r="K416" s="20">
        <v>1</v>
      </c>
      <c r="L416" s="24">
        <v>709.2</v>
      </c>
      <c r="M416" s="11"/>
      <c r="N416" s="22">
        <f>L416*M416</f>
        <v>0</v>
      </c>
      <c r="O416" s="25">
        <f>0.265*M416</f>
        <v>0</v>
      </c>
      <c r="P416" s="26">
        <f>0.00192*M416</f>
        <v>0</v>
      </c>
      <c r="Q416" s="30"/>
      <c r="R416" s="22" t="s">
        <v>1372</v>
      </c>
      <c r="S416" s="22"/>
      <c r="T416" s="21" t="str">
        <f>HYPERLINK("https://miland.ru/api/getInfo/image/3ab3f2b3-dfd6-11ef-a273-00155d82e908")</f>
        <v>https://miland.ru/api/getInfo/image/3ab3f2b3-dfd6-11ef-a273-00155d82e908</v>
      </c>
      <c r="U416" s="21"/>
      <c r="V416" s="21" t="s">
        <v>878</v>
      </c>
      <c r="W416" s="21" t="s">
        <v>879</v>
      </c>
      <c r="X416" s="21" t="s">
        <v>172</v>
      </c>
      <c r="Y416" s="21" t="s">
        <v>173</v>
      </c>
      <c r="Z416" s="21" t="s">
        <v>1373</v>
      </c>
      <c r="AA416" s="21" t="str">
        <f>HYPERLINK("https://miland.ru/api/getInfo/item/3ab3f2b3-dfd6-11ef-a273-00155d82e908")</f>
        <v>https://miland.ru/api/getInfo/item/3ab3f2b3-dfd6-11ef-a273-00155d82e908</v>
      </c>
      <c r="AB416" s="21" t="s">
        <v>42</v>
      </c>
      <c r="AC416" s="21"/>
      <c r="AD416" s="21"/>
    </row>
    <row r="417" spans="2:30" ht="12" customHeight="1" outlineLevel="5">
      <c r="B417" s="70" t="s">
        <v>1374</v>
      </c>
      <c r="C417" s="70"/>
      <c r="D417" s="70"/>
      <c r="E417" s="70"/>
      <c r="F417" s="70"/>
      <c r="G417" s="70"/>
    </row>
    <row r="418" spans="2:30" ht="12" customHeight="1" outlineLevel="6">
      <c r="B418" s="70" t="s">
        <v>1300</v>
      </c>
      <c r="C418" s="70"/>
      <c r="D418" s="70"/>
      <c r="E418" s="70"/>
      <c r="F418" s="70"/>
      <c r="G418" s="70"/>
    </row>
    <row r="419" spans="2:30" s="1" customFormat="1" ht="96.3" customHeight="1" outlineLevel="7">
      <c r="B419" s="20">
        <v>276</v>
      </c>
      <c r="C419" s="21" t="s">
        <v>1375</v>
      </c>
      <c r="D419" s="72" t="s">
        <v>1376</v>
      </c>
      <c r="E419" s="72"/>
      <c r="F419" s="72"/>
      <c r="G419" s="72"/>
      <c r="H419" s="22" t="s">
        <v>1377</v>
      </c>
      <c r="I419" s="27">
        <v>8</v>
      </c>
      <c r="J419" s="22"/>
      <c r="K419" s="20">
        <v>1</v>
      </c>
      <c r="L419" s="32">
        <v>6316.45</v>
      </c>
      <c r="M419" s="11"/>
      <c r="N419" s="22">
        <f t="shared" ref="N419:N439" si="20">L419*M419</f>
        <v>0</v>
      </c>
      <c r="O419" s="25">
        <f>2.042*M419</f>
        <v>0</v>
      </c>
      <c r="P419" s="26">
        <f>0.01725*M419</f>
        <v>0</v>
      </c>
      <c r="Q419" s="30"/>
      <c r="R419" s="22" t="s">
        <v>1378</v>
      </c>
      <c r="S419" s="22" t="s">
        <v>435</v>
      </c>
      <c r="T419" s="21" t="str">
        <f>HYPERLINK("https://miland.ru/api/getInfo/image/4b1f4ef0-f635-11ed-a238-00155d82e902")</f>
        <v>https://miland.ru/api/getInfo/image/4b1f4ef0-f635-11ed-a238-00155d82e902</v>
      </c>
      <c r="U419" s="21"/>
      <c r="V419" s="21" t="s">
        <v>878</v>
      </c>
      <c r="W419" s="21" t="s">
        <v>879</v>
      </c>
      <c r="X419" s="21" t="s">
        <v>172</v>
      </c>
      <c r="Y419" s="21" t="s">
        <v>173</v>
      </c>
      <c r="Z419" s="21" t="s">
        <v>1379</v>
      </c>
      <c r="AA419" s="21" t="str">
        <f>HYPERLINK("https://miland.ru/api/getInfo/item/4b1f4ef0-f635-11ed-a238-00155d82e902")</f>
        <v>https://miland.ru/api/getInfo/item/4b1f4ef0-f635-11ed-a238-00155d82e902</v>
      </c>
      <c r="AB419" s="21" t="s">
        <v>42</v>
      </c>
      <c r="AC419" s="21" t="s">
        <v>1380</v>
      </c>
      <c r="AD419" s="21"/>
    </row>
    <row r="420" spans="2:30" s="1" customFormat="1" ht="96.3" customHeight="1" outlineLevel="7">
      <c r="B420" s="20">
        <v>277</v>
      </c>
      <c r="C420" s="21" t="s">
        <v>1381</v>
      </c>
      <c r="D420" s="72" t="s">
        <v>1382</v>
      </c>
      <c r="E420" s="72"/>
      <c r="F420" s="72"/>
      <c r="G420" s="72"/>
      <c r="H420" s="22" t="s">
        <v>1383</v>
      </c>
      <c r="I420" s="27">
        <v>12</v>
      </c>
      <c r="J420" s="22"/>
      <c r="K420" s="20">
        <v>1</v>
      </c>
      <c r="L420" s="32">
        <v>3413.24</v>
      </c>
      <c r="M420" s="11"/>
      <c r="N420" s="22">
        <f t="shared" si="20"/>
        <v>0</v>
      </c>
      <c r="O420" s="25">
        <f>1.042*M420</f>
        <v>0</v>
      </c>
      <c r="P420" s="26">
        <f>0.00832*M420</f>
        <v>0</v>
      </c>
      <c r="Q420" s="30"/>
      <c r="R420" s="22" t="s">
        <v>1384</v>
      </c>
      <c r="S420" s="22" t="s">
        <v>435</v>
      </c>
      <c r="T420" s="21" t="str">
        <f>HYPERLINK("https://miland.ru/api/getInfo/image/12e28002-f634-11ed-a238-00155d82e902")</f>
        <v>https://miland.ru/api/getInfo/image/12e28002-f634-11ed-a238-00155d82e902</v>
      </c>
      <c r="U420" s="21"/>
      <c r="V420" s="21" t="s">
        <v>878</v>
      </c>
      <c r="W420" s="21" t="s">
        <v>879</v>
      </c>
      <c r="X420" s="21" t="s">
        <v>172</v>
      </c>
      <c r="Y420" s="21" t="s">
        <v>173</v>
      </c>
      <c r="Z420" s="21" t="s">
        <v>1385</v>
      </c>
      <c r="AA420" s="21" t="str">
        <f>HYPERLINK("https://miland.ru/api/getInfo/item/12e28002-f634-11ed-a238-00155d82e902")</f>
        <v>https://miland.ru/api/getInfo/item/12e28002-f634-11ed-a238-00155d82e902</v>
      </c>
      <c r="AB420" s="21" t="s">
        <v>42</v>
      </c>
      <c r="AC420" s="21" t="s">
        <v>1386</v>
      </c>
      <c r="AD420" s="21"/>
    </row>
    <row r="421" spans="2:30" s="1" customFormat="1" ht="96.3" customHeight="1" outlineLevel="7">
      <c r="B421" s="20">
        <v>278</v>
      </c>
      <c r="C421" s="21" t="s">
        <v>1387</v>
      </c>
      <c r="D421" s="72" t="s">
        <v>1388</v>
      </c>
      <c r="E421" s="72"/>
      <c r="F421" s="72"/>
      <c r="G421" s="72"/>
      <c r="H421" s="22" t="s">
        <v>1389</v>
      </c>
      <c r="I421" s="27">
        <v>5</v>
      </c>
      <c r="J421" s="22"/>
      <c r="K421" s="20">
        <v>1</v>
      </c>
      <c r="L421" s="32">
        <v>3452.47</v>
      </c>
      <c r="M421" s="11"/>
      <c r="N421" s="22">
        <f t="shared" si="20"/>
        <v>0</v>
      </c>
      <c r="O421" s="25">
        <f>1.097*M421</f>
        <v>0</v>
      </c>
      <c r="P421" s="26">
        <f>0.00852*M421</f>
        <v>0</v>
      </c>
      <c r="Q421" s="30"/>
      <c r="R421" s="22" t="s">
        <v>1390</v>
      </c>
      <c r="S421" s="22" t="s">
        <v>435</v>
      </c>
      <c r="T421" s="21" t="str">
        <f>HYPERLINK("https://miland.ru/api/getInfo/image/88ade034-f634-11ed-a238-00155d82e902")</f>
        <v>https://miland.ru/api/getInfo/image/88ade034-f634-11ed-a238-00155d82e902</v>
      </c>
      <c r="U421" s="21"/>
      <c r="V421" s="21" t="s">
        <v>878</v>
      </c>
      <c r="W421" s="21" t="s">
        <v>879</v>
      </c>
      <c r="X421" s="21" t="s">
        <v>172</v>
      </c>
      <c r="Y421" s="21" t="s">
        <v>173</v>
      </c>
      <c r="Z421" s="21" t="s">
        <v>1391</v>
      </c>
      <c r="AA421" s="21" t="str">
        <f>HYPERLINK("https://miland.ru/api/getInfo/item/88ade034-f634-11ed-a238-00155d82e902")</f>
        <v>https://miland.ru/api/getInfo/item/88ade034-f634-11ed-a238-00155d82e902</v>
      </c>
      <c r="AB421" s="21" t="s">
        <v>42</v>
      </c>
      <c r="AC421" s="21" t="s">
        <v>1392</v>
      </c>
      <c r="AD421" s="21"/>
    </row>
    <row r="422" spans="2:30" s="1" customFormat="1" ht="96.3" customHeight="1" outlineLevel="7">
      <c r="B422" s="20">
        <v>279</v>
      </c>
      <c r="C422" s="21" t="s">
        <v>1393</v>
      </c>
      <c r="D422" s="72" t="s">
        <v>1394</v>
      </c>
      <c r="E422" s="72"/>
      <c r="F422" s="72"/>
      <c r="G422" s="72"/>
      <c r="H422" s="22" t="s">
        <v>1395</v>
      </c>
      <c r="I422" s="27">
        <v>5</v>
      </c>
      <c r="J422" s="22"/>
      <c r="K422" s="20">
        <v>1</v>
      </c>
      <c r="L422" s="32">
        <v>2101.31</v>
      </c>
      <c r="M422" s="11"/>
      <c r="N422" s="22">
        <f t="shared" si="20"/>
        <v>0</v>
      </c>
      <c r="O422" s="25">
        <f>1.227*M422</f>
        <v>0</v>
      </c>
      <c r="P422" s="26">
        <f>0.01279*M422</f>
        <v>0</v>
      </c>
      <c r="Q422" s="30"/>
      <c r="R422" s="22" t="s">
        <v>1396</v>
      </c>
      <c r="S422" s="22" t="s">
        <v>435</v>
      </c>
      <c r="T422" s="21" t="str">
        <f>HYPERLINK("https://miland.ru/api/getInfo/image/7f8f0ab4-f637-11ed-a238-00155d82e902")</f>
        <v>https://miland.ru/api/getInfo/image/7f8f0ab4-f637-11ed-a238-00155d82e902</v>
      </c>
      <c r="U422" s="21"/>
      <c r="V422" s="21" t="s">
        <v>878</v>
      </c>
      <c r="W422" s="21" t="s">
        <v>879</v>
      </c>
      <c r="X422" s="21" t="s">
        <v>172</v>
      </c>
      <c r="Y422" s="21" t="s">
        <v>173</v>
      </c>
      <c r="Z422" s="21" t="s">
        <v>1397</v>
      </c>
      <c r="AA422" s="21" t="str">
        <f>HYPERLINK("https://miland.ru/api/getInfo/item/7f8f0ab4-f637-11ed-a238-00155d82e902")</f>
        <v>https://miland.ru/api/getInfo/item/7f8f0ab4-f637-11ed-a238-00155d82e902</v>
      </c>
      <c r="AB422" s="21" t="s">
        <v>42</v>
      </c>
      <c r="AC422" s="21" t="s">
        <v>1386</v>
      </c>
      <c r="AD422" s="21"/>
    </row>
    <row r="423" spans="2:30" s="1" customFormat="1" ht="96.3" customHeight="1" outlineLevel="7">
      <c r="B423" s="20">
        <v>280</v>
      </c>
      <c r="C423" s="21" t="s">
        <v>1398</v>
      </c>
      <c r="D423" s="72" t="s">
        <v>1399</v>
      </c>
      <c r="E423" s="72"/>
      <c r="F423" s="72"/>
      <c r="G423" s="72"/>
      <c r="H423" s="22" t="s">
        <v>1400</v>
      </c>
      <c r="I423" s="27">
        <v>12</v>
      </c>
      <c r="J423" s="22"/>
      <c r="K423" s="20">
        <v>1</v>
      </c>
      <c r="L423" s="32">
        <v>2183.7199999999998</v>
      </c>
      <c r="M423" s="11"/>
      <c r="N423" s="22">
        <f t="shared" si="20"/>
        <v>0</v>
      </c>
      <c r="O423" s="25">
        <f>1.264*M423</f>
        <v>0</v>
      </c>
      <c r="P423" s="26">
        <f>0.01217*M423</f>
        <v>0</v>
      </c>
      <c r="Q423" s="30"/>
      <c r="R423" s="22" t="s">
        <v>1401</v>
      </c>
      <c r="S423" s="22" t="s">
        <v>435</v>
      </c>
      <c r="T423" s="21" t="str">
        <f>HYPERLINK("https://miland.ru/api/getInfo/image/e8dafd80-f637-11ed-a238-00155d82e902")</f>
        <v>https://miland.ru/api/getInfo/image/e8dafd80-f637-11ed-a238-00155d82e902</v>
      </c>
      <c r="U423" s="21"/>
      <c r="V423" s="21" t="s">
        <v>878</v>
      </c>
      <c r="W423" s="21" t="s">
        <v>879</v>
      </c>
      <c r="X423" s="21" t="s">
        <v>172</v>
      </c>
      <c r="Y423" s="21" t="s">
        <v>173</v>
      </c>
      <c r="Z423" s="21" t="s">
        <v>1402</v>
      </c>
      <c r="AA423" s="21" t="str">
        <f>HYPERLINK("https://miland.ru/api/getInfo/item/e8dafd80-f637-11ed-a238-00155d82e902")</f>
        <v>https://miland.ru/api/getInfo/item/e8dafd80-f637-11ed-a238-00155d82e902</v>
      </c>
      <c r="AB423" s="21" t="s">
        <v>42</v>
      </c>
      <c r="AC423" s="21" t="s">
        <v>1392</v>
      </c>
      <c r="AD423" s="21"/>
    </row>
    <row r="424" spans="2:30" s="1" customFormat="1" ht="96.3" customHeight="1" outlineLevel="7">
      <c r="B424" s="20">
        <v>281</v>
      </c>
      <c r="C424" s="21" t="s">
        <v>1403</v>
      </c>
      <c r="D424" s="72" t="s">
        <v>1404</v>
      </c>
      <c r="E424" s="72"/>
      <c r="F424" s="72"/>
      <c r="G424" s="72"/>
      <c r="H424" s="22" t="s">
        <v>1405</v>
      </c>
      <c r="I424" s="27">
        <v>5</v>
      </c>
      <c r="J424" s="22"/>
      <c r="K424" s="20">
        <v>1</v>
      </c>
      <c r="L424" s="32">
        <v>2183.7199999999998</v>
      </c>
      <c r="M424" s="11"/>
      <c r="N424" s="22">
        <f t="shared" si="20"/>
        <v>0</v>
      </c>
      <c r="O424" s="25">
        <f>1.292*M424</f>
        <v>0</v>
      </c>
      <c r="P424" s="26">
        <f>0.01245*M424</f>
        <v>0</v>
      </c>
      <c r="Q424" s="30"/>
      <c r="R424" s="22" t="s">
        <v>1406</v>
      </c>
      <c r="S424" s="22" t="s">
        <v>435</v>
      </c>
      <c r="T424" s="21" t="str">
        <f>HYPERLINK("https://miland.ru/api/getInfo/image/14c1e594-f636-11ed-a238-00155d82e902")</f>
        <v>https://miland.ru/api/getInfo/image/14c1e594-f636-11ed-a238-00155d82e902</v>
      </c>
      <c r="U424" s="21"/>
      <c r="V424" s="21" t="s">
        <v>878</v>
      </c>
      <c r="W424" s="21" t="s">
        <v>879</v>
      </c>
      <c r="X424" s="21" t="s">
        <v>172</v>
      </c>
      <c r="Y424" s="21" t="s">
        <v>173</v>
      </c>
      <c r="Z424" s="21" t="s">
        <v>1407</v>
      </c>
      <c r="AA424" s="21" t="str">
        <f>HYPERLINK("https://miland.ru/api/getInfo/item/14c1e594-f636-11ed-a238-00155d82e902")</f>
        <v>https://miland.ru/api/getInfo/item/14c1e594-f636-11ed-a238-00155d82e902</v>
      </c>
      <c r="AB424" s="21" t="s">
        <v>42</v>
      </c>
      <c r="AC424" s="21" t="s">
        <v>1392</v>
      </c>
      <c r="AD424" s="21"/>
    </row>
    <row r="425" spans="2:30" s="1" customFormat="1" ht="96.3" customHeight="1" outlineLevel="7">
      <c r="B425" s="20">
        <v>282</v>
      </c>
      <c r="C425" s="21" t="s">
        <v>1408</v>
      </c>
      <c r="D425" s="72" t="s">
        <v>1409</v>
      </c>
      <c r="E425" s="72"/>
      <c r="F425" s="72"/>
      <c r="G425" s="72"/>
      <c r="H425" s="22" t="s">
        <v>1410</v>
      </c>
      <c r="I425" s="27">
        <v>5</v>
      </c>
      <c r="J425" s="22"/>
      <c r="K425" s="20">
        <v>1</v>
      </c>
      <c r="L425" s="32">
        <v>2060.12</v>
      </c>
      <c r="M425" s="11"/>
      <c r="N425" s="22">
        <f t="shared" si="20"/>
        <v>0</v>
      </c>
      <c r="O425" s="25">
        <f>1.477*M425</f>
        <v>0</v>
      </c>
      <c r="P425" s="26">
        <f>0.00853*M425</f>
        <v>0</v>
      </c>
      <c r="Q425" s="30"/>
      <c r="R425" s="22" t="s">
        <v>1411</v>
      </c>
      <c r="S425" s="22" t="s">
        <v>435</v>
      </c>
      <c r="T425" s="21" t="str">
        <f>HYPERLINK("https://miland.ru/api/getInfo/image/f33721e4-f61d-11ed-a238-00155d82e902")</f>
        <v>https://miland.ru/api/getInfo/image/f33721e4-f61d-11ed-a238-00155d82e902</v>
      </c>
      <c r="U425" s="21"/>
      <c r="V425" s="21" t="s">
        <v>878</v>
      </c>
      <c r="W425" s="21" t="s">
        <v>879</v>
      </c>
      <c r="X425" s="21" t="s">
        <v>172</v>
      </c>
      <c r="Y425" s="21" t="s">
        <v>173</v>
      </c>
      <c r="Z425" s="21" t="s">
        <v>1412</v>
      </c>
      <c r="AA425" s="21" t="str">
        <f>HYPERLINK("https://miland.ru/api/getInfo/item/f33721e4-f61d-11ed-a238-00155d82e902")</f>
        <v>https://miland.ru/api/getInfo/item/f33721e4-f61d-11ed-a238-00155d82e902</v>
      </c>
      <c r="AB425" s="21" t="s">
        <v>42</v>
      </c>
      <c r="AC425" s="21" t="s">
        <v>1413</v>
      </c>
      <c r="AD425" s="21"/>
    </row>
    <row r="426" spans="2:30" s="1" customFormat="1" ht="96.3" customHeight="1" outlineLevel="7">
      <c r="B426" s="20">
        <v>283</v>
      </c>
      <c r="C426" s="21" t="s">
        <v>1414</v>
      </c>
      <c r="D426" s="72" t="s">
        <v>1415</v>
      </c>
      <c r="E426" s="72"/>
      <c r="F426" s="72"/>
      <c r="G426" s="72"/>
      <c r="H426" s="22" t="s">
        <v>1416</v>
      </c>
      <c r="I426" s="27">
        <v>22</v>
      </c>
      <c r="J426" s="22"/>
      <c r="K426" s="20">
        <v>1</v>
      </c>
      <c r="L426" s="32">
        <v>2307.33</v>
      </c>
      <c r="M426" s="11"/>
      <c r="N426" s="22">
        <f t="shared" si="20"/>
        <v>0</v>
      </c>
      <c r="O426" s="25">
        <f>1.495*M426</f>
        <v>0</v>
      </c>
      <c r="P426" s="26">
        <f>0.01246*M426</f>
        <v>0</v>
      </c>
      <c r="Q426" s="30"/>
      <c r="R426" s="22" t="s">
        <v>1417</v>
      </c>
      <c r="S426" s="22" t="s">
        <v>435</v>
      </c>
      <c r="T426" s="21" t="str">
        <f>HYPERLINK("https://miland.ru/api/getInfo/image/3f4832e3-f61d-11ed-a238-00155d82e902")</f>
        <v>https://miland.ru/api/getInfo/image/3f4832e3-f61d-11ed-a238-00155d82e902</v>
      </c>
      <c r="U426" s="21"/>
      <c r="V426" s="21" t="s">
        <v>878</v>
      </c>
      <c r="W426" s="21" t="s">
        <v>879</v>
      </c>
      <c r="X426" s="21" t="s">
        <v>172</v>
      </c>
      <c r="Y426" s="21" t="s">
        <v>173</v>
      </c>
      <c r="Z426" s="21" t="s">
        <v>1418</v>
      </c>
      <c r="AA426" s="21" t="str">
        <f>HYPERLINK("https://miland.ru/api/getInfo/item/3f4832e3-f61d-11ed-a238-00155d82e902")</f>
        <v>https://miland.ru/api/getInfo/item/3f4832e3-f61d-11ed-a238-00155d82e902</v>
      </c>
      <c r="AB426" s="21" t="s">
        <v>42</v>
      </c>
      <c r="AC426" s="21" t="s">
        <v>1386</v>
      </c>
      <c r="AD426" s="21"/>
    </row>
    <row r="427" spans="2:30" s="1" customFormat="1" ht="96.3" customHeight="1" outlineLevel="7">
      <c r="B427" s="20">
        <v>284</v>
      </c>
      <c r="C427" s="21" t="s">
        <v>1419</v>
      </c>
      <c r="D427" s="72" t="s">
        <v>1420</v>
      </c>
      <c r="E427" s="72"/>
      <c r="F427" s="72"/>
      <c r="G427" s="72"/>
      <c r="H427" s="22" t="s">
        <v>1421</v>
      </c>
      <c r="I427" s="27">
        <v>7</v>
      </c>
      <c r="J427" s="22"/>
      <c r="K427" s="20">
        <v>1</v>
      </c>
      <c r="L427" s="32">
        <v>2389.73</v>
      </c>
      <c r="M427" s="11"/>
      <c r="N427" s="22">
        <f t="shared" si="20"/>
        <v>0</v>
      </c>
      <c r="O427" s="25">
        <f>1.609*M427</f>
        <v>0</v>
      </c>
      <c r="P427" s="26">
        <f>0.01254*M427</f>
        <v>0</v>
      </c>
      <c r="Q427" s="30"/>
      <c r="R427" s="22" t="s">
        <v>1422</v>
      </c>
      <c r="S427" s="22" t="s">
        <v>435</v>
      </c>
      <c r="T427" s="21" t="str">
        <f>HYPERLINK("https://miland.ru/api/getInfo/image/9b8f054c-f61d-11ed-a238-00155d82e902")</f>
        <v>https://miland.ru/api/getInfo/image/9b8f054c-f61d-11ed-a238-00155d82e902</v>
      </c>
      <c r="U427" s="21"/>
      <c r="V427" s="21" t="s">
        <v>878</v>
      </c>
      <c r="W427" s="21" t="s">
        <v>879</v>
      </c>
      <c r="X427" s="21" t="s">
        <v>172</v>
      </c>
      <c r="Y427" s="21" t="s">
        <v>173</v>
      </c>
      <c r="Z427" s="21" t="s">
        <v>1423</v>
      </c>
      <c r="AA427" s="21" t="str">
        <f>HYPERLINK("https://miland.ru/api/getInfo/item/9b8f054c-f61d-11ed-a238-00155d82e902")</f>
        <v>https://miland.ru/api/getInfo/item/9b8f054c-f61d-11ed-a238-00155d82e902</v>
      </c>
      <c r="AB427" s="21" t="s">
        <v>42</v>
      </c>
      <c r="AC427" s="21" t="s">
        <v>1392</v>
      </c>
      <c r="AD427" s="21"/>
    </row>
    <row r="428" spans="2:30" s="1" customFormat="1" ht="96.3" customHeight="1" outlineLevel="7">
      <c r="B428" s="20">
        <v>285</v>
      </c>
      <c r="C428" s="21" t="s">
        <v>1424</v>
      </c>
      <c r="D428" s="72" t="s">
        <v>1425</v>
      </c>
      <c r="E428" s="72"/>
      <c r="F428" s="72"/>
      <c r="G428" s="72"/>
      <c r="H428" s="22" t="s">
        <v>1426</v>
      </c>
      <c r="I428" s="27">
        <v>6</v>
      </c>
      <c r="J428" s="22"/>
      <c r="K428" s="20">
        <v>1</v>
      </c>
      <c r="L428" s="32">
        <v>2307.33</v>
      </c>
      <c r="M428" s="11"/>
      <c r="N428" s="22">
        <f t="shared" si="20"/>
        <v>0</v>
      </c>
      <c r="O428" s="25">
        <f>1.846*M428</f>
        <v>0</v>
      </c>
      <c r="P428" s="29">
        <f>0.0104*M428</f>
        <v>0</v>
      </c>
      <c r="Q428" s="30"/>
      <c r="R428" s="22" t="s">
        <v>1427</v>
      </c>
      <c r="S428" s="22" t="s">
        <v>435</v>
      </c>
      <c r="T428" s="21" t="str">
        <f>HYPERLINK("https://miland.ru/api/getInfo/image/655e470e-f61e-11ed-a238-00155d82e902")</f>
        <v>https://miland.ru/api/getInfo/image/655e470e-f61e-11ed-a238-00155d82e902</v>
      </c>
      <c r="U428" s="21"/>
      <c r="V428" s="21" t="s">
        <v>878</v>
      </c>
      <c r="W428" s="21" t="s">
        <v>879</v>
      </c>
      <c r="X428" s="21" t="s">
        <v>172</v>
      </c>
      <c r="Y428" s="21" t="s">
        <v>173</v>
      </c>
      <c r="Z428" s="21" t="s">
        <v>1428</v>
      </c>
      <c r="AA428" s="21" t="str">
        <f>HYPERLINK("https://miland.ru/api/getInfo/item/655e470e-f61e-11ed-a238-00155d82e902")</f>
        <v>https://miland.ru/api/getInfo/item/655e470e-f61e-11ed-a238-00155d82e902</v>
      </c>
      <c r="AB428" s="21" t="s">
        <v>42</v>
      </c>
      <c r="AC428" s="21" t="s">
        <v>1386</v>
      </c>
      <c r="AD428" s="21"/>
    </row>
    <row r="429" spans="2:30" s="1" customFormat="1" ht="96.3" customHeight="1" outlineLevel="7">
      <c r="B429" s="20">
        <v>286</v>
      </c>
      <c r="C429" s="21" t="s">
        <v>1429</v>
      </c>
      <c r="D429" s="72" t="s">
        <v>1430</v>
      </c>
      <c r="E429" s="72"/>
      <c r="F429" s="72"/>
      <c r="G429" s="72"/>
      <c r="H429" s="22" t="s">
        <v>1431</v>
      </c>
      <c r="I429" s="27">
        <v>5</v>
      </c>
      <c r="J429" s="22"/>
      <c r="K429" s="20">
        <v>1</v>
      </c>
      <c r="L429" s="32">
        <v>4177.1899999999996</v>
      </c>
      <c r="M429" s="11"/>
      <c r="N429" s="22">
        <f t="shared" si="20"/>
        <v>0</v>
      </c>
      <c r="O429" s="33">
        <f>2.2*M429</f>
        <v>0</v>
      </c>
      <c r="P429" s="26">
        <f>0.01682*M429</f>
        <v>0</v>
      </c>
      <c r="Q429" s="30"/>
      <c r="R429" s="22" t="s">
        <v>1432</v>
      </c>
      <c r="S429" s="22" t="s">
        <v>435</v>
      </c>
      <c r="T429" s="21" t="str">
        <f>HYPERLINK("https://miland.ru/api/getInfo/image/d362a77b-f63b-11ed-a238-00155d82e902")</f>
        <v>https://miland.ru/api/getInfo/image/d362a77b-f63b-11ed-a238-00155d82e902</v>
      </c>
      <c r="U429" s="21"/>
      <c r="V429" s="21" t="s">
        <v>878</v>
      </c>
      <c r="W429" s="21" t="s">
        <v>879</v>
      </c>
      <c r="X429" s="21" t="s">
        <v>172</v>
      </c>
      <c r="Y429" s="21" t="s">
        <v>173</v>
      </c>
      <c r="Z429" s="21" t="s">
        <v>1433</v>
      </c>
      <c r="AA429" s="21" t="str">
        <f>HYPERLINK("https://miland.ru/api/getInfo/item/d362a77b-f63b-11ed-a238-00155d82e902")</f>
        <v>https://miland.ru/api/getInfo/item/d362a77b-f63b-11ed-a238-00155d82e902</v>
      </c>
      <c r="AB429" s="21" t="s">
        <v>42</v>
      </c>
      <c r="AC429" s="21" t="s">
        <v>1380</v>
      </c>
      <c r="AD429" s="21"/>
    </row>
    <row r="430" spans="2:30" s="1" customFormat="1" ht="96.3" customHeight="1" outlineLevel="7">
      <c r="B430" s="20">
        <v>287</v>
      </c>
      <c r="C430" s="21" t="s">
        <v>1434</v>
      </c>
      <c r="D430" s="72" t="s">
        <v>1435</v>
      </c>
      <c r="E430" s="72"/>
      <c r="F430" s="72"/>
      <c r="G430" s="72"/>
      <c r="H430" s="22" t="s">
        <v>1436</v>
      </c>
      <c r="I430" s="27">
        <v>8</v>
      </c>
      <c r="J430" s="22"/>
      <c r="K430" s="20">
        <v>1</v>
      </c>
      <c r="L430" s="32">
        <v>1854.1</v>
      </c>
      <c r="M430" s="11"/>
      <c r="N430" s="22">
        <f t="shared" si="20"/>
        <v>0</v>
      </c>
      <c r="O430" s="25">
        <f>1.107*M430</f>
        <v>0</v>
      </c>
      <c r="P430" s="26">
        <f>0.00984*M430</f>
        <v>0</v>
      </c>
      <c r="Q430" s="30"/>
      <c r="R430" s="22" t="s">
        <v>1437</v>
      </c>
      <c r="S430" s="22" t="s">
        <v>435</v>
      </c>
      <c r="T430" s="21" t="str">
        <f>HYPERLINK("https://miland.ru/api/getInfo/image/b40d047c-f63a-11ed-a238-00155d82e902")</f>
        <v>https://miland.ru/api/getInfo/image/b40d047c-f63a-11ed-a238-00155d82e902</v>
      </c>
      <c r="U430" s="21"/>
      <c r="V430" s="21" t="s">
        <v>878</v>
      </c>
      <c r="W430" s="21" t="s">
        <v>879</v>
      </c>
      <c r="X430" s="21" t="s">
        <v>172</v>
      </c>
      <c r="Y430" s="21" t="s">
        <v>173</v>
      </c>
      <c r="Z430" s="21" t="s">
        <v>1438</v>
      </c>
      <c r="AA430" s="21" t="str">
        <f>HYPERLINK("https://miland.ru/api/getInfo/item/b40d047c-f63a-11ed-a238-00155d82e902")</f>
        <v>https://miland.ru/api/getInfo/item/b40d047c-f63a-11ed-a238-00155d82e902</v>
      </c>
      <c r="AB430" s="21" t="s">
        <v>42</v>
      </c>
      <c r="AC430" s="21" t="s">
        <v>1386</v>
      </c>
      <c r="AD430" s="21"/>
    </row>
    <row r="431" spans="2:30" s="1" customFormat="1" ht="96.3" customHeight="1" outlineLevel="7">
      <c r="B431" s="20">
        <v>288</v>
      </c>
      <c r="C431" s="21" t="s">
        <v>1439</v>
      </c>
      <c r="D431" s="72" t="s">
        <v>1440</v>
      </c>
      <c r="E431" s="72"/>
      <c r="F431" s="72"/>
      <c r="G431" s="72"/>
      <c r="H431" s="22" t="s">
        <v>1441</v>
      </c>
      <c r="I431" s="27">
        <v>5</v>
      </c>
      <c r="J431" s="22"/>
      <c r="K431" s="20">
        <v>1</v>
      </c>
      <c r="L431" s="32">
        <v>2389.73</v>
      </c>
      <c r="M431" s="11"/>
      <c r="N431" s="22">
        <f t="shared" si="20"/>
        <v>0</v>
      </c>
      <c r="O431" s="25">
        <f>1.631*M431</f>
        <v>0</v>
      </c>
      <c r="P431" s="26">
        <f>0.00637*M431</f>
        <v>0</v>
      </c>
      <c r="Q431" s="30"/>
      <c r="R431" s="22" t="s">
        <v>1442</v>
      </c>
      <c r="S431" s="22" t="s">
        <v>435</v>
      </c>
      <c r="T431" s="21" t="str">
        <f>HYPERLINK("https://miland.ru/api/getInfo/image/f799d767-f61f-11ed-a238-00155d82e902")</f>
        <v>https://miland.ru/api/getInfo/image/f799d767-f61f-11ed-a238-00155d82e902</v>
      </c>
      <c r="U431" s="21"/>
      <c r="V431" s="21" t="s">
        <v>878</v>
      </c>
      <c r="W431" s="21" t="s">
        <v>879</v>
      </c>
      <c r="X431" s="21" t="s">
        <v>172</v>
      </c>
      <c r="Y431" s="21" t="s">
        <v>173</v>
      </c>
      <c r="Z431" s="21" t="s">
        <v>1443</v>
      </c>
      <c r="AA431" s="21" t="str">
        <f>HYPERLINK("https://miland.ru/api/getInfo/item/f799d767-f61f-11ed-a238-00155d82e902")</f>
        <v>https://miland.ru/api/getInfo/item/f799d767-f61f-11ed-a238-00155d82e902</v>
      </c>
      <c r="AB431" s="21" t="s">
        <v>42</v>
      </c>
      <c r="AC431" s="21" t="s">
        <v>1392</v>
      </c>
      <c r="AD431" s="21"/>
    </row>
    <row r="432" spans="2:30" s="1" customFormat="1" ht="96.3" customHeight="1" outlineLevel="7">
      <c r="B432" s="20">
        <v>289</v>
      </c>
      <c r="C432" s="21" t="s">
        <v>1444</v>
      </c>
      <c r="D432" s="72" t="s">
        <v>1445</v>
      </c>
      <c r="E432" s="72"/>
      <c r="F432" s="72"/>
      <c r="G432" s="72"/>
      <c r="H432" s="22" t="s">
        <v>1446</v>
      </c>
      <c r="I432" s="27">
        <v>5</v>
      </c>
      <c r="J432" s="22"/>
      <c r="K432" s="20">
        <v>1</v>
      </c>
      <c r="L432" s="32">
        <v>2307.33</v>
      </c>
      <c r="M432" s="11"/>
      <c r="N432" s="22">
        <f t="shared" si="20"/>
        <v>0</v>
      </c>
      <c r="O432" s="25">
        <f>1.374*M432</f>
        <v>0</v>
      </c>
      <c r="P432" s="26">
        <f>0.00947*M432</f>
        <v>0</v>
      </c>
      <c r="Q432" s="30"/>
      <c r="R432" s="22" t="s">
        <v>1447</v>
      </c>
      <c r="S432" s="22" t="s">
        <v>435</v>
      </c>
      <c r="T432" s="21" t="str">
        <f>HYPERLINK("https://miland.ru/api/getInfo/image/2cb5e9fb-f615-11ed-a238-00155d82e902")</f>
        <v>https://miland.ru/api/getInfo/image/2cb5e9fb-f615-11ed-a238-00155d82e902</v>
      </c>
      <c r="U432" s="21"/>
      <c r="V432" s="21" t="s">
        <v>878</v>
      </c>
      <c r="W432" s="21" t="s">
        <v>879</v>
      </c>
      <c r="X432" s="21" t="s">
        <v>172</v>
      </c>
      <c r="Y432" s="21" t="s">
        <v>173</v>
      </c>
      <c r="Z432" s="21" t="s">
        <v>1448</v>
      </c>
      <c r="AA432" s="21" t="str">
        <f>HYPERLINK("https://miland.ru/api/getInfo/item/2cb5e9fb-f615-11ed-a238-00155d82e902")</f>
        <v>https://miland.ru/api/getInfo/item/2cb5e9fb-f615-11ed-a238-00155d82e902</v>
      </c>
      <c r="AB432" s="21" t="s">
        <v>42</v>
      </c>
      <c r="AC432" s="21" t="s">
        <v>1386</v>
      </c>
      <c r="AD432" s="21"/>
    </row>
    <row r="433" spans="2:31" s="1" customFormat="1" ht="96.3" customHeight="1" outlineLevel="7">
      <c r="B433" s="20">
        <v>290</v>
      </c>
      <c r="C433" s="21" t="s">
        <v>1449</v>
      </c>
      <c r="D433" s="72" t="s">
        <v>1450</v>
      </c>
      <c r="E433" s="72"/>
      <c r="F433" s="72"/>
      <c r="G433" s="72"/>
      <c r="H433" s="22" t="s">
        <v>1451</v>
      </c>
      <c r="I433" s="27">
        <v>27</v>
      </c>
      <c r="J433" s="22"/>
      <c r="K433" s="20">
        <v>1</v>
      </c>
      <c r="L433" s="32">
        <v>2389.73</v>
      </c>
      <c r="M433" s="11"/>
      <c r="N433" s="22">
        <f t="shared" si="20"/>
        <v>0</v>
      </c>
      <c r="O433" s="25">
        <f>1.477*M433</f>
        <v>0</v>
      </c>
      <c r="P433" s="26">
        <f>0.00996*M433</f>
        <v>0</v>
      </c>
      <c r="Q433" s="30"/>
      <c r="R433" s="22" t="s">
        <v>1452</v>
      </c>
      <c r="S433" s="22" t="s">
        <v>435</v>
      </c>
      <c r="T433" s="21" t="str">
        <f>HYPERLINK("https://miland.ru/api/getInfo/image/761889e6-f61c-11ed-a238-00155d82e902")</f>
        <v>https://miland.ru/api/getInfo/image/761889e6-f61c-11ed-a238-00155d82e902</v>
      </c>
      <c r="U433" s="21"/>
      <c r="V433" s="21" t="s">
        <v>878</v>
      </c>
      <c r="W433" s="21" t="s">
        <v>879</v>
      </c>
      <c r="X433" s="21" t="s">
        <v>172</v>
      </c>
      <c r="Y433" s="21" t="s">
        <v>173</v>
      </c>
      <c r="Z433" s="21" t="s">
        <v>1453</v>
      </c>
      <c r="AA433" s="21" t="str">
        <f>HYPERLINK("https://miland.ru/api/getInfo/item/761889e6-f61c-11ed-a238-00155d82e902")</f>
        <v>https://miland.ru/api/getInfo/item/761889e6-f61c-11ed-a238-00155d82e902</v>
      </c>
      <c r="AB433" s="21" t="s">
        <v>42</v>
      </c>
      <c r="AC433" s="21" t="s">
        <v>1392</v>
      </c>
      <c r="AD433" s="21"/>
    </row>
    <row r="434" spans="2:31" s="1" customFormat="1" ht="96.3" customHeight="1" outlineLevel="7">
      <c r="B434" s="20">
        <v>291</v>
      </c>
      <c r="C434" s="21" t="s">
        <v>1454</v>
      </c>
      <c r="D434" s="72" t="s">
        <v>1455</v>
      </c>
      <c r="E434" s="72"/>
      <c r="F434" s="72"/>
      <c r="G434" s="72"/>
      <c r="H434" s="22" t="s">
        <v>1456</v>
      </c>
      <c r="I434" s="27">
        <v>5</v>
      </c>
      <c r="J434" s="22"/>
      <c r="K434" s="20">
        <v>1</v>
      </c>
      <c r="L434" s="32">
        <v>2266.12</v>
      </c>
      <c r="M434" s="11"/>
      <c r="N434" s="22">
        <f t="shared" si="20"/>
        <v>0</v>
      </c>
      <c r="O434" s="28">
        <f>2.12*M434</f>
        <v>0</v>
      </c>
      <c r="P434" s="29">
        <f>0.0098*M434</f>
        <v>0</v>
      </c>
      <c r="Q434" s="30"/>
      <c r="R434" s="22" t="s">
        <v>1457</v>
      </c>
      <c r="S434" s="22" t="s">
        <v>435</v>
      </c>
      <c r="T434" s="21" t="str">
        <f>HYPERLINK("https://miland.ru/api/getInfo/image/8bc984c0-f640-11ed-a238-00155d82e902")</f>
        <v>https://miland.ru/api/getInfo/image/8bc984c0-f640-11ed-a238-00155d82e902</v>
      </c>
      <c r="U434" s="21"/>
      <c r="V434" s="21" t="s">
        <v>878</v>
      </c>
      <c r="W434" s="21" t="s">
        <v>879</v>
      </c>
      <c r="X434" s="21" t="s">
        <v>172</v>
      </c>
      <c r="Y434" s="21" t="s">
        <v>173</v>
      </c>
      <c r="Z434" s="21" t="s">
        <v>1458</v>
      </c>
      <c r="AA434" s="21" t="str">
        <f>HYPERLINK("https://miland.ru/api/getInfo/item/8bc984c0-f640-11ed-a238-00155d82e902")</f>
        <v>https://miland.ru/api/getInfo/item/8bc984c0-f640-11ed-a238-00155d82e902</v>
      </c>
      <c r="AB434" s="21" t="s">
        <v>42</v>
      </c>
      <c r="AC434" s="21" t="s">
        <v>1413</v>
      </c>
      <c r="AD434" s="21"/>
    </row>
    <row r="435" spans="2:31" s="1" customFormat="1" ht="96.3" customHeight="1" outlineLevel="7">
      <c r="B435" s="20">
        <v>292</v>
      </c>
      <c r="C435" s="21" t="s">
        <v>1459</v>
      </c>
      <c r="D435" s="72" t="s">
        <v>1460</v>
      </c>
      <c r="E435" s="72"/>
      <c r="F435" s="72"/>
      <c r="G435" s="72"/>
      <c r="H435" s="22" t="s">
        <v>1461</v>
      </c>
      <c r="I435" s="27">
        <v>6</v>
      </c>
      <c r="J435" s="22"/>
      <c r="K435" s="20">
        <v>1</v>
      </c>
      <c r="L435" s="32">
        <v>2430.9299999999998</v>
      </c>
      <c r="M435" s="11"/>
      <c r="N435" s="22">
        <f t="shared" si="20"/>
        <v>0</v>
      </c>
      <c r="O435" s="28">
        <f>2.16*M435</f>
        <v>0</v>
      </c>
      <c r="P435" s="26">
        <f>0.00997*M435</f>
        <v>0</v>
      </c>
      <c r="Q435" s="30"/>
      <c r="R435" s="22" t="s">
        <v>1462</v>
      </c>
      <c r="S435" s="22" t="s">
        <v>435</v>
      </c>
      <c r="T435" s="21" t="str">
        <f>HYPERLINK("https://miland.ru/api/getInfo/image/dfd607d5-f63f-11ed-a238-00155d82e902")</f>
        <v>https://miland.ru/api/getInfo/image/dfd607d5-f63f-11ed-a238-00155d82e902</v>
      </c>
      <c r="U435" s="21"/>
      <c r="V435" s="21" t="s">
        <v>878</v>
      </c>
      <c r="W435" s="21" t="s">
        <v>879</v>
      </c>
      <c r="X435" s="21" t="s">
        <v>172</v>
      </c>
      <c r="Y435" s="21" t="s">
        <v>173</v>
      </c>
      <c r="Z435" s="21" t="s">
        <v>1463</v>
      </c>
      <c r="AA435" s="21" t="str">
        <f>HYPERLINK("https://miland.ru/api/getInfo/item/dfd607d5-f63f-11ed-a238-00155d82e902")</f>
        <v>https://miland.ru/api/getInfo/item/dfd607d5-f63f-11ed-a238-00155d82e902</v>
      </c>
      <c r="AB435" s="21" t="s">
        <v>42</v>
      </c>
      <c r="AC435" s="21" t="s">
        <v>1386</v>
      </c>
      <c r="AD435" s="21"/>
    </row>
    <row r="436" spans="2:31" s="1" customFormat="1" ht="96.3" customHeight="1" outlineLevel="7">
      <c r="B436" s="20">
        <v>293</v>
      </c>
      <c r="C436" s="21" t="s">
        <v>1464</v>
      </c>
      <c r="D436" s="72" t="s">
        <v>1465</v>
      </c>
      <c r="E436" s="72"/>
      <c r="F436" s="72"/>
      <c r="G436" s="72"/>
      <c r="H436" s="22" t="s">
        <v>1466</v>
      </c>
      <c r="I436" s="27">
        <v>7</v>
      </c>
      <c r="J436" s="22"/>
      <c r="K436" s="20">
        <v>1</v>
      </c>
      <c r="L436" s="32">
        <v>2513.34</v>
      </c>
      <c r="M436" s="11"/>
      <c r="N436" s="22">
        <f t="shared" si="20"/>
        <v>0</v>
      </c>
      <c r="O436" s="33">
        <f>2.3*M436</f>
        <v>0</v>
      </c>
      <c r="P436" s="26">
        <f>0.01032*M436</f>
        <v>0</v>
      </c>
      <c r="Q436" s="30"/>
      <c r="R436" s="22" t="s">
        <v>1467</v>
      </c>
      <c r="S436" s="22" t="s">
        <v>435</v>
      </c>
      <c r="T436" s="21" t="str">
        <f>HYPERLINK("https://miland.ru/api/getInfo/image/37401fad-f640-11ed-a238-00155d82e902")</f>
        <v>https://miland.ru/api/getInfo/image/37401fad-f640-11ed-a238-00155d82e902</v>
      </c>
      <c r="U436" s="21"/>
      <c r="V436" s="21" t="s">
        <v>878</v>
      </c>
      <c r="W436" s="21" t="s">
        <v>879</v>
      </c>
      <c r="X436" s="21" t="s">
        <v>172</v>
      </c>
      <c r="Y436" s="21" t="s">
        <v>173</v>
      </c>
      <c r="Z436" s="21" t="s">
        <v>1468</v>
      </c>
      <c r="AA436" s="21" t="str">
        <f>HYPERLINK("https://miland.ru/api/getInfo/item/37401fad-f640-11ed-a238-00155d82e902")</f>
        <v>https://miland.ru/api/getInfo/item/37401fad-f640-11ed-a238-00155d82e902</v>
      </c>
      <c r="AB436" s="21" t="s">
        <v>42</v>
      </c>
      <c r="AC436" s="21" t="s">
        <v>1392</v>
      </c>
      <c r="AD436" s="21"/>
    </row>
    <row r="437" spans="2:31" s="1" customFormat="1" ht="96.3" customHeight="1" outlineLevel="7">
      <c r="B437" s="20">
        <v>294</v>
      </c>
      <c r="C437" s="21" t="s">
        <v>1469</v>
      </c>
      <c r="D437" s="72" t="s">
        <v>1470</v>
      </c>
      <c r="E437" s="72"/>
      <c r="F437" s="72"/>
      <c r="G437" s="72"/>
      <c r="H437" s="22" t="s">
        <v>1471</v>
      </c>
      <c r="I437" s="27">
        <v>7</v>
      </c>
      <c r="J437" s="22"/>
      <c r="K437" s="20">
        <v>1</v>
      </c>
      <c r="L437" s="32">
        <v>5032.0600000000004</v>
      </c>
      <c r="M437" s="11"/>
      <c r="N437" s="22">
        <f t="shared" si="20"/>
        <v>0</v>
      </c>
      <c r="O437" s="33">
        <f>2.1*M437</f>
        <v>0</v>
      </c>
      <c r="P437" s="26">
        <f>0.01648*M437</f>
        <v>0</v>
      </c>
      <c r="Q437" s="30"/>
      <c r="R437" s="22" t="s">
        <v>1472</v>
      </c>
      <c r="S437" s="22" t="s">
        <v>435</v>
      </c>
      <c r="T437" s="21" t="str">
        <f>HYPERLINK("https://miland.ru/api/getInfo/image/92e49997-f633-11ed-a238-00155d82e902")</f>
        <v>https://miland.ru/api/getInfo/image/92e49997-f633-11ed-a238-00155d82e902</v>
      </c>
      <c r="U437" s="21"/>
      <c r="V437" s="21" t="s">
        <v>878</v>
      </c>
      <c r="W437" s="21" t="s">
        <v>879</v>
      </c>
      <c r="X437" s="21" t="s">
        <v>172</v>
      </c>
      <c r="Y437" s="21" t="s">
        <v>173</v>
      </c>
      <c r="Z437" s="21" t="s">
        <v>1473</v>
      </c>
      <c r="AA437" s="21" t="str">
        <f>HYPERLINK("https://miland.ru/api/getInfo/item/92e49997-f633-11ed-a238-00155d82e902")</f>
        <v>https://miland.ru/api/getInfo/item/92e49997-f633-11ed-a238-00155d82e902</v>
      </c>
      <c r="AB437" s="21" t="s">
        <v>42</v>
      </c>
      <c r="AC437" s="21" t="s">
        <v>1380</v>
      </c>
      <c r="AD437" s="21"/>
    </row>
    <row r="438" spans="2:31" s="1" customFormat="1" ht="96.3" customHeight="1" outlineLevel="7">
      <c r="B438" s="20">
        <v>295</v>
      </c>
      <c r="C438" s="21" t="s">
        <v>1474</v>
      </c>
      <c r="D438" s="72" t="s">
        <v>1475</v>
      </c>
      <c r="E438" s="72"/>
      <c r="F438" s="72"/>
      <c r="G438" s="72"/>
      <c r="H438" s="22" t="s">
        <v>1476</v>
      </c>
      <c r="I438" s="27">
        <v>260</v>
      </c>
      <c r="J438" s="22"/>
      <c r="K438" s="20">
        <v>1</v>
      </c>
      <c r="L438" s="32">
        <v>3235</v>
      </c>
      <c r="M438" s="11"/>
      <c r="N438" s="22">
        <f t="shared" si="20"/>
        <v>0</v>
      </c>
      <c r="O438" s="25">
        <f>1.141*M438</f>
        <v>0</v>
      </c>
      <c r="P438" s="26">
        <f>0.01064*M438</f>
        <v>0</v>
      </c>
      <c r="Q438" s="30"/>
      <c r="R438" s="22" t="s">
        <v>1477</v>
      </c>
      <c r="S438" s="22" t="s">
        <v>435</v>
      </c>
      <c r="T438" s="21" t="str">
        <f>HYPERLINK("https://miland.ru/api/getInfo/image/ea040833-0808-11ed-a215-ac1f6b442185")</f>
        <v>https://miland.ru/api/getInfo/image/ea040833-0808-11ed-a215-ac1f6b442185</v>
      </c>
      <c r="U438" s="21"/>
      <c r="V438" s="21" t="s">
        <v>878</v>
      </c>
      <c r="W438" s="21" t="s">
        <v>879</v>
      </c>
      <c r="X438" s="21" t="s">
        <v>172</v>
      </c>
      <c r="Y438" s="21" t="s">
        <v>173</v>
      </c>
      <c r="Z438" s="21" t="s">
        <v>1478</v>
      </c>
      <c r="AA438" s="21" t="str">
        <f>HYPERLINK("https://miland.ru/api/getInfo/item/ea040833-0808-11ed-a215-ac1f6b442185")</f>
        <v>https://miland.ru/api/getInfo/item/ea040833-0808-11ed-a215-ac1f6b442185</v>
      </c>
      <c r="AB438" s="21" t="s">
        <v>42</v>
      </c>
      <c r="AC438" s="21" t="s">
        <v>1479</v>
      </c>
      <c r="AD438" s="21"/>
    </row>
    <row r="439" spans="2:31" s="1" customFormat="1" ht="96.3" customHeight="1" outlineLevel="7">
      <c r="B439" s="20">
        <v>296</v>
      </c>
      <c r="C439" s="21" t="s">
        <v>1480</v>
      </c>
      <c r="D439" s="72" t="s">
        <v>1481</v>
      </c>
      <c r="E439" s="72"/>
      <c r="F439" s="72"/>
      <c r="G439" s="72"/>
      <c r="H439" s="22" t="s">
        <v>1482</v>
      </c>
      <c r="I439" s="27">
        <v>37</v>
      </c>
      <c r="J439" s="22"/>
      <c r="K439" s="20">
        <v>1</v>
      </c>
      <c r="L439" s="32">
        <v>1845.93</v>
      </c>
      <c r="M439" s="11"/>
      <c r="N439" s="22">
        <f t="shared" si="20"/>
        <v>0</v>
      </c>
      <c r="O439" s="25">
        <f>0.596*M439</f>
        <v>0</v>
      </c>
      <c r="P439" s="26">
        <f>0.00516*M439</f>
        <v>0</v>
      </c>
      <c r="Q439" s="30"/>
      <c r="R439" s="22" t="s">
        <v>1483</v>
      </c>
      <c r="S439" s="22" t="s">
        <v>435</v>
      </c>
      <c r="T439" s="21" t="str">
        <f>HYPERLINK("https://miland.ru/api/getInfo/image/5c273e86-0807-11ed-a215-ac1f6b442185")</f>
        <v>https://miland.ru/api/getInfo/image/5c273e86-0807-11ed-a215-ac1f6b442185</v>
      </c>
      <c r="U439" s="21"/>
      <c r="V439" s="21" t="s">
        <v>878</v>
      </c>
      <c r="W439" s="21" t="s">
        <v>879</v>
      </c>
      <c r="X439" s="21" t="s">
        <v>172</v>
      </c>
      <c r="Y439" s="21" t="s">
        <v>173</v>
      </c>
      <c r="Z439" s="21" t="s">
        <v>1484</v>
      </c>
      <c r="AA439" s="21" t="str">
        <f>HYPERLINK("https://miland.ru/api/getInfo/item/5c273e86-0807-11ed-a215-ac1f6b442185")</f>
        <v>https://miland.ru/api/getInfo/item/5c273e86-0807-11ed-a215-ac1f6b442185</v>
      </c>
      <c r="AB439" s="21" t="s">
        <v>42</v>
      </c>
      <c r="AC439" s="21" t="s">
        <v>1485</v>
      </c>
      <c r="AD439" s="21"/>
    </row>
    <row r="440" spans="2:31" ht="12" customHeight="1" outlineLevel="6">
      <c r="B440" s="70" t="s">
        <v>1363</v>
      </c>
      <c r="C440" s="70"/>
      <c r="D440" s="70"/>
      <c r="E440" s="70"/>
      <c r="F440" s="70"/>
      <c r="G440" s="70"/>
    </row>
    <row r="441" spans="2:31" s="1" customFormat="1" ht="96.3" customHeight="1" outlineLevel="7">
      <c r="B441" s="20">
        <v>297</v>
      </c>
      <c r="C441" s="21" t="s">
        <v>1486</v>
      </c>
      <c r="D441" s="72" t="s">
        <v>1487</v>
      </c>
      <c r="E441" s="72"/>
      <c r="F441" s="72"/>
      <c r="G441" s="72"/>
      <c r="H441" s="22" t="s">
        <v>1488</v>
      </c>
      <c r="I441" s="27">
        <v>5</v>
      </c>
      <c r="J441" s="22"/>
      <c r="K441" s="20">
        <v>1</v>
      </c>
      <c r="L441" s="32">
        <v>1281.98</v>
      </c>
      <c r="M441" s="11"/>
      <c r="N441" s="22">
        <f>L441*M441</f>
        <v>0</v>
      </c>
      <c r="O441" s="25">
        <f>0.203*M441</f>
        <v>0</v>
      </c>
      <c r="P441" s="25">
        <f>0.001*M441</f>
        <v>0</v>
      </c>
      <c r="Q441" s="30"/>
      <c r="R441" s="22" t="s">
        <v>1489</v>
      </c>
      <c r="S441" s="22" t="s">
        <v>435</v>
      </c>
      <c r="T441" s="21" t="str">
        <f>HYPERLINK("https://miland.ru/api/getInfo/image/a758d2fa-9cf6-11eb-a201-ac1f6b442185")</f>
        <v>https://miland.ru/api/getInfo/image/a758d2fa-9cf6-11eb-a201-ac1f6b442185</v>
      </c>
      <c r="U441" s="21"/>
      <c r="V441" s="21" t="s">
        <v>878</v>
      </c>
      <c r="W441" s="21" t="s">
        <v>879</v>
      </c>
      <c r="X441" s="21" t="s">
        <v>172</v>
      </c>
      <c r="Y441" s="21" t="s">
        <v>173</v>
      </c>
      <c r="Z441" s="21" t="s">
        <v>1490</v>
      </c>
      <c r="AA441" s="21" t="str">
        <f>HYPERLINK("https://miland.ru/api/getInfo/item/a758d2fa-9cf6-11eb-a201-ac1f6b442185")</f>
        <v>https://miland.ru/api/getInfo/item/a758d2fa-9cf6-11eb-a201-ac1f6b442185</v>
      </c>
      <c r="AB441" s="21" t="s">
        <v>42</v>
      </c>
      <c r="AC441" s="21"/>
      <c r="AD441" s="21"/>
    </row>
    <row r="442" spans="2:31" s="1" customFormat="1" ht="96.3" customHeight="1" outlineLevel="7">
      <c r="B442" s="20">
        <v>298</v>
      </c>
      <c r="C442" s="21" t="s">
        <v>1491</v>
      </c>
      <c r="D442" s="72" t="s">
        <v>1492</v>
      </c>
      <c r="E442" s="72"/>
      <c r="F442" s="72"/>
      <c r="G442" s="72"/>
      <c r="H442" s="22" t="s">
        <v>1493</v>
      </c>
      <c r="I442" s="27">
        <v>5</v>
      </c>
      <c r="J442" s="22"/>
      <c r="K442" s="20">
        <v>1</v>
      </c>
      <c r="L442" s="32">
        <v>1062.5999999999999</v>
      </c>
      <c r="M442" s="11"/>
      <c r="N442" s="22">
        <f>L442*M442</f>
        <v>0</v>
      </c>
      <c r="O442" s="28">
        <f>0.14*M442</f>
        <v>0</v>
      </c>
      <c r="P442" s="26">
        <f>0.00076*M442</f>
        <v>0</v>
      </c>
      <c r="Q442" s="30"/>
      <c r="R442" s="22" t="s">
        <v>1494</v>
      </c>
      <c r="S442" s="22" t="s">
        <v>435</v>
      </c>
      <c r="T442" s="21" t="str">
        <f>HYPERLINK("https://miland.ru/api/getInfo/image/b98b205f-9e90-11eb-a201-ac1f6b442185")</f>
        <v>https://miland.ru/api/getInfo/image/b98b205f-9e90-11eb-a201-ac1f6b442185</v>
      </c>
      <c r="U442" s="21"/>
      <c r="V442" s="21" t="s">
        <v>878</v>
      </c>
      <c r="W442" s="21" t="s">
        <v>879</v>
      </c>
      <c r="X442" s="21" t="s">
        <v>172</v>
      </c>
      <c r="Y442" s="21" t="s">
        <v>173</v>
      </c>
      <c r="Z442" s="21" t="s">
        <v>1495</v>
      </c>
      <c r="AA442" s="21" t="str">
        <f>HYPERLINK("https://miland.ru/api/getInfo/item/b98b205f-9e90-11eb-a201-ac1f6b442185")</f>
        <v>https://miland.ru/api/getInfo/item/b98b205f-9e90-11eb-a201-ac1f6b442185</v>
      </c>
      <c r="AB442" s="21" t="s">
        <v>42</v>
      </c>
      <c r="AC442" s="21"/>
      <c r="AD442" s="21"/>
    </row>
    <row r="443" spans="2:31" s="1" customFormat="1" ht="96.3" customHeight="1" outlineLevel="7">
      <c r="B443" s="20">
        <v>299</v>
      </c>
      <c r="C443" s="21" t="s">
        <v>1496</v>
      </c>
      <c r="D443" s="72" t="s">
        <v>1497</v>
      </c>
      <c r="E443" s="72"/>
      <c r="F443" s="72"/>
      <c r="G443" s="72"/>
      <c r="H443" s="22" t="s">
        <v>1498</v>
      </c>
      <c r="I443" s="27">
        <v>7</v>
      </c>
      <c r="J443" s="22"/>
      <c r="K443" s="20">
        <v>1</v>
      </c>
      <c r="L443" s="32">
        <v>1748.15</v>
      </c>
      <c r="M443" s="11"/>
      <c r="N443" s="22">
        <f>L443*M443</f>
        <v>0</v>
      </c>
      <c r="O443" s="28">
        <f>0.18*M443</f>
        <v>0</v>
      </c>
      <c r="P443" s="26">
        <f>0.00076*M443</f>
        <v>0</v>
      </c>
      <c r="Q443" s="30"/>
      <c r="R443" s="22" t="s">
        <v>1499</v>
      </c>
      <c r="S443" s="22" t="s">
        <v>435</v>
      </c>
      <c r="T443" s="21" t="str">
        <f>HYPERLINK("https://miland.ru/api/getInfo/image/1a17d65a-9e94-11eb-a201-ac1f6b442185")</f>
        <v>https://miland.ru/api/getInfo/image/1a17d65a-9e94-11eb-a201-ac1f6b442185</v>
      </c>
      <c r="U443" s="21"/>
      <c r="V443" s="21" t="s">
        <v>878</v>
      </c>
      <c r="W443" s="21" t="s">
        <v>879</v>
      </c>
      <c r="X443" s="21" t="s">
        <v>172</v>
      </c>
      <c r="Y443" s="21" t="s">
        <v>173</v>
      </c>
      <c r="Z443" s="21" t="s">
        <v>1500</v>
      </c>
      <c r="AA443" s="21" t="str">
        <f>HYPERLINK("https://miland.ru/api/getInfo/item/1a17d65a-9e94-11eb-a201-ac1f6b442185")</f>
        <v>https://miland.ru/api/getInfo/item/1a17d65a-9e94-11eb-a201-ac1f6b442185</v>
      </c>
      <c r="AB443" s="21" t="s">
        <v>42</v>
      </c>
      <c r="AC443" s="21"/>
      <c r="AD443" s="21"/>
    </row>
    <row r="444" spans="2:31" ht="12" customHeight="1" outlineLevel="5">
      <c r="B444" s="70" t="s">
        <v>1501</v>
      </c>
      <c r="C444" s="70"/>
      <c r="D444" s="70"/>
      <c r="E444" s="70"/>
      <c r="F444" s="70"/>
      <c r="G444" s="70"/>
    </row>
    <row r="445" spans="2:31" ht="12" customHeight="1" outlineLevel="6">
      <c r="B445" s="70" t="s">
        <v>1501</v>
      </c>
      <c r="C445" s="70"/>
      <c r="D445" s="70"/>
      <c r="E445" s="70"/>
      <c r="F445" s="70"/>
      <c r="G445" s="70"/>
    </row>
    <row r="446" spans="2:31" s="1" customFormat="1" ht="96.3" customHeight="1" outlineLevel="7">
      <c r="B446" s="20">
        <v>300</v>
      </c>
      <c r="C446" s="21" t="s">
        <v>1502</v>
      </c>
      <c r="D446" s="72" t="s">
        <v>1503</v>
      </c>
      <c r="E446" s="72"/>
      <c r="F446" s="72"/>
      <c r="G446" s="72"/>
      <c r="H446" s="22" t="s">
        <v>1504</v>
      </c>
      <c r="I446" s="27">
        <v>74</v>
      </c>
      <c r="J446" s="22"/>
      <c r="K446" s="20">
        <v>12</v>
      </c>
      <c r="L446" s="24">
        <v>39.85</v>
      </c>
      <c r="M446" s="11"/>
      <c r="N446" s="22">
        <f t="shared" ref="N446:N452" si="21">L446*M446</f>
        <v>0</v>
      </c>
      <c r="O446" s="25">
        <f>0.024*M446</f>
        <v>0</v>
      </c>
      <c r="P446" s="26">
        <f>0.00014*M446</f>
        <v>0</v>
      </c>
      <c r="Q446" s="30"/>
      <c r="R446" s="22" t="s">
        <v>1505</v>
      </c>
      <c r="S446" s="22" t="s">
        <v>435</v>
      </c>
      <c r="T446" s="21" t="str">
        <f>HYPERLINK("https://miland.ru/api/getInfo/image/53261c1a-b153-11ee-a259-00155d82e908")</f>
        <v>https://miland.ru/api/getInfo/image/53261c1a-b153-11ee-a259-00155d82e908</v>
      </c>
      <c r="U446" s="21"/>
      <c r="V446" s="21" t="s">
        <v>1506</v>
      </c>
      <c r="W446" s="21" t="s">
        <v>1507</v>
      </c>
      <c r="X446" s="21"/>
      <c r="Y446" s="21" t="s">
        <v>41</v>
      </c>
      <c r="Z446" s="21"/>
      <c r="AA446" s="21" t="str">
        <f>HYPERLINK("https://miland.ru/api/getInfo/item/53261c1a-b153-11ee-a259-00155d82e908")</f>
        <v>https://miland.ru/api/getInfo/item/53261c1a-b153-11ee-a259-00155d82e908</v>
      </c>
      <c r="AB446" s="21" t="s">
        <v>42</v>
      </c>
      <c r="AC446" s="21" t="s">
        <v>1508</v>
      </c>
      <c r="AD446" s="21"/>
    </row>
    <row r="447" spans="2:31" s="1" customFormat="1" ht="96.3" customHeight="1" outlineLevel="7">
      <c r="B447" s="34">
        <v>301</v>
      </c>
      <c r="C447" s="35" t="s">
        <v>1509</v>
      </c>
      <c r="D447" s="73" t="s">
        <v>1510</v>
      </c>
      <c r="E447" s="73"/>
      <c r="F447" s="73"/>
      <c r="G447" s="73"/>
      <c r="H447" s="36" t="s">
        <v>1511</v>
      </c>
      <c r="I447" s="40">
        <v>5</v>
      </c>
      <c r="J447" s="36"/>
      <c r="K447" s="34">
        <v>5</v>
      </c>
      <c r="L447" s="41">
        <v>74.146666666666661</v>
      </c>
      <c r="M447" s="11"/>
      <c r="N447" s="36">
        <f t="shared" si="21"/>
        <v>0</v>
      </c>
      <c r="O447" s="42">
        <f>0.173*M447</f>
        <v>0</v>
      </c>
      <c r="P447" s="43">
        <f>0.00029*M447</f>
        <v>0</v>
      </c>
      <c r="Q447" s="50"/>
      <c r="R447" s="36" t="s">
        <v>1512</v>
      </c>
      <c r="S447" s="36" t="s">
        <v>435</v>
      </c>
      <c r="T447" s="35" t="str">
        <f>HYPERLINK("https://miland.ru/api/getInfo/image/00150953-04fe-11ee-a23b-00155d82e902")</f>
        <v>https://miland.ru/api/getInfo/image/00150953-04fe-11ee-a23b-00155d82e902</v>
      </c>
      <c r="U447" s="35"/>
      <c r="V447" s="35" t="s">
        <v>1513</v>
      </c>
      <c r="W447" s="35" t="s">
        <v>1514</v>
      </c>
      <c r="X447" s="35"/>
      <c r="Y447" s="35" t="s">
        <v>41</v>
      </c>
      <c r="Z447" s="35"/>
      <c r="AA447" s="35" t="str">
        <f>HYPERLINK("https://miland.ru/api/getInfo/item/00150953-04fe-11ee-a23b-00155d82e902")</f>
        <v>https://miland.ru/api/getInfo/item/00150953-04fe-11ee-a23b-00155d82e902</v>
      </c>
      <c r="AB447" s="35" t="s">
        <v>42</v>
      </c>
      <c r="AC447" s="35"/>
      <c r="AD447" s="35"/>
      <c r="AE447" s="52" t="s">
        <v>1251</v>
      </c>
    </row>
    <row r="448" spans="2:31" s="1" customFormat="1" ht="96.3" customHeight="1" outlineLevel="7">
      <c r="B448" s="20">
        <v>302</v>
      </c>
      <c r="C448" s="21" t="s">
        <v>1515</v>
      </c>
      <c r="D448" s="72" t="s">
        <v>1516</v>
      </c>
      <c r="E448" s="72"/>
      <c r="F448" s="72"/>
      <c r="G448" s="72"/>
      <c r="H448" s="22" t="s">
        <v>1517</v>
      </c>
      <c r="I448" s="23" t="s">
        <v>36</v>
      </c>
      <c r="J448" s="22"/>
      <c r="K448" s="20">
        <v>9</v>
      </c>
      <c r="L448" s="24">
        <v>54.85</v>
      </c>
      <c r="M448" s="11"/>
      <c r="N448" s="22">
        <f t="shared" si="21"/>
        <v>0</v>
      </c>
      <c r="O448" s="25">
        <f>0.013*M448</f>
        <v>0</v>
      </c>
      <c r="P448" s="26">
        <f>0.00015*M448</f>
        <v>0</v>
      </c>
      <c r="Q448" s="30"/>
      <c r="R448" s="22" t="s">
        <v>1518</v>
      </c>
      <c r="S448" s="22" t="s">
        <v>435</v>
      </c>
      <c r="T448" s="21" t="str">
        <f>HYPERLINK("https://miland.ru/api/getInfo/image/998aebbf-8b48-11ec-a211-ac1f6b442185")</f>
        <v>https://miland.ru/api/getInfo/image/998aebbf-8b48-11ec-a211-ac1f6b442185</v>
      </c>
      <c r="U448" s="21"/>
      <c r="V448" s="21" t="s">
        <v>1506</v>
      </c>
      <c r="W448" s="21" t="s">
        <v>1507</v>
      </c>
      <c r="X448" s="21"/>
      <c r="Y448" s="21" t="s">
        <v>41</v>
      </c>
      <c r="Z448" s="21"/>
      <c r="AA448" s="21" t="str">
        <f>HYPERLINK("https://miland.ru/api/getInfo/item/998aebbf-8b48-11ec-a211-ac1f6b442185")</f>
        <v>https://miland.ru/api/getInfo/item/998aebbf-8b48-11ec-a211-ac1f6b442185</v>
      </c>
      <c r="AB448" s="21" t="s">
        <v>42</v>
      </c>
      <c r="AC448" s="21" t="s">
        <v>1519</v>
      </c>
      <c r="AD448" s="21"/>
    </row>
    <row r="449" spans="2:31" s="1" customFormat="1" ht="96.3" customHeight="1" outlineLevel="7">
      <c r="B449" s="20">
        <v>303</v>
      </c>
      <c r="C449" s="21" t="s">
        <v>1520</v>
      </c>
      <c r="D449" s="72" t="s">
        <v>1521</v>
      </c>
      <c r="E449" s="72"/>
      <c r="F449" s="72"/>
      <c r="G449" s="72"/>
      <c r="H449" s="22" t="s">
        <v>1522</v>
      </c>
      <c r="I449" s="23" t="s">
        <v>36</v>
      </c>
      <c r="J449" s="22"/>
      <c r="K449" s="20">
        <v>2</v>
      </c>
      <c r="L449" s="24">
        <v>230.57</v>
      </c>
      <c r="M449" s="11"/>
      <c r="N449" s="22">
        <f t="shared" si="21"/>
        <v>0</v>
      </c>
      <c r="O449" s="25">
        <f>0.068*M449</f>
        <v>0</v>
      </c>
      <c r="P449" s="26">
        <f>0.00062*M449</f>
        <v>0</v>
      </c>
      <c r="Q449" s="30"/>
      <c r="R449" s="22" t="s">
        <v>1523</v>
      </c>
      <c r="S449" s="22" t="s">
        <v>435</v>
      </c>
      <c r="T449" s="21" t="str">
        <f>HYPERLINK("https://miland.ru/api/getInfo/image/101d2dd0-971f-11ed-a22d-00155d82e902")</f>
        <v>https://miland.ru/api/getInfo/image/101d2dd0-971f-11ed-a22d-00155d82e902</v>
      </c>
      <c r="U449" s="21"/>
      <c r="V449" s="21" t="s">
        <v>1506</v>
      </c>
      <c r="W449" s="21" t="s">
        <v>1507</v>
      </c>
      <c r="X449" s="21"/>
      <c r="Y449" s="21" t="s">
        <v>41</v>
      </c>
      <c r="Z449" s="21"/>
      <c r="AA449" s="21" t="str">
        <f>HYPERLINK("https://miland.ru/api/getInfo/item/101d2dd0-971f-11ed-a22d-00155d82e902")</f>
        <v>https://miland.ru/api/getInfo/item/101d2dd0-971f-11ed-a22d-00155d82e902</v>
      </c>
      <c r="AB449" s="21" t="s">
        <v>42</v>
      </c>
      <c r="AC449" s="21"/>
      <c r="AD449" s="21"/>
    </row>
    <row r="450" spans="2:31" s="1" customFormat="1" ht="96.3" customHeight="1" outlineLevel="7">
      <c r="B450" s="20">
        <v>304</v>
      </c>
      <c r="C450" s="21" t="s">
        <v>1524</v>
      </c>
      <c r="D450" s="72" t="s">
        <v>1525</v>
      </c>
      <c r="E450" s="72"/>
      <c r="F450" s="72"/>
      <c r="G450" s="72"/>
      <c r="H450" s="22" t="s">
        <v>1526</v>
      </c>
      <c r="I450" s="23" t="s">
        <v>36</v>
      </c>
      <c r="J450" s="22"/>
      <c r="K450" s="20">
        <v>2</v>
      </c>
      <c r="L450" s="24">
        <v>291.24</v>
      </c>
      <c r="M450" s="11"/>
      <c r="N450" s="22">
        <f t="shared" si="21"/>
        <v>0</v>
      </c>
      <c r="O450" s="25">
        <f>0.108*M450</f>
        <v>0</v>
      </c>
      <c r="P450" s="26">
        <f>0.00078*M450</f>
        <v>0</v>
      </c>
      <c r="Q450" s="30"/>
      <c r="R450" s="22" t="s">
        <v>1527</v>
      </c>
      <c r="S450" s="22" t="s">
        <v>435</v>
      </c>
      <c r="T450" s="21" t="str">
        <f>HYPERLINK("https://miland.ru/api/getInfo/image/3cb2408f-971f-11ed-a22d-00155d82e902")</f>
        <v>https://miland.ru/api/getInfo/image/3cb2408f-971f-11ed-a22d-00155d82e902</v>
      </c>
      <c r="U450" s="21"/>
      <c r="V450" s="21" t="s">
        <v>1506</v>
      </c>
      <c r="W450" s="21" t="s">
        <v>1507</v>
      </c>
      <c r="X450" s="21"/>
      <c r="Y450" s="21" t="s">
        <v>41</v>
      </c>
      <c r="Z450" s="21"/>
      <c r="AA450" s="21" t="str">
        <f>HYPERLINK("https://miland.ru/api/getInfo/item/3cb2408f-971f-11ed-a22d-00155d82e902")</f>
        <v>https://miland.ru/api/getInfo/item/3cb2408f-971f-11ed-a22d-00155d82e902</v>
      </c>
      <c r="AB450" s="21" t="s">
        <v>42</v>
      </c>
      <c r="AC450" s="21"/>
      <c r="AD450" s="21"/>
    </row>
    <row r="451" spans="2:31" s="1" customFormat="1" ht="96.3" customHeight="1" outlineLevel="7">
      <c r="B451" s="20">
        <v>305</v>
      </c>
      <c r="C451" s="21" t="s">
        <v>1528</v>
      </c>
      <c r="D451" s="72" t="s">
        <v>1529</v>
      </c>
      <c r="E451" s="72"/>
      <c r="F451" s="72"/>
      <c r="G451" s="72"/>
      <c r="H451" s="22" t="s">
        <v>1530</v>
      </c>
      <c r="I451" s="23" t="s">
        <v>36</v>
      </c>
      <c r="J451" s="22"/>
      <c r="K451" s="20">
        <v>7</v>
      </c>
      <c r="L451" s="24">
        <v>68.48</v>
      </c>
      <c r="M451" s="11"/>
      <c r="N451" s="22">
        <f t="shared" si="21"/>
        <v>0</v>
      </c>
      <c r="O451" s="25">
        <f>0.043*M451</f>
        <v>0</v>
      </c>
      <c r="P451" s="29">
        <f>0.0005*M451</f>
        <v>0</v>
      </c>
      <c r="Q451" s="30"/>
      <c r="R451" s="22" t="s">
        <v>1531</v>
      </c>
      <c r="S451" s="22" t="s">
        <v>435</v>
      </c>
      <c r="T451" s="21" t="str">
        <f>HYPERLINK("https://miland.ru/api/getInfo/image/0b1c2d83-9e87-11eb-a201-ac1f6b442185")</f>
        <v>https://miland.ru/api/getInfo/image/0b1c2d83-9e87-11eb-a201-ac1f6b442185</v>
      </c>
      <c r="U451" s="21"/>
      <c r="V451" s="21" t="s">
        <v>1513</v>
      </c>
      <c r="W451" s="21" t="s">
        <v>1514</v>
      </c>
      <c r="X451" s="21"/>
      <c r="Y451" s="21" t="s">
        <v>41</v>
      </c>
      <c r="Z451" s="21"/>
      <c r="AA451" s="21" t="str">
        <f>HYPERLINK("https://miland.ru/api/getInfo/item/0b1c2d83-9e87-11eb-a201-ac1f6b442185")</f>
        <v>https://miland.ru/api/getInfo/item/0b1c2d83-9e87-11eb-a201-ac1f6b442185</v>
      </c>
      <c r="AB451" s="21" t="s">
        <v>42</v>
      </c>
      <c r="AC451" s="21"/>
      <c r="AD451" s="21"/>
    </row>
    <row r="452" spans="2:31" s="1" customFormat="1" ht="96.3" customHeight="1" outlineLevel="7">
      <c r="B452" s="20">
        <v>306</v>
      </c>
      <c r="C452" s="21" t="s">
        <v>1532</v>
      </c>
      <c r="D452" s="72" t="s">
        <v>1533</v>
      </c>
      <c r="E452" s="72"/>
      <c r="F452" s="72"/>
      <c r="G452" s="72"/>
      <c r="H452" s="22" t="s">
        <v>1534</v>
      </c>
      <c r="I452" s="23" t="s">
        <v>36</v>
      </c>
      <c r="J452" s="22"/>
      <c r="K452" s="20">
        <v>6</v>
      </c>
      <c r="L452" s="24">
        <v>85.49</v>
      </c>
      <c r="M452" s="11"/>
      <c r="N452" s="22">
        <f t="shared" si="21"/>
        <v>0</v>
      </c>
      <c r="O452" s="25">
        <f>0.058*M452</f>
        <v>0</v>
      </c>
      <c r="P452" s="26">
        <f>0.00032*M452</f>
        <v>0</v>
      </c>
      <c r="Q452" s="30"/>
      <c r="R452" s="22" t="s">
        <v>1535</v>
      </c>
      <c r="S452" s="22" t="s">
        <v>435</v>
      </c>
      <c r="T452" s="21" t="str">
        <f>HYPERLINK("https://miland.ru/api/getInfo/image/309fbafd-9e87-11eb-a201-ac1f6b442185")</f>
        <v>https://miland.ru/api/getInfo/image/309fbafd-9e87-11eb-a201-ac1f6b442185</v>
      </c>
      <c r="U452" s="21"/>
      <c r="V452" s="21" t="s">
        <v>1513</v>
      </c>
      <c r="W452" s="21" t="s">
        <v>1514</v>
      </c>
      <c r="X452" s="21"/>
      <c r="Y452" s="21" t="s">
        <v>41</v>
      </c>
      <c r="Z452" s="21"/>
      <c r="AA452" s="21" t="str">
        <f>HYPERLINK("https://miland.ru/api/getInfo/item/309fbafd-9e87-11eb-a201-ac1f6b442185")</f>
        <v>https://miland.ru/api/getInfo/item/309fbafd-9e87-11eb-a201-ac1f6b442185</v>
      </c>
      <c r="AB452" s="21" t="s">
        <v>42</v>
      </c>
      <c r="AC452" s="21"/>
      <c r="AD452" s="21"/>
    </row>
    <row r="453" spans="2:31" ht="12" customHeight="1" outlineLevel="3">
      <c r="B453" s="70" t="s">
        <v>1536</v>
      </c>
      <c r="C453" s="70"/>
      <c r="D453" s="70"/>
      <c r="E453" s="70"/>
      <c r="F453" s="70"/>
      <c r="G453" s="70"/>
    </row>
    <row r="454" spans="2:31" ht="12" customHeight="1" outlineLevel="4">
      <c r="B454" s="70" t="s">
        <v>1537</v>
      </c>
      <c r="C454" s="70"/>
      <c r="D454" s="70"/>
      <c r="E454" s="70"/>
      <c r="F454" s="70"/>
      <c r="G454" s="70"/>
    </row>
    <row r="455" spans="2:31" s="1" customFormat="1" ht="96.3" customHeight="1" outlineLevel="5">
      <c r="B455" s="20">
        <v>307</v>
      </c>
      <c r="C455" s="21" t="s">
        <v>1538</v>
      </c>
      <c r="D455" s="72" t="s">
        <v>1539</v>
      </c>
      <c r="E455" s="72"/>
      <c r="F455" s="72"/>
      <c r="G455" s="72"/>
      <c r="H455" s="22" t="s">
        <v>1540</v>
      </c>
      <c r="I455" s="27">
        <v>104</v>
      </c>
      <c r="J455" s="22"/>
      <c r="K455" s="20">
        <v>1</v>
      </c>
      <c r="L455" s="24">
        <v>597.53</v>
      </c>
      <c r="M455" s="11"/>
      <c r="N455" s="22">
        <f>L455*M455</f>
        <v>0</v>
      </c>
      <c r="O455" s="25">
        <f>0.085*M455</f>
        <v>0</v>
      </c>
      <c r="P455" s="26">
        <f>0.00058*M455</f>
        <v>0</v>
      </c>
      <c r="Q455" s="30"/>
      <c r="R455" s="22" t="s">
        <v>1541</v>
      </c>
      <c r="S455" s="22" t="s">
        <v>435</v>
      </c>
      <c r="T455" s="21" t="str">
        <f>HYPERLINK("https://miland.ru/api/getInfo/image/06a1788b-3341-11ed-a216-ac1f6b442185")</f>
        <v>https://miland.ru/api/getInfo/image/06a1788b-3341-11ed-a216-ac1f6b442185</v>
      </c>
      <c r="U455" s="21"/>
      <c r="V455" s="21" t="s">
        <v>208</v>
      </c>
      <c r="W455" s="21" t="s">
        <v>82</v>
      </c>
      <c r="X455" s="21"/>
      <c r="Y455" s="21" t="s">
        <v>41</v>
      </c>
      <c r="Z455" s="21"/>
      <c r="AA455" s="21" t="str">
        <f>HYPERLINK("https://miland.ru/api/getInfo/item/06a1788b-3341-11ed-a216-ac1f6b442185")</f>
        <v>https://miland.ru/api/getInfo/item/06a1788b-3341-11ed-a216-ac1f6b442185</v>
      </c>
      <c r="AB455" s="21" t="s">
        <v>50</v>
      </c>
      <c r="AC455" s="21"/>
      <c r="AD455" s="21"/>
    </row>
    <row r="456" spans="2:31" s="1" customFormat="1" ht="96.3" customHeight="1" outlineLevel="5">
      <c r="B456" s="6">
        <v>308</v>
      </c>
      <c r="C456" s="7" t="s">
        <v>1542</v>
      </c>
      <c r="D456" s="71" t="s">
        <v>1543</v>
      </c>
      <c r="E456" s="71"/>
      <c r="F456" s="71"/>
      <c r="G456" s="71"/>
      <c r="H456" s="8" t="s">
        <v>1544</v>
      </c>
      <c r="I456" s="9" t="s">
        <v>36</v>
      </c>
      <c r="J456" s="8"/>
      <c r="K456" s="6">
        <v>1</v>
      </c>
      <c r="L456" s="10">
        <v>597.53</v>
      </c>
      <c r="M456" s="11"/>
      <c r="N456" s="8">
        <f>L456*M456</f>
        <v>0</v>
      </c>
      <c r="O456" s="12">
        <f>0.089*M456</f>
        <v>0</v>
      </c>
      <c r="P456" s="13">
        <f>0.00036*M456</f>
        <v>0</v>
      </c>
      <c r="Q456" s="17" t="s">
        <v>37</v>
      </c>
      <c r="R456" s="8" t="s">
        <v>1545</v>
      </c>
      <c r="S456" s="8"/>
      <c r="T456" s="7" t="str">
        <f>HYPERLINK("https://miland.ru/api/getInfo/image/2ea06efa-f20e-11f0-a28d-00155d82e908")</f>
        <v>https://miland.ru/api/getInfo/image/2ea06efa-f20e-11f0-a28d-00155d82e908</v>
      </c>
      <c r="U456" s="7"/>
      <c r="V456" s="7" t="s">
        <v>208</v>
      </c>
      <c r="W456" s="7" t="s">
        <v>82</v>
      </c>
      <c r="X456" s="7"/>
      <c r="Y456" s="7" t="s">
        <v>41</v>
      </c>
      <c r="Z456" s="7"/>
      <c r="AA456" s="7" t="str">
        <f>HYPERLINK("https://miland.ru/api/getInfo/item/2ea06efa-f20e-11f0-a28d-00155d82e908")</f>
        <v>https://miland.ru/api/getInfo/item/2ea06efa-f20e-11f0-a28d-00155d82e908</v>
      </c>
      <c r="AB456" s="7" t="s">
        <v>50</v>
      </c>
      <c r="AC456" s="7"/>
      <c r="AD456" s="7"/>
      <c r="AE456" s="54"/>
    </row>
    <row r="457" spans="2:31" ht="12" customHeight="1" outlineLevel="4">
      <c r="B457" s="70" t="s">
        <v>1546</v>
      </c>
      <c r="C457" s="70"/>
      <c r="D457" s="70"/>
      <c r="E457" s="70"/>
      <c r="F457" s="70"/>
      <c r="G457" s="70"/>
    </row>
    <row r="458" spans="2:31" s="1" customFormat="1" ht="96.3" customHeight="1" outlineLevel="5">
      <c r="B458" s="20">
        <v>309</v>
      </c>
      <c r="C458" s="21" t="s">
        <v>1547</v>
      </c>
      <c r="D458" s="72" t="s">
        <v>1548</v>
      </c>
      <c r="E458" s="72"/>
      <c r="F458" s="72"/>
      <c r="G458" s="72"/>
      <c r="H458" s="22" t="s">
        <v>1549</v>
      </c>
      <c r="I458" s="23" t="s">
        <v>36</v>
      </c>
      <c r="J458" s="22"/>
      <c r="K458" s="20">
        <v>6</v>
      </c>
      <c r="L458" s="24">
        <v>121.19</v>
      </c>
      <c r="M458" s="11"/>
      <c r="N458" s="22">
        <f>L458*M458</f>
        <v>0</v>
      </c>
      <c r="O458" s="25">
        <f>0.015*M458</f>
        <v>0</v>
      </c>
      <c r="P458" s="26">
        <f>0.00017*M458</f>
        <v>0</v>
      </c>
      <c r="Q458" s="30"/>
      <c r="R458" s="22" t="s">
        <v>1550</v>
      </c>
      <c r="S458" s="22"/>
      <c r="T458" s="21" t="str">
        <f>HYPERLINK("https://miland.ru/api/getInfo/image/939a7f30-b9c0-11ee-a25a-00155d82e908")</f>
        <v>https://miland.ru/api/getInfo/image/939a7f30-b9c0-11ee-a25a-00155d82e908</v>
      </c>
      <c r="U458" s="21"/>
      <c r="V458" s="21" t="s">
        <v>208</v>
      </c>
      <c r="W458" s="21" t="s">
        <v>82</v>
      </c>
      <c r="X458" s="21"/>
      <c r="Y458" s="21" t="s">
        <v>41</v>
      </c>
      <c r="Z458" s="21"/>
      <c r="AA458" s="21" t="str">
        <f>HYPERLINK("https://miland.ru/api/getInfo/item/939a7f30-b9c0-11ee-a25a-00155d82e908")</f>
        <v>https://miland.ru/api/getInfo/item/939a7f30-b9c0-11ee-a25a-00155d82e908</v>
      </c>
      <c r="AB458" s="21" t="s">
        <v>50</v>
      </c>
      <c r="AC458" s="21"/>
      <c r="AD458" s="21"/>
    </row>
    <row r="459" spans="2:31" s="1" customFormat="1" ht="96.3" customHeight="1" outlineLevel="5">
      <c r="B459" s="20">
        <v>310</v>
      </c>
      <c r="C459" s="21" t="s">
        <v>1551</v>
      </c>
      <c r="D459" s="72" t="s">
        <v>1552</v>
      </c>
      <c r="E459" s="72"/>
      <c r="F459" s="72"/>
      <c r="G459" s="72"/>
      <c r="H459" s="22" t="s">
        <v>1553</v>
      </c>
      <c r="I459" s="23" t="s">
        <v>36</v>
      </c>
      <c r="J459" s="22"/>
      <c r="K459" s="20">
        <v>6</v>
      </c>
      <c r="L459" s="24">
        <v>121.19</v>
      </c>
      <c r="M459" s="11"/>
      <c r="N459" s="22">
        <f>L459*M459</f>
        <v>0</v>
      </c>
      <c r="O459" s="25">
        <f>0.012*M459</f>
        <v>0</v>
      </c>
      <c r="P459" s="26">
        <f>0.00014*M459</f>
        <v>0</v>
      </c>
      <c r="Q459" s="30"/>
      <c r="R459" s="22" t="s">
        <v>1554</v>
      </c>
      <c r="S459" s="22"/>
      <c r="T459" s="21" t="str">
        <f>HYPERLINK("https://miland.ru/api/getInfo/image/6f1f864a-b9c0-11ee-a25a-00155d82e908")</f>
        <v>https://miland.ru/api/getInfo/image/6f1f864a-b9c0-11ee-a25a-00155d82e908</v>
      </c>
      <c r="U459" s="21"/>
      <c r="V459" s="21" t="s">
        <v>208</v>
      </c>
      <c r="W459" s="21" t="s">
        <v>82</v>
      </c>
      <c r="X459" s="21"/>
      <c r="Y459" s="21" t="s">
        <v>41</v>
      </c>
      <c r="Z459" s="21"/>
      <c r="AA459" s="21" t="str">
        <f>HYPERLINK("https://miland.ru/api/getInfo/item/6f1f864a-b9c0-11ee-a25a-00155d82e908")</f>
        <v>https://miland.ru/api/getInfo/item/6f1f864a-b9c0-11ee-a25a-00155d82e908</v>
      </c>
      <c r="AB459" s="21" t="s">
        <v>50</v>
      </c>
      <c r="AC459" s="21"/>
      <c r="AD459" s="21"/>
    </row>
    <row r="460" spans="2:31" s="1" customFormat="1" ht="96.3" customHeight="1" outlineLevel="5">
      <c r="B460" s="20">
        <v>311</v>
      </c>
      <c r="C460" s="21" t="s">
        <v>1555</v>
      </c>
      <c r="D460" s="72" t="s">
        <v>1556</v>
      </c>
      <c r="E460" s="72"/>
      <c r="F460" s="72"/>
      <c r="G460" s="72"/>
      <c r="H460" s="22" t="s">
        <v>1557</v>
      </c>
      <c r="I460" s="23" t="s">
        <v>36</v>
      </c>
      <c r="J460" s="22"/>
      <c r="K460" s="20">
        <v>6</v>
      </c>
      <c r="L460" s="24">
        <v>121.19</v>
      </c>
      <c r="M460" s="11"/>
      <c r="N460" s="22">
        <f>L460*M460</f>
        <v>0</v>
      </c>
      <c r="O460" s="25">
        <f>0.015*M460</f>
        <v>0</v>
      </c>
      <c r="P460" s="26">
        <f>0.00016*M460</f>
        <v>0</v>
      </c>
      <c r="Q460" s="30"/>
      <c r="R460" s="22" t="s">
        <v>1558</v>
      </c>
      <c r="S460" s="22"/>
      <c r="T460" s="21" t="str">
        <f>HYPERLINK("https://miland.ru/api/getInfo/image/4a5129d2-b9c0-11ee-a25a-00155d82e908")</f>
        <v>https://miland.ru/api/getInfo/image/4a5129d2-b9c0-11ee-a25a-00155d82e908</v>
      </c>
      <c r="U460" s="21"/>
      <c r="V460" s="21" t="s">
        <v>208</v>
      </c>
      <c r="W460" s="21" t="s">
        <v>82</v>
      </c>
      <c r="X460" s="21"/>
      <c r="Y460" s="21" t="s">
        <v>41</v>
      </c>
      <c r="Z460" s="21"/>
      <c r="AA460" s="21" t="str">
        <f>HYPERLINK("https://miland.ru/api/getInfo/item/4a5129d2-b9c0-11ee-a25a-00155d82e908")</f>
        <v>https://miland.ru/api/getInfo/item/4a5129d2-b9c0-11ee-a25a-00155d82e908</v>
      </c>
      <c r="AB460" s="21" t="s">
        <v>50</v>
      </c>
      <c r="AC460" s="21"/>
      <c r="AD460" s="21"/>
    </row>
    <row r="461" spans="2:31" s="1" customFormat="1" ht="96.3" customHeight="1" outlineLevel="5">
      <c r="B461" s="20">
        <v>312</v>
      </c>
      <c r="C461" s="21" t="s">
        <v>1559</v>
      </c>
      <c r="D461" s="72" t="s">
        <v>1560</v>
      </c>
      <c r="E461" s="72"/>
      <c r="F461" s="72"/>
      <c r="G461" s="72"/>
      <c r="H461" s="22" t="s">
        <v>1561</v>
      </c>
      <c r="I461" s="23" t="s">
        <v>36</v>
      </c>
      <c r="J461" s="22"/>
      <c r="K461" s="20">
        <v>6</v>
      </c>
      <c r="L461" s="24">
        <v>121.19</v>
      </c>
      <c r="M461" s="11"/>
      <c r="N461" s="22">
        <f>L461*M461</f>
        <v>0</v>
      </c>
      <c r="O461" s="25">
        <f>0.012*M461</f>
        <v>0</v>
      </c>
      <c r="P461" s="26">
        <f>0.00013*M461</f>
        <v>0</v>
      </c>
      <c r="Q461" s="30"/>
      <c r="R461" s="22" t="s">
        <v>1562</v>
      </c>
      <c r="S461" s="22"/>
      <c r="T461" s="21" t="str">
        <f>HYPERLINK("https://miland.ru/api/getInfo/image/30f03611-b9c0-11ee-a25a-00155d82e908")</f>
        <v>https://miland.ru/api/getInfo/image/30f03611-b9c0-11ee-a25a-00155d82e908</v>
      </c>
      <c r="U461" s="21"/>
      <c r="V461" s="21" t="s">
        <v>208</v>
      </c>
      <c r="W461" s="21" t="s">
        <v>82</v>
      </c>
      <c r="X461" s="21"/>
      <c r="Y461" s="21" t="s">
        <v>41</v>
      </c>
      <c r="Z461" s="21"/>
      <c r="AA461" s="21" t="str">
        <f>HYPERLINK("https://miland.ru/api/getInfo/item/30f03611-b9c0-11ee-a25a-00155d82e908")</f>
        <v>https://miland.ru/api/getInfo/item/30f03611-b9c0-11ee-a25a-00155d82e908</v>
      </c>
      <c r="AB461" s="21" t="s">
        <v>50</v>
      </c>
      <c r="AC461" s="21"/>
      <c r="AD461" s="21"/>
    </row>
    <row r="462" spans="2:31" ht="12" customHeight="1" outlineLevel="4">
      <c r="B462" s="70" t="s">
        <v>1563</v>
      </c>
      <c r="C462" s="70"/>
      <c r="D462" s="70"/>
      <c r="E462" s="70"/>
      <c r="F462" s="70"/>
      <c r="G462" s="70"/>
    </row>
    <row r="463" spans="2:31" s="1" customFormat="1" ht="96.3" customHeight="1" outlineLevel="5">
      <c r="B463" s="20">
        <v>313</v>
      </c>
      <c r="C463" s="21" t="s">
        <v>1564</v>
      </c>
      <c r="D463" s="72" t="s">
        <v>1565</v>
      </c>
      <c r="E463" s="72"/>
      <c r="F463" s="72"/>
      <c r="G463" s="72"/>
      <c r="H463" s="22" t="s">
        <v>1566</v>
      </c>
      <c r="I463" s="23" t="s">
        <v>36</v>
      </c>
      <c r="J463" s="22"/>
      <c r="K463" s="20">
        <v>18</v>
      </c>
      <c r="L463" s="24">
        <v>69.37</v>
      </c>
      <c r="M463" s="11"/>
      <c r="N463" s="22">
        <f>L463*M463</f>
        <v>0</v>
      </c>
      <c r="O463" s="25">
        <f>0.196*M463</f>
        <v>0</v>
      </c>
      <c r="P463" s="26">
        <f>0.00094*M463</f>
        <v>0</v>
      </c>
      <c r="Q463" s="30"/>
      <c r="R463" s="22" t="s">
        <v>1567</v>
      </c>
      <c r="S463" s="22"/>
      <c r="T463" s="21" t="str">
        <f>HYPERLINK("https://miland.ru/api/getInfo/image/e52ac062-a3bf-11ee-a258-00155d82e908")</f>
        <v>https://miland.ru/api/getInfo/image/e52ac062-a3bf-11ee-a258-00155d82e908</v>
      </c>
      <c r="U463" s="21"/>
      <c r="V463" s="21" t="s">
        <v>208</v>
      </c>
      <c r="W463" s="21" t="s">
        <v>82</v>
      </c>
      <c r="X463" s="21"/>
      <c r="Y463" s="21" t="s">
        <v>41</v>
      </c>
      <c r="Z463" s="21"/>
      <c r="AA463" s="21" t="str">
        <f>HYPERLINK("https://miland.ru/api/getInfo/item/e52ac062-a3bf-11ee-a258-00155d82e908")</f>
        <v>https://miland.ru/api/getInfo/item/e52ac062-a3bf-11ee-a258-00155d82e908</v>
      </c>
      <c r="AB463" s="21" t="s">
        <v>50</v>
      </c>
      <c r="AC463" s="21"/>
      <c r="AD463" s="21"/>
    </row>
    <row r="464" spans="2:31" s="1" customFormat="1" ht="96.3" customHeight="1" outlineLevel="5">
      <c r="B464" s="6">
        <v>314</v>
      </c>
      <c r="C464" s="7" t="s">
        <v>1568</v>
      </c>
      <c r="D464" s="71" t="s">
        <v>1569</v>
      </c>
      <c r="E464" s="71"/>
      <c r="F464" s="71"/>
      <c r="G464" s="71"/>
      <c r="H464" s="8" t="s">
        <v>1570</v>
      </c>
      <c r="I464" s="9" t="s">
        <v>36</v>
      </c>
      <c r="J464" s="8"/>
      <c r="K464" s="6">
        <v>18</v>
      </c>
      <c r="L464" s="10">
        <v>69.37</v>
      </c>
      <c r="M464" s="11"/>
      <c r="N464" s="8">
        <f>L464*M464</f>
        <v>0</v>
      </c>
      <c r="O464" s="12">
        <f>0.196*M464</f>
        <v>0</v>
      </c>
      <c r="P464" s="13">
        <f>0.00094*M464</f>
        <v>0</v>
      </c>
      <c r="Q464" s="17" t="s">
        <v>37</v>
      </c>
      <c r="R464" s="8" t="s">
        <v>1571</v>
      </c>
      <c r="S464" s="8"/>
      <c r="T464" s="7" t="str">
        <f>HYPERLINK("https://miland.ru/api/getInfo/image/6b2f8cf5-01b9-11f1-a28e-00155d82e908")</f>
        <v>https://miland.ru/api/getInfo/image/6b2f8cf5-01b9-11f1-a28e-00155d82e908</v>
      </c>
      <c r="U464" s="7"/>
      <c r="V464" s="7" t="s">
        <v>208</v>
      </c>
      <c r="W464" s="7" t="s">
        <v>82</v>
      </c>
      <c r="X464" s="7"/>
      <c r="Y464" s="7" t="s">
        <v>41</v>
      </c>
      <c r="Z464" s="7"/>
      <c r="AA464" s="7" t="str">
        <f>HYPERLINK("https://miland.ru/api/getInfo/item/6b2f8cf5-01b9-11f1-a28e-00155d82e908")</f>
        <v>https://miland.ru/api/getInfo/item/6b2f8cf5-01b9-11f1-a28e-00155d82e908</v>
      </c>
      <c r="AB464" s="7" t="s">
        <v>50</v>
      </c>
      <c r="AC464" s="7"/>
      <c r="AD464" s="7"/>
      <c r="AE464" s="54"/>
    </row>
    <row r="465" spans="2:30" s="1" customFormat="1" ht="96.3" customHeight="1" outlineLevel="5">
      <c r="B465" s="20">
        <v>315</v>
      </c>
      <c r="C465" s="21" t="s">
        <v>1572</v>
      </c>
      <c r="D465" s="72" t="s">
        <v>1573</v>
      </c>
      <c r="E465" s="72"/>
      <c r="F465" s="72"/>
      <c r="G465" s="72"/>
      <c r="H465" s="22" t="s">
        <v>1574</v>
      </c>
      <c r="I465" s="23" t="s">
        <v>36</v>
      </c>
      <c r="J465" s="22"/>
      <c r="K465" s="20">
        <v>15</v>
      </c>
      <c r="L465" s="24">
        <v>69.37</v>
      </c>
      <c r="M465" s="11"/>
      <c r="N465" s="22">
        <f>L465*M465</f>
        <v>0</v>
      </c>
      <c r="O465" s="25">
        <f>0.016*M465</f>
        <v>0</v>
      </c>
      <c r="P465" s="26">
        <f>0.00004*M465</f>
        <v>0</v>
      </c>
      <c r="Q465" s="30"/>
      <c r="R465" s="22" t="s">
        <v>1575</v>
      </c>
      <c r="S465" s="22"/>
      <c r="T465" s="21" t="str">
        <f>HYPERLINK("https://miland.ru/api/getInfo/image/431b3340-a3bf-11ee-a258-00155d82e908")</f>
        <v>https://miland.ru/api/getInfo/image/431b3340-a3bf-11ee-a258-00155d82e908</v>
      </c>
      <c r="U465" s="21"/>
      <c r="V465" s="21" t="s">
        <v>208</v>
      </c>
      <c r="W465" s="21" t="s">
        <v>82</v>
      </c>
      <c r="X465" s="21"/>
      <c r="Y465" s="21" t="s">
        <v>41</v>
      </c>
      <c r="Z465" s="21"/>
      <c r="AA465" s="21" t="str">
        <f>HYPERLINK("https://miland.ru/api/getInfo/item/431b3340-a3bf-11ee-a258-00155d82e908")</f>
        <v>https://miland.ru/api/getInfo/item/431b3340-a3bf-11ee-a258-00155d82e908</v>
      </c>
      <c r="AB465" s="21" t="s">
        <v>50</v>
      </c>
      <c r="AC465" s="21"/>
      <c r="AD465" s="21"/>
    </row>
    <row r="466" spans="2:30" s="1" customFormat="1" ht="96.3" customHeight="1" outlineLevel="5">
      <c r="B466" s="20">
        <v>316</v>
      </c>
      <c r="C466" s="21" t="s">
        <v>1576</v>
      </c>
      <c r="D466" s="72" t="s">
        <v>1577</v>
      </c>
      <c r="E466" s="72"/>
      <c r="F466" s="72"/>
      <c r="G466" s="72"/>
      <c r="H466" s="22" t="s">
        <v>1578</v>
      </c>
      <c r="I466" s="23" t="s">
        <v>36</v>
      </c>
      <c r="J466" s="22"/>
      <c r="K466" s="20">
        <v>20</v>
      </c>
      <c r="L466" s="24">
        <v>69.37</v>
      </c>
      <c r="M466" s="11"/>
      <c r="N466" s="22">
        <f>L466*M466</f>
        <v>0</v>
      </c>
      <c r="O466" s="25">
        <f>0.012*M466</f>
        <v>0</v>
      </c>
      <c r="P466" s="26">
        <f>0.00002*M466</f>
        <v>0</v>
      </c>
      <c r="Q466" s="30"/>
      <c r="R466" s="22" t="s">
        <v>1579</v>
      </c>
      <c r="S466" s="22"/>
      <c r="T466" s="21" t="str">
        <f>HYPERLINK("https://miland.ru/api/getInfo/image/5dbf656e-a3c0-11ee-a258-00155d82e908")</f>
        <v>https://miland.ru/api/getInfo/image/5dbf656e-a3c0-11ee-a258-00155d82e908</v>
      </c>
      <c r="U466" s="21"/>
      <c r="V466" s="21" t="s">
        <v>208</v>
      </c>
      <c r="W466" s="21" t="s">
        <v>82</v>
      </c>
      <c r="X466" s="21"/>
      <c r="Y466" s="21" t="s">
        <v>41</v>
      </c>
      <c r="Z466" s="21"/>
      <c r="AA466" s="21" t="str">
        <f>HYPERLINK("https://miland.ru/api/getInfo/item/5dbf656e-a3c0-11ee-a258-00155d82e908")</f>
        <v>https://miland.ru/api/getInfo/item/5dbf656e-a3c0-11ee-a258-00155d82e908</v>
      </c>
      <c r="AB466" s="21" t="s">
        <v>50</v>
      </c>
      <c r="AC466" s="21"/>
      <c r="AD466" s="21"/>
    </row>
    <row r="467" spans="2:30" s="1" customFormat="1" ht="96.3" customHeight="1" outlineLevel="5">
      <c r="B467" s="20">
        <v>317</v>
      </c>
      <c r="C467" s="21" t="s">
        <v>1580</v>
      </c>
      <c r="D467" s="72" t="s">
        <v>1581</v>
      </c>
      <c r="E467" s="72"/>
      <c r="F467" s="72"/>
      <c r="G467" s="72"/>
      <c r="H467" s="22" t="s">
        <v>1582</v>
      </c>
      <c r="I467" s="23" t="s">
        <v>36</v>
      </c>
      <c r="J467" s="22"/>
      <c r="K467" s="20">
        <v>15</v>
      </c>
      <c r="L467" s="24">
        <v>69.37</v>
      </c>
      <c r="M467" s="11"/>
      <c r="N467" s="22">
        <f>L467*M467</f>
        <v>0</v>
      </c>
      <c r="O467" s="25">
        <f>0.016*M467</f>
        <v>0</v>
      </c>
      <c r="P467" s="26">
        <f>0.00004*M467</f>
        <v>0</v>
      </c>
      <c r="Q467" s="30"/>
      <c r="R467" s="22" t="s">
        <v>1583</v>
      </c>
      <c r="S467" s="22"/>
      <c r="T467" s="21" t="str">
        <f>HYPERLINK("https://miland.ru/api/getInfo/image/4ed7329b-e043-11ed-a233-00155d82e902")</f>
        <v>https://miland.ru/api/getInfo/image/4ed7329b-e043-11ed-a233-00155d82e902</v>
      </c>
      <c r="U467" s="21"/>
      <c r="V467" s="21" t="s">
        <v>208</v>
      </c>
      <c r="W467" s="21" t="s">
        <v>82</v>
      </c>
      <c r="X467" s="21"/>
      <c r="Y467" s="21" t="s">
        <v>41</v>
      </c>
      <c r="Z467" s="21"/>
      <c r="AA467" s="21" t="str">
        <f>HYPERLINK("https://miland.ru/api/getInfo/item/4ed7329b-e043-11ed-a233-00155d82e902")</f>
        <v>https://miland.ru/api/getInfo/item/4ed7329b-e043-11ed-a233-00155d82e902</v>
      </c>
      <c r="AB467" s="21" t="s">
        <v>50</v>
      </c>
      <c r="AC467" s="21"/>
      <c r="AD467" s="21"/>
    </row>
    <row r="468" spans="2:30" ht="12" customHeight="1" outlineLevel="4">
      <c r="B468" s="70" t="s">
        <v>1584</v>
      </c>
      <c r="C468" s="70"/>
      <c r="D468" s="70"/>
      <c r="E468" s="70"/>
      <c r="F468" s="70"/>
      <c r="G468" s="70"/>
    </row>
    <row r="469" spans="2:30" s="1" customFormat="1" ht="96.3" customHeight="1" outlineLevel="5">
      <c r="B469" s="20">
        <v>318</v>
      </c>
      <c r="C469" s="21" t="s">
        <v>1585</v>
      </c>
      <c r="D469" s="72" t="s">
        <v>1586</v>
      </c>
      <c r="E469" s="72"/>
      <c r="F469" s="72"/>
      <c r="G469" s="72"/>
      <c r="H469" s="22" t="s">
        <v>1587</v>
      </c>
      <c r="I469" s="23" t="s">
        <v>36</v>
      </c>
      <c r="J469" s="22"/>
      <c r="K469" s="20">
        <v>10</v>
      </c>
      <c r="L469" s="24">
        <v>52.4</v>
      </c>
      <c r="M469" s="11"/>
      <c r="N469" s="22">
        <f>L469*M469</f>
        <v>0</v>
      </c>
      <c r="O469" s="25">
        <f>0.003*M469</f>
        <v>0</v>
      </c>
      <c r="P469" s="26">
        <f>0.00019*M469</f>
        <v>0</v>
      </c>
      <c r="Q469" s="30"/>
      <c r="R469" s="22" t="s">
        <v>1588</v>
      </c>
      <c r="S469" s="22" t="s">
        <v>435</v>
      </c>
      <c r="T469" s="21" t="str">
        <f>HYPERLINK("https://miland.ru/api/getInfo/image/2e3719b8-bfeb-11ec-a211-ac1f6b442185")</f>
        <v>https://miland.ru/api/getInfo/image/2e3719b8-bfeb-11ec-a211-ac1f6b442185</v>
      </c>
      <c r="U469" s="21"/>
      <c r="V469" s="21" t="s">
        <v>690</v>
      </c>
      <c r="W469" s="21" t="s">
        <v>691</v>
      </c>
      <c r="X469" s="21" t="s">
        <v>172</v>
      </c>
      <c r="Y469" s="21" t="s">
        <v>477</v>
      </c>
      <c r="Z469" s="21" t="s">
        <v>1589</v>
      </c>
      <c r="AA469" s="21" t="str">
        <f>HYPERLINK("https://miland.ru/api/getInfo/item/2e3719b8-bfeb-11ec-a211-ac1f6b442185")</f>
        <v>https://miland.ru/api/getInfo/item/2e3719b8-bfeb-11ec-a211-ac1f6b442185</v>
      </c>
      <c r="AB469" s="21" t="s">
        <v>50</v>
      </c>
      <c r="AC469" s="21"/>
      <c r="AD469" s="21"/>
    </row>
    <row r="470" spans="2:30" ht="24" customHeight="1" outlineLevel="4">
      <c r="B470" s="70" t="s">
        <v>1590</v>
      </c>
      <c r="C470" s="70"/>
      <c r="D470" s="70"/>
      <c r="E470" s="70"/>
      <c r="F470" s="70"/>
      <c r="G470" s="70"/>
    </row>
    <row r="471" spans="2:30" s="1" customFormat="1" ht="96.3" customHeight="1" outlineLevel="5">
      <c r="B471" s="20">
        <v>319</v>
      </c>
      <c r="C471" s="21" t="s">
        <v>1591</v>
      </c>
      <c r="D471" s="72" t="s">
        <v>1592</v>
      </c>
      <c r="E471" s="72"/>
      <c r="F471" s="72"/>
      <c r="G471" s="72"/>
      <c r="H471" s="22" t="s">
        <v>1593</v>
      </c>
      <c r="I471" s="23" t="s">
        <v>36</v>
      </c>
      <c r="J471" s="22"/>
      <c r="K471" s="20">
        <v>3</v>
      </c>
      <c r="L471" s="24">
        <v>212.18</v>
      </c>
      <c r="M471" s="11"/>
      <c r="N471" s="22">
        <f>L471*M471</f>
        <v>0</v>
      </c>
      <c r="O471" s="25">
        <f>0.024*M471</f>
        <v>0</v>
      </c>
      <c r="P471" s="26">
        <f>0.00031*M471</f>
        <v>0</v>
      </c>
      <c r="Q471" s="30"/>
      <c r="R471" s="22" t="s">
        <v>1594</v>
      </c>
      <c r="S471" s="22"/>
      <c r="T471" s="21" t="str">
        <f>HYPERLINK("https://miland.ru/api/getInfo/image/3ca6ffea-bbd2-11ec-a211-ac1f6b442185")</f>
        <v>https://miland.ru/api/getInfo/image/3ca6ffea-bbd2-11ec-a211-ac1f6b442185</v>
      </c>
      <c r="U471" s="21"/>
      <c r="V471" s="21" t="s">
        <v>208</v>
      </c>
      <c r="W471" s="21" t="s">
        <v>82</v>
      </c>
      <c r="X471" s="21" t="s">
        <v>307</v>
      </c>
      <c r="Y471" s="21" t="s">
        <v>41</v>
      </c>
      <c r="Z471" s="21"/>
      <c r="AA471" s="21" t="str">
        <f>HYPERLINK("https://miland.ru/api/getInfo/item/3ca6ffea-bbd2-11ec-a211-ac1f6b442185")</f>
        <v>https://miland.ru/api/getInfo/item/3ca6ffea-bbd2-11ec-a211-ac1f6b442185</v>
      </c>
      <c r="AB471" s="21" t="s">
        <v>50</v>
      </c>
      <c r="AC471" s="21"/>
      <c r="AD471" s="21"/>
    </row>
    <row r="472" spans="2:30" ht="12" customHeight="1" outlineLevel="4">
      <c r="B472" s="70" t="s">
        <v>1595</v>
      </c>
      <c r="C472" s="70"/>
      <c r="D472" s="70"/>
      <c r="E472" s="70"/>
      <c r="F472" s="70"/>
      <c r="G472" s="70"/>
    </row>
    <row r="473" spans="2:30" s="1" customFormat="1" ht="96.3" customHeight="1" outlineLevel="5">
      <c r="B473" s="20">
        <v>320</v>
      </c>
      <c r="C473" s="21" t="s">
        <v>1596</v>
      </c>
      <c r="D473" s="72" t="s">
        <v>1597</v>
      </c>
      <c r="E473" s="72"/>
      <c r="F473" s="72"/>
      <c r="G473" s="72"/>
      <c r="H473" s="22" t="s">
        <v>1598</v>
      </c>
      <c r="I473" s="27">
        <v>214</v>
      </c>
      <c r="J473" s="22"/>
      <c r="K473" s="20">
        <v>2</v>
      </c>
      <c r="L473" s="24">
        <v>355.47</v>
      </c>
      <c r="M473" s="11"/>
      <c r="N473" s="22">
        <f>L473*M473</f>
        <v>0</v>
      </c>
      <c r="O473" s="25">
        <f>0.049*M473</f>
        <v>0</v>
      </c>
      <c r="P473" s="29">
        <f>0.0007*M473</f>
        <v>0</v>
      </c>
      <c r="Q473" s="30"/>
      <c r="R473" s="22" t="s">
        <v>1599</v>
      </c>
      <c r="S473" s="22" t="s">
        <v>435</v>
      </c>
      <c r="T473" s="21" t="str">
        <f>HYPERLINK("https://miland.ru/api/getInfo/image/eca76fdf-ba95-11ee-a25a-00155d82e908")</f>
        <v>https://miland.ru/api/getInfo/image/eca76fdf-ba95-11ee-a25a-00155d82e908</v>
      </c>
      <c r="U473" s="21"/>
      <c r="V473" s="21"/>
      <c r="W473" s="21" t="s">
        <v>82</v>
      </c>
      <c r="X473" s="21"/>
      <c r="Y473" s="21" t="s">
        <v>41</v>
      </c>
      <c r="Z473" s="21"/>
      <c r="AA473" s="21" t="str">
        <f>HYPERLINK("https://miland.ru/api/getInfo/item/eca76fdf-ba95-11ee-a25a-00155d82e908")</f>
        <v>https://miland.ru/api/getInfo/item/eca76fdf-ba95-11ee-a25a-00155d82e908</v>
      </c>
      <c r="AB473" s="21" t="s">
        <v>42</v>
      </c>
      <c r="AC473" s="21" t="s">
        <v>1600</v>
      </c>
      <c r="AD473" s="21"/>
    </row>
    <row r="474" spans="2:30" s="1" customFormat="1" ht="96.3" customHeight="1" outlineLevel="5">
      <c r="B474" s="20">
        <v>321</v>
      </c>
      <c r="C474" s="21" t="s">
        <v>1601</v>
      </c>
      <c r="D474" s="72" t="s">
        <v>1602</v>
      </c>
      <c r="E474" s="72"/>
      <c r="F474" s="72"/>
      <c r="G474" s="72"/>
      <c r="H474" s="22" t="s">
        <v>1603</v>
      </c>
      <c r="I474" s="27">
        <v>321</v>
      </c>
      <c r="J474" s="22"/>
      <c r="K474" s="20">
        <v>2</v>
      </c>
      <c r="L474" s="24">
        <v>355.47</v>
      </c>
      <c r="M474" s="11"/>
      <c r="N474" s="22">
        <f>L474*M474</f>
        <v>0</v>
      </c>
      <c r="O474" s="25">
        <f>0.038*M474</f>
        <v>0</v>
      </c>
      <c r="P474" s="26">
        <f>0.00001*M474</f>
        <v>0</v>
      </c>
      <c r="Q474" s="30"/>
      <c r="R474" s="22" t="s">
        <v>1604</v>
      </c>
      <c r="S474" s="22" t="s">
        <v>435</v>
      </c>
      <c r="T474" s="21" t="str">
        <f>HYPERLINK("https://miland.ru/api/getInfo/image/0cf17661-ba96-11ee-a25a-00155d82e908")</f>
        <v>https://miland.ru/api/getInfo/image/0cf17661-ba96-11ee-a25a-00155d82e908</v>
      </c>
      <c r="U474" s="21"/>
      <c r="V474" s="21"/>
      <c r="W474" s="21" t="s">
        <v>82</v>
      </c>
      <c r="X474" s="21"/>
      <c r="Y474" s="21" t="s">
        <v>41</v>
      </c>
      <c r="Z474" s="21"/>
      <c r="AA474" s="21" t="str">
        <f>HYPERLINK("https://miland.ru/api/getInfo/item/0cf17661-ba96-11ee-a25a-00155d82e908")</f>
        <v>https://miland.ru/api/getInfo/item/0cf17661-ba96-11ee-a25a-00155d82e908</v>
      </c>
      <c r="AB474" s="21" t="s">
        <v>42</v>
      </c>
      <c r="AC474" s="21" t="s">
        <v>1600</v>
      </c>
      <c r="AD474" s="21"/>
    </row>
    <row r="475" spans="2:30" s="1" customFormat="1" ht="96.3" customHeight="1" outlineLevel="5">
      <c r="B475" s="20">
        <v>322</v>
      </c>
      <c r="C475" s="21" t="s">
        <v>1605</v>
      </c>
      <c r="D475" s="72" t="s">
        <v>1606</v>
      </c>
      <c r="E475" s="72"/>
      <c r="F475" s="72"/>
      <c r="G475" s="72"/>
      <c r="H475" s="22" t="s">
        <v>1607</v>
      </c>
      <c r="I475" s="27">
        <v>338</v>
      </c>
      <c r="J475" s="22"/>
      <c r="K475" s="20">
        <v>2</v>
      </c>
      <c r="L475" s="24">
        <v>355.47</v>
      </c>
      <c r="M475" s="11"/>
      <c r="N475" s="22">
        <f>L475*M475</f>
        <v>0</v>
      </c>
      <c r="O475" s="25">
        <f>0.046*M475</f>
        <v>0</v>
      </c>
      <c r="P475" s="26">
        <f>0.00027*M475</f>
        <v>0</v>
      </c>
      <c r="Q475" s="30"/>
      <c r="R475" s="22" t="s">
        <v>1608</v>
      </c>
      <c r="S475" s="22" t="s">
        <v>435</v>
      </c>
      <c r="T475" s="21" t="str">
        <f>HYPERLINK("https://miland.ru/api/getInfo/image/4994febc-ba96-11ee-a25a-00155d82e908")</f>
        <v>https://miland.ru/api/getInfo/image/4994febc-ba96-11ee-a25a-00155d82e908</v>
      </c>
      <c r="U475" s="21"/>
      <c r="V475" s="21"/>
      <c r="W475" s="21" t="s">
        <v>82</v>
      </c>
      <c r="X475" s="21"/>
      <c r="Y475" s="21" t="s">
        <v>41</v>
      </c>
      <c r="Z475" s="21"/>
      <c r="AA475" s="21" t="str">
        <f>HYPERLINK("https://miland.ru/api/getInfo/item/4994febc-ba96-11ee-a25a-00155d82e908")</f>
        <v>https://miland.ru/api/getInfo/item/4994febc-ba96-11ee-a25a-00155d82e908</v>
      </c>
      <c r="AB475" s="21" t="s">
        <v>42</v>
      </c>
      <c r="AC475" s="21" t="s">
        <v>1600</v>
      </c>
      <c r="AD475" s="21"/>
    </row>
    <row r="476" spans="2:30" ht="12" customHeight="1" outlineLevel="4">
      <c r="B476" s="70" t="s">
        <v>1609</v>
      </c>
      <c r="C476" s="70"/>
      <c r="D476" s="70"/>
      <c r="E476" s="70"/>
      <c r="F476" s="70"/>
      <c r="G476" s="70"/>
    </row>
    <row r="477" spans="2:30" ht="12" customHeight="1" outlineLevel="5">
      <c r="B477" s="70" t="s">
        <v>1610</v>
      </c>
      <c r="C477" s="70"/>
      <c r="D477" s="70"/>
      <c r="E477" s="70"/>
      <c r="F477" s="70"/>
      <c r="G477" s="70"/>
    </row>
    <row r="478" spans="2:30" s="1" customFormat="1" ht="96.3" customHeight="1" outlineLevel="6">
      <c r="B478" s="20">
        <v>323</v>
      </c>
      <c r="C478" s="21" t="s">
        <v>1611</v>
      </c>
      <c r="D478" s="72" t="s">
        <v>1612</v>
      </c>
      <c r="E478" s="72"/>
      <c r="F478" s="72"/>
      <c r="G478" s="72"/>
      <c r="H478" s="22" t="s">
        <v>1613</v>
      </c>
      <c r="I478" s="27">
        <v>8</v>
      </c>
      <c r="J478" s="22"/>
      <c r="K478" s="20">
        <v>3</v>
      </c>
      <c r="L478" s="24">
        <v>214.32</v>
      </c>
      <c r="M478" s="11"/>
      <c r="N478" s="22">
        <f>L478*M478</f>
        <v>0</v>
      </c>
      <c r="O478" s="25">
        <f>0.037*M478</f>
        <v>0</v>
      </c>
      <c r="P478" s="26">
        <f>0.00052*M478</f>
        <v>0</v>
      </c>
      <c r="Q478" s="30"/>
      <c r="R478" s="22" t="s">
        <v>1614</v>
      </c>
      <c r="S478" s="22" t="s">
        <v>435</v>
      </c>
      <c r="T478" s="21" t="str">
        <f>HYPERLINK("https://miland.ru/api/getInfo/image/b69a0b8c-b9ba-11ee-a25a-00155d82e908")</f>
        <v>https://miland.ru/api/getInfo/image/b69a0b8c-b9ba-11ee-a25a-00155d82e908</v>
      </c>
      <c r="U478" s="21"/>
      <c r="V478" s="21"/>
      <c r="W478" s="21" t="s">
        <v>82</v>
      </c>
      <c r="X478" s="21"/>
      <c r="Y478" s="21" t="s">
        <v>41</v>
      </c>
      <c r="Z478" s="21"/>
      <c r="AA478" s="21" t="str">
        <f>HYPERLINK("https://miland.ru/api/getInfo/item/b69a0b8c-b9ba-11ee-a25a-00155d82e908")</f>
        <v>https://miland.ru/api/getInfo/item/b69a0b8c-b9ba-11ee-a25a-00155d82e908</v>
      </c>
      <c r="AB478" s="21" t="s">
        <v>42</v>
      </c>
      <c r="AC478" s="21" t="s">
        <v>1615</v>
      </c>
      <c r="AD478" s="21"/>
    </row>
    <row r="479" spans="2:30" s="1" customFormat="1" ht="96.3" customHeight="1" outlineLevel="6">
      <c r="B479" s="20">
        <v>324</v>
      </c>
      <c r="C479" s="21" t="s">
        <v>1616</v>
      </c>
      <c r="D479" s="72" t="s">
        <v>1617</v>
      </c>
      <c r="E479" s="72"/>
      <c r="F479" s="72"/>
      <c r="G479" s="72"/>
      <c r="H479" s="22" t="s">
        <v>1618</v>
      </c>
      <c r="I479" s="27">
        <v>205</v>
      </c>
      <c r="J479" s="22"/>
      <c r="K479" s="20">
        <v>3</v>
      </c>
      <c r="L479" s="24">
        <v>214.32</v>
      </c>
      <c r="M479" s="11"/>
      <c r="N479" s="22">
        <f>L479*M479</f>
        <v>0</v>
      </c>
      <c r="O479" s="25">
        <f>0.038*M479</f>
        <v>0</v>
      </c>
      <c r="P479" s="26">
        <f>0.00052*M479</f>
        <v>0</v>
      </c>
      <c r="Q479" s="30"/>
      <c r="R479" s="22" t="s">
        <v>1619</v>
      </c>
      <c r="S479" s="22" t="s">
        <v>435</v>
      </c>
      <c r="T479" s="21" t="str">
        <f>HYPERLINK("https://miland.ru/api/getInfo/image/e4c6ea0b-b9ba-11ee-a25a-00155d82e908")</f>
        <v>https://miland.ru/api/getInfo/image/e4c6ea0b-b9ba-11ee-a25a-00155d82e908</v>
      </c>
      <c r="U479" s="21"/>
      <c r="V479" s="21"/>
      <c r="W479" s="21" t="s">
        <v>82</v>
      </c>
      <c r="X479" s="21"/>
      <c r="Y479" s="21" t="s">
        <v>41</v>
      </c>
      <c r="Z479" s="21"/>
      <c r="AA479" s="21" t="str">
        <f>HYPERLINK("https://miland.ru/api/getInfo/item/e4c6ea0b-b9ba-11ee-a25a-00155d82e908")</f>
        <v>https://miland.ru/api/getInfo/item/e4c6ea0b-b9ba-11ee-a25a-00155d82e908</v>
      </c>
      <c r="AB479" s="21" t="s">
        <v>42</v>
      </c>
      <c r="AC479" s="21" t="s">
        <v>1615</v>
      </c>
      <c r="AD479" s="21"/>
    </row>
    <row r="480" spans="2:30" ht="12" customHeight="1" outlineLevel="4">
      <c r="B480" s="70" t="s">
        <v>1620</v>
      </c>
      <c r="C480" s="70"/>
      <c r="D480" s="70"/>
      <c r="E480" s="70"/>
      <c r="F480" s="70"/>
      <c r="G480" s="70"/>
    </row>
    <row r="481" spans="2:30" s="1" customFormat="1" ht="96.3" customHeight="1" outlineLevel="5">
      <c r="B481" s="20">
        <v>325</v>
      </c>
      <c r="C481" s="21" t="s">
        <v>1621</v>
      </c>
      <c r="D481" s="72" t="s">
        <v>1622</v>
      </c>
      <c r="E481" s="72"/>
      <c r="F481" s="72"/>
      <c r="G481" s="72"/>
      <c r="H481" s="22" t="s">
        <v>1623</v>
      </c>
      <c r="I481" s="23" t="s">
        <v>36</v>
      </c>
      <c r="J481" s="22"/>
      <c r="K481" s="20">
        <v>1</v>
      </c>
      <c r="L481" s="24">
        <v>593.1</v>
      </c>
      <c r="M481" s="11"/>
      <c r="N481" s="22">
        <f>L481*M481</f>
        <v>0</v>
      </c>
      <c r="O481" s="25">
        <f>0.091*M481</f>
        <v>0</v>
      </c>
      <c r="P481" s="26">
        <f>0.00012*M481</f>
        <v>0</v>
      </c>
      <c r="Q481" s="30"/>
      <c r="R481" s="22" t="s">
        <v>1624</v>
      </c>
      <c r="S481" s="22"/>
      <c r="T481" s="21" t="str">
        <f>HYPERLINK("https://miland.ru/api/getInfo/image/f5282fb7-d32d-11ef-a26a-00155d82e908")</f>
        <v>https://miland.ru/api/getInfo/image/f5282fb7-d32d-11ef-a26a-00155d82e908</v>
      </c>
      <c r="U481" s="21"/>
      <c r="V481" s="21"/>
      <c r="W481" s="21"/>
      <c r="X481" s="21"/>
      <c r="Y481" s="21" t="s">
        <v>41</v>
      </c>
      <c r="Z481" s="21"/>
      <c r="AA481" s="21" t="str">
        <f>HYPERLINK("https://miland.ru/api/getInfo/item/f5282fb7-d32d-11ef-a26a-00155d82e908")</f>
        <v>https://miland.ru/api/getInfo/item/f5282fb7-d32d-11ef-a26a-00155d82e908</v>
      </c>
      <c r="AB481" s="21" t="s">
        <v>50</v>
      </c>
      <c r="AC481" s="21"/>
      <c r="AD481" s="21"/>
    </row>
    <row r="482" spans="2:30" ht="12" customHeight="1" outlineLevel="4">
      <c r="B482" s="70" t="s">
        <v>1625</v>
      </c>
      <c r="C482" s="70"/>
      <c r="D482" s="70"/>
      <c r="E482" s="70"/>
      <c r="F482" s="70"/>
      <c r="G482" s="70"/>
    </row>
    <row r="483" spans="2:30" s="1" customFormat="1" ht="96.3" customHeight="1" outlineLevel="5">
      <c r="B483" s="20">
        <v>326</v>
      </c>
      <c r="C483" s="21" t="s">
        <v>1626</v>
      </c>
      <c r="D483" s="72" t="s">
        <v>1627</v>
      </c>
      <c r="E483" s="72"/>
      <c r="F483" s="72"/>
      <c r="G483" s="72"/>
      <c r="H483" s="22" t="s">
        <v>1628</v>
      </c>
      <c r="I483" s="23" t="s">
        <v>36</v>
      </c>
      <c r="J483" s="22"/>
      <c r="K483" s="20">
        <v>1</v>
      </c>
      <c r="L483" s="24">
        <v>459.25</v>
      </c>
      <c r="M483" s="11"/>
      <c r="N483" s="22">
        <f t="shared" ref="N483:N490" si="22">L483*M483</f>
        <v>0</v>
      </c>
      <c r="O483" s="25">
        <f>0.232*M483</f>
        <v>0</v>
      </c>
      <c r="P483" s="26">
        <f>0.00031*M483</f>
        <v>0</v>
      </c>
      <c r="Q483" s="30"/>
      <c r="R483" s="22" t="s">
        <v>1629</v>
      </c>
      <c r="S483" s="22" t="s">
        <v>435</v>
      </c>
      <c r="T483" s="21" t="str">
        <f>HYPERLINK("https://miland.ru/api/getInfo/image/24d99f18-9713-11ed-a22d-00155d82e902")</f>
        <v>https://miland.ru/api/getInfo/image/24d99f18-9713-11ed-a22d-00155d82e902</v>
      </c>
      <c r="U483" s="21"/>
      <c r="V483" s="21"/>
      <c r="W483" s="21" t="s">
        <v>1630</v>
      </c>
      <c r="X483" s="21"/>
      <c r="Y483" s="21" t="s">
        <v>41</v>
      </c>
      <c r="Z483" s="21"/>
      <c r="AA483" s="21" t="str">
        <f>HYPERLINK("https://miland.ru/api/getInfo/item/24d99f18-9713-11ed-a22d-00155d82e902")</f>
        <v>https://miland.ru/api/getInfo/item/24d99f18-9713-11ed-a22d-00155d82e902</v>
      </c>
      <c r="AB483" s="21" t="s">
        <v>42</v>
      </c>
      <c r="AC483" s="21" t="s">
        <v>1631</v>
      </c>
      <c r="AD483" s="21"/>
    </row>
    <row r="484" spans="2:30" s="1" customFormat="1" ht="96.3" customHeight="1" outlineLevel="5">
      <c r="B484" s="20">
        <v>327</v>
      </c>
      <c r="C484" s="21" t="s">
        <v>1632</v>
      </c>
      <c r="D484" s="72" t="s">
        <v>1633</v>
      </c>
      <c r="E484" s="72"/>
      <c r="F484" s="72"/>
      <c r="G484" s="72"/>
      <c r="H484" s="22" t="s">
        <v>1634</v>
      </c>
      <c r="I484" s="27">
        <v>476</v>
      </c>
      <c r="J484" s="22"/>
      <c r="K484" s="20">
        <v>1</v>
      </c>
      <c r="L484" s="24">
        <v>459.25</v>
      </c>
      <c r="M484" s="11"/>
      <c r="N484" s="22">
        <f t="shared" si="22"/>
        <v>0</v>
      </c>
      <c r="O484" s="25">
        <f>0.234*M484</f>
        <v>0</v>
      </c>
      <c r="P484" s="26">
        <f>0.00032*M484</f>
        <v>0</v>
      </c>
      <c r="Q484" s="30"/>
      <c r="R484" s="22" t="s">
        <v>1635</v>
      </c>
      <c r="S484" s="22" t="s">
        <v>435</v>
      </c>
      <c r="T484" s="21" t="str">
        <f>HYPERLINK("https://miland.ru/api/getInfo/image/77888e63-9713-11ed-a22d-00155d82e902")</f>
        <v>https://miland.ru/api/getInfo/image/77888e63-9713-11ed-a22d-00155d82e902</v>
      </c>
      <c r="U484" s="21"/>
      <c r="V484" s="21"/>
      <c r="W484" s="21" t="s">
        <v>1630</v>
      </c>
      <c r="X484" s="21"/>
      <c r="Y484" s="21" t="s">
        <v>41</v>
      </c>
      <c r="Z484" s="21"/>
      <c r="AA484" s="21" t="str">
        <f>HYPERLINK("https://miland.ru/api/getInfo/item/77888e63-9713-11ed-a22d-00155d82e902")</f>
        <v>https://miland.ru/api/getInfo/item/77888e63-9713-11ed-a22d-00155d82e902</v>
      </c>
      <c r="AB484" s="21" t="s">
        <v>42</v>
      </c>
      <c r="AC484" s="21" t="s">
        <v>1631</v>
      </c>
      <c r="AD484" s="21"/>
    </row>
    <row r="485" spans="2:30" s="1" customFormat="1" ht="96.3" customHeight="1" outlineLevel="5">
      <c r="B485" s="20">
        <v>328</v>
      </c>
      <c r="C485" s="21" t="s">
        <v>1636</v>
      </c>
      <c r="D485" s="72" t="s">
        <v>1637</v>
      </c>
      <c r="E485" s="72"/>
      <c r="F485" s="72"/>
      <c r="G485" s="72"/>
      <c r="H485" s="22" t="s">
        <v>1638</v>
      </c>
      <c r="I485" s="23" t="s">
        <v>36</v>
      </c>
      <c r="J485" s="22"/>
      <c r="K485" s="20">
        <v>1</v>
      </c>
      <c r="L485" s="24">
        <v>459.25</v>
      </c>
      <c r="M485" s="11"/>
      <c r="N485" s="22">
        <f t="shared" si="22"/>
        <v>0</v>
      </c>
      <c r="O485" s="25">
        <f>0.226*M485</f>
        <v>0</v>
      </c>
      <c r="P485" s="26">
        <f>0.00031*M485</f>
        <v>0</v>
      </c>
      <c r="Q485" s="30"/>
      <c r="R485" s="22" t="s">
        <v>1639</v>
      </c>
      <c r="S485" s="22" t="s">
        <v>435</v>
      </c>
      <c r="T485" s="21" t="str">
        <f>HYPERLINK("https://miland.ru/api/getInfo/image/d7baf870-9713-11ed-a22d-00155d82e902")</f>
        <v>https://miland.ru/api/getInfo/image/d7baf870-9713-11ed-a22d-00155d82e902</v>
      </c>
      <c r="U485" s="21"/>
      <c r="V485" s="21"/>
      <c r="W485" s="21" t="s">
        <v>1630</v>
      </c>
      <c r="X485" s="21"/>
      <c r="Y485" s="21" t="s">
        <v>41</v>
      </c>
      <c r="Z485" s="21"/>
      <c r="AA485" s="21" t="str">
        <f>HYPERLINK("https://miland.ru/api/getInfo/item/d7baf870-9713-11ed-a22d-00155d82e902")</f>
        <v>https://miland.ru/api/getInfo/item/d7baf870-9713-11ed-a22d-00155d82e902</v>
      </c>
      <c r="AB485" s="21" t="s">
        <v>42</v>
      </c>
      <c r="AC485" s="21" t="s">
        <v>1631</v>
      </c>
      <c r="AD485" s="21"/>
    </row>
    <row r="486" spans="2:30" s="1" customFormat="1" ht="96.3" customHeight="1" outlineLevel="5">
      <c r="B486" s="20">
        <v>329</v>
      </c>
      <c r="C486" s="21" t="s">
        <v>1640</v>
      </c>
      <c r="D486" s="72" t="s">
        <v>1641</v>
      </c>
      <c r="E486" s="72"/>
      <c r="F486" s="72"/>
      <c r="G486" s="72"/>
      <c r="H486" s="22" t="s">
        <v>1642</v>
      </c>
      <c r="I486" s="27">
        <v>372</v>
      </c>
      <c r="J486" s="22"/>
      <c r="K486" s="20">
        <v>1</v>
      </c>
      <c r="L486" s="24">
        <v>459.25</v>
      </c>
      <c r="M486" s="11"/>
      <c r="N486" s="22">
        <f t="shared" si="22"/>
        <v>0</v>
      </c>
      <c r="O486" s="28">
        <f>0.23*M486</f>
        <v>0</v>
      </c>
      <c r="P486" s="26">
        <f>0.00033*M486</f>
        <v>0</v>
      </c>
      <c r="Q486" s="30"/>
      <c r="R486" s="22" t="s">
        <v>1643</v>
      </c>
      <c r="S486" s="22" t="s">
        <v>435</v>
      </c>
      <c r="T486" s="21" t="str">
        <f>HYPERLINK("https://miland.ru/api/getInfo/image/b910bd86-9714-11ed-a22d-00155d82e902")</f>
        <v>https://miland.ru/api/getInfo/image/b910bd86-9714-11ed-a22d-00155d82e902</v>
      </c>
      <c r="U486" s="21"/>
      <c r="V486" s="21"/>
      <c r="W486" s="21" t="s">
        <v>1630</v>
      </c>
      <c r="X486" s="21"/>
      <c r="Y486" s="21" t="s">
        <v>41</v>
      </c>
      <c r="Z486" s="21"/>
      <c r="AA486" s="21" t="str">
        <f>HYPERLINK("https://miland.ru/api/getInfo/item/b910bd86-9714-11ed-a22d-00155d82e902")</f>
        <v>https://miland.ru/api/getInfo/item/b910bd86-9714-11ed-a22d-00155d82e902</v>
      </c>
      <c r="AB486" s="21" t="s">
        <v>42</v>
      </c>
      <c r="AC486" s="21" t="s">
        <v>1631</v>
      </c>
      <c r="AD486" s="21"/>
    </row>
    <row r="487" spans="2:30" s="1" customFormat="1" ht="96.3" customHeight="1" outlineLevel="5">
      <c r="B487" s="20">
        <v>330</v>
      </c>
      <c r="C487" s="21" t="s">
        <v>1644</v>
      </c>
      <c r="D487" s="72" t="s">
        <v>1645</v>
      </c>
      <c r="E487" s="72"/>
      <c r="F487" s="72"/>
      <c r="G487" s="72"/>
      <c r="H487" s="22" t="s">
        <v>1646</v>
      </c>
      <c r="I487" s="23" t="s">
        <v>36</v>
      </c>
      <c r="J487" s="22"/>
      <c r="K487" s="20">
        <v>1</v>
      </c>
      <c r="L487" s="24">
        <v>459.25</v>
      </c>
      <c r="M487" s="11"/>
      <c r="N487" s="22">
        <f t="shared" si="22"/>
        <v>0</v>
      </c>
      <c r="O487" s="25">
        <f>0.235*M487</f>
        <v>0</v>
      </c>
      <c r="P487" s="26">
        <f>0.00032*M487</f>
        <v>0</v>
      </c>
      <c r="Q487" s="30"/>
      <c r="R487" s="22" t="s">
        <v>1647</v>
      </c>
      <c r="S487" s="22" t="s">
        <v>435</v>
      </c>
      <c r="T487" s="21" t="str">
        <f>HYPERLINK("https://miland.ru/api/getInfo/image/5015ffcb-9714-11ed-a22d-00155d82e902")</f>
        <v>https://miland.ru/api/getInfo/image/5015ffcb-9714-11ed-a22d-00155d82e902</v>
      </c>
      <c r="U487" s="21"/>
      <c r="V487" s="21"/>
      <c r="W487" s="21" t="s">
        <v>1630</v>
      </c>
      <c r="X487" s="21"/>
      <c r="Y487" s="21" t="s">
        <v>41</v>
      </c>
      <c r="Z487" s="21"/>
      <c r="AA487" s="21" t="str">
        <f>HYPERLINK("https://miland.ru/api/getInfo/item/5015ffcb-9714-11ed-a22d-00155d82e902")</f>
        <v>https://miland.ru/api/getInfo/item/5015ffcb-9714-11ed-a22d-00155d82e902</v>
      </c>
      <c r="AB487" s="21" t="s">
        <v>42</v>
      </c>
      <c r="AC487" s="21" t="s">
        <v>1631</v>
      </c>
      <c r="AD487" s="21"/>
    </row>
    <row r="488" spans="2:30" s="1" customFormat="1" ht="96.3" customHeight="1" outlineLevel="5">
      <c r="B488" s="20">
        <v>331</v>
      </c>
      <c r="C488" s="21" t="s">
        <v>1648</v>
      </c>
      <c r="D488" s="72" t="s">
        <v>1649</v>
      </c>
      <c r="E488" s="72"/>
      <c r="F488" s="72"/>
      <c r="G488" s="72"/>
      <c r="H488" s="22" t="s">
        <v>1650</v>
      </c>
      <c r="I488" s="23" t="s">
        <v>36</v>
      </c>
      <c r="J488" s="22"/>
      <c r="K488" s="20">
        <v>1</v>
      </c>
      <c r="L488" s="24">
        <v>459.25</v>
      </c>
      <c r="M488" s="11"/>
      <c r="N488" s="22">
        <f t="shared" si="22"/>
        <v>0</v>
      </c>
      <c r="O488" s="28">
        <f>0.23*M488</f>
        <v>0</v>
      </c>
      <c r="P488" s="26">
        <f>0.00033*M488</f>
        <v>0</v>
      </c>
      <c r="Q488" s="30"/>
      <c r="R488" s="22" t="s">
        <v>1651</v>
      </c>
      <c r="S488" s="22" t="s">
        <v>435</v>
      </c>
      <c r="T488" s="21" t="str">
        <f>HYPERLINK("https://miland.ru/api/getInfo/image/28d23bd8-9714-11ed-a22d-00155d82e902")</f>
        <v>https://miland.ru/api/getInfo/image/28d23bd8-9714-11ed-a22d-00155d82e902</v>
      </c>
      <c r="U488" s="21"/>
      <c r="V488" s="21"/>
      <c r="W488" s="21" t="s">
        <v>1630</v>
      </c>
      <c r="X488" s="21"/>
      <c r="Y488" s="21" t="s">
        <v>41</v>
      </c>
      <c r="Z488" s="21"/>
      <c r="AA488" s="21" t="str">
        <f>HYPERLINK("https://miland.ru/api/getInfo/item/28d23bd8-9714-11ed-a22d-00155d82e902")</f>
        <v>https://miland.ru/api/getInfo/item/28d23bd8-9714-11ed-a22d-00155d82e902</v>
      </c>
      <c r="AB488" s="21" t="s">
        <v>42</v>
      </c>
      <c r="AC488" s="21" t="s">
        <v>1631</v>
      </c>
      <c r="AD488" s="21"/>
    </row>
    <row r="489" spans="2:30" s="1" customFormat="1" ht="96.3" customHeight="1" outlineLevel="5">
      <c r="B489" s="20">
        <v>332</v>
      </c>
      <c r="C489" s="21" t="s">
        <v>1652</v>
      </c>
      <c r="D489" s="72" t="s">
        <v>1653</v>
      </c>
      <c r="E489" s="72"/>
      <c r="F489" s="72"/>
      <c r="G489" s="72"/>
      <c r="H489" s="22" t="s">
        <v>1654</v>
      </c>
      <c r="I489" s="23" t="s">
        <v>36</v>
      </c>
      <c r="J489" s="22"/>
      <c r="K489" s="20">
        <v>1</v>
      </c>
      <c r="L489" s="24">
        <v>459.25</v>
      </c>
      <c r="M489" s="11"/>
      <c r="N489" s="22">
        <f t="shared" si="22"/>
        <v>0</v>
      </c>
      <c r="O489" s="25">
        <f>0.225*M489</f>
        <v>0</v>
      </c>
      <c r="P489" s="26">
        <f>0.00032*M489</f>
        <v>0</v>
      </c>
      <c r="Q489" s="30"/>
      <c r="R489" s="22" t="s">
        <v>1655</v>
      </c>
      <c r="S489" s="22" t="s">
        <v>435</v>
      </c>
      <c r="T489" s="21" t="str">
        <f>HYPERLINK("https://miland.ru/api/getInfo/image/fb4514bc-9713-11ed-a22d-00155d82e902")</f>
        <v>https://miland.ru/api/getInfo/image/fb4514bc-9713-11ed-a22d-00155d82e902</v>
      </c>
      <c r="U489" s="21"/>
      <c r="V489" s="21"/>
      <c r="W489" s="21" t="s">
        <v>1630</v>
      </c>
      <c r="X489" s="21"/>
      <c r="Y489" s="21" t="s">
        <v>41</v>
      </c>
      <c r="Z489" s="21"/>
      <c r="AA489" s="21" t="str">
        <f>HYPERLINK("https://miland.ru/api/getInfo/item/fb4514bc-9713-11ed-a22d-00155d82e902")</f>
        <v>https://miland.ru/api/getInfo/item/fb4514bc-9713-11ed-a22d-00155d82e902</v>
      </c>
      <c r="AB489" s="21" t="s">
        <v>42</v>
      </c>
      <c r="AC489" s="21" t="s">
        <v>1631</v>
      </c>
      <c r="AD489" s="21"/>
    </row>
    <row r="490" spans="2:30" s="1" customFormat="1" ht="96.3" customHeight="1" outlineLevel="5">
      <c r="B490" s="20">
        <v>333</v>
      </c>
      <c r="C490" s="21" t="s">
        <v>1656</v>
      </c>
      <c r="D490" s="72" t="s">
        <v>1657</v>
      </c>
      <c r="E490" s="72"/>
      <c r="F490" s="72"/>
      <c r="G490" s="72"/>
      <c r="H490" s="22" t="s">
        <v>1658</v>
      </c>
      <c r="I490" s="27">
        <v>497</v>
      </c>
      <c r="J490" s="22"/>
      <c r="K490" s="20">
        <v>1</v>
      </c>
      <c r="L490" s="24">
        <v>459.25</v>
      </c>
      <c r="M490" s="11"/>
      <c r="N490" s="22">
        <f t="shared" si="22"/>
        <v>0</v>
      </c>
      <c r="O490" s="25">
        <f>0.228*M490</f>
        <v>0</v>
      </c>
      <c r="P490" s="26">
        <f>0.00031*M490</f>
        <v>0</v>
      </c>
      <c r="Q490" s="30"/>
      <c r="R490" s="22" t="s">
        <v>1659</v>
      </c>
      <c r="S490" s="22" t="s">
        <v>435</v>
      </c>
      <c r="T490" s="21" t="str">
        <f>HYPERLINK("https://miland.ru/api/getInfo/image/7e3e1a60-9714-11ed-a22d-00155d82e902")</f>
        <v>https://miland.ru/api/getInfo/image/7e3e1a60-9714-11ed-a22d-00155d82e902</v>
      </c>
      <c r="U490" s="21"/>
      <c r="V490" s="21"/>
      <c r="W490" s="21" t="s">
        <v>1630</v>
      </c>
      <c r="X490" s="21"/>
      <c r="Y490" s="21" t="s">
        <v>41</v>
      </c>
      <c r="Z490" s="21"/>
      <c r="AA490" s="21" t="str">
        <f>HYPERLINK("https://miland.ru/api/getInfo/item/7e3e1a60-9714-11ed-a22d-00155d82e902")</f>
        <v>https://miland.ru/api/getInfo/item/7e3e1a60-9714-11ed-a22d-00155d82e902</v>
      </c>
      <c r="AB490" s="21" t="s">
        <v>42</v>
      </c>
      <c r="AC490" s="21" t="s">
        <v>1631</v>
      </c>
      <c r="AD490" s="21"/>
    </row>
    <row r="491" spans="2:30" ht="12" customHeight="1" outlineLevel="3">
      <c r="B491" s="70" t="s">
        <v>1660</v>
      </c>
      <c r="C491" s="70"/>
      <c r="D491" s="70"/>
      <c r="E491" s="70"/>
      <c r="F491" s="70"/>
      <c r="G491" s="70"/>
    </row>
    <row r="492" spans="2:30" ht="12" customHeight="1" outlineLevel="4">
      <c r="B492" s="70" t="s">
        <v>1661</v>
      </c>
      <c r="C492" s="70"/>
      <c r="D492" s="70"/>
      <c r="E492" s="70"/>
      <c r="F492" s="70"/>
      <c r="G492" s="70"/>
    </row>
    <row r="493" spans="2:30" s="1" customFormat="1" ht="96.3" customHeight="1" outlineLevel="5">
      <c r="B493" s="20">
        <v>334</v>
      </c>
      <c r="C493" s="21" t="s">
        <v>1662</v>
      </c>
      <c r="D493" s="72" t="s">
        <v>1663</v>
      </c>
      <c r="E493" s="72"/>
      <c r="F493" s="72"/>
      <c r="G493" s="72"/>
      <c r="H493" s="22" t="s">
        <v>1664</v>
      </c>
      <c r="I493" s="23" t="s">
        <v>36</v>
      </c>
      <c r="J493" s="22"/>
      <c r="K493" s="20">
        <v>1</v>
      </c>
      <c r="L493" s="24">
        <v>543.27</v>
      </c>
      <c r="M493" s="11"/>
      <c r="N493" s="22">
        <f>L493*M493</f>
        <v>0</v>
      </c>
      <c r="O493" s="25">
        <f>0.229*M493</f>
        <v>0</v>
      </c>
      <c r="P493" s="26">
        <f>0.00114*M493</f>
        <v>0</v>
      </c>
      <c r="Q493" s="30"/>
      <c r="R493" s="22" t="s">
        <v>1665</v>
      </c>
      <c r="S493" s="22"/>
      <c r="T493" s="21" t="str">
        <f>HYPERLINK("https://miland.ru/api/getInfo/image/f2432cb6-b3e7-11ec-a211-ac1f6b442185")</f>
        <v>https://miland.ru/api/getInfo/image/f2432cb6-b3e7-11ec-a211-ac1f6b442185</v>
      </c>
      <c r="U493" s="21"/>
      <c r="V493" s="21"/>
      <c r="W493" s="21" t="s">
        <v>1666</v>
      </c>
      <c r="X493" s="21"/>
      <c r="Y493" s="21" t="s">
        <v>41</v>
      </c>
      <c r="Z493" s="21"/>
      <c r="AA493" s="21" t="str">
        <f>HYPERLINK("https://miland.ru/api/getInfo/item/f2432cb6-b3e7-11ec-a211-ac1f6b442185")</f>
        <v>https://miland.ru/api/getInfo/item/f2432cb6-b3e7-11ec-a211-ac1f6b442185</v>
      </c>
      <c r="AB493" s="21" t="s">
        <v>50</v>
      </c>
      <c r="AC493" s="21"/>
      <c r="AD493" s="21"/>
    </row>
    <row r="494" spans="2:30" s="1" customFormat="1" ht="96.3" customHeight="1" outlineLevel="5">
      <c r="B494" s="20">
        <v>335</v>
      </c>
      <c r="C494" s="21" t="s">
        <v>1667</v>
      </c>
      <c r="D494" s="72" t="s">
        <v>1668</v>
      </c>
      <c r="E494" s="72"/>
      <c r="F494" s="72"/>
      <c r="G494" s="72"/>
      <c r="H494" s="22" t="s">
        <v>1669</v>
      </c>
      <c r="I494" s="27">
        <v>484</v>
      </c>
      <c r="J494" s="22"/>
      <c r="K494" s="20">
        <v>1</v>
      </c>
      <c r="L494" s="24">
        <v>530.02</v>
      </c>
      <c r="M494" s="11"/>
      <c r="N494" s="22">
        <f>L494*M494</f>
        <v>0</v>
      </c>
      <c r="O494" s="25">
        <f>0.225*M494</f>
        <v>0</v>
      </c>
      <c r="P494" s="26">
        <f>0.00118*M494</f>
        <v>0</v>
      </c>
      <c r="Q494" s="30"/>
      <c r="R494" s="22" t="s">
        <v>1670</v>
      </c>
      <c r="S494" s="22"/>
      <c r="T494" s="21" t="str">
        <f>HYPERLINK("https://miland.ru/api/getInfo/image/08325218-0c50-11ef-a25d-00155d82e908")</f>
        <v>https://miland.ru/api/getInfo/image/08325218-0c50-11ef-a25d-00155d82e908</v>
      </c>
      <c r="U494" s="21"/>
      <c r="V494" s="21"/>
      <c r="W494" s="21" t="s">
        <v>1666</v>
      </c>
      <c r="X494" s="21"/>
      <c r="Y494" s="21" t="s">
        <v>41</v>
      </c>
      <c r="Z494" s="21"/>
      <c r="AA494" s="21" t="str">
        <f>HYPERLINK("https://miland.ru/api/getInfo/item/08325218-0c50-11ef-a25d-00155d82e908")</f>
        <v>https://miland.ru/api/getInfo/item/08325218-0c50-11ef-a25d-00155d82e908</v>
      </c>
      <c r="AB494" s="21" t="s">
        <v>50</v>
      </c>
      <c r="AC494" s="21"/>
      <c r="AD494" s="21"/>
    </row>
    <row r="495" spans="2:30" ht="12" customHeight="1" outlineLevel="4">
      <c r="B495" s="70" t="s">
        <v>60</v>
      </c>
      <c r="C495" s="70"/>
      <c r="D495" s="70"/>
      <c r="E495" s="70"/>
      <c r="F495" s="70"/>
      <c r="G495" s="70"/>
    </row>
    <row r="496" spans="2:30" s="1" customFormat="1" ht="96.3" customHeight="1" outlineLevel="5">
      <c r="B496" s="20">
        <v>336</v>
      </c>
      <c r="C496" s="21" t="s">
        <v>1671</v>
      </c>
      <c r="D496" s="72" t="s">
        <v>1672</v>
      </c>
      <c r="E496" s="72"/>
      <c r="F496" s="72"/>
      <c r="G496" s="72"/>
      <c r="H496" s="22" t="s">
        <v>1673</v>
      </c>
      <c r="I496" s="23" t="s">
        <v>36</v>
      </c>
      <c r="J496" s="22"/>
      <c r="K496" s="20">
        <v>20</v>
      </c>
      <c r="L496" s="24">
        <v>33.43</v>
      </c>
      <c r="M496" s="11"/>
      <c r="N496" s="22">
        <f>L496*M496</f>
        <v>0</v>
      </c>
      <c r="O496" s="25">
        <f>0.161*M496</f>
        <v>0</v>
      </c>
      <c r="P496" s="26">
        <f>0.00023*M496</f>
        <v>0</v>
      </c>
      <c r="Q496" s="30"/>
      <c r="R496" s="22" t="s">
        <v>1674</v>
      </c>
      <c r="S496" s="22"/>
      <c r="T496" s="21" t="str">
        <f>HYPERLINK("https://miland.ru/api/getInfo/image/6907a8ce-2ee4-11ef-a261-00155d82e908")</f>
        <v>https://miland.ru/api/getInfo/image/6907a8ce-2ee4-11ef-a261-00155d82e908</v>
      </c>
      <c r="U496" s="21"/>
      <c r="V496" s="21" t="s">
        <v>1675</v>
      </c>
      <c r="W496" s="21" t="s">
        <v>1676</v>
      </c>
      <c r="X496" s="21"/>
      <c r="Y496" s="21" t="s">
        <v>41</v>
      </c>
      <c r="Z496" s="21"/>
      <c r="AA496" s="21" t="str">
        <f>HYPERLINK("https://miland.ru/api/getInfo/item/6907a8ce-2ee4-11ef-a261-00155d82e908")</f>
        <v>https://miland.ru/api/getInfo/item/6907a8ce-2ee4-11ef-a261-00155d82e908</v>
      </c>
      <c r="AB496" s="21" t="s">
        <v>50</v>
      </c>
      <c r="AC496" s="21"/>
      <c r="AD496" s="21"/>
    </row>
    <row r="497" spans="2:31" ht="12" customHeight="1" outlineLevel="4">
      <c r="B497" s="70" t="s">
        <v>1677</v>
      </c>
      <c r="C497" s="70"/>
      <c r="D497" s="70"/>
      <c r="E497" s="70"/>
      <c r="F497" s="70"/>
      <c r="G497" s="70"/>
    </row>
    <row r="498" spans="2:31" s="1" customFormat="1" ht="96.3" customHeight="1" outlineLevel="5">
      <c r="B498" s="20">
        <v>337</v>
      </c>
      <c r="C498" s="21" t="s">
        <v>1678</v>
      </c>
      <c r="D498" s="72" t="s">
        <v>1679</v>
      </c>
      <c r="E498" s="72"/>
      <c r="F498" s="72"/>
      <c r="G498" s="72"/>
      <c r="H498" s="22" t="s">
        <v>1680</v>
      </c>
      <c r="I498" s="27">
        <v>499</v>
      </c>
      <c r="J498" s="22"/>
      <c r="K498" s="20">
        <v>3</v>
      </c>
      <c r="L498" s="24">
        <v>261.37</v>
      </c>
      <c r="M498" s="11"/>
      <c r="N498" s="22">
        <f>L498*M498</f>
        <v>0</v>
      </c>
      <c r="O498" s="25">
        <f>0.088*M498</f>
        <v>0</v>
      </c>
      <c r="P498" s="29">
        <f>0.0002*M498</f>
        <v>0</v>
      </c>
      <c r="Q498" s="30"/>
      <c r="R498" s="22" t="s">
        <v>1681</v>
      </c>
      <c r="S498" s="22"/>
      <c r="T498" s="21" t="str">
        <f>HYPERLINK("https://miland.ru/api/getInfo/image/36e2f992-d1ad-11ef-a26a-00155d82e908")</f>
        <v>https://miland.ru/api/getInfo/image/36e2f992-d1ad-11ef-a26a-00155d82e908</v>
      </c>
      <c r="U498" s="21"/>
      <c r="V498" s="21" t="s">
        <v>1682</v>
      </c>
      <c r="W498" s="21" t="s">
        <v>1683</v>
      </c>
      <c r="X498" s="21"/>
      <c r="Y498" s="21" t="s">
        <v>41</v>
      </c>
      <c r="Z498" s="21"/>
      <c r="AA498" s="21" t="str">
        <f>HYPERLINK("https://miland.ru/api/getInfo/item/36e2f992-d1ad-11ef-a26a-00155d82e908")</f>
        <v>https://miland.ru/api/getInfo/item/36e2f992-d1ad-11ef-a26a-00155d82e908</v>
      </c>
      <c r="AB498" s="21" t="s">
        <v>50</v>
      </c>
      <c r="AC498" s="21"/>
      <c r="AD498" s="21"/>
    </row>
    <row r="499" spans="2:31" s="1" customFormat="1" ht="96.3" customHeight="1" outlineLevel="5">
      <c r="B499" s="6">
        <v>338</v>
      </c>
      <c r="C499" s="7" t="s">
        <v>1684</v>
      </c>
      <c r="D499" s="71" t="s">
        <v>1685</v>
      </c>
      <c r="E499" s="71"/>
      <c r="F499" s="71"/>
      <c r="G499" s="71"/>
      <c r="H499" s="8" t="s">
        <v>1686</v>
      </c>
      <c r="I499" s="9" t="s">
        <v>36</v>
      </c>
      <c r="J499" s="8"/>
      <c r="K499" s="6">
        <v>2</v>
      </c>
      <c r="L499" s="10">
        <v>261.37</v>
      </c>
      <c r="M499" s="11"/>
      <c r="N499" s="8">
        <f>L499*M499</f>
        <v>0</v>
      </c>
      <c r="O499" s="12">
        <f>0.088*M499</f>
        <v>0</v>
      </c>
      <c r="P499" s="13">
        <f>0.00024*M499</f>
        <v>0</v>
      </c>
      <c r="Q499" s="17" t="s">
        <v>37</v>
      </c>
      <c r="R499" s="8" t="s">
        <v>1687</v>
      </c>
      <c r="S499" s="8"/>
      <c r="T499" s="7" t="str">
        <f>HYPERLINK("https://miland.ru/api/getInfo/image/4aeef1e5-e24c-11f0-a28c-00155d82e908")</f>
        <v>https://miland.ru/api/getInfo/image/4aeef1e5-e24c-11f0-a28c-00155d82e908</v>
      </c>
      <c r="U499" s="7"/>
      <c r="V499" s="7" t="s">
        <v>1682</v>
      </c>
      <c r="W499" s="7" t="s">
        <v>1683</v>
      </c>
      <c r="X499" s="7"/>
      <c r="Y499" s="7"/>
      <c r="Z499" s="7"/>
      <c r="AA499" s="7" t="str">
        <f>HYPERLINK("https://miland.ru/api/getInfo/item/4aeef1e5-e24c-11f0-a28c-00155d82e908")</f>
        <v>https://miland.ru/api/getInfo/item/4aeef1e5-e24c-11f0-a28c-00155d82e908</v>
      </c>
      <c r="AB499" s="7" t="s">
        <v>50</v>
      </c>
      <c r="AC499" s="7"/>
      <c r="AD499" s="7"/>
      <c r="AE499" s="54"/>
    </row>
    <row r="500" spans="2:31" ht="12" customHeight="1" outlineLevel="4">
      <c r="B500" s="70" t="s">
        <v>43</v>
      </c>
      <c r="C500" s="70"/>
      <c r="D500" s="70"/>
      <c r="E500" s="70"/>
      <c r="F500" s="70"/>
      <c r="G500" s="70"/>
    </row>
    <row r="501" spans="2:31" s="1" customFormat="1" ht="96.3" customHeight="1" outlineLevel="5">
      <c r="B501" s="20">
        <v>339</v>
      </c>
      <c r="C501" s="21" t="s">
        <v>1688</v>
      </c>
      <c r="D501" s="72" t="s">
        <v>1689</v>
      </c>
      <c r="E501" s="72"/>
      <c r="F501" s="72"/>
      <c r="G501" s="72"/>
      <c r="H501" s="22" t="s">
        <v>1690</v>
      </c>
      <c r="I501" s="23" t="s">
        <v>36</v>
      </c>
      <c r="J501" s="22"/>
      <c r="K501" s="20">
        <v>60</v>
      </c>
      <c r="L501" s="24">
        <v>7.09</v>
      </c>
      <c r="M501" s="11"/>
      <c r="N501" s="22">
        <f>L501*M501</f>
        <v>0</v>
      </c>
      <c r="O501" s="25">
        <f>0.002*M501</f>
        <v>0</v>
      </c>
      <c r="P501" s="26">
        <f>0.00001*M501</f>
        <v>0</v>
      </c>
      <c r="Q501" s="30"/>
      <c r="R501" s="22" t="s">
        <v>1691</v>
      </c>
      <c r="S501" s="22"/>
      <c r="T501" s="21" t="str">
        <f>HYPERLINK("https://miland.ru/api/getInfo/image/5ef29e78-d6f6-11ef-a26a-00155d82e908")</f>
        <v>https://miland.ru/api/getInfo/image/5ef29e78-d6f6-11ef-a26a-00155d82e908</v>
      </c>
      <c r="U501" s="21"/>
      <c r="V501" s="21" t="s">
        <v>48</v>
      </c>
      <c r="W501" s="21" t="s">
        <v>49</v>
      </c>
      <c r="X501" s="21"/>
      <c r="Y501" s="21" t="s">
        <v>41</v>
      </c>
      <c r="Z501" s="21"/>
      <c r="AA501" s="21" t="str">
        <f>HYPERLINK("https://miland.ru/api/getInfo/item/5ef29e78-d6f6-11ef-a26a-00155d82e908")</f>
        <v>https://miland.ru/api/getInfo/item/5ef29e78-d6f6-11ef-a26a-00155d82e908</v>
      </c>
      <c r="AB501" s="21" t="s">
        <v>50</v>
      </c>
      <c r="AC501" s="21"/>
      <c r="AD501" s="21"/>
    </row>
    <row r="502" spans="2:31" ht="12" customHeight="1" outlineLevel="4">
      <c r="B502" s="70" t="s">
        <v>1692</v>
      </c>
      <c r="C502" s="70"/>
      <c r="D502" s="70"/>
      <c r="E502" s="70"/>
      <c r="F502" s="70"/>
      <c r="G502" s="70"/>
    </row>
    <row r="503" spans="2:31" ht="12" customHeight="1" outlineLevel="5">
      <c r="B503" s="70" t="s">
        <v>1693</v>
      </c>
      <c r="C503" s="70"/>
      <c r="D503" s="70"/>
      <c r="E503" s="70"/>
      <c r="F503" s="70"/>
      <c r="G503" s="70"/>
    </row>
    <row r="504" spans="2:31" s="1" customFormat="1" ht="96.3" customHeight="1" outlineLevel="6">
      <c r="B504" s="6">
        <v>340</v>
      </c>
      <c r="C504" s="7" t="s">
        <v>1694</v>
      </c>
      <c r="D504" s="71" t="s">
        <v>1695</v>
      </c>
      <c r="E504" s="71"/>
      <c r="F504" s="71"/>
      <c r="G504" s="71"/>
      <c r="H504" s="8" t="s">
        <v>1696</v>
      </c>
      <c r="I504" s="14">
        <v>300</v>
      </c>
      <c r="J504" s="8"/>
      <c r="K504" s="6">
        <v>40</v>
      </c>
      <c r="L504" s="10">
        <v>10.47</v>
      </c>
      <c r="M504" s="11"/>
      <c r="N504" s="8">
        <f>L504*M504</f>
        <v>0</v>
      </c>
      <c r="O504" s="12">
        <f>0.005*M504</f>
        <v>0</v>
      </c>
      <c r="P504" s="13">
        <f>0.00001*M504</f>
        <v>0</v>
      </c>
      <c r="Q504" s="17" t="s">
        <v>37</v>
      </c>
      <c r="R504" s="8" t="s">
        <v>1697</v>
      </c>
      <c r="S504" s="8"/>
      <c r="T504" s="7" t="str">
        <f>HYPERLINK("https://miland.ru/api/getInfo/image/b00dcec0-f058-11f0-a28d-00155d82e908")</f>
        <v>https://miland.ru/api/getInfo/image/b00dcec0-f058-11f0-a28d-00155d82e908</v>
      </c>
      <c r="U504" s="7"/>
      <c r="V504" s="7" t="s">
        <v>1682</v>
      </c>
      <c r="W504" s="7" t="s">
        <v>1683</v>
      </c>
      <c r="X504" s="7"/>
      <c r="Y504" s="7" t="s">
        <v>41</v>
      </c>
      <c r="Z504" s="7"/>
      <c r="AA504" s="7" t="str">
        <f>HYPERLINK("https://miland.ru/api/getInfo/item/b00dcec0-f058-11f0-a28d-00155d82e908")</f>
        <v>https://miland.ru/api/getInfo/item/b00dcec0-f058-11f0-a28d-00155d82e908</v>
      </c>
      <c r="AB504" s="7" t="s">
        <v>50</v>
      </c>
      <c r="AC504" s="7" t="s">
        <v>1698</v>
      </c>
      <c r="AD504" s="7"/>
      <c r="AE504" s="54"/>
    </row>
    <row r="505" spans="2:31" s="1" customFormat="1" ht="96.3" customHeight="1" outlineLevel="6">
      <c r="B505" s="6">
        <v>341</v>
      </c>
      <c r="C505" s="7" t="s">
        <v>1699</v>
      </c>
      <c r="D505" s="71" t="s">
        <v>1700</v>
      </c>
      <c r="E505" s="71"/>
      <c r="F505" s="71"/>
      <c r="G505" s="71"/>
      <c r="H505" s="8" t="s">
        <v>1701</v>
      </c>
      <c r="I505" s="9" t="s">
        <v>36</v>
      </c>
      <c r="J505" s="8"/>
      <c r="K505" s="6">
        <v>40</v>
      </c>
      <c r="L505" s="10">
        <v>10.47</v>
      </c>
      <c r="M505" s="11"/>
      <c r="N505" s="8">
        <f>L505*M505</f>
        <v>0</v>
      </c>
      <c r="O505" s="12">
        <f>0.005*M505</f>
        <v>0</v>
      </c>
      <c r="P505" s="13">
        <f>0.00001*M505</f>
        <v>0</v>
      </c>
      <c r="Q505" s="17" t="s">
        <v>37</v>
      </c>
      <c r="R505" s="8" t="s">
        <v>1702</v>
      </c>
      <c r="S505" s="8"/>
      <c r="T505" s="7" t="str">
        <f>HYPERLINK("https://miland.ru/api/getInfo/image/eb377ce1-f057-11f0-a28d-00155d82e908")</f>
        <v>https://miland.ru/api/getInfo/image/eb377ce1-f057-11f0-a28d-00155d82e908</v>
      </c>
      <c r="U505" s="7"/>
      <c r="V505" s="7" t="s">
        <v>1682</v>
      </c>
      <c r="W505" s="7" t="s">
        <v>1683</v>
      </c>
      <c r="X505" s="7"/>
      <c r="Y505" s="7" t="s">
        <v>41</v>
      </c>
      <c r="Z505" s="7"/>
      <c r="AA505" s="7" t="str">
        <f>HYPERLINK("https://miland.ru/api/getInfo/item/eb377ce1-f057-11f0-a28d-00155d82e908")</f>
        <v>https://miland.ru/api/getInfo/item/eb377ce1-f057-11f0-a28d-00155d82e908</v>
      </c>
      <c r="AB505" s="7" t="s">
        <v>50</v>
      </c>
      <c r="AC505" s="7" t="s">
        <v>1698</v>
      </c>
      <c r="AD505" s="7"/>
      <c r="AE505" s="54"/>
    </row>
    <row r="506" spans="2:31" ht="12" customHeight="1" outlineLevel="5">
      <c r="B506" s="70" t="s">
        <v>1703</v>
      </c>
      <c r="C506" s="70"/>
      <c r="D506" s="70"/>
      <c r="E506" s="70"/>
      <c r="F506" s="70"/>
      <c r="G506" s="70"/>
    </row>
    <row r="507" spans="2:31" s="1" customFormat="1" ht="96.3" customHeight="1" outlineLevel="6">
      <c r="B507" s="6">
        <v>342</v>
      </c>
      <c r="C507" s="7" t="s">
        <v>1704</v>
      </c>
      <c r="D507" s="71" t="s">
        <v>1705</v>
      </c>
      <c r="E507" s="71"/>
      <c r="F507" s="71"/>
      <c r="G507" s="71"/>
      <c r="H507" s="8" t="s">
        <v>1706</v>
      </c>
      <c r="I507" s="9" t="s">
        <v>36</v>
      </c>
      <c r="J507" s="8"/>
      <c r="K507" s="6">
        <v>40</v>
      </c>
      <c r="L507" s="10">
        <v>13.23</v>
      </c>
      <c r="M507" s="11"/>
      <c r="N507" s="8">
        <f t="shared" ref="N507:N512" si="23">L507*M507</f>
        <v>0</v>
      </c>
      <c r="O507" s="12">
        <f>0.005*M507</f>
        <v>0</v>
      </c>
      <c r="P507" s="13">
        <f t="shared" ref="P507:P512" si="24">0.00001*M507</f>
        <v>0</v>
      </c>
      <c r="Q507" s="17" t="s">
        <v>37</v>
      </c>
      <c r="R507" s="8" t="s">
        <v>1707</v>
      </c>
      <c r="S507" s="8"/>
      <c r="T507" s="7" t="str">
        <f>HYPERLINK("https://miland.ru/api/getInfo/image/24cb7a8e-f04c-11f0-a28d-00155d82e908")</f>
        <v>https://miland.ru/api/getInfo/image/24cb7a8e-f04c-11f0-a28d-00155d82e908</v>
      </c>
      <c r="U507" s="7"/>
      <c r="V507" s="7" t="s">
        <v>1682</v>
      </c>
      <c r="W507" s="7" t="s">
        <v>1683</v>
      </c>
      <c r="X507" s="7"/>
      <c r="Y507" s="7" t="s">
        <v>41</v>
      </c>
      <c r="Z507" s="7"/>
      <c r="AA507" s="7" t="str">
        <f>HYPERLINK("https://miland.ru/api/getInfo/item/24cb7a8e-f04c-11f0-a28d-00155d82e908")</f>
        <v>https://miland.ru/api/getInfo/item/24cb7a8e-f04c-11f0-a28d-00155d82e908</v>
      </c>
      <c r="AB507" s="7" t="s">
        <v>50</v>
      </c>
      <c r="AC507" s="7"/>
      <c r="AD507" s="7"/>
      <c r="AE507" s="54"/>
    </row>
    <row r="508" spans="2:31" s="1" customFormat="1" ht="96.3" customHeight="1" outlineLevel="6">
      <c r="B508" s="6">
        <v>343</v>
      </c>
      <c r="C508" s="7" t="s">
        <v>1708</v>
      </c>
      <c r="D508" s="71" t="s">
        <v>1709</v>
      </c>
      <c r="E508" s="71"/>
      <c r="F508" s="71"/>
      <c r="G508" s="71"/>
      <c r="H508" s="8" t="s">
        <v>1710</v>
      </c>
      <c r="I508" s="9" t="s">
        <v>36</v>
      </c>
      <c r="J508" s="8"/>
      <c r="K508" s="6">
        <v>40</v>
      </c>
      <c r="L508" s="10">
        <v>13.23</v>
      </c>
      <c r="M508" s="11"/>
      <c r="N508" s="8">
        <f t="shared" si="23"/>
        <v>0</v>
      </c>
      <c r="O508" s="12">
        <f>0.005*M508</f>
        <v>0</v>
      </c>
      <c r="P508" s="13">
        <f t="shared" si="24"/>
        <v>0</v>
      </c>
      <c r="Q508" s="17" t="s">
        <v>37</v>
      </c>
      <c r="R508" s="8" t="s">
        <v>1711</v>
      </c>
      <c r="S508" s="8"/>
      <c r="T508" s="7" t="str">
        <f>HYPERLINK("https://miland.ru/api/getInfo/image/417c4b6e-f04c-11f0-a28d-00155d82e908")</f>
        <v>https://miland.ru/api/getInfo/image/417c4b6e-f04c-11f0-a28d-00155d82e908</v>
      </c>
      <c r="U508" s="7"/>
      <c r="V508" s="7" t="s">
        <v>1682</v>
      </c>
      <c r="W508" s="7" t="s">
        <v>1683</v>
      </c>
      <c r="X508" s="7"/>
      <c r="Y508" s="7" t="s">
        <v>41</v>
      </c>
      <c r="Z508" s="7"/>
      <c r="AA508" s="7" t="str">
        <f>HYPERLINK("https://miland.ru/api/getInfo/item/417c4b6e-f04c-11f0-a28d-00155d82e908")</f>
        <v>https://miland.ru/api/getInfo/item/417c4b6e-f04c-11f0-a28d-00155d82e908</v>
      </c>
      <c r="AB508" s="7" t="s">
        <v>50</v>
      </c>
      <c r="AC508" s="7"/>
      <c r="AD508" s="7"/>
      <c r="AE508" s="54"/>
    </row>
    <row r="509" spans="2:31" s="1" customFormat="1" ht="96.3" customHeight="1" outlineLevel="6">
      <c r="B509" s="6">
        <v>344</v>
      </c>
      <c r="C509" s="7" t="s">
        <v>1712</v>
      </c>
      <c r="D509" s="71" t="s">
        <v>1713</v>
      </c>
      <c r="E509" s="71"/>
      <c r="F509" s="71"/>
      <c r="G509" s="71"/>
      <c r="H509" s="8" t="s">
        <v>1714</v>
      </c>
      <c r="I509" s="9" t="s">
        <v>36</v>
      </c>
      <c r="J509" s="8"/>
      <c r="K509" s="6">
        <v>40</v>
      </c>
      <c r="L509" s="10">
        <v>13.23</v>
      </c>
      <c r="M509" s="11"/>
      <c r="N509" s="8">
        <f t="shared" si="23"/>
        <v>0</v>
      </c>
      <c r="O509" s="12">
        <f>0.006*M509</f>
        <v>0</v>
      </c>
      <c r="P509" s="13">
        <f t="shared" si="24"/>
        <v>0</v>
      </c>
      <c r="Q509" s="17" t="s">
        <v>37</v>
      </c>
      <c r="R509" s="8" t="s">
        <v>1715</v>
      </c>
      <c r="S509" s="8"/>
      <c r="T509" s="7" t="str">
        <f>HYPERLINK("https://miland.ru/api/getInfo/image/b8e511da-f04b-11f0-a28d-00155d82e908")</f>
        <v>https://miland.ru/api/getInfo/image/b8e511da-f04b-11f0-a28d-00155d82e908</v>
      </c>
      <c r="U509" s="7"/>
      <c r="V509" s="7" t="s">
        <v>1682</v>
      </c>
      <c r="W509" s="7" t="s">
        <v>1683</v>
      </c>
      <c r="X509" s="7"/>
      <c r="Y509" s="7" t="s">
        <v>41</v>
      </c>
      <c r="Z509" s="7"/>
      <c r="AA509" s="7" t="str">
        <f>HYPERLINK("https://miland.ru/api/getInfo/item/b8e511da-f04b-11f0-a28d-00155d82e908")</f>
        <v>https://miland.ru/api/getInfo/item/b8e511da-f04b-11f0-a28d-00155d82e908</v>
      </c>
      <c r="AB509" s="7" t="s">
        <v>50</v>
      </c>
      <c r="AC509" s="7"/>
      <c r="AD509" s="7"/>
      <c r="AE509" s="54"/>
    </row>
    <row r="510" spans="2:31" s="1" customFormat="1" ht="96.3" customHeight="1" outlineLevel="6">
      <c r="B510" s="6">
        <v>345</v>
      </c>
      <c r="C510" s="7" t="s">
        <v>1716</v>
      </c>
      <c r="D510" s="71" t="s">
        <v>1717</v>
      </c>
      <c r="E510" s="71"/>
      <c r="F510" s="71"/>
      <c r="G510" s="71"/>
      <c r="H510" s="8" t="s">
        <v>1718</v>
      </c>
      <c r="I510" s="9" t="s">
        <v>36</v>
      </c>
      <c r="J510" s="8"/>
      <c r="K510" s="6">
        <v>40</v>
      </c>
      <c r="L510" s="10">
        <v>13.23</v>
      </c>
      <c r="M510" s="11"/>
      <c r="N510" s="8">
        <f t="shared" si="23"/>
        <v>0</v>
      </c>
      <c r="O510" s="12">
        <f>0.006*M510</f>
        <v>0</v>
      </c>
      <c r="P510" s="13">
        <f t="shared" si="24"/>
        <v>0</v>
      </c>
      <c r="Q510" s="17" t="s">
        <v>37</v>
      </c>
      <c r="R510" s="8" t="s">
        <v>1719</v>
      </c>
      <c r="S510" s="8"/>
      <c r="T510" s="7" t="str">
        <f>HYPERLINK("https://miland.ru/api/getInfo/image/79384e45-f04b-11f0-a28d-00155d82e908")</f>
        <v>https://miland.ru/api/getInfo/image/79384e45-f04b-11f0-a28d-00155d82e908</v>
      </c>
      <c r="U510" s="7"/>
      <c r="V510" s="7" t="s">
        <v>1682</v>
      </c>
      <c r="W510" s="7" t="s">
        <v>1683</v>
      </c>
      <c r="X510" s="7"/>
      <c r="Y510" s="7" t="s">
        <v>41</v>
      </c>
      <c r="Z510" s="7"/>
      <c r="AA510" s="7" t="str">
        <f>HYPERLINK("https://miland.ru/api/getInfo/item/79384e45-f04b-11f0-a28d-00155d82e908")</f>
        <v>https://miland.ru/api/getInfo/item/79384e45-f04b-11f0-a28d-00155d82e908</v>
      </c>
      <c r="AB510" s="7" t="s">
        <v>50</v>
      </c>
      <c r="AC510" s="7"/>
      <c r="AD510" s="7"/>
      <c r="AE510" s="54"/>
    </row>
    <row r="511" spans="2:31" s="1" customFormat="1" ht="96.3" customHeight="1" outlineLevel="6">
      <c r="B511" s="6">
        <v>346</v>
      </c>
      <c r="C511" s="7" t="s">
        <v>1720</v>
      </c>
      <c r="D511" s="71" t="s">
        <v>1721</v>
      </c>
      <c r="E511" s="71"/>
      <c r="F511" s="71"/>
      <c r="G511" s="71"/>
      <c r="H511" s="8" t="s">
        <v>1722</v>
      </c>
      <c r="I511" s="9" t="s">
        <v>36</v>
      </c>
      <c r="J511" s="8"/>
      <c r="K511" s="6">
        <v>40</v>
      </c>
      <c r="L511" s="10">
        <v>13.23</v>
      </c>
      <c r="M511" s="11"/>
      <c r="N511" s="8">
        <f t="shared" si="23"/>
        <v>0</v>
      </c>
      <c r="O511" s="12">
        <f>0.005*M511</f>
        <v>0</v>
      </c>
      <c r="P511" s="13">
        <f t="shared" si="24"/>
        <v>0</v>
      </c>
      <c r="Q511" s="17" t="s">
        <v>37</v>
      </c>
      <c r="R511" s="8" t="s">
        <v>1723</v>
      </c>
      <c r="S511" s="8"/>
      <c r="T511" s="7" t="str">
        <f>HYPERLINK("https://miland.ru/api/getInfo/image/8796fe63-f04a-11f0-a28d-00155d82e908")</f>
        <v>https://miland.ru/api/getInfo/image/8796fe63-f04a-11f0-a28d-00155d82e908</v>
      </c>
      <c r="U511" s="7"/>
      <c r="V511" s="7" t="s">
        <v>1682</v>
      </c>
      <c r="W511" s="7" t="s">
        <v>1683</v>
      </c>
      <c r="X511" s="7"/>
      <c r="Y511" s="7" t="s">
        <v>41</v>
      </c>
      <c r="Z511" s="7"/>
      <c r="AA511" s="7" t="str">
        <f>HYPERLINK("https://miland.ru/api/getInfo/item/8796fe63-f04a-11f0-a28d-00155d82e908")</f>
        <v>https://miland.ru/api/getInfo/item/8796fe63-f04a-11f0-a28d-00155d82e908</v>
      </c>
      <c r="AB511" s="7" t="s">
        <v>50</v>
      </c>
      <c r="AC511" s="7"/>
      <c r="AD511" s="7"/>
      <c r="AE511" s="54"/>
    </row>
    <row r="512" spans="2:31" s="1" customFormat="1" ht="96.3" customHeight="1" outlineLevel="6">
      <c r="B512" s="6">
        <v>347</v>
      </c>
      <c r="C512" s="7" t="s">
        <v>1724</v>
      </c>
      <c r="D512" s="71" t="s">
        <v>1725</v>
      </c>
      <c r="E512" s="71"/>
      <c r="F512" s="71"/>
      <c r="G512" s="71"/>
      <c r="H512" s="8" t="s">
        <v>1726</v>
      </c>
      <c r="I512" s="9" t="s">
        <v>36</v>
      </c>
      <c r="J512" s="8"/>
      <c r="K512" s="6">
        <v>40</v>
      </c>
      <c r="L512" s="10">
        <v>13.23</v>
      </c>
      <c r="M512" s="11"/>
      <c r="N512" s="8">
        <f t="shared" si="23"/>
        <v>0</v>
      </c>
      <c r="O512" s="12">
        <f>0.005*M512</f>
        <v>0</v>
      </c>
      <c r="P512" s="13">
        <f t="shared" si="24"/>
        <v>0</v>
      </c>
      <c r="Q512" s="17" t="s">
        <v>37</v>
      </c>
      <c r="R512" s="8" t="s">
        <v>1727</v>
      </c>
      <c r="S512" s="8"/>
      <c r="T512" s="7" t="str">
        <f>HYPERLINK("https://miland.ru/api/getInfo/image/58a50262-f04b-11f0-a28d-00155d82e908")</f>
        <v>https://miland.ru/api/getInfo/image/58a50262-f04b-11f0-a28d-00155d82e908</v>
      </c>
      <c r="U512" s="7"/>
      <c r="V512" s="7" t="s">
        <v>1682</v>
      </c>
      <c r="W512" s="7" t="s">
        <v>1683</v>
      </c>
      <c r="X512" s="7"/>
      <c r="Y512" s="7" t="s">
        <v>41</v>
      </c>
      <c r="Z512" s="7"/>
      <c r="AA512" s="7" t="str">
        <f>HYPERLINK("https://miland.ru/api/getInfo/item/58a50262-f04b-11f0-a28d-00155d82e908")</f>
        <v>https://miland.ru/api/getInfo/item/58a50262-f04b-11f0-a28d-00155d82e908</v>
      </c>
      <c r="AB512" s="7" t="s">
        <v>50</v>
      </c>
      <c r="AC512" s="7"/>
      <c r="AD512" s="7"/>
      <c r="AE512" s="54"/>
    </row>
    <row r="513" spans="2:31" ht="12" customHeight="1" outlineLevel="5">
      <c r="B513" s="70" t="s">
        <v>1728</v>
      </c>
      <c r="C513" s="70"/>
      <c r="D513" s="70"/>
      <c r="E513" s="70"/>
      <c r="F513" s="70"/>
      <c r="G513" s="70"/>
    </row>
    <row r="514" spans="2:31" s="1" customFormat="1" ht="96.3" customHeight="1" outlineLevel="6">
      <c r="B514" s="6">
        <v>348</v>
      </c>
      <c r="C514" s="7" t="s">
        <v>1729</v>
      </c>
      <c r="D514" s="71" t="s">
        <v>1730</v>
      </c>
      <c r="E514" s="71"/>
      <c r="F514" s="71"/>
      <c r="G514" s="71"/>
      <c r="H514" s="8" t="s">
        <v>1731</v>
      </c>
      <c r="I514" s="9" t="s">
        <v>36</v>
      </c>
      <c r="J514" s="8"/>
      <c r="K514" s="6">
        <v>40</v>
      </c>
      <c r="L514" s="10">
        <v>13.39</v>
      </c>
      <c r="M514" s="11"/>
      <c r="N514" s="8">
        <f t="shared" ref="N514:N521" si="25">L514*M514</f>
        <v>0</v>
      </c>
      <c r="O514" s="12">
        <f>0.008*M514</f>
        <v>0</v>
      </c>
      <c r="P514" s="13">
        <f t="shared" ref="P514:P521" si="26">0.00001*M514</f>
        <v>0</v>
      </c>
      <c r="Q514" s="17" t="s">
        <v>37</v>
      </c>
      <c r="R514" s="8" t="s">
        <v>1732</v>
      </c>
      <c r="S514" s="8"/>
      <c r="T514" s="7" t="str">
        <f>HYPERLINK("https://miland.ru/api/getInfo/image/56d5a123-f052-11f0-a28d-00155d82e908")</f>
        <v>https://miland.ru/api/getInfo/image/56d5a123-f052-11f0-a28d-00155d82e908</v>
      </c>
      <c r="U514" s="7"/>
      <c r="V514" s="7" t="s">
        <v>1682</v>
      </c>
      <c r="W514" s="7" t="s">
        <v>1683</v>
      </c>
      <c r="X514" s="7"/>
      <c r="Y514" s="7" t="s">
        <v>41</v>
      </c>
      <c r="Z514" s="7"/>
      <c r="AA514" s="7" t="str">
        <f>HYPERLINK("https://miland.ru/api/getInfo/item/56d5a123-f052-11f0-a28d-00155d82e908")</f>
        <v>https://miland.ru/api/getInfo/item/56d5a123-f052-11f0-a28d-00155d82e908</v>
      </c>
      <c r="AB514" s="7" t="s">
        <v>50</v>
      </c>
      <c r="AC514" s="7"/>
      <c r="AD514" s="7"/>
      <c r="AE514" s="54"/>
    </row>
    <row r="515" spans="2:31" s="1" customFormat="1" ht="96.3" customHeight="1" outlineLevel="6">
      <c r="B515" s="6">
        <v>349</v>
      </c>
      <c r="C515" s="7" t="s">
        <v>1733</v>
      </c>
      <c r="D515" s="71" t="s">
        <v>1734</v>
      </c>
      <c r="E515" s="71"/>
      <c r="F515" s="71"/>
      <c r="G515" s="71"/>
      <c r="H515" s="8" t="s">
        <v>1735</v>
      </c>
      <c r="I515" s="9" t="s">
        <v>36</v>
      </c>
      <c r="J515" s="8"/>
      <c r="K515" s="6">
        <v>40</v>
      </c>
      <c r="L515" s="10">
        <v>13.39</v>
      </c>
      <c r="M515" s="11"/>
      <c r="N515" s="8">
        <f t="shared" si="25"/>
        <v>0</v>
      </c>
      <c r="O515" s="12">
        <f>0.008*M515</f>
        <v>0</v>
      </c>
      <c r="P515" s="13">
        <f t="shared" si="26"/>
        <v>0</v>
      </c>
      <c r="Q515" s="17" t="s">
        <v>37</v>
      </c>
      <c r="R515" s="8" t="s">
        <v>1736</v>
      </c>
      <c r="S515" s="8"/>
      <c r="T515" s="7" t="str">
        <f>HYPERLINK("https://miland.ru/api/getInfo/image/23f333cc-f052-11f0-a28d-00155d82e908")</f>
        <v>https://miland.ru/api/getInfo/image/23f333cc-f052-11f0-a28d-00155d82e908</v>
      </c>
      <c r="U515" s="7"/>
      <c r="V515" s="7" t="s">
        <v>1682</v>
      </c>
      <c r="W515" s="7" t="s">
        <v>1683</v>
      </c>
      <c r="X515" s="7"/>
      <c r="Y515" s="7" t="s">
        <v>41</v>
      </c>
      <c r="Z515" s="7"/>
      <c r="AA515" s="7" t="str">
        <f>HYPERLINK("https://miland.ru/api/getInfo/item/23f333cc-f052-11f0-a28d-00155d82e908")</f>
        <v>https://miland.ru/api/getInfo/item/23f333cc-f052-11f0-a28d-00155d82e908</v>
      </c>
      <c r="AB515" s="7" t="s">
        <v>50</v>
      </c>
      <c r="AC515" s="7"/>
      <c r="AD515" s="7"/>
      <c r="AE515" s="54"/>
    </row>
    <row r="516" spans="2:31" s="1" customFormat="1" ht="96.3" customHeight="1" outlineLevel="6">
      <c r="B516" s="6">
        <v>350</v>
      </c>
      <c r="C516" s="7" t="s">
        <v>1737</v>
      </c>
      <c r="D516" s="71" t="s">
        <v>1738</v>
      </c>
      <c r="E516" s="71"/>
      <c r="F516" s="71"/>
      <c r="G516" s="71"/>
      <c r="H516" s="8" t="s">
        <v>1739</v>
      </c>
      <c r="I516" s="9" t="s">
        <v>36</v>
      </c>
      <c r="J516" s="8"/>
      <c r="K516" s="6">
        <v>40</v>
      </c>
      <c r="L516" s="10">
        <v>13.39</v>
      </c>
      <c r="M516" s="11"/>
      <c r="N516" s="8">
        <f t="shared" si="25"/>
        <v>0</v>
      </c>
      <c r="O516" s="12">
        <f>0.008*M516</f>
        <v>0</v>
      </c>
      <c r="P516" s="13">
        <f t="shared" si="26"/>
        <v>0</v>
      </c>
      <c r="Q516" s="17" t="s">
        <v>37</v>
      </c>
      <c r="R516" s="8" t="s">
        <v>1740</v>
      </c>
      <c r="S516" s="8"/>
      <c r="T516" s="7" t="str">
        <f>HYPERLINK("https://miland.ru/api/getInfo/image/dd46dadc-f051-11f0-a28d-00155d82e908")</f>
        <v>https://miland.ru/api/getInfo/image/dd46dadc-f051-11f0-a28d-00155d82e908</v>
      </c>
      <c r="U516" s="7"/>
      <c r="V516" s="7" t="s">
        <v>1682</v>
      </c>
      <c r="W516" s="7" t="s">
        <v>1683</v>
      </c>
      <c r="X516" s="7"/>
      <c r="Y516" s="7" t="s">
        <v>41</v>
      </c>
      <c r="Z516" s="7"/>
      <c r="AA516" s="7" t="str">
        <f>HYPERLINK("https://miland.ru/api/getInfo/item/dd46dadc-f051-11f0-a28d-00155d82e908")</f>
        <v>https://miland.ru/api/getInfo/item/dd46dadc-f051-11f0-a28d-00155d82e908</v>
      </c>
      <c r="AB516" s="7" t="s">
        <v>50</v>
      </c>
      <c r="AC516" s="7"/>
      <c r="AD516" s="7"/>
      <c r="AE516" s="54"/>
    </row>
    <row r="517" spans="2:31" s="1" customFormat="1" ht="96.3" customHeight="1" outlineLevel="6">
      <c r="B517" s="6">
        <v>351</v>
      </c>
      <c r="C517" s="7" t="s">
        <v>1741</v>
      </c>
      <c r="D517" s="71" t="s">
        <v>1742</v>
      </c>
      <c r="E517" s="71"/>
      <c r="F517" s="71"/>
      <c r="G517" s="71"/>
      <c r="H517" s="8" t="s">
        <v>1743</v>
      </c>
      <c r="I517" s="9" t="s">
        <v>36</v>
      </c>
      <c r="J517" s="8"/>
      <c r="K517" s="6">
        <v>40</v>
      </c>
      <c r="L517" s="10">
        <v>13.39</v>
      </c>
      <c r="M517" s="11"/>
      <c r="N517" s="8">
        <f t="shared" si="25"/>
        <v>0</v>
      </c>
      <c r="O517" s="12">
        <f>0.008*M517</f>
        <v>0</v>
      </c>
      <c r="P517" s="13">
        <f t="shared" si="26"/>
        <v>0</v>
      </c>
      <c r="Q517" s="17" t="s">
        <v>37</v>
      </c>
      <c r="R517" s="8" t="s">
        <v>1744</v>
      </c>
      <c r="S517" s="8"/>
      <c r="T517" s="7" t="str">
        <f>HYPERLINK("https://miland.ru/api/getInfo/image/d6531c99-f052-11f0-a28d-00155d82e908")</f>
        <v>https://miland.ru/api/getInfo/image/d6531c99-f052-11f0-a28d-00155d82e908</v>
      </c>
      <c r="U517" s="7"/>
      <c r="V517" s="7" t="s">
        <v>1682</v>
      </c>
      <c r="W517" s="7" t="s">
        <v>1683</v>
      </c>
      <c r="X517" s="7"/>
      <c r="Y517" s="7" t="s">
        <v>41</v>
      </c>
      <c r="Z517" s="7"/>
      <c r="AA517" s="7" t="str">
        <f>HYPERLINK("https://miland.ru/api/getInfo/item/d6531c99-f052-11f0-a28d-00155d82e908")</f>
        <v>https://miland.ru/api/getInfo/item/d6531c99-f052-11f0-a28d-00155d82e908</v>
      </c>
      <c r="AB517" s="7" t="s">
        <v>50</v>
      </c>
      <c r="AC517" s="7"/>
      <c r="AD517" s="7"/>
      <c r="AE517" s="54"/>
    </row>
    <row r="518" spans="2:31" s="1" customFormat="1" ht="96.3" customHeight="1" outlineLevel="6">
      <c r="B518" s="6">
        <v>352</v>
      </c>
      <c r="C518" s="7" t="s">
        <v>1745</v>
      </c>
      <c r="D518" s="71" t="s">
        <v>1746</v>
      </c>
      <c r="E518" s="71"/>
      <c r="F518" s="71"/>
      <c r="G518" s="71"/>
      <c r="H518" s="8" t="s">
        <v>1747</v>
      </c>
      <c r="I518" s="9" t="s">
        <v>36</v>
      </c>
      <c r="J518" s="8"/>
      <c r="K518" s="6">
        <v>40</v>
      </c>
      <c r="L518" s="10">
        <v>13.39</v>
      </c>
      <c r="M518" s="11"/>
      <c r="N518" s="8">
        <f t="shared" si="25"/>
        <v>0</v>
      </c>
      <c r="O518" s="12">
        <f>0.008*M518</f>
        <v>0</v>
      </c>
      <c r="P518" s="13">
        <f t="shared" si="26"/>
        <v>0</v>
      </c>
      <c r="Q518" s="17" t="s">
        <v>37</v>
      </c>
      <c r="R518" s="8" t="s">
        <v>1748</v>
      </c>
      <c r="S518" s="8"/>
      <c r="T518" s="7" t="str">
        <f>HYPERLINK("https://miland.ru/api/getInfo/image/85699c78-f052-11f0-a28d-00155d82e908")</f>
        <v>https://miland.ru/api/getInfo/image/85699c78-f052-11f0-a28d-00155d82e908</v>
      </c>
      <c r="U518" s="7"/>
      <c r="V518" s="7" t="s">
        <v>1682</v>
      </c>
      <c r="W518" s="7" t="s">
        <v>1683</v>
      </c>
      <c r="X518" s="7"/>
      <c r="Y518" s="7" t="s">
        <v>41</v>
      </c>
      <c r="Z518" s="7"/>
      <c r="AA518" s="7" t="str">
        <f>HYPERLINK("https://miland.ru/api/getInfo/item/85699c78-f052-11f0-a28d-00155d82e908")</f>
        <v>https://miland.ru/api/getInfo/item/85699c78-f052-11f0-a28d-00155d82e908</v>
      </c>
      <c r="AB518" s="7" t="s">
        <v>50</v>
      </c>
      <c r="AC518" s="7"/>
      <c r="AD518" s="7"/>
      <c r="AE518" s="54"/>
    </row>
    <row r="519" spans="2:31" s="1" customFormat="1" ht="96.3" customHeight="1" outlineLevel="6">
      <c r="B519" s="6">
        <v>353</v>
      </c>
      <c r="C519" s="7" t="s">
        <v>1749</v>
      </c>
      <c r="D519" s="71" t="s">
        <v>1750</v>
      </c>
      <c r="E519" s="71"/>
      <c r="F519" s="71"/>
      <c r="G519" s="71"/>
      <c r="H519" s="8" t="s">
        <v>1751</v>
      </c>
      <c r="I519" s="9" t="s">
        <v>36</v>
      </c>
      <c r="J519" s="8"/>
      <c r="K519" s="6">
        <v>40</v>
      </c>
      <c r="L519" s="10">
        <v>13.39</v>
      </c>
      <c r="M519" s="11"/>
      <c r="N519" s="8">
        <f t="shared" si="25"/>
        <v>0</v>
      </c>
      <c r="O519" s="12">
        <f>0.009*M519</f>
        <v>0</v>
      </c>
      <c r="P519" s="13">
        <f t="shared" si="26"/>
        <v>0</v>
      </c>
      <c r="Q519" s="17" t="s">
        <v>37</v>
      </c>
      <c r="R519" s="8" t="s">
        <v>1752</v>
      </c>
      <c r="S519" s="8"/>
      <c r="T519" s="7" t="str">
        <f>HYPERLINK("https://miland.ru/api/getInfo/image/be21dfad-f052-11f0-a28d-00155d82e908")</f>
        <v>https://miland.ru/api/getInfo/image/be21dfad-f052-11f0-a28d-00155d82e908</v>
      </c>
      <c r="U519" s="7"/>
      <c r="V519" s="7" t="s">
        <v>1682</v>
      </c>
      <c r="W519" s="7" t="s">
        <v>1683</v>
      </c>
      <c r="X519" s="7"/>
      <c r="Y519" s="7" t="s">
        <v>41</v>
      </c>
      <c r="Z519" s="7"/>
      <c r="AA519" s="7" t="str">
        <f>HYPERLINK("https://miland.ru/api/getInfo/item/be21dfad-f052-11f0-a28d-00155d82e908")</f>
        <v>https://miland.ru/api/getInfo/item/be21dfad-f052-11f0-a28d-00155d82e908</v>
      </c>
      <c r="AB519" s="7" t="s">
        <v>50</v>
      </c>
      <c r="AC519" s="7"/>
      <c r="AD519" s="7"/>
      <c r="AE519" s="54"/>
    </row>
    <row r="520" spans="2:31" s="1" customFormat="1" ht="96.3" customHeight="1" outlineLevel="6">
      <c r="B520" s="6">
        <v>354</v>
      </c>
      <c r="C520" s="7" t="s">
        <v>1753</v>
      </c>
      <c r="D520" s="71" t="s">
        <v>1754</v>
      </c>
      <c r="E520" s="71"/>
      <c r="F520" s="71"/>
      <c r="G520" s="71"/>
      <c r="H520" s="8" t="s">
        <v>1755</v>
      </c>
      <c r="I520" s="9" t="s">
        <v>36</v>
      </c>
      <c r="J520" s="8"/>
      <c r="K520" s="6">
        <v>40</v>
      </c>
      <c r="L520" s="10">
        <v>13.39</v>
      </c>
      <c r="M520" s="11"/>
      <c r="N520" s="8">
        <f t="shared" si="25"/>
        <v>0</v>
      </c>
      <c r="O520" s="12">
        <f>0.009*M520</f>
        <v>0</v>
      </c>
      <c r="P520" s="13">
        <f t="shared" si="26"/>
        <v>0</v>
      </c>
      <c r="Q520" s="17" t="s">
        <v>37</v>
      </c>
      <c r="R520" s="8" t="s">
        <v>1756</v>
      </c>
      <c r="S520" s="8"/>
      <c r="T520" s="7" t="str">
        <f>HYPERLINK("https://miland.ru/api/getInfo/image/6c71db39-f052-11f0-a28d-00155d82e908")</f>
        <v>https://miland.ru/api/getInfo/image/6c71db39-f052-11f0-a28d-00155d82e908</v>
      </c>
      <c r="U520" s="7"/>
      <c r="V520" s="7" t="s">
        <v>1682</v>
      </c>
      <c r="W520" s="7" t="s">
        <v>1683</v>
      </c>
      <c r="X520" s="7"/>
      <c r="Y520" s="7" t="s">
        <v>41</v>
      </c>
      <c r="Z520" s="7"/>
      <c r="AA520" s="7" t="str">
        <f>HYPERLINK("https://miland.ru/api/getInfo/item/6c71db39-f052-11f0-a28d-00155d82e908")</f>
        <v>https://miland.ru/api/getInfo/item/6c71db39-f052-11f0-a28d-00155d82e908</v>
      </c>
      <c r="AB520" s="7" t="s">
        <v>50</v>
      </c>
      <c r="AC520" s="7"/>
      <c r="AD520" s="7"/>
      <c r="AE520" s="54"/>
    </row>
    <row r="521" spans="2:31" s="1" customFormat="1" ht="96.3" customHeight="1" outlineLevel="6">
      <c r="B521" s="6">
        <v>355</v>
      </c>
      <c r="C521" s="7" t="s">
        <v>1757</v>
      </c>
      <c r="D521" s="71" t="s">
        <v>1758</v>
      </c>
      <c r="E521" s="71"/>
      <c r="F521" s="71"/>
      <c r="G521" s="71"/>
      <c r="H521" s="8" t="s">
        <v>1759</v>
      </c>
      <c r="I521" s="14">
        <v>30</v>
      </c>
      <c r="J521" s="8"/>
      <c r="K521" s="6">
        <v>30</v>
      </c>
      <c r="L521" s="10">
        <v>13.39</v>
      </c>
      <c r="M521" s="11"/>
      <c r="N521" s="8">
        <f t="shared" si="25"/>
        <v>0</v>
      </c>
      <c r="O521" s="12">
        <f>0.009*M521</f>
        <v>0</v>
      </c>
      <c r="P521" s="13">
        <f t="shared" si="26"/>
        <v>0</v>
      </c>
      <c r="Q521" s="17" t="s">
        <v>37</v>
      </c>
      <c r="R521" s="8" t="s">
        <v>1760</v>
      </c>
      <c r="S521" s="8"/>
      <c r="T521" s="7" t="str">
        <f>HYPERLINK("https://miland.ru/api/getInfo/image/ebc8bbb2-f052-11f0-a28d-00155d82e908")</f>
        <v>https://miland.ru/api/getInfo/image/ebc8bbb2-f052-11f0-a28d-00155d82e908</v>
      </c>
      <c r="U521" s="7"/>
      <c r="V521" s="7" t="s">
        <v>1682</v>
      </c>
      <c r="W521" s="7" t="s">
        <v>1683</v>
      </c>
      <c r="X521" s="7"/>
      <c r="Y521" s="7" t="s">
        <v>41</v>
      </c>
      <c r="Z521" s="7"/>
      <c r="AA521" s="7" t="str">
        <f>HYPERLINK("https://miland.ru/api/getInfo/item/ebc8bbb2-f052-11f0-a28d-00155d82e908")</f>
        <v>https://miland.ru/api/getInfo/item/ebc8bbb2-f052-11f0-a28d-00155d82e908</v>
      </c>
      <c r="AB521" s="7" t="s">
        <v>50</v>
      </c>
      <c r="AC521" s="7"/>
      <c r="AD521" s="7"/>
      <c r="AE521" s="54"/>
    </row>
    <row r="522" spans="2:31" ht="12" customHeight="1" outlineLevel="5">
      <c r="B522" s="70" t="s">
        <v>1761</v>
      </c>
      <c r="C522" s="70"/>
      <c r="D522" s="70"/>
      <c r="E522" s="70"/>
      <c r="F522" s="70"/>
      <c r="G522" s="70"/>
    </row>
    <row r="523" spans="2:31" ht="12" customHeight="1" outlineLevel="6">
      <c r="B523" s="70" t="s">
        <v>1762</v>
      </c>
      <c r="C523" s="70"/>
      <c r="D523" s="70"/>
      <c r="E523" s="70"/>
      <c r="F523" s="70"/>
      <c r="G523" s="70"/>
    </row>
    <row r="524" spans="2:31" s="1" customFormat="1" ht="96.3" customHeight="1" outlineLevel="7">
      <c r="B524" s="20">
        <v>356</v>
      </c>
      <c r="C524" s="21" t="s">
        <v>1763</v>
      </c>
      <c r="D524" s="72" t="s">
        <v>1764</v>
      </c>
      <c r="E524" s="72"/>
      <c r="F524" s="72"/>
      <c r="G524" s="72"/>
      <c r="H524" s="22" t="s">
        <v>1765</v>
      </c>
      <c r="I524" s="27">
        <v>410</v>
      </c>
      <c r="J524" s="22"/>
      <c r="K524" s="20">
        <v>20</v>
      </c>
      <c r="L524" s="24">
        <v>26.12</v>
      </c>
      <c r="M524" s="11"/>
      <c r="N524" s="22">
        <f>L524*M524</f>
        <v>0</v>
      </c>
      <c r="O524" s="25">
        <f>0.007*M524</f>
        <v>0</v>
      </c>
      <c r="P524" s="26">
        <f>0.00003*M524</f>
        <v>0</v>
      </c>
      <c r="Q524" s="30"/>
      <c r="R524" s="22" t="s">
        <v>1766</v>
      </c>
      <c r="S524" s="22" t="s">
        <v>435</v>
      </c>
      <c r="T524" s="21" t="str">
        <f>HYPERLINK("https://miland.ru/api/getInfo/image/b2098940-b806-11ed-a230-00155d82e902")</f>
        <v>https://miland.ru/api/getInfo/image/b2098940-b806-11ed-a230-00155d82e902</v>
      </c>
      <c r="U524" s="21"/>
      <c r="V524" s="21" t="s">
        <v>1682</v>
      </c>
      <c r="W524" s="21" t="s">
        <v>1683</v>
      </c>
      <c r="X524" s="21"/>
      <c r="Y524" s="21" t="s">
        <v>41</v>
      </c>
      <c r="Z524" s="21"/>
      <c r="AA524" s="21" t="str">
        <f>HYPERLINK("https://miland.ru/api/getInfo/item/b2098940-b806-11ed-a230-00155d82e902")</f>
        <v>https://miland.ru/api/getInfo/item/b2098940-b806-11ed-a230-00155d82e902</v>
      </c>
      <c r="AB524" s="21" t="s">
        <v>50</v>
      </c>
      <c r="AC524" s="21"/>
      <c r="AD524" s="21"/>
    </row>
    <row r="525" spans="2:31" ht="12" customHeight="1" outlineLevel="5">
      <c r="B525" s="70" t="s">
        <v>1767</v>
      </c>
      <c r="C525" s="70"/>
      <c r="D525" s="70"/>
      <c r="E525" s="70"/>
      <c r="F525" s="70"/>
      <c r="G525" s="70"/>
    </row>
    <row r="526" spans="2:31" s="1" customFormat="1" ht="96.3" customHeight="1" outlineLevel="6">
      <c r="B526" s="20">
        <v>357</v>
      </c>
      <c r="C526" s="21" t="s">
        <v>1768</v>
      </c>
      <c r="D526" s="72" t="s">
        <v>1769</v>
      </c>
      <c r="E526" s="72"/>
      <c r="F526" s="72"/>
      <c r="G526" s="72"/>
      <c r="H526" s="22" t="s">
        <v>1770</v>
      </c>
      <c r="I526" s="23" t="s">
        <v>36</v>
      </c>
      <c r="J526" s="22"/>
      <c r="K526" s="20">
        <v>20</v>
      </c>
      <c r="L526" s="24">
        <v>31.63</v>
      </c>
      <c r="M526" s="11"/>
      <c r="N526" s="22">
        <f>L526*M526</f>
        <v>0</v>
      </c>
      <c r="O526" s="25">
        <f>0.011*M526</f>
        <v>0</v>
      </c>
      <c r="P526" s="26">
        <f>0.00003*M526</f>
        <v>0</v>
      </c>
      <c r="Q526" s="30"/>
      <c r="R526" s="22" t="s">
        <v>1771</v>
      </c>
      <c r="S526" s="22" t="s">
        <v>435</v>
      </c>
      <c r="T526" s="21" t="str">
        <f>HYPERLINK("https://miland.ru/api/getInfo/image/94e644db-b812-11ed-a230-00155d82e902")</f>
        <v>https://miland.ru/api/getInfo/image/94e644db-b812-11ed-a230-00155d82e902</v>
      </c>
      <c r="U526" s="21"/>
      <c r="V526" s="21" t="s">
        <v>1682</v>
      </c>
      <c r="W526" s="21" t="s">
        <v>1683</v>
      </c>
      <c r="X526" s="21"/>
      <c r="Y526" s="21" t="s">
        <v>41</v>
      </c>
      <c r="Z526" s="21"/>
      <c r="AA526" s="21" t="str">
        <f>HYPERLINK("https://miland.ru/api/getInfo/item/94e644db-b812-11ed-a230-00155d82e902")</f>
        <v>https://miland.ru/api/getInfo/item/94e644db-b812-11ed-a230-00155d82e902</v>
      </c>
      <c r="AB526" s="21" t="s">
        <v>50</v>
      </c>
      <c r="AC526" s="21" t="s">
        <v>1698</v>
      </c>
      <c r="AD526" s="21"/>
    </row>
    <row r="527" spans="2:31" ht="12" customHeight="1" outlineLevel="5">
      <c r="B527" s="70" t="s">
        <v>1772</v>
      </c>
      <c r="C527" s="70"/>
      <c r="D527" s="70"/>
      <c r="E527" s="70"/>
      <c r="F527" s="70"/>
      <c r="G527" s="70"/>
    </row>
    <row r="528" spans="2:31" s="1" customFormat="1" ht="96.3" customHeight="1" outlineLevel="6">
      <c r="B528" s="6">
        <v>358</v>
      </c>
      <c r="C528" s="7" t="s">
        <v>1773</v>
      </c>
      <c r="D528" s="71" t="s">
        <v>1774</v>
      </c>
      <c r="E528" s="71"/>
      <c r="F528" s="71"/>
      <c r="G528" s="71"/>
      <c r="H528" s="8" t="s">
        <v>1775</v>
      </c>
      <c r="I528" s="9" t="s">
        <v>36</v>
      </c>
      <c r="J528" s="8"/>
      <c r="K528" s="6">
        <v>20</v>
      </c>
      <c r="L528" s="10">
        <v>29.03</v>
      </c>
      <c r="M528" s="11"/>
      <c r="N528" s="8">
        <f>L528*M528</f>
        <v>0</v>
      </c>
      <c r="O528" s="12">
        <f>0.008*M528</f>
        <v>0</v>
      </c>
      <c r="P528" s="13">
        <f>0.00001*M528</f>
        <v>0</v>
      </c>
      <c r="Q528" s="17" t="s">
        <v>37</v>
      </c>
      <c r="R528" s="8" t="s">
        <v>1776</v>
      </c>
      <c r="S528" s="8"/>
      <c r="T528" s="7" t="str">
        <f>HYPERLINK("https://miland.ru/api/getInfo/image/20ae39c5-bb14-11f0-a288-00155d82e908")</f>
        <v>https://miland.ru/api/getInfo/image/20ae39c5-bb14-11f0-a288-00155d82e908</v>
      </c>
      <c r="U528" s="7"/>
      <c r="V528" s="7" t="s">
        <v>1682</v>
      </c>
      <c r="W528" s="7" t="s">
        <v>1683</v>
      </c>
      <c r="X528" s="7"/>
      <c r="Y528" s="7" t="s">
        <v>41</v>
      </c>
      <c r="Z528" s="7"/>
      <c r="AA528" s="7" t="str">
        <f>HYPERLINK("https://miland.ru/api/getInfo/item/20ae39c5-bb14-11f0-a288-00155d82e908")</f>
        <v>https://miland.ru/api/getInfo/item/20ae39c5-bb14-11f0-a288-00155d82e908</v>
      </c>
      <c r="AB528" s="7" t="s">
        <v>50</v>
      </c>
      <c r="AC528" s="7"/>
      <c r="AD528" s="7"/>
      <c r="AE528" s="54"/>
    </row>
    <row r="529" spans="2:31" s="1" customFormat="1" ht="96.3" customHeight="1" outlineLevel="6">
      <c r="B529" s="6">
        <v>359</v>
      </c>
      <c r="C529" s="7" t="s">
        <v>1777</v>
      </c>
      <c r="D529" s="71" t="s">
        <v>1778</v>
      </c>
      <c r="E529" s="71"/>
      <c r="F529" s="71"/>
      <c r="G529" s="71"/>
      <c r="H529" s="8" t="s">
        <v>1779</v>
      </c>
      <c r="I529" s="9" t="s">
        <v>36</v>
      </c>
      <c r="J529" s="8"/>
      <c r="K529" s="6">
        <v>20</v>
      </c>
      <c r="L529" s="10">
        <v>29.03</v>
      </c>
      <c r="M529" s="11"/>
      <c r="N529" s="8">
        <f>L529*M529</f>
        <v>0</v>
      </c>
      <c r="O529" s="12">
        <f>0.008*M529</f>
        <v>0</v>
      </c>
      <c r="P529" s="13">
        <f>0.00001*M529</f>
        <v>0</v>
      </c>
      <c r="Q529" s="17" t="s">
        <v>37</v>
      </c>
      <c r="R529" s="8" t="s">
        <v>1780</v>
      </c>
      <c r="S529" s="8"/>
      <c r="T529" s="7" t="str">
        <f>HYPERLINK("https://miland.ru/api/getInfo/image/046028be-bb13-11f0-a288-00155d82e908")</f>
        <v>https://miland.ru/api/getInfo/image/046028be-bb13-11f0-a288-00155d82e908</v>
      </c>
      <c r="U529" s="7"/>
      <c r="V529" s="7" t="s">
        <v>1682</v>
      </c>
      <c r="W529" s="7" t="s">
        <v>1683</v>
      </c>
      <c r="X529" s="7"/>
      <c r="Y529" s="7" t="s">
        <v>41</v>
      </c>
      <c r="Z529" s="7"/>
      <c r="AA529" s="7" t="str">
        <f>HYPERLINK("https://miland.ru/api/getInfo/item/046028be-bb13-11f0-a288-00155d82e908")</f>
        <v>https://miland.ru/api/getInfo/item/046028be-bb13-11f0-a288-00155d82e908</v>
      </c>
      <c r="AB529" s="7" t="s">
        <v>50</v>
      </c>
      <c r="AC529" s="7"/>
      <c r="AD529" s="7"/>
      <c r="AE529" s="54"/>
    </row>
    <row r="530" spans="2:31" s="1" customFormat="1" ht="96.3" customHeight="1" outlineLevel="6">
      <c r="B530" s="6">
        <v>360</v>
      </c>
      <c r="C530" s="7" t="s">
        <v>1781</v>
      </c>
      <c r="D530" s="71" t="s">
        <v>1782</v>
      </c>
      <c r="E530" s="71"/>
      <c r="F530" s="71"/>
      <c r="G530" s="71"/>
      <c r="H530" s="8" t="s">
        <v>1783</v>
      </c>
      <c r="I530" s="9" t="s">
        <v>36</v>
      </c>
      <c r="J530" s="8"/>
      <c r="K530" s="6">
        <v>20</v>
      </c>
      <c r="L530" s="10">
        <v>29.03</v>
      </c>
      <c r="M530" s="11"/>
      <c r="N530" s="8">
        <f>L530*M530</f>
        <v>0</v>
      </c>
      <c r="O530" s="18">
        <f>0.01*M530</f>
        <v>0</v>
      </c>
      <c r="P530" s="13">
        <f>0.00003*M530</f>
        <v>0</v>
      </c>
      <c r="Q530" s="17" t="s">
        <v>37</v>
      </c>
      <c r="R530" s="8" t="s">
        <v>1784</v>
      </c>
      <c r="S530" s="8"/>
      <c r="T530" s="7" t="str">
        <f>HYPERLINK("https://miland.ru/api/getInfo/image/59747d93-bb13-11f0-a288-00155d82e908")</f>
        <v>https://miland.ru/api/getInfo/image/59747d93-bb13-11f0-a288-00155d82e908</v>
      </c>
      <c r="U530" s="7"/>
      <c r="V530" s="7" t="s">
        <v>1682</v>
      </c>
      <c r="W530" s="7" t="s">
        <v>1683</v>
      </c>
      <c r="X530" s="7"/>
      <c r="Y530" s="7" t="s">
        <v>41</v>
      </c>
      <c r="Z530" s="7"/>
      <c r="AA530" s="7" t="str">
        <f>HYPERLINK("https://miland.ru/api/getInfo/item/59747d93-bb13-11f0-a288-00155d82e908")</f>
        <v>https://miland.ru/api/getInfo/item/59747d93-bb13-11f0-a288-00155d82e908</v>
      </c>
      <c r="AB530" s="7" t="s">
        <v>50</v>
      </c>
      <c r="AC530" s="7"/>
      <c r="AD530" s="7"/>
      <c r="AE530" s="54"/>
    </row>
    <row r="531" spans="2:31" s="1" customFormat="1" ht="96.3" customHeight="1" outlineLevel="6">
      <c r="B531" s="6">
        <v>361</v>
      </c>
      <c r="C531" s="7" t="s">
        <v>1785</v>
      </c>
      <c r="D531" s="71" t="s">
        <v>1786</v>
      </c>
      <c r="E531" s="71"/>
      <c r="F531" s="71"/>
      <c r="G531" s="71"/>
      <c r="H531" s="8" t="s">
        <v>1787</v>
      </c>
      <c r="I531" s="9" t="s">
        <v>36</v>
      </c>
      <c r="J531" s="8"/>
      <c r="K531" s="6">
        <v>20</v>
      </c>
      <c r="L531" s="10">
        <v>29.03</v>
      </c>
      <c r="M531" s="11"/>
      <c r="N531" s="8">
        <f>L531*M531</f>
        <v>0</v>
      </c>
      <c r="O531" s="12">
        <f>0.008*M531</f>
        <v>0</v>
      </c>
      <c r="P531" s="13">
        <f>0.00001*M531</f>
        <v>0</v>
      </c>
      <c r="Q531" s="17" t="s">
        <v>37</v>
      </c>
      <c r="R531" s="8" t="s">
        <v>1788</v>
      </c>
      <c r="S531" s="8"/>
      <c r="T531" s="7" t="str">
        <f>HYPERLINK("https://miland.ru/api/getInfo/image/a6ff65c5-bb13-11f0-a288-00155d82e908")</f>
        <v>https://miland.ru/api/getInfo/image/a6ff65c5-bb13-11f0-a288-00155d82e908</v>
      </c>
      <c r="U531" s="7"/>
      <c r="V531" s="7" t="s">
        <v>1682</v>
      </c>
      <c r="W531" s="7" t="s">
        <v>1683</v>
      </c>
      <c r="X531" s="7"/>
      <c r="Y531" s="7" t="s">
        <v>41</v>
      </c>
      <c r="Z531" s="7"/>
      <c r="AA531" s="7" t="str">
        <f>HYPERLINK("https://miland.ru/api/getInfo/item/a6ff65c5-bb13-11f0-a288-00155d82e908")</f>
        <v>https://miland.ru/api/getInfo/item/a6ff65c5-bb13-11f0-a288-00155d82e908</v>
      </c>
      <c r="AB531" s="7" t="s">
        <v>50</v>
      </c>
      <c r="AC531" s="7"/>
      <c r="AD531" s="7"/>
      <c r="AE531" s="54"/>
    </row>
    <row r="532" spans="2:31" s="1" customFormat="1" ht="96.3" customHeight="1" outlineLevel="6">
      <c r="B532" s="6">
        <v>362</v>
      </c>
      <c r="C532" s="7" t="s">
        <v>1789</v>
      </c>
      <c r="D532" s="71" t="s">
        <v>1790</v>
      </c>
      <c r="E532" s="71"/>
      <c r="F532" s="71"/>
      <c r="G532" s="71"/>
      <c r="H532" s="8" t="s">
        <v>1791</v>
      </c>
      <c r="I532" s="14">
        <v>300</v>
      </c>
      <c r="J532" s="8"/>
      <c r="K532" s="6">
        <v>20</v>
      </c>
      <c r="L532" s="10">
        <v>29.03</v>
      </c>
      <c r="M532" s="11"/>
      <c r="N532" s="8">
        <f>L532*M532</f>
        <v>0</v>
      </c>
      <c r="O532" s="18">
        <f>0.01*M532</f>
        <v>0</v>
      </c>
      <c r="P532" s="13">
        <f>0.00003*M532</f>
        <v>0</v>
      </c>
      <c r="Q532" s="17" t="s">
        <v>37</v>
      </c>
      <c r="R532" s="8" t="s">
        <v>1792</v>
      </c>
      <c r="S532" s="8"/>
      <c r="T532" s="7" t="str">
        <f>HYPERLINK("https://miland.ru/api/getInfo/image/f89295b7-bb13-11f0-a288-00155d82e908")</f>
        <v>https://miland.ru/api/getInfo/image/f89295b7-bb13-11f0-a288-00155d82e908</v>
      </c>
      <c r="U532" s="7"/>
      <c r="V532" s="7" t="s">
        <v>1682</v>
      </c>
      <c r="W532" s="7" t="s">
        <v>1683</v>
      </c>
      <c r="X532" s="7"/>
      <c r="Y532" s="7" t="s">
        <v>41</v>
      </c>
      <c r="Z532" s="7"/>
      <c r="AA532" s="7" t="str">
        <f>HYPERLINK("https://miland.ru/api/getInfo/item/f89295b7-bb13-11f0-a288-00155d82e908")</f>
        <v>https://miland.ru/api/getInfo/item/f89295b7-bb13-11f0-a288-00155d82e908</v>
      </c>
      <c r="AB532" s="7" t="s">
        <v>50</v>
      </c>
      <c r="AC532" s="7"/>
      <c r="AD532" s="7"/>
      <c r="AE532" s="54"/>
    </row>
    <row r="533" spans="2:31" ht="12" customHeight="1" outlineLevel="4">
      <c r="B533" s="70" t="s">
        <v>1793</v>
      </c>
      <c r="C533" s="70"/>
      <c r="D533" s="70"/>
      <c r="E533" s="70"/>
      <c r="F533" s="70"/>
      <c r="G533" s="70"/>
    </row>
    <row r="534" spans="2:31" s="1" customFormat="1" ht="96.3" customHeight="1" outlineLevel="5">
      <c r="B534" s="20">
        <v>363</v>
      </c>
      <c r="C534" s="21" t="s">
        <v>1794</v>
      </c>
      <c r="D534" s="72" t="s">
        <v>1795</v>
      </c>
      <c r="E534" s="72"/>
      <c r="F534" s="72"/>
      <c r="G534" s="72"/>
      <c r="H534" s="22" t="s">
        <v>1796</v>
      </c>
      <c r="I534" s="23" t="s">
        <v>36</v>
      </c>
      <c r="J534" s="22"/>
      <c r="K534" s="20">
        <v>4</v>
      </c>
      <c r="L534" s="24">
        <v>155.43</v>
      </c>
      <c r="M534" s="11"/>
      <c r="N534" s="22">
        <f>L534*M534</f>
        <v>0</v>
      </c>
      <c r="O534" s="25">
        <f>0.082*M534</f>
        <v>0</v>
      </c>
      <c r="P534" s="26">
        <f>0.00004*M534</f>
        <v>0</v>
      </c>
      <c r="Q534" s="30"/>
      <c r="R534" s="22" t="s">
        <v>1797</v>
      </c>
      <c r="S534" s="22" t="s">
        <v>435</v>
      </c>
      <c r="T534" s="21" t="str">
        <f>HYPERLINK("https://miland.ru/api/getInfo/image/539273db-92b1-11ef-a265-00155d82e908")</f>
        <v>https://miland.ru/api/getInfo/image/539273db-92b1-11ef-a265-00155d82e908</v>
      </c>
      <c r="U534" s="21"/>
      <c r="V534" s="21" t="s">
        <v>1798</v>
      </c>
      <c r="W534" s="21" t="s">
        <v>1799</v>
      </c>
      <c r="X534" s="21"/>
      <c r="Y534" s="21" t="s">
        <v>41</v>
      </c>
      <c r="Z534" s="21"/>
      <c r="AA534" s="21" t="str">
        <f>HYPERLINK("https://miland.ru/api/getInfo/item/539273db-92b1-11ef-a265-00155d82e908")</f>
        <v>https://miland.ru/api/getInfo/item/539273db-92b1-11ef-a265-00155d82e908</v>
      </c>
      <c r="AB534" s="21" t="s">
        <v>50</v>
      </c>
      <c r="AC534" s="21"/>
      <c r="AD534" s="21"/>
    </row>
    <row r="535" spans="2:31" s="1" customFormat="1" ht="96.3" customHeight="1" outlineLevel="5">
      <c r="B535" s="6">
        <v>364</v>
      </c>
      <c r="C535" s="7" t="s">
        <v>1800</v>
      </c>
      <c r="D535" s="71" t="s">
        <v>1801</v>
      </c>
      <c r="E535" s="71"/>
      <c r="F535" s="71"/>
      <c r="G535" s="71"/>
      <c r="H535" s="8" t="s">
        <v>1802</v>
      </c>
      <c r="I535" s="9" t="s">
        <v>36</v>
      </c>
      <c r="J535" s="8"/>
      <c r="K535" s="6">
        <v>4</v>
      </c>
      <c r="L535" s="10">
        <v>155.43</v>
      </c>
      <c r="M535" s="11"/>
      <c r="N535" s="8">
        <f>L535*M535</f>
        <v>0</v>
      </c>
      <c r="O535" s="12">
        <f>0.088*M535</f>
        <v>0</v>
      </c>
      <c r="P535" s="13">
        <f>0.00012*M535</f>
        <v>0</v>
      </c>
      <c r="Q535" s="17" t="s">
        <v>37</v>
      </c>
      <c r="R535" s="8" t="s">
        <v>1803</v>
      </c>
      <c r="S535" s="8"/>
      <c r="T535" s="7" t="str">
        <f>HYPERLINK("https://miland.ru/api/getInfo/image/a7997915-df0e-11f0-a28c-00155d82e908")</f>
        <v>https://miland.ru/api/getInfo/image/a7997915-df0e-11f0-a28c-00155d82e908</v>
      </c>
      <c r="U535" s="7"/>
      <c r="V535" s="7" t="s">
        <v>1798</v>
      </c>
      <c r="W535" s="7" t="s">
        <v>1799</v>
      </c>
      <c r="X535" s="7"/>
      <c r="Y535" s="7" t="s">
        <v>41</v>
      </c>
      <c r="Z535" s="7"/>
      <c r="AA535" s="7" t="str">
        <f>HYPERLINK("https://miland.ru/api/getInfo/item/a7997915-df0e-11f0-a28c-00155d82e908")</f>
        <v>https://miland.ru/api/getInfo/item/a7997915-df0e-11f0-a28c-00155d82e908</v>
      </c>
      <c r="AB535" s="7" t="s">
        <v>50</v>
      </c>
      <c r="AC535" s="7"/>
      <c r="AD535" s="7"/>
      <c r="AE535" s="54"/>
    </row>
    <row r="536" spans="2:31" s="1" customFormat="1" ht="96.3" customHeight="1" outlineLevel="5">
      <c r="B536" s="20">
        <v>365</v>
      </c>
      <c r="C536" s="21" t="s">
        <v>1804</v>
      </c>
      <c r="D536" s="72" t="s">
        <v>1805</v>
      </c>
      <c r="E536" s="72"/>
      <c r="F536" s="72"/>
      <c r="G536" s="72"/>
      <c r="H536" s="22" t="s">
        <v>1806</v>
      </c>
      <c r="I536" s="23" t="s">
        <v>36</v>
      </c>
      <c r="J536" s="22"/>
      <c r="K536" s="20">
        <v>5</v>
      </c>
      <c r="L536" s="24">
        <v>123.37</v>
      </c>
      <c r="M536" s="11"/>
      <c r="N536" s="22">
        <f>L536*M536</f>
        <v>0</v>
      </c>
      <c r="O536" s="28">
        <f>0.06*M536</f>
        <v>0</v>
      </c>
      <c r="P536" s="26">
        <f>0.00008*M536</f>
        <v>0</v>
      </c>
      <c r="Q536" s="30"/>
      <c r="R536" s="22" t="s">
        <v>1807</v>
      </c>
      <c r="S536" s="22"/>
      <c r="T536" s="21" t="str">
        <f>HYPERLINK("https://miland.ru/api/getInfo/image/da31a9b6-ba0e-11ee-a25a-00155d82e908")</f>
        <v>https://miland.ru/api/getInfo/image/da31a9b6-ba0e-11ee-a25a-00155d82e908</v>
      </c>
      <c r="U536" s="21"/>
      <c r="V536" s="21" t="s">
        <v>1798</v>
      </c>
      <c r="W536" s="21" t="s">
        <v>1799</v>
      </c>
      <c r="X536" s="21"/>
      <c r="Y536" s="21" t="s">
        <v>41</v>
      </c>
      <c r="Z536" s="21"/>
      <c r="AA536" s="21" t="str">
        <f>HYPERLINK("https://miland.ru/api/getInfo/item/da31a9b6-ba0e-11ee-a25a-00155d82e908")</f>
        <v>https://miland.ru/api/getInfo/item/da31a9b6-ba0e-11ee-a25a-00155d82e908</v>
      </c>
      <c r="AB536" s="21" t="s">
        <v>50</v>
      </c>
      <c r="AC536" s="21"/>
      <c r="AD536" s="21"/>
    </row>
    <row r="537" spans="2:31" ht="12" customHeight="1" outlineLevel="4">
      <c r="B537" s="70" t="s">
        <v>1808</v>
      </c>
      <c r="C537" s="70"/>
      <c r="D537" s="70"/>
      <c r="E537" s="70"/>
      <c r="F537" s="70"/>
      <c r="G537" s="70"/>
    </row>
    <row r="538" spans="2:31" s="1" customFormat="1" ht="96.3" customHeight="1" outlineLevel="5">
      <c r="B538" s="20">
        <v>366</v>
      </c>
      <c r="C538" s="21" t="s">
        <v>1809</v>
      </c>
      <c r="D538" s="72" t="s">
        <v>1810</v>
      </c>
      <c r="E538" s="72"/>
      <c r="F538" s="72"/>
      <c r="G538" s="72"/>
      <c r="H538" s="22" t="s">
        <v>1811</v>
      </c>
      <c r="I538" s="23" t="s">
        <v>36</v>
      </c>
      <c r="J538" s="22"/>
      <c r="K538" s="20">
        <v>3</v>
      </c>
      <c r="L538" s="24">
        <v>227.54</v>
      </c>
      <c r="M538" s="11"/>
      <c r="N538" s="22">
        <f t="shared" ref="N538:N546" si="27">L538*M538</f>
        <v>0</v>
      </c>
      <c r="O538" s="25">
        <f>0.083*M538</f>
        <v>0</v>
      </c>
      <c r="P538" s="26">
        <f>0.00014*M538</f>
        <v>0</v>
      </c>
      <c r="Q538" s="30"/>
      <c r="R538" s="22" t="s">
        <v>1812</v>
      </c>
      <c r="S538" s="22"/>
      <c r="T538" s="21" t="str">
        <f>HYPERLINK("https://miland.ru/api/getInfo/image/1e2d174e-c0df-11ee-a25a-00155d82e908")</f>
        <v>https://miland.ru/api/getInfo/image/1e2d174e-c0df-11ee-a25a-00155d82e908</v>
      </c>
      <c r="U538" s="21"/>
      <c r="V538" s="21"/>
      <c r="W538" s="21"/>
      <c r="X538" s="21" t="s">
        <v>172</v>
      </c>
      <c r="Y538" s="21" t="s">
        <v>477</v>
      </c>
      <c r="Z538" s="21" t="s">
        <v>1813</v>
      </c>
      <c r="AA538" s="21" t="str">
        <f>HYPERLINK("https://miland.ru/api/getInfo/item/1e2d174e-c0df-11ee-a25a-00155d82e908")</f>
        <v>https://miland.ru/api/getInfo/item/1e2d174e-c0df-11ee-a25a-00155d82e908</v>
      </c>
      <c r="AB538" s="21" t="s">
        <v>50</v>
      </c>
      <c r="AC538" s="21"/>
      <c r="AD538" s="21"/>
    </row>
    <row r="539" spans="2:31" s="1" customFormat="1" ht="96.3" customHeight="1" outlineLevel="5">
      <c r="B539" s="6">
        <v>367</v>
      </c>
      <c r="C539" s="7" t="s">
        <v>1814</v>
      </c>
      <c r="D539" s="71" t="s">
        <v>1815</v>
      </c>
      <c r="E539" s="71"/>
      <c r="F539" s="71"/>
      <c r="G539" s="71"/>
      <c r="H539" s="8" t="s">
        <v>1816</v>
      </c>
      <c r="I539" s="9" t="s">
        <v>36</v>
      </c>
      <c r="J539" s="8"/>
      <c r="K539" s="6">
        <v>4</v>
      </c>
      <c r="L539" s="10">
        <v>147.93</v>
      </c>
      <c r="M539" s="11"/>
      <c r="N539" s="8">
        <f t="shared" si="27"/>
        <v>0</v>
      </c>
      <c r="O539" s="12">
        <f>0.237*M539</f>
        <v>0</v>
      </c>
      <c r="P539" s="13">
        <f>0.00054*M539</f>
        <v>0</v>
      </c>
      <c r="Q539" s="17" t="s">
        <v>37</v>
      </c>
      <c r="R539" s="8" t="s">
        <v>1817</v>
      </c>
      <c r="S539" s="8"/>
      <c r="T539" s="7" t="str">
        <f>HYPERLINK("https://miland.ru/api/getInfo/image/9151b0a9-f208-11f0-a28d-00155d82e908")</f>
        <v>https://miland.ru/api/getInfo/image/9151b0a9-f208-11f0-a28d-00155d82e908</v>
      </c>
      <c r="U539" s="7"/>
      <c r="V539" s="7" t="s">
        <v>1818</v>
      </c>
      <c r="W539" s="7" t="s">
        <v>1819</v>
      </c>
      <c r="X539" s="7" t="s">
        <v>172</v>
      </c>
      <c r="Y539" s="7" t="s">
        <v>477</v>
      </c>
      <c r="Z539" s="7" t="s">
        <v>1820</v>
      </c>
      <c r="AA539" s="7" t="str">
        <f>HYPERLINK("https://miland.ru/api/getInfo/item/9151b0a9-f208-11f0-a28d-00155d82e908")</f>
        <v>https://miland.ru/api/getInfo/item/9151b0a9-f208-11f0-a28d-00155d82e908</v>
      </c>
      <c r="AB539" s="7" t="s">
        <v>50</v>
      </c>
      <c r="AC539" s="7"/>
      <c r="AD539" s="7"/>
      <c r="AE539" s="54"/>
    </row>
    <row r="540" spans="2:31" s="1" customFormat="1" ht="96.3" customHeight="1" outlineLevel="5">
      <c r="B540" s="6">
        <v>368</v>
      </c>
      <c r="C540" s="7" t="s">
        <v>1821</v>
      </c>
      <c r="D540" s="71" t="s">
        <v>1822</v>
      </c>
      <c r="E540" s="71"/>
      <c r="F540" s="71"/>
      <c r="G540" s="71"/>
      <c r="H540" s="8" t="s">
        <v>1823</v>
      </c>
      <c r="I540" s="9" t="s">
        <v>36</v>
      </c>
      <c r="J540" s="8"/>
      <c r="K540" s="6">
        <v>4</v>
      </c>
      <c r="L540" s="10">
        <v>147.93</v>
      </c>
      <c r="M540" s="11"/>
      <c r="N540" s="8">
        <f t="shared" si="27"/>
        <v>0</v>
      </c>
      <c r="O540" s="12">
        <f>0.054*M540</f>
        <v>0</v>
      </c>
      <c r="P540" s="13">
        <f>0.00019*M540</f>
        <v>0</v>
      </c>
      <c r="Q540" s="17" t="s">
        <v>37</v>
      </c>
      <c r="R540" s="8" t="s">
        <v>1824</v>
      </c>
      <c r="S540" s="8"/>
      <c r="T540" s="7" t="str">
        <f>HYPERLINK("https://miland.ru/api/getInfo/image/5a75251f-f20d-11f0-a28d-00155d82e908")</f>
        <v>https://miland.ru/api/getInfo/image/5a75251f-f20d-11f0-a28d-00155d82e908</v>
      </c>
      <c r="U540" s="7"/>
      <c r="V540" s="7" t="s">
        <v>1818</v>
      </c>
      <c r="W540" s="7" t="s">
        <v>1819</v>
      </c>
      <c r="X540" s="7" t="s">
        <v>172</v>
      </c>
      <c r="Y540" s="7" t="s">
        <v>477</v>
      </c>
      <c r="Z540" s="7" t="s">
        <v>1825</v>
      </c>
      <c r="AA540" s="7" t="str">
        <f>HYPERLINK("https://miland.ru/api/getInfo/item/5a75251f-f20d-11f0-a28d-00155d82e908")</f>
        <v>https://miland.ru/api/getInfo/item/5a75251f-f20d-11f0-a28d-00155d82e908</v>
      </c>
      <c r="AB540" s="7" t="s">
        <v>50</v>
      </c>
      <c r="AC540" s="7"/>
      <c r="AD540" s="7"/>
      <c r="AE540" s="54"/>
    </row>
    <row r="541" spans="2:31" s="1" customFormat="1" ht="96.3" customHeight="1" outlineLevel="5">
      <c r="B541" s="6">
        <v>369</v>
      </c>
      <c r="C541" s="7" t="s">
        <v>1826</v>
      </c>
      <c r="D541" s="71" t="s">
        <v>1827</v>
      </c>
      <c r="E541" s="71"/>
      <c r="F541" s="71"/>
      <c r="G541" s="71"/>
      <c r="H541" s="8" t="s">
        <v>1828</v>
      </c>
      <c r="I541" s="9" t="s">
        <v>36</v>
      </c>
      <c r="J541" s="8"/>
      <c r="K541" s="6">
        <v>4</v>
      </c>
      <c r="L541" s="10">
        <v>147.93</v>
      </c>
      <c r="M541" s="11"/>
      <c r="N541" s="8">
        <f t="shared" si="27"/>
        <v>0</v>
      </c>
      <c r="O541" s="12">
        <f>0.053*M541</f>
        <v>0</v>
      </c>
      <c r="P541" s="13">
        <f>0.00033*M541</f>
        <v>0</v>
      </c>
      <c r="Q541" s="17" t="s">
        <v>37</v>
      </c>
      <c r="R541" s="8" t="s">
        <v>1829</v>
      </c>
      <c r="S541" s="8"/>
      <c r="T541" s="7" t="str">
        <f>HYPERLINK("https://miland.ru/api/getInfo/image/135659a7-f20d-11f0-a28d-00155d82e908")</f>
        <v>https://miland.ru/api/getInfo/image/135659a7-f20d-11f0-a28d-00155d82e908</v>
      </c>
      <c r="U541" s="7"/>
      <c r="V541" s="7" t="s">
        <v>1818</v>
      </c>
      <c r="W541" s="7" t="s">
        <v>1819</v>
      </c>
      <c r="X541" s="7" t="s">
        <v>172</v>
      </c>
      <c r="Y541" s="7" t="s">
        <v>477</v>
      </c>
      <c r="Z541" s="7" t="s">
        <v>1830</v>
      </c>
      <c r="AA541" s="7" t="str">
        <f>HYPERLINK("https://miland.ru/api/getInfo/item/135659a7-f20d-11f0-a28d-00155d82e908")</f>
        <v>https://miland.ru/api/getInfo/item/135659a7-f20d-11f0-a28d-00155d82e908</v>
      </c>
      <c r="AB541" s="7" t="s">
        <v>50</v>
      </c>
      <c r="AC541" s="7"/>
      <c r="AD541" s="7"/>
      <c r="AE541" s="54"/>
    </row>
    <row r="542" spans="2:31" s="1" customFormat="1" ht="96.3" customHeight="1" outlineLevel="5">
      <c r="B542" s="6">
        <v>370</v>
      </c>
      <c r="C542" s="7" t="s">
        <v>1831</v>
      </c>
      <c r="D542" s="71" t="s">
        <v>1832</v>
      </c>
      <c r="E542" s="71"/>
      <c r="F542" s="71"/>
      <c r="G542" s="71"/>
      <c r="H542" s="8" t="s">
        <v>1833</v>
      </c>
      <c r="I542" s="9" t="s">
        <v>36</v>
      </c>
      <c r="J542" s="8"/>
      <c r="K542" s="6">
        <v>4</v>
      </c>
      <c r="L542" s="10">
        <v>147.93</v>
      </c>
      <c r="M542" s="11"/>
      <c r="N542" s="8">
        <f t="shared" si="27"/>
        <v>0</v>
      </c>
      <c r="O542" s="12">
        <f>0.237*M542</f>
        <v>0</v>
      </c>
      <c r="P542" s="13">
        <f>0.00054*M542</f>
        <v>0</v>
      </c>
      <c r="Q542" s="17" t="s">
        <v>37</v>
      </c>
      <c r="R542" s="8" t="s">
        <v>1834</v>
      </c>
      <c r="S542" s="8"/>
      <c r="T542" s="7" t="str">
        <f>HYPERLINK("https://miland.ru/api/getInfo/image/82b5e3b7-f061-11f0-a28d-00155d82e908")</f>
        <v>https://miland.ru/api/getInfo/image/82b5e3b7-f061-11f0-a28d-00155d82e908</v>
      </c>
      <c r="U542" s="7"/>
      <c r="V542" s="7" t="s">
        <v>1818</v>
      </c>
      <c r="W542" s="7" t="s">
        <v>1819</v>
      </c>
      <c r="X542" s="7" t="s">
        <v>172</v>
      </c>
      <c r="Y542" s="7" t="s">
        <v>477</v>
      </c>
      <c r="Z542" s="7" t="s">
        <v>1835</v>
      </c>
      <c r="AA542" s="7" t="str">
        <f>HYPERLINK("https://miland.ru/api/getInfo/item/82b5e3b7-f061-11f0-a28d-00155d82e908")</f>
        <v>https://miland.ru/api/getInfo/item/82b5e3b7-f061-11f0-a28d-00155d82e908</v>
      </c>
      <c r="AB542" s="7" t="s">
        <v>50</v>
      </c>
      <c r="AC542" s="7"/>
      <c r="AD542" s="7"/>
      <c r="AE542" s="54"/>
    </row>
    <row r="543" spans="2:31" s="1" customFormat="1" ht="96.3" customHeight="1" outlineLevel="5">
      <c r="B543" s="20">
        <v>371</v>
      </c>
      <c r="C543" s="21" t="s">
        <v>1836</v>
      </c>
      <c r="D543" s="72" t="s">
        <v>1837</v>
      </c>
      <c r="E543" s="72"/>
      <c r="F543" s="72"/>
      <c r="G543" s="72"/>
      <c r="H543" s="22" t="s">
        <v>1838</v>
      </c>
      <c r="I543" s="27">
        <v>12</v>
      </c>
      <c r="J543" s="22"/>
      <c r="K543" s="20">
        <v>4</v>
      </c>
      <c r="L543" s="24">
        <v>144.32</v>
      </c>
      <c r="M543" s="11"/>
      <c r="N543" s="22">
        <f t="shared" si="27"/>
        <v>0</v>
      </c>
      <c r="O543" s="25">
        <f>0.055*M543</f>
        <v>0</v>
      </c>
      <c r="P543" s="26">
        <f>0.00025*M543</f>
        <v>0</v>
      </c>
      <c r="Q543" s="30"/>
      <c r="R543" s="22" t="s">
        <v>1839</v>
      </c>
      <c r="S543" s="22" t="s">
        <v>435</v>
      </c>
      <c r="T543" s="21" t="str">
        <f>HYPERLINK("https://miland.ru/api/getInfo/image/770da23b-c027-11ee-a25a-00155d82e908")</f>
        <v>https://miland.ru/api/getInfo/image/770da23b-c027-11ee-a25a-00155d82e908</v>
      </c>
      <c r="U543" s="21"/>
      <c r="V543" s="21"/>
      <c r="W543" s="21"/>
      <c r="X543" s="21" t="s">
        <v>172</v>
      </c>
      <c r="Y543" s="21" t="s">
        <v>477</v>
      </c>
      <c r="Z543" s="21" t="s">
        <v>1840</v>
      </c>
      <c r="AA543" s="21" t="str">
        <f>HYPERLINK("https://miland.ru/api/getInfo/item/770da23b-c027-11ee-a25a-00155d82e908")</f>
        <v>https://miland.ru/api/getInfo/item/770da23b-c027-11ee-a25a-00155d82e908</v>
      </c>
      <c r="AB543" s="21" t="s">
        <v>50</v>
      </c>
      <c r="AC543" s="21"/>
      <c r="AD543" s="21"/>
    </row>
    <row r="544" spans="2:31" s="1" customFormat="1" ht="96.3" customHeight="1" outlineLevel="5">
      <c r="B544" s="20">
        <v>372</v>
      </c>
      <c r="C544" s="21" t="s">
        <v>1841</v>
      </c>
      <c r="D544" s="72" t="s">
        <v>1842</v>
      </c>
      <c r="E544" s="72"/>
      <c r="F544" s="72"/>
      <c r="G544" s="72"/>
      <c r="H544" s="22" t="s">
        <v>1843</v>
      </c>
      <c r="I544" s="27">
        <v>38</v>
      </c>
      <c r="J544" s="22"/>
      <c r="K544" s="20">
        <v>4</v>
      </c>
      <c r="L544" s="24">
        <v>147.93</v>
      </c>
      <c r="M544" s="11"/>
      <c r="N544" s="22">
        <f t="shared" si="27"/>
        <v>0</v>
      </c>
      <c r="O544" s="25">
        <f>0.052*M544</f>
        <v>0</v>
      </c>
      <c r="P544" s="26">
        <f>0.00036*M544</f>
        <v>0</v>
      </c>
      <c r="Q544" s="30"/>
      <c r="R544" s="22" t="s">
        <v>1844</v>
      </c>
      <c r="S544" s="22" t="s">
        <v>435</v>
      </c>
      <c r="T544" s="21" t="str">
        <f>HYPERLINK("https://miland.ru/api/getInfo/image/ad525f5d-c027-11ee-a25a-00155d82e908")</f>
        <v>https://miland.ru/api/getInfo/image/ad525f5d-c027-11ee-a25a-00155d82e908</v>
      </c>
      <c r="U544" s="21"/>
      <c r="V544" s="21"/>
      <c r="W544" s="21"/>
      <c r="X544" s="21" t="s">
        <v>172</v>
      </c>
      <c r="Y544" s="21" t="s">
        <v>477</v>
      </c>
      <c r="Z544" s="21" t="s">
        <v>1845</v>
      </c>
      <c r="AA544" s="21" t="str">
        <f>HYPERLINK("https://miland.ru/api/getInfo/item/ad525f5d-c027-11ee-a25a-00155d82e908")</f>
        <v>https://miland.ru/api/getInfo/item/ad525f5d-c027-11ee-a25a-00155d82e908</v>
      </c>
      <c r="AB544" s="21" t="s">
        <v>50</v>
      </c>
      <c r="AC544" s="21"/>
      <c r="AD544" s="21"/>
    </row>
    <row r="545" spans="2:31" s="1" customFormat="1" ht="96.3" customHeight="1" outlineLevel="5">
      <c r="B545" s="20">
        <v>373</v>
      </c>
      <c r="C545" s="21" t="s">
        <v>1846</v>
      </c>
      <c r="D545" s="72" t="s">
        <v>1847</v>
      </c>
      <c r="E545" s="72"/>
      <c r="F545" s="72"/>
      <c r="G545" s="72"/>
      <c r="H545" s="22" t="s">
        <v>1848</v>
      </c>
      <c r="I545" s="27">
        <v>169</v>
      </c>
      <c r="J545" s="22"/>
      <c r="K545" s="20">
        <v>4</v>
      </c>
      <c r="L545" s="24">
        <v>147.93</v>
      </c>
      <c r="M545" s="11"/>
      <c r="N545" s="22">
        <f t="shared" si="27"/>
        <v>0</v>
      </c>
      <c r="O545" s="25">
        <f>0.058*M545</f>
        <v>0</v>
      </c>
      <c r="P545" s="26">
        <f>0.00016*M545</f>
        <v>0</v>
      </c>
      <c r="Q545" s="30"/>
      <c r="R545" s="22" t="s">
        <v>1849</v>
      </c>
      <c r="S545" s="22" t="s">
        <v>435</v>
      </c>
      <c r="T545" s="21" t="str">
        <f>HYPERLINK("https://miland.ru/api/getInfo/image/928706dc-c027-11ee-a25a-00155d82e908")</f>
        <v>https://miland.ru/api/getInfo/image/928706dc-c027-11ee-a25a-00155d82e908</v>
      </c>
      <c r="U545" s="21"/>
      <c r="V545" s="21"/>
      <c r="W545" s="21"/>
      <c r="X545" s="21" t="s">
        <v>172</v>
      </c>
      <c r="Y545" s="21" t="s">
        <v>477</v>
      </c>
      <c r="Z545" s="21" t="s">
        <v>1850</v>
      </c>
      <c r="AA545" s="21" t="str">
        <f>HYPERLINK("https://miland.ru/api/getInfo/item/928706dc-c027-11ee-a25a-00155d82e908")</f>
        <v>https://miland.ru/api/getInfo/item/928706dc-c027-11ee-a25a-00155d82e908</v>
      </c>
      <c r="AB545" s="21" t="s">
        <v>50</v>
      </c>
      <c r="AC545" s="21"/>
      <c r="AD545" s="21"/>
    </row>
    <row r="546" spans="2:31" s="1" customFormat="1" ht="96.3" customHeight="1" outlineLevel="5">
      <c r="B546" s="6">
        <v>374</v>
      </c>
      <c r="C546" s="7" t="s">
        <v>1851</v>
      </c>
      <c r="D546" s="71" t="s">
        <v>1852</v>
      </c>
      <c r="E546" s="71"/>
      <c r="F546" s="71"/>
      <c r="G546" s="71"/>
      <c r="H546" s="8" t="s">
        <v>1853</v>
      </c>
      <c r="I546" s="9" t="s">
        <v>36</v>
      </c>
      <c r="J546" s="8"/>
      <c r="K546" s="6">
        <v>4</v>
      </c>
      <c r="L546" s="10">
        <v>147.93</v>
      </c>
      <c r="M546" s="11"/>
      <c r="N546" s="8">
        <f t="shared" si="27"/>
        <v>0</v>
      </c>
      <c r="O546" s="12">
        <f>0.055*M546</f>
        <v>0</v>
      </c>
      <c r="P546" s="13">
        <f>0.00017*M546</f>
        <v>0</v>
      </c>
      <c r="Q546" s="17" t="s">
        <v>37</v>
      </c>
      <c r="R546" s="8" t="s">
        <v>1854</v>
      </c>
      <c r="S546" s="8"/>
      <c r="T546" s="7" t="str">
        <f>HYPERLINK("https://miland.ru/api/getInfo/image/1c4ca128-1e03-11f1-a28f-00155d82e908")</f>
        <v>https://miland.ru/api/getInfo/image/1c4ca128-1e03-11f1-a28f-00155d82e908</v>
      </c>
      <c r="U546" s="7"/>
      <c r="V546" s="7" t="s">
        <v>1818</v>
      </c>
      <c r="W546" s="7" t="s">
        <v>1819</v>
      </c>
      <c r="X546" s="7" t="s">
        <v>172</v>
      </c>
      <c r="Y546" s="7" t="s">
        <v>477</v>
      </c>
      <c r="Z546" s="7" t="s">
        <v>1855</v>
      </c>
      <c r="AA546" s="7" t="str">
        <f>HYPERLINK("https://miland.ru/api/getInfo/item/1c4ca128-1e03-11f1-a28f-00155d82e908")</f>
        <v>https://miland.ru/api/getInfo/item/1c4ca128-1e03-11f1-a28f-00155d82e908</v>
      </c>
      <c r="AB546" s="7" t="s">
        <v>50</v>
      </c>
      <c r="AC546" s="7"/>
      <c r="AD546" s="7"/>
      <c r="AE546" s="54"/>
    </row>
    <row r="547" spans="2:31" ht="12" customHeight="1" outlineLevel="4">
      <c r="B547" s="70" t="s">
        <v>1856</v>
      </c>
      <c r="C547" s="70"/>
      <c r="D547" s="70"/>
      <c r="E547" s="70"/>
      <c r="F547" s="70"/>
      <c r="G547" s="70"/>
    </row>
    <row r="548" spans="2:31" s="1" customFormat="1" ht="96.3" customHeight="1" outlineLevel="5">
      <c r="B548" s="20">
        <v>375</v>
      </c>
      <c r="C548" s="21" t="s">
        <v>1857</v>
      </c>
      <c r="D548" s="72" t="s">
        <v>1858</v>
      </c>
      <c r="E548" s="72"/>
      <c r="F548" s="72"/>
      <c r="G548" s="72"/>
      <c r="H548" s="22" t="s">
        <v>1859</v>
      </c>
      <c r="I548" s="27">
        <v>5</v>
      </c>
      <c r="J548" s="22"/>
      <c r="K548" s="20">
        <v>3</v>
      </c>
      <c r="L548" s="24">
        <v>192.19</v>
      </c>
      <c r="M548" s="11"/>
      <c r="N548" s="22">
        <f>L548*M548</f>
        <v>0</v>
      </c>
      <c r="O548" s="25">
        <f>0.057*M548</f>
        <v>0</v>
      </c>
      <c r="P548" s="26">
        <f>0.00006*M548</f>
        <v>0</v>
      </c>
      <c r="Q548" s="30"/>
      <c r="R548" s="22" t="s">
        <v>1860</v>
      </c>
      <c r="S548" s="22" t="s">
        <v>435</v>
      </c>
      <c r="T548" s="21" t="str">
        <f>HYPERLINK("https://miland.ru/api/getInfo/image/8218739d-b0de-11ed-a230-00155d82e902")</f>
        <v>https://miland.ru/api/getInfo/image/8218739d-b0de-11ed-a230-00155d82e902</v>
      </c>
      <c r="U548" s="21"/>
      <c r="V548" s="21" t="s">
        <v>1682</v>
      </c>
      <c r="W548" s="21" t="s">
        <v>1683</v>
      </c>
      <c r="X548" s="21"/>
      <c r="Y548" s="21" t="s">
        <v>41</v>
      </c>
      <c r="Z548" s="21"/>
      <c r="AA548" s="21" t="str">
        <f>HYPERLINK("https://miland.ru/api/getInfo/item/8218739d-b0de-11ed-a230-00155d82e902")</f>
        <v>https://miland.ru/api/getInfo/item/8218739d-b0de-11ed-a230-00155d82e902</v>
      </c>
      <c r="AB548" s="21" t="s">
        <v>50</v>
      </c>
      <c r="AC548" s="21"/>
      <c r="AD548" s="21"/>
    </row>
    <row r="549" spans="2:31" s="1" customFormat="1" ht="96.3" customHeight="1" outlineLevel="5">
      <c r="B549" s="20">
        <v>376</v>
      </c>
      <c r="C549" s="21" t="s">
        <v>1861</v>
      </c>
      <c r="D549" s="72" t="s">
        <v>1862</v>
      </c>
      <c r="E549" s="72"/>
      <c r="F549" s="72"/>
      <c r="G549" s="72"/>
      <c r="H549" s="22" t="s">
        <v>1863</v>
      </c>
      <c r="I549" s="27">
        <v>194</v>
      </c>
      <c r="J549" s="22"/>
      <c r="K549" s="20">
        <v>3</v>
      </c>
      <c r="L549" s="24">
        <v>192.19</v>
      </c>
      <c r="M549" s="11"/>
      <c r="N549" s="22">
        <f>L549*M549</f>
        <v>0</v>
      </c>
      <c r="O549" s="25">
        <f>0.054*M549</f>
        <v>0</v>
      </c>
      <c r="P549" s="26">
        <f>0.00019*M549</f>
        <v>0</v>
      </c>
      <c r="Q549" s="30"/>
      <c r="R549" s="22" t="s">
        <v>1864</v>
      </c>
      <c r="S549" s="22" t="s">
        <v>435</v>
      </c>
      <c r="T549" s="21" t="str">
        <f>HYPERLINK("https://miland.ru/api/getInfo/image/facdf3ee-d189-11ef-a26a-00155d82e908")</f>
        <v>https://miland.ru/api/getInfo/image/facdf3ee-d189-11ef-a26a-00155d82e908</v>
      </c>
      <c r="U549" s="21"/>
      <c r="V549" s="21" t="s">
        <v>1682</v>
      </c>
      <c r="W549" s="21" t="s">
        <v>1683</v>
      </c>
      <c r="X549" s="21"/>
      <c r="Y549" s="21" t="s">
        <v>41</v>
      </c>
      <c r="Z549" s="21"/>
      <c r="AA549" s="21" t="str">
        <f>HYPERLINK("https://miland.ru/api/getInfo/item/facdf3ee-d189-11ef-a26a-00155d82e908")</f>
        <v>https://miland.ru/api/getInfo/item/facdf3ee-d189-11ef-a26a-00155d82e908</v>
      </c>
      <c r="AB549" s="21" t="s">
        <v>50</v>
      </c>
      <c r="AC549" s="21"/>
      <c r="AD549" s="21"/>
    </row>
    <row r="550" spans="2:31" ht="12" customHeight="1" outlineLevel="4">
      <c r="B550" s="70" t="s">
        <v>1865</v>
      </c>
      <c r="C550" s="70"/>
      <c r="D550" s="70"/>
      <c r="E550" s="70"/>
      <c r="F550" s="70"/>
      <c r="G550" s="70"/>
    </row>
    <row r="551" spans="2:31" s="1" customFormat="1" ht="96.3" customHeight="1" outlineLevel="5">
      <c r="B551" s="6">
        <v>377</v>
      </c>
      <c r="C551" s="7" t="s">
        <v>1866</v>
      </c>
      <c r="D551" s="71" t="s">
        <v>1867</v>
      </c>
      <c r="E551" s="71"/>
      <c r="F551" s="71"/>
      <c r="G551" s="71"/>
      <c r="H551" s="8" t="s">
        <v>1868</v>
      </c>
      <c r="I551" s="9" t="s">
        <v>36</v>
      </c>
      <c r="J551" s="8"/>
      <c r="K551" s="6">
        <v>30</v>
      </c>
      <c r="L551" s="10">
        <v>18.760000000000002</v>
      </c>
      <c r="M551" s="11"/>
      <c r="N551" s="8">
        <f t="shared" ref="N551:N565" si="28">L551*M551</f>
        <v>0</v>
      </c>
      <c r="O551" s="18">
        <f>0.01*M551</f>
        <v>0</v>
      </c>
      <c r="P551" s="13">
        <f>0.00006*M551</f>
        <v>0</v>
      </c>
      <c r="Q551" s="17" t="s">
        <v>37</v>
      </c>
      <c r="R551" s="8" t="s">
        <v>1869</v>
      </c>
      <c r="S551" s="8"/>
      <c r="T551" s="7" t="str">
        <f>HYPERLINK("https://miland.ru/api/getInfo/image/49c68115-bb08-11f0-a288-00155d82e908")</f>
        <v>https://miland.ru/api/getInfo/image/49c68115-bb08-11f0-a288-00155d82e908</v>
      </c>
      <c r="U551" s="7"/>
      <c r="V551" s="7" t="s">
        <v>1798</v>
      </c>
      <c r="W551" s="7" t="s">
        <v>1799</v>
      </c>
      <c r="X551" s="7"/>
      <c r="Y551" s="7" t="s">
        <v>41</v>
      </c>
      <c r="Z551" s="7"/>
      <c r="AA551" s="7" t="str">
        <f>HYPERLINK("https://miland.ru/api/getInfo/item/49c68115-bb08-11f0-a288-00155d82e908")</f>
        <v>https://miland.ru/api/getInfo/item/49c68115-bb08-11f0-a288-00155d82e908</v>
      </c>
      <c r="AB551" s="7" t="s">
        <v>50</v>
      </c>
      <c r="AC551" s="7"/>
      <c r="AD551" s="7"/>
      <c r="AE551" s="54"/>
    </row>
    <row r="552" spans="2:31" s="1" customFormat="1" ht="96.3" customHeight="1" outlineLevel="5">
      <c r="B552" s="6">
        <v>378</v>
      </c>
      <c r="C552" s="7" t="s">
        <v>1870</v>
      </c>
      <c r="D552" s="71" t="s">
        <v>1871</v>
      </c>
      <c r="E552" s="71"/>
      <c r="F552" s="71"/>
      <c r="G552" s="71"/>
      <c r="H552" s="8" t="s">
        <v>1872</v>
      </c>
      <c r="I552" s="9" t="s">
        <v>36</v>
      </c>
      <c r="J552" s="8"/>
      <c r="K552" s="6">
        <v>30</v>
      </c>
      <c r="L552" s="10">
        <v>18.760000000000002</v>
      </c>
      <c r="M552" s="11"/>
      <c r="N552" s="8">
        <f t="shared" si="28"/>
        <v>0</v>
      </c>
      <c r="O552" s="18">
        <f>0.01*M552</f>
        <v>0</v>
      </c>
      <c r="P552" s="13">
        <f>0.00006*M552</f>
        <v>0</v>
      </c>
      <c r="Q552" s="17" t="s">
        <v>37</v>
      </c>
      <c r="R552" s="8" t="s">
        <v>1873</v>
      </c>
      <c r="S552" s="8"/>
      <c r="T552" s="7" t="str">
        <f>HYPERLINK("https://miland.ru/api/getInfo/image/86158068-bb08-11f0-a288-00155d82e908")</f>
        <v>https://miland.ru/api/getInfo/image/86158068-bb08-11f0-a288-00155d82e908</v>
      </c>
      <c r="U552" s="7"/>
      <c r="V552" s="7" t="s">
        <v>1798</v>
      </c>
      <c r="W552" s="7" t="s">
        <v>1799</v>
      </c>
      <c r="X552" s="7"/>
      <c r="Y552" s="7" t="s">
        <v>41</v>
      </c>
      <c r="Z552" s="7"/>
      <c r="AA552" s="7" t="str">
        <f>HYPERLINK("https://miland.ru/api/getInfo/item/86158068-bb08-11f0-a288-00155d82e908")</f>
        <v>https://miland.ru/api/getInfo/item/86158068-bb08-11f0-a288-00155d82e908</v>
      </c>
      <c r="AB552" s="7" t="s">
        <v>50</v>
      </c>
      <c r="AC552" s="7"/>
      <c r="AD552" s="7"/>
      <c r="AE552" s="54"/>
    </row>
    <row r="553" spans="2:31" s="1" customFormat="1" ht="96.3" customHeight="1" outlineLevel="5">
      <c r="B553" s="20">
        <v>379</v>
      </c>
      <c r="C553" s="21" t="s">
        <v>1874</v>
      </c>
      <c r="D553" s="72" t="s">
        <v>1875</v>
      </c>
      <c r="E553" s="72"/>
      <c r="F553" s="72"/>
      <c r="G553" s="72"/>
      <c r="H553" s="22" t="s">
        <v>1876</v>
      </c>
      <c r="I553" s="27">
        <v>7</v>
      </c>
      <c r="J553" s="22"/>
      <c r="K553" s="20">
        <v>7</v>
      </c>
      <c r="L553" s="24">
        <v>18.760000000000002</v>
      </c>
      <c r="M553" s="11"/>
      <c r="N553" s="22">
        <f t="shared" si="28"/>
        <v>0</v>
      </c>
      <c r="O553" s="25">
        <f>0.011*M553</f>
        <v>0</v>
      </c>
      <c r="P553" s="26">
        <f>0.00006*M553</f>
        <v>0</v>
      </c>
      <c r="Q553" s="30"/>
      <c r="R553" s="22" t="s">
        <v>1877</v>
      </c>
      <c r="S553" s="22" t="s">
        <v>435</v>
      </c>
      <c r="T553" s="21" t="str">
        <f>HYPERLINK("https://miland.ru/api/getInfo/image/ec50b349-d4ae-11ef-a26a-00155d82e908")</f>
        <v>https://miland.ru/api/getInfo/image/ec50b349-d4ae-11ef-a26a-00155d82e908</v>
      </c>
      <c r="U553" s="21"/>
      <c r="V553" s="21" t="s">
        <v>1798</v>
      </c>
      <c r="W553" s="21" t="s">
        <v>1799</v>
      </c>
      <c r="X553" s="21"/>
      <c r="Y553" s="21" t="s">
        <v>41</v>
      </c>
      <c r="Z553" s="21"/>
      <c r="AA553" s="21" t="str">
        <f>HYPERLINK("https://miland.ru/api/getInfo/item/ec50b349-d4ae-11ef-a26a-00155d82e908")</f>
        <v>https://miland.ru/api/getInfo/item/ec50b349-d4ae-11ef-a26a-00155d82e908</v>
      </c>
      <c r="AB553" s="21" t="s">
        <v>50</v>
      </c>
      <c r="AC553" s="21"/>
      <c r="AD553" s="21"/>
    </row>
    <row r="554" spans="2:31" s="1" customFormat="1" ht="96.3" customHeight="1" outlineLevel="5">
      <c r="B554" s="20">
        <v>380</v>
      </c>
      <c r="C554" s="21" t="s">
        <v>1878</v>
      </c>
      <c r="D554" s="72" t="s">
        <v>1879</v>
      </c>
      <c r="E554" s="72"/>
      <c r="F554" s="72"/>
      <c r="G554" s="72"/>
      <c r="H554" s="22" t="s">
        <v>1880</v>
      </c>
      <c r="I554" s="27">
        <v>20</v>
      </c>
      <c r="J554" s="22"/>
      <c r="K554" s="20">
        <v>20</v>
      </c>
      <c r="L554" s="24">
        <v>18.760000000000002</v>
      </c>
      <c r="M554" s="11"/>
      <c r="N554" s="22">
        <f t="shared" si="28"/>
        <v>0</v>
      </c>
      <c r="O554" s="25">
        <f>0.013*M554</f>
        <v>0</v>
      </c>
      <c r="P554" s="26">
        <f>0.00002*M554</f>
        <v>0</v>
      </c>
      <c r="Q554" s="30"/>
      <c r="R554" s="22" t="s">
        <v>1881</v>
      </c>
      <c r="S554" s="22" t="s">
        <v>435</v>
      </c>
      <c r="T554" s="21" t="str">
        <f>HYPERLINK("https://miland.ru/api/getInfo/image/29f266f8-a574-11ee-a258-00155d82e908")</f>
        <v>https://miland.ru/api/getInfo/image/29f266f8-a574-11ee-a258-00155d82e908</v>
      </c>
      <c r="U554" s="21"/>
      <c r="V554" s="21" t="s">
        <v>1798</v>
      </c>
      <c r="W554" s="21" t="s">
        <v>1799</v>
      </c>
      <c r="X554" s="21"/>
      <c r="Y554" s="21" t="s">
        <v>41</v>
      </c>
      <c r="Z554" s="21"/>
      <c r="AA554" s="21" t="str">
        <f>HYPERLINK("https://miland.ru/api/getInfo/item/29f266f8-a574-11ee-a258-00155d82e908")</f>
        <v>https://miland.ru/api/getInfo/item/29f266f8-a574-11ee-a258-00155d82e908</v>
      </c>
      <c r="AB554" s="21" t="s">
        <v>50</v>
      </c>
      <c r="AC554" s="21"/>
      <c r="AD554" s="21"/>
    </row>
    <row r="555" spans="2:31" s="1" customFormat="1" ht="96.3" customHeight="1" outlineLevel="5">
      <c r="B555" s="6">
        <v>381</v>
      </c>
      <c r="C555" s="7" t="s">
        <v>1882</v>
      </c>
      <c r="D555" s="71" t="s">
        <v>1883</v>
      </c>
      <c r="E555" s="71"/>
      <c r="F555" s="71"/>
      <c r="G555" s="71"/>
      <c r="H555" s="8" t="s">
        <v>1884</v>
      </c>
      <c r="I555" s="9" t="s">
        <v>36</v>
      </c>
      <c r="J555" s="8"/>
      <c r="K555" s="6">
        <v>30</v>
      </c>
      <c r="L555" s="10">
        <v>18.760000000000002</v>
      </c>
      <c r="M555" s="11"/>
      <c r="N555" s="8">
        <f t="shared" si="28"/>
        <v>0</v>
      </c>
      <c r="O555" s="12">
        <f>0.007*M555</f>
        <v>0</v>
      </c>
      <c r="P555" s="13">
        <f>0.00006*M555</f>
        <v>0</v>
      </c>
      <c r="Q555" s="17" t="s">
        <v>37</v>
      </c>
      <c r="R555" s="8" t="s">
        <v>1885</v>
      </c>
      <c r="S555" s="8"/>
      <c r="T555" s="7" t="str">
        <f>HYPERLINK("https://miland.ru/api/getInfo/image/e222ddff-bb08-11f0-a288-00155d82e908")</f>
        <v>https://miland.ru/api/getInfo/image/e222ddff-bb08-11f0-a288-00155d82e908</v>
      </c>
      <c r="U555" s="7"/>
      <c r="V555" s="7" t="s">
        <v>1798</v>
      </c>
      <c r="W555" s="7" t="s">
        <v>1799</v>
      </c>
      <c r="X555" s="7"/>
      <c r="Y555" s="7" t="s">
        <v>41</v>
      </c>
      <c r="Z555" s="7"/>
      <c r="AA555" s="7" t="str">
        <f>HYPERLINK("https://miland.ru/api/getInfo/item/e222ddff-bb08-11f0-a288-00155d82e908")</f>
        <v>https://miland.ru/api/getInfo/item/e222ddff-bb08-11f0-a288-00155d82e908</v>
      </c>
      <c r="AB555" s="7" t="s">
        <v>50</v>
      </c>
      <c r="AC555" s="7"/>
      <c r="AD555" s="7"/>
      <c r="AE555" s="54"/>
    </row>
    <row r="556" spans="2:31" s="1" customFormat="1" ht="96.3" customHeight="1" outlineLevel="5">
      <c r="B556" s="20">
        <v>382</v>
      </c>
      <c r="C556" s="21" t="s">
        <v>1886</v>
      </c>
      <c r="D556" s="72" t="s">
        <v>1887</v>
      </c>
      <c r="E556" s="72"/>
      <c r="F556" s="72"/>
      <c r="G556" s="72"/>
      <c r="H556" s="22" t="s">
        <v>1888</v>
      </c>
      <c r="I556" s="27">
        <v>10</v>
      </c>
      <c r="J556" s="22"/>
      <c r="K556" s="20">
        <v>10</v>
      </c>
      <c r="L556" s="24">
        <v>18.760000000000002</v>
      </c>
      <c r="M556" s="11"/>
      <c r="N556" s="22">
        <f t="shared" si="28"/>
        <v>0</v>
      </c>
      <c r="O556" s="25">
        <f>0.015*M556</f>
        <v>0</v>
      </c>
      <c r="P556" s="26">
        <f>0.00006*M556</f>
        <v>0</v>
      </c>
      <c r="Q556" s="30"/>
      <c r="R556" s="22" t="s">
        <v>1889</v>
      </c>
      <c r="S556" s="22" t="s">
        <v>435</v>
      </c>
      <c r="T556" s="21" t="str">
        <f>HYPERLINK("https://miland.ru/api/getInfo/image/5d650d99-b69a-11ed-a230-00155d82e902")</f>
        <v>https://miland.ru/api/getInfo/image/5d650d99-b69a-11ed-a230-00155d82e902</v>
      </c>
      <c r="U556" s="21"/>
      <c r="V556" s="21" t="s">
        <v>1798</v>
      </c>
      <c r="W556" s="21" t="s">
        <v>1799</v>
      </c>
      <c r="X556" s="21"/>
      <c r="Y556" s="21" t="s">
        <v>41</v>
      </c>
      <c r="Z556" s="21"/>
      <c r="AA556" s="21" t="str">
        <f>HYPERLINK("https://miland.ru/api/getInfo/item/5d650d99-b69a-11ed-a230-00155d82e902")</f>
        <v>https://miland.ru/api/getInfo/item/5d650d99-b69a-11ed-a230-00155d82e902</v>
      </c>
      <c r="AB556" s="21" t="s">
        <v>50</v>
      </c>
      <c r="AC556" s="21"/>
      <c r="AD556" s="21"/>
    </row>
    <row r="557" spans="2:31" s="1" customFormat="1" ht="96.3" customHeight="1" outlineLevel="5">
      <c r="B557" s="6">
        <v>383</v>
      </c>
      <c r="C557" s="7" t="s">
        <v>1890</v>
      </c>
      <c r="D557" s="71" t="s">
        <v>1891</v>
      </c>
      <c r="E557" s="71"/>
      <c r="F557" s="71"/>
      <c r="G557" s="71"/>
      <c r="H557" s="8" t="s">
        <v>1892</v>
      </c>
      <c r="I557" s="9" t="s">
        <v>36</v>
      </c>
      <c r="J557" s="8"/>
      <c r="K557" s="6">
        <v>30</v>
      </c>
      <c r="L557" s="10">
        <v>18.760000000000002</v>
      </c>
      <c r="M557" s="11"/>
      <c r="N557" s="8">
        <f t="shared" si="28"/>
        <v>0</v>
      </c>
      <c r="O557" s="18">
        <f>0.01*M557</f>
        <v>0</v>
      </c>
      <c r="P557" s="13">
        <f>0.00011*M557</f>
        <v>0</v>
      </c>
      <c r="Q557" s="17" t="s">
        <v>37</v>
      </c>
      <c r="R557" s="8" t="s">
        <v>1893</v>
      </c>
      <c r="S557" s="8"/>
      <c r="T557" s="7" t="str">
        <f>HYPERLINK("https://miland.ru/api/getInfo/image/9d21714a-bb07-11f0-a288-00155d82e908")</f>
        <v>https://miland.ru/api/getInfo/image/9d21714a-bb07-11f0-a288-00155d82e908</v>
      </c>
      <c r="U557" s="7"/>
      <c r="V557" s="7" t="s">
        <v>1798</v>
      </c>
      <c r="W557" s="7" t="s">
        <v>1799</v>
      </c>
      <c r="X557" s="7"/>
      <c r="Y557" s="7" t="s">
        <v>41</v>
      </c>
      <c r="Z557" s="7"/>
      <c r="AA557" s="7" t="str">
        <f>HYPERLINK("https://miland.ru/api/getInfo/item/9d21714a-bb07-11f0-a288-00155d82e908")</f>
        <v>https://miland.ru/api/getInfo/item/9d21714a-bb07-11f0-a288-00155d82e908</v>
      </c>
      <c r="AB557" s="7" t="s">
        <v>50</v>
      </c>
      <c r="AC557" s="7"/>
      <c r="AD557" s="7"/>
      <c r="AE557" s="54"/>
    </row>
    <row r="558" spans="2:31" s="1" customFormat="1" ht="96.3" customHeight="1" outlineLevel="5">
      <c r="B558" s="6">
        <v>384</v>
      </c>
      <c r="C558" s="7" t="s">
        <v>1894</v>
      </c>
      <c r="D558" s="71" t="s">
        <v>1895</v>
      </c>
      <c r="E558" s="71"/>
      <c r="F558" s="71"/>
      <c r="G558" s="71"/>
      <c r="H558" s="8" t="s">
        <v>1896</v>
      </c>
      <c r="I558" s="9" t="s">
        <v>36</v>
      </c>
      <c r="J558" s="8"/>
      <c r="K558" s="6">
        <v>30</v>
      </c>
      <c r="L558" s="10">
        <v>18.760000000000002</v>
      </c>
      <c r="M558" s="11"/>
      <c r="N558" s="8">
        <f t="shared" si="28"/>
        <v>0</v>
      </c>
      <c r="O558" s="12">
        <f>0.007*M558</f>
        <v>0</v>
      </c>
      <c r="P558" s="13">
        <f>0.00006*M558</f>
        <v>0</v>
      </c>
      <c r="Q558" s="17" t="s">
        <v>37</v>
      </c>
      <c r="R558" s="8" t="s">
        <v>1897</v>
      </c>
      <c r="S558" s="8"/>
      <c r="T558" s="7" t="str">
        <f>HYPERLINK("https://miland.ru/api/getInfo/image/bf17f844-bb05-11f0-a288-00155d82e908")</f>
        <v>https://miland.ru/api/getInfo/image/bf17f844-bb05-11f0-a288-00155d82e908</v>
      </c>
      <c r="U558" s="7"/>
      <c r="V558" s="7" t="s">
        <v>1798</v>
      </c>
      <c r="W558" s="7" t="s">
        <v>1799</v>
      </c>
      <c r="X558" s="7"/>
      <c r="Y558" s="7" t="s">
        <v>41</v>
      </c>
      <c r="Z558" s="7"/>
      <c r="AA558" s="7" t="str">
        <f>HYPERLINK("https://miland.ru/api/getInfo/item/bf17f844-bb05-11f0-a288-00155d82e908")</f>
        <v>https://miland.ru/api/getInfo/item/bf17f844-bb05-11f0-a288-00155d82e908</v>
      </c>
      <c r="AB558" s="7" t="s">
        <v>50</v>
      </c>
      <c r="AC558" s="7"/>
      <c r="AD558" s="7"/>
      <c r="AE558" s="54"/>
    </row>
    <row r="559" spans="2:31" s="1" customFormat="1" ht="96.3" customHeight="1" outlineLevel="5">
      <c r="B559" s="6">
        <v>385</v>
      </c>
      <c r="C559" s="7" t="s">
        <v>1898</v>
      </c>
      <c r="D559" s="71" t="s">
        <v>1899</v>
      </c>
      <c r="E559" s="71"/>
      <c r="F559" s="71"/>
      <c r="G559" s="71"/>
      <c r="H559" s="8" t="s">
        <v>1900</v>
      </c>
      <c r="I559" s="9" t="s">
        <v>36</v>
      </c>
      <c r="J559" s="8"/>
      <c r="K559" s="6">
        <v>30</v>
      </c>
      <c r="L559" s="10">
        <v>18.760000000000002</v>
      </c>
      <c r="M559" s="11"/>
      <c r="N559" s="8">
        <f t="shared" si="28"/>
        <v>0</v>
      </c>
      <c r="O559" s="12">
        <f>0.007*M559</f>
        <v>0</v>
      </c>
      <c r="P559" s="13">
        <f>0.00006*M559</f>
        <v>0</v>
      </c>
      <c r="Q559" s="17" t="s">
        <v>37</v>
      </c>
      <c r="R559" s="8" t="s">
        <v>1901</v>
      </c>
      <c r="S559" s="8"/>
      <c r="T559" s="7" t="str">
        <f>HYPERLINK("https://miland.ru/api/getInfo/image/0ab26f3f-bb06-11f0-a288-00155d82e908")</f>
        <v>https://miland.ru/api/getInfo/image/0ab26f3f-bb06-11f0-a288-00155d82e908</v>
      </c>
      <c r="U559" s="7"/>
      <c r="V559" s="7" t="s">
        <v>1798</v>
      </c>
      <c r="W559" s="7" t="s">
        <v>1799</v>
      </c>
      <c r="X559" s="7"/>
      <c r="Y559" s="7" t="s">
        <v>41</v>
      </c>
      <c r="Z559" s="7"/>
      <c r="AA559" s="7" t="str">
        <f>HYPERLINK("https://miland.ru/api/getInfo/item/0ab26f3f-bb06-11f0-a288-00155d82e908")</f>
        <v>https://miland.ru/api/getInfo/item/0ab26f3f-bb06-11f0-a288-00155d82e908</v>
      </c>
      <c r="AB559" s="7" t="s">
        <v>50</v>
      </c>
      <c r="AC559" s="7"/>
      <c r="AD559" s="7"/>
      <c r="AE559" s="54"/>
    </row>
    <row r="560" spans="2:31" s="1" customFormat="1" ht="96.3" customHeight="1" outlineLevel="5">
      <c r="B560" s="6">
        <v>386</v>
      </c>
      <c r="C560" s="7" t="s">
        <v>1902</v>
      </c>
      <c r="D560" s="71" t="s">
        <v>1903</v>
      </c>
      <c r="E560" s="71"/>
      <c r="F560" s="71"/>
      <c r="G560" s="71"/>
      <c r="H560" s="8" t="s">
        <v>1904</v>
      </c>
      <c r="I560" s="9" t="s">
        <v>36</v>
      </c>
      <c r="J560" s="8"/>
      <c r="K560" s="6">
        <v>30</v>
      </c>
      <c r="L560" s="10">
        <v>18.760000000000002</v>
      </c>
      <c r="M560" s="11"/>
      <c r="N560" s="8">
        <f t="shared" si="28"/>
        <v>0</v>
      </c>
      <c r="O560" s="18">
        <f>0.01*M560</f>
        <v>0</v>
      </c>
      <c r="P560" s="13">
        <f>0.00007*M560</f>
        <v>0</v>
      </c>
      <c r="Q560" s="17" t="s">
        <v>37</v>
      </c>
      <c r="R560" s="8" t="s">
        <v>1905</v>
      </c>
      <c r="S560" s="8"/>
      <c r="T560" s="7" t="str">
        <f>HYPERLINK("https://miland.ru/api/getInfo/image/33ccb339-bb07-11f0-a288-00155d82e908")</f>
        <v>https://miland.ru/api/getInfo/image/33ccb339-bb07-11f0-a288-00155d82e908</v>
      </c>
      <c r="U560" s="7"/>
      <c r="V560" s="7" t="s">
        <v>1798</v>
      </c>
      <c r="W560" s="7" t="s">
        <v>1799</v>
      </c>
      <c r="X560" s="7"/>
      <c r="Y560" s="7" t="s">
        <v>41</v>
      </c>
      <c r="Z560" s="7"/>
      <c r="AA560" s="7" t="str">
        <f>HYPERLINK("https://miland.ru/api/getInfo/item/33ccb339-bb07-11f0-a288-00155d82e908")</f>
        <v>https://miland.ru/api/getInfo/item/33ccb339-bb07-11f0-a288-00155d82e908</v>
      </c>
      <c r="AB560" s="7" t="s">
        <v>50</v>
      </c>
      <c r="AC560" s="7"/>
      <c r="AD560" s="7"/>
      <c r="AE560" s="54"/>
    </row>
    <row r="561" spans="2:31" s="1" customFormat="1" ht="96.3" customHeight="1" outlineLevel="5">
      <c r="B561" s="6">
        <v>387</v>
      </c>
      <c r="C561" s="7" t="s">
        <v>1906</v>
      </c>
      <c r="D561" s="71" t="s">
        <v>1907</v>
      </c>
      <c r="E561" s="71"/>
      <c r="F561" s="71"/>
      <c r="G561" s="71"/>
      <c r="H561" s="8" t="s">
        <v>1908</v>
      </c>
      <c r="I561" s="9" t="s">
        <v>36</v>
      </c>
      <c r="J561" s="8"/>
      <c r="K561" s="6">
        <v>30</v>
      </c>
      <c r="L561" s="10">
        <v>18.760000000000002</v>
      </c>
      <c r="M561" s="11"/>
      <c r="N561" s="8">
        <f t="shared" si="28"/>
        <v>0</v>
      </c>
      <c r="O561" s="12">
        <f>0.007*M561</f>
        <v>0</v>
      </c>
      <c r="P561" s="13">
        <f>0.00006*M561</f>
        <v>0</v>
      </c>
      <c r="Q561" s="17" t="s">
        <v>37</v>
      </c>
      <c r="R561" s="8" t="s">
        <v>1909</v>
      </c>
      <c r="S561" s="8"/>
      <c r="T561" s="7" t="str">
        <f>HYPERLINK("https://miland.ru/api/getInfo/image/dceb874a-bb06-11f0-a288-00155d82e908")</f>
        <v>https://miland.ru/api/getInfo/image/dceb874a-bb06-11f0-a288-00155d82e908</v>
      </c>
      <c r="U561" s="7"/>
      <c r="V561" s="7" t="s">
        <v>1798</v>
      </c>
      <c r="W561" s="7" t="s">
        <v>1799</v>
      </c>
      <c r="X561" s="7"/>
      <c r="Y561" s="7" t="s">
        <v>41</v>
      </c>
      <c r="Z561" s="7"/>
      <c r="AA561" s="7" t="str">
        <f>HYPERLINK("https://miland.ru/api/getInfo/item/dceb874a-bb06-11f0-a288-00155d82e908")</f>
        <v>https://miland.ru/api/getInfo/item/dceb874a-bb06-11f0-a288-00155d82e908</v>
      </c>
      <c r="AB561" s="7" t="s">
        <v>50</v>
      </c>
      <c r="AC561" s="7"/>
      <c r="AD561" s="7"/>
      <c r="AE561" s="54"/>
    </row>
    <row r="562" spans="2:31" s="1" customFormat="1" ht="96.3" customHeight="1" outlineLevel="5">
      <c r="B562" s="6">
        <v>388</v>
      </c>
      <c r="C562" s="7" t="s">
        <v>1910</v>
      </c>
      <c r="D562" s="71" t="s">
        <v>1911</v>
      </c>
      <c r="E562" s="71"/>
      <c r="F562" s="71"/>
      <c r="G562" s="71"/>
      <c r="H562" s="8" t="s">
        <v>1912</v>
      </c>
      <c r="I562" s="9" t="s">
        <v>36</v>
      </c>
      <c r="J562" s="8"/>
      <c r="K562" s="6">
        <v>30</v>
      </c>
      <c r="L562" s="10">
        <v>18.760000000000002</v>
      </c>
      <c r="M562" s="11"/>
      <c r="N562" s="8">
        <f t="shared" si="28"/>
        <v>0</v>
      </c>
      <c r="O562" s="12">
        <f>0.007*M562</f>
        <v>0</v>
      </c>
      <c r="P562" s="13">
        <f>0.00006*M562</f>
        <v>0</v>
      </c>
      <c r="Q562" s="17" t="s">
        <v>37</v>
      </c>
      <c r="R562" s="8" t="s">
        <v>1913</v>
      </c>
      <c r="S562" s="8"/>
      <c r="T562" s="7" t="str">
        <f>HYPERLINK("https://miland.ru/api/getInfo/image/bb7fabba-bb04-11f0-a288-00155d82e908")</f>
        <v>https://miland.ru/api/getInfo/image/bb7fabba-bb04-11f0-a288-00155d82e908</v>
      </c>
      <c r="U562" s="7"/>
      <c r="V562" s="7" t="s">
        <v>1798</v>
      </c>
      <c r="W562" s="7" t="s">
        <v>1799</v>
      </c>
      <c r="X562" s="7"/>
      <c r="Y562" s="7" t="s">
        <v>41</v>
      </c>
      <c r="Z562" s="7"/>
      <c r="AA562" s="7" t="str">
        <f>HYPERLINK("https://miland.ru/api/getInfo/item/bb7fabba-bb04-11f0-a288-00155d82e908")</f>
        <v>https://miland.ru/api/getInfo/item/bb7fabba-bb04-11f0-a288-00155d82e908</v>
      </c>
      <c r="AB562" s="7" t="s">
        <v>50</v>
      </c>
      <c r="AC562" s="7"/>
      <c r="AD562" s="7"/>
      <c r="AE562" s="54"/>
    </row>
    <row r="563" spans="2:31" s="1" customFormat="1" ht="96.3" customHeight="1" outlineLevel="5">
      <c r="B563" s="6">
        <v>389</v>
      </c>
      <c r="C563" s="7" t="s">
        <v>1914</v>
      </c>
      <c r="D563" s="71" t="s">
        <v>1915</v>
      </c>
      <c r="E563" s="71"/>
      <c r="F563" s="71"/>
      <c r="G563" s="71"/>
      <c r="H563" s="8" t="s">
        <v>1916</v>
      </c>
      <c r="I563" s="9" t="s">
        <v>36</v>
      </c>
      <c r="J563" s="8"/>
      <c r="K563" s="6">
        <v>30</v>
      </c>
      <c r="L563" s="10">
        <v>18.760000000000002</v>
      </c>
      <c r="M563" s="11"/>
      <c r="N563" s="8">
        <f t="shared" si="28"/>
        <v>0</v>
      </c>
      <c r="O563" s="18">
        <f>0.01*M563</f>
        <v>0</v>
      </c>
      <c r="P563" s="13">
        <f>0.00006*M563</f>
        <v>0</v>
      </c>
      <c r="Q563" s="17" t="s">
        <v>37</v>
      </c>
      <c r="R563" s="8" t="s">
        <v>1917</v>
      </c>
      <c r="S563" s="8"/>
      <c r="T563" s="7" t="str">
        <f>HYPERLINK("https://miland.ru/api/getInfo/image/432f4c1e-bb06-11f0-a288-00155d82e908")</f>
        <v>https://miland.ru/api/getInfo/image/432f4c1e-bb06-11f0-a288-00155d82e908</v>
      </c>
      <c r="U563" s="7"/>
      <c r="V563" s="7" t="s">
        <v>1798</v>
      </c>
      <c r="W563" s="7" t="s">
        <v>1799</v>
      </c>
      <c r="X563" s="7"/>
      <c r="Y563" s="7" t="s">
        <v>41</v>
      </c>
      <c r="Z563" s="7"/>
      <c r="AA563" s="7" t="str">
        <f>HYPERLINK("https://miland.ru/api/getInfo/item/432f4c1e-bb06-11f0-a288-00155d82e908")</f>
        <v>https://miland.ru/api/getInfo/item/432f4c1e-bb06-11f0-a288-00155d82e908</v>
      </c>
      <c r="AB563" s="7" t="s">
        <v>50</v>
      </c>
      <c r="AC563" s="7"/>
      <c r="AD563" s="7"/>
      <c r="AE563" s="54"/>
    </row>
    <row r="564" spans="2:31" s="1" customFormat="1" ht="96.3" customHeight="1" outlineLevel="5">
      <c r="B564" s="6">
        <v>390</v>
      </c>
      <c r="C564" s="7" t="s">
        <v>1918</v>
      </c>
      <c r="D564" s="71" t="s">
        <v>1919</v>
      </c>
      <c r="E564" s="71"/>
      <c r="F564" s="71"/>
      <c r="G564" s="71"/>
      <c r="H564" s="8" t="s">
        <v>1920</v>
      </c>
      <c r="I564" s="9" t="s">
        <v>36</v>
      </c>
      <c r="J564" s="8"/>
      <c r="K564" s="6">
        <v>30</v>
      </c>
      <c r="L564" s="10">
        <v>18.760000000000002</v>
      </c>
      <c r="M564" s="11"/>
      <c r="N564" s="8">
        <f t="shared" si="28"/>
        <v>0</v>
      </c>
      <c r="O564" s="12">
        <f>0.007*M564</f>
        <v>0</v>
      </c>
      <c r="P564" s="13">
        <f>0.00006*M564</f>
        <v>0</v>
      </c>
      <c r="Q564" s="17" t="s">
        <v>37</v>
      </c>
      <c r="R564" s="8" t="s">
        <v>1921</v>
      </c>
      <c r="S564" s="8"/>
      <c r="T564" s="7" t="str">
        <f>HYPERLINK("https://miland.ru/api/getInfo/image/3c83c4ee-bb09-11f0-a288-00155d82e908")</f>
        <v>https://miland.ru/api/getInfo/image/3c83c4ee-bb09-11f0-a288-00155d82e908</v>
      </c>
      <c r="U564" s="7"/>
      <c r="V564" s="7" t="s">
        <v>1798</v>
      </c>
      <c r="W564" s="7" t="s">
        <v>1799</v>
      </c>
      <c r="X564" s="7"/>
      <c r="Y564" s="7" t="s">
        <v>41</v>
      </c>
      <c r="Z564" s="7"/>
      <c r="AA564" s="7" t="str">
        <f>HYPERLINK("https://miland.ru/api/getInfo/item/3c83c4ee-bb09-11f0-a288-00155d82e908")</f>
        <v>https://miland.ru/api/getInfo/item/3c83c4ee-bb09-11f0-a288-00155d82e908</v>
      </c>
      <c r="AB564" s="7" t="s">
        <v>50</v>
      </c>
      <c r="AC564" s="7"/>
      <c r="AD564" s="7"/>
      <c r="AE564" s="54"/>
    </row>
    <row r="565" spans="2:31" s="1" customFormat="1" ht="96.3" customHeight="1" outlineLevel="5">
      <c r="B565" s="6">
        <v>391</v>
      </c>
      <c r="C565" s="7" t="s">
        <v>1922</v>
      </c>
      <c r="D565" s="71" t="s">
        <v>1923</v>
      </c>
      <c r="E565" s="71"/>
      <c r="F565" s="71"/>
      <c r="G565" s="71"/>
      <c r="H565" s="8" t="s">
        <v>1924</v>
      </c>
      <c r="I565" s="9" t="s">
        <v>36</v>
      </c>
      <c r="J565" s="8"/>
      <c r="K565" s="6">
        <v>30</v>
      </c>
      <c r="L565" s="10">
        <v>18.760000000000002</v>
      </c>
      <c r="M565" s="11"/>
      <c r="N565" s="8">
        <f t="shared" si="28"/>
        <v>0</v>
      </c>
      <c r="O565" s="18">
        <f>0.01*M565</f>
        <v>0</v>
      </c>
      <c r="P565" s="13">
        <f>0.00043*M565</f>
        <v>0</v>
      </c>
      <c r="Q565" s="17" t="s">
        <v>37</v>
      </c>
      <c r="R565" s="8" t="s">
        <v>1925</v>
      </c>
      <c r="S565" s="8"/>
      <c r="T565" s="7" t="str">
        <f>HYPERLINK("https://miland.ru/api/getInfo/image/754f53c6-bb06-11f0-a288-00155d82e908")</f>
        <v>https://miland.ru/api/getInfo/image/754f53c6-bb06-11f0-a288-00155d82e908</v>
      </c>
      <c r="U565" s="7"/>
      <c r="V565" s="7" t="s">
        <v>1798</v>
      </c>
      <c r="W565" s="7" t="s">
        <v>1799</v>
      </c>
      <c r="X565" s="7"/>
      <c r="Y565" s="7" t="s">
        <v>41</v>
      </c>
      <c r="Z565" s="7"/>
      <c r="AA565" s="7" t="str">
        <f>HYPERLINK("https://miland.ru/api/getInfo/item/754f53c6-bb06-11f0-a288-00155d82e908")</f>
        <v>https://miland.ru/api/getInfo/item/754f53c6-bb06-11f0-a288-00155d82e908</v>
      </c>
      <c r="AB565" s="7" t="s">
        <v>50</v>
      </c>
      <c r="AC565" s="7"/>
      <c r="AD565" s="7"/>
      <c r="AE565" s="54"/>
    </row>
    <row r="566" spans="2:31" ht="12" customHeight="1" outlineLevel="4">
      <c r="B566" s="70" t="s">
        <v>1926</v>
      </c>
      <c r="C566" s="70"/>
      <c r="D566" s="70"/>
      <c r="E566" s="70"/>
      <c r="F566" s="70"/>
      <c r="G566" s="70"/>
    </row>
    <row r="567" spans="2:31" s="1" customFormat="1" ht="96.3" customHeight="1" outlineLevel="5">
      <c r="B567" s="6">
        <v>392</v>
      </c>
      <c r="C567" s="7" t="s">
        <v>1927</v>
      </c>
      <c r="D567" s="71" t="s">
        <v>1928</v>
      </c>
      <c r="E567" s="71"/>
      <c r="F567" s="71"/>
      <c r="G567" s="71"/>
      <c r="H567" s="8" t="s">
        <v>1929</v>
      </c>
      <c r="I567" s="9" t="s">
        <v>36</v>
      </c>
      <c r="J567" s="8"/>
      <c r="K567" s="6">
        <v>6</v>
      </c>
      <c r="L567" s="10">
        <v>105.66</v>
      </c>
      <c r="M567" s="11"/>
      <c r="N567" s="8">
        <f t="shared" ref="N567:N575" si="29">L567*M567</f>
        <v>0</v>
      </c>
      <c r="O567" s="12">
        <f>0.058*M567</f>
        <v>0</v>
      </c>
      <c r="P567" s="13">
        <f>0.00035*M567</f>
        <v>0</v>
      </c>
      <c r="Q567" s="17" t="s">
        <v>37</v>
      </c>
      <c r="R567" s="8" t="s">
        <v>1930</v>
      </c>
      <c r="S567" s="8"/>
      <c r="T567" s="7" t="str">
        <f>HYPERLINK("https://miland.ru/api/getInfo/image/10c565b6-018a-11f1-a28e-00155d82e908")</f>
        <v>https://miland.ru/api/getInfo/image/10c565b6-018a-11f1-a28e-00155d82e908</v>
      </c>
      <c r="U567" s="7"/>
      <c r="V567" s="7" t="s">
        <v>1931</v>
      </c>
      <c r="W567" s="7" t="s">
        <v>1666</v>
      </c>
      <c r="X567" s="7"/>
      <c r="Y567" s="7" t="s">
        <v>41</v>
      </c>
      <c r="Z567" s="7"/>
      <c r="AA567" s="7" t="str">
        <f>HYPERLINK("https://miland.ru/api/getInfo/item/10c565b6-018a-11f1-a28e-00155d82e908")</f>
        <v>https://miland.ru/api/getInfo/item/10c565b6-018a-11f1-a28e-00155d82e908</v>
      </c>
      <c r="AB567" s="7" t="s">
        <v>50</v>
      </c>
      <c r="AC567" s="7"/>
      <c r="AD567" s="7"/>
      <c r="AE567" s="54"/>
    </row>
    <row r="568" spans="2:31" s="1" customFormat="1" ht="96.3" customHeight="1" outlineLevel="5">
      <c r="B568" s="20">
        <v>393</v>
      </c>
      <c r="C568" s="21" t="s">
        <v>1932</v>
      </c>
      <c r="D568" s="72" t="s">
        <v>1933</v>
      </c>
      <c r="E568" s="72"/>
      <c r="F568" s="72"/>
      <c r="G568" s="72"/>
      <c r="H568" s="22" t="s">
        <v>1934</v>
      </c>
      <c r="I568" s="27">
        <v>109</v>
      </c>
      <c r="J568" s="22"/>
      <c r="K568" s="20">
        <v>6</v>
      </c>
      <c r="L568" s="24">
        <v>105.66</v>
      </c>
      <c r="M568" s="11"/>
      <c r="N568" s="22">
        <f t="shared" si="29"/>
        <v>0</v>
      </c>
      <c r="O568" s="25">
        <f>0.063*M568</f>
        <v>0</v>
      </c>
      <c r="P568" s="26">
        <f>0.00053*M568</f>
        <v>0</v>
      </c>
      <c r="Q568" s="30"/>
      <c r="R568" s="22" t="s">
        <v>1935</v>
      </c>
      <c r="S568" s="22" t="s">
        <v>435</v>
      </c>
      <c r="T568" s="21" t="str">
        <f>HYPERLINK("https://miland.ru/api/getInfo/image/2a2b6e09-e487-11ef-a274-00155d82e908")</f>
        <v>https://miland.ru/api/getInfo/image/2a2b6e09-e487-11ef-a274-00155d82e908</v>
      </c>
      <c r="U568" s="21"/>
      <c r="V568" s="21" t="s">
        <v>1798</v>
      </c>
      <c r="W568" s="21" t="s">
        <v>1799</v>
      </c>
      <c r="X568" s="21"/>
      <c r="Y568" s="21" t="s">
        <v>41</v>
      </c>
      <c r="Z568" s="21"/>
      <c r="AA568" s="21" t="str">
        <f>HYPERLINK("https://miland.ru/api/getInfo/item/2a2b6e09-e487-11ef-a274-00155d82e908")</f>
        <v>https://miland.ru/api/getInfo/item/2a2b6e09-e487-11ef-a274-00155d82e908</v>
      </c>
      <c r="AB568" s="21" t="s">
        <v>50</v>
      </c>
      <c r="AC568" s="21"/>
      <c r="AD568" s="21"/>
    </row>
    <row r="569" spans="2:31" s="1" customFormat="1" ht="96.3" customHeight="1" outlineLevel="5">
      <c r="B569" s="6">
        <v>394</v>
      </c>
      <c r="C569" s="7" t="s">
        <v>1936</v>
      </c>
      <c r="D569" s="71" t="s">
        <v>1937</v>
      </c>
      <c r="E569" s="71"/>
      <c r="F569" s="71"/>
      <c r="G569" s="71"/>
      <c r="H569" s="8" t="s">
        <v>1938</v>
      </c>
      <c r="I569" s="14">
        <v>252</v>
      </c>
      <c r="J569" s="8"/>
      <c r="K569" s="6">
        <v>6</v>
      </c>
      <c r="L569" s="10">
        <v>105.66</v>
      </c>
      <c r="M569" s="11"/>
      <c r="N569" s="8">
        <f t="shared" si="29"/>
        <v>0</v>
      </c>
      <c r="O569" s="12">
        <f>0.167*M569</f>
        <v>0</v>
      </c>
      <c r="P569" s="13">
        <f>0.00032*M569</f>
        <v>0</v>
      </c>
      <c r="Q569" s="17" t="s">
        <v>37</v>
      </c>
      <c r="R569" s="8" t="s">
        <v>1939</v>
      </c>
      <c r="S569" s="8"/>
      <c r="T569" s="7" t="str">
        <f>HYPERLINK("https://miland.ru/api/getInfo/image/e6b8dcf1-0189-11f1-a28e-00155d82e908")</f>
        <v>https://miland.ru/api/getInfo/image/e6b8dcf1-0189-11f1-a28e-00155d82e908</v>
      </c>
      <c r="U569" s="7"/>
      <c r="V569" s="7" t="s">
        <v>1931</v>
      </c>
      <c r="W569" s="7" t="s">
        <v>1666</v>
      </c>
      <c r="X569" s="7"/>
      <c r="Y569" s="7" t="s">
        <v>41</v>
      </c>
      <c r="Z569" s="7"/>
      <c r="AA569" s="7" t="str">
        <f>HYPERLINK("https://miland.ru/api/getInfo/item/e6b8dcf1-0189-11f1-a28e-00155d82e908")</f>
        <v>https://miland.ru/api/getInfo/item/e6b8dcf1-0189-11f1-a28e-00155d82e908</v>
      </c>
      <c r="AB569" s="7" t="s">
        <v>50</v>
      </c>
      <c r="AC569" s="7"/>
      <c r="AD569" s="7"/>
      <c r="AE569" s="54"/>
    </row>
    <row r="570" spans="2:31" s="1" customFormat="1" ht="96.3" customHeight="1" outlineLevel="5">
      <c r="B570" s="6">
        <v>395</v>
      </c>
      <c r="C570" s="7" t="s">
        <v>1940</v>
      </c>
      <c r="D570" s="71" t="s">
        <v>1941</v>
      </c>
      <c r="E570" s="71"/>
      <c r="F570" s="71"/>
      <c r="G570" s="71"/>
      <c r="H570" s="8" t="s">
        <v>1942</v>
      </c>
      <c r="I570" s="14">
        <v>343</v>
      </c>
      <c r="J570" s="8"/>
      <c r="K570" s="6">
        <v>6</v>
      </c>
      <c r="L570" s="10">
        <v>105.66</v>
      </c>
      <c r="M570" s="11"/>
      <c r="N570" s="8">
        <f t="shared" si="29"/>
        <v>0</v>
      </c>
      <c r="O570" s="12">
        <f>0.007*M570</f>
        <v>0</v>
      </c>
      <c r="P570" s="13">
        <f>0.00006*M570</f>
        <v>0</v>
      </c>
      <c r="Q570" s="17" t="s">
        <v>37</v>
      </c>
      <c r="R570" s="8" t="s">
        <v>1943</v>
      </c>
      <c r="S570" s="8"/>
      <c r="T570" s="7" t="str">
        <f>HYPERLINK("https://miland.ru/api/getInfo/image/0f848052-0189-11f1-a28e-00155d82e908")</f>
        <v>https://miland.ru/api/getInfo/image/0f848052-0189-11f1-a28e-00155d82e908</v>
      </c>
      <c r="U570" s="7"/>
      <c r="V570" s="7" t="s">
        <v>1931</v>
      </c>
      <c r="W570" s="7" t="s">
        <v>1666</v>
      </c>
      <c r="X570" s="7"/>
      <c r="Y570" s="7" t="s">
        <v>41</v>
      </c>
      <c r="Z570" s="7"/>
      <c r="AA570" s="7" t="str">
        <f>HYPERLINK("https://miland.ru/api/getInfo/item/0f848052-0189-11f1-a28e-00155d82e908")</f>
        <v>https://miland.ru/api/getInfo/item/0f848052-0189-11f1-a28e-00155d82e908</v>
      </c>
      <c r="AB570" s="7" t="s">
        <v>50</v>
      </c>
      <c r="AC570" s="7"/>
      <c r="AD570" s="7"/>
      <c r="AE570" s="54"/>
    </row>
    <row r="571" spans="2:31" s="1" customFormat="1" ht="96.3" customHeight="1" outlineLevel="5">
      <c r="B571" s="20">
        <v>396</v>
      </c>
      <c r="C571" s="21" t="s">
        <v>1944</v>
      </c>
      <c r="D571" s="72" t="s">
        <v>1945</v>
      </c>
      <c r="E571" s="72"/>
      <c r="F571" s="72"/>
      <c r="G571" s="72"/>
      <c r="H571" s="22" t="s">
        <v>1946</v>
      </c>
      <c r="I571" s="27">
        <v>337</v>
      </c>
      <c r="J571" s="22"/>
      <c r="K571" s="20">
        <v>6</v>
      </c>
      <c r="L571" s="24">
        <v>105.66</v>
      </c>
      <c r="M571" s="11"/>
      <c r="N571" s="22">
        <f t="shared" si="29"/>
        <v>0</v>
      </c>
      <c r="O571" s="25">
        <f>0.063*M571</f>
        <v>0</v>
      </c>
      <c r="P571" s="26">
        <f>0.00035*M571</f>
        <v>0</v>
      </c>
      <c r="Q571" s="30"/>
      <c r="R571" s="22" t="s">
        <v>1947</v>
      </c>
      <c r="S571" s="22" t="s">
        <v>435</v>
      </c>
      <c r="T571" s="21" t="str">
        <f>HYPERLINK("https://miland.ru/api/getInfo/image/533098ad-e487-11ef-a274-00155d82e908")</f>
        <v>https://miland.ru/api/getInfo/image/533098ad-e487-11ef-a274-00155d82e908</v>
      </c>
      <c r="U571" s="21"/>
      <c r="V571" s="21" t="s">
        <v>1798</v>
      </c>
      <c r="W571" s="21" t="s">
        <v>1799</v>
      </c>
      <c r="X571" s="21"/>
      <c r="Y571" s="21" t="s">
        <v>41</v>
      </c>
      <c r="Z571" s="21"/>
      <c r="AA571" s="21" t="str">
        <f>HYPERLINK("https://miland.ru/api/getInfo/item/533098ad-e487-11ef-a274-00155d82e908")</f>
        <v>https://miland.ru/api/getInfo/item/533098ad-e487-11ef-a274-00155d82e908</v>
      </c>
      <c r="AB571" s="21" t="s">
        <v>50</v>
      </c>
      <c r="AC571" s="21"/>
      <c r="AD571" s="21"/>
    </row>
    <row r="572" spans="2:31" s="1" customFormat="1" ht="96.3" customHeight="1" outlineLevel="5">
      <c r="B572" s="20">
        <v>397</v>
      </c>
      <c r="C572" s="21" t="s">
        <v>1948</v>
      </c>
      <c r="D572" s="72" t="s">
        <v>1949</v>
      </c>
      <c r="E572" s="72"/>
      <c r="F572" s="72"/>
      <c r="G572" s="72"/>
      <c r="H572" s="22" t="s">
        <v>1950</v>
      </c>
      <c r="I572" s="27">
        <v>253</v>
      </c>
      <c r="J572" s="22"/>
      <c r="K572" s="20">
        <v>6</v>
      </c>
      <c r="L572" s="24">
        <v>105.66</v>
      </c>
      <c r="M572" s="11"/>
      <c r="N572" s="22">
        <f t="shared" si="29"/>
        <v>0</v>
      </c>
      <c r="O572" s="25">
        <f>0.065*M572</f>
        <v>0</v>
      </c>
      <c r="P572" s="26">
        <f>0.00036*M572</f>
        <v>0</v>
      </c>
      <c r="Q572" s="30"/>
      <c r="R572" s="22" t="s">
        <v>1951</v>
      </c>
      <c r="S572" s="22" t="s">
        <v>435</v>
      </c>
      <c r="T572" s="21" t="str">
        <f>HYPERLINK("https://miland.ru/api/getInfo/image/7011fbec-e487-11ef-a274-00155d82e908")</f>
        <v>https://miland.ru/api/getInfo/image/7011fbec-e487-11ef-a274-00155d82e908</v>
      </c>
      <c r="U572" s="21"/>
      <c r="V572" s="21" t="s">
        <v>1798</v>
      </c>
      <c r="W572" s="21" t="s">
        <v>1799</v>
      </c>
      <c r="X572" s="21"/>
      <c r="Y572" s="21" t="s">
        <v>41</v>
      </c>
      <c r="Z572" s="21"/>
      <c r="AA572" s="21" t="str">
        <f>HYPERLINK("https://miland.ru/api/getInfo/item/7011fbec-e487-11ef-a274-00155d82e908")</f>
        <v>https://miland.ru/api/getInfo/item/7011fbec-e487-11ef-a274-00155d82e908</v>
      </c>
      <c r="AB572" s="21" t="s">
        <v>50</v>
      </c>
      <c r="AC572" s="21"/>
      <c r="AD572" s="21"/>
    </row>
    <row r="573" spans="2:31" s="1" customFormat="1" ht="96.3" customHeight="1" outlineLevel="5">
      <c r="B573" s="20">
        <v>398</v>
      </c>
      <c r="C573" s="21" t="s">
        <v>1952</v>
      </c>
      <c r="D573" s="72" t="s">
        <v>1953</v>
      </c>
      <c r="E573" s="72"/>
      <c r="F573" s="72"/>
      <c r="G573" s="72"/>
      <c r="H573" s="22" t="s">
        <v>1954</v>
      </c>
      <c r="I573" s="27">
        <v>489</v>
      </c>
      <c r="J573" s="22"/>
      <c r="K573" s="20">
        <v>6</v>
      </c>
      <c r="L573" s="24">
        <v>105.66</v>
      </c>
      <c r="M573" s="11"/>
      <c r="N573" s="22">
        <f t="shared" si="29"/>
        <v>0</v>
      </c>
      <c r="O573" s="25">
        <f>0.064*M573</f>
        <v>0</v>
      </c>
      <c r="P573" s="26">
        <f>0.00031*M573</f>
        <v>0</v>
      </c>
      <c r="Q573" s="30"/>
      <c r="R573" s="22" t="s">
        <v>1955</v>
      </c>
      <c r="S573" s="22" t="s">
        <v>435</v>
      </c>
      <c r="T573" s="21" t="str">
        <f>HYPERLINK("https://miland.ru/api/getInfo/image/881c0d52-e487-11ef-a274-00155d82e908")</f>
        <v>https://miland.ru/api/getInfo/image/881c0d52-e487-11ef-a274-00155d82e908</v>
      </c>
      <c r="U573" s="21"/>
      <c r="V573" s="21" t="s">
        <v>1798</v>
      </c>
      <c r="W573" s="21" t="s">
        <v>1799</v>
      </c>
      <c r="X573" s="21"/>
      <c r="Y573" s="21" t="s">
        <v>41</v>
      </c>
      <c r="Z573" s="21"/>
      <c r="AA573" s="21" t="str">
        <f>HYPERLINK("https://miland.ru/api/getInfo/item/881c0d52-e487-11ef-a274-00155d82e908")</f>
        <v>https://miland.ru/api/getInfo/item/881c0d52-e487-11ef-a274-00155d82e908</v>
      </c>
      <c r="AB573" s="21" t="s">
        <v>50</v>
      </c>
      <c r="AC573" s="21"/>
      <c r="AD573" s="21"/>
    </row>
    <row r="574" spans="2:31" s="1" customFormat="1" ht="96.3" customHeight="1" outlineLevel="5">
      <c r="B574" s="6">
        <v>399</v>
      </c>
      <c r="C574" s="7" t="s">
        <v>1956</v>
      </c>
      <c r="D574" s="71" t="s">
        <v>1957</v>
      </c>
      <c r="E574" s="71"/>
      <c r="F574" s="71"/>
      <c r="G574" s="71"/>
      <c r="H574" s="8" t="s">
        <v>1958</v>
      </c>
      <c r="I574" s="9" t="s">
        <v>36</v>
      </c>
      <c r="J574" s="8"/>
      <c r="K574" s="6">
        <v>6</v>
      </c>
      <c r="L574" s="10">
        <v>105.66</v>
      </c>
      <c r="M574" s="11"/>
      <c r="N574" s="8">
        <f t="shared" si="29"/>
        <v>0</v>
      </c>
      <c r="O574" s="12">
        <f>0.035*M574</f>
        <v>0</v>
      </c>
      <c r="P574" s="13">
        <f>0.00023*M574</f>
        <v>0</v>
      </c>
      <c r="Q574" s="17" t="s">
        <v>37</v>
      </c>
      <c r="R574" s="8" t="s">
        <v>1959</v>
      </c>
      <c r="S574" s="8"/>
      <c r="T574" s="7" t="str">
        <f>HYPERLINK("https://miland.ru/api/getInfo/image/29dfad7d-018a-11f1-a28e-00155d82e908")</f>
        <v>https://miland.ru/api/getInfo/image/29dfad7d-018a-11f1-a28e-00155d82e908</v>
      </c>
      <c r="U574" s="7"/>
      <c r="V574" s="7" t="s">
        <v>1931</v>
      </c>
      <c r="W574" s="7" t="s">
        <v>1666</v>
      </c>
      <c r="X574" s="7"/>
      <c r="Y574" s="7" t="s">
        <v>41</v>
      </c>
      <c r="Z574" s="7"/>
      <c r="AA574" s="7" t="str">
        <f>HYPERLINK("https://miland.ru/api/getInfo/item/29dfad7d-018a-11f1-a28e-00155d82e908")</f>
        <v>https://miland.ru/api/getInfo/item/29dfad7d-018a-11f1-a28e-00155d82e908</v>
      </c>
      <c r="AB574" s="7" t="s">
        <v>50</v>
      </c>
      <c r="AC574" s="7"/>
      <c r="AD574" s="7"/>
      <c r="AE574" s="54"/>
    </row>
    <row r="575" spans="2:31" s="1" customFormat="1" ht="96.3" customHeight="1" outlineLevel="5">
      <c r="B575" s="20">
        <v>400</v>
      </c>
      <c r="C575" s="21" t="s">
        <v>1960</v>
      </c>
      <c r="D575" s="72" t="s">
        <v>1961</v>
      </c>
      <c r="E575" s="72"/>
      <c r="F575" s="72"/>
      <c r="G575" s="72"/>
      <c r="H575" s="22" t="s">
        <v>1962</v>
      </c>
      <c r="I575" s="27">
        <v>10</v>
      </c>
      <c r="J575" s="22"/>
      <c r="K575" s="20">
        <v>6</v>
      </c>
      <c r="L575" s="24">
        <v>105.68</v>
      </c>
      <c r="M575" s="11"/>
      <c r="N575" s="22">
        <f t="shared" si="29"/>
        <v>0</v>
      </c>
      <c r="O575" s="25">
        <f>0.068*M575</f>
        <v>0</v>
      </c>
      <c r="P575" s="26">
        <f>0.00037*M575</f>
        <v>0</v>
      </c>
      <c r="Q575" s="30"/>
      <c r="R575" s="22" t="s">
        <v>1963</v>
      </c>
      <c r="S575" s="22" t="s">
        <v>435</v>
      </c>
      <c r="T575" s="21" t="str">
        <f>HYPERLINK("https://miland.ru/api/getInfo/image/ac18b77e-dadd-11ee-a25a-00155d82e908")</f>
        <v>https://miland.ru/api/getInfo/image/ac18b77e-dadd-11ee-a25a-00155d82e908</v>
      </c>
      <c r="U575" s="21"/>
      <c r="V575" s="21" t="s">
        <v>1798</v>
      </c>
      <c r="W575" s="21" t="s">
        <v>1799</v>
      </c>
      <c r="X575" s="21"/>
      <c r="Y575" s="21" t="s">
        <v>41</v>
      </c>
      <c r="Z575" s="21"/>
      <c r="AA575" s="21" t="str">
        <f>HYPERLINK("https://miland.ru/api/getInfo/item/ac18b77e-dadd-11ee-a25a-00155d82e908")</f>
        <v>https://miland.ru/api/getInfo/item/ac18b77e-dadd-11ee-a25a-00155d82e908</v>
      </c>
      <c r="AB575" s="21" t="s">
        <v>50</v>
      </c>
      <c r="AC575" s="21"/>
      <c r="AD575" s="21"/>
    </row>
    <row r="576" spans="2:31" ht="12" customHeight="1" outlineLevel="3">
      <c r="B576" s="70" t="s">
        <v>1964</v>
      </c>
      <c r="C576" s="70"/>
      <c r="D576" s="70"/>
      <c r="E576" s="70"/>
      <c r="F576" s="70"/>
      <c r="G576" s="70"/>
    </row>
    <row r="577" spans="2:31" ht="12" customHeight="1" outlineLevel="4">
      <c r="B577" s="70" t="s">
        <v>1965</v>
      </c>
      <c r="C577" s="70"/>
      <c r="D577" s="70"/>
      <c r="E577" s="70"/>
      <c r="F577" s="70"/>
      <c r="G577" s="70"/>
    </row>
    <row r="578" spans="2:31" ht="12" customHeight="1" outlineLevel="5">
      <c r="B578" s="70" t="s">
        <v>1966</v>
      </c>
      <c r="C578" s="70"/>
      <c r="D578" s="70"/>
      <c r="E578" s="70"/>
      <c r="F578" s="70"/>
      <c r="G578" s="70"/>
    </row>
    <row r="579" spans="2:31" s="1" customFormat="1" ht="96.3" customHeight="1" outlineLevel="6">
      <c r="B579" s="20">
        <v>401</v>
      </c>
      <c r="C579" s="21" t="s">
        <v>1967</v>
      </c>
      <c r="D579" s="72" t="s">
        <v>1968</v>
      </c>
      <c r="E579" s="72"/>
      <c r="F579" s="72"/>
      <c r="G579" s="72"/>
      <c r="H579" s="22" t="s">
        <v>1969</v>
      </c>
      <c r="I579" s="27">
        <v>5</v>
      </c>
      <c r="J579" s="22"/>
      <c r="K579" s="20">
        <v>1</v>
      </c>
      <c r="L579" s="24">
        <v>872.33</v>
      </c>
      <c r="M579" s="11"/>
      <c r="N579" s="22">
        <f>L579*M579</f>
        <v>0</v>
      </c>
      <c r="O579" s="25">
        <f>0.288*M579</f>
        <v>0</v>
      </c>
      <c r="P579" s="26">
        <f>0.00233*M579</f>
        <v>0</v>
      </c>
      <c r="Q579" s="30"/>
      <c r="R579" s="22" t="s">
        <v>1970</v>
      </c>
      <c r="S579" s="22" t="s">
        <v>435</v>
      </c>
      <c r="T579" s="21" t="str">
        <f>HYPERLINK("https://miland.ru/api/getInfo/image/cf03025b-d8bd-11ef-a273-00155d82e908")</f>
        <v>https://miland.ru/api/getInfo/image/cf03025b-d8bd-11ef-a273-00155d82e908</v>
      </c>
      <c r="U579" s="21"/>
      <c r="V579" s="21" t="s">
        <v>710</v>
      </c>
      <c r="W579" s="21" t="s">
        <v>82</v>
      </c>
      <c r="X579" s="21"/>
      <c r="Y579" s="21" t="s">
        <v>41</v>
      </c>
      <c r="Z579" s="21"/>
      <c r="AA579" s="21" t="str">
        <f>HYPERLINK("https://miland.ru/api/getInfo/item/cf03025b-d8bd-11ef-a273-00155d82e908")</f>
        <v>https://miland.ru/api/getInfo/item/cf03025b-d8bd-11ef-a273-00155d82e908</v>
      </c>
      <c r="AB579" s="21" t="s">
        <v>42</v>
      </c>
      <c r="AC579" s="21"/>
      <c r="AD579" s="21"/>
    </row>
    <row r="580" spans="2:31" s="1" customFormat="1" ht="96.3" customHeight="1" outlineLevel="6">
      <c r="B580" s="20">
        <v>402</v>
      </c>
      <c r="C580" s="21" t="s">
        <v>1971</v>
      </c>
      <c r="D580" s="72" t="s">
        <v>1972</v>
      </c>
      <c r="E580" s="72"/>
      <c r="F580" s="72"/>
      <c r="G580" s="72"/>
      <c r="H580" s="22" t="s">
        <v>1973</v>
      </c>
      <c r="I580" s="27">
        <v>214</v>
      </c>
      <c r="J580" s="22"/>
      <c r="K580" s="20">
        <v>1</v>
      </c>
      <c r="L580" s="32">
        <v>1645.72</v>
      </c>
      <c r="M580" s="11"/>
      <c r="N580" s="22">
        <f>L580*M580</f>
        <v>0</v>
      </c>
      <c r="O580" s="25">
        <f>0.126*M580</f>
        <v>0</v>
      </c>
      <c r="P580" s="26">
        <f>0.00094*M580</f>
        <v>0</v>
      </c>
      <c r="Q580" s="30"/>
      <c r="R580" s="22" t="s">
        <v>1974</v>
      </c>
      <c r="S580" s="22" t="s">
        <v>435</v>
      </c>
      <c r="T580" s="21" t="str">
        <f>HYPERLINK("https://miland.ru/api/getInfo/image/0289b641-d8bf-11ef-a273-00155d82e908")</f>
        <v>https://miland.ru/api/getInfo/image/0289b641-d8bf-11ef-a273-00155d82e908</v>
      </c>
      <c r="U580" s="21"/>
      <c r="V580" s="21" t="s">
        <v>710</v>
      </c>
      <c r="W580" s="21" t="s">
        <v>82</v>
      </c>
      <c r="X580" s="21"/>
      <c r="Y580" s="21" t="s">
        <v>41</v>
      </c>
      <c r="Z580" s="21"/>
      <c r="AA580" s="21" t="str">
        <f>HYPERLINK("https://miland.ru/api/getInfo/item/0289b641-d8bf-11ef-a273-00155d82e908")</f>
        <v>https://miland.ru/api/getInfo/item/0289b641-d8bf-11ef-a273-00155d82e908</v>
      </c>
      <c r="AB580" s="21" t="s">
        <v>42</v>
      </c>
      <c r="AC580" s="21"/>
      <c r="AD580" s="21"/>
    </row>
    <row r="581" spans="2:31" s="1" customFormat="1" ht="96.3" customHeight="1" outlineLevel="6">
      <c r="B581" s="20">
        <v>403</v>
      </c>
      <c r="C581" s="21" t="s">
        <v>1975</v>
      </c>
      <c r="D581" s="72" t="s">
        <v>1976</v>
      </c>
      <c r="E581" s="72"/>
      <c r="F581" s="72"/>
      <c r="G581" s="72"/>
      <c r="H581" s="22" t="s">
        <v>1977</v>
      </c>
      <c r="I581" s="27">
        <v>199</v>
      </c>
      <c r="J581" s="22"/>
      <c r="K581" s="20">
        <v>1</v>
      </c>
      <c r="L581" s="32">
        <v>1903.51</v>
      </c>
      <c r="M581" s="11"/>
      <c r="N581" s="22">
        <f>L581*M581</f>
        <v>0</v>
      </c>
      <c r="O581" s="28">
        <f>0.18*M581</f>
        <v>0</v>
      </c>
      <c r="P581" s="26">
        <f>0.00211*M581</f>
        <v>0</v>
      </c>
      <c r="Q581" s="30"/>
      <c r="R581" s="22" t="s">
        <v>1978</v>
      </c>
      <c r="S581" s="22" t="s">
        <v>435</v>
      </c>
      <c r="T581" s="21" t="str">
        <f>HYPERLINK("https://miland.ru/api/getInfo/image/d2f0b9bc-d8be-11ef-a273-00155d82e908")</f>
        <v>https://miland.ru/api/getInfo/image/d2f0b9bc-d8be-11ef-a273-00155d82e908</v>
      </c>
      <c r="U581" s="21"/>
      <c r="V581" s="21" t="s">
        <v>710</v>
      </c>
      <c r="W581" s="21" t="s">
        <v>82</v>
      </c>
      <c r="X581" s="21"/>
      <c r="Y581" s="21" t="s">
        <v>41</v>
      </c>
      <c r="Z581" s="21"/>
      <c r="AA581" s="21" t="str">
        <f>HYPERLINK("https://miland.ru/api/getInfo/item/d2f0b9bc-d8be-11ef-a273-00155d82e908")</f>
        <v>https://miland.ru/api/getInfo/item/d2f0b9bc-d8be-11ef-a273-00155d82e908</v>
      </c>
      <c r="AB581" s="21" t="s">
        <v>42</v>
      </c>
      <c r="AC581" s="21"/>
      <c r="AD581" s="21"/>
    </row>
    <row r="582" spans="2:31" s="1" customFormat="1" ht="96.3" customHeight="1" outlineLevel="6">
      <c r="B582" s="20">
        <v>404</v>
      </c>
      <c r="C582" s="21" t="s">
        <v>1979</v>
      </c>
      <c r="D582" s="72" t="s">
        <v>1980</v>
      </c>
      <c r="E582" s="72"/>
      <c r="F582" s="72"/>
      <c r="G582" s="72"/>
      <c r="H582" s="22" t="s">
        <v>1981</v>
      </c>
      <c r="I582" s="27">
        <v>347</v>
      </c>
      <c r="J582" s="22"/>
      <c r="K582" s="20">
        <v>1</v>
      </c>
      <c r="L582" s="32">
        <v>2058.19</v>
      </c>
      <c r="M582" s="11"/>
      <c r="N582" s="22">
        <f>L582*M582</f>
        <v>0</v>
      </c>
      <c r="O582" s="25">
        <f>0.253*M582</f>
        <v>0</v>
      </c>
      <c r="P582" s="26">
        <f>0.00227*M582</f>
        <v>0</v>
      </c>
      <c r="Q582" s="30"/>
      <c r="R582" s="22" t="s">
        <v>1982</v>
      </c>
      <c r="S582" s="22" t="s">
        <v>435</v>
      </c>
      <c r="T582" s="21" t="str">
        <f>HYPERLINK("https://miland.ru/api/getInfo/image/b5d1b082-d8bd-11ef-a273-00155d82e908")</f>
        <v>https://miland.ru/api/getInfo/image/b5d1b082-d8bd-11ef-a273-00155d82e908</v>
      </c>
      <c r="U582" s="21"/>
      <c r="V582" s="21" t="s">
        <v>710</v>
      </c>
      <c r="W582" s="21" t="s">
        <v>82</v>
      </c>
      <c r="X582" s="21"/>
      <c r="Y582" s="21" t="s">
        <v>41</v>
      </c>
      <c r="Z582" s="21"/>
      <c r="AA582" s="21" t="str">
        <f>HYPERLINK("https://miland.ru/api/getInfo/item/b5d1b082-d8bd-11ef-a273-00155d82e908")</f>
        <v>https://miland.ru/api/getInfo/item/b5d1b082-d8bd-11ef-a273-00155d82e908</v>
      </c>
      <c r="AB582" s="21" t="s">
        <v>42</v>
      </c>
      <c r="AC582" s="21"/>
      <c r="AD582" s="21"/>
    </row>
    <row r="583" spans="2:31" s="1" customFormat="1" ht="96.3" customHeight="1" outlineLevel="6">
      <c r="B583" s="20">
        <v>405</v>
      </c>
      <c r="C583" s="21" t="s">
        <v>1983</v>
      </c>
      <c r="D583" s="72" t="s">
        <v>1984</v>
      </c>
      <c r="E583" s="72"/>
      <c r="F583" s="72"/>
      <c r="G583" s="72"/>
      <c r="H583" s="22" t="s">
        <v>1985</v>
      </c>
      <c r="I583" s="27">
        <v>164</v>
      </c>
      <c r="J583" s="22"/>
      <c r="K583" s="20">
        <v>1</v>
      </c>
      <c r="L583" s="32">
        <v>1737.11</v>
      </c>
      <c r="M583" s="11"/>
      <c r="N583" s="22">
        <f>L583*M583</f>
        <v>0</v>
      </c>
      <c r="O583" s="25">
        <f>0.287*M583</f>
        <v>0</v>
      </c>
      <c r="P583" s="26">
        <f>0.00228*M583</f>
        <v>0</v>
      </c>
      <c r="Q583" s="30"/>
      <c r="R583" s="22" t="s">
        <v>1986</v>
      </c>
      <c r="S583" s="22" t="s">
        <v>435</v>
      </c>
      <c r="T583" s="21" t="str">
        <f>HYPERLINK("https://miland.ru/api/getInfo/image/eee3f0ab-d8be-11ef-a273-00155d82e908")</f>
        <v>https://miland.ru/api/getInfo/image/eee3f0ab-d8be-11ef-a273-00155d82e908</v>
      </c>
      <c r="U583" s="21"/>
      <c r="V583" s="21" t="s">
        <v>710</v>
      </c>
      <c r="W583" s="21" t="s">
        <v>82</v>
      </c>
      <c r="X583" s="21"/>
      <c r="Y583" s="21" t="s">
        <v>41</v>
      </c>
      <c r="Z583" s="21"/>
      <c r="AA583" s="21" t="str">
        <f>HYPERLINK("https://miland.ru/api/getInfo/item/eee3f0ab-d8be-11ef-a273-00155d82e908")</f>
        <v>https://miland.ru/api/getInfo/item/eee3f0ab-d8be-11ef-a273-00155d82e908</v>
      </c>
      <c r="AB583" s="21" t="s">
        <v>42</v>
      </c>
      <c r="AC583" s="21"/>
      <c r="AD583" s="21"/>
    </row>
    <row r="584" spans="2:31" ht="12" customHeight="1" outlineLevel="5">
      <c r="B584" s="70" t="s">
        <v>1987</v>
      </c>
      <c r="C584" s="70"/>
      <c r="D584" s="70"/>
      <c r="E584" s="70"/>
      <c r="F584" s="70"/>
      <c r="G584" s="70"/>
    </row>
    <row r="585" spans="2:31" ht="12" customHeight="1" outlineLevel="6">
      <c r="B585" s="70" t="s">
        <v>1988</v>
      </c>
      <c r="C585" s="70"/>
      <c r="D585" s="70"/>
      <c r="E585" s="70"/>
      <c r="F585" s="70"/>
      <c r="G585" s="70"/>
    </row>
    <row r="586" spans="2:31" s="1" customFormat="1" ht="96.3" customHeight="1" outlineLevel="7">
      <c r="B586" s="6">
        <v>406</v>
      </c>
      <c r="C586" s="7" t="s">
        <v>1989</v>
      </c>
      <c r="D586" s="71" t="s">
        <v>1990</v>
      </c>
      <c r="E586" s="71"/>
      <c r="F586" s="71"/>
      <c r="G586" s="71"/>
      <c r="H586" s="8" t="s">
        <v>1991</v>
      </c>
      <c r="I586" s="9" t="s">
        <v>36</v>
      </c>
      <c r="J586" s="8"/>
      <c r="K586" s="6">
        <v>1</v>
      </c>
      <c r="L586" s="10">
        <v>412.53</v>
      </c>
      <c r="M586" s="11"/>
      <c r="N586" s="8">
        <f>L586*M586</f>
        <v>0</v>
      </c>
      <c r="O586" s="18">
        <f>0.05*M586</f>
        <v>0</v>
      </c>
      <c r="P586" s="13">
        <f>0.00035*M586</f>
        <v>0</v>
      </c>
      <c r="Q586" s="17" t="s">
        <v>37</v>
      </c>
      <c r="R586" s="8" t="s">
        <v>1992</v>
      </c>
      <c r="S586" s="8"/>
      <c r="T586" s="7" t="str">
        <f>HYPERLINK("https://miland.ru/api/getInfo/image/3ec66f82-08d6-11f1-a28f-00155d82e908")</f>
        <v>https://miland.ru/api/getInfo/image/3ec66f82-08d6-11f1-a28f-00155d82e908</v>
      </c>
      <c r="U586" s="7"/>
      <c r="V586" s="7"/>
      <c r="W586" s="7" t="s">
        <v>82</v>
      </c>
      <c r="X586" s="7"/>
      <c r="Y586" s="7" t="s">
        <v>41</v>
      </c>
      <c r="Z586" s="7"/>
      <c r="AA586" s="7" t="str">
        <f>HYPERLINK("https://miland.ru/api/getInfo/item/3ec66f82-08d6-11f1-a28f-00155d82e908")</f>
        <v>https://miland.ru/api/getInfo/item/3ec66f82-08d6-11f1-a28f-00155d82e908</v>
      </c>
      <c r="AB586" s="7" t="s">
        <v>42</v>
      </c>
      <c r="AC586" s="7"/>
      <c r="AD586" s="7"/>
      <c r="AE586" s="54"/>
    </row>
    <row r="587" spans="2:31" s="1" customFormat="1" ht="96.3" customHeight="1" outlineLevel="7">
      <c r="B587" s="6">
        <v>407</v>
      </c>
      <c r="C587" s="7" t="s">
        <v>1993</v>
      </c>
      <c r="D587" s="71" t="s">
        <v>1994</v>
      </c>
      <c r="E587" s="71"/>
      <c r="F587" s="71"/>
      <c r="G587" s="71"/>
      <c r="H587" s="8" t="s">
        <v>1995</v>
      </c>
      <c r="I587" s="9" t="s">
        <v>36</v>
      </c>
      <c r="J587" s="8"/>
      <c r="K587" s="6">
        <v>1</v>
      </c>
      <c r="L587" s="10">
        <v>412.53</v>
      </c>
      <c r="M587" s="11"/>
      <c r="N587" s="8">
        <f>L587*M587</f>
        <v>0</v>
      </c>
      <c r="O587" s="12">
        <f>0.046*M587</f>
        <v>0</v>
      </c>
      <c r="P587" s="13">
        <f>0.00036*M587</f>
        <v>0</v>
      </c>
      <c r="Q587" s="17" t="s">
        <v>37</v>
      </c>
      <c r="R587" s="8" t="s">
        <v>1996</v>
      </c>
      <c r="S587" s="8"/>
      <c r="T587" s="7" t="str">
        <f>HYPERLINK("https://miland.ru/api/getInfo/image/1bcb5a12-08d6-11f1-a28f-00155d82e908")</f>
        <v>https://miland.ru/api/getInfo/image/1bcb5a12-08d6-11f1-a28f-00155d82e908</v>
      </c>
      <c r="U587" s="7"/>
      <c r="V587" s="7"/>
      <c r="W587" s="7" t="s">
        <v>82</v>
      </c>
      <c r="X587" s="7"/>
      <c r="Y587" s="7" t="s">
        <v>41</v>
      </c>
      <c r="Z587" s="7"/>
      <c r="AA587" s="7" t="str">
        <f>HYPERLINK("https://miland.ru/api/getInfo/item/1bcb5a12-08d6-11f1-a28f-00155d82e908")</f>
        <v>https://miland.ru/api/getInfo/item/1bcb5a12-08d6-11f1-a28f-00155d82e908</v>
      </c>
      <c r="AB587" s="7" t="s">
        <v>42</v>
      </c>
      <c r="AC587" s="7"/>
      <c r="AD587" s="7"/>
      <c r="AE587" s="54"/>
    </row>
    <row r="588" spans="2:31" s="1" customFormat="1" ht="96.3" customHeight="1" outlineLevel="7">
      <c r="B588" s="20">
        <v>408</v>
      </c>
      <c r="C588" s="21" t="s">
        <v>1997</v>
      </c>
      <c r="D588" s="72" t="s">
        <v>1998</v>
      </c>
      <c r="E588" s="72"/>
      <c r="F588" s="72"/>
      <c r="G588" s="72"/>
      <c r="H588" s="22" t="s">
        <v>1999</v>
      </c>
      <c r="I588" s="23" t="s">
        <v>36</v>
      </c>
      <c r="J588" s="22"/>
      <c r="K588" s="20">
        <v>1</v>
      </c>
      <c r="L588" s="24">
        <v>304.98</v>
      </c>
      <c r="M588" s="11"/>
      <c r="N588" s="22">
        <f>L588*M588</f>
        <v>0</v>
      </c>
      <c r="O588" s="25">
        <f>0.028*M588</f>
        <v>0</v>
      </c>
      <c r="P588" s="26">
        <f>0.00024*M588</f>
        <v>0</v>
      </c>
      <c r="Q588" s="30"/>
      <c r="R588" s="22" t="s">
        <v>2000</v>
      </c>
      <c r="S588" s="22"/>
      <c r="T588" s="21" t="str">
        <f>HYPERLINK("https://miland.ru/api/getInfo/image/5c8f6ef6-7ab9-11ed-a22a-00155d82e902")</f>
        <v>https://miland.ru/api/getInfo/image/5c8f6ef6-7ab9-11ed-a22a-00155d82e902</v>
      </c>
      <c r="U588" s="21"/>
      <c r="V588" s="21" t="s">
        <v>710</v>
      </c>
      <c r="W588" s="21" t="s">
        <v>82</v>
      </c>
      <c r="X588" s="21"/>
      <c r="Y588" s="21" t="s">
        <v>41</v>
      </c>
      <c r="Z588" s="21"/>
      <c r="AA588" s="21" t="str">
        <f>HYPERLINK("https://miland.ru/api/getInfo/item/5c8f6ef6-7ab9-11ed-a22a-00155d82e902")</f>
        <v>https://miland.ru/api/getInfo/item/5c8f6ef6-7ab9-11ed-a22a-00155d82e902</v>
      </c>
      <c r="AB588" s="21" t="s">
        <v>42</v>
      </c>
      <c r="AC588" s="21"/>
      <c r="AD588" s="21"/>
    </row>
    <row r="589" spans="2:31" ht="12" customHeight="1" outlineLevel="6">
      <c r="B589" s="70" t="s">
        <v>2001</v>
      </c>
      <c r="C589" s="70"/>
      <c r="D589" s="70"/>
      <c r="E589" s="70"/>
      <c r="F589" s="70"/>
      <c r="G589" s="70"/>
    </row>
    <row r="590" spans="2:31" s="1" customFormat="1" ht="96.3" customHeight="1" outlineLevel="7">
      <c r="B590" s="6">
        <v>409</v>
      </c>
      <c r="C590" s="7" t="s">
        <v>2002</v>
      </c>
      <c r="D590" s="71" t="s">
        <v>2003</v>
      </c>
      <c r="E590" s="71"/>
      <c r="F590" s="71"/>
      <c r="G590" s="71"/>
      <c r="H590" s="8" t="s">
        <v>2004</v>
      </c>
      <c r="I590" s="9" t="s">
        <v>36</v>
      </c>
      <c r="J590" s="8"/>
      <c r="K590" s="6">
        <v>2</v>
      </c>
      <c r="L590" s="10">
        <v>368.64</v>
      </c>
      <c r="M590" s="11"/>
      <c r="N590" s="8">
        <f>L590*M590</f>
        <v>0</v>
      </c>
      <c r="O590" s="12">
        <f>0.077*M590</f>
        <v>0</v>
      </c>
      <c r="P590" s="13">
        <f>0.00029*M590</f>
        <v>0</v>
      </c>
      <c r="Q590" s="17" t="s">
        <v>37</v>
      </c>
      <c r="R590" s="8" t="s">
        <v>2005</v>
      </c>
      <c r="S590" s="8"/>
      <c r="T590" s="7" t="str">
        <f>HYPERLINK("https://miland.ru/api/getInfo/image/cb8096f3-08ce-11f1-a28f-00155d82e908")</f>
        <v>https://miland.ru/api/getInfo/image/cb8096f3-08ce-11f1-a28f-00155d82e908</v>
      </c>
      <c r="U590" s="7"/>
      <c r="V590" s="7"/>
      <c r="W590" s="7" t="s">
        <v>82</v>
      </c>
      <c r="X590" s="7"/>
      <c r="Y590" s="7" t="s">
        <v>41</v>
      </c>
      <c r="Z590" s="7"/>
      <c r="AA590" s="7" t="str">
        <f>HYPERLINK("https://miland.ru/api/getInfo/item/cb8096f3-08ce-11f1-a28f-00155d82e908")</f>
        <v>https://miland.ru/api/getInfo/item/cb8096f3-08ce-11f1-a28f-00155d82e908</v>
      </c>
      <c r="AB590" s="7" t="s">
        <v>42</v>
      </c>
      <c r="AC590" s="7"/>
      <c r="AD590" s="7"/>
      <c r="AE590" s="54"/>
    </row>
    <row r="591" spans="2:31" s="1" customFormat="1" ht="96.3" customHeight="1" outlineLevel="7">
      <c r="B591" s="20">
        <v>410</v>
      </c>
      <c r="C591" s="21" t="s">
        <v>2006</v>
      </c>
      <c r="D591" s="72" t="s">
        <v>2007</v>
      </c>
      <c r="E591" s="72"/>
      <c r="F591" s="72"/>
      <c r="G591" s="72"/>
      <c r="H591" s="22" t="s">
        <v>2008</v>
      </c>
      <c r="I591" s="23" t="s">
        <v>36</v>
      </c>
      <c r="J591" s="22"/>
      <c r="K591" s="20">
        <v>2</v>
      </c>
      <c r="L591" s="24">
        <v>290.06</v>
      </c>
      <c r="M591" s="11"/>
      <c r="N591" s="22">
        <f>L591*M591</f>
        <v>0</v>
      </c>
      <c r="O591" s="25">
        <f>0.197*M591</f>
        <v>0</v>
      </c>
      <c r="P591" s="26">
        <f>0.00035*M591</f>
        <v>0</v>
      </c>
      <c r="Q591" s="30"/>
      <c r="R591" s="22" t="s">
        <v>2009</v>
      </c>
      <c r="S591" s="22"/>
      <c r="T591" s="21" t="str">
        <f>HYPERLINK("https://miland.ru/api/getInfo/image/86330229-dfd6-11ef-a273-00155d82e908")</f>
        <v>https://miland.ru/api/getInfo/image/86330229-dfd6-11ef-a273-00155d82e908</v>
      </c>
      <c r="U591" s="21"/>
      <c r="V591" s="21" t="s">
        <v>710</v>
      </c>
      <c r="W591" s="21" t="s">
        <v>82</v>
      </c>
      <c r="X591" s="21"/>
      <c r="Y591" s="21" t="s">
        <v>41</v>
      </c>
      <c r="Z591" s="21"/>
      <c r="AA591" s="21" t="str">
        <f>HYPERLINK("https://miland.ru/api/getInfo/item/86330229-dfd6-11ef-a273-00155d82e908")</f>
        <v>https://miland.ru/api/getInfo/item/86330229-dfd6-11ef-a273-00155d82e908</v>
      </c>
      <c r="AB591" s="21" t="s">
        <v>42</v>
      </c>
      <c r="AC591" s="21"/>
      <c r="AD591" s="21"/>
    </row>
    <row r="592" spans="2:31" s="1" customFormat="1" ht="96.3" customHeight="1" outlineLevel="7">
      <c r="B592" s="20">
        <v>411</v>
      </c>
      <c r="C592" s="21" t="s">
        <v>2010</v>
      </c>
      <c r="D592" s="72" t="s">
        <v>2011</v>
      </c>
      <c r="E592" s="72"/>
      <c r="F592" s="72"/>
      <c r="G592" s="72"/>
      <c r="H592" s="22" t="s">
        <v>2012</v>
      </c>
      <c r="I592" s="27">
        <v>310</v>
      </c>
      <c r="J592" s="22"/>
      <c r="K592" s="20">
        <v>2</v>
      </c>
      <c r="L592" s="24">
        <v>290.06</v>
      </c>
      <c r="M592" s="11"/>
      <c r="N592" s="22">
        <f>L592*M592</f>
        <v>0</v>
      </c>
      <c r="O592" s="25">
        <f>0.177*M592</f>
        <v>0</v>
      </c>
      <c r="P592" s="26">
        <f>0.00038*M592</f>
        <v>0</v>
      </c>
      <c r="Q592" s="30"/>
      <c r="R592" s="22" t="s">
        <v>2013</v>
      </c>
      <c r="S592" s="22"/>
      <c r="T592" s="21" t="str">
        <f>HYPERLINK("https://miland.ru/api/getInfo/image/36b4d6e9-dfd6-11ef-a273-00155d82e908")</f>
        <v>https://miland.ru/api/getInfo/image/36b4d6e9-dfd6-11ef-a273-00155d82e908</v>
      </c>
      <c r="U592" s="21"/>
      <c r="V592" s="21" t="s">
        <v>710</v>
      </c>
      <c r="W592" s="21" t="s">
        <v>82</v>
      </c>
      <c r="X592" s="21"/>
      <c r="Y592" s="21" t="s">
        <v>41</v>
      </c>
      <c r="Z592" s="21"/>
      <c r="AA592" s="21" t="str">
        <f>HYPERLINK("https://miland.ru/api/getInfo/item/36b4d6e9-dfd6-11ef-a273-00155d82e908")</f>
        <v>https://miland.ru/api/getInfo/item/36b4d6e9-dfd6-11ef-a273-00155d82e908</v>
      </c>
      <c r="AB592" s="21" t="s">
        <v>42</v>
      </c>
      <c r="AC592" s="21"/>
      <c r="AD592" s="21"/>
    </row>
    <row r="593" spans="2:31" s="1" customFormat="1" ht="96.3" customHeight="1" outlineLevel="7">
      <c r="B593" s="20">
        <v>412</v>
      </c>
      <c r="C593" s="21" t="s">
        <v>2014</v>
      </c>
      <c r="D593" s="72" t="s">
        <v>2015</v>
      </c>
      <c r="E593" s="72"/>
      <c r="F593" s="72"/>
      <c r="G593" s="72"/>
      <c r="H593" s="22" t="s">
        <v>2016</v>
      </c>
      <c r="I593" s="23" t="s">
        <v>36</v>
      </c>
      <c r="J593" s="22"/>
      <c r="K593" s="20">
        <v>2</v>
      </c>
      <c r="L593" s="24">
        <v>290.06</v>
      </c>
      <c r="M593" s="11"/>
      <c r="N593" s="22">
        <f>L593*M593</f>
        <v>0</v>
      </c>
      <c r="O593" s="25">
        <f>0.083*M593</f>
        <v>0</v>
      </c>
      <c r="P593" s="26">
        <f>0.00032*M593</f>
        <v>0</v>
      </c>
      <c r="Q593" s="30"/>
      <c r="R593" s="22" t="s">
        <v>2017</v>
      </c>
      <c r="S593" s="22"/>
      <c r="T593" s="21" t="str">
        <f>HYPERLINK("https://miland.ru/api/getInfo/image/d0017aa5-dfd6-11ef-a273-00155d82e908")</f>
        <v>https://miland.ru/api/getInfo/image/d0017aa5-dfd6-11ef-a273-00155d82e908</v>
      </c>
      <c r="U593" s="21"/>
      <c r="V593" s="21" t="s">
        <v>710</v>
      </c>
      <c r="W593" s="21" t="s">
        <v>82</v>
      </c>
      <c r="X593" s="21"/>
      <c r="Y593" s="21" t="s">
        <v>41</v>
      </c>
      <c r="Z593" s="21"/>
      <c r="AA593" s="21" t="str">
        <f>HYPERLINK("https://miland.ru/api/getInfo/item/d0017aa5-dfd6-11ef-a273-00155d82e908")</f>
        <v>https://miland.ru/api/getInfo/item/d0017aa5-dfd6-11ef-a273-00155d82e908</v>
      </c>
      <c r="AB593" s="21" t="s">
        <v>42</v>
      </c>
      <c r="AC593" s="21"/>
      <c r="AD593" s="21"/>
    </row>
    <row r="594" spans="2:31" ht="12" customHeight="1" outlineLevel="6">
      <c r="B594" s="70" t="s">
        <v>2018</v>
      </c>
      <c r="C594" s="70"/>
      <c r="D594" s="70"/>
      <c r="E594" s="70"/>
      <c r="F594" s="70"/>
      <c r="G594" s="70"/>
    </row>
    <row r="595" spans="2:31" s="1" customFormat="1" ht="96.3" customHeight="1" outlineLevel="7">
      <c r="B595" s="6">
        <v>413</v>
      </c>
      <c r="C595" s="7" t="s">
        <v>2019</v>
      </c>
      <c r="D595" s="71" t="s">
        <v>2020</v>
      </c>
      <c r="E595" s="71"/>
      <c r="F595" s="71"/>
      <c r="G595" s="71"/>
      <c r="H595" s="8" t="s">
        <v>2021</v>
      </c>
      <c r="I595" s="14">
        <v>38</v>
      </c>
      <c r="J595" s="8"/>
      <c r="K595" s="6">
        <v>2</v>
      </c>
      <c r="L595" s="10">
        <v>368.64</v>
      </c>
      <c r="M595" s="11"/>
      <c r="N595" s="8">
        <f>L595*M595</f>
        <v>0</v>
      </c>
      <c r="O595" s="12">
        <f>0.074*M595</f>
        <v>0</v>
      </c>
      <c r="P595" s="13">
        <f>0.00029*M595</f>
        <v>0</v>
      </c>
      <c r="Q595" s="17" t="s">
        <v>37</v>
      </c>
      <c r="R595" s="8" t="s">
        <v>2022</v>
      </c>
      <c r="S595" s="8"/>
      <c r="T595" s="7" t="str">
        <f>HYPERLINK("https://miland.ru/api/getInfo/image/b0e58885-08dd-11f1-a28f-00155d82e908")</f>
        <v>https://miland.ru/api/getInfo/image/b0e58885-08dd-11f1-a28f-00155d82e908</v>
      </c>
      <c r="U595" s="7"/>
      <c r="V595" s="7"/>
      <c r="W595" s="7" t="s">
        <v>82</v>
      </c>
      <c r="X595" s="7"/>
      <c r="Y595" s="7" t="s">
        <v>41</v>
      </c>
      <c r="Z595" s="7"/>
      <c r="AA595" s="7" t="str">
        <f>HYPERLINK("https://miland.ru/api/getInfo/item/b0e58885-08dd-11f1-a28f-00155d82e908")</f>
        <v>https://miland.ru/api/getInfo/item/b0e58885-08dd-11f1-a28f-00155d82e908</v>
      </c>
      <c r="AB595" s="7" t="s">
        <v>42</v>
      </c>
      <c r="AC595" s="7"/>
      <c r="AD595" s="7"/>
      <c r="AE595" s="54"/>
    </row>
    <row r="596" spans="2:31" ht="12" customHeight="1" outlineLevel="6">
      <c r="B596" s="70" t="s">
        <v>2023</v>
      </c>
      <c r="C596" s="70"/>
      <c r="D596" s="70"/>
      <c r="E596" s="70"/>
      <c r="F596" s="70"/>
      <c r="G596" s="70"/>
    </row>
    <row r="597" spans="2:31" s="1" customFormat="1" ht="96.3" customHeight="1" outlineLevel="7">
      <c r="B597" s="6">
        <v>414</v>
      </c>
      <c r="C597" s="7" t="s">
        <v>2024</v>
      </c>
      <c r="D597" s="71" t="s">
        <v>2025</v>
      </c>
      <c r="E597" s="71"/>
      <c r="F597" s="71"/>
      <c r="G597" s="71"/>
      <c r="H597" s="8" t="s">
        <v>2026</v>
      </c>
      <c r="I597" s="9" t="s">
        <v>36</v>
      </c>
      <c r="J597" s="8"/>
      <c r="K597" s="6">
        <v>2</v>
      </c>
      <c r="L597" s="10">
        <v>340.11</v>
      </c>
      <c r="M597" s="11"/>
      <c r="N597" s="8">
        <f>L597*M597</f>
        <v>0</v>
      </c>
      <c r="O597" s="12">
        <f>0.097*M597</f>
        <v>0</v>
      </c>
      <c r="P597" s="13">
        <f>0.00032*M597</f>
        <v>0</v>
      </c>
      <c r="Q597" s="17" t="s">
        <v>37</v>
      </c>
      <c r="R597" s="8" t="s">
        <v>2027</v>
      </c>
      <c r="S597" s="8"/>
      <c r="T597" s="7" t="str">
        <f>HYPERLINK("https://miland.ru/api/getInfo/image/e67eb943-08da-11f1-a28f-00155d82e908")</f>
        <v>https://miland.ru/api/getInfo/image/e67eb943-08da-11f1-a28f-00155d82e908</v>
      </c>
      <c r="U597" s="7"/>
      <c r="V597" s="7"/>
      <c r="W597" s="7" t="s">
        <v>82</v>
      </c>
      <c r="X597" s="7"/>
      <c r="Y597" s="7" t="s">
        <v>41</v>
      </c>
      <c r="Z597" s="7"/>
      <c r="AA597" s="7" t="str">
        <f>HYPERLINK("https://miland.ru/api/getInfo/item/e67eb943-08da-11f1-a28f-00155d82e908")</f>
        <v>https://miland.ru/api/getInfo/item/e67eb943-08da-11f1-a28f-00155d82e908</v>
      </c>
      <c r="AB597" s="7" t="s">
        <v>42</v>
      </c>
      <c r="AC597" s="7"/>
      <c r="AD597" s="7"/>
      <c r="AE597" s="54"/>
    </row>
    <row r="598" spans="2:31" s="1" customFormat="1" ht="96.3" customHeight="1" outlineLevel="7">
      <c r="B598" s="6">
        <v>415</v>
      </c>
      <c r="C598" s="7" t="s">
        <v>2028</v>
      </c>
      <c r="D598" s="71" t="s">
        <v>2029</v>
      </c>
      <c r="E598" s="71"/>
      <c r="F598" s="71"/>
      <c r="G598" s="71"/>
      <c r="H598" s="8" t="s">
        <v>2030</v>
      </c>
      <c r="I598" s="14">
        <v>7</v>
      </c>
      <c r="J598" s="8"/>
      <c r="K598" s="6">
        <v>2</v>
      </c>
      <c r="L598" s="10">
        <v>306.12</v>
      </c>
      <c r="M598" s="11"/>
      <c r="N598" s="8">
        <f>L598*M598</f>
        <v>0</v>
      </c>
      <c r="O598" s="12">
        <f>0.075*M598</f>
        <v>0</v>
      </c>
      <c r="P598" s="13">
        <f>0.00035*M598</f>
        <v>0</v>
      </c>
      <c r="Q598" s="17" t="s">
        <v>37</v>
      </c>
      <c r="R598" s="8" t="s">
        <v>2031</v>
      </c>
      <c r="S598" s="8"/>
      <c r="T598" s="7" t="str">
        <f>HYPERLINK("https://miland.ru/api/getInfo/image/6d3fe9f8-08da-11f1-a28f-00155d82e908")</f>
        <v>https://miland.ru/api/getInfo/image/6d3fe9f8-08da-11f1-a28f-00155d82e908</v>
      </c>
      <c r="U598" s="7"/>
      <c r="V598" s="7"/>
      <c r="W598" s="7" t="s">
        <v>82</v>
      </c>
      <c r="X598" s="7"/>
      <c r="Y598" s="7" t="s">
        <v>41</v>
      </c>
      <c r="Z598" s="7"/>
      <c r="AA598" s="7" t="str">
        <f>HYPERLINK("https://miland.ru/api/getInfo/item/6d3fe9f8-08da-11f1-a28f-00155d82e908")</f>
        <v>https://miland.ru/api/getInfo/item/6d3fe9f8-08da-11f1-a28f-00155d82e908</v>
      </c>
      <c r="AB598" s="7" t="s">
        <v>42</v>
      </c>
      <c r="AC598" s="7"/>
      <c r="AD598" s="7"/>
      <c r="AE598" s="54"/>
    </row>
    <row r="599" spans="2:31" s="1" customFormat="1" ht="96.3" customHeight="1" outlineLevel="7">
      <c r="B599" s="6">
        <v>416</v>
      </c>
      <c r="C599" s="7" t="s">
        <v>2032</v>
      </c>
      <c r="D599" s="71" t="s">
        <v>2033</v>
      </c>
      <c r="E599" s="71"/>
      <c r="F599" s="71"/>
      <c r="G599" s="71"/>
      <c r="H599" s="8" t="s">
        <v>2034</v>
      </c>
      <c r="I599" s="9" t="s">
        <v>36</v>
      </c>
      <c r="J599" s="8"/>
      <c r="K599" s="6">
        <v>2</v>
      </c>
      <c r="L599" s="10">
        <v>306.12</v>
      </c>
      <c r="M599" s="11"/>
      <c r="N599" s="8">
        <f>L599*M599</f>
        <v>0</v>
      </c>
      <c r="O599" s="12">
        <f>0.027*M599</f>
        <v>0</v>
      </c>
      <c r="P599" s="13">
        <f>0.00026*M599</f>
        <v>0</v>
      </c>
      <c r="Q599" s="17" t="s">
        <v>37</v>
      </c>
      <c r="R599" s="8" t="s">
        <v>2035</v>
      </c>
      <c r="S599" s="8"/>
      <c r="T599" s="7" t="str">
        <f>HYPERLINK("https://miland.ru/api/getInfo/image/7a2fb704-08db-11f1-a28f-00155d82e908")</f>
        <v>https://miland.ru/api/getInfo/image/7a2fb704-08db-11f1-a28f-00155d82e908</v>
      </c>
      <c r="U599" s="7"/>
      <c r="V599" s="7"/>
      <c r="W599" s="7" t="s">
        <v>82</v>
      </c>
      <c r="X599" s="7"/>
      <c r="Y599" s="7" t="s">
        <v>41</v>
      </c>
      <c r="Z599" s="7"/>
      <c r="AA599" s="7" t="str">
        <f>HYPERLINK("https://miland.ru/api/getInfo/item/7a2fb704-08db-11f1-a28f-00155d82e908")</f>
        <v>https://miland.ru/api/getInfo/item/7a2fb704-08db-11f1-a28f-00155d82e908</v>
      </c>
      <c r="AB599" s="7" t="s">
        <v>42</v>
      </c>
      <c r="AC599" s="7"/>
      <c r="AD599" s="7"/>
      <c r="AE599" s="54"/>
    </row>
    <row r="600" spans="2:31" s="1" customFormat="1" ht="96.3" customHeight="1" outlineLevel="7">
      <c r="B600" s="6">
        <v>417</v>
      </c>
      <c r="C600" s="7" t="s">
        <v>2036</v>
      </c>
      <c r="D600" s="71" t="s">
        <v>2037</v>
      </c>
      <c r="E600" s="71"/>
      <c r="F600" s="71"/>
      <c r="G600" s="71"/>
      <c r="H600" s="8" t="s">
        <v>2038</v>
      </c>
      <c r="I600" s="14">
        <v>325</v>
      </c>
      <c r="J600" s="8"/>
      <c r="K600" s="6">
        <v>2</v>
      </c>
      <c r="L600" s="10">
        <v>306.12</v>
      </c>
      <c r="M600" s="11"/>
      <c r="N600" s="8">
        <f>L600*M600</f>
        <v>0</v>
      </c>
      <c r="O600" s="12">
        <f>0.077*M600</f>
        <v>0</v>
      </c>
      <c r="P600" s="13">
        <f>0.00028*M600</f>
        <v>0</v>
      </c>
      <c r="Q600" s="17" t="s">
        <v>37</v>
      </c>
      <c r="R600" s="8" t="s">
        <v>2039</v>
      </c>
      <c r="S600" s="8"/>
      <c r="T600" s="7" t="str">
        <f>HYPERLINK("https://miland.ru/api/getInfo/image/1ea8c69e-08db-11f1-a28f-00155d82e908")</f>
        <v>https://miland.ru/api/getInfo/image/1ea8c69e-08db-11f1-a28f-00155d82e908</v>
      </c>
      <c r="U600" s="7"/>
      <c r="V600" s="7"/>
      <c r="W600" s="7" t="s">
        <v>82</v>
      </c>
      <c r="X600" s="7"/>
      <c r="Y600" s="7" t="s">
        <v>41</v>
      </c>
      <c r="Z600" s="7"/>
      <c r="AA600" s="7" t="str">
        <f>HYPERLINK("https://miland.ru/api/getInfo/item/1ea8c69e-08db-11f1-a28f-00155d82e908")</f>
        <v>https://miland.ru/api/getInfo/item/1ea8c69e-08db-11f1-a28f-00155d82e908</v>
      </c>
      <c r="AB600" s="7" t="s">
        <v>42</v>
      </c>
      <c r="AC600" s="7"/>
      <c r="AD600" s="7"/>
      <c r="AE600" s="54"/>
    </row>
    <row r="601" spans="2:31" ht="12" customHeight="1" outlineLevel="6">
      <c r="B601" s="70" t="s">
        <v>2040</v>
      </c>
      <c r="C601" s="70"/>
      <c r="D601" s="70"/>
      <c r="E601" s="70"/>
      <c r="F601" s="70"/>
      <c r="G601" s="70"/>
    </row>
    <row r="602" spans="2:31" s="1" customFormat="1" ht="96.3" customHeight="1" outlineLevel="7">
      <c r="B602" s="20">
        <v>418</v>
      </c>
      <c r="C602" s="21" t="s">
        <v>2041</v>
      </c>
      <c r="D602" s="72" t="s">
        <v>2042</v>
      </c>
      <c r="E602" s="72"/>
      <c r="F602" s="72"/>
      <c r="G602" s="72"/>
      <c r="H602" s="22" t="s">
        <v>2043</v>
      </c>
      <c r="I602" s="27">
        <v>416</v>
      </c>
      <c r="J602" s="22"/>
      <c r="K602" s="20">
        <v>3</v>
      </c>
      <c r="L602" s="24">
        <v>240.69</v>
      </c>
      <c r="M602" s="11"/>
      <c r="N602" s="22">
        <f>L602*M602</f>
        <v>0</v>
      </c>
      <c r="O602" s="25">
        <f>0.025*M602</f>
        <v>0</v>
      </c>
      <c r="P602" s="26">
        <f>0.00027*M602</f>
        <v>0</v>
      </c>
      <c r="Q602" s="30"/>
      <c r="R602" s="22" t="s">
        <v>2044</v>
      </c>
      <c r="S602" s="22"/>
      <c r="T602" s="21" t="str">
        <f>HYPERLINK("https://miland.ru/api/getInfo/image/1ce9ae40-7aad-11ed-a22a-00155d82e902")</f>
        <v>https://miland.ru/api/getInfo/image/1ce9ae40-7aad-11ed-a22a-00155d82e902</v>
      </c>
      <c r="U602" s="21"/>
      <c r="V602" s="21" t="s">
        <v>710</v>
      </c>
      <c r="W602" s="21" t="s">
        <v>82</v>
      </c>
      <c r="X602" s="21"/>
      <c r="Y602" s="21" t="s">
        <v>41</v>
      </c>
      <c r="Z602" s="21"/>
      <c r="AA602" s="21" t="str">
        <f>HYPERLINK("https://miland.ru/api/getInfo/item/1ce9ae40-7aad-11ed-a22a-00155d82e902")</f>
        <v>https://miland.ru/api/getInfo/item/1ce9ae40-7aad-11ed-a22a-00155d82e902</v>
      </c>
      <c r="AB602" s="21" t="s">
        <v>42</v>
      </c>
      <c r="AC602" s="21"/>
      <c r="AD602" s="21"/>
    </row>
    <row r="603" spans="2:31" s="1" customFormat="1" ht="96.3" customHeight="1" outlineLevel="7">
      <c r="B603" s="20">
        <v>419</v>
      </c>
      <c r="C603" s="21" t="s">
        <v>2045</v>
      </c>
      <c r="D603" s="72" t="s">
        <v>2046</v>
      </c>
      <c r="E603" s="72"/>
      <c r="F603" s="72"/>
      <c r="G603" s="72"/>
      <c r="H603" s="22" t="s">
        <v>2047</v>
      </c>
      <c r="I603" s="23" t="s">
        <v>36</v>
      </c>
      <c r="J603" s="22"/>
      <c r="K603" s="20">
        <v>3</v>
      </c>
      <c r="L603" s="24">
        <v>240.69</v>
      </c>
      <c r="M603" s="11"/>
      <c r="N603" s="22">
        <f>L603*M603</f>
        <v>0</v>
      </c>
      <c r="O603" s="25">
        <f>0.025*M603</f>
        <v>0</v>
      </c>
      <c r="P603" s="26">
        <f>0.00028*M603</f>
        <v>0</v>
      </c>
      <c r="Q603" s="30"/>
      <c r="R603" s="22" t="s">
        <v>2048</v>
      </c>
      <c r="S603" s="22"/>
      <c r="T603" s="21" t="str">
        <f>HYPERLINK("https://miland.ru/api/getInfo/image/c1e61e99-7aae-11ed-a22a-00155d82e902")</f>
        <v>https://miland.ru/api/getInfo/image/c1e61e99-7aae-11ed-a22a-00155d82e902</v>
      </c>
      <c r="U603" s="21"/>
      <c r="V603" s="21" t="s">
        <v>710</v>
      </c>
      <c r="W603" s="21" t="s">
        <v>82</v>
      </c>
      <c r="X603" s="21"/>
      <c r="Y603" s="21" t="s">
        <v>41</v>
      </c>
      <c r="Z603" s="21"/>
      <c r="AA603" s="21" t="str">
        <f>HYPERLINK("https://miland.ru/api/getInfo/item/c1e61e99-7aae-11ed-a22a-00155d82e902")</f>
        <v>https://miland.ru/api/getInfo/item/c1e61e99-7aae-11ed-a22a-00155d82e902</v>
      </c>
      <c r="AB603" s="21" t="s">
        <v>42</v>
      </c>
      <c r="AC603" s="21"/>
      <c r="AD603" s="21"/>
    </row>
    <row r="604" spans="2:31" s="1" customFormat="1" ht="96.3" customHeight="1" outlineLevel="7">
      <c r="B604" s="20">
        <v>420</v>
      </c>
      <c r="C604" s="21" t="s">
        <v>2049</v>
      </c>
      <c r="D604" s="72" t="s">
        <v>2050</v>
      </c>
      <c r="E604" s="72"/>
      <c r="F604" s="72"/>
      <c r="G604" s="72"/>
      <c r="H604" s="22" t="s">
        <v>2051</v>
      </c>
      <c r="I604" s="27">
        <v>446</v>
      </c>
      <c r="J604" s="22"/>
      <c r="K604" s="20">
        <v>3</v>
      </c>
      <c r="L604" s="24">
        <v>240.69</v>
      </c>
      <c r="M604" s="11"/>
      <c r="N604" s="22">
        <f>L604*M604</f>
        <v>0</v>
      </c>
      <c r="O604" s="25">
        <f>0.019*M604</f>
        <v>0</v>
      </c>
      <c r="P604" s="26">
        <f>0.00026*M604</f>
        <v>0</v>
      </c>
      <c r="Q604" s="30"/>
      <c r="R604" s="22" t="s">
        <v>2052</v>
      </c>
      <c r="S604" s="22"/>
      <c r="T604" s="21" t="str">
        <f>HYPERLINK("https://miland.ru/api/getInfo/image/08c83d1e-7aaf-11ed-a22a-00155d82e902")</f>
        <v>https://miland.ru/api/getInfo/image/08c83d1e-7aaf-11ed-a22a-00155d82e902</v>
      </c>
      <c r="U604" s="21"/>
      <c r="V604" s="21" t="s">
        <v>710</v>
      </c>
      <c r="W604" s="21" t="s">
        <v>82</v>
      </c>
      <c r="X604" s="21"/>
      <c r="Y604" s="21" t="s">
        <v>41</v>
      </c>
      <c r="Z604" s="21"/>
      <c r="AA604" s="21" t="str">
        <f>HYPERLINK("https://miland.ru/api/getInfo/item/08c83d1e-7aaf-11ed-a22a-00155d82e902")</f>
        <v>https://miland.ru/api/getInfo/item/08c83d1e-7aaf-11ed-a22a-00155d82e902</v>
      </c>
      <c r="AB604" s="21" t="s">
        <v>42</v>
      </c>
      <c r="AC604" s="21"/>
      <c r="AD604" s="21"/>
    </row>
    <row r="605" spans="2:31" s="1" customFormat="1" ht="96.3" customHeight="1" outlineLevel="7">
      <c r="B605" s="20">
        <v>421</v>
      </c>
      <c r="C605" s="21" t="s">
        <v>2053</v>
      </c>
      <c r="D605" s="72" t="s">
        <v>2054</v>
      </c>
      <c r="E605" s="72"/>
      <c r="F605" s="72"/>
      <c r="G605" s="72"/>
      <c r="H605" s="22" t="s">
        <v>2055</v>
      </c>
      <c r="I605" s="23" t="s">
        <v>36</v>
      </c>
      <c r="J605" s="22"/>
      <c r="K605" s="20">
        <v>3</v>
      </c>
      <c r="L605" s="24">
        <v>240.69</v>
      </c>
      <c r="M605" s="11"/>
      <c r="N605" s="22">
        <f>L605*M605</f>
        <v>0</v>
      </c>
      <c r="O605" s="25">
        <f>0.023*M605</f>
        <v>0</v>
      </c>
      <c r="P605" s="26">
        <f>0.00028*M605</f>
        <v>0</v>
      </c>
      <c r="Q605" s="30"/>
      <c r="R605" s="22" t="s">
        <v>2056</v>
      </c>
      <c r="S605" s="22"/>
      <c r="T605" s="21" t="str">
        <f>HYPERLINK("https://miland.ru/api/getInfo/image/49040b9e-7aaf-11ed-a22a-00155d82e902")</f>
        <v>https://miland.ru/api/getInfo/image/49040b9e-7aaf-11ed-a22a-00155d82e902</v>
      </c>
      <c r="U605" s="21"/>
      <c r="V605" s="21" t="s">
        <v>710</v>
      </c>
      <c r="W605" s="21" t="s">
        <v>82</v>
      </c>
      <c r="X605" s="21"/>
      <c r="Y605" s="21" t="s">
        <v>41</v>
      </c>
      <c r="Z605" s="21"/>
      <c r="AA605" s="21" t="str">
        <f>HYPERLINK("https://miland.ru/api/getInfo/item/49040b9e-7aaf-11ed-a22a-00155d82e902")</f>
        <v>https://miland.ru/api/getInfo/item/49040b9e-7aaf-11ed-a22a-00155d82e902</v>
      </c>
      <c r="AB605" s="21" t="s">
        <v>42</v>
      </c>
      <c r="AC605" s="21"/>
      <c r="AD605" s="21"/>
    </row>
    <row r="606" spans="2:31" s="1" customFormat="1" ht="96.3" customHeight="1" outlineLevel="7">
      <c r="B606" s="20">
        <v>422</v>
      </c>
      <c r="C606" s="21" t="s">
        <v>2057</v>
      </c>
      <c r="D606" s="72" t="s">
        <v>2058</v>
      </c>
      <c r="E606" s="72"/>
      <c r="F606" s="72"/>
      <c r="G606" s="72"/>
      <c r="H606" s="22" t="s">
        <v>2059</v>
      </c>
      <c r="I606" s="23" t="s">
        <v>36</v>
      </c>
      <c r="J606" s="22"/>
      <c r="K606" s="20">
        <v>3</v>
      </c>
      <c r="L606" s="24">
        <v>240.69</v>
      </c>
      <c r="M606" s="11"/>
      <c r="N606" s="22">
        <f>L606*M606</f>
        <v>0</v>
      </c>
      <c r="O606" s="25">
        <f>0.018*M606</f>
        <v>0</v>
      </c>
      <c r="P606" s="29">
        <f>0.0003*M606</f>
        <v>0</v>
      </c>
      <c r="Q606" s="30"/>
      <c r="R606" s="22" t="s">
        <v>2060</v>
      </c>
      <c r="S606" s="22"/>
      <c r="T606" s="21" t="str">
        <f>HYPERLINK("https://miland.ru/api/getInfo/image/0a921908-dfd7-11ef-a273-00155d82e908")</f>
        <v>https://miland.ru/api/getInfo/image/0a921908-dfd7-11ef-a273-00155d82e908</v>
      </c>
      <c r="U606" s="21"/>
      <c r="V606" s="21" t="s">
        <v>710</v>
      </c>
      <c r="W606" s="21" t="s">
        <v>82</v>
      </c>
      <c r="X606" s="21"/>
      <c r="Y606" s="21" t="s">
        <v>41</v>
      </c>
      <c r="Z606" s="21"/>
      <c r="AA606" s="21" t="str">
        <f>HYPERLINK("https://miland.ru/api/getInfo/item/0a921908-dfd7-11ef-a273-00155d82e908")</f>
        <v>https://miland.ru/api/getInfo/item/0a921908-dfd7-11ef-a273-00155d82e908</v>
      </c>
      <c r="AB606" s="21" t="s">
        <v>42</v>
      </c>
      <c r="AC606" s="21"/>
      <c r="AD606" s="21"/>
    </row>
    <row r="607" spans="2:31" ht="12" customHeight="1" outlineLevel="6">
      <c r="B607" s="70" t="s">
        <v>2061</v>
      </c>
      <c r="C607" s="70"/>
      <c r="D607" s="70"/>
      <c r="E607" s="70"/>
      <c r="F607" s="70"/>
      <c r="G607" s="70"/>
    </row>
    <row r="608" spans="2:31" s="1" customFormat="1" ht="96.3" customHeight="1" outlineLevel="7">
      <c r="B608" s="20">
        <v>423</v>
      </c>
      <c r="C608" s="21" t="s">
        <v>2062</v>
      </c>
      <c r="D608" s="72" t="s">
        <v>2063</v>
      </c>
      <c r="E608" s="72"/>
      <c r="F608" s="72"/>
      <c r="G608" s="72"/>
      <c r="H608" s="22" t="s">
        <v>2064</v>
      </c>
      <c r="I608" s="23" t="s">
        <v>36</v>
      </c>
      <c r="J608" s="22"/>
      <c r="K608" s="20">
        <v>2</v>
      </c>
      <c r="L608" s="24">
        <v>345.6</v>
      </c>
      <c r="M608" s="11"/>
      <c r="N608" s="22">
        <f>L608*M608</f>
        <v>0</v>
      </c>
      <c r="O608" s="25">
        <f>0.087*M608</f>
        <v>0</v>
      </c>
      <c r="P608" s="26">
        <f>0.00035*M608</f>
        <v>0</v>
      </c>
      <c r="Q608" s="30"/>
      <c r="R608" s="22" t="s">
        <v>2065</v>
      </c>
      <c r="S608" s="22"/>
      <c r="T608" s="21" t="str">
        <f>HYPERLINK("https://miland.ru/api/getInfo/image/9ab490dd-dfd7-11ef-a273-00155d82e908")</f>
        <v>https://miland.ru/api/getInfo/image/9ab490dd-dfd7-11ef-a273-00155d82e908</v>
      </c>
      <c r="U608" s="21"/>
      <c r="V608" s="21" t="s">
        <v>710</v>
      </c>
      <c r="W608" s="21" t="s">
        <v>82</v>
      </c>
      <c r="X608" s="21"/>
      <c r="Y608" s="21" t="s">
        <v>41</v>
      </c>
      <c r="Z608" s="21"/>
      <c r="AA608" s="21" t="str">
        <f>HYPERLINK("https://miland.ru/api/getInfo/item/9ab490dd-dfd7-11ef-a273-00155d82e908")</f>
        <v>https://miland.ru/api/getInfo/item/9ab490dd-dfd7-11ef-a273-00155d82e908</v>
      </c>
      <c r="AB608" s="21" t="s">
        <v>42</v>
      </c>
      <c r="AC608" s="21"/>
      <c r="AD608" s="21"/>
    </row>
    <row r="609" spans="2:31" s="1" customFormat="1" ht="96.3" customHeight="1" outlineLevel="7">
      <c r="B609" s="20">
        <v>424</v>
      </c>
      <c r="C609" s="21" t="s">
        <v>2066</v>
      </c>
      <c r="D609" s="72" t="s">
        <v>2067</v>
      </c>
      <c r="E609" s="72"/>
      <c r="F609" s="72"/>
      <c r="G609" s="72"/>
      <c r="H609" s="22" t="s">
        <v>2068</v>
      </c>
      <c r="I609" s="23" t="s">
        <v>36</v>
      </c>
      <c r="J609" s="22"/>
      <c r="K609" s="20">
        <v>2</v>
      </c>
      <c r="L609" s="24">
        <v>345.6</v>
      </c>
      <c r="M609" s="11"/>
      <c r="N609" s="22">
        <f>L609*M609</f>
        <v>0</v>
      </c>
      <c r="O609" s="25">
        <f>0.181*M609</f>
        <v>0</v>
      </c>
      <c r="P609" s="26">
        <f>0.00038*M609</f>
        <v>0</v>
      </c>
      <c r="Q609" s="30"/>
      <c r="R609" s="22" t="s">
        <v>2069</v>
      </c>
      <c r="S609" s="22"/>
      <c r="T609" s="21" t="str">
        <f>HYPERLINK("https://miland.ru/api/getInfo/image/37c648dd-dfd7-11ef-a273-00155d82e908")</f>
        <v>https://miland.ru/api/getInfo/image/37c648dd-dfd7-11ef-a273-00155d82e908</v>
      </c>
      <c r="U609" s="21"/>
      <c r="V609" s="21" t="s">
        <v>710</v>
      </c>
      <c r="W609" s="21" t="s">
        <v>82</v>
      </c>
      <c r="X609" s="21"/>
      <c r="Y609" s="21" t="s">
        <v>41</v>
      </c>
      <c r="Z609" s="21"/>
      <c r="AA609" s="21" t="str">
        <f>HYPERLINK("https://miland.ru/api/getInfo/item/37c648dd-dfd7-11ef-a273-00155d82e908")</f>
        <v>https://miland.ru/api/getInfo/item/37c648dd-dfd7-11ef-a273-00155d82e908</v>
      </c>
      <c r="AB609" s="21" t="s">
        <v>42</v>
      </c>
      <c r="AC609" s="21"/>
      <c r="AD609" s="21"/>
    </row>
    <row r="610" spans="2:31" ht="12" customHeight="1" outlineLevel="6">
      <c r="B610" s="70" t="s">
        <v>2070</v>
      </c>
      <c r="C610" s="70"/>
      <c r="D610" s="70"/>
      <c r="E610" s="70"/>
      <c r="F610" s="70"/>
      <c r="G610" s="70"/>
    </row>
    <row r="611" spans="2:31" s="1" customFormat="1" ht="96.3" customHeight="1" outlineLevel="7">
      <c r="B611" s="6">
        <v>425</v>
      </c>
      <c r="C611" s="7" t="s">
        <v>2071</v>
      </c>
      <c r="D611" s="71" t="s">
        <v>2072</v>
      </c>
      <c r="E611" s="71"/>
      <c r="F611" s="71"/>
      <c r="G611" s="71"/>
      <c r="H611" s="8" t="s">
        <v>2073</v>
      </c>
      <c r="I611" s="9" t="s">
        <v>36</v>
      </c>
      <c r="J611" s="8"/>
      <c r="K611" s="6">
        <v>2</v>
      </c>
      <c r="L611" s="10">
        <v>368.64</v>
      </c>
      <c r="M611" s="11"/>
      <c r="N611" s="8">
        <f>L611*M611</f>
        <v>0</v>
      </c>
      <c r="O611" s="12">
        <f>0.098*M611</f>
        <v>0</v>
      </c>
      <c r="P611" s="13">
        <f>0.00026*M611</f>
        <v>0</v>
      </c>
      <c r="Q611" s="17" t="s">
        <v>37</v>
      </c>
      <c r="R611" s="8" t="s">
        <v>2074</v>
      </c>
      <c r="S611" s="8"/>
      <c r="T611" s="7" t="str">
        <f>HYPERLINK("https://miland.ru/api/getInfo/image/274f1699-08cf-11f1-a28f-00155d82e908")</f>
        <v>https://miland.ru/api/getInfo/image/274f1699-08cf-11f1-a28f-00155d82e908</v>
      </c>
      <c r="U611" s="7"/>
      <c r="V611" s="7"/>
      <c r="W611" s="7" t="s">
        <v>82</v>
      </c>
      <c r="X611" s="7"/>
      <c r="Y611" s="7" t="s">
        <v>41</v>
      </c>
      <c r="Z611" s="7"/>
      <c r="AA611" s="7" t="str">
        <f>HYPERLINK("https://miland.ru/api/getInfo/item/274f1699-08cf-11f1-a28f-00155d82e908")</f>
        <v>https://miland.ru/api/getInfo/item/274f1699-08cf-11f1-a28f-00155d82e908</v>
      </c>
      <c r="AB611" s="7" t="s">
        <v>42</v>
      </c>
      <c r="AC611" s="7"/>
      <c r="AD611" s="7"/>
      <c r="AE611" s="54"/>
    </row>
    <row r="612" spans="2:31" s="1" customFormat="1" ht="96.3" customHeight="1" outlineLevel="7">
      <c r="B612" s="6">
        <v>426</v>
      </c>
      <c r="C612" s="7" t="s">
        <v>2075</v>
      </c>
      <c r="D612" s="71" t="s">
        <v>2076</v>
      </c>
      <c r="E612" s="71"/>
      <c r="F612" s="71"/>
      <c r="G612" s="71"/>
      <c r="H612" s="8" t="s">
        <v>2077</v>
      </c>
      <c r="I612" s="9" t="s">
        <v>36</v>
      </c>
      <c r="J612" s="8"/>
      <c r="K612" s="6">
        <v>2</v>
      </c>
      <c r="L612" s="10">
        <v>368.64</v>
      </c>
      <c r="M612" s="11"/>
      <c r="N612" s="8">
        <f>L612*M612</f>
        <v>0</v>
      </c>
      <c r="O612" s="18">
        <f>0.11*M612</f>
        <v>0</v>
      </c>
      <c r="P612" s="13">
        <f>0.00035*M612</f>
        <v>0</v>
      </c>
      <c r="Q612" s="17" t="s">
        <v>37</v>
      </c>
      <c r="R612" s="8" t="s">
        <v>2078</v>
      </c>
      <c r="S612" s="8"/>
      <c r="T612" s="7" t="str">
        <f>HYPERLINK("https://miland.ru/api/getInfo/image/4a338b6b-08cf-11f1-a28f-00155d82e908")</f>
        <v>https://miland.ru/api/getInfo/image/4a338b6b-08cf-11f1-a28f-00155d82e908</v>
      </c>
      <c r="U612" s="7"/>
      <c r="V612" s="7"/>
      <c r="W612" s="7" t="s">
        <v>82</v>
      </c>
      <c r="X612" s="7"/>
      <c r="Y612" s="7" t="s">
        <v>41</v>
      </c>
      <c r="Z612" s="7"/>
      <c r="AA612" s="7" t="str">
        <f>HYPERLINK("https://miland.ru/api/getInfo/item/4a338b6b-08cf-11f1-a28f-00155d82e908")</f>
        <v>https://miland.ru/api/getInfo/item/4a338b6b-08cf-11f1-a28f-00155d82e908</v>
      </c>
      <c r="AB612" s="7" t="s">
        <v>42</v>
      </c>
      <c r="AC612" s="7"/>
      <c r="AD612" s="7"/>
      <c r="AE612" s="54"/>
    </row>
    <row r="613" spans="2:31" s="1" customFormat="1" ht="96.3" customHeight="1" outlineLevel="7">
      <c r="B613" s="6">
        <v>427</v>
      </c>
      <c r="C613" s="7" t="s">
        <v>2079</v>
      </c>
      <c r="D613" s="71" t="s">
        <v>2080</v>
      </c>
      <c r="E613" s="71"/>
      <c r="F613" s="71"/>
      <c r="G613" s="71"/>
      <c r="H613" s="8" t="s">
        <v>2081</v>
      </c>
      <c r="I613" s="9" t="s">
        <v>36</v>
      </c>
      <c r="J613" s="8"/>
      <c r="K613" s="6">
        <v>2</v>
      </c>
      <c r="L613" s="10">
        <v>368.64</v>
      </c>
      <c r="M613" s="11"/>
      <c r="N613" s="8">
        <f>L613*M613</f>
        <v>0</v>
      </c>
      <c r="O613" s="12">
        <f>0.096*M613</f>
        <v>0</v>
      </c>
      <c r="P613" s="13">
        <f>0.00032*M613</f>
        <v>0</v>
      </c>
      <c r="Q613" s="17" t="s">
        <v>37</v>
      </c>
      <c r="R613" s="8" t="s">
        <v>2082</v>
      </c>
      <c r="S613" s="8"/>
      <c r="T613" s="7" t="str">
        <f>HYPERLINK("https://miland.ru/api/getInfo/image/98af2e47-08cf-11f1-a28f-00155d82e908")</f>
        <v>https://miland.ru/api/getInfo/image/98af2e47-08cf-11f1-a28f-00155d82e908</v>
      </c>
      <c r="U613" s="7"/>
      <c r="V613" s="7"/>
      <c r="W613" s="7" t="s">
        <v>82</v>
      </c>
      <c r="X613" s="7"/>
      <c r="Y613" s="7" t="s">
        <v>41</v>
      </c>
      <c r="Z613" s="7"/>
      <c r="AA613" s="7" t="str">
        <f>HYPERLINK("https://miland.ru/api/getInfo/item/98af2e47-08cf-11f1-a28f-00155d82e908")</f>
        <v>https://miland.ru/api/getInfo/item/98af2e47-08cf-11f1-a28f-00155d82e908</v>
      </c>
      <c r="AB613" s="7" t="s">
        <v>42</v>
      </c>
      <c r="AC613" s="7"/>
      <c r="AD613" s="7"/>
      <c r="AE613" s="54"/>
    </row>
    <row r="614" spans="2:31" ht="12" customHeight="1" outlineLevel="6">
      <c r="B614" s="70" t="s">
        <v>2083</v>
      </c>
      <c r="C614" s="70"/>
      <c r="D614" s="70"/>
      <c r="E614" s="70"/>
      <c r="F614" s="70"/>
      <c r="G614" s="70"/>
    </row>
    <row r="615" spans="2:31" s="1" customFormat="1" ht="96.3" customHeight="1" outlineLevel="7">
      <c r="B615" s="6">
        <v>428</v>
      </c>
      <c r="C615" s="7" t="s">
        <v>2084</v>
      </c>
      <c r="D615" s="71" t="s">
        <v>2085</v>
      </c>
      <c r="E615" s="71"/>
      <c r="F615" s="71"/>
      <c r="G615" s="71"/>
      <c r="H615" s="8" t="s">
        <v>2086</v>
      </c>
      <c r="I615" s="9" t="s">
        <v>36</v>
      </c>
      <c r="J615" s="8"/>
      <c r="K615" s="6">
        <v>1</v>
      </c>
      <c r="L615" s="10">
        <v>412.53</v>
      </c>
      <c r="M615" s="11"/>
      <c r="N615" s="8">
        <f>L615*M615</f>
        <v>0</v>
      </c>
      <c r="O615" s="12">
        <f>0.043*M615</f>
        <v>0</v>
      </c>
      <c r="P615" s="13">
        <f>0.00027*M615</f>
        <v>0</v>
      </c>
      <c r="Q615" s="17" t="s">
        <v>37</v>
      </c>
      <c r="R615" s="8" t="s">
        <v>2087</v>
      </c>
      <c r="S615" s="8"/>
      <c r="T615" s="7" t="str">
        <f>HYPERLINK("https://miland.ru/api/getInfo/image/9b4cbc79-08db-11f1-a28f-00155d82e908")</f>
        <v>https://miland.ru/api/getInfo/image/9b4cbc79-08db-11f1-a28f-00155d82e908</v>
      </c>
      <c r="U615" s="7"/>
      <c r="V615" s="7"/>
      <c r="W615" s="7" t="s">
        <v>82</v>
      </c>
      <c r="X615" s="7"/>
      <c r="Y615" s="7" t="s">
        <v>41</v>
      </c>
      <c r="Z615" s="7"/>
      <c r="AA615" s="7" t="str">
        <f>HYPERLINK("https://miland.ru/api/getInfo/item/9b4cbc79-08db-11f1-a28f-00155d82e908")</f>
        <v>https://miland.ru/api/getInfo/item/9b4cbc79-08db-11f1-a28f-00155d82e908</v>
      </c>
      <c r="AB615" s="7" t="s">
        <v>42</v>
      </c>
      <c r="AC615" s="7"/>
      <c r="AD615" s="7"/>
      <c r="AE615" s="54"/>
    </row>
    <row r="616" spans="2:31" s="1" customFormat="1" ht="96.3" customHeight="1" outlineLevel="7">
      <c r="B616" s="6">
        <v>429</v>
      </c>
      <c r="C616" s="7" t="s">
        <v>2088</v>
      </c>
      <c r="D616" s="71" t="s">
        <v>2089</v>
      </c>
      <c r="E616" s="71"/>
      <c r="F616" s="71"/>
      <c r="G616" s="71"/>
      <c r="H616" s="8" t="s">
        <v>2090</v>
      </c>
      <c r="I616" s="9" t="s">
        <v>36</v>
      </c>
      <c r="J616" s="8"/>
      <c r="K616" s="6">
        <v>1</v>
      </c>
      <c r="L616" s="10">
        <v>412.53</v>
      </c>
      <c r="M616" s="11"/>
      <c r="N616" s="8">
        <f>L616*M616</f>
        <v>0</v>
      </c>
      <c r="O616" s="12">
        <f>0.044*M616</f>
        <v>0</v>
      </c>
      <c r="P616" s="13">
        <f>0.00026*M616</f>
        <v>0</v>
      </c>
      <c r="Q616" s="17" t="s">
        <v>37</v>
      </c>
      <c r="R616" s="8" t="s">
        <v>2091</v>
      </c>
      <c r="S616" s="8"/>
      <c r="T616" s="7" t="str">
        <f>HYPERLINK("https://miland.ru/api/getInfo/image/cd7a589e-08db-11f1-a28f-00155d82e908")</f>
        <v>https://miland.ru/api/getInfo/image/cd7a589e-08db-11f1-a28f-00155d82e908</v>
      </c>
      <c r="U616" s="7"/>
      <c r="V616" s="7"/>
      <c r="W616" s="7" t="s">
        <v>82</v>
      </c>
      <c r="X616" s="7"/>
      <c r="Y616" s="7" t="s">
        <v>41</v>
      </c>
      <c r="Z616" s="7"/>
      <c r="AA616" s="7" t="str">
        <f>HYPERLINK("https://miland.ru/api/getInfo/item/cd7a589e-08db-11f1-a28f-00155d82e908")</f>
        <v>https://miland.ru/api/getInfo/item/cd7a589e-08db-11f1-a28f-00155d82e908</v>
      </c>
      <c r="AB616" s="7" t="s">
        <v>42</v>
      </c>
      <c r="AC616" s="7"/>
      <c r="AD616" s="7"/>
      <c r="AE616" s="54"/>
    </row>
    <row r="617" spans="2:31" s="1" customFormat="1" ht="96.3" customHeight="1" outlineLevel="7">
      <c r="B617" s="6">
        <v>430</v>
      </c>
      <c r="C617" s="7" t="s">
        <v>2092</v>
      </c>
      <c r="D617" s="71" t="s">
        <v>2093</v>
      </c>
      <c r="E617" s="71"/>
      <c r="F617" s="71"/>
      <c r="G617" s="71"/>
      <c r="H617" s="8" t="s">
        <v>2094</v>
      </c>
      <c r="I617" s="9" t="s">
        <v>36</v>
      </c>
      <c r="J617" s="8"/>
      <c r="K617" s="6">
        <v>1</v>
      </c>
      <c r="L617" s="10">
        <v>412.53</v>
      </c>
      <c r="M617" s="11"/>
      <c r="N617" s="8">
        <f>L617*M617</f>
        <v>0</v>
      </c>
      <c r="O617" s="12">
        <f>0.042*M617</f>
        <v>0</v>
      </c>
      <c r="P617" s="13">
        <f>0.00027*M617</f>
        <v>0</v>
      </c>
      <c r="Q617" s="17" t="s">
        <v>37</v>
      </c>
      <c r="R617" s="8" t="s">
        <v>2095</v>
      </c>
      <c r="S617" s="8"/>
      <c r="T617" s="7" t="str">
        <f>HYPERLINK("https://miland.ru/api/getInfo/image/1615ccff-08dc-11f1-a28f-00155d82e908")</f>
        <v>https://miland.ru/api/getInfo/image/1615ccff-08dc-11f1-a28f-00155d82e908</v>
      </c>
      <c r="U617" s="7"/>
      <c r="V617" s="7"/>
      <c r="W617" s="7" t="s">
        <v>82</v>
      </c>
      <c r="X617" s="7"/>
      <c r="Y617" s="7" t="s">
        <v>41</v>
      </c>
      <c r="Z617" s="7"/>
      <c r="AA617" s="7" t="str">
        <f>HYPERLINK("https://miland.ru/api/getInfo/item/1615ccff-08dc-11f1-a28f-00155d82e908")</f>
        <v>https://miland.ru/api/getInfo/item/1615ccff-08dc-11f1-a28f-00155d82e908</v>
      </c>
      <c r="AB617" s="7" t="s">
        <v>42</v>
      </c>
      <c r="AC617" s="7"/>
      <c r="AD617" s="7"/>
      <c r="AE617" s="54"/>
    </row>
    <row r="618" spans="2:31" s="1" customFormat="1" ht="96.3" customHeight="1" outlineLevel="7">
      <c r="B618" s="6">
        <v>431</v>
      </c>
      <c r="C618" s="7" t="s">
        <v>2096</v>
      </c>
      <c r="D618" s="71" t="s">
        <v>2097</v>
      </c>
      <c r="E618" s="71"/>
      <c r="F618" s="71"/>
      <c r="G618" s="71"/>
      <c r="H618" s="8" t="s">
        <v>2098</v>
      </c>
      <c r="I618" s="9" t="s">
        <v>36</v>
      </c>
      <c r="J618" s="8"/>
      <c r="K618" s="6">
        <v>1</v>
      </c>
      <c r="L618" s="10">
        <v>412.53</v>
      </c>
      <c r="M618" s="11"/>
      <c r="N618" s="8">
        <f>L618*M618</f>
        <v>0</v>
      </c>
      <c r="O618" s="12">
        <f>0.045*M618</f>
        <v>0</v>
      </c>
      <c r="P618" s="13">
        <f>0.00027*M618</f>
        <v>0</v>
      </c>
      <c r="Q618" s="17" t="s">
        <v>37</v>
      </c>
      <c r="R618" s="8" t="s">
        <v>2099</v>
      </c>
      <c r="S618" s="8"/>
      <c r="T618" s="7" t="str">
        <f>HYPERLINK("https://miland.ru/api/getInfo/image/f2d0a786-08db-11f1-a28f-00155d82e908")</f>
        <v>https://miland.ru/api/getInfo/image/f2d0a786-08db-11f1-a28f-00155d82e908</v>
      </c>
      <c r="U618" s="7"/>
      <c r="V618" s="7"/>
      <c r="W618" s="7" t="s">
        <v>82</v>
      </c>
      <c r="X618" s="7"/>
      <c r="Y618" s="7" t="s">
        <v>41</v>
      </c>
      <c r="Z618" s="7"/>
      <c r="AA618" s="7" t="str">
        <f>HYPERLINK("https://miland.ru/api/getInfo/item/f2d0a786-08db-11f1-a28f-00155d82e908")</f>
        <v>https://miland.ru/api/getInfo/item/f2d0a786-08db-11f1-a28f-00155d82e908</v>
      </c>
      <c r="AB618" s="7" t="s">
        <v>42</v>
      </c>
      <c r="AC618" s="7"/>
      <c r="AD618" s="7"/>
      <c r="AE618" s="54"/>
    </row>
    <row r="619" spans="2:31" ht="12" customHeight="1" outlineLevel="6">
      <c r="B619" s="70" t="s">
        <v>2100</v>
      </c>
      <c r="C619" s="70"/>
      <c r="D619" s="70"/>
      <c r="E619" s="70"/>
      <c r="F619" s="70"/>
      <c r="G619" s="70"/>
    </row>
    <row r="620" spans="2:31" s="1" customFormat="1" ht="96.3" customHeight="1" outlineLevel="7">
      <c r="B620" s="6">
        <v>432</v>
      </c>
      <c r="C620" s="7" t="s">
        <v>2101</v>
      </c>
      <c r="D620" s="71" t="s">
        <v>2102</v>
      </c>
      <c r="E620" s="71"/>
      <c r="F620" s="71"/>
      <c r="G620" s="71"/>
      <c r="H620" s="8" t="s">
        <v>2103</v>
      </c>
      <c r="I620" s="9" t="s">
        <v>36</v>
      </c>
      <c r="J620" s="8"/>
      <c r="K620" s="6">
        <v>1</v>
      </c>
      <c r="L620" s="10">
        <v>412.53</v>
      </c>
      <c r="M620" s="11"/>
      <c r="N620" s="8">
        <f>L620*M620</f>
        <v>0</v>
      </c>
      <c r="O620" s="12">
        <f>0.067*M620</f>
        <v>0</v>
      </c>
      <c r="P620" s="13">
        <f>0.00036*M620</f>
        <v>0</v>
      </c>
      <c r="Q620" s="17" t="s">
        <v>37</v>
      </c>
      <c r="R620" s="8" t="s">
        <v>2104</v>
      </c>
      <c r="S620" s="8"/>
      <c r="T620" s="7" t="str">
        <f>HYPERLINK("https://miland.ru/api/getInfo/image/8a9a2d71-08dc-11f1-a28f-00155d82e908")</f>
        <v>https://miland.ru/api/getInfo/image/8a9a2d71-08dc-11f1-a28f-00155d82e908</v>
      </c>
      <c r="U620" s="7"/>
      <c r="V620" s="7"/>
      <c r="W620" s="7" t="s">
        <v>82</v>
      </c>
      <c r="X620" s="7"/>
      <c r="Y620" s="7" t="s">
        <v>41</v>
      </c>
      <c r="Z620" s="7"/>
      <c r="AA620" s="7" t="str">
        <f>HYPERLINK("https://miland.ru/api/getInfo/item/8a9a2d71-08dc-11f1-a28f-00155d82e908")</f>
        <v>https://miland.ru/api/getInfo/item/8a9a2d71-08dc-11f1-a28f-00155d82e908</v>
      </c>
      <c r="AB620" s="7" t="s">
        <v>42</v>
      </c>
      <c r="AC620" s="7"/>
      <c r="AD620" s="7"/>
      <c r="AE620" s="54"/>
    </row>
    <row r="621" spans="2:31" s="1" customFormat="1" ht="96.3" customHeight="1" outlineLevel="7">
      <c r="B621" s="6">
        <v>433</v>
      </c>
      <c r="C621" s="7" t="s">
        <v>2105</v>
      </c>
      <c r="D621" s="71" t="s">
        <v>2106</v>
      </c>
      <c r="E621" s="71"/>
      <c r="F621" s="71"/>
      <c r="G621" s="71"/>
      <c r="H621" s="8" t="s">
        <v>2107</v>
      </c>
      <c r="I621" s="9" t="s">
        <v>36</v>
      </c>
      <c r="J621" s="8"/>
      <c r="K621" s="6">
        <v>1</v>
      </c>
      <c r="L621" s="10">
        <v>412.53</v>
      </c>
      <c r="M621" s="11"/>
      <c r="N621" s="8">
        <f>L621*M621</f>
        <v>0</v>
      </c>
      <c r="O621" s="12">
        <f>0.045*M621</f>
        <v>0</v>
      </c>
      <c r="P621" s="13">
        <f>0.00028*M621</f>
        <v>0</v>
      </c>
      <c r="Q621" s="17" t="s">
        <v>37</v>
      </c>
      <c r="R621" s="8" t="s">
        <v>2108</v>
      </c>
      <c r="S621" s="8"/>
      <c r="T621" s="7" t="str">
        <f>HYPERLINK("https://miland.ru/api/getInfo/image/6c8c573f-08dc-11f1-a28f-00155d82e908")</f>
        <v>https://miland.ru/api/getInfo/image/6c8c573f-08dc-11f1-a28f-00155d82e908</v>
      </c>
      <c r="U621" s="7"/>
      <c r="V621" s="7"/>
      <c r="W621" s="7" t="s">
        <v>82</v>
      </c>
      <c r="X621" s="7"/>
      <c r="Y621" s="7" t="s">
        <v>41</v>
      </c>
      <c r="Z621" s="7"/>
      <c r="AA621" s="7" t="str">
        <f>HYPERLINK("https://miland.ru/api/getInfo/item/6c8c573f-08dc-11f1-a28f-00155d82e908")</f>
        <v>https://miland.ru/api/getInfo/item/6c8c573f-08dc-11f1-a28f-00155d82e908</v>
      </c>
      <c r="AB621" s="7" t="s">
        <v>42</v>
      </c>
      <c r="AC621" s="7"/>
      <c r="AD621" s="7"/>
      <c r="AE621" s="54"/>
    </row>
    <row r="622" spans="2:31" s="1" customFormat="1" ht="96.3" customHeight="1" outlineLevel="7">
      <c r="B622" s="6">
        <v>434</v>
      </c>
      <c r="C622" s="7" t="s">
        <v>2109</v>
      </c>
      <c r="D622" s="71" t="s">
        <v>2110</v>
      </c>
      <c r="E622" s="71"/>
      <c r="F622" s="71"/>
      <c r="G622" s="71"/>
      <c r="H622" s="8" t="s">
        <v>2111</v>
      </c>
      <c r="I622" s="9" t="s">
        <v>36</v>
      </c>
      <c r="J622" s="8"/>
      <c r="K622" s="6">
        <v>1</v>
      </c>
      <c r="L622" s="10">
        <v>412.53</v>
      </c>
      <c r="M622" s="11"/>
      <c r="N622" s="8">
        <f>L622*M622</f>
        <v>0</v>
      </c>
      <c r="O622" s="12">
        <f>0.044*M622</f>
        <v>0</v>
      </c>
      <c r="P622" s="13">
        <f>0.00028*M622</f>
        <v>0</v>
      </c>
      <c r="Q622" s="17" t="s">
        <v>37</v>
      </c>
      <c r="R622" s="8" t="s">
        <v>2112</v>
      </c>
      <c r="S622" s="8"/>
      <c r="T622" s="7" t="str">
        <f>HYPERLINK("https://miland.ru/api/getInfo/image/35b4ca8c-08dc-11f1-a28f-00155d82e908")</f>
        <v>https://miland.ru/api/getInfo/image/35b4ca8c-08dc-11f1-a28f-00155d82e908</v>
      </c>
      <c r="U622" s="7"/>
      <c r="V622" s="7"/>
      <c r="W622" s="7" t="s">
        <v>82</v>
      </c>
      <c r="X622" s="7"/>
      <c r="Y622" s="7" t="s">
        <v>41</v>
      </c>
      <c r="Z622" s="7"/>
      <c r="AA622" s="7" t="str">
        <f>HYPERLINK("https://miland.ru/api/getInfo/item/35b4ca8c-08dc-11f1-a28f-00155d82e908")</f>
        <v>https://miland.ru/api/getInfo/item/35b4ca8c-08dc-11f1-a28f-00155d82e908</v>
      </c>
      <c r="AB622" s="7" t="s">
        <v>42</v>
      </c>
      <c r="AC622" s="7"/>
      <c r="AD622" s="7"/>
      <c r="AE622" s="54"/>
    </row>
    <row r="623" spans="2:31" s="1" customFormat="1" ht="96.3" customHeight="1" outlineLevel="7">
      <c r="B623" s="6">
        <v>435</v>
      </c>
      <c r="C623" s="7" t="s">
        <v>2113</v>
      </c>
      <c r="D623" s="71" t="s">
        <v>2114</v>
      </c>
      <c r="E623" s="71"/>
      <c r="F623" s="71"/>
      <c r="G623" s="71"/>
      <c r="H623" s="8" t="s">
        <v>2115</v>
      </c>
      <c r="I623" s="9" t="s">
        <v>36</v>
      </c>
      <c r="J623" s="8"/>
      <c r="K623" s="6">
        <v>1</v>
      </c>
      <c r="L623" s="10">
        <v>412.53</v>
      </c>
      <c r="M623" s="11"/>
      <c r="N623" s="8">
        <f>L623*M623</f>
        <v>0</v>
      </c>
      <c r="O623" s="12">
        <f>0.045*M623</f>
        <v>0</v>
      </c>
      <c r="P623" s="13">
        <f>0.00027*M623</f>
        <v>0</v>
      </c>
      <c r="Q623" s="17" t="s">
        <v>37</v>
      </c>
      <c r="R623" s="8" t="s">
        <v>2116</v>
      </c>
      <c r="S623" s="8"/>
      <c r="T623" s="7" t="str">
        <f>HYPERLINK("https://miland.ru/api/getInfo/image/529b36dd-08dc-11f1-a28f-00155d82e908")</f>
        <v>https://miland.ru/api/getInfo/image/529b36dd-08dc-11f1-a28f-00155d82e908</v>
      </c>
      <c r="U623" s="7"/>
      <c r="V623" s="7"/>
      <c r="W623" s="7" t="s">
        <v>82</v>
      </c>
      <c r="X623" s="7"/>
      <c r="Y623" s="7" t="s">
        <v>41</v>
      </c>
      <c r="Z623" s="7"/>
      <c r="AA623" s="7" t="str">
        <f>HYPERLINK("https://miland.ru/api/getInfo/item/529b36dd-08dc-11f1-a28f-00155d82e908")</f>
        <v>https://miland.ru/api/getInfo/item/529b36dd-08dc-11f1-a28f-00155d82e908</v>
      </c>
      <c r="AB623" s="7" t="s">
        <v>42</v>
      </c>
      <c r="AC623" s="7"/>
      <c r="AD623" s="7"/>
      <c r="AE623" s="54"/>
    </row>
    <row r="624" spans="2:31" ht="12" customHeight="1" outlineLevel="6">
      <c r="B624" s="70" t="s">
        <v>2117</v>
      </c>
      <c r="C624" s="70"/>
      <c r="D624" s="70"/>
      <c r="E624" s="70"/>
      <c r="F624" s="70"/>
      <c r="G624" s="70"/>
    </row>
    <row r="625" spans="2:31" s="1" customFormat="1" ht="96.3" customHeight="1" outlineLevel="7">
      <c r="B625" s="6">
        <v>436</v>
      </c>
      <c r="C625" s="7" t="s">
        <v>2118</v>
      </c>
      <c r="D625" s="71" t="s">
        <v>2119</v>
      </c>
      <c r="E625" s="71"/>
      <c r="F625" s="71"/>
      <c r="G625" s="71"/>
      <c r="H625" s="8" t="s">
        <v>2120</v>
      </c>
      <c r="I625" s="9" t="s">
        <v>36</v>
      </c>
      <c r="J625" s="8"/>
      <c r="K625" s="6">
        <v>1</v>
      </c>
      <c r="L625" s="10">
        <v>412.53</v>
      </c>
      <c r="M625" s="11"/>
      <c r="N625" s="8">
        <f>L625*M625</f>
        <v>0</v>
      </c>
      <c r="O625" s="12">
        <f>0.046*M625</f>
        <v>0</v>
      </c>
      <c r="P625" s="13">
        <f>0.00029*M625</f>
        <v>0</v>
      </c>
      <c r="Q625" s="17" t="s">
        <v>37</v>
      </c>
      <c r="R625" s="8" t="s">
        <v>2121</v>
      </c>
      <c r="S625" s="8"/>
      <c r="T625" s="7" t="str">
        <f>HYPERLINK("https://miland.ru/api/getInfo/image/ab6db414-08dc-11f1-a28f-00155d82e908")</f>
        <v>https://miland.ru/api/getInfo/image/ab6db414-08dc-11f1-a28f-00155d82e908</v>
      </c>
      <c r="U625" s="7"/>
      <c r="V625" s="7"/>
      <c r="W625" s="7" t="s">
        <v>82</v>
      </c>
      <c r="X625" s="7"/>
      <c r="Y625" s="7" t="s">
        <v>41</v>
      </c>
      <c r="Z625" s="7"/>
      <c r="AA625" s="7" t="str">
        <f>HYPERLINK("https://miland.ru/api/getInfo/item/ab6db414-08dc-11f1-a28f-00155d82e908")</f>
        <v>https://miland.ru/api/getInfo/item/ab6db414-08dc-11f1-a28f-00155d82e908</v>
      </c>
      <c r="AB625" s="7" t="s">
        <v>42</v>
      </c>
      <c r="AC625" s="7"/>
      <c r="AD625" s="7"/>
      <c r="AE625" s="54"/>
    </row>
    <row r="626" spans="2:31" s="1" customFormat="1" ht="96.3" customHeight="1" outlineLevel="7">
      <c r="B626" s="6">
        <v>437</v>
      </c>
      <c r="C626" s="7" t="s">
        <v>2122</v>
      </c>
      <c r="D626" s="71" t="s">
        <v>2123</v>
      </c>
      <c r="E626" s="71"/>
      <c r="F626" s="71"/>
      <c r="G626" s="71"/>
      <c r="H626" s="8" t="s">
        <v>2124</v>
      </c>
      <c r="I626" s="9" t="s">
        <v>36</v>
      </c>
      <c r="J626" s="8"/>
      <c r="K626" s="6">
        <v>1</v>
      </c>
      <c r="L626" s="10">
        <v>412.53</v>
      </c>
      <c r="M626" s="11"/>
      <c r="N626" s="8">
        <f>L626*M626</f>
        <v>0</v>
      </c>
      <c r="O626" s="12">
        <f>0.049*M626</f>
        <v>0</v>
      </c>
      <c r="P626" s="13">
        <f>0.00035*M626</f>
        <v>0</v>
      </c>
      <c r="Q626" s="17" t="s">
        <v>37</v>
      </c>
      <c r="R626" s="8" t="s">
        <v>2125</v>
      </c>
      <c r="S626" s="8"/>
      <c r="T626" s="7" t="str">
        <f>HYPERLINK("https://miland.ru/api/getInfo/image/ced9253d-08dc-11f1-a28f-00155d82e908")</f>
        <v>https://miland.ru/api/getInfo/image/ced9253d-08dc-11f1-a28f-00155d82e908</v>
      </c>
      <c r="U626" s="7"/>
      <c r="V626" s="7"/>
      <c r="W626" s="7" t="s">
        <v>82</v>
      </c>
      <c r="X626" s="7"/>
      <c r="Y626" s="7" t="s">
        <v>41</v>
      </c>
      <c r="Z626" s="7"/>
      <c r="AA626" s="7" t="str">
        <f>HYPERLINK("https://miland.ru/api/getInfo/item/ced9253d-08dc-11f1-a28f-00155d82e908")</f>
        <v>https://miland.ru/api/getInfo/item/ced9253d-08dc-11f1-a28f-00155d82e908</v>
      </c>
      <c r="AB626" s="7" t="s">
        <v>42</v>
      </c>
      <c r="AC626" s="7"/>
      <c r="AD626" s="7"/>
      <c r="AE626" s="54"/>
    </row>
    <row r="627" spans="2:31" s="1" customFormat="1" ht="96.3" customHeight="1" outlineLevel="7">
      <c r="B627" s="6">
        <v>438</v>
      </c>
      <c r="C627" s="7" t="s">
        <v>2126</v>
      </c>
      <c r="D627" s="71" t="s">
        <v>2127</v>
      </c>
      <c r="E627" s="71"/>
      <c r="F627" s="71"/>
      <c r="G627" s="71"/>
      <c r="H627" s="8" t="s">
        <v>2128</v>
      </c>
      <c r="I627" s="9" t="s">
        <v>36</v>
      </c>
      <c r="J627" s="8"/>
      <c r="K627" s="6">
        <v>1</v>
      </c>
      <c r="L627" s="10">
        <v>412.53</v>
      </c>
      <c r="M627" s="11"/>
      <c r="N627" s="8">
        <f>L627*M627</f>
        <v>0</v>
      </c>
      <c r="O627" s="12">
        <f>0.033*M627</f>
        <v>0</v>
      </c>
      <c r="P627" s="13">
        <f>0.00029*M627</f>
        <v>0</v>
      </c>
      <c r="Q627" s="17" t="s">
        <v>37</v>
      </c>
      <c r="R627" s="8" t="s">
        <v>2129</v>
      </c>
      <c r="S627" s="8"/>
      <c r="T627" s="7" t="str">
        <f>HYPERLINK("https://miland.ru/api/getInfo/image/26d166dc-08dd-11f1-a28f-00155d82e908")</f>
        <v>https://miland.ru/api/getInfo/image/26d166dc-08dd-11f1-a28f-00155d82e908</v>
      </c>
      <c r="U627" s="7"/>
      <c r="V627" s="7"/>
      <c r="W627" s="7" t="s">
        <v>82</v>
      </c>
      <c r="X627" s="7"/>
      <c r="Y627" s="7" t="s">
        <v>41</v>
      </c>
      <c r="Z627" s="7"/>
      <c r="AA627" s="7" t="str">
        <f>HYPERLINK("https://miland.ru/api/getInfo/item/26d166dc-08dd-11f1-a28f-00155d82e908")</f>
        <v>https://miland.ru/api/getInfo/item/26d166dc-08dd-11f1-a28f-00155d82e908</v>
      </c>
      <c r="AB627" s="7" t="s">
        <v>42</v>
      </c>
      <c r="AC627" s="7"/>
      <c r="AD627" s="7"/>
      <c r="AE627" s="54"/>
    </row>
    <row r="628" spans="2:31" ht="12" customHeight="1" outlineLevel="6">
      <c r="B628" s="70" t="s">
        <v>2130</v>
      </c>
      <c r="C628" s="70"/>
      <c r="D628" s="70"/>
      <c r="E628" s="70"/>
      <c r="F628" s="70"/>
      <c r="G628" s="70"/>
    </row>
    <row r="629" spans="2:31" s="1" customFormat="1" ht="96.3" customHeight="1" outlineLevel="7">
      <c r="B629" s="20">
        <v>439</v>
      </c>
      <c r="C629" s="21" t="s">
        <v>2131</v>
      </c>
      <c r="D629" s="72" t="s">
        <v>2132</v>
      </c>
      <c r="E629" s="72"/>
      <c r="F629" s="72"/>
      <c r="G629" s="72"/>
      <c r="H629" s="22" t="s">
        <v>2133</v>
      </c>
      <c r="I629" s="27">
        <v>5</v>
      </c>
      <c r="J629" s="22"/>
      <c r="K629" s="20">
        <v>2</v>
      </c>
      <c r="L629" s="24">
        <v>303.81</v>
      </c>
      <c r="M629" s="11"/>
      <c r="N629" s="22">
        <f>L629*M629</f>
        <v>0</v>
      </c>
      <c r="O629" s="25">
        <f>0.085*M629</f>
        <v>0</v>
      </c>
      <c r="P629" s="29">
        <f>0.0007*M629</f>
        <v>0</v>
      </c>
      <c r="Q629" s="30"/>
      <c r="R629" s="22" t="s">
        <v>2134</v>
      </c>
      <c r="S629" s="22" t="s">
        <v>435</v>
      </c>
      <c r="T629" s="21" t="str">
        <f>HYPERLINK("https://miland.ru/api/getInfo/image/3dd25dc7-e4ee-11ee-a25a-00155d82e908")</f>
        <v>https://miland.ru/api/getInfo/image/3dd25dc7-e4ee-11ee-a25a-00155d82e908</v>
      </c>
      <c r="U629" s="21"/>
      <c r="V629" s="21" t="s">
        <v>710</v>
      </c>
      <c r="W629" s="21" t="s">
        <v>82</v>
      </c>
      <c r="X629" s="21"/>
      <c r="Y629" s="21" t="s">
        <v>41</v>
      </c>
      <c r="Z629" s="21"/>
      <c r="AA629" s="21" t="str">
        <f>HYPERLINK("https://miland.ru/api/getInfo/item/3dd25dc7-e4ee-11ee-a25a-00155d82e908")</f>
        <v>https://miland.ru/api/getInfo/item/3dd25dc7-e4ee-11ee-a25a-00155d82e908</v>
      </c>
      <c r="AB629" s="21" t="s">
        <v>42</v>
      </c>
      <c r="AC629" s="21" t="s">
        <v>2135</v>
      </c>
      <c r="AD629" s="21"/>
    </row>
    <row r="630" spans="2:31" ht="12" customHeight="1" outlineLevel="6">
      <c r="B630" s="70" t="s">
        <v>2136</v>
      </c>
      <c r="C630" s="70"/>
      <c r="D630" s="70"/>
      <c r="E630" s="70"/>
      <c r="F630" s="70"/>
      <c r="G630" s="70"/>
    </row>
    <row r="631" spans="2:31" s="1" customFormat="1" ht="96.3" customHeight="1" outlineLevel="7">
      <c r="B631" s="37">
        <v>440</v>
      </c>
      <c r="C631" s="38" t="s">
        <v>2137</v>
      </c>
      <c r="D631" s="74" t="s">
        <v>2138</v>
      </c>
      <c r="E631" s="74"/>
      <c r="F631" s="74"/>
      <c r="G631" s="74"/>
      <c r="H631" s="39" t="s">
        <v>2139</v>
      </c>
      <c r="I631" s="44">
        <v>5</v>
      </c>
      <c r="J631" s="39"/>
      <c r="K631" s="37">
        <v>1</v>
      </c>
      <c r="L631" s="41">
        <v>232.6</v>
      </c>
      <c r="M631" s="11"/>
      <c r="N631" s="39">
        <f>L631*M631</f>
        <v>0</v>
      </c>
      <c r="O631" s="48">
        <f>0.118*M631</f>
        <v>0</v>
      </c>
      <c r="P631" s="46">
        <f>0.00024*M631</f>
        <v>0</v>
      </c>
      <c r="Q631" s="51"/>
      <c r="R631" s="39" t="s">
        <v>2140</v>
      </c>
      <c r="S631" s="39" t="s">
        <v>435</v>
      </c>
      <c r="T631" s="38" t="str">
        <f>HYPERLINK("https://miland.ru/api/getInfo/image/131f0f93-7ab8-11ed-a22a-00155d82e902")</f>
        <v>https://miland.ru/api/getInfo/image/131f0f93-7ab8-11ed-a22a-00155d82e902</v>
      </c>
      <c r="U631" s="38"/>
      <c r="V631" s="38" t="s">
        <v>710</v>
      </c>
      <c r="W631" s="38" t="s">
        <v>82</v>
      </c>
      <c r="X631" s="38"/>
      <c r="Y631" s="38" t="s">
        <v>41</v>
      </c>
      <c r="Z631" s="38"/>
      <c r="AA631" s="38" t="str">
        <f>HYPERLINK("https://miland.ru/api/getInfo/item/131f0f93-7ab8-11ed-a22a-00155d82e902")</f>
        <v>https://miland.ru/api/getInfo/item/131f0f93-7ab8-11ed-a22a-00155d82e902</v>
      </c>
      <c r="AB631" s="38" t="s">
        <v>42</v>
      </c>
      <c r="AC631" s="38"/>
      <c r="AD631" s="38"/>
      <c r="AE631" s="53" t="s">
        <v>1306</v>
      </c>
    </row>
    <row r="632" spans="2:31" ht="12" customHeight="1" outlineLevel="6">
      <c r="B632" s="70" t="s">
        <v>2141</v>
      </c>
      <c r="C632" s="70"/>
      <c r="D632" s="70"/>
      <c r="E632" s="70"/>
      <c r="F632" s="70"/>
      <c r="G632" s="70"/>
    </row>
    <row r="633" spans="2:31" s="1" customFormat="1" ht="96.3" customHeight="1" outlineLevel="7">
      <c r="B633" s="20">
        <v>441</v>
      </c>
      <c r="C633" s="21" t="s">
        <v>2142</v>
      </c>
      <c r="D633" s="72" t="s">
        <v>2143</v>
      </c>
      <c r="E633" s="72"/>
      <c r="F633" s="72"/>
      <c r="G633" s="72"/>
      <c r="H633" s="22" t="s">
        <v>2144</v>
      </c>
      <c r="I633" s="23" t="s">
        <v>36</v>
      </c>
      <c r="J633" s="22"/>
      <c r="K633" s="20">
        <v>10</v>
      </c>
      <c r="L633" s="24">
        <v>60.98</v>
      </c>
      <c r="M633" s="11"/>
      <c r="N633" s="22">
        <f>L633*M633</f>
        <v>0</v>
      </c>
      <c r="O633" s="25">
        <f>0.043*M633</f>
        <v>0</v>
      </c>
      <c r="P633" s="26">
        <f>0.00008*M633</f>
        <v>0</v>
      </c>
      <c r="Q633" s="30"/>
      <c r="R633" s="22" t="s">
        <v>2145</v>
      </c>
      <c r="S633" s="22" t="s">
        <v>435</v>
      </c>
      <c r="T633" s="21" t="str">
        <f>HYPERLINK("https://miland.ru/api/getInfo/image/603bbe99-0956-11ef-a25d-00155d82e908")</f>
        <v>https://miland.ru/api/getInfo/image/603bbe99-0956-11ef-a25d-00155d82e908</v>
      </c>
      <c r="U633" s="21"/>
      <c r="V633" s="21" t="s">
        <v>710</v>
      </c>
      <c r="W633" s="21" t="s">
        <v>82</v>
      </c>
      <c r="X633" s="21"/>
      <c r="Y633" s="21" t="s">
        <v>41</v>
      </c>
      <c r="Z633" s="21"/>
      <c r="AA633" s="21" t="str">
        <f>HYPERLINK("https://miland.ru/api/getInfo/item/603bbe99-0956-11ef-a25d-00155d82e908")</f>
        <v>https://miland.ru/api/getInfo/item/603bbe99-0956-11ef-a25d-00155d82e908</v>
      </c>
      <c r="AB633" s="21" t="s">
        <v>42</v>
      </c>
      <c r="AC633" s="21" t="s">
        <v>2146</v>
      </c>
      <c r="AD633" s="21"/>
    </row>
    <row r="634" spans="2:31" s="1" customFormat="1" ht="96.3" customHeight="1" outlineLevel="7">
      <c r="B634" s="20">
        <v>442</v>
      </c>
      <c r="C634" s="21" t="s">
        <v>2147</v>
      </c>
      <c r="D634" s="72" t="s">
        <v>2148</v>
      </c>
      <c r="E634" s="72"/>
      <c r="F634" s="72"/>
      <c r="G634" s="72"/>
      <c r="H634" s="22" t="s">
        <v>2149</v>
      </c>
      <c r="I634" s="23" t="s">
        <v>36</v>
      </c>
      <c r="J634" s="22"/>
      <c r="K634" s="20">
        <v>12</v>
      </c>
      <c r="L634" s="24">
        <v>115.59</v>
      </c>
      <c r="M634" s="11"/>
      <c r="N634" s="22">
        <f>L634*M634</f>
        <v>0</v>
      </c>
      <c r="O634" s="25">
        <f>0.041*M634</f>
        <v>0</v>
      </c>
      <c r="P634" s="26">
        <f>0.00006*M634</f>
        <v>0</v>
      </c>
      <c r="Q634" s="30"/>
      <c r="R634" s="22" t="s">
        <v>2150</v>
      </c>
      <c r="S634" s="22" t="s">
        <v>435</v>
      </c>
      <c r="T634" s="21" t="str">
        <f>HYPERLINK("https://miland.ru/api/getInfo/image/720a55fc-0956-11ef-a25d-00155d82e908")</f>
        <v>https://miland.ru/api/getInfo/image/720a55fc-0956-11ef-a25d-00155d82e908</v>
      </c>
      <c r="U634" s="21"/>
      <c r="V634" s="21" t="s">
        <v>710</v>
      </c>
      <c r="W634" s="21" t="s">
        <v>82</v>
      </c>
      <c r="X634" s="21"/>
      <c r="Y634" s="21" t="s">
        <v>41</v>
      </c>
      <c r="Z634" s="21"/>
      <c r="AA634" s="21" t="str">
        <f>HYPERLINK("https://miland.ru/api/getInfo/item/720a55fc-0956-11ef-a25d-00155d82e908")</f>
        <v>https://miland.ru/api/getInfo/item/720a55fc-0956-11ef-a25d-00155d82e908</v>
      </c>
      <c r="AB634" s="21" t="s">
        <v>42</v>
      </c>
      <c r="AC634" s="21" t="s">
        <v>2146</v>
      </c>
      <c r="AD634" s="21"/>
    </row>
    <row r="635" spans="2:31" s="1" customFormat="1" ht="96.3" customHeight="1" outlineLevel="7">
      <c r="B635" s="20">
        <v>443</v>
      </c>
      <c r="C635" s="21" t="s">
        <v>2151</v>
      </c>
      <c r="D635" s="72" t="s">
        <v>2152</v>
      </c>
      <c r="E635" s="72"/>
      <c r="F635" s="72"/>
      <c r="G635" s="72"/>
      <c r="H635" s="22" t="s">
        <v>2153</v>
      </c>
      <c r="I635" s="23" t="s">
        <v>36</v>
      </c>
      <c r="J635" s="22"/>
      <c r="K635" s="20">
        <v>12</v>
      </c>
      <c r="L635" s="24">
        <v>60.98</v>
      </c>
      <c r="M635" s="11"/>
      <c r="N635" s="22">
        <f>L635*M635</f>
        <v>0</v>
      </c>
      <c r="O635" s="25">
        <f>0.043*M635</f>
        <v>0</v>
      </c>
      <c r="P635" s="26">
        <f>0.00005*M635</f>
        <v>0</v>
      </c>
      <c r="Q635" s="30"/>
      <c r="R635" s="22" t="s">
        <v>2154</v>
      </c>
      <c r="S635" s="22" t="s">
        <v>435</v>
      </c>
      <c r="T635" s="21" t="str">
        <f>HYPERLINK("https://miland.ru/api/getInfo/image/50e032bf-0956-11ef-a25d-00155d82e908")</f>
        <v>https://miland.ru/api/getInfo/image/50e032bf-0956-11ef-a25d-00155d82e908</v>
      </c>
      <c r="U635" s="21"/>
      <c r="V635" s="21" t="s">
        <v>710</v>
      </c>
      <c r="W635" s="21" t="s">
        <v>82</v>
      </c>
      <c r="X635" s="21"/>
      <c r="Y635" s="21" t="s">
        <v>41</v>
      </c>
      <c r="Z635" s="21"/>
      <c r="AA635" s="21" t="str">
        <f>HYPERLINK("https://miland.ru/api/getInfo/item/50e032bf-0956-11ef-a25d-00155d82e908")</f>
        <v>https://miland.ru/api/getInfo/item/50e032bf-0956-11ef-a25d-00155d82e908</v>
      </c>
      <c r="AB635" s="21" t="s">
        <v>42</v>
      </c>
      <c r="AC635" s="21" t="s">
        <v>2146</v>
      </c>
      <c r="AD635" s="21"/>
    </row>
    <row r="636" spans="2:31" s="1" customFormat="1" ht="96.3" customHeight="1" outlineLevel="7">
      <c r="B636" s="20">
        <v>444</v>
      </c>
      <c r="C636" s="21" t="s">
        <v>2155</v>
      </c>
      <c r="D636" s="72" t="s">
        <v>2156</v>
      </c>
      <c r="E636" s="72"/>
      <c r="F636" s="72"/>
      <c r="G636" s="72"/>
      <c r="H636" s="22" t="s">
        <v>2157</v>
      </c>
      <c r="I636" s="27">
        <v>185</v>
      </c>
      <c r="J636" s="22"/>
      <c r="K636" s="20">
        <v>12</v>
      </c>
      <c r="L636" s="24">
        <v>115.59</v>
      </c>
      <c r="M636" s="11"/>
      <c r="N636" s="22">
        <f>L636*M636</f>
        <v>0</v>
      </c>
      <c r="O636" s="25">
        <f>0.046*M636</f>
        <v>0</v>
      </c>
      <c r="P636" s="26">
        <f>0.00008*M636</f>
        <v>0</v>
      </c>
      <c r="Q636" s="30"/>
      <c r="R636" s="22" t="s">
        <v>2158</v>
      </c>
      <c r="S636" s="22" t="s">
        <v>435</v>
      </c>
      <c r="T636" s="21" t="str">
        <f>HYPERLINK("https://miland.ru/api/getInfo/image/a66c271e-0955-11ef-a25d-00155d82e908")</f>
        <v>https://miland.ru/api/getInfo/image/a66c271e-0955-11ef-a25d-00155d82e908</v>
      </c>
      <c r="U636" s="21"/>
      <c r="V636" s="21" t="s">
        <v>710</v>
      </c>
      <c r="W636" s="21" t="s">
        <v>82</v>
      </c>
      <c r="X636" s="21"/>
      <c r="Y636" s="21" t="s">
        <v>41</v>
      </c>
      <c r="Z636" s="21"/>
      <c r="AA636" s="21" t="str">
        <f>HYPERLINK("https://miland.ru/api/getInfo/item/a66c271e-0955-11ef-a25d-00155d82e908")</f>
        <v>https://miland.ru/api/getInfo/item/a66c271e-0955-11ef-a25d-00155d82e908</v>
      </c>
      <c r="AB636" s="21" t="s">
        <v>42</v>
      </c>
      <c r="AC636" s="21" t="s">
        <v>2146</v>
      </c>
      <c r="AD636" s="21"/>
    </row>
    <row r="637" spans="2:31" ht="12" customHeight="1" outlineLevel="6">
      <c r="B637" s="70" t="s">
        <v>2159</v>
      </c>
      <c r="C637" s="70"/>
      <c r="D637" s="70"/>
      <c r="E637" s="70"/>
      <c r="F637" s="70"/>
      <c r="G637" s="70"/>
    </row>
    <row r="638" spans="2:31" s="1" customFormat="1" ht="96.3" customHeight="1" outlineLevel="7">
      <c r="B638" s="20">
        <v>445</v>
      </c>
      <c r="C638" s="21" t="s">
        <v>2160</v>
      </c>
      <c r="D638" s="72" t="s">
        <v>2161</v>
      </c>
      <c r="E638" s="72"/>
      <c r="F638" s="72"/>
      <c r="G638" s="72"/>
      <c r="H638" s="22" t="s">
        <v>2162</v>
      </c>
      <c r="I638" s="27">
        <v>9</v>
      </c>
      <c r="J638" s="22"/>
      <c r="K638" s="20">
        <v>3</v>
      </c>
      <c r="L638" s="24">
        <v>249.6</v>
      </c>
      <c r="M638" s="11"/>
      <c r="N638" s="22">
        <f>L638*M638</f>
        <v>0</v>
      </c>
      <c r="O638" s="25">
        <f>0.137*M638</f>
        <v>0</v>
      </c>
      <c r="P638" s="26">
        <f>0.00071*M638</f>
        <v>0</v>
      </c>
      <c r="Q638" s="30"/>
      <c r="R638" s="22" t="s">
        <v>2163</v>
      </c>
      <c r="S638" s="22" t="s">
        <v>435</v>
      </c>
      <c r="T638" s="21" t="str">
        <f>HYPERLINK("https://miland.ru/api/getInfo/image/51ace4ab-be9f-11ee-a25a-00155d82e908")</f>
        <v>https://miland.ru/api/getInfo/image/51ace4ab-be9f-11ee-a25a-00155d82e908</v>
      </c>
      <c r="U638" s="21"/>
      <c r="V638" s="21" t="s">
        <v>710</v>
      </c>
      <c r="W638" s="21" t="s">
        <v>82</v>
      </c>
      <c r="X638" s="21"/>
      <c r="Y638" s="21" t="s">
        <v>41</v>
      </c>
      <c r="Z638" s="21"/>
      <c r="AA638" s="21" t="str">
        <f>HYPERLINK("https://miland.ru/api/getInfo/item/51ace4ab-be9f-11ee-a25a-00155d82e908")</f>
        <v>https://miland.ru/api/getInfo/item/51ace4ab-be9f-11ee-a25a-00155d82e908</v>
      </c>
      <c r="AB638" s="21" t="s">
        <v>42</v>
      </c>
      <c r="AC638" s="21" t="s">
        <v>2164</v>
      </c>
      <c r="AD638" s="21"/>
    </row>
    <row r="639" spans="2:31" s="1" customFormat="1" ht="96.3" customHeight="1" outlineLevel="7">
      <c r="B639" s="20">
        <v>446</v>
      </c>
      <c r="C639" s="21" t="s">
        <v>2165</v>
      </c>
      <c r="D639" s="72" t="s">
        <v>2166</v>
      </c>
      <c r="E639" s="72"/>
      <c r="F639" s="72"/>
      <c r="G639" s="72"/>
      <c r="H639" s="22" t="s">
        <v>2167</v>
      </c>
      <c r="I639" s="23" t="s">
        <v>36</v>
      </c>
      <c r="J639" s="22"/>
      <c r="K639" s="20">
        <v>3</v>
      </c>
      <c r="L639" s="24">
        <v>249.6</v>
      </c>
      <c r="M639" s="11"/>
      <c r="N639" s="22">
        <f>L639*M639</f>
        <v>0</v>
      </c>
      <c r="O639" s="25">
        <f>0.134*M639</f>
        <v>0</v>
      </c>
      <c r="P639" s="26">
        <f>0.00131*M639</f>
        <v>0</v>
      </c>
      <c r="Q639" s="30"/>
      <c r="R639" s="22" t="s">
        <v>2168</v>
      </c>
      <c r="S639" s="22" t="s">
        <v>435</v>
      </c>
      <c r="T639" s="21" t="str">
        <f>HYPERLINK("https://miland.ru/api/getInfo/image/fcc87891-bea0-11ee-a25a-00155d82e908")</f>
        <v>https://miland.ru/api/getInfo/image/fcc87891-bea0-11ee-a25a-00155d82e908</v>
      </c>
      <c r="U639" s="21"/>
      <c r="V639" s="21" t="s">
        <v>710</v>
      </c>
      <c r="W639" s="21" t="s">
        <v>82</v>
      </c>
      <c r="X639" s="21"/>
      <c r="Y639" s="21" t="s">
        <v>41</v>
      </c>
      <c r="Z639" s="21"/>
      <c r="AA639" s="21" t="str">
        <f>HYPERLINK("https://miland.ru/api/getInfo/item/fcc87891-bea0-11ee-a25a-00155d82e908")</f>
        <v>https://miland.ru/api/getInfo/item/fcc87891-bea0-11ee-a25a-00155d82e908</v>
      </c>
      <c r="AB639" s="21" t="s">
        <v>42</v>
      </c>
      <c r="AC639" s="21" t="s">
        <v>2169</v>
      </c>
      <c r="AD639" s="21"/>
    </row>
    <row r="640" spans="2:31" s="1" customFormat="1" ht="96.3" customHeight="1" outlineLevel="7">
      <c r="B640" s="20">
        <v>447</v>
      </c>
      <c r="C640" s="21" t="s">
        <v>2170</v>
      </c>
      <c r="D640" s="72" t="s">
        <v>2171</v>
      </c>
      <c r="E640" s="72"/>
      <c r="F640" s="72"/>
      <c r="G640" s="72"/>
      <c r="H640" s="22" t="s">
        <v>2172</v>
      </c>
      <c r="I640" s="23" t="s">
        <v>36</v>
      </c>
      <c r="J640" s="22"/>
      <c r="K640" s="20">
        <v>3</v>
      </c>
      <c r="L640" s="24">
        <v>249.6</v>
      </c>
      <c r="M640" s="11"/>
      <c r="N640" s="22">
        <f>L640*M640</f>
        <v>0</v>
      </c>
      <c r="O640" s="25">
        <f>0.099*M640</f>
        <v>0</v>
      </c>
      <c r="P640" s="26">
        <f>0.00056*M640</f>
        <v>0</v>
      </c>
      <c r="Q640" s="30"/>
      <c r="R640" s="22" t="s">
        <v>2173</v>
      </c>
      <c r="S640" s="22" t="s">
        <v>435</v>
      </c>
      <c r="T640" s="21" t="str">
        <f>HYPERLINK("https://miland.ru/api/getInfo/image/e0eaf115-bea0-11ee-a25a-00155d82e908")</f>
        <v>https://miland.ru/api/getInfo/image/e0eaf115-bea0-11ee-a25a-00155d82e908</v>
      </c>
      <c r="U640" s="21"/>
      <c r="V640" s="21" t="s">
        <v>710</v>
      </c>
      <c r="W640" s="21" t="s">
        <v>82</v>
      </c>
      <c r="X640" s="21"/>
      <c r="Y640" s="21" t="s">
        <v>41</v>
      </c>
      <c r="Z640" s="21"/>
      <c r="AA640" s="21" t="str">
        <f>HYPERLINK("https://miland.ru/api/getInfo/item/e0eaf115-bea0-11ee-a25a-00155d82e908")</f>
        <v>https://miland.ru/api/getInfo/item/e0eaf115-bea0-11ee-a25a-00155d82e908</v>
      </c>
      <c r="AB640" s="21" t="s">
        <v>42</v>
      </c>
      <c r="AC640" s="21" t="s">
        <v>2174</v>
      </c>
      <c r="AD640" s="21"/>
    </row>
    <row r="641" spans="2:31" s="1" customFormat="1" ht="96.3" customHeight="1" outlineLevel="7">
      <c r="B641" s="20">
        <v>448</v>
      </c>
      <c r="C641" s="21" t="s">
        <v>2175</v>
      </c>
      <c r="D641" s="72" t="s">
        <v>2176</v>
      </c>
      <c r="E641" s="72"/>
      <c r="F641" s="72"/>
      <c r="G641" s="72"/>
      <c r="H641" s="22" t="s">
        <v>2177</v>
      </c>
      <c r="I641" s="23" t="s">
        <v>36</v>
      </c>
      <c r="J641" s="22"/>
      <c r="K641" s="20">
        <v>3</v>
      </c>
      <c r="L641" s="24">
        <v>249.6</v>
      </c>
      <c r="M641" s="11"/>
      <c r="N641" s="22">
        <f>L641*M641</f>
        <v>0</v>
      </c>
      <c r="O641" s="25">
        <f>0.092*M641</f>
        <v>0</v>
      </c>
      <c r="P641" s="29">
        <f>0.0003*M641</f>
        <v>0</v>
      </c>
      <c r="Q641" s="30"/>
      <c r="R641" s="22" t="s">
        <v>2178</v>
      </c>
      <c r="S641" s="22" t="s">
        <v>435</v>
      </c>
      <c r="T641" s="21" t="str">
        <f>HYPERLINK("https://miland.ru/api/getInfo/image/ed97d6cf-bea0-11ee-a25a-00155d82e908")</f>
        <v>https://miland.ru/api/getInfo/image/ed97d6cf-bea0-11ee-a25a-00155d82e908</v>
      </c>
      <c r="U641" s="21"/>
      <c r="V641" s="21" t="s">
        <v>710</v>
      </c>
      <c r="W641" s="21" t="s">
        <v>82</v>
      </c>
      <c r="X641" s="21"/>
      <c r="Y641" s="21" t="s">
        <v>41</v>
      </c>
      <c r="Z641" s="21"/>
      <c r="AA641" s="21" t="str">
        <f>HYPERLINK("https://miland.ru/api/getInfo/item/ed97d6cf-bea0-11ee-a25a-00155d82e908")</f>
        <v>https://miland.ru/api/getInfo/item/ed97d6cf-bea0-11ee-a25a-00155d82e908</v>
      </c>
      <c r="AB641" s="21" t="s">
        <v>42</v>
      </c>
      <c r="AC641" s="21" t="s">
        <v>2179</v>
      </c>
      <c r="AD641" s="21"/>
    </row>
    <row r="642" spans="2:31" ht="12" customHeight="1" outlineLevel="6">
      <c r="B642" s="70" t="s">
        <v>2180</v>
      </c>
      <c r="C642" s="70"/>
      <c r="D642" s="70"/>
      <c r="E642" s="70"/>
      <c r="F642" s="70"/>
      <c r="G642" s="70"/>
    </row>
    <row r="643" spans="2:31" s="1" customFormat="1" ht="96.3" customHeight="1" outlineLevel="7">
      <c r="B643" s="34">
        <v>449</v>
      </c>
      <c r="C643" s="35" t="s">
        <v>2181</v>
      </c>
      <c r="D643" s="73" t="s">
        <v>2182</v>
      </c>
      <c r="E643" s="73"/>
      <c r="F643" s="73"/>
      <c r="G643" s="73"/>
      <c r="H643" s="36" t="s">
        <v>2183</v>
      </c>
      <c r="I643" s="40">
        <v>121</v>
      </c>
      <c r="J643" s="36"/>
      <c r="K643" s="34">
        <v>4</v>
      </c>
      <c r="L643" s="41">
        <v>12</v>
      </c>
      <c r="M643" s="11"/>
      <c r="N643" s="36">
        <f>L643*M643</f>
        <v>0</v>
      </c>
      <c r="O643" s="47">
        <f>0.04*M643</f>
        <v>0</v>
      </c>
      <c r="P643" s="55">
        <f>0.0001*M643</f>
        <v>0</v>
      </c>
      <c r="Q643" s="50"/>
      <c r="R643" s="36" t="s">
        <v>2184</v>
      </c>
      <c r="S643" s="36" t="s">
        <v>435</v>
      </c>
      <c r="T643" s="35" t="str">
        <f>HYPERLINK("https://miland.ru/api/getInfo/image/268c545d-c6ff-11ec-a212-ac1f6b442185")</f>
        <v>https://miland.ru/api/getInfo/image/268c545d-c6ff-11ec-a212-ac1f6b442185</v>
      </c>
      <c r="U643" s="35"/>
      <c r="V643" s="35" t="s">
        <v>710</v>
      </c>
      <c r="W643" s="35" t="s">
        <v>82</v>
      </c>
      <c r="X643" s="35"/>
      <c r="Y643" s="35" t="s">
        <v>41</v>
      </c>
      <c r="Z643" s="35"/>
      <c r="AA643" s="35" t="str">
        <f>HYPERLINK("https://miland.ru/api/getInfo/item/268c545d-c6ff-11ec-a212-ac1f6b442185")</f>
        <v>https://miland.ru/api/getInfo/item/268c545d-c6ff-11ec-a212-ac1f6b442185</v>
      </c>
      <c r="AB643" s="35" t="s">
        <v>50</v>
      </c>
      <c r="AC643" s="35" t="s">
        <v>2185</v>
      </c>
      <c r="AD643" s="35"/>
      <c r="AE643" s="52" t="s">
        <v>1251</v>
      </c>
    </row>
    <row r="644" spans="2:31" ht="12" customHeight="1" outlineLevel="5">
      <c r="B644" s="70" t="s">
        <v>2186</v>
      </c>
      <c r="C644" s="70"/>
      <c r="D644" s="70"/>
      <c r="E644" s="70"/>
      <c r="F644" s="70"/>
      <c r="G644" s="70"/>
    </row>
    <row r="645" spans="2:31" ht="12" customHeight="1" outlineLevel="6">
      <c r="B645" s="70" t="s">
        <v>2187</v>
      </c>
      <c r="C645" s="70"/>
      <c r="D645" s="70"/>
      <c r="E645" s="70"/>
      <c r="F645" s="70"/>
      <c r="G645" s="70"/>
    </row>
    <row r="646" spans="2:31" ht="12" customHeight="1" outlineLevel="7">
      <c r="B646" s="70" t="s">
        <v>2188</v>
      </c>
      <c r="C646" s="70"/>
      <c r="D646" s="70"/>
      <c r="E646" s="70"/>
      <c r="F646" s="70"/>
      <c r="G646" s="70"/>
    </row>
    <row r="647" spans="2:31" s="1" customFormat="1" ht="96.3" customHeight="1" outlineLevel="7">
      <c r="B647" s="20">
        <v>450</v>
      </c>
      <c r="C647" s="21" t="s">
        <v>2189</v>
      </c>
      <c r="D647" s="72" t="s">
        <v>2190</v>
      </c>
      <c r="E647" s="72"/>
      <c r="F647" s="72"/>
      <c r="G647" s="72"/>
      <c r="H647" s="22" t="s">
        <v>2191</v>
      </c>
      <c r="I647" s="27">
        <v>230</v>
      </c>
      <c r="J647" s="22"/>
      <c r="K647" s="20">
        <v>2</v>
      </c>
      <c r="L647" s="24">
        <v>365.98</v>
      </c>
      <c r="M647" s="11"/>
      <c r="N647" s="22">
        <f>L647*M647</f>
        <v>0</v>
      </c>
      <c r="O647" s="25">
        <f>0.044*M647</f>
        <v>0</v>
      </c>
      <c r="P647" s="26">
        <f>0.00036*M647</f>
        <v>0</v>
      </c>
      <c r="Q647" s="30"/>
      <c r="R647" s="22" t="s">
        <v>2192</v>
      </c>
      <c r="S647" s="22" t="s">
        <v>435</v>
      </c>
      <c r="T647" s="21" t="str">
        <f>HYPERLINK("https://miland.ru/api/getInfo/image/bcfad71b-9d78-11ed-a22e-00155d82e902")</f>
        <v>https://miland.ru/api/getInfo/image/bcfad71b-9d78-11ed-a22e-00155d82e902</v>
      </c>
      <c r="U647" s="21"/>
      <c r="V647" s="21" t="s">
        <v>710</v>
      </c>
      <c r="W647" s="21" t="s">
        <v>546</v>
      </c>
      <c r="X647" s="21"/>
      <c r="Y647" s="21" t="s">
        <v>41</v>
      </c>
      <c r="Z647" s="21"/>
      <c r="AA647" s="21" t="str">
        <f>HYPERLINK("https://miland.ru/api/getInfo/item/bcfad71b-9d78-11ed-a22e-00155d82e902")</f>
        <v>https://miland.ru/api/getInfo/item/bcfad71b-9d78-11ed-a22e-00155d82e902</v>
      </c>
      <c r="AB647" s="21" t="s">
        <v>42</v>
      </c>
      <c r="AC647" s="21" t="s">
        <v>1600</v>
      </c>
      <c r="AD647" s="21"/>
    </row>
    <row r="648" spans="2:31" s="1" customFormat="1" ht="96.3" customHeight="1" outlineLevel="7">
      <c r="B648" s="20">
        <v>451</v>
      </c>
      <c r="C648" s="21" t="s">
        <v>2193</v>
      </c>
      <c r="D648" s="72" t="s">
        <v>2194</v>
      </c>
      <c r="E648" s="72"/>
      <c r="F648" s="72"/>
      <c r="G648" s="72"/>
      <c r="H648" s="22" t="s">
        <v>2195</v>
      </c>
      <c r="I648" s="27">
        <v>402</v>
      </c>
      <c r="J648" s="22"/>
      <c r="K648" s="20">
        <v>2</v>
      </c>
      <c r="L648" s="24">
        <v>365.98</v>
      </c>
      <c r="M648" s="11"/>
      <c r="N648" s="22">
        <f>L648*M648</f>
        <v>0</v>
      </c>
      <c r="O648" s="25">
        <f>0.037*M648</f>
        <v>0</v>
      </c>
      <c r="P648" s="26">
        <f>0.00043*M648</f>
        <v>0</v>
      </c>
      <c r="Q648" s="30"/>
      <c r="R648" s="22" t="s">
        <v>2196</v>
      </c>
      <c r="S648" s="22" t="s">
        <v>435</v>
      </c>
      <c r="T648" s="21" t="str">
        <f>HYPERLINK("https://miland.ru/api/getInfo/image/8c61f377-9d78-11ed-a22e-00155d82e902")</f>
        <v>https://miland.ru/api/getInfo/image/8c61f377-9d78-11ed-a22e-00155d82e902</v>
      </c>
      <c r="U648" s="21"/>
      <c r="V648" s="21" t="s">
        <v>710</v>
      </c>
      <c r="W648" s="21" t="s">
        <v>546</v>
      </c>
      <c r="X648" s="21"/>
      <c r="Y648" s="21" t="s">
        <v>41</v>
      </c>
      <c r="Z648" s="21"/>
      <c r="AA648" s="21" t="str">
        <f>HYPERLINK("https://miland.ru/api/getInfo/item/8c61f377-9d78-11ed-a22e-00155d82e902")</f>
        <v>https://miland.ru/api/getInfo/item/8c61f377-9d78-11ed-a22e-00155d82e902</v>
      </c>
      <c r="AB648" s="21" t="s">
        <v>42</v>
      </c>
      <c r="AC648" s="21" t="s">
        <v>1600</v>
      </c>
      <c r="AD648" s="21"/>
    </row>
    <row r="649" spans="2:31" s="1" customFormat="1" ht="96.3" customHeight="1" outlineLevel="7">
      <c r="B649" s="20">
        <v>452</v>
      </c>
      <c r="C649" s="21" t="s">
        <v>2197</v>
      </c>
      <c r="D649" s="72" t="s">
        <v>2198</v>
      </c>
      <c r="E649" s="72"/>
      <c r="F649" s="72"/>
      <c r="G649" s="72"/>
      <c r="H649" s="22" t="s">
        <v>2199</v>
      </c>
      <c r="I649" s="27">
        <v>281</v>
      </c>
      <c r="J649" s="22"/>
      <c r="K649" s="20">
        <v>2</v>
      </c>
      <c r="L649" s="24">
        <v>365.98</v>
      </c>
      <c r="M649" s="11"/>
      <c r="N649" s="22">
        <f>L649*M649</f>
        <v>0</v>
      </c>
      <c r="O649" s="28">
        <f>0.04*M649</f>
        <v>0</v>
      </c>
      <c r="P649" s="26">
        <f>0.00036*M649</f>
        <v>0</v>
      </c>
      <c r="Q649" s="30"/>
      <c r="R649" s="22" t="s">
        <v>2200</v>
      </c>
      <c r="S649" s="22" t="s">
        <v>435</v>
      </c>
      <c r="T649" s="21" t="str">
        <f>HYPERLINK("https://miland.ru/api/getInfo/image/8eaddb04-9d79-11ed-a22e-00155d82e902")</f>
        <v>https://miland.ru/api/getInfo/image/8eaddb04-9d79-11ed-a22e-00155d82e902</v>
      </c>
      <c r="U649" s="21"/>
      <c r="V649" s="21" t="s">
        <v>710</v>
      </c>
      <c r="W649" s="21" t="s">
        <v>546</v>
      </c>
      <c r="X649" s="21"/>
      <c r="Y649" s="21" t="s">
        <v>41</v>
      </c>
      <c r="Z649" s="21"/>
      <c r="AA649" s="21" t="str">
        <f>HYPERLINK("https://miland.ru/api/getInfo/item/8eaddb04-9d79-11ed-a22e-00155d82e902")</f>
        <v>https://miland.ru/api/getInfo/item/8eaddb04-9d79-11ed-a22e-00155d82e902</v>
      </c>
      <c r="AB649" s="21" t="s">
        <v>42</v>
      </c>
      <c r="AC649" s="21" t="s">
        <v>1600</v>
      </c>
      <c r="AD649" s="21"/>
    </row>
    <row r="650" spans="2:31" s="1" customFormat="1" ht="96.3" customHeight="1" outlineLevel="7">
      <c r="B650" s="20">
        <v>453</v>
      </c>
      <c r="C650" s="21" t="s">
        <v>2201</v>
      </c>
      <c r="D650" s="72" t="s">
        <v>2202</v>
      </c>
      <c r="E650" s="72"/>
      <c r="F650" s="72"/>
      <c r="G650" s="72"/>
      <c r="H650" s="22" t="s">
        <v>2203</v>
      </c>
      <c r="I650" s="27">
        <v>338</v>
      </c>
      <c r="J650" s="22"/>
      <c r="K650" s="20">
        <v>2</v>
      </c>
      <c r="L650" s="24">
        <v>365.98</v>
      </c>
      <c r="M650" s="11"/>
      <c r="N650" s="22">
        <f>L650*M650</f>
        <v>0</v>
      </c>
      <c r="O650" s="25">
        <f>0.041*M650</f>
        <v>0</v>
      </c>
      <c r="P650" s="26">
        <f>0.00035*M650</f>
        <v>0</v>
      </c>
      <c r="Q650" s="30"/>
      <c r="R650" s="22" t="s">
        <v>2204</v>
      </c>
      <c r="S650" s="22" t="s">
        <v>435</v>
      </c>
      <c r="T650" s="21" t="str">
        <f>HYPERLINK("https://miland.ru/api/getInfo/image/59e4351c-9d79-11ed-a22e-00155d82e902")</f>
        <v>https://miland.ru/api/getInfo/image/59e4351c-9d79-11ed-a22e-00155d82e902</v>
      </c>
      <c r="U650" s="21"/>
      <c r="V650" s="21" t="s">
        <v>710</v>
      </c>
      <c r="W650" s="21" t="s">
        <v>546</v>
      </c>
      <c r="X650" s="21"/>
      <c r="Y650" s="21" t="s">
        <v>41</v>
      </c>
      <c r="Z650" s="21"/>
      <c r="AA650" s="21" t="str">
        <f>HYPERLINK("https://miland.ru/api/getInfo/item/59e4351c-9d79-11ed-a22e-00155d82e902")</f>
        <v>https://miland.ru/api/getInfo/item/59e4351c-9d79-11ed-a22e-00155d82e902</v>
      </c>
      <c r="AB650" s="21" t="s">
        <v>42</v>
      </c>
      <c r="AC650" s="21" t="s">
        <v>1600</v>
      </c>
      <c r="AD650" s="21"/>
    </row>
    <row r="651" spans="2:31" ht="12" customHeight="1" outlineLevel="7">
      <c r="B651" s="70" t="s">
        <v>2205</v>
      </c>
      <c r="C651" s="70"/>
      <c r="D651" s="70"/>
      <c r="E651" s="70"/>
      <c r="F651" s="70"/>
      <c r="G651" s="70"/>
    </row>
    <row r="652" spans="2:31" s="1" customFormat="1" ht="96.3" customHeight="1" outlineLevel="7">
      <c r="B652" s="20">
        <v>454</v>
      </c>
      <c r="C652" s="21" t="s">
        <v>2206</v>
      </c>
      <c r="D652" s="72" t="s">
        <v>2207</v>
      </c>
      <c r="E652" s="72"/>
      <c r="F652" s="72"/>
      <c r="G652" s="72"/>
      <c r="H652" s="22" t="s">
        <v>2208</v>
      </c>
      <c r="I652" s="27">
        <v>227</v>
      </c>
      <c r="J652" s="22"/>
      <c r="K652" s="20">
        <v>2</v>
      </c>
      <c r="L652" s="24">
        <v>365.98</v>
      </c>
      <c r="M652" s="11"/>
      <c r="N652" s="22">
        <f>L652*M652</f>
        <v>0</v>
      </c>
      <c r="O652" s="25">
        <f>0.033*M652</f>
        <v>0</v>
      </c>
      <c r="P652" s="26">
        <f>0.00041*M652</f>
        <v>0</v>
      </c>
      <c r="Q652" s="30"/>
      <c r="R652" s="22" t="s">
        <v>2209</v>
      </c>
      <c r="S652" s="22" t="s">
        <v>435</v>
      </c>
      <c r="T652" s="21" t="str">
        <f>HYPERLINK("https://miland.ru/api/getInfo/image/059024c2-9d78-11ed-a22e-00155d82e902")</f>
        <v>https://miland.ru/api/getInfo/image/059024c2-9d78-11ed-a22e-00155d82e902</v>
      </c>
      <c r="U652" s="21"/>
      <c r="V652" s="21" t="s">
        <v>710</v>
      </c>
      <c r="W652" s="21" t="s">
        <v>546</v>
      </c>
      <c r="X652" s="21"/>
      <c r="Y652" s="21" t="s">
        <v>41</v>
      </c>
      <c r="Z652" s="21"/>
      <c r="AA652" s="21" t="str">
        <f>HYPERLINK("https://miland.ru/api/getInfo/item/059024c2-9d78-11ed-a22e-00155d82e902")</f>
        <v>https://miland.ru/api/getInfo/item/059024c2-9d78-11ed-a22e-00155d82e902</v>
      </c>
      <c r="AB652" s="21" t="s">
        <v>42</v>
      </c>
      <c r="AC652" s="21" t="s">
        <v>1600</v>
      </c>
      <c r="AD652" s="21"/>
    </row>
    <row r="653" spans="2:31" s="1" customFormat="1" ht="96.3" customHeight="1" outlineLevel="7">
      <c r="B653" s="20">
        <v>455</v>
      </c>
      <c r="C653" s="21" t="s">
        <v>2210</v>
      </c>
      <c r="D653" s="72" t="s">
        <v>2211</v>
      </c>
      <c r="E653" s="72"/>
      <c r="F653" s="72"/>
      <c r="G653" s="72"/>
      <c r="H653" s="22" t="s">
        <v>2212</v>
      </c>
      <c r="I653" s="27">
        <v>255</v>
      </c>
      <c r="J653" s="22"/>
      <c r="K653" s="20">
        <v>2</v>
      </c>
      <c r="L653" s="24">
        <v>365.98</v>
      </c>
      <c r="M653" s="11"/>
      <c r="N653" s="22">
        <f>L653*M653</f>
        <v>0</v>
      </c>
      <c r="O653" s="25">
        <f>0.039*M653</f>
        <v>0</v>
      </c>
      <c r="P653" s="26">
        <f>0.00037*M653</f>
        <v>0</v>
      </c>
      <c r="Q653" s="30"/>
      <c r="R653" s="22" t="s">
        <v>2213</v>
      </c>
      <c r="S653" s="22" t="s">
        <v>435</v>
      </c>
      <c r="T653" s="21" t="str">
        <f>HYPERLINK("https://miland.ru/api/getInfo/image/2a3ac0e5-9d78-11ed-a22e-00155d82e902")</f>
        <v>https://miland.ru/api/getInfo/image/2a3ac0e5-9d78-11ed-a22e-00155d82e902</v>
      </c>
      <c r="U653" s="21"/>
      <c r="V653" s="21" t="s">
        <v>710</v>
      </c>
      <c r="W653" s="21" t="s">
        <v>546</v>
      </c>
      <c r="X653" s="21"/>
      <c r="Y653" s="21" t="s">
        <v>41</v>
      </c>
      <c r="Z653" s="21"/>
      <c r="AA653" s="21" t="str">
        <f>HYPERLINK("https://miland.ru/api/getInfo/item/2a3ac0e5-9d78-11ed-a22e-00155d82e902")</f>
        <v>https://miland.ru/api/getInfo/item/2a3ac0e5-9d78-11ed-a22e-00155d82e902</v>
      </c>
      <c r="AB653" s="21" t="s">
        <v>42</v>
      </c>
      <c r="AC653" s="21" t="s">
        <v>1600</v>
      </c>
      <c r="AD653" s="21"/>
    </row>
    <row r="654" spans="2:31" s="1" customFormat="1" ht="96.3" customHeight="1" outlineLevel="7">
      <c r="B654" s="20">
        <v>456</v>
      </c>
      <c r="C654" s="21" t="s">
        <v>2214</v>
      </c>
      <c r="D654" s="72" t="s">
        <v>2215</v>
      </c>
      <c r="E654" s="72"/>
      <c r="F654" s="72"/>
      <c r="G654" s="72"/>
      <c r="H654" s="22" t="s">
        <v>2216</v>
      </c>
      <c r="I654" s="27">
        <v>186</v>
      </c>
      <c r="J654" s="22"/>
      <c r="K654" s="20">
        <v>2</v>
      </c>
      <c r="L654" s="24">
        <v>365.98</v>
      </c>
      <c r="M654" s="11"/>
      <c r="N654" s="22">
        <f>L654*M654</f>
        <v>0</v>
      </c>
      <c r="O654" s="28">
        <f>0.04*M654</f>
        <v>0</v>
      </c>
      <c r="P654" s="26">
        <f>0.00036*M654</f>
        <v>0</v>
      </c>
      <c r="Q654" s="30"/>
      <c r="R654" s="22" t="s">
        <v>2217</v>
      </c>
      <c r="S654" s="22" t="s">
        <v>435</v>
      </c>
      <c r="T654" s="21" t="str">
        <f>HYPERLINK("https://miland.ru/api/getInfo/image/61a4c4e7-9d78-11ed-a22e-00155d82e902")</f>
        <v>https://miland.ru/api/getInfo/image/61a4c4e7-9d78-11ed-a22e-00155d82e902</v>
      </c>
      <c r="U654" s="21"/>
      <c r="V654" s="21" t="s">
        <v>710</v>
      </c>
      <c r="W654" s="21" t="s">
        <v>546</v>
      </c>
      <c r="X654" s="21"/>
      <c r="Y654" s="21" t="s">
        <v>41</v>
      </c>
      <c r="Z654" s="21"/>
      <c r="AA654" s="21" t="str">
        <f>HYPERLINK("https://miland.ru/api/getInfo/item/61a4c4e7-9d78-11ed-a22e-00155d82e902")</f>
        <v>https://miland.ru/api/getInfo/item/61a4c4e7-9d78-11ed-a22e-00155d82e902</v>
      </c>
      <c r="AB654" s="21" t="s">
        <v>42</v>
      </c>
      <c r="AC654" s="21" t="s">
        <v>1600</v>
      </c>
      <c r="AD654" s="21"/>
    </row>
    <row r="655" spans="2:31" ht="12" customHeight="1" outlineLevel="7">
      <c r="B655" s="70" t="s">
        <v>2218</v>
      </c>
      <c r="C655" s="70"/>
      <c r="D655" s="70"/>
      <c r="E655" s="70"/>
      <c r="F655" s="70"/>
      <c r="G655" s="70"/>
    </row>
    <row r="656" spans="2:31" s="1" customFormat="1" ht="96.3" customHeight="1" outlineLevel="7">
      <c r="B656" s="20">
        <v>457</v>
      </c>
      <c r="C656" s="21" t="s">
        <v>2219</v>
      </c>
      <c r="D656" s="72" t="s">
        <v>2220</v>
      </c>
      <c r="E656" s="72"/>
      <c r="F656" s="72"/>
      <c r="G656" s="72"/>
      <c r="H656" s="22" t="s">
        <v>2221</v>
      </c>
      <c r="I656" s="27">
        <v>105</v>
      </c>
      <c r="J656" s="22"/>
      <c r="K656" s="20">
        <v>2</v>
      </c>
      <c r="L656" s="24">
        <v>365.98</v>
      </c>
      <c r="M656" s="11"/>
      <c r="N656" s="22">
        <f>L656*M656</f>
        <v>0</v>
      </c>
      <c r="O656" s="25">
        <f>0.035*M656</f>
        <v>0</v>
      </c>
      <c r="P656" s="26">
        <f>0.00035*M656</f>
        <v>0</v>
      </c>
      <c r="Q656" s="30"/>
      <c r="R656" s="22" t="s">
        <v>2222</v>
      </c>
      <c r="S656" s="22" t="s">
        <v>435</v>
      </c>
      <c r="T656" s="21" t="str">
        <f>HYPERLINK("https://miland.ru/api/getInfo/image/0c531b46-9d7a-11ed-a22e-00155d82e902")</f>
        <v>https://miland.ru/api/getInfo/image/0c531b46-9d7a-11ed-a22e-00155d82e902</v>
      </c>
      <c r="U656" s="21"/>
      <c r="V656" s="21" t="s">
        <v>710</v>
      </c>
      <c r="W656" s="21" t="s">
        <v>546</v>
      </c>
      <c r="X656" s="21"/>
      <c r="Y656" s="21" t="s">
        <v>41</v>
      </c>
      <c r="Z656" s="21"/>
      <c r="AA656" s="21" t="str">
        <f>HYPERLINK("https://miland.ru/api/getInfo/item/0c531b46-9d7a-11ed-a22e-00155d82e902")</f>
        <v>https://miland.ru/api/getInfo/item/0c531b46-9d7a-11ed-a22e-00155d82e902</v>
      </c>
      <c r="AB656" s="21" t="s">
        <v>42</v>
      </c>
      <c r="AC656" s="21" t="s">
        <v>1600</v>
      </c>
      <c r="AD656" s="21"/>
    </row>
    <row r="657" spans="2:31" ht="12" customHeight="1" outlineLevel="5">
      <c r="B657" s="70" t="s">
        <v>2223</v>
      </c>
      <c r="C657" s="70"/>
      <c r="D657" s="70"/>
      <c r="E657" s="70"/>
      <c r="F657" s="70"/>
      <c r="G657" s="70"/>
    </row>
    <row r="658" spans="2:31" ht="12" customHeight="1" outlineLevel="6">
      <c r="B658" s="70" t="s">
        <v>2224</v>
      </c>
      <c r="C658" s="70"/>
      <c r="D658" s="70"/>
      <c r="E658" s="70"/>
      <c r="F658" s="70"/>
      <c r="G658" s="70"/>
    </row>
    <row r="659" spans="2:31" ht="12" customHeight="1" outlineLevel="7">
      <c r="B659" s="70" t="s">
        <v>2225</v>
      </c>
      <c r="C659" s="70"/>
      <c r="D659" s="70"/>
      <c r="E659" s="70"/>
      <c r="F659" s="70"/>
      <c r="G659" s="70"/>
    </row>
    <row r="660" spans="2:31" ht="12" customHeight="1" outlineLevel="7">
      <c r="B660" s="70" t="s">
        <v>2226</v>
      </c>
      <c r="C660" s="70"/>
      <c r="D660" s="70"/>
      <c r="E660" s="70"/>
      <c r="F660" s="70"/>
      <c r="G660" s="70"/>
    </row>
    <row r="661" spans="2:31" s="1" customFormat="1" ht="96.3" customHeight="1" outlineLevel="7">
      <c r="B661" s="34">
        <v>458</v>
      </c>
      <c r="C661" s="35" t="s">
        <v>2227</v>
      </c>
      <c r="D661" s="73" t="s">
        <v>2228</v>
      </c>
      <c r="E661" s="73"/>
      <c r="F661" s="73"/>
      <c r="G661" s="73"/>
      <c r="H661" s="36" t="s">
        <v>2229</v>
      </c>
      <c r="I661" s="56" t="s">
        <v>36</v>
      </c>
      <c r="J661" s="36"/>
      <c r="K661" s="34">
        <v>2</v>
      </c>
      <c r="L661" s="41">
        <v>199.51999999999998</v>
      </c>
      <c r="M661" s="11"/>
      <c r="N661" s="36">
        <f t="shared" ref="N661:N666" si="30">L661*M661</f>
        <v>0</v>
      </c>
      <c r="O661" s="42">
        <f>0.071*M661</f>
        <v>0</v>
      </c>
      <c r="P661" s="43">
        <f>0.00024*M661</f>
        <v>0</v>
      </c>
      <c r="Q661" s="50" t="s">
        <v>37</v>
      </c>
      <c r="R661" s="36" t="s">
        <v>2230</v>
      </c>
      <c r="S661" s="36"/>
      <c r="T661" s="35" t="str">
        <f>HYPERLINK("https://miland.ru/api/getInfo/image/e2a0a787-3308-11f1-a292-00155d82e908")</f>
        <v>https://miland.ru/api/getInfo/image/e2a0a787-3308-11f1-a292-00155d82e908</v>
      </c>
      <c r="U661" s="35"/>
      <c r="V661" s="35"/>
      <c r="W661" s="35" t="s">
        <v>82</v>
      </c>
      <c r="X661" s="35"/>
      <c r="Y661" s="35" t="s">
        <v>41</v>
      </c>
      <c r="Z661" s="35"/>
      <c r="AA661" s="35" t="str">
        <f>HYPERLINK("https://miland.ru/api/getInfo/item/e2a0a787-3308-11f1-a292-00155d82e908")</f>
        <v>https://miland.ru/api/getInfo/item/e2a0a787-3308-11f1-a292-00155d82e908</v>
      </c>
      <c r="AB661" s="35" t="s">
        <v>42</v>
      </c>
      <c r="AC661" s="35"/>
      <c r="AD661" s="35"/>
      <c r="AE661" s="52" t="s">
        <v>1251</v>
      </c>
    </row>
    <row r="662" spans="2:31" s="1" customFormat="1" ht="96.3" customHeight="1" outlineLevel="7">
      <c r="B662" s="20">
        <v>459</v>
      </c>
      <c r="C662" s="21" t="s">
        <v>2231</v>
      </c>
      <c r="D662" s="72" t="s">
        <v>2232</v>
      </c>
      <c r="E662" s="72"/>
      <c r="F662" s="72"/>
      <c r="G662" s="72"/>
      <c r="H662" s="22" t="s">
        <v>2233</v>
      </c>
      <c r="I662" s="27">
        <v>220</v>
      </c>
      <c r="J662" s="22"/>
      <c r="K662" s="20">
        <v>1</v>
      </c>
      <c r="L662" s="24">
        <v>454.18</v>
      </c>
      <c r="M662" s="11"/>
      <c r="N662" s="22">
        <f t="shared" si="30"/>
        <v>0</v>
      </c>
      <c r="O662" s="28">
        <f>0.11*M662</f>
        <v>0</v>
      </c>
      <c r="P662" s="26">
        <f>0.00096*M662</f>
        <v>0</v>
      </c>
      <c r="Q662" s="30"/>
      <c r="R662" s="22" t="s">
        <v>2234</v>
      </c>
      <c r="S662" s="22" t="s">
        <v>435</v>
      </c>
      <c r="T662" s="21" t="str">
        <f>HYPERLINK("https://miland.ru/api/getInfo/image/499fe04c-02ef-11ef-a25d-00155d82e908")</f>
        <v>https://miland.ru/api/getInfo/image/499fe04c-02ef-11ef-a25d-00155d82e908</v>
      </c>
      <c r="U662" s="21"/>
      <c r="V662" s="21" t="s">
        <v>710</v>
      </c>
      <c r="W662" s="21" t="s">
        <v>82</v>
      </c>
      <c r="X662" s="21"/>
      <c r="Y662" s="21" t="s">
        <v>41</v>
      </c>
      <c r="Z662" s="21"/>
      <c r="AA662" s="21" t="str">
        <f>HYPERLINK("https://miland.ru/api/getInfo/item/499fe04c-02ef-11ef-a25d-00155d82e908")</f>
        <v>https://miland.ru/api/getInfo/item/499fe04c-02ef-11ef-a25d-00155d82e908</v>
      </c>
      <c r="AB662" s="21" t="s">
        <v>50</v>
      </c>
      <c r="AC662" s="21"/>
      <c r="AD662" s="21"/>
    </row>
    <row r="663" spans="2:31" s="1" customFormat="1" ht="96.3" customHeight="1" outlineLevel="7">
      <c r="B663" s="6">
        <v>460</v>
      </c>
      <c r="C663" s="7" t="s">
        <v>2235</v>
      </c>
      <c r="D663" s="71" t="s">
        <v>2236</v>
      </c>
      <c r="E663" s="71"/>
      <c r="F663" s="71"/>
      <c r="G663" s="71"/>
      <c r="H663" s="8" t="s">
        <v>2237</v>
      </c>
      <c r="I663" s="9" t="s">
        <v>36</v>
      </c>
      <c r="J663" s="8"/>
      <c r="K663" s="6">
        <v>1</v>
      </c>
      <c r="L663" s="10">
        <v>519.16999999999996</v>
      </c>
      <c r="M663" s="11"/>
      <c r="N663" s="8">
        <f t="shared" si="30"/>
        <v>0</v>
      </c>
      <c r="O663" s="12">
        <f>0.077*M663</f>
        <v>0</v>
      </c>
      <c r="P663" s="16">
        <f>0.0006*M663</f>
        <v>0</v>
      </c>
      <c r="Q663" s="17" t="s">
        <v>37</v>
      </c>
      <c r="R663" s="8" t="s">
        <v>2238</v>
      </c>
      <c r="S663" s="8"/>
      <c r="T663" s="7" t="str">
        <f>HYPERLINK("https://miland.ru/api/getInfo/image/dcdc9898-318e-11f1-a292-00155d82e908")</f>
        <v>https://miland.ru/api/getInfo/image/dcdc9898-318e-11f1-a292-00155d82e908</v>
      </c>
      <c r="U663" s="7"/>
      <c r="V663" s="7"/>
      <c r="W663" s="7"/>
      <c r="X663" s="7"/>
      <c r="Y663" s="7" t="s">
        <v>41</v>
      </c>
      <c r="Z663" s="7"/>
      <c r="AA663" s="7" t="str">
        <f>HYPERLINK("https://miland.ru/api/getInfo/item/dcdc9898-318e-11f1-a292-00155d82e908")</f>
        <v>https://miland.ru/api/getInfo/item/dcdc9898-318e-11f1-a292-00155d82e908</v>
      </c>
      <c r="AB663" s="7" t="s">
        <v>50</v>
      </c>
      <c r="AC663" s="7"/>
      <c r="AD663" s="7"/>
      <c r="AE663" s="54"/>
    </row>
    <row r="664" spans="2:31" s="1" customFormat="1" ht="96.3" customHeight="1" outlineLevel="7">
      <c r="B664" s="20">
        <v>461</v>
      </c>
      <c r="C664" s="21" t="s">
        <v>2239</v>
      </c>
      <c r="D664" s="72" t="s">
        <v>2240</v>
      </c>
      <c r="E664" s="72"/>
      <c r="F664" s="72"/>
      <c r="G664" s="72"/>
      <c r="H664" s="22" t="s">
        <v>2241</v>
      </c>
      <c r="I664" s="27">
        <v>495</v>
      </c>
      <c r="J664" s="22"/>
      <c r="K664" s="20">
        <v>1</v>
      </c>
      <c r="L664" s="24">
        <v>647.5</v>
      </c>
      <c r="M664" s="11"/>
      <c r="N664" s="22">
        <f t="shared" si="30"/>
        <v>0</v>
      </c>
      <c r="O664" s="25">
        <f>0.022*M664</f>
        <v>0</v>
      </c>
      <c r="P664" s="26">
        <f>0.00008*M664</f>
        <v>0</v>
      </c>
      <c r="Q664" s="30"/>
      <c r="R664" s="22" t="s">
        <v>2242</v>
      </c>
      <c r="S664" s="22" t="s">
        <v>435</v>
      </c>
      <c r="T664" s="21" t="str">
        <f>HYPERLINK("https://miland.ru/api/getInfo/image/31e53d57-f8bb-11ef-a274-00155d82e908")</f>
        <v>https://miland.ru/api/getInfo/image/31e53d57-f8bb-11ef-a274-00155d82e908</v>
      </c>
      <c r="U664" s="21"/>
      <c r="V664" s="21" t="s">
        <v>710</v>
      </c>
      <c r="W664" s="21" t="s">
        <v>82</v>
      </c>
      <c r="X664" s="21"/>
      <c r="Y664" s="21" t="s">
        <v>41</v>
      </c>
      <c r="Z664" s="21"/>
      <c r="AA664" s="21" t="str">
        <f>HYPERLINK("https://miland.ru/api/getInfo/item/31e53d57-f8bb-11ef-a274-00155d82e908")</f>
        <v>https://miland.ru/api/getInfo/item/31e53d57-f8bb-11ef-a274-00155d82e908</v>
      </c>
      <c r="AB664" s="21" t="s">
        <v>50</v>
      </c>
      <c r="AC664" s="21"/>
      <c r="AD664" s="21"/>
    </row>
    <row r="665" spans="2:31" s="1" customFormat="1" ht="96.3" customHeight="1" outlineLevel="7">
      <c r="B665" s="6">
        <v>462</v>
      </c>
      <c r="C665" s="7" t="s">
        <v>2243</v>
      </c>
      <c r="D665" s="71" t="s">
        <v>2244</v>
      </c>
      <c r="E665" s="71"/>
      <c r="F665" s="71"/>
      <c r="G665" s="71"/>
      <c r="H665" s="8" t="s">
        <v>2245</v>
      </c>
      <c r="I665" s="9" t="s">
        <v>36</v>
      </c>
      <c r="J665" s="8"/>
      <c r="K665" s="6">
        <v>1</v>
      </c>
      <c r="L665" s="10">
        <v>427.43</v>
      </c>
      <c r="M665" s="11"/>
      <c r="N665" s="8">
        <f t="shared" si="30"/>
        <v>0</v>
      </c>
      <c r="O665" s="12">
        <f>0.105*M665</f>
        <v>0</v>
      </c>
      <c r="P665" s="13">
        <f>0.00061*M665</f>
        <v>0</v>
      </c>
      <c r="Q665" s="17" t="s">
        <v>37</v>
      </c>
      <c r="R665" s="8" t="s">
        <v>2246</v>
      </c>
      <c r="S665" s="8"/>
      <c r="T665" s="7" t="str">
        <f>HYPERLINK("https://miland.ru/api/getInfo/image/d38df8c5-318f-11f1-a292-00155d82e908")</f>
        <v>https://miland.ru/api/getInfo/image/d38df8c5-318f-11f1-a292-00155d82e908</v>
      </c>
      <c r="U665" s="7"/>
      <c r="V665" s="7"/>
      <c r="W665" s="7"/>
      <c r="X665" s="7"/>
      <c r="Y665" s="7" t="s">
        <v>41</v>
      </c>
      <c r="Z665" s="7"/>
      <c r="AA665" s="7" t="str">
        <f>HYPERLINK("https://miland.ru/api/getInfo/item/d38df8c5-318f-11f1-a292-00155d82e908")</f>
        <v>https://miland.ru/api/getInfo/item/d38df8c5-318f-11f1-a292-00155d82e908</v>
      </c>
      <c r="AB665" s="7" t="s">
        <v>50</v>
      </c>
      <c r="AC665" s="7"/>
      <c r="AD665" s="7"/>
      <c r="AE665" s="54"/>
    </row>
    <row r="666" spans="2:31" s="1" customFormat="1" ht="96.3" customHeight="1" outlineLevel="7">
      <c r="B666" s="20">
        <v>463</v>
      </c>
      <c r="C666" s="21" t="s">
        <v>2247</v>
      </c>
      <c r="D666" s="72" t="s">
        <v>2248</v>
      </c>
      <c r="E666" s="72"/>
      <c r="F666" s="72"/>
      <c r="G666" s="72"/>
      <c r="H666" s="22" t="s">
        <v>2249</v>
      </c>
      <c r="I666" s="27">
        <v>5</v>
      </c>
      <c r="J666" s="22"/>
      <c r="K666" s="20">
        <v>1</v>
      </c>
      <c r="L666" s="24">
        <v>519.16999999999996</v>
      </c>
      <c r="M666" s="11"/>
      <c r="N666" s="22">
        <f t="shared" si="30"/>
        <v>0</v>
      </c>
      <c r="O666" s="25">
        <f>0.014*M666</f>
        <v>0</v>
      </c>
      <c r="P666" s="26">
        <f>0.00002*M666</f>
        <v>0</v>
      </c>
      <c r="Q666" s="30"/>
      <c r="R666" s="22" t="s">
        <v>2250</v>
      </c>
      <c r="S666" s="22" t="s">
        <v>435</v>
      </c>
      <c r="T666" s="21" t="str">
        <f>HYPERLINK("https://miland.ru/api/getInfo/image/c2822a84-0566-11f0-a277-00155d82e908")</f>
        <v>https://miland.ru/api/getInfo/image/c2822a84-0566-11f0-a277-00155d82e908</v>
      </c>
      <c r="U666" s="21"/>
      <c r="V666" s="21" t="s">
        <v>710</v>
      </c>
      <c r="W666" s="21" t="s">
        <v>82</v>
      </c>
      <c r="X666" s="21"/>
      <c r="Y666" s="21" t="s">
        <v>41</v>
      </c>
      <c r="Z666" s="21"/>
      <c r="AA666" s="21" t="str">
        <f>HYPERLINK("https://miland.ru/api/getInfo/item/c2822a84-0566-11f0-a277-00155d82e908")</f>
        <v>https://miland.ru/api/getInfo/item/c2822a84-0566-11f0-a277-00155d82e908</v>
      </c>
      <c r="AB666" s="21" t="s">
        <v>50</v>
      </c>
      <c r="AC666" s="21"/>
      <c r="AD666" s="21"/>
    </row>
    <row r="667" spans="2:31" ht="12" customHeight="1" outlineLevel="7">
      <c r="B667" s="70" t="s">
        <v>2251</v>
      </c>
      <c r="C667" s="70"/>
      <c r="D667" s="70"/>
      <c r="E667" s="70"/>
      <c r="F667" s="70"/>
      <c r="G667" s="70"/>
    </row>
    <row r="668" spans="2:31" ht="12" customHeight="1" outlineLevel="7">
      <c r="B668" s="70" t="s">
        <v>2252</v>
      </c>
      <c r="C668" s="70"/>
      <c r="D668" s="70"/>
      <c r="E668" s="70"/>
      <c r="F668" s="70"/>
      <c r="G668" s="70"/>
    </row>
    <row r="669" spans="2:31" s="1" customFormat="1" ht="96.3" customHeight="1" outlineLevel="7">
      <c r="B669" s="6">
        <v>464</v>
      </c>
      <c r="C669" s="7" t="s">
        <v>2253</v>
      </c>
      <c r="D669" s="71" t="s">
        <v>2254</v>
      </c>
      <c r="E669" s="71"/>
      <c r="F669" s="71"/>
      <c r="G669" s="71"/>
      <c r="H669" s="8" t="s">
        <v>2255</v>
      </c>
      <c r="I669" s="14">
        <v>471</v>
      </c>
      <c r="J669" s="8"/>
      <c r="K669" s="6">
        <v>10</v>
      </c>
      <c r="L669" s="10">
        <v>57.83</v>
      </c>
      <c r="M669" s="11"/>
      <c r="N669" s="8">
        <f t="shared" ref="N669:N674" si="31">L669*M669</f>
        <v>0</v>
      </c>
      <c r="O669" s="12">
        <f>0.013*M669</f>
        <v>0</v>
      </c>
      <c r="P669" s="13">
        <f>0.00007*M669</f>
        <v>0</v>
      </c>
      <c r="Q669" s="17" t="s">
        <v>37</v>
      </c>
      <c r="R669" s="8" t="s">
        <v>2256</v>
      </c>
      <c r="S669" s="8"/>
      <c r="T669" s="7" t="str">
        <f>HYPERLINK("https://miland.ru/api/getInfo/image/9ec0462d-318f-11f1-a292-00155d82e908")</f>
        <v>https://miland.ru/api/getInfo/image/9ec0462d-318f-11f1-a292-00155d82e908</v>
      </c>
      <c r="U669" s="7"/>
      <c r="V669" s="7"/>
      <c r="W669" s="7"/>
      <c r="X669" s="7"/>
      <c r="Y669" s="7" t="s">
        <v>41</v>
      </c>
      <c r="Z669" s="7"/>
      <c r="AA669" s="7" t="str">
        <f>HYPERLINK("https://miland.ru/api/getInfo/item/9ec0462d-318f-11f1-a292-00155d82e908")</f>
        <v>https://miland.ru/api/getInfo/item/9ec0462d-318f-11f1-a292-00155d82e908</v>
      </c>
      <c r="AB669" s="7" t="s">
        <v>50</v>
      </c>
      <c r="AC669" s="7"/>
      <c r="AD669" s="7"/>
      <c r="AE669" s="54"/>
    </row>
    <row r="670" spans="2:31" s="1" customFormat="1" ht="96.3" customHeight="1" outlineLevel="7">
      <c r="B670" s="6">
        <v>465</v>
      </c>
      <c r="C670" s="7" t="s">
        <v>2257</v>
      </c>
      <c r="D670" s="71" t="s">
        <v>2258</v>
      </c>
      <c r="E670" s="71"/>
      <c r="F670" s="71"/>
      <c r="G670" s="71"/>
      <c r="H670" s="8" t="s">
        <v>2259</v>
      </c>
      <c r="I670" s="14">
        <v>482</v>
      </c>
      <c r="J670" s="8"/>
      <c r="K670" s="6">
        <v>10</v>
      </c>
      <c r="L670" s="10">
        <v>57.83</v>
      </c>
      <c r="M670" s="11"/>
      <c r="N670" s="8">
        <f t="shared" si="31"/>
        <v>0</v>
      </c>
      <c r="O670" s="12">
        <f>0.013*M670</f>
        <v>0</v>
      </c>
      <c r="P670" s="13">
        <f>0.00002*M670</f>
        <v>0</v>
      </c>
      <c r="Q670" s="17" t="s">
        <v>37</v>
      </c>
      <c r="R670" s="8" t="s">
        <v>2260</v>
      </c>
      <c r="S670" s="8"/>
      <c r="T670" s="7" t="str">
        <f>HYPERLINK("https://miland.ru/api/getInfo/image/899dcaa0-318f-11f1-a292-00155d82e908")</f>
        <v>https://miland.ru/api/getInfo/image/899dcaa0-318f-11f1-a292-00155d82e908</v>
      </c>
      <c r="U670" s="7"/>
      <c r="V670" s="7"/>
      <c r="W670" s="7"/>
      <c r="X670" s="7"/>
      <c r="Y670" s="7" t="s">
        <v>41</v>
      </c>
      <c r="Z670" s="7"/>
      <c r="AA670" s="7" t="str">
        <f>HYPERLINK("https://miland.ru/api/getInfo/item/899dcaa0-318f-11f1-a292-00155d82e908")</f>
        <v>https://miland.ru/api/getInfo/item/899dcaa0-318f-11f1-a292-00155d82e908</v>
      </c>
      <c r="AB670" s="7" t="s">
        <v>50</v>
      </c>
      <c r="AC670" s="7"/>
      <c r="AD670" s="7"/>
      <c r="AE670" s="54"/>
    </row>
    <row r="671" spans="2:31" s="1" customFormat="1" ht="96.3" customHeight="1" outlineLevel="7">
      <c r="B671" s="6">
        <v>466</v>
      </c>
      <c r="C671" s="7" t="s">
        <v>2261</v>
      </c>
      <c r="D671" s="71" t="s">
        <v>2262</v>
      </c>
      <c r="E671" s="71"/>
      <c r="F671" s="71"/>
      <c r="G671" s="71"/>
      <c r="H671" s="8" t="s">
        <v>2263</v>
      </c>
      <c r="I671" s="14">
        <v>461</v>
      </c>
      <c r="J671" s="8"/>
      <c r="K671" s="6">
        <v>10</v>
      </c>
      <c r="L671" s="10">
        <v>57.83</v>
      </c>
      <c r="M671" s="11"/>
      <c r="N671" s="8">
        <f t="shared" si="31"/>
        <v>0</v>
      </c>
      <c r="O671" s="12">
        <f>0.013*M671</f>
        <v>0</v>
      </c>
      <c r="P671" s="13">
        <f>0.00004*M671</f>
        <v>0</v>
      </c>
      <c r="Q671" s="17" t="s">
        <v>37</v>
      </c>
      <c r="R671" s="8" t="s">
        <v>2264</v>
      </c>
      <c r="S671" s="8"/>
      <c r="T671" s="7" t="str">
        <f>HYPERLINK("https://miland.ru/api/getInfo/image/bca278f7-318f-11f1-a292-00155d82e908")</f>
        <v>https://miland.ru/api/getInfo/image/bca278f7-318f-11f1-a292-00155d82e908</v>
      </c>
      <c r="U671" s="7"/>
      <c r="V671" s="7"/>
      <c r="W671" s="7"/>
      <c r="X671" s="7"/>
      <c r="Y671" s="7" t="s">
        <v>41</v>
      </c>
      <c r="Z671" s="7"/>
      <c r="AA671" s="7" t="str">
        <f>HYPERLINK("https://miland.ru/api/getInfo/item/bca278f7-318f-11f1-a292-00155d82e908")</f>
        <v>https://miland.ru/api/getInfo/item/bca278f7-318f-11f1-a292-00155d82e908</v>
      </c>
      <c r="AB671" s="7" t="s">
        <v>50</v>
      </c>
      <c r="AC671" s="7"/>
      <c r="AD671" s="7"/>
      <c r="AE671" s="54"/>
    </row>
    <row r="672" spans="2:31" s="1" customFormat="1" ht="96.3" customHeight="1" outlineLevel="7">
      <c r="B672" s="6">
        <v>467</v>
      </c>
      <c r="C672" s="7" t="s">
        <v>2265</v>
      </c>
      <c r="D672" s="71" t="s">
        <v>2266</v>
      </c>
      <c r="E672" s="71"/>
      <c r="F672" s="71"/>
      <c r="G672" s="71"/>
      <c r="H672" s="8" t="s">
        <v>2267</v>
      </c>
      <c r="I672" s="9" t="s">
        <v>36</v>
      </c>
      <c r="J672" s="8"/>
      <c r="K672" s="6">
        <v>10</v>
      </c>
      <c r="L672" s="10">
        <v>57.83</v>
      </c>
      <c r="M672" s="11"/>
      <c r="N672" s="8">
        <f t="shared" si="31"/>
        <v>0</v>
      </c>
      <c r="O672" s="12">
        <f>0.015*M672</f>
        <v>0</v>
      </c>
      <c r="P672" s="13">
        <f>0.00007*M672</f>
        <v>0</v>
      </c>
      <c r="Q672" s="17" t="s">
        <v>37</v>
      </c>
      <c r="R672" s="8" t="s">
        <v>2268</v>
      </c>
      <c r="S672" s="8"/>
      <c r="T672" s="7" t="str">
        <f>HYPERLINK("https://miland.ru/api/getInfo/image/ac45c101-318f-11f1-a292-00155d82e908")</f>
        <v>https://miland.ru/api/getInfo/image/ac45c101-318f-11f1-a292-00155d82e908</v>
      </c>
      <c r="U672" s="7"/>
      <c r="V672" s="7"/>
      <c r="W672" s="7"/>
      <c r="X672" s="7"/>
      <c r="Y672" s="7" t="s">
        <v>41</v>
      </c>
      <c r="Z672" s="7"/>
      <c r="AA672" s="7" t="str">
        <f>HYPERLINK("https://miland.ru/api/getInfo/item/ac45c101-318f-11f1-a292-00155d82e908")</f>
        <v>https://miland.ru/api/getInfo/item/ac45c101-318f-11f1-a292-00155d82e908</v>
      </c>
      <c r="AB672" s="7" t="s">
        <v>50</v>
      </c>
      <c r="AC672" s="7"/>
      <c r="AD672" s="7"/>
      <c r="AE672" s="54"/>
    </row>
    <row r="673" spans="2:31" s="1" customFormat="1" ht="96.3" customHeight="1" outlineLevel="7">
      <c r="B673" s="6">
        <v>468</v>
      </c>
      <c r="C673" s="7" t="s">
        <v>2269</v>
      </c>
      <c r="D673" s="71" t="s">
        <v>2270</v>
      </c>
      <c r="E673" s="71"/>
      <c r="F673" s="71"/>
      <c r="G673" s="71"/>
      <c r="H673" s="8" t="s">
        <v>2271</v>
      </c>
      <c r="I673" s="14">
        <v>456</v>
      </c>
      <c r="J673" s="8"/>
      <c r="K673" s="6">
        <v>10</v>
      </c>
      <c r="L673" s="10">
        <v>57.83</v>
      </c>
      <c r="M673" s="11"/>
      <c r="N673" s="8">
        <f t="shared" si="31"/>
        <v>0</v>
      </c>
      <c r="O673" s="12">
        <f>0.013*M673</f>
        <v>0</v>
      </c>
      <c r="P673" s="13">
        <f>0.00002*M673</f>
        <v>0</v>
      </c>
      <c r="Q673" s="17" t="s">
        <v>37</v>
      </c>
      <c r="R673" s="8" t="s">
        <v>2272</v>
      </c>
      <c r="S673" s="8"/>
      <c r="T673" s="7" t="str">
        <f>HYPERLINK("https://miland.ru/api/getInfo/image/661c182c-318f-11f1-a292-00155d82e908")</f>
        <v>https://miland.ru/api/getInfo/image/661c182c-318f-11f1-a292-00155d82e908</v>
      </c>
      <c r="U673" s="7"/>
      <c r="V673" s="7"/>
      <c r="W673" s="7"/>
      <c r="X673" s="7"/>
      <c r="Y673" s="7" t="s">
        <v>41</v>
      </c>
      <c r="Z673" s="7"/>
      <c r="AA673" s="7" t="str">
        <f>HYPERLINK("https://miland.ru/api/getInfo/item/661c182c-318f-11f1-a292-00155d82e908")</f>
        <v>https://miland.ru/api/getInfo/item/661c182c-318f-11f1-a292-00155d82e908</v>
      </c>
      <c r="AB673" s="7" t="s">
        <v>50</v>
      </c>
      <c r="AC673" s="7"/>
      <c r="AD673" s="7"/>
      <c r="AE673" s="54"/>
    </row>
    <row r="674" spans="2:31" s="1" customFormat="1" ht="96.3" customHeight="1" outlineLevel="7">
      <c r="B674" s="6">
        <v>469</v>
      </c>
      <c r="C674" s="7" t="s">
        <v>2273</v>
      </c>
      <c r="D674" s="71" t="s">
        <v>2274</v>
      </c>
      <c r="E674" s="71"/>
      <c r="F674" s="71"/>
      <c r="G674" s="71"/>
      <c r="H674" s="8" t="s">
        <v>2275</v>
      </c>
      <c r="I674" s="9" t="s">
        <v>36</v>
      </c>
      <c r="J674" s="8"/>
      <c r="K674" s="6">
        <v>10</v>
      </c>
      <c r="L674" s="10">
        <v>57.83</v>
      </c>
      <c r="M674" s="11"/>
      <c r="N674" s="8">
        <f t="shared" si="31"/>
        <v>0</v>
      </c>
      <c r="O674" s="12">
        <f>0.016*M674</f>
        <v>0</v>
      </c>
      <c r="P674" s="13">
        <f>0.00016*M674</f>
        <v>0</v>
      </c>
      <c r="Q674" s="17" t="s">
        <v>37</v>
      </c>
      <c r="R674" s="8" t="s">
        <v>2276</v>
      </c>
      <c r="S674" s="8"/>
      <c r="T674" s="7" t="str">
        <f>HYPERLINK("https://miland.ru/api/getInfo/image/768042d2-318f-11f1-a292-00155d82e908")</f>
        <v>https://miland.ru/api/getInfo/image/768042d2-318f-11f1-a292-00155d82e908</v>
      </c>
      <c r="U674" s="7"/>
      <c r="V674" s="7"/>
      <c r="W674" s="7"/>
      <c r="X674" s="7"/>
      <c r="Y674" s="7" t="s">
        <v>41</v>
      </c>
      <c r="Z674" s="7"/>
      <c r="AA674" s="7" t="str">
        <f>HYPERLINK("https://miland.ru/api/getInfo/item/768042d2-318f-11f1-a292-00155d82e908")</f>
        <v>https://miland.ru/api/getInfo/item/768042d2-318f-11f1-a292-00155d82e908</v>
      </c>
      <c r="AB674" s="7" t="s">
        <v>50</v>
      </c>
      <c r="AC674" s="7"/>
      <c r="AD674" s="7"/>
      <c r="AE674" s="54"/>
    </row>
    <row r="675" spans="2:31" ht="12" customHeight="1" outlineLevel="7">
      <c r="B675" s="70" t="s">
        <v>2277</v>
      </c>
      <c r="C675" s="70"/>
      <c r="D675" s="70"/>
      <c r="E675" s="70"/>
      <c r="F675" s="70"/>
      <c r="G675" s="70"/>
    </row>
    <row r="676" spans="2:31" s="1" customFormat="1" ht="96.3" customHeight="1" outlineLevel="7">
      <c r="B676" s="20">
        <v>470</v>
      </c>
      <c r="C676" s="21" t="s">
        <v>2278</v>
      </c>
      <c r="D676" s="72" t="s">
        <v>2279</v>
      </c>
      <c r="E676" s="72"/>
      <c r="F676" s="72"/>
      <c r="G676" s="72"/>
      <c r="H676" s="22" t="s">
        <v>2280</v>
      </c>
      <c r="I676" s="27">
        <v>5</v>
      </c>
      <c r="J676" s="22"/>
      <c r="K676" s="20">
        <v>5</v>
      </c>
      <c r="L676" s="24">
        <v>83.03</v>
      </c>
      <c r="M676" s="11"/>
      <c r="N676" s="22">
        <f t="shared" ref="N676:N682" si="32">L676*M676</f>
        <v>0</v>
      </c>
      <c r="O676" s="25">
        <f>0.022*M676</f>
        <v>0</v>
      </c>
      <c r="P676" s="26">
        <f>0.00008*M676</f>
        <v>0</v>
      </c>
      <c r="Q676" s="30"/>
      <c r="R676" s="22" t="s">
        <v>2281</v>
      </c>
      <c r="S676" s="22" t="s">
        <v>435</v>
      </c>
      <c r="T676" s="21" t="str">
        <f>HYPERLINK("https://miland.ru/api/getInfo/image/a563ed54-0568-11f0-a277-00155d82e908")</f>
        <v>https://miland.ru/api/getInfo/image/a563ed54-0568-11f0-a277-00155d82e908</v>
      </c>
      <c r="U676" s="21"/>
      <c r="V676" s="21" t="s">
        <v>710</v>
      </c>
      <c r="W676" s="21" t="s">
        <v>82</v>
      </c>
      <c r="X676" s="21"/>
      <c r="Y676" s="21" t="s">
        <v>41</v>
      </c>
      <c r="Z676" s="21"/>
      <c r="AA676" s="21" t="str">
        <f>HYPERLINK("https://miland.ru/api/getInfo/item/a563ed54-0568-11f0-a277-00155d82e908")</f>
        <v>https://miland.ru/api/getInfo/item/a563ed54-0568-11f0-a277-00155d82e908</v>
      </c>
      <c r="AB676" s="21" t="s">
        <v>50</v>
      </c>
      <c r="AC676" s="21"/>
      <c r="AD676" s="21"/>
    </row>
    <row r="677" spans="2:31" s="1" customFormat="1" ht="96.3" customHeight="1" outlineLevel="7">
      <c r="B677" s="6">
        <v>471</v>
      </c>
      <c r="C677" s="7" t="s">
        <v>2282</v>
      </c>
      <c r="D677" s="71" t="s">
        <v>2283</v>
      </c>
      <c r="E677" s="71"/>
      <c r="F677" s="71"/>
      <c r="G677" s="71"/>
      <c r="H677" s="8" t="s">
        <v>2284</v>
      </c>
      <c r="I677" s="14">
        <v>287</v>
      </c>
      <c r="J677" s="8"/>
      <c r="K677" s="6">
        <v>10</v>
      </c>
      <c r="L677" s="10">
        <v>83.03</v>
      </c>
      <c r="M677" s="11"/>
      <c r="N677" s="8">
        <f t="shared" si="32"/>
        <v>0</v>
      </c>
      <c r="O677" s="12">
        <f>0.013*M677</f>
        <v>0</v>
      </c>
      <c r="P677" s="13">
        <f>0.00036*M677</f>
        <v>0</v>
      </c>
      <c r="Q677" s="17" t="s">
        <v>37</v>
      </c>
      <c r="R677" s="8" t="s">
        <v>2285</v>
      </c>
      <c r="S677" s="8"/>
      <c r="T677" s="7" t="str">
        <f>HYPERLINK("https://miland.ru/api/getInfo/image/ede95f7a-318e-11f1-a292-00155d82e908")</f>
        <v>https://miland.ru/api/getInfo/image/ede95f7a-318e-11f1-a292-00155d82e908</v>
      </c>
      <c r="U677" s="7"/>
      <c r="V677" s="7"/>
      <c r="W677" s="7"/>
      <c r="X677" s="7"/>
      <c r="Y677" s="7" t="s">
        <v>41</v>
      </c>
      <c r="Z677" s="7"/>
      <c r="AA677" s="7" t="str">
        <f>HYPERLINK("https://miland.ru/api/getInfo/item/ede95f7a-318e-11f1-a292-00155d82e908")</f>
        <v>https://miland.ru/api/getInfo/item/ede95f7a-318e-11f1-a292-00155d82e908</v>
      </c>
      <c r="AB677" s="7" t="s">
        <v>50</v>
      </c>
      <c r="AC677" s="7"/>
      <c r="AD677" s="7"/>
      <c r="AE677" s="54"/>
    </row>
    <row r="678" spans="2:31" s="1" customFormat="1" ht="96.3" customHeight="1" outlineLevel="7">
      <c r="B678" s="6">
        <v>472</v>
      </c>
      <c r="C678" s="7" t="s">
        <v>2286</v>
      </c>
      <c r="D678" s="71" t="s">
        <v>2287</v>
      </c>
      <c r="E678" s="71"/>
      <c r="F678" s="71"/>
      <c r="G678" s="71"/>
      <c r="H678" s="8" t="s">
        <v>2288</v>
      </c>
      <c r="I678" s="14">
        <v>285</v>
      </c>
      <c r="J678" s="8"/>
      <c r="K678" s="6">
        <v>10</v>
      </c>
      <c r="L678" s="10">
        <v>83.03</v>
      </c>
      <c r="M678" s="11"/>
      <c r="N678" s="8">
        <f t="shared" si="32"/>
        <v>0</v>
      </c>
      <c r="O678" s="12">
        <f>0.008*M678</f>
        <v>0</v>
      </c>
      <c r="P678" s="13">
        <f>0.00001*M678</f>
        <v>0</v>
      </c>
      <c r="Q678" s="17" t="s">
        <v>37</v>
      </c>
      <c r="R678" s="8" t="s">
        <v>2289</v>
      </c>
      <c r="S678" s="8"/>
      <c r="T678" s="7" t="str">
        <f>HYPERLINK("https://miland.ru/api/getInfo/image/041ecc37-318f-11f1-a292-00155d82e908")</f>
        <v>https://miland.ru/api/getInfo/image/041ecc37-318f-11f1-a292-00155d82e908</v>
      </c>
      <c r="U678" s="7"/>
      <c r="V678" s="7"/>
      <c r="W678" s="7"/>
      <c r="X678" s="7"/>
      <c r="Y678" s="7" t="s">
        <v>41</v>
      </c>
      <c r="Z678" s="7"/>
      <c r="AA678" s="7" t="str">
        <f>HYPERLINK("https://miland.ru/api/getInfo/item/041ecc37-318f-11f1-a292-00155d82e908")</f>
        <v>https://miland.ru/api/getInfo/item/041ecc37-318f-11f1-a292-00155d82e908</v>
      </c>
      <c r="AB678" s="7" t="s">
        <v>50</v>
      </c>
      <c r="AC678" s="7"/>
      <c r="AD678" s="7"/>
      <c r="AE678" s="54"/>
    </row>
    <row r="679" spans="2:31" s="1" customFormat="1" ht="96.3" customHeight="1" outlineLevel="7">
      <c r="B679" s="6">
        <v>473</v>
      </c>
      <c r="C679" s="7" t="s">
        <v>2290</v>
      </c>
      <c r="D679" s="71" t="s">
        <v>2291</v>
      </c>
      <c r="E679" s="71"/>
      <c r="F679" s="71"/>
      <c r="G679" s="71"/>
      <c r="H679" s="8" t="s">
        <v>2292</v>
      </c>
      <c r="I679" s="14">
        <v>289</v>
      </c>
      <c r="J679" s="8"/>
      <c r="K679" s="6">
        <v>10</v>
      </c>
      <c r="L679" s="10">
        <v>83.03</v>
      </c>
      <c r="M679" s="11"/>
      <c r="N679" s="8">
        <f t="shared" si="32"/>
        <v>0</v>
      </c>
      <c r="O679" s="12">
        <f>0.011*M679</f>
        <v>0</v>
      </c>
      <c r="P679" s="13">
        <f>0.00031*M679</f>
        <v>0</v>
      </c>
      <c r="Q679" s="17" t="s">
        <v>37</v>
      </c>
      <c r="R679" s="8" t="s">
        <v>2293</v>
      </c>
      <c r="S679" s="8"/>
      <c r="T679" s="7" t="str">
        <f>HYPERLINK("https://miland.ru/api/getInfo/image/22c37e49-318f-11f1-a292-00155d82e908")</f>
        <v>https://miland.ru/api/getInfo/image/22c37e49-318f-11f1-a292-00155d82e908</v>
      </c>
      <c r="U679" s="7"/>
      <c r="V679" s="7"/>
      <c r="W679" s="7"/>
      <c r="X679" s="7"/>
      <c r="Y679" s="7" t="s">
        <v>41</v>
      </c>
      <c r="Z679" s="7"/>
      <c r="AA679" s="7" t="str">
        <f>HYPERLINK("https://miland.ru/api/getInfo/item/22c37e49-318f-11f1-a292-00155d82e908")</f>
        <v>https://miland.ru/api/getInfo/item/22c37e49-318f-11f1-a292-00155d82e908</v>
      </c>
      <c r="AB679" s="7" t="s">
        <v>50</v>
      </c>
      <c r="AC679" s="7"/>
      <c r="AD679" s="7"/>
      <c r="AE679" s="54"/>
    </row>
    <row r="680" spans="2:31" s="1" customFormat="1" ht="96.3" customHeight="1" outlineLevel="7">
      <c r="B680" s="6">
        <v>474</v>
      </c>
      <c r="C680" s="7" t="s">
        <v>2294</v>
      </c>
      <c r="D680" s="71" t="s">
        <v>2295</v>
      </c>
      <c r="E680" s="71"/>
      <c r="F680" s="71"/>
      <c r="G680" s="71"/>
      <c r="H680" s="8" t="s">
        <v>2296</v>
      </c>
      <c r="I680" s="14">
        <v>262</v>
      </c>
      <c r="J680" s="8"/>
      <c r="K680" s="6">
        <v>10</v>
      </c>
      <c r="L680" s="10">
        <v>83.03</v>
      </c>
      <c r="M680" s="11"/>
      <c r="N680" s="8">
        <f t="shared" si="32"/>
        <v>0</v>
      </c>
      <c r="O680" s="12">
        <f>0.011*M680</f>
        <v>0</v>
      </c>
      <c r="P680" s="13">
        <f>0.00031*M680</f>
        <v>0</v>
      </c>
      <c r="Q680" s="17" t="s">
        <v>37</v>
      </c>
      <c r="R680" s="8" t="s">
        <v>2297</v>
      </c>
      <c r="S680" s="8"/>
      <c r="T680" s="7" t="str">
        <f>HYPERLINK("https://miland.ru/api/getInfo/image/3294b80e-318f-11f1-a292-00155d82e908")</f>
        <v>https://miland.ru/api/getInfo/image/3294b80e-318f-11f1-a292-00155d82e908</v>
      </c>
      <c r="U680" s="7"/>
      <c r="V680" s="7"/>
      <c r="W680" s="7"/>
      <c r="X680" s="7"/>
      <c r="Y680" s="7" t="s">
        <v>41</v>
      </c>
      <c r="Z680" s="7"/>
      <c r="AA680" s="7" t="str">
        <f>HYPERLINK("https://miland.ru/api/getInfo/item/3294b80e-318f-11f1-a292-00155d82e908")</f>
        <v>https://miland.ru/api/getInfo/item/3294b80e-318f-11f1-a292-00155d82e908</v>
      </c>
      <c r="AB680" s="7" t="s">
        <v>50</v>
      </c>
      <c r="AC680" s="7"/>
      <c r="AD680" s="7"/>
      <c r="AE680" s="54"/>
    </row>
    <row r="681" spans="2:31" s="1" customFormat="1" ht="96.3" customHeight="1" outlineLevel="7">
      <c r="B681" s="6">
        <v>475</v>
      </c>
      <c r="C681" s="7" t="s">
        <v>2298</v>
      </c>
      <c r="D681" s="71" t="s">
        <v>2299</v>
      </c>
      <c r="E681" s="71"/>
      <c r="F681" s="71"/>
      <c r="G681" s="71"/>
      <c r="H681" s="8" t="s">
        <v>2300</v>
      </c>
      <c r="I681" s="14">
        <v>216</v>
      </c>
      <c r="J681" s="8"/>
      <c r="K681" s="6">
        <v>10</v>
      </c>
      <c r="L681" s="10">
        <v>83.03</v>
      </c>
      <c r="M681" s="11"/>
      <c r="N681" s="8">
        <f t="shared" si="32"/>
        <v>0</v>
      </c>
      <c r="O681" s="12">
        <f>0.011*M681</f>
        <v>0</v>
      </c>
      <c r="P681" s="13">
        <f>0.00029*M681</f>
        <v>0</v>
      </c>
      <c r="Q681" s="17" t="s">
        <v>37</v>
      </c>
      <c r="R681" s="8" t="s">
        <v>2301</v>
      </c>
      <c r="S681" s="8"/>
      <c r="T681" s="7" t="str">
        <f>HYPERLINK("https://miland.ru/api/getInfo/image/473c7fca-318f-11f1-a292-00155d82e908")</f>
        <v>https://miland.ru/api/getInfo/image/473c7fca-318f-11f1-a292-00155d82e908</v>
      </c>
      <c r="U681" s="7"/>
      <c r="V681" s="7"/>
      <c r="W681" s="7"/>
      <c r="X681" s="7"/>
      <c r="Y681" s="7" t="s">
        <v>41</v>
      </c>
      <c r="Z681" s="7"/>
      <c r="AA681" s="7" t="str">
        <f>HYPERLINK("https://miland.ru/api/getInfo/item/473c7fca-318f-11f1-a292-00155d82e908")</f>
        <v>https://miland.ru/api/getInfo/item/473c7fca-318f-11f1-a292-00155d82e908</v>
      </c>
      <c r="AB681" s="7" t="s">
        <v>50</v>
      </c>
      <c r="AC681" s="7"/>
      <c r="AD681" s="7"/>
      <c r="AE681" s="54"/>
    </row>
    <row r="682" spans="2:31" s="1" customFormat="1" ht="96.3" customHeight="1" outlineLevel="7">
      <c r="B682" s="6">
        <v>476</v>
      </c>
      <c r="C682" s="7" t="s">
        <v>2302</v>
      </c>
      <c r="D682" s="71" t="s">
        <v>2303</v>
      </c>
      <c r="E682" s="71"/>
      <c r="F682" s="71"/>
      <c r="G682" s="71"/>
      <c r="H682" s="8" t="s">
        <v>2304</v>
      </c>
      <c r="I682" s="14">
        <v>215</v>
      </c>
      <c r="J682" s="8"/>
      <c r="K682" s="6">
        <v>10</v>
      </c>
      <c r="L682" s="10">
        <v>83.03</v>
      </c>
      <c r="M682" s="11"/>
      <c r="N682" s="8">
        <f t="shared" si="32"/>
        <v>0</v>
      </c>
      <c r="O682" s="12">
        <f>0.014*M682</f>
        <v>0</v>
      </c>
      <c r="P682" s="13">
        <f>0.00016*M682</f>
        <v>0</v>
      </c>
      <c r="Q682" s="17" t="s">
        <v>37</v>
      </c>
      <c r="R682" s="8" t="s">
        <v>2305</v>
      </c>
      <c r="S682" s="8"/>
      <c r="T682" s="7" t="str">
        <f>HYPERLINK("https://miland.ru/api/getInfo/image/581edb3b-318f-11f1-a292-00155d82e908")</f>
        <v>https://miland.ru/api/getInfo/image/581edb3b-318f-11f1-a292-00155d82e908</v>
      </c>
      <c r="U682" s="7"/>
      <c r="V682" s="7"/>
      <c r="W682" s="7"/>
      <c r="X682" s="7"/>
      <c r="Y682" s="7" t="s">
        <v>41</v>
      </c>
      <c r="Z682" s="7"/>
      <c r="AA682" s="7" t="str">
        <f>HYPERLINK("https://miland.ru/api/getInfo/item/581edb3b-318f-11f1-a292-00155d82e908")</f>
        <v>https://miland.ru/api/getInfo/item/581edb3b-318f-11f1-a292-00155d82e908</v>
      </c>
      <c r="AB682" s="7" t="s">
        <v>50</v>
      </c>
      <c r="AC682" s="7"/>
      <c r="AD682" s="7"/>
      <c r="AE682" s="54"/>
    </row>
    <row r="683" spans="2:31" ht="12" customHeight="1" outlineLevel="7">
      <c r="B683" s="70" t="s">
        <v>2306</v>
      </c>
      <c r="C683" s="70"/>
      <c r="D683" s="70"/>
      <c r="E683" s="70"/>
      <c r="F683" s="70"/>
      <c r="G683" s="70"/>
    </row>
    <row r="684" spans="2:31" s="1" customFormat="1" ht="96.3" customHeight="1" outlineLevel="7">
      <c r="B684" s="20">
        <v>477</v>
      </c>
      <c r="C684" s="21" t="s">
        <v>2307</v>
      </c>
      <c r="D684" s="72" t="s">
        <v>2308</v>
      </c>
      <c r="E684" s="72"/>
      <c r="F684" s="72"/>
      <c r="G684" s="72"/>
      <c r="H684" s="22" t="s">
        <v>2309</v>
      </c>
      <c r="I684" s="23" t="s">
        <v>36</v>
      </c>
      <c r="J684" s="22"/>
      <c r="K684" s="20">
        <v>1</v>
      </c>
      <c r="L684" s="24">
        <v>768.05</v>
      </c>
      <c r="M684" s="11"/>
      <c r="N684" s="22">
        <f>L684*M684</f>
        <v>0</v>
      </c>
      <c r="O684" s="25">
        <f>0.237*M684</f>
        <v>0</v>
      </c>
      <c r="P684" s="26">
        <f>0.00079*M684</f>
        <v>0</v>
      </c>
      <c r="Q684" s="30"/>
      <c r="R684" s="22" t="s">
        <v>2310</v>
      </c>
      <c r="S684" s="22"/>
      <c r="T684" s="21" t="str">
        <f>HYPERLINK("https://miland.ru/api/getInfo/image/4d9e0015-3471-11ef-a261-00155d82e908")</f>
        <v>https://miland.ru/api/getInfo/image/4d9e0015-3471-11ef-a261-00155d82e908</v>
      </c>
      <c r="U684" s="21"/>
      <c r="V684" s="21" t="s">
        <v>710</v>
      </c>
      <c r="W684" s="21" t="s">
        <v>82</v>
      </c>
      <c r="X684" s="21"/>
      <c r="Y684" s="21" t="s">
        <v>41</v>
      </c>
      <c r="Z684" s="21"/>
      <c r="AA684" s="21" t="str">
        <f>HYPERLINK("https://miland.ru/api/getInfo/item/4d9e0015-3471-11ef-a261-00155d82e908")</f>
        <v>https://miland.ru/api/getInfo/item/4d9e0015-3471-11ef-a261-00155d82e908</v>
      </c>
      <c r="AB684" s="21" t="s">
        <v>50</v>
      </c>
      <c r="AC684" s="21" t="s">
        <v>2311</v>
      </c>
      <c r="AD684" s="21"/>
    </row>
    <row r="685" spans="2:31" ht="12" customHeight="1" outlineLevel="7">
      <c r="B685" s="70" t="s">
        <v>2312</v>
      </c>
      <c r="C685" s="70"/>
      <c r="D685" s="70"/>
      <c r="E685" s="70"/>
      <c r="F685" s="70"/>
      <c r="G685" s="70"/>
    </row>
    <row r="686" spans="2:31" s="1" customFormat="1" ht="96.3" customHeight="1" outlineLevel="7">
      <c r="B686" s="6">
        <v>478</v>
      </c>
      <c r="C686" s="7" t="s">
        <v>2313</v>
      </c>
      <c r="D686" s="71" t="s">
        <v>2314</v>
      </c>
      <c r="E686" s="71"/>
      <c r="F686" s="71"/>
      <c r="G686" s="71"/>
      <c r="H686" s="8" t="s">
        <v>2315</v>
      </c>
      <c r="I686" s="9" t="s">
        <v>36</v>
      </c>
      <c r="J686" s="8"/>
      <c r="K686" s="6">
        <v>1</v>
      </c>
      <c r="L686" s="10">
        <v>447.47</v>
      </c>
      <c r="M686" s="11"/>
      <c r="N686" s="8">
        <f>L686*M686</f>
        <v>0</v>
      </c>
      <c r="O686" s="8">
        <v>0</v>
      </c>
      <c r="P686" s="8">
        <v>0</v>
      </c>
      <c r="Q686" s="17" t="s">
        <v>37</v>
      </c>
      <c r="R686" s="8" t="s">
        <v>2316</v>
      </c>
      <c r="S686" s="8"/>
      <c r="T686" s="7" t="str">
        <f>HYPERLINK("https://miland.ru/api/getInfo/image/d9222d89-0647-11f1-a28f-00155d82e908")</f>
        <v>https://miland.ru/api/getInfo/image/d9222d89-0647-11f1-a28f-00155d82e908</v>
      </c>
      <c r="U686" s="7"/>
      <c r="V686" s="7"/>
      <c r="W686" s="7" t="s">
        <v>302</v>
      </c>
      <c r="X686" s="7"/>
      <c r="Y686" s="7" t="s">
        <v>41</v>
      </c>
      <c r="Z686" s="7"/>
      <c r="AA686" s="7" t="str">
        <f>HYPERLINK("https://miland.ru/api/getInfo/item/d9222d89-0647-11f1-a28f-00155d82e908")</f>
        <v>https://miland.ru/api/getInfo/item/d9222d89-0647-11f1-a28f-00155d82e908</v>
      </c>
      <c r="AB686" s="7" t="s">
        <v>50</v>
      </c>
      <c r="AC686" s="7"/>
      <c r="AD686" s="7"/>
      <c r="AE686" s="54"/>
    </row>
    <row r="687" spans="2:31" ht="12" customHeight="1" outlineLevel="6">
      <c r="B687" s="70" t="s">
        <v>437</v>
      </c>
      <c r="C687" s="70"/>
      <c r="D687" s="70"/>
      <c r="E687" s="70"/>
      <c r="F687" s="70"/>
      <c r="G687" s="70"/>
    </row>
    <row r="688" spans="2:31" s="1" customFormat="1" ht="96.3" customHeight="1" outlineLevel="7">
      <c r="B688" s="20">
        <v>479</v>
      </c>
      <c r="C688" s="21" t="s">
        <v>2317</v>
      </c>
      <c r="D688" s="72" t="s">
        <v>2318</v>
      </c>
      <c r="E688" s="72"/>
      <c r="F688" s="72"/>
      <c r="G688" s="72"/>
      <c r="H688" s="22" t="s">
        <v>2319</v>
      </c>
      <c r="I688" s="23" t="s">
        <v>36</v>
      </c>
      <c r="J688" s="22"/>
      <c r="K688" s="20">
        <v>5</v>
      </c>
      <c r="L688" s="24">
        <v>132.9</v>
      </c>
      <c r="M688" s="11"/>
      <c r="N688" s="22">
        <f t="shared" ref="N688:N709" si="33">L688*M688</f>
        <v>0</v>
      </c>
      <c r="O688" s="25">
        <f>0.023*M688</f>
        <v>0</v>
      </c>
      <c r="P688" s="26">
        <f>0.00016*M688</f>
        <v>0</v>
      </c>
      <c r="Q688" s="30"/>
      <c r="R688" s="22" t="s">
        <v>2320</v>
      </c>
      <c r="S688" s="22"/>
      <c r="T688" s="21" t="str">
        <f>HYPERLINK("https://miland.ru/api/getInfo/image/75429ae7-966f-11ed-a22d-00155d82e902")</f>
        <v>https://miland.ru/api/getInfo/image/75429ae7-966f-11ed-a22d-00155d82e902</v>
      </c>
      <c r="U688" s="21"/>
      <c r="V688" s="21" t="s">
        <v>710</v>
      </c>
      <c r="W688" s="21" t="s">
        <v>82</v>
      </c>
      <c r="X688" s="21"/>
      <c r="Y688" s="21" t="s">
        <v>41</v>
      </c>
      <c r="Z688" s="21"/>
      <c r="AA688" s="21" t="str">
        <f>HYPERLINK("https://miland.ru/api/getInfo/item/75429ae7-966f-11ed-a22d-00155d82e902")</f>
        <v>https://miland.ru/api/getInfo/item/75429ae7-966f-11ed-a22d-00155d82e902</v>
      </c>
      <c r="AB688" s="21" t="s">
        <v>42</v>
      </c>
      <c r="AC688" s="21"/>
      <c r="AD688" s="21"/>
    </row>
    <row r="689" spans="2:30" s="1" customFormat="1" ht="96.3" customHeight="1" outlineLevel="7">
      <c r="B689" s="20">
        <v>480</v>
      </c>
      <c r="C689" s="21" t="s">
        <v>2321</v>
      </c>
      <c r="D689" s="72" t="s">
        <v>2322</v>
      </c>
      <c r="E689" s="72"/>
      <c r="F689" s="72"/>
      <c r="G689" s="72"/>
      <c r="H689" s="22" t="s">
        <v>2323</v>
      </c>
      <c r="I689" s="23" t="s">
        <v>36</v>
      </c>
      <c r="J689" s="22"/>
      <c r="K689" s="20">
        <v>4</v>
      </c>
      <c r="L689" s="24">
        <v>173.85</v>
      </c>
      <c r="M689" s="11"/>
      <c r="N689" s="22">
        <f t="shared" si="33"/>
        <v>0</v>
      </c>
      <c r="O689" s="28">
        <f>0.05*M689</f>
        <v>0</v>
      </c>
      <c r="P689" s="26">
        <f>0.00032*M689</f>
        <v>0</v>
      </c>
      <c r="Q689" s="30"/>
      <c r="R689" s="22" t="s">
        <v>2324</v>
      </c>
      <c r="S689" s="22" t="s">
        <v>435</v>
      </c>
      <c r="T689" s="21" t="str">
        <f>HYPERLINK("https://miland.ru/api/getInfo/image/01d3c1d6-966d-11ed-a22d-00155d82e902")</f>
        <v>https://miland.ru/api/getInfo/image/01d3c1d6-966d-11ed-a22d-00155d82e902</v>
      </c>
      <c r="U689" s="21"/>
      <c r="V689" s="21" t="s">
        <v>710</v>
      </c>
      <c r="W689" s="21" t="s">
        <v>82</v>
      </c>
      <c r="X689" s="21"/>
      <c r="Y689" s="21" t="s">
        <v>41</v>
      </c>
      <c r="Z689" s="21"/>
      <c r="AA689" s="21" t="str">
        <f>HYPERLINK("https://miland.ru/api/getInfo/item/01d3c1d6-966d-11ed-a22d-00155d82e902")</f>
        <v>https://miland.ru/api/getInfo/item/01d3c1d6-966d-11ed-a22d-00155d82e902</v>
      </c>
      <c r="AB689" s="21" t="s">
        <v>42</v>
      </c>
      <c r="AC689" s="21"/>
      <c r="AD689" s="21"/>
    </row>
    <row r="690" spans="2:30" s="1" customFormat="1" ht="96.3" customHeight="1" outlineLevel="7">
      <c r="B690" s="20">
        <v>481</v>
      </c>
      <c r="C690" s="21" t="s">
        <v>2325</v>
      </c>
      <c r="D690" s="72" t="s">
        <v>2326</v>
      </c>
      <c r="E690" s="72"/>
      <c r="F690" s="72"/>
      <c r="G690" s="72"/>
      <c r="H690" s="22" t="s">
        <v>2327</v>
      </c>
      <c r="I690" s="27">
        <v>257</v>
      </c>
      <c r="J690" s="22"/>
      <c r="K690" s="20">
        <v>5</v>
      </c>
      <c r="L690" s="24">
        <v>109.22</v>
      </c>
      <c r="M690" s="11"/>
      <c r="N690" s="22">
        <f t="shared" si="33"/>
        <v>0</v>
      </c>
      <c r="O690" s="25">
        <f>0.042*M690</f>
        <v>0</v>
      </c>
      <c r="P690" s="26">
        <f>0.00005*M690</f>
        <v>0</v>
      </c>
      <c r="Q690" s="30"/>
      <c r="R690" s="22" t="s">
        <v>2328</v>
      </c>
      <c r="S690" s="22" t="s">
        <v>435</v>
      </c>
      <c r="T690" s="21" t="str">
        <f>HYPERLINK("https://miland.ru/api/getInfo/image/017e486f-24cc-11f0-a279-00155d82e908")</f>
        <v>https://miland.ru/api/getInfo/image/017e486f-24cc-11f0-a279-00155d82e908</v>
      </c>
      <c r="U690" s="21"/>
      <c r="V690" s="21" t="s">
        <v>710</v>
      </c>
      <c r="W690" s="21" t="s">
        <v>82</v>
      </c>
      <c r="X690" s="21"/>
      <c r="Y690" s="21" t="s">
        <v>41</v>
      </c>
      <c r="Z690" s="21"/>
      <c r="AA690" s="21" t="str">
        <f>HYPERLINK("https://miland.ru/api/getInfo/item/017e486f-24cc-11f0-a279-00155d82e908")</f>
        <v>https://miland.ru/api/getInfo/item/017e486f-24cc-11f0-a279-00155d82e908</v>
      </c>
      <c r="AB690" s="21" t="s">
        <v>42</v>
      </c>
      <c r="AC690" s="21"/>
      <c r="AD690" s="21"/>
    </row>
    <row r="691" spans="2:30" s="1" customFormat="1" ht="96.3" customHeight="1" outlineLevel="7">
      <c r="B691" s="20">
        <v>482</v>
      </c>
      <c r="C691" s="21" t="s">
        <v>2329</v>
      </c>
      <c r="D691" s="72" t="s">
        <v>2330</v>
      </c>
      <c r="E691" s="72"/>
      <c r="F691" s="72"/>
      <c r="G691" s="72"/>
      <c r="H691" s="22" t="s">
        <v>2331</v>
      </c>
      <c r="I691" s="27">
        <v>217</v>
      </c>
      <c r="J691" s="22"/>
      <c r="K691" s="20">
        <v>5</v>
      </c>
      <c r="L691" s="24">
        <v>109.22</v>
      </c>
      <c r="M691" s="11"/>
      <c r="N691" s="22">
        <f t="shared" si="33"/>
        <v>0</v>
      </c>
      <c r="O691" s="25">
        <f>0.044*M691</f>
        <v>0</v>
      </c>
      <c r="P691" s="26">
        <f>0.00005*M691</f>
        <v>0</v>
      </c>
      <c r="Q691" s="30"/>
      <c r="R691" s="22" t="s">
        <v>2332</v>
      </c>
      <c r="S691" s="22" t="s">
        <v>435</v>
      </c>
      <c r="T691" s="21" t="str">
        <f>HYPERLINK("https://miland.ru/api/getInfo/image/5d3df0c4-24cb-11f0-a279-00155d82e908")</f>
        <v>https://miland.ru/api/getInfo/image/5d3df0c4-24cb-11f0-a279-00155d82e908</v>
      </c>
      <c r="U691" s="21"/>
      <c r="V691" s="21" t="s">
        <v>710</v>
      </c>
      <c r="W691" s="21" t="s">
        <v>82</v>
      </c>
      <c r="X691" s="21"/>
      <c r="Y691" s="21" t="s">
        <v>41</v>
      </c>
      <c r="Z691" s="21"/>
      <c r="AA691" s="21" t="str">
        <f>HYPERLINK("https://miland.ru/api/getInfo/item/5d3df0c4-24cb-11f0-a279-00155d82e908")</f>
        <v>https://miland.ru/api/getInfo/item/5d3df0c4-24cb-11f0-a279-00155d82e908</v>
      </c>
      <c r="AB691" s="21" t="s">
        <v>42</v>
      </c>
      <c r="AC691" s="21"/>
      <c r="AD691" s="21"/>
    </row>
    <row r="692" spans="2:30" s="1" customFormat="1" ht="96.3" customHeight="1" outlineLevel="7">
      <c r="B692" s="20">
        <v>483</v>
      </c>
      <c r="C692" s="21" t="s">
        <v>2333</v>
      </c>
      <c r="D692" s="72" t="s">
        <v>2334</v>
      </c>
      <c r="E692" s="72"/>
      <c r="F692" s="72"/>
      <c r="G692" s="72"/>
      <c r="H692" s="22" t="s">
        <v>2335</v>
      </c>
      <c r="I692" s="27">
        <v>115</v>
      </c>
      <c r="J692" s="22"/>
      <c r="K692" s="20">
        <v>2</v>
      </c>
      <c r="L692" s="24">
        <v>361.29</v>
      </c>
      <c r="M692" s="11"/>
      <c r="N692" s="22">
        <f t="shared" si="33"/>
        <v>0</v>
      </c>
      <c r="O692" s="25">
        <f>0.046*M692</f>
        <v>0</v>
      </c>
      <c r="P692" s="26">
        <f>0.00063*M692</f>
        <v>0</v>
      </c>
      <c r="Q692" s="30"/>
      <c r="R692" s="22" t="s">
        <v>2336</v>
      </c>
      <c r="S692" s="22" t="s">
        <v>435</v>
      </c>
      <c r="T692" s="21" t="str">
        <f>HYPERLINK("https://miland.ru/api/getInfo/image/4763927e-beb5-11ee-a25a-00155d82e908")</f>
        <v>https://miland.ru/api/getInfo/image/4763927e-beb5-11ee-a25a-00155d82e908</v>
      </c>
      <c r="U692" s="21"/>
      <c r="V692" s="21" t="s">
        <v>710</v>
      </c>
      <c r="W692" s="21" t="s">
        <v>82</v>
      </c>
      <c r="X692" s="21"/>
      <c r="Y692" s="21" t="s">
        <v>41</v>
      </c>
      <c r="Z692" s="21"/>
      <c r="AA692" s="21" t="str">
        <f>HYPERLINK("https://miland.ru/api/getInfo/item/4763927e-beb5-11ee-a25a-00155d82e908")</f>
        <v>https://miland.ru/api/getInfo/item/4763927e-beb5-11ee-a25a-00155d82e908</v>
      </c>
      <c r="AB692" s="21" t="s">
        <v>42</v>
      </c>
      <c r="AC692" s="21" t="s">
        <v>2337</v>
      </c>
      <c r="AD692" s="21"/>
    </row>
    <row r="693" spans="2:30" s="1" customFormat="1" ht="96.3" customHeight="1" outlineLevel="7">
      <c r="B693" s="20">
        <v>484</v>
      </c>
      <c r="C693" s="21" t="s">
        <v>2338</v>
      </c>
      <c r="D693" s="72" t="s">
        <v>2339</v>
      </c>
      <c r="E693" s="72"/>
      <c r="F693" s="72"/>
      <c r="G693" s="72"/>
      <c r="H693" s="22" t="s">
        <v>2340</v>
      </c>
      <c r="I693" s="27">
        <v>155</v>
      </c>
      <c r="J693" s="22"/>
      <c r="K693" s="20">
        <v>5</v>
      </c>
      <c r="L693" s="24">
        <v>132.9</v>
      </c>
      <c r="M693" s="11"/>
      <c r="N693" s="22">
        <f t="shared" si="33"/>
        <v>0</v>
      </c>
      <c r="O693" s="25">
        <f>0.027*M693</f>
        <v>0</v>
      </c>
      <c r="P693" s="26">
        <f>0.00023*M693</f>
        <v>0</v>
      </c>
      <c r="Q693" s="30"/>
      <c r="R693" s="22" t="s">
        <v>2341</v>
      </c>
      <c r="S693" s="22" t="s">
        <v>435</v>
      </c>
      <c r="T693" s="21" t="str">
        <f>HYPERLINK("https://miland.ru/api/getInfo/image/beba2db2-beb5-11ee-a25a-00155d82e908")</f>
        <v>https://miland.ru/api/getInfo/image/beba2db2-beb5-11ee-a25a-00155d82e908</v>
      </c>
      <c r="U693" s="21"/>
      <c r="V693" s="21" t="s">
        <v>710</v>
      </c>
      <c r="W693" s="21" t="s">
        <v>82</v>
      </c>
      <c r="X693" s="21"/>
      <c r="Y693" s="21" t="s">
        <v>41</v>
      </c>
      <c r="Z693" s="21"/>
      <c r="AA693" s="21" t="str">
        <f>HYPERLINK("https://miland.ru/api/getInfo/item/beba2db2-beb5-11ee-a25a-00155d82e908")</f>
        <v>https://miland.ru/api/getInfo/item/beba2db2-beb5-11ee-a25a-00155d82e908</v>
      </c>
      <c r="AB693" s="21" t="s">
        <v>42</v>
      </c>
      <c r="AC693" s="21" t="s">
        <v>2342</v>
      </c>
      <c r="AD693" s="21"/>
    </row>
    <row r="694" spans="2:30" s="1" customFormat="1" ht="96.3" customHeight="1" outlineLevel="7">
      <c r="B694" s="20">
        <v>485</v>
      </c>
      <c r="C694" s="21" t="s">
        <v>2343</v>
      </c>
      <c r="D694" s="72" t="s">
        <v>2344</v>
      </c>
      <c r="E694" s="72"/>
      <c r="F694" s="72"/>
      <c r="G694" s="72"/>
      <c r="H694" s="22" t="s">
        <v>2345</v>
      </c>
      <c r="I694" s="27">
        <v>29</v>
      </c>
      <c r="J694" s="22"/>
      <c r="K694" s="20">
        <v>6</v>
      </c>
      <c r="L694" s="24">
        <v>106.12</v>
      </c>
      <c r="M694" s="11"/>
      <c r="N694" s="22">
        <f t="shared" si="33"/>
        <v>0</v>
      </c>
      <c r="O694" s="25">
        <f>0.021*M694</f>
        <v>0</v>
      </c>
      <c r="P694" s="26">
        <f>0.00014*M694</f>
        <v>0</v>
      </c>
      <c r="Q694" s="30"/>
      <c r="R694" s="22" t="s">
        <v>2346</v>
      </c>
      <c r="S694" s="22" t="s">
        <v>435</v>
      </c>
      <c r="T694" s="21" t="str">
        <f>HYPERLINK("https://miland.ru/api/getInfo/image/4a3de8ff-9669-11ed-a22d-00155d82e902")</f>
        <v>https://miland.ru/api/getInfo/image/4a3de8ff-9669-11ed-a22d-00155d82e902</v>
      </c>
      <c r="U694" s="21"/>
      <c r="V694" s="21" t="s">
        <v>710</v>
      </c>
      <c r="W694" s="21" t="s">
        <v>82</v>
      </c>
      <c r="X694" s="21"/>
      <c r="Y694" s="21" t="s">
        <v>41</v>
      </c>
      <c r="Z694" s="21"/>
      <c r="AA694" s="21" t="str">
        <f>HYPERLINK("https://miland.ru/api/getInfo/item/4a3de8ff-9669-11ed-a22d-00155d82e902")</f>
        <v>https://miland.ru/api/getInfo/item/4a3de8ff-9669-11ed-a22d-00155d82e902</v>
      </c>
      <c r="AB694" s="21" t="s">
        <v>42</v>
      </c>
      <c r="AC694" s="21"/>
      <c r="AD694" s="21"/>
    </row>
    <row r="695" spans="2:30" s="1" customFormat="1" ht="96.3" customHeight="1" outlineLevel="7">
      <c r="B695" s="20">
        <v>486</v>
      </c>
      <c r="C695" s="21" t="s">
        <v>2347</v>
      </c>
      <c r="D695" s="72" t="s">
        <v>2348</v>
      </c>
      <c r="E695" s="72"/>
      <c r="F695" s="72"/>
      <c r="G695" s="72"/>
      <c r="H695" s="22" t="s">
        <v>2349</v>
      </c>
      <c r="I695" s="27">
        <v>86</v>
      </c>
      <c r="J695" s="22"/>
      <c r="K695" s="20">
        <v>3</v>
      </c>
      <c r="L695" s="24">
        <v>265.20999999999998</v>
      </c>
      <c r="M695" s="11"/>
      <c r="N695" s="22">
        <f t="shared" si="33"/>
        <v>0</v>
      </c>
      <c r="O695" s="25">
        <f>0.043*M695</f>
        <v>0</v>
      </c>
      <c r="P695" s="26">
        <f>0.00015*M695</f>
        <v>0</v>
      </c>
      <c r="Q695" s="30"/>
      <c r="R695" s="22" t="s">
        <v>2350</v>
      </c>
      <c r="S695" s="22" t="s">
        <v>435</v>
      </c>
      <c r="T695" s="21" t="str">
        <f>HYPERLINK("https://miland.ru/api/getInfo/image/90e181cf-beb6-11ee-a25a-00155d82e908")</f>
        <v>https://miland.ru/api/getInfo/image/90e181cf-beb6-11ee-a25a-00155d82e908</v>
      </c>
      <c r="U695" s="21"/>
      <c r="V695" s="21" t="s">
        <v>710</v>
      </c>
      <c r="W695" s="21" t="s">
        <v>82</v>
      </c>
      <c r="X695" s="21"/>
      <c r="Y695" s="21" t="s">
        <v>41</v>
      </c>
      <c r="Z695" s="21"/>
      <c r="AA695" s="21" t="str">
        <f>HYPERLINK("https://miland.ru/api/getInfo/item/90e181cf-beb6-11ee-a25a-00155d82e908")</f>
        <v>https://miland.ru/api/getInfo/item/90e181cf-beb6-11ee-a25a-00155d82e908</v>
      </c>
      <c r="AB695" s="21" t="s">
        <v>42</v>
      </c>
      <c r="AC695" s="21" t="s">
        <v>2351</v>
      </c>
      <c r="AD695" s="21"/>
    </row>
    <row r="696" spans="2:30" s="1" customFormat="1" ht="96.3" customHeight="1" outlineLevel="7">
      <c r="B696" s="20">
        <v>487</v>
      </c>
      <c r="C696" s="21" t="s">
        <v>2352</v>
      </c>
      <c r="D696" s="72" t="s">
        <v>2353</v>
      </c>
      <c r="E696" s="72"/>
      <c r="F696" s="72"/>
      <c r="G696" s="72"/>
      <c r="H696" s="22" t="s">
        <v>2354</v>
      </c>
      <c r="I696" s="23" t="s">
        <v>36</v>
      </c>
      <c r="J696" s="22"/>
      <c r="K696" s="20">
        <v>4</v>
      </c>
      <c r="L696" s="24">
        <v>179.36</v>
      </c>
      <c r="M696" s="11"/>
      <c r="N696" s="22">
        <f t="shared" si="33"/>
        <v>0</v>
      </c>
      <c r="O696" s="25">
        <f>0.044*M696</f>
        <v>0</v>
      </c>
      <c r="P696" s="26">
        <f>0.00069*M696</f>
        <v>0</v>
      </c>
      <c r="Q696" s="30"/>
      <c r="R696" s="22" t="s">
        <v>2355</v>
      </c>
      <c r="S696" s="22"/>
      <c r="T696" s="21" t="str">
        <f>HYPERLINK("https://miland.ru/api/getInfo/image/d3d63510-dcae-11ef-a273-00155d82e908")</f>
        <v>https://miland.ru/api/getInfo/image/d3d63510-dcae-11ef-a273-00155d82e908</v>
      </c>
      <c r="U696" s="21"/>
      <c r="V696" s="21" t="s">
        <v>710</v>
      </c>
      <c r="W696" s="21" t="s">
        <v>82</v>
      </c>
      <c r="X696" s="21"/>
      <c r="Y696" s="21" t="s">
        <v>41</v>
      </c>
      <c r="Z696" s="21"/>
      <c r="AA696" s="21" t="str">
        <f>HYPERLINK("https://miland.ru/api/getInfo/item/d3d63510-dcae-11ef-a273-00155d82e908")</f>
        <v>https://miland.ru/api/getInfo/item/d3d63510-dcae-11ef-a273-00155d82e908</v>
      </c>
      <c r="AB696" s="21" t="s">
        <v>42</v>
      </c>
      <c r="AC696" s="21"/>
      <c r="AD696" s="21"/>
    </row>
    <row r="697" spans="2:30" s="1" customFormat="1" ht="96.3" customHeight="1" outlineLevel="7">
      <c r="B697" s="20">
        <v>488</v>
      </c>
      <c r="C697" s="21" t="s">
        <v>2356</v>
      </c>
      <c r="D697" s="72" t="s">
        <v>2357</v>
      </c>
      <c r="E697" s="72"/>
      <c r="F697" s="72"/>
      <c r="G697" s="72"/>
      <c r="H697" s="22" t="s">
        <v>2358</v>
      </c>
      <c r="I697" s="23" t="s">
        <v>36</v>
      </c>
      <c r="J697" s="22"/>
      <c r="K697" s="20">
        <v>2</v>
      </c>
      <c r="L697" s="24">
        <v>277.54000000000002</v>
      </c>
      <c r="M697" s="11"/>
      <c r="N697" s="22">
        <f t="shared" si="33"/>
        <v>0</v>
      </c>
      <c r="O697" s="25">
        <f>0.054*M697</f>
        <v>0</v>
      </c>
      <c r="P697" s="26">
        <f>0.00068*M697</f>
        <v>0</v>
      </c>
      <c r="Q697" s="30"/>
      <c r="R697" s="22" t="s">
        <v>2359</v>
      </c>
      <c r="S697" s="22" t="s">
        <v>435</v>
      </c>
      <c r="T697" s="21" t="str">
        <f>HYPERLINK("https://miland.ru/api/getInfo/image/de47c82c-beb5-11ee-a25a-00155d82e908")</f>
        <v>https://miland.ru/api/getInfo/image/de47c82c-beb5-11ee-a25a-00155d82e908</v>
      </c>
      <c r="U697" s="21"/>
      <c r="V697" s="21" t="s">
        <v>710</v>
      </c>
      <c r="W697" s="21" t="s">
        <v>82</v>
      </c>
      <c r="X697" s="21"/>
      <c r="Y697" s="21" t="s">
        <v>41</v>
      </c>
      <c r="Z697" s="21"/>
      <c r="AA697" s="21" t="str">
        <f>HYPERLINK("https://miland.ru/api/getInfo/item/de47c82c-beb5-11ee-a25a-00155d82e908")</f>
        <v>https://miland.ru/api/getInfo/item/de47c82c-beb5-11ee-a25a-00155d82e908</v>
      </c>
      <c r="AB697" s="21" t="s">
        <v>42</v>
      </c>
      <c r="AC697" s="21" t="s">
        <v>2360</v>
      </c>
      <c r="AD697" s="21"/>
    </row>
    <row r="698" spans="2:30" s="1" customFormat="1" ht="96.3" customHeight="1" outlineLevel="7">
      <c r="B698" s="20">
        <v>489</v>
      </c>
      <c r="C698" s="21" t="s">
        <v>2361</v>
      </c>
      <c r="D698" s="72" t="s">
        <v>2362</v>
      </c>
      <c r="E698" s="72"/>
      <c r="F698" s="72"/>
      <c r="G698" s="72"/>
      <c r="H698" s="22" t="s">
        <v>2363</v>
      </c>
      <c r="I698" s="27">
        <v>27</v>
      </c>
      <c r="J698" s="22"/>
      <c r="K698" s="20">
        <v>3</v>
      </c>
      <c r="L698" s="24">
        <v>265.20999999999998</v>
      </c>
      <c r="M698" s="11"/>
      <c r="N698" s="22">
        <f t="shared" si="33"/>
        <v>0</v>
      </c>
      <c r="O698" s="25">
        <f>0.031*M698</f>
        <v>0</v>
      </c>
      <c r="P698" s="26">
        <f>0.00015*M698</f>
        <v>0</v>
      </c>
      <c r="Q698" s="30"/>
      <c r="R698" s="22" t="s">
        <v>2364</v>
      </c>
      <c r="S698" s="22" t="s">
        <v>435</v>
      </c>
      <c r="T698" s="21" t="str">
        <f>HYPERLINK("https://miland.ru/api/getInfo/image/8a832374-966b-11ed-a22d-00155d82e902")</f>
        <v>https://miland.ru/api/getInfo/image/8a832374-966b-11ed-a22d-00155d82e902</v>
      </c>
      <c r="U698" s="21"/>
      <c r="V698" s="21" t="s">
        <v>710</v>
      </c>
      <c r="W698" s="21" t="s">
        <v>82</v>
      </c>
      <c r="X698" s="21"/>
      <c r="Y698" s="21" t="s">
        <v>41</v>
      </c>
      <c r="Z698" s="21"/>
      <c r="AA698" s="21" t="str">
        <f>HYPERLINK("https://miland.ru/api/getInfo/item/8a832374-966b-11ed-a22d-00155d82e902")</f>
        <v>https://miland.ru/api/getInfo/item/8a832374-966b-11ed-a22d-00155d82e902</v>
      </c>
      <c r="AB698" s="21" t="s">
        <v>42</v>
      </c>
      <c r="AC698" s="21"/>
      <c r="AD698" s="21"/>
    </row>
    <row r="699" spans="2:30" s="1" customFormat="1" ht="96.3" customHeight="1" outlineLevel="7">
      <c r="B699" s="20">
        <v>490</v>
      </c>
      <c r="C699" s="21" t="s">
        <v>2365</v>
      </c>
      <c r="D699" s="72" t="s">
        <v>2366</v>
      </c>
      <c r="E699" s="72"/>
      <c r="F699" s="72"/>
      <c r="G699" s="72"/>
      <c r="H699" s="22" t="s">
        <v>2367</v>
      </c>
      <c r="I699" s="23" t="s">
        <v>36</v>
      </c>
      <c r="J699" s="22"/>
      <c r="K699" s="20">
        <v>5</v>
      </c>
      <c r="L699" s="24">
        <v>125.33</v>
      </c>
      <c r="M699" s="11"/>
      <c r="N699" s="22">
        <f t="shared" si="33"/>
        <v>0</v>
      </c>
      <c r="O699" s="25">
        <f>0.013*M699</f>
        <v>0</v>
      </c>
      <c r="P699" s="26">
        <f>0.00011*M699</f>
        <v>0</v>
      </c>
      <c r="Q699" s="30"/>
      <c r="R699" s="22" t="s">
        <v>2368</v>
      </c>
      <c r="S699" s="22"/>
      <c r="T699" s="21" t="str">
        <f>HYPERLINK("https://miland.ru/api/getInfo/image/aaf77cbe-e2c0-11ee-a25a-00155d82e908")</f>
        <v>https://miland.ru/api/getInfo/image/aaf77cbe-e2c0-11ee-a25a-00155d82e908</v>
      </c>
      <c r="U699" s="21"/>
      <c r="V699" s="21" t="s">
        <v>710</v>
      </c>
      <c r="W699" s="21" t="s">
        <v>82</v>
      </c>
      <c r="X699" s="21"/>
      <c r="Y699" s="21" t="s">
        <v>41</v>
      </c>
      <c r="Z699" s="21"/>
      <c r="AA699" s="21" t="str">
        <f>HYPERLINK("https://miland.ru/api/getInfo/item/aaf77cbe-e2c0-11ee-a25a-00155d82e908")</f>
        <v>https://miland.ru/api/getInfo/item/aaf77cbe-e2c0-11ee-a25a-00155d82e908</v>
      </c>
      <c r="AB699" s="21" t="s">
        <v>42</v>
      </c>
      <c r="AC699" s="21" t="s">
        <v>2369</v>
      </c>
      <c r="AD699" s="21"/>
    </row>
    <row r="700" spans="2:30" s="1" customFormat="1" ht="96.3" customHeight="1" outlineLevel="7">
      <c r="B700" s="20">
        <v>491</v>
      </c>
      <c r="C700" s="21" t="s">
        <v>2370</v>
      </c>
      <c r="D700" s="72" t="s">
        <v>2371</v>
      </c>
      <c r="E700" s="72"/>
      <c r="F700" s="72"/>
      <c r="G700" s="72"/>
      <c r="H700" s="22" t="s">
        <v>2372</v>
      </c>
      <c r="I700" s="27">
        <v>97</v>
      </c>
      <c r="J700" s="22"/>
      <c r="K700" s="20">
        <v>3</v>
      </c>
      <c r="L700" s="24">
        <v>184.6</v>
      </c>
      <c r="M700" s="11"/>
      <c r="N700" s="22">
        <f t="shared" si="33"/>
        <v>0</v>
      </c>
      <c r="O700" s="25">
        <f>0.028*M700</f>
        <v>0</v>
      </c>
      <c r="P700" s="26">
        <f>0.00008*M700</f>
        <v>0</v>
      </c>
      <c r="Q700" s="30"/>
      <c r="R700" s="22" t="s">
        <v>2373</v>
      </c>
      <c r="S700" s="22" t="s">
        <v>435</v>
      </c>
      <c r="T700" s="21" t="str">
        <f>HYPERLINK("https://miland.ru/api/getInfo/image/c55063d9-e2c0-11ee-a25a-00155d82e908")</f>
        <v>https://miland.ru/api/getInfo/image/c55063d9-e2c0-11ee-a25a-00155d82e908</v>
      </c>
      <c r="U700" s="21"/>
      <c r="V700" s="21" t="s">
        <v>710</v>
      </c>
      <c r="W700" s="21" t="s">
        <v>82</v>
      </c>
      <c r="X700" s="21"/>
      <c r="Y700" s="21" t="s">
        <v>41</v>
      </c>
      <c r="Z700" s="21"/>
      <c r="AA700" s="21" t="str">
        <f>HYPERLINK("https://miland.ru/api/getInfo/item/c55063d9-e2c0-11ee-a25a-00155d82e908")</f>
        <v>https://miland.ru/api/getInfo/item/c55063d9-e2c0-11ee-a25a-00155d82e908</v>
      </c>
      <c r="AB700" s="21" t="s">
        <v>42</v>
      </c>
      <c r="AC700" s="21" t="s">
        <v>2374</v>
      </c>
      <c r="AD700" s="21"/>
    </row>
    <row r="701" spans="2:30" s="1" customFormat="1" ht="96.3" customHeight="1" outlineLevel="7">
      <c r="B701" s="20">
        <v>492</v>
      </c>
      <c r="C701" s="21" t="s">
        <v>2375</v>
      </c>
      <c r="D701" s="72" t="s">
        <v>2376</v>
      </c>
      <c r="E701" s="72"/>
      <c r="F701" s="72"/>
      <c r="G701" s="72"/>
      <c r="H701" s="22" t="s">
        <v>2377</v>
      </c>
      <c r="I701" s="27">
        <v>34</v>
      </c>
      <c r="J701" s="22"/>
      <c r="K701" s="20">
        <v>5</v>
      </c>
      <c r="L701" s="24">
        <v>123</v>
      </c>
      <c r="M701" s="11"/>
      <c r="N701" s="22">
        <f t="shared" si="33"/>
        <v>0</v>
      </c>
      <c r="O701" s="28">
        <f>0.01*M701</f>
        <v>0</v>
      </c>
      <c r="P701" s="26">
        <f>0.00008*M701</f>
        <v>0</v>
      </c>
      <c r="Q701" s="30"/>
      <c r="R701" s="22" t="s">
        <v>2378</v>
      </c>
      <c r="S701" s="22" t="s">
        <v>435</v>
      </c>
      <c r="T701" s="21" t="str">
        <f>HYPERLINK("https://miland.ru/api/getInfo/image/4aa15025-e2c0-11ee-a25a-00155d82e908")</f>
        <v>https://miland.ru/api/getInfo/image/4aa15025-e2c0-11ee-a25a-00155d82e908</v>
      </c>
      <c r="U701" s="21"/>
      <c r="V701" s="21" t="s">
        <v>710</v>
      </c>
      <c r="W701" s="21" t="s">
        <v>82</v>
      </c>
      <c r="X701" s="21"/>
      <c r="Y701" s="21" t="s">
        <v>41</v>
      </c>
      <c r="Z701" s="21"/>
      <c r="AA701" s="21" t="str">
        <f>HYPERLINK("https://miland.ru/api/getInfo/item/4aa15025-e2c0-11ee-a25a-00155d82e908")</f>
        <v>https://miland.ru/api/getInfo/item/4aa15025-e2c0-11ee-a25a-00155d82e908</v>
      </c>
      <c r="AB701" s="21" t="s">
        <v>42</v>
      </c>
      <c r="AC701" s="21" t="s">
        <v>2379</v>
      </c>
      <c r="AD701" s="21"/>
    </row>
    <row r="702" spans="2:30" s="1" customFormat="1" ht="96.3" customHeight="1" outlineLevel="7">
      <c r="B702" s="20">
        <v>493</v>
      </c>
      <c r="C702" s="21" t="s">
        <v>2380</v>
      </c>
      <c r="D702" s="72" t="s">
        <v>2381</v>
      </c>
      <c r="E702" s="72"/>
      <c r="F702" s="72"/>
      <c r="G702" s="72"/>
      <c r="H702" s="22" t="s">
        <v>2382</v>
      </c>
      <c r="I702" s="23" t="s">
        <v>36</v>
      </c>
      <c r="J702" s="22"/>
      <c r="K702" s="20">
        <v>5</v>
      </c>
      <c r="L702" s="24">
        <v>160.80000000000001</v>
      </c>
      <c r="M702" s="11"/>
      <c r="N702" s="22">
        <f t="shared" si="33"/>
        <v>0</v>
      </c>
      <c r="O702" s="25">
        <f>0.017*M702</f>
        <v>0</v>
      </c>
      <c r="P702" s="26">
        <f>0.00009*M702</f>
        <v>0</v>
      </c>
      <c r="Q702" s="30"/>
      <c r="R702" s="22" t="s">
        <v>2383</v>
      </c>
      <c r="S702" s="22"/>
      <c r="T702" s="21" t="str">
        <f>HYPERLINK("https://miland.ru/api/getInfo/image/e9a9641f-966a-11ed-a22d-00155d82e902")</f>
        <v>https://miland.ru/api/getInfo/image/e9a9641f-966a-11ed-a22d-00155d82e902</v>
      </c>
      <c r="U702" s="21"/>
      <c r="V702" s="21" t="s">
        <v>710</v>
      </c>
      <c r="W702" s="21" t="s">
        <v>82</v>
      </c>
      <c r="X702" s="21"/>
      <c r="Y702" s="21" t="s">
        <v>41</v>
      </c>
      <c r="Z702" s="21"/>
      <c r="AA702" s="21" t="str">
        <f>HYPERLINK("https://miland.ru/api/getInfo/item/e9a9641f-966a-11ed-a22d-00155d82e902")</f>
        <v>https://miland.ru/api/getInfo/item/e9a9641f-966a-11ed-a22d-00155d82e902</v>
      </c>
      <c r="AB702" s="21" t="s">
        <v>42</v>
      </c>
      <c r="AC702" s="21"/>
      <c r="AD702" s="21"/>
    </row>
    <row r="703" spans="2:30" s="1" customFormat="1" ht="96.3" customHeight="1" outlineLevel="7">
      <c r="B703" s="20">
        <v>494</v>
      </c>
      <c r="C703" s="21" t="s">
        <v>2384</v>
      </c>
      <c r="D703" s="72" t="s">
        <v>2385</v>
      </c>
      <c r="E703" s="72"/>
      <c r="F703" s="72"/>
      <c r="G703" s="72"/>
      <c r="H703" s="22" t="s">
        <v>2386</v>
      </c>
      <c r="I703" s="23" t="s">
        <v>36</v>
      </c>
      <c r="J703" s="22"/>
      <c r="K703" s="20">
        <v>6</v>
      </c>
      <c r="L703" s="24">
        <v>146.80000000000001</v>
      </c>
      <c r="M703" s="11"/>
      <c r="N703" s="22">
        <f t="shared" si="33"/>
        <v>0</v>
      </c>
      <c r="O703" s="25">
        <f>0.019*M703</f>
        <v>0</v>
      </c>
      <c r="P703" s="26">
        <f>0.00021*M703</f>
        <v>0</v>
      </c>
      <c r="Q703" s="30"/>
      <c r="R703" s="22" t="s">
        <v>2387</v>
      </c>
      <c r="S703" s="22"/>
      <c r="T703" s="21" t="str">
        <f>HYPERLINK("https://miland.ru/api/getInfo/image/24774637-966b-11ed-a22d-00155d82e902")</f>
        <v>https://miland.ru/api/getInfo/image/24774637-966b-11ed-a22d-00155d82e902</v>
      </c>
      <c r="U703" s="21"/>
      <c r="V703" s="21" t="s">
        <v>710</v>
      </c>
      <c r="W703" s="21" t="s">
        <v>82</v>
      </c>
      <c r="X703" s="21"/>
      <c r="Y703" s="21" t="s">
        <v>41</v>
      </c>
      <c r="Z703" s="21"/>
      <c r="AA703" s="21" t="str">
        <f>HYPERLINK("https://miland.ru/api/getInfo/item/24774637-966b-11ed-a22d-00155d82e902")</f>
        <v>https://miland.ru/api/getInfo/item/24774637-966b-11ed-a22d-00155d82e902</v>
      </c>
      <c r="AB703" s="21" t="s">
        <v>42</v>
      </c>
      <c r="AC703" s="21"/>
      <c r="AD703" s="21"/>
    </row>
    <row r="704" spans="2:30" s="1" customFormat="1" ht="96.3" customHeight="1" outlineLevel="7">
      <c r="B704" s="20">
        <v>495</v>
      </c>
      <c r="C704" s="21" t="s">
        <v>2388</v>
      </c>
      <c r="D704" s="72" t="s">
        <v>2389</v>
      </c>
      <c r="E704" s="72"/>
      <c r="F704" s="72"/>
      <c r="G704" s="72"/>
      <c r="H704" s="22" t="s">
        <v>2390</v>
      </c>
      <c r="I704" s="23" t="s">
        <v>36</v>
      </c>
      <c r="J704" s="22"/>
      <c r="K704" s="20">
        <v>7</v>
      </c>
      <c r="L704" s="24">
        <v>82.39</v>
      </c>
      <c r="M704" s="11"/>
      <c r="N704" s="22">
        <f t="shared" si="33"/>
        <v>0</v>
      </c>
      <c r="O704" s="25">
        <f>0.014*M704</f>
        <v>0</v>
      </c>
      <c r="P704" s="26">
        <f>0.00019*M704</f>
        <v>0</v>
      </c>
      <c r="Q704" s="30"/>
      <c r="R704" s="22" t="s">
        <v>2391</v>
      </c>
      <c r="S704" s="22"/>
      <c r="T704" s="21" t="str">
        <f>HYPERLINK("https://miland.ru/api/getInfo/image/64f85b5c-966b-11ed-a22d-00155d82e902")</f>
        <v>https://miland.ru/api/getInfo/image/64f85b5c-966b-11ed-a22d-00155d82e902</v>
      </c>
      <c r="U704" s="21"/>
      <c r="V704" s="21" t="s">
        <v>710</v>
      </c>
      <c r="W704" s="21" t="s">
        <v>82</v>
      </c>
      <c r="X704" s="21"/>
      <c r="Y704" s="21" t="s">
        <v>41</v>
      </c>
      <c r="Z704" s="21"/>
      <c r="AA704" s="21" t="str">
        <f>HYPERLINK("https://miland.ru/api/getInfo/item/64f85b5c-966b-11ed-a22d-00155d82e902")</f>
        <v>https://miland.ru/api/getInfo/item/64f85b5c-966b-11ed-a22d-00155d82e902</v>
      </c>
      <c r="AB704" s="21" t="s">
        <v>42</v>
      </c>
      <c r="AC704" s="21"/>
      <c r="AD704" s="21"/>
    </row>
    <row r="705" spans="2:31" s="1" customFormat="1" ht="96.3" customHeight="1" outlineLevel="7">
      <c r="B705" s="20">
        <v>496</v>
      </c>
      <c r="C705" s="21" t="s">
        <v>2392</v>
      </c>
      <c r="D705" s="72" t="s">
        <v>2393</v>
      </c>
      <c r="E705" s="72"/>
      <c r="F705" s="72"/>
      <c r="G705" s="72"/>
      <c r="H705" s="22" t="s">
        <v>2394</v>
      </c>
      <c r="I705" s="27">
        <v>237</v>
      </c>
      <c r="J705" s="22"/>
      <c r="K705" s="20">
        <v>2</v>
      </c>
      <c r="L705" s="24">
        <v>312.31</v>
      </c>
      <c r="M705" s="11"/>
      <c r="N705" s="22">
        <f t="shared" si="33"/>
        <v>0</v>
      </c>
      <c r="O705" s="25">
        <f>0.067*M705</f>
        <v>0</v>
      </c>
      <c r="P705" s="29">
        <f>0.0003*M705</f>
        <v>0</v>
      </c>
      <c r="Q705" s="30"/>
      <c r="R705" s="22" t="s">
        <v>2395</v>
      </c>
      <c r="S705" s="22" t="s">
        <v>435</v>
      </c>
      <c r="T705" s="21" t="str">
        <f>HYPERLINK("https://miland.ru/api/getInfo/image/4990d360-f02b-11ee-a25b-00155d82e908")</f>
        <v>https://miland.ru/api/getInfo/image/4990d360-f02b-11ee-a25b-00155d82e908</v>
      </c>
      <c r="U705" s="21"/>
      <c r="V705" s="21" t="s">
        <v>710</v>
      </c>
      <c r="W705" s="21" t="s">
        <v>82</v>
      </c>
      <c r="X705" s="21"/>
      <c r="Y705" s="21" t="s">
        <v>41</v>
      </c>
      <c r="Z705" s="21"/>
      <c r="AA705" s="21" t="str">
        <f>HYPERLINK("https://miland.ru/api/getInfo/item/4990d360-f02b-11ee-a25b-00155d82e908")</f>
        <v>https://miland.ru/api/getInfo/item/4990d360-f02b-11ee-a25b-00155d82e908</v>
      </c>
      <c r="AB705" s="21" t="s">
        <v>42</v>
      </c>
      <c r="AC705" s="21" t="s">
        <v>2396</v>
      </c>
      <c r="AD705" s="21"/>
    </row>
    <row r="706" spans="2:31" s="1" customFormat="1" ht="96.3" customHeight="1" outlineLevel="7">
      <c r="B706" s="34">
        <v>497</v>
      </c>
      <c r="C706" s="35" t="s">
        <v>2397</v>
      </c>
      <c r="D706" s="73" t="s">
        <v>2398</v>
      </c>
      <c r="E706" s="73"/>
      <c r="F706" s="73"/>
      <c r="G706" s="73"/>
      <c r="H706" s="36" t="s">
        <v>2399</v>
      </c>
      <c r="I706" s="40">
        <v>202</v>
      </c>
      <c r="J706" s="36"/>
      <c r="K706" s="34">
        <v>1</v>
      </c>
      <c r="L706" s="41">
        <v>59.933333333333337</v>
      </c>
      <c r="M706" s="11"/>
      <c r="N706" s="36">
        <f t="shared" si="33"/>
        <v>0</v>
      </c>
      <c r="O706" s="47">
        <f>0.01*M706</f>
        <v>0</v>
      </c>
      <c r="P706" s="43">
        <f>0.00003*M706</f>
        <v>0</v>
      </c>
      <c r="Q706" s="50"/>
      <c r="R706" s="36" t="s">
        <v>2400</v>
      </c>
      <c r="S706" s="36" t="s">
        <v>435</v>
      </c>
      <c r="T706" s="35" t="str">
        <f>HYPERLINK("https://miland.ru/api/getInfo/image/daf67231-4a2a-11e9-a221-ac1f6b442184")</f>
        <v>https://miland.ru/api/getInfo/image/daf67231-4a2a-11e9-a221-ac1f6b442184</v>
      </c>
      <c r="U706" s="35"/>
      <c r="V706" s="35" t="s">
        <v>710</v>
      </c>
      <c r="W706" s="35" t="s">
        <v>82</v>
      </c>
      <c r="X706" s="35"/>
      <c r="Y706" s="35" t="s">
        <v>41</v>
      </c>
      <c r="Z706" s="35"/>
      <c r="AA706" s="35" t="str">
        <f>HYPERLINK("https://miland.ru/api/getInfo/item/daf67231-4a2a-11e9-a221-ac1f6b442184")</f>
        <v>https://miland.ru/api/getInfo/item/daf67231-4a2a-11e9-a221-ac1f6b442184</v>
      </c>
      <c r="AB706" s="35" t="s">
        <v>42</v>
      </c>
      <c r="AC706" s="35"/>
      <c r="AD706" s="35"/>
      <c r="AE706" s="52" t="s">
        <v>1251</v>
      </c>
    </row>
    <row r="707" spans="2:31" s="1" customFormat="1" ht="96.3" customHeight="1" outlineLevel="7">
      <c r="B707" s="37">
        <v>498</v>
      </c>
      <c r="C707" s="38" t="s">
        <v>2401</v>
      </c>
      <c r="D707" s="74" t="s">
        <v>2402</v>
      </c>
      <c r="E707" s="74"/>
      <c r="F707" s="74"/>
      <c r="G707" s="74"/>
      <c r="H707" s="39" t="s">
        <v>2403</v>
      </c>
      <c r="I707" s="44">
        <v>11</v>
      </c>
      <c r="J707" s="39"/>
      <c r="K707" s="37">
        <v>2</v>
      </c>
      <c r="L707" s="41">
        <v>27.973333333333333</v>
      </c>
      <c r="M707" s="11"/>
      <c r="N707" s="39">
        <f t="shared" si="33"/>
        <v>0</v>
      </c>
      <c r="O707" s="48">
        <f>0.015*M707</f>
        <v>0</v>
      </c>
      <c r="P707" s="46">
        <f>0.00051*M707</f>
        <v>0</v>
      </c>
      <c r="Q707" s="51"/>
      <c r="R707" s="39" t="s">
        <v>2404</v>
      </c>
      <c r="S707" s="39" t="s">
        <v>435</v>
      </c>
      <c r="T707" s="38" t="str">
        <f>HYPERLINK("https://miland.ru/api/getInfo/image/23b1846d-87b5-11eb-a277-ac1f6b442184")</f>
        <v>https://miland.ru/api/getInfo/image/23b1846d-87b5-11eb-a277-ac1f6b442184</v>
      </c>
      <c r="U707" s="38"/>
      <c r="V707" s="38" t="s">
        <v>710</v>
      </c>
      <c r="W707" s="38" t="s">
        <v>82</v>
      </c>
      <c r="X707" s="38"/>
      <c r="Y707" s="38" t="s">
        <v>41</v>
      </c>
      <c r="Z707" s="38"/>
      <c r="AA707" s="38" t="str">
        <f>HYPERLINK("https://miland.ru/api/getInfo/item/23b1846d-87b5-11eb-a277-ac1f6b442184")</f>
        <v>https://miland.ru/api/getInfo/item/23b1846d-87b5-11eb-a277-ac1f6b442184</v>
      </c>
      <c r="AB707" s="38" t="s">
        <v>42</v>
      </c>
      <c r="AC707" s="38" t="s">
        <v>2405</v>
      </c>
      <c r="AD707" s="38"/>
      <c r="AE707" s="53" t="s">
        <v>1306</v>
      </c>
    </row>
    <row r="708" spans="2:31" s="1" customFormat="1" ht="96.3" customHeight="1" outlineLevel="7">
      <c r="B708" s="20">
        <v>499</v>
      </c>
      <c r="C708" s="21" t="s">
        <v>2406</v>
      </c>
      <c r="D708" s="72" t="s">
        <v>2407</v>
      </c>
      <c r="E708" s="72"/>
      <c r="F708" s="72"/>
      <c r="G708" s="72"/>
      <c r="H708" s="22" t="s">
        <v>2408</v>
      </c>
      <c r="I708" s="27">
        <v>18</v>
      </c>
      <c r="J708" s="22"/>
      <c r="K708" s="20">
        <v>10</v>
      </c>
      <c r="L708" s="24">
        <v>70.209999999999994</v>
      </c>
      <c r="M708" s="11"/>
      <c r="N708" s="22">
        <f t="shared" si="33"/>
        <v>0</v>
      </c>
      <c r="O708" s="25">
        <f>0.015*M708</f>
        <v>0</v>
      </c>
      <c r="P708" s="26">
        <f>0.00051*M708</f>
        <v>0</v>
      </c>
      <c r="Q708" s="30"/>
      <c r="R708" s="22" t="s">
        <v>2409</v>
      </c>
      <c r="S708" s="22" t="s">
        <v>435</v>
      </c>
      <c r="T708" s="21" t="str">
        <f>HYPERLINK("https://miland.ru/api/getInfo/image/6f069edd-a55c-11ee-a258-00155d82e908")</f>
        <v>https://miland.ru/api/getInfo/image/6f069edd-a55c-11ee-a258-00155d82e908</v>
      </c>
      <c r="U708" s="21"/>
      <c r="V708" s="21" t="s">
        <v>710</v>
      </c>
      <c r="W708" s="21" t="s">
        <v>82</v>
      </c>
      <c r="X708" s="21"/>
      <c r="Y708" s="21" t="s">
        <v>41</v>
      </c>
      <c r="Z708" s="21"/>
      <c r="AA708" s="21" t="str">
        <f>HYPERLINK("https://miland.ru/api/getInfo/item/6f069edd-a55c-11ee-a258-00155d82e908")</f>
        <v>https://miland.ru/api/getInfo/item/6f069edd-a55c-11ee-a258-00155d82e908</v>
      </c>
      <c r="AB708" s="21" t="s">
        <v>42</v>
      </c>
      <c r="AC708" s="21" t="s">
        <v>2405</v>
      </c>
      <c r="AD708" s="21" t="s">
        <v>2404</v>
      </c>
    </row>
    <row r="709" spans="2:31" s="1" customFormat="1" ht="96.3" customHeight="1" outlineLevel="7">
      <c r="B709" s="20">
        <v>500</v>
      </c>
      <c r="C709" s="21" t="s">
        <v>2410</v>
      </c>
      <c r="D709" s="72" t="s">
        <v>2411</v>
      </c>
      <c r="E709" s="72"/>
      <c r="F709" s="72"/>
      <c r="G709" s="72"/>
      <c r="H709" s="22" t="s">
        <v>2412</v>
      </c>
      <c r="I709" s="23" t="s">
        <v>36</v>
      </c>
      <c r="J709" s="22"/>
      <c r="K709" s="20">
        <v>3</v>
      </c>
      <c r="L709" s="24">
        <v>216.83</v>
      </c>
      <c r="M709" s="11"/>
      <c r="N709" s="22">
        <f t="shared" si="33"/>
        <v>0</v>
      </c>
      <c r="O709" s="25">
        <f>0.036*M709</f>
        <v>0</v>
      </c>
      <c r="P709" s="26">
        <f>0.00001*M709</f>
        <v>0</v>
      </c>
      <c r="Q709" s="30"/>
      <c r="R709" s="22" t="s">
        <v>2413</v>
      </c>
      <c r="S709" s="22" t="s">
        <v>435</v>
      </c>
      <c r="T709" s="21" t="str">
        <f>HYPERLINK("https://miland.ru/api/getInfo/image/dcec578f-e2c0-11ee-a25a-00155d82e908")</f>
        <v>https://miland.ru/api/getInfo/image/dcec578f-e2c0-11ee-a25a-00155d82e908</v>
      </c>
      <c r="U709" s="21"/>
      <c r="V709" s="21" t="s">
        <v>710</v>
      </c>
      <c r="W709" s="21" t="s">
        <v>82</v>
      </c>
      <c r="X709" s="21"/>
      <c r="Y709" s="21" t="s">
        <v>41</v>
      </c>
      <c r="Z709" s="21"/>
      <c r="AA709" s="21" t="str">
        <f>HYPERLINK("https://miland.ru/api/getInfo/item/dcec578f-e2c0-11ee-a25a-00155d82e908")</f>
        <v>https://miland.ru/api/getInfo/item/dcec578f-e2c0-11ee-a25a-00155d82e908</v>
      </c>
      <c r="AB709" s="21" t="s">
        <v>42</v>
      </c>
      <c r="AC709" s="21" t="s">
        <v>2414</v>
      </c>
      <c r="AD709" s="21"/>
    </row>
    <row r="710" spans="2:31" ht="12" customHeight="1" outlineLevel="5">
      <c r="B710" s="70" t="s">
        <v>2415</v>
      </c>
      <c r="C710" s="70"/>
      <c r="D710" s="70"/>
      <c r="E710" s="70"/>
      <c r="F710" s="70"/>
      <c r="G710" s="70"/>
    </row>
    <row r="711" spans="2:31" ht="12" customHeight="1" outlineLevel="6">
      <c r="B711" s="70" t="s">
        <v>2416</v>
      </c>
      <c r="C711" s="70"/>
      <c r="D711" s="70"/>
      <c r="E711" s="70"/>
      <c r="F711" s="70"/>
      <c r="G711" s="70"/>
    </row>
    <row r="712" spans="2:31" ht="12" customHeight="1" outlineLevel="7">
      <c r="B712" s="70" t="s">
        <v>2417</v>
      </c>
      <c r="C712" s="70"/>
      <c r="D712" s="70"/>
      <c r="E712" s="70"/>
      <c r="F712" s="70"/>
      <c r="G712" s="70"/>
    </row>
    <row r="713" spans="2:31" s="1" customFormat="1" ht="96.3" customHeight="1" outlineLevel="7">
      <c r="B713" s="20">
        <v>501</v>
      </c>
      <c r="C713" s="21" t="s">
        <v>2418</v>
      </c>
      <c r="D713" s="72" t="s">
        <v>2419</v>
      </c>
      <c r="E713" s="72"/>
      <c r="F713" s="72"/>
      <c r="G713" s="72"/>
      <c r="H713" s="22" t="s">
        <v>2420</v>
      </c>
      <c r="I713" s="27">
        <v>345</v>
      </c>
      <c r="J713" s="22"/>
      <c r="K713" s="20">
        <v>2</v>
      </c>
      <c r="L713" s="24">
        <v>358.4</v>
      </c>
      <c r="M713" s="11"/>
      <c r="N713" s="22">
        <f>L713*M713</f>
        <v>0</v>
      </c>
      <c r="O713" s="25">
        <f>0.017*M713</f>
        <v>0</v>
      </c>
      <c r="P713" s="26">
        <f>0.00038*M713</f>
        <v>0</v>
      </c>
      <c r="Q713" s="30"/>
      <c r="R713" s="22" t="s">
        <v>2421</v>
      </c>
      <c r="S713" s="22" t="s">
        <v>435</v>
      </c>
      <c r="T713" s="21" t="str">
        <f>HYPERLINK("https://miland.ru/api/getInfo/image/39c474f8-bf7c-11ee-a25a-00155d82e908")</f>
        <v>https://miland.ru/api/getInfo/image/39c474f8-bf7c-11ee-a25a-00155d82e908</v>
      </c>
      <c r="U713" s="21"/>
      <c r="V713" s="21" t="s">
        <v>710</v>
      </c>
      <c r="W713" s="21" t="s">
        <v>82</v>
      </c>
      <c r="X713" s="21"/>
      <c r="Y713" s="21" t="s">
        <v>41</v>
      </c>
      <c r="Z713" s="21"/>
      <c r="AA713" s="21" t="str">
        <f>HYPERLINK("https://miland.ru/api/getInfo/item/39c474f8-bf7c-11ee-a25a-00155d82e908")</f>
        <v>https://miland.ru/api/getInfo/item/39c474f8-bf7c-11ee-a25a-00155d82e908</v>
      </c>
      <c r="AB713" s="21" t="s">
        <v>42</v>
      </c>
      <c r="AC713" s="21" t="s">
        <v>2422</v>
      </c>
      <c r="AD713" s="21"/>
    </row>
    <row r="714" spans="2:31" s="1" customFormat="1" ht="96.3" customHeight="1" outlineLevel="7">
      <c r="B714" s="20">
        <v>502</v>
      </c>
      <c r="C714" s="21" t="s">
        <v>2423</v>
      </c>
      <c r="D714" s="72" t="s">
        <v>2424</v>
      </c>
      <c r="E714" s="72"/>
      <c r="F714" s="72"/>
      <c r="G714" s="72"/>
      <c r="H714" s="22" t="s">
        <v>2425</v>
      </c>
      <c r="I714" s="23" t="s">
        <v>36</v>
      </c>
      <c r="J714" s="22"/>
      <c r="K714" s="20">
        <v>1</v>
      </c>
      <c r="L714" s="24">
        <v>440.59</v>
      </c>
      <c r="M714" s="11"/>
      <c r="N714" s="22">
        <f>L714*M714</f>
        <v>0</v>
      </c>
      <c r="O714" s="25">
        <f>0.024*M714</f>
        <v>0</v>
      </c>
      <c r="P714" s="26">
        <f>0.00103*M714</f>
        <v>0</v>
      </c>
      <c r="Q714" s="30"/>
      <c r="R714" s="22" t="s">
        <v>2426</v>
      </c>
      <c r="S714" s="22"/>
      <c r="T714" s="21" t="str">
        <f>HYPERLINK("https://miland.ru/api/getInfo/image/164644c9-bf7c-11ee-a25a-00155d82e908")</f>
        <v>https://miland.ru/api/getInfo/image/164644c9-bf7c-11ee-a25a-00155d82e908</v>
      </c>
      <c r="U714" s="21"/>
      <c r="V714" s="21" t="s">
        <v>710</v>
      </c>
      <c r="W714" s="21" t="s">
        <v>82</v>
      </c>
      <c r="X714" s="21"/>
      <c r="Y714" s="21" t="s">
        <v>41</v>
      </c>
      <c r="Z714" s="21"/>
      <c r="AA714" s="21" t="str">
        <f>HYPERLINK("https://miland.ru/api/getInfo/item/164644c9-bf7c-11ee-a25a-00155d82e908")</f>
        <v>https://miland.ru/api/getInfo/item/164644c9-bf7c-11ee-a25a-00155d82e908</v>
      </c>
      <c r="AB714" s="21" t="s">
        <v>42</v>
      </c>
      <c r="AC714" s="21" t="s">
        <v>2427</v>
      </c>
      <c r="AD714" s="21"/>
    </row>
    <row r="715" spans="2:31" s="1" customFormat="1" ht="96.3" customHeight="1" outlineLevel="7">
      <c r="B715" s="20">
        <v>503</v>
      </c>
      <c r="C715" s="21" t="s">
        <v>2428</v>
      </c>
      <c r="D715" s="72" t="s">
        <v>2429</v>
      </c>
      <c r="E715" s="72"/>
      <c r="F715" s="72"/>
      <c r="G715" s="72"/>
      <c r="H715" s="22" t="s">
        <v>2430</v>
      </c>
      <c r="I715" s="23" t="s">
        <v>36</v>
      </c>
      <c r="J715" s="22"/>
      <c r="K715" s="20">
        <v>1</v>
      </c>
      <c r="L715" s="24">
        <v>590.74</v>
      </c>
      <c r="M715" s="11"/>
      <c r="N715" s="22">
        <f>L715*M715</f>
        <v>0</v>
      </c>
      <c r="O715" s="25">
        <f>0.019*M715</f>
        <v>0</v>
      </c>
      <c r="P715" s="29">
        <f>0.0006*M715</f>
        <v>0</v>
      </c>
      <c r="Q715" s="30"/>
      <c r="R715" s="22" t="s">
        <v>2431</v>
      </c>
      <c r="S715" s="22" t="s">
        <v>435</v>
      </c>
      <c r="T715" s="21" t="str">
        <f>HYPERLINK("https://miland.ru/api/getInfo/image/a9ae7b47-bf7b-11ee-a25a-00155d82e908")</f>
        <v>https://miland.ru/api/getInfo/image/a9ae7b47-bf7b-11ee-a25a-00155d82e908</v>
      </c>
      <c r="U715" s="21"/>
      <c r="V715" s="21" t="s">
        <v>710</v>
      </c>
      <c r="W715" s="21" t="s">
        <v>82</v>
      </c>
      <c r="X715" s="21"/>
      <c r="Y715" s="21" t="s">
        <v>41</v>
      </c>
      <c r="Z715" s="21"/>
      <c r="AA715" s="21" t="str">
        <f>HYPERLINK("https://miland.ru/api/getInfo/item/a9ae7b47-bf7b-11ee-a25a-00155d82e908")</f>
        <v>https://miland.ru/api/getInfo/item/a9ae7b47-bf7b-11ee-a25a-00155d82e908</v>
      </c>
      <c r="AB715" s="21" t="s">
        <v>42</v>
      </c>
      <c r="AC715" s="21" t="s">
        <v>2432</v>
      </c>
      <c r="AD715" s="21"/>
    </row>
    <row r="716" spans="2:31" ht="12" customHeight="1" outlineLevel="7">
      <c r="B716" s="70" t="s">
        <v>2433</v>
      </c>
      <c r="C716" s="70"/>
      <c r="D716" s="70"/>
      <c r="E716" s="70"/>
      <c r="F716" s="70"/>
      <c r="G716" s="70"/>
    </row>
    <row r="717" spans="2:31" s="1" customFormat="1" ht="96.3" customHeight="1" outlineLevel="7">
      <c r="B717" s="20">
        <v>504</v>
      </c>
      <c r="C717" s="21" t="s">
        <v>2434</v>
      </c>
      <c r="D717" s="72" t="s">
        <v>2435</v>
      </c>
      <c r="E717" s="72"/>
      <c r="F717" s="72"/>
      <c r="G717" s="72"/>
      <c r="H717" s="22" t="s">
        <v>2436</v>
      </c>
      <c r="I717" s="27">
        <v>413</v>
      </c>
      <c r="J717" s="22"/>
      <c r="K717" s="20">
        <v>2</v>
      </c>
      <c r="L717" s="24">
        <v>380.64</v>
      </c>
      <c r="M717" s="11"/>
      <c r="N717" s="22">
        <f>L717*M717</f>
        <v>0</v>
      </c>
      <c r="O717" s="25">
        <f>0.023*M717</f>
        <v>0</v>
      </c>
      <c r="P717" s="26">
        <f>0.00163*M717</f>
        <v>0</v>
      </c>
      <c r="Q717" s="30"/>
      <c r="R717" s="22" t="s">
        <v>2437</v>
      </c>
      <c r="S717" s="22" t="s">
        <v>435</v>
      </c>
      <c r="T717" s="21" t="str">
        <f>HYPERLINK("https://miland.ru/api/getInfo/image/fb453a50-bf7a-11ee-a25a-00155d82e908")</f>
        <v>https://miland.ru/api/getInfo/image/fb453a50-bf7a-11ee-a25a-00155d82e908</v>
      </c>
      <c r="U717" s="21"/>
      <c r="V717" s="21" t="s">
        <v>710</v>
      </c>
      <c r="W717" s="21" t="s">
        <v>82</v>
      </c>
      <c r="X717" s="21"/>
      <c r="Y717" s="21" t="s">
        <v>41</v>
      </c>
      <c r="Z717" s="21"/>
      <c r="AA717" s="21" t="str">
        <f>HYPERLINK("https://miland.ru/api/getInfo/item/fb453a50-bf7a-11ee-a25a-00155d82e908")</f>
        <v>https://miland.ru/api/getInfo/item/fb453a50-bf7a-11ee-a25a-00155d82e908</v>
      </c>
      <c r="AB717" s="21" t="s">
        <v>42</v>
      </c>
      <c r="AC717" s="21" t="s">
        <v>2438</v>
      </c>
      <c r="AD717" s="21"/>
    </row>
    <row r="718" spans="2:31" ht="12" customHeight="1" outlineLevel="7">
      <c r="B718" s="70" t="s">
        <v>2439</v>
      </c>
      <c r="C718" s="70"/>
      <c r="D718" s="70"/>
      <c r="E718" s="70"/>
      <c r="F718" s="70"/>
      <c r="G718" s="70"/>
    </row>
    <row r="719" spans="2:31" s="1" customFormat="1" ht="96.3" customHeight="1" outlineLevel="7">
      <c r="B719" s="20">
        <v>505</v>
      </c>
      <c r="C719" s="21" t="s">
        <v>2440</v>
      </c>
      <c r="D719" s="72" t="s">
        <v>2441</v>
      </c>
      <c r="E719" s="72"/>
      <c r="F719" s="72"/>
      <c r="G719" s="72"/>
      <c r="H719" s="22" t="s">
        <v>2442</v>
      </c>
      <c r="I719" s="23" t="s">
        <v>36</v>
      </c>
      <c r="J719" s="22"/>
      <c r="K719" s="20">
        <v>2</v>
      </c>
      <c r="L719" s="24">
        <v>328.74</v>
      </c>
      <c r="M719" s="11"/>
      <c r="N719" s="22">
        <f>L719*M719</f>
        <v>0</v>
      </c>
      <c r="O719" s="25">
        <f>0.018*M719</f>
        <v>0</v>
      </c>
      <c r="P719" s="26">
        <f>0.00042*M719</f>
        <v>0</v>
      </c>
      <c r="Q719" s="30"/>
      <c r="R719" s="22" t="s">
        <v>2443</v>
      </c>
      <c r="S719" s="22" t="s">
        <v>435</v>
      </c>
      <c r="T719" s="21" t="str">
        <f>HYPERLINK("https://miland.ru/api/getInfo/image/5fe7c240-bf7c-11ee-a25a-00155d82e908")</f>
        <v>https://miland.ru/api/getInfo/image/5fe7c240-bf7c-11ee-a25a-00155d82e908</v>
      </c>
      <c r="U719" s="21"/>
      <c r="V719" s="21" t="s">
        <v>710</v>
      </c>
      <c r="W719" s="21" t="s">
        <v>82</v>
      </c>
      <c r="X719" s="21"/>
      <c r="Y719" s="21" t="s">
        <v>41</v>
      </c>
      <c r="Z719" s="21"/>
      <c r="AA719" s="21" t="str">
        <f>HYPERLINK("https://miland.ru/api/getInfo/item/5fe7c240-bf7c-11ee-a25a-00155d82e908")</f>
        <v>https://miland.ru/api/getInfo/item/5fe7c240-bf7c-11ee-a25a-00155d82e908</v>
      </c>
      <c r="AB719" s="21" t="s">
        <v>42</v>
      </c>
      <c r="AC719" s="21" t="s">
        <v>2444</v>
      </c>
      <c r="AD719" s="21"/>
    </row>
    <row r="720" spans="2:31" s="1" customFormat="1" ht="96.3" customHeight="1" outlineLevel="7">
      <c r="B720" s="20">
        <v>506</v>
      </c>
      <c r="C720" s="21" t="s">
        <v>2445</v>
      </c>
      <c r="D720" s="72" t="s">
        <v>2446</v>
      </c>
      <c r="E720" s="72"/>
      <c r="F720" s="72"/>
      <c r="G720" s="72"/>
      <c r="H720" s="22" t="s">
        <v>2447</v>
      </c>
      <c r="I720" s="27">
        <v>18</v>
      </c>
      <c r="J720" s="22"/>
      <c r="K720" s="20">
        <v>1</v>
      </c>
      <c r="L720" s="24">
        <v>555.69000000000005</v>
      </c>
      <c r="M720" s="11"/>
      <c r="N720" s="22">
        <f>L720*M720</f>
        <v>0</v>
      </c>
      <c r="O720" s="25">
        <f>0.053*M720</f>
        <v>0</v>
      </c>
      <c r="P720" s="26">
        <f>0.00062*M720</f>
        <v>0</v>
      </c>
      <c r="Q720" s="30"/>
      <c r="R720" s="22" t="s">
        <v>2448</v>
      </c>
      <c r="S720" s="22" t="s">
        <v>435</v>
      </c>
      <c r="T720" s="21" t="str">
        <f>HYPERLINK("https://miland.ru/api/getInfo/image/23a031e3-112d-11ef-a25d-00155d82e908")</f>
        <v>https://miland.ru/api/getInfo/image/23a031e3-112d-11ef-a25d-00155d82e908</v>
      </c>
      <c r="U720" s="21"/>
      <c r="V720" s="21" t="s">
        <v>710</v>
      </c>
      <c r="W720" s="21" t="s">
        <v>82</v>
      </c>
      <c r="X720" s="21"/>
      <c r="Y720" s="21" t="s">
        <v>41</v>
      </c>
      <c r="Z720" s="21"/>
      <c r="AA720" s="21" t="str">
        <f>HYPERLINK("https://miland.ru/api/getInfo/item/23a031e3-112d-11ef-a25d-00155d82e908")</f>
        <v>https://miland.ru/api/getInfo/item/23a031e3-112d-11ef-a25d-00155d82e908</v>
      </c>
      <c r="AB720" s="21" t="s">
        <v>42</v>
      </c>
      <c r="AC720" s="21" t="s">
        <v>2449</v>
      </c>
      <c r="AD720" s="21"/>
    </row>
    <row r="721" spans="2:31" ht="12" customHeight="1" outlineLevel="6">
      <c r="B721" s="70" t="s">
        <v>2450</v>
      </c>
      <c r="C721" s="70"/>
      <c r="D721" s="70"/>
      <c r="E721" s="70"/>
      <c r="F721" s="70"/>
      <c r="G721" s="70"/>
    </row>
    <row r="722" spans="2:31" ht="12" customHeight="1" outlineLevel="7">
      <c r="B722" s="70" t="s">
        <v>2226</v>
      </c>
      <c r="C722" s="70"/>
      <c r="D722" s="70"/>
      <c r="E722" s="70"/>
      <c r="F722" s="70"/>
      <c r="G722" s="70"/>
    </row>
    <row r="723" spans="2:31" s="1" customFormat="1" ht="96.3" customHeight="1" outlineLevel="7">
      <c r="B723" s="20">
        <v>507</v>
      </c>
      <c r="C723" s="21" t="s">
        <v>2451</v>
      </c>
      <c r="D723" s="72" t="s">
        <v>2452</v>
      </c>
      <c r="E723" s="72"/>
      <c r="F723" s="72"/>
      <c r="G723" s="72"/>
      <c r="H723" s="22" t="s">
        <v>2453</v>
      </c>
      <c r="I723" s="27">
        <v>133</v>
      </c>
      <c r="J723" s="22"/>
      <c r="K723" s="20">
        <v>3</v>
      </c>
      <c r="L723" s="24">
        <v>203.12</v>
      </c>
      <c r="M723" s="11"/>
      <c r="N723" s="22">
        <f>L723*M723</f>
        <v>0</v>
      </c>
      <c r="O723" s="25">
        <f>0.176*M723</f>
        <v>0</v>
      </c>
      <c r="P723" s="26">
        <f>0.00138*M723</f>
        <v>0</v>
      </c>
      <c r="Q723" s="30"/>
      <c r="R723" s="22" t="s">
        <v>2454</v>
      </c>
      <c r="S723" s="22"/>
      <c r="T723" s="21" t="str">
        <f>HYPERLINK("https://miland.ru/api/getInfo/image/dd589453-d89f-11ef-a273-00155d82e908")</f>
        <v>https://miland.ru/api/getInfo/image/dd589453-d89f-11ef-a273-00155d82e908</v>
      </c>
      <c r="U723" s="21"/>
      <c r="V723" s="21" t="s">
        <v>710</v>
      </c>
      <c r="W723" s="21" t="s">
        <v>82</v>
      </c>
      <c r="X723" s="21"/>
      <c r="Y723" s="21" t="s">
        <v>41</v>
      </c>
      <c r="Z723" s="21"/>
      <c r="AA723" s="21" t="str">
        <f>HYPERLINK("https://miland.ru/api/getInfo/item/dd589453-d89f-11ef-a273-00155d82e908")</f>
        <v>https://miland.ru/api/getInfo/item/dd589453-d89f-11ef-a273-00155d82e908</v>
      </c>
      <c r="AB723" s="21" t="s">
        <v>42</v>
      </c>
      <c r="AC723" s="21"/>
      <c r="AD723" s="21"/>
    </row>
    <row r="724" spans="2:31" s="1" customFormat="1" ht="96.3" customHeight="1" outlineLevel="7">
      <c r="B724" s="6">
        <v>508</v>
      </c>
      <c r="C724" s="7" t="s">
        <v>2455</v>
      </c>
      <c r="D724" s="71" t="s">
        <v>2456</v>
      </c>
      <c r="E724" s="71"/>
      <c r="F724" s="71"/>
      <c r="G724" s="71"/>
      <c r="H724" s="8" t="s">
        <v>2457</v>
      </c>
      <c r="I724" s="14">
        <v>266</v>
      </c>
      <c r="J724" s="8"/>
      <c r="K724" s="6">
        <v>1</v>
      </c>
      <c r="L724" s="10">
        <v>794.85</v>
      </c>
      <c r="M724" s="11"/>
      <c r="N724" s="8">
        <f>L724*M724</f>
        <v>0</v>
      </c>
      <c r="O724" s="12">
        <f>0.282*M724</f>
        <v>0</v>
      </c>
      <c r="P724" s="13">
        <f>0.00388*M724</f>
        <v>0</v>
      </c>
      <c r="Q724" s="17" t="s">
        <v>37</v>
      </c>
      <c r="R724" s="8" t="s">
        <v>2458</v>
      </c>
      <c r="S724" s="8"/>
      <c r="T724" s="7" t="str">
        <f>HYPERLINK("https://miland.ru/api/getInfo/image/428e6f64-2ce4-11f1-a292-00155d82e908")</f>
        <v>https://miland.ru/api/getInfo/image/428e6f64-2ce4-11f1-a292-00155d82e908</v>
      </c>
      <c r="U724" s="7"/>
      <c r="V724" s="7"/>
      <c r="W724" s="7" t="s">
        <v>82</v>
      </c>
      <c r="X724" s="7"/>
      <c r="Y724" s="7" t="s">
        <v>41</v>
      </c>
      <c r="Z724" s="7"/>
      <c r="AA724" s="7" t="str">
        <f>HYPERLINK("https://miland.ru/api/getInfo/item/428e6f64-2ce4-11f1-a292-00155d82e908")</f>
        <v>https://miland.ru/api/getInfo/item/428e6f64-2ce4-11f1-a292-00155d82e908</v>
      </c>
      <c r="AB724" s="7" t="s">
        <v>42</v>
      </c>
      <c r="AC724" s="7"/>
      <c r="AD724" s="7"/>
      <c r="AE724" s="54"/>
    </row>
    <row r="725" spans="2:31" s="1" customFormat="1" ht="96.3" customHeight="1" outlineLevel="7">
      <c r="B725" s="20">
        <v>509</v>
      </c>
      <c r="C725" s="21" t="s">
        <v>2459</v>
      </c>
      <c r="D725" s="72" t="s">
        <v>2460</v>
      </c>
      <c r="E725" s="72"/>
      <c r="F725" s="72"/>
      <c r="G725" s="72"/>
      <c r="H725" s="22" t="s">
        <v>2461</v>
      </c>
      <c r="I725" s="23" t="s">
        <v>36</v>
      </c>
      <c r="J725" s="22"/>
      <c r="K725" s="20">
        <v>4</v>
      </c>
      <c r="L725" s="24">
        <v>170.26</v>
      </c>
      <c r="M725" s="11"/>
      <c r="N725" s="22">
        <f>L725*M725</f>
        <v>0</v>
      </c>
      <c r="O725" s="25">
        <f>0.022*M725</f>
        <v>0</v>
      </c>
      <c r="P725" s="26">
        <f>0.00063*M725</f>
        <v>0</v>
      </c>
      <c r="Q725" s="30"/>
      <c r="R725" s="22" t="s">
        <v>2462</v>
      </c>
      <c r="S725" s="22"/>
      <c r="T725" s="21" t="str">
        <f>HYPERLINK("https://miland.ru/api/getInfo/image/07f995f5-d8a1-11ef-a273-00155d82e908")</f>
        <v>https://miland.ru/api/getInfo/image/07f995f5-d8a1-11ef-a273-00155d82e908</v>
      </c>
      <c r="U725" s="21"/>
      <c r="V725" s="21" t="s">
        <v>710</v>
      </c>
      <c r="W725" s="21" t="s">
        <v>82</v>
      </c>
      <c r="X725" s="21"/>
      <c r="Y725" s="21" t="s">
        <v>41</v>
      </c>
      <c r="Z725" s="21"/>
      <c r="AA725" s="21" t="str">
        <f>HYPERLINK("https://miland.ru/api/getInfo/item/07f995f5-d8a1-11ef-a273-00155d82e908")</f>
        <v>https://miland.ru/api/getInfo/item/07f995f5-d8a1-11ef-a273-00155d82e908</v>
      </c>
      <c r="AB725" s="21" t="s">
        <v>42</v>
      </c>
      <c r="AC725" s="21"/>
      <c r="AD725" s="21"/>
    </row>
    <row r="726" spans="2:31" s="1" customFormat="1" ht="96.3" customHeight="1" outlineLevel="7">
      <c r="B726" s="37">
        <v>510</v>
      </c>
      <c r="C726" s="38" t="s">
        <v>2463</v>
      </c>
      <c r="D726" s="74" t="s">
        <v>2464</v>
      </c>
      <c r="E726" s="74"/>
      <c r="F726" s="74"/>
      <c r="G726" s="74"/>
      <c r="H726" s="39" t="s">
        <v>2465</v>
      </c>
      <c r="I726" s="44">
        <v>98</v>
      </c>
      <c r="J726" s="39"/>
      <c r="K726" s="37">
        <v>3</v>
      </c>
      <c r="L726" s="41">
        <v>28.146666666666665</v>
      </c>
      <c r="M726" s="11"/>
      <c r="N726" s="39">
        <f>L726*M726</f>
        <v>0</v>
      </c>
      <c r="O726" s="45">
        <f>0.03*M726</f>
        <v>0</v>
      </c>
      <c r="P726" s="46">
        <f>0.00016*M726</f>
        <v>0</v>
      </c>
      <c r="Q726" s="51"/>
      <c r="R726" s="39" t="s">
        <v>2466</v>
      </c>
      <c r="S726" s="39" t="s">
        <v>435</v>
      </c>
      <c r="T726" s="38" t="str">
        <f>HYPERLINK("https://miland.ru/api/getInfo/image/969cb6d0-6a52-11e9-a224-ac1f6b442184")</f>
        <v>https://miland.ru/api/getInfo/image/969cb6d0-6a52-11e9-a224-ac1f6b442184</v>
      </c>
      <c r="U726" s="38"/>
      <c r="V726" s="38" t="s">
        <v>710</v>
      </c>
      <c r="W726" s="38" t="s">
        <v>82</v>
      </c>
      <c r="X726" s="38"/>
      <c r="Y726" s="38" t="s">
        <v>41</v>
      </c>
      <c r="Z726" s="38"/>
      <c r="AA726" s="38" t="str">
        <f>HYPERLINK("https://miland.ru/api/getInfo/item/969cb6d0-6a52-11e9-a224-ac1f6b442184")</f>
        <v>https://miland.ru/api/getInfo/item/969cb6d0-6a52-11e9-a224-ac1f6b442184</v>
      </c>
      <c r="AB726" s="38" t="s">
        <v>42</v>
      </c>
      <c r="AC726" s="38"/>
      <c r="AD726" s="38"/>
      <c r="AE726" s="53" t="s">
        <v>1306</v>
      </c>
    </row>
    <row r="727" spans="2:31" s="1" customFormat="1" ht="96.3" customHeight="1" outlineLevel="7">
      <c r="B727" s="20">
        <v>511</v>
      </c>
      <c r="C727" s="21" t="s">
        <v>2467</v>
      </c>
      <c r="D727" s="72" t="s">
        <v>2468</v>
      </c>
      <c r="E727" s="72"/>
      <c r="F727" s="72"/>
      <c r="G727" s="72"/>
      <c r="H727" s="22" t="s">
        <v>2469</v>
      </c>
      <c r="I727" s="23" t="s">
        <v>36</v>
      </c>
      <c r="J727" s="22"/>
      <c r="K727" s="20">
        <v>3</v>
      </c>
      <c r="L727" s="24">
        <v>211.54</v>
      </c>
      <c r="M727" s="11"/>
      <c r="N727" s="22">
        <f>L727*M727</f>
        <v>0</v>
      </c>
      <c r="O727" s="25">
        <f>0.082*M727</f>
        <v>0</v>
      </c>
      <c r="P727" s="26">
        <f>0.00114*M727</f>
        <v>0</v>
      </c>
      <c r="Q727" s="30"/>
      <c r="R727" s="22" t="s">
        <v>2470</v>
      </c>
      <c r="S727" s="22"/>
      <c r="T727" s="21" t="str">
        <f>HYPERLINK("https://miland.ru/api/getInfo/image/53f5c101-dca2-11ef-a273-00155d82e908")</f>
        <v>https://miland.ru/api/getInfo/image/53f5c101-dca2-11ef-a273-00155d82e908</v>
      </c>
      <c r="U727" s="21"/>
      <c r="V727" s="21" t="s">
        <v>710</v>
      </c>
      <c r="W727" s="21" t="s">
        <v>82</v>
      </c>
      <c r="X727" s="21"/>
      <c r="Y727" s="21" t="s">
        <v>41</v>
      </c>
      <c r="Z727" s="21"/>
      <c r="AA727" s="21" t="str">
        <f>HYPERLINK("https://miland.ru/api/getInfo/item/53f5c101-dca2-11ef-a273-00155d82e908")</f>
        <v>https://miland.ru/api/getInfo/item/53f5c101-dca2-11ef-a273-00155d82e908</v>
      </c>
      <c r="AB727" s="21" t="s">
        <v>42</v>
      </c>
      <c r="AC727" s="21"/>
      <c r="AD727" s="21"/>
    </row>
    <row r="728" spans="2:31" ht="12" customHeight="1" outlineLevel="7">
      <c r="B728" s="70" t="s">
        <v>2251</v>
      </c>
      <c r="C728" s="70"/>
      <c r="D728" s="70"/>
      <c r="E728" s="70"/>
      <c r="F728" s="70"/>
      <c r="G728" s="70"/>
    </row>
    <row r="729" spans="2:31" ht="12" customHeight="1" outlineLevel="7">
      <c r="B729" s="70" t="s">
        <v>2471</v>
      </c>
      <c r="C729" s="70"/>
      <c r="D729" s="70"/>
      <c r="E729" s="70"/>
      <c r="F729" s="70"/>
      <c r="G729" s="70"/>
    </row>
    <row r="730" spans="2:31" s="1" customFormat="1" ht="96.3" customHeight="1" outlineLevel="7">
      <c r="B730" s="20">
        <v>512</v>
      </c>
      <c r="C730" s="21" t="s">
        <v>2472</v>
      </c>
      <c r="D730" s="72" t="s">
        <v>2473</v>
      </c>
      <c r="E730" s="72"/>
      <c r="F730" s="72"/>
      <c r="G730" s="72"/>
      <c r="H730" s="22" t="s">
        <v>2474</v>
      </c>
      <c r="I730" s="27">
        <v>311</v>
      </c>
      <c r="J730" s="22"/>
      <c r="K730" s="20">
        <v>3</v>
      </c>
      <c r="L730" s="24">
        <v>240.52</v>
      </c>
      <c r="M730" s="11"/>
      <c r="N730" s="22">
        <f>L730*M730</f>
        <v>0</v>
      </c>
      <c r="O730" s="25">
        <f>0.858*M730</f>
        <v>0</v>
      </c>
      <c r="P730" s="26">
        <f>0.00507*M730</f>
        <v>0</v>
      </c>
      <c r="Q730" s="30"/>
      <c r="R730" s="22" t="s">
        <v>2475</v>
      </c>
      <c r="S730" s="22" t="s">
        <v>435</v>
      </c>
      <c r="T730" s="21" t="str">
        <f>HYPERLINK("https://miland.ru/api/getInfo/image/4cd11048-90dc-11ed-a22c-00155d82e902")</f>
        <v>https://miland.ru/api/getInfo/image/4cd11048-90dc-11ed-a22c-00155d82e902</v>
      </c>
      <c r="U730" s="21"/>
      <c r="V730" s="21" t="s">
        <v>710</v>
      </c>
      <c r="W730" s="21" t="s">
        <v>82</v>
      </c>
      <c r="X730" s="21"/>
      <c r="Y730" s="21" t="s">
        <v>41</v>
      </c>
      <c r="Z730" s="21"/>
      <c r="AA730" s="21" t="str">
        <f>HYPERLINK("https://miland.ru/api/getInfo/item/4cd11048-90dc-11ed-a22c-00155d82e902")</f>
        <v>https://miland.ru/api/getInfo/item/4cd11048-90dc-11ed-a22c-00155d82e902</v>
      </c>
      <c r="AB730" s="21" t="s">
        <v>42</v>
      </c>
      <c r="AC730" s="21"/>
      <c r="AD730" s="21"/>
    </row>
    <row r="731" spans="2:31" ht="12" customHeight="1" outlineLevel="7">
      <c r="B731" s="70" t="s">
        <v>2476</v>
      </c>
      <c r="C731" s="70"/>
      <c r="D731" s="70"/>
      <c r="E731" s="70"/>
      <c r="F731" s="70"/>
      <c r="G731" s="70"/>
    </row>
    <row r="732" spans="2:31" s="1" customFormat="1" ht="96.3" customHeight="1" outlineLevel="7">
      <c r="B732" s="20">
        <v>513</v>
      </c>
      <c r="C732" s="21" t="s">
        <v>2477</v>
      </c>
      <c r="D732" s="72" t="s">
        <v>2478</v>
      </c>
      <c r="E732" s="72"/>
      <c r="F732" s="72"/>
      <c r="G732" s="72"/>
      <c r="H732" s="22" t="s">
        <v>2479</v>
      </c>
      <c r="I732" s="27">
        <v>156</v>
      </c>
      <c r="J732" s="22"/>
      <c r="K732" s="20">
        <v>2</v>
      </c>
      <c r="L732" s="24">
        <v>292.73</v>
      </c>
      <c r="M732" s="11"/>
      <c r="N732" s="22">
        <f>L732*M732</f>
        <v>0</v>
      </c>
      <c r="O732" s="28">
        <f>0.02*M732</f>
        <v>0</v>
      </c>
      <c r="P732" s="26">
        <f>0.00031*M732</f>
        <v>0</v>
      </c>
      <c r="Q732" s="30"/>
      <c r="R732" s="22" t="s">
        <v>2480</v>
      </c>
      <c r="S732" s="22" t="s">
        <v>435</v>
      </c>
      <c r="T732" s="21" t="str">
        <f>HYPERLINK("https://miland.ru/api/getInfo/image/223fb3c5-90dd-11ed-a22c-00155d82e902")</f>
        <v>https://miland.ru/api/getInfo/image/223fb3c5-90dd-11ed-a22c-00155d82e902</v>
      </c>
      <c r="U732" s="21"/>
      <c r="V732" s="21" t="s">
        <v>710</v>
      </c>
      <c r="W732" s="21" t="s">
        <v>82</v>
      </c>
      <c r="X732" s="21"/>
      <c r="Y732" s="21" t="s">
        <v>41</v>
      </c>
      <c r="Z732" s="21"/>
      <c r="AA732" s="21" t="str">
        <f>HYPERLINK("https://miland.ru/api/getInfo/item/223fb3c5-90dd-11ed-a22c-00155d82e902")</f>
        <v>https://miland.ru/api/getInfo/item/223fb3c5-90dd-11ed-a22c-00155d82e902</v>
      </c>
      <c r="AB732" s="21" t="s">
        <v>42</v>
      </c>
      <c r="AC732" s="21"/>
      <c r="AD732" s="21"/>
    </row>
    <row r="733" spans="2:31" s="1" customFormat="1" ht="96.3" customHeight="1" outlineLevel="7">
      <c r="B733" s="20">
        <v>514</v>
      </c>
      <c r="C733" s="21" t="s">
        <v>2481</v>
      </c>
      <c r="D733" s="72" t="s">
        <v>2482</v>
      </c>
      <c r="E733" s="72"/>
      <c r="F733" s="72"/>
      <c r="G733" s="72"/>
      <c r="H733" s="22" t="s">
        <v>2483</v>
      </c>
      <c r="I733" s="23" t="s">
        <v>36</v>
      </c>
      <c r="J733" s="22"/>
      <c r="K733" s="20">
        <v>2</v>
      </c>
      <c r="L733" s="24">
        <v>337.87</v>
      </c>
      <c r="M733" s="11"/>
      <c r="N733" s="22">
        <f>L733*M733</f>
        <v>0</v>
      </c>
      <c r="O733" s="25">
        <f>0.017*M733</f>
        <v>0</v>
      </c>
      <c r="P733" s="26">
        <f>0.00101*M733</f>
        <v>0</v>
      </c>
      <c r="Q733" s="30"/>
      <c r="R733" s="22" t="s">
        <v>2484</v>
      </c>
      <c r="S733" s="22" t="s">
        <v>435</v>
      </c>
      <c r="T733" s="21" t="str">
        <f>HYPERLINK("https://miland.ru/api/getInfo/image/c636fdc6-90dc-11ed-a22c-00155d82e902")</f>
        <v>https://miland.ru/api/getInfo/image/c636fdc6-90dc-11ed-a22c-00155d82e902</v>
      </c>
      <c r="U733" s="21"/>
      <c r="V733" s="21" t="s">
        <v>710</v>
      </c>
      <c r="W733" s="21" t="s">
        <v>82</v>
      </c>
      <c r="X733" s="21"/>
      <c r="Y733" s="21" t="s">
        <v>41</v>
      </c>
      <c r="Z733" s="21"/>
      <c r="AA733" s="21" t="str">
        <f>HYPERLINK("https://miland.ru/api/getInfo/item/c636fdc6-90dc-11ed-a22c-00155d82e902")</f>
        <v>https://miland.ru/api/getInfo/item/c636fdc6-90dc-11ed-a22c-00155d82e902</v>
      </c>
      <c r="AB733" s="21" t="s">
        <v>42</v>
      </c>
      <c r="AC733" s="21"/>
      <c r="AD733" s="21"/>
    </row>
    <row r="734" spans="2:31" ht="12" customHeight="1" outlineLevel="7">
      <c r="B734" s="70" t="s">
        <v>2485</v>
      </c>
      <c r="C734" s="70"/>
      <c r="D734" s="70"/>
      <c r="E734" s="70"/>
      <c r="F734" s="70"/>
      <c r="G734" s="70"/>
    </row>
    <row r="735" spans="2:31" s="1" customFormat="1" ht="96.3" customHeight="1" outlineLevel="7">
      <c r="B735" s="20">
        <v>515</v>
      </c>
      <c r="C735" s="21" t="s">
        <v>2486</v>
      </c>
      <c r="D735" s="72" t="s">
        <v>2487</v>
      </c>
      <c r="E735" s="72"/>
      <c r="F735" s="72"/>
      <c r="G735" s="72"/>
      <c r="H735" s="22" t="s">
        <v>2488</v>
      </c>
      <c r="I735" s="27">
        <v>177</v>
      </c>
      <c r="J735" s="22"/>
      <c r="K735" s="20">
        <v>1</v>
      </c>
      <c r="L735" s="24">
        <v>404.91</v>
      </c>
      <c r="M735" s="11"/>
      <c r="N735" s="22">
        <f t="shared" ref="N735:N746" si="34">L735*M735</f>
        <v>0</v>
      </c>
      <c r="O735" s="25">
        <f>0.048*M735</f>
        <v>0</v>
      </c>
      <c r="P735" s="26">
        <f>0.00058*M735</f>
        <v>0</v>
      </c>
      <c r="Q735" s="30"/>
      <c r="R735" s="22" t="s">
        <v>2489</v>
      </c>
      <c r="S735" s="22" t="s">
        <v>435</v>
      </c>
      <c r="T735" s="21" t="str">
        <f>HYPERLINK("https://miland.ru/api/getInfo/image/dea46617-90b1-11ed-a22c-00155d82e902")</f>
        <v>https://miland.ru/api/getInfo/image/dea46617-90b1-11ed-a22c-00155d82e902</v>
      </c>
      <c r="U735" s="21"/>
      <c r="V735" s="21" t="s">
        <v>710</v>
      </c>
      <c r="W735" s="21" t="s">
        <v>82</v>
      </c>
      <c r="X735" s="21"/>
      <c r="Y735" s="21" t="s">
        <v>41</v>
      </c>
      <c r="Z735" s="21"/>
      <c r="AA735" s="21" t="str">
        <f>HYPERLINK("https://miland.ru/api/getInfo/item/dea46617-90b1-11ed-a22c-00155d82e902")</f>
        <v>https://miland.ru/api/getInfo/item/dea46617-90b1-11ed-a22c-00155d82e902</v>
      </c>
      <c r="AB735" s="21" t="s">
        <v>42</v>
      </c>
      <c r="AC735" s="21"/>
      <c r="AD735" s="21"/>
    </row>
    <row r="736" spans="2:31" s="1" customFormat="1" ht="96.3" customHeight="1" outlineLevel="7">
      <c r="B736" s="20">
        <v>516</v>
      </c>
      <c r="C736" s="21" t="s">
        <v>2490</v>
      </c>
      <c r="D736" s="72" t="s">
        <v>2491</v>
      </c>
      <c r="E736" s="72"/>
      <c r="F736" s="72"/>
      <c r="G736" s="72"/>
      <c r="H736" s="22" t="s">
        <v>2492</v>
      </c>
      <c r="I736" s="27">
        <v>73</v>
      </c>
      <c r="J736" s="22"/>
      <c r="K736" s="20">
        <v>1</v>
      </c>
      <c r="L736" s="24">
        <v>484.56</v>
      </c>
      <c r="M736" s="11"/>
      <c r="N736" s="22">
        <f t="shared" si="34"/>
        <v>0</v>
      </c>
      <c r="O736" s="25">
        <f>0.056*M736</f>
        <v>0</v>
      </c>
      <c r="P736" s="26">
        <f>0.00071*M736</f>
        <v>0</v>
      </c>
      <c r="Q736" s="30"/>
      <c r="R736" s="22" t="s">
        <v>2493</v>
      </c>
      <c r="S736" s="22" t="s">
        <v>435</v>
      </c>
      <c r="T736" s="21" t="str">
        <f>HYPERLINK("https://miland.ru/api/getInfo/image/801bf64f-901b-11ed-a22b-00155d82e902")</f>
        <v>https://miland.ru/api/getInfo/image/801bf64f-901b-11ed-a22b-00155d82e902</v>
      </c>
      <c r="U736" s="21"/>
      <c r="V736" s="21" t="s">
        <v>710</v>
      </c>
      <c r="W736" s="21" t="s">
        <v>82</v>
      </c>
      <c r="X736" s="21"/>
      <c r="Y736" s="21" t="s">
        <v>41</v>
      </c>
      <c r="Z736" s="21"/>
      <c r="AA736" s="21" t="str">
        <f>HYPERLINK("https://miland.ru/api/getInfo/item/801bf64f-901b-11ed-a22b-00155d82e902")</f>
        <v>https://miland.ru/api/getInfo/item/801bf64f-901b-11ed-a22b-00155d82e902</v>
      </c>
      <c r="AB736" s="21" t="s">
        <v>42</v>
      </c>
      <c r="AC736" s="21"/>
      <c r="AD736" s="21"/>
    </row>
    <row r="737" spans="2:31" s="1" customFormat="1" ht="96.3" customHeight="1" outlineLevel="7">
      <c r="B737" s="20">
        <v>517</v>
      </c>
      <c r="C737" s="21" t="s">
        <v>2494</v>
      </c>
      <c r="D737" s="72" t="s">
        <v>2495</v>
      </c>
      <c r="E737" s="72"/>
      <c r="F737" s="72"/>
      <c r="G737" s="72"/>
      <c r="H737" s="22" t="s">
        <v>2496</v>
      </c>
      <c r="I737" s="27">
        <v>128</v>
      </c>
      <c r="J737" s="22"/>
      <c r="K737" s="20">
        <v>2</v>
      </c>
      <c r="L737" s="24">
        <v>315.91000000000003</v>
      </c>
      <c r="M737" s="11"/>
      <c r="N737" s="22">
        <f t="shared" si="34"/>
        <v>0</v>
      </c>
      <c r="O737" s="25">
        <f>0.022*M737</f>
        <v>0</v>
      </c>
      <c r="P737" s="26">
        <f>0.00066*M737</f>
        <v>0</v>
      </c>
      <c r="Q737" s="30"/>
      <c r="R737" s="22" t="s">
        <v>2497</v>
      </c>
      <c r="S737" s="22" t="s">
        <v>435</v>
      </c>
      <c r="T737" s="21" t="str">
        <f>HYPERLINK("https://miland.ru/api/getInfo/image/b6ba7c74-90d5-11ed-a22c-00155d82e902")</f>
        <v>https://miland.ru/api/getInfo/image/b6ba7c74-90d5-11ed-a22c-00155d82e902</v>
      </c>
      <c r="U737" s="21"/>
      <c r="V737" s="21" t="s">
        <v>710</v>
      </c>
      <c r="W737" s="21" t="s">
        <v>82</v>
      </c>
      <c r="X737" s="21"/>
      <c r="Y737" s="21" t="s">
        <v>41</v>
      </c>
      <c r="Z737" s="21"/>
      <c r="AA737" s="21" t="str">
        <f>HYPERLINK("https://miland.ru/api/getInfo/item/b6ba7c74-90d5-11ed-a22c-00155d82e902")</f>
        <v>https://miland.ru/api/getInfo/item/b6ba7c74-90d5-11ed-a22c-00155d82e902</v>
      </c>
      <c r="AB737" s="21" t="s">
        <v>42</v>
      </c>
      <c r="AC737" s="21"/>
      <c r="AD737" s="21"/>
    </row>
    <row r="738" spans="2:31" s="1" customFormat="1" ht="96.3" customHeight="1" outlineLevel="7">
      <c r="B738" s="20">
        <v>518</v>
      </c>
      <c r="C738" s="21" t="s">
        <v>2498</v>
      </c>
      <c r="D738" s="72" t="s">
        <v>2499</v>
      </c>
      <c r="E738" s="72"/>
      <c r="F738" s="72"/>
      <c r="G738" s="72"/>
      <c r="H738" s="22" t="s">
        <v>2500</v>
      </c>
      <c r="I738" s="27">
        <v>13</v>
      </c>
      <c r="J738" s="22"/>
      <c r="K738" s="20">
        <v>2</v>
      </c>
      <c r="L738" s="24">
        <v>315.3</v>
      </c>
      <c r="M738" s="11"/>
      <c r="N738" s="22">
        <f t="shared" si="34"/>
        <v>0</v>
      </c>
      <c r="O738" s="28">
        <f>0.03*M738</f>
        <v>0</v>
      </c>
      <c r="P738" s="29">
        <f>0.0007*M738</f>
        <v>0</v>
      </c>
      <c r="Q738" s="30"/>
      <c r="R738" s="22" t="s">
        <v>2501</v>
      </c>
      <c r="S738" s="22" t="s">
        <v>435</v>
      </c>
      <c r="T738" s="21" t="str">
        <f>HYPERLINK("https://miland.ru/api/getInfo/image/83d1048a-90d8-11ed-a22c-00155d82e902")</f>
        <v>https://miland.ru/api/getInfo/image/83d1048a-90d8-11ed-a22c-00155d82e902</v>
      </c>
      <c r="U738" s="21"/>
      <c r="V738" s="21" t="s">
        <v>710</v>
      </c>
      <c r="W738" s="21" t="s">
        <v>82</v>
      </c>
      <c r="X738" s="21"/>
      <c r="Y738" s="21" t="s">
        <v>41</v>
      </c>
      <c r="Z738" s="21"/>
      <c r="AA738" s="21" t="str">
        <f>HYPERLINK("https://miland.ru/api/getInfo/item/83d1048a-90d8-11ed-a22c-00155d82e902")</f>
        <v>https://miland.ru/api/getInfo/item/83d1048a-90d8-11ed-a22c-00155d82e902</v>
      </c>
      <c r="AB738" s="21" t="s">
        <v>42</v>
      </c>
      <c r="AC738" s="21"/>
      <c r="AD738" s="21"/>
    </row>
    <row r="739" spans="2:31" s="1" customFormat="1" ht="96.3" customHeight="1" outlineLevel="7">
      <c r="B739" s="20">
        <v>519</v>
      </c>
      <c r="C739" s="21" t="s">
        <v>2502</v>
      </c>
      <c r="D739" s="72" t="s">
        <v>2503</v>
      </c>
      <c r="E739" s="72"/>
      <c r="F739" s="72"/>
      <c r="G739" s="72"/>
      <c r="H739" s="22" t="s">
        <v>2504</v>
      </c>
      <c r="I739" s="27">
        <v>428</v>
      </c>
      <c r="J739" s="22"/>
      <c r="K739" s="20">
        <v>2</v>
      </c>
      <c r="L739" s="24">
        <v>339.97</v>
      </c>
      <c r="M739" s="11"/>
      <c r="N739" s="22">
        <f t="shared" si="34"/>
        <v>0</v>
      </c>
      <c r="O739" s="25">
        <f>0.032*M739</f>
        <v>0</v>
      </c>
      <c r="P739" s="26">
        <f>0.00062*M739</f>
        <v>0</v>
      </c>
      <c r="Q739" s="30"/>
      <c r="R739" s="22" t="s">
        <v>2505</v>
      </c>
      <c r="S739" s="22" t="s">
        <v>435</v>
      </c>
      <c r="T739" s="21" t="str">
        <f>HYPERLINK("https://miland.ru/api/getInfo/image/ee9cdf4b-901e-11ed-a22b-00155d82e902")</f>
        <v>https://miland.ru/api/getInfo/image/ee9cdf4b-901e-11ed-a22b-00155d82e902</v>
      </c>
      <c r="U739" s="21"/>
      <c r="V739" s="21" t="s">
        <v>710</v>
      </c>
      <c r="W739" s="21" t="s">
        <v>82</v>
      </c>
      <c r="X739" s="21"/>
      <c r="Y739" s="21" t="s">
        <v>41</v>
      </c>
      <c r="Z739" s="21"/>
      <c r="AA739" s="21" t="str">
        <f>HYPERLINK("https://miland.ru/api/getInfo/item/ee9cdf4b-901e-11ed-a22b-00155d82e902")</f>
        <v>https://miland.ru/api/getInfo/item/ee9cdf4b-901e-11ed-a22b-00155d82e902</v>
      </c>
      <c r="AB739" s="21" t="s">
        <v>42</v>
      </c>
      <c r="AC739" s="21"/>
      <c r="AD739" s="21"/>
    </row>
    <row r="740" spans="2:31" s="1" customFormat="1" ht="96.3" customHeight="1" outlineLevel="7">
      <c r="B740" s="20">
        <v>520</v>
      </c>
      <c r="C740" s="21" t="s">
        <v>2506</v>
      </c>
      <c r="D740" s="72" t="s">
        <v>2507</v>
      </c>
      <c r="E740" s="72"/>
      <c r="F740" s="72"/>
      <c r="G740" s="72"/>
      <c r="H740" s="22" t="s">
        <v>2508</v>
      </c>
      <c r="I740" s="23" t="s">
        <v>36</v>
      </c>
      <c r="J740" s="22"/>
      <c r="K740" s="20">
        <v>2</v>
      </c>
      <c r="L740" s="24">
        <v>285.81</v>
      </c>
      <c r="M740" s="11"/>
      <c r="N740" s="22">
        <f t="shared" si="34"/>
        <v>0</v>
      </c>
      <c r="O740" s="28">
        <f>0.03*M740</f>
        <v>0</v>
      </c>
      <c r="P740" s="26">
        <f>0.00062*M740</f>
        <v>0</v>
      </c>
      <c r="Q740" s="30"/>
      <c r="R740" s="22" t="s">
        <v>2509</v>
      </c>
      <c r="S740" s="22" t="s">
        <v>435</v>
      </c>
      <c r="T740" s="21" t="str">
        <f>HYPERLINK("https://miland.ru/api/getInfo/image/44d2af5b-90db-11ed-a22c-00155d82e902")</f>
        <v>https://miland.ru/api/getInfo/image/44d2af5b-90db-11ed-a22c-00155d82e902</v>
      </c>
      <c r="U740" s="21"/>
      <c r="V740" s="21" t="s">
        <v>710</v>
      </c>
      <c r="W740" s="21" t="s">
        <v>82</v>
      </c>
      <c r="X740" s="21"/>
      <c r="Y740" s="21" t="s">
        <v>41</v>
      </c>
      <c r="Z740" s="21"/>
      <c r="AA740" s="21" t="str">
        <f>HYPERLINK("https://miland.ru/api/getInfo/item/44d2af5b-90db-11ed-a22c-00155d82e902")</f>
        <v>https://miland.ru/api/getInfo/item/44d2af5b-90db-11ed-a22c-00155d82e902</v>
      </c>
      <c r="AB740" s="21" t="s">
        <v>42</v>
      </c>
      <c r="AC740" s="21"/>
      <c r="AD740" s="21"/>
    </row>
    <row r="741" spans="2:31" s="1" customFormat="1" ht="96.3" customHeight="1" outlineLevel="7">
      <c r="B741" s="20">
        <v>521</v>
      </c>
      <c r="C741" s="21" t="s">
        <v>2510</v>
      </c>
      <c r="D741" s="72" t="s">
        <v>2511</v>
      </c>
      <c r="E741" s="72"/>
      <c r="F741" s="72"/>
      <c r="G741" s="72"/>
      <c r="H741" s="22" t="s">
        <v>2512</v>
      </c>
      <c r="I741" s="27">
        <v>47</v>
      </c>
      <c r="J741" s="22"/>
      <c r="K741" s="20">
        <v>2</v>
      </c>
      <c r="L741" s="24">
        <v>321.93</v>
      </c>
      <c r="M741" s="11"/>
      <c r="N741" s="22">
        <f t="shared" si="34"/>
        <v>0</v>
      </c>
      <c r="O741" s="25">
        <f>0.031*M741</f>
        <v>0</v>
      </c>
      <c r="P741" s="26">
        <f>0.00068*M741</f>
        <v>0</v>
      </c>
      <c r="Q741" s="30"/>
      <c r="R741" s="22" t="s">
        <v>2513</v>
      </c>
      <c r="S741" s="22" t="s">
        <v>435</v>
      </c>
      <c r="T741" s="21" t="str">
        <f>HYPERLINK("https://miland.ru/api/getInfo/image/ba017771-90d7-11ed-a22c-00155d82e902")</f>
        <v>https://miland.ru/api/getInfo/image/ba017771-90d7-11ed-a22c-00155d82e902</v>
      </c>
      <c r="U741" s="21"/>
      <c r="V741" s="21" t="s">
        <v>710</v>
      </c>
      <c r="W741" s="21" t="s">
        <v>82</v>
      </c>
      <c r="X741" s="21"/>
      <c r="Y741" s="21" t="s">
        <v>41</v>
      </c>
      <c r="Z741" s="21"/>
      <c r="AA741" s="21" t="str">
        <f>HYPERLINK("https://miland.ru/api/getInfo/item/ba017771-90d7-11ed-a22c-00155d82e902")</f>
        <v>https://miland.ru/api/getInfo/item/ba017771-90d7-11ed-a22c-00155d82e902</v>
      </c>
      <c r="AB741" s="21" t="s">
        <v>42</v>
      </c>
      <c r="AC741" s="21"/>
      <c r="AD741" s="21"/>
    </row>
    <row r="742" spans="2:31" s="1" customFormat="1" ht="96.3" customHeight="1" outlineLevel="7">
      <c r="B742" s="20">
        <v>522</v>
      </c>
      <c r="C742" s="21" t="s">
        <v>2514</v>
      </c>
      <c r="D742" s="72" t="s">
        <v>2515</v>
      </c>
      <c r="E742" s="72"/>
      <c r="F742" s="72"/>
      <c r="G742" s="72"/>
      <c r="H742" s="22" t="s">
        <v>2516</v>
      </c>
      <c r="I742" s="23" t="s">
        <v>36</v>
      </c>
      <c r="J742" s="22"/>
      <c r="K742" s="20">
        <v>1</v>
      </c>
      <c r="L742" s="24">
        <v>408.23</v>
      </c>
      <c r="M742" s="11"/>
      <c r="N742" s="22">
        <f t="shared" si="34"/>
        <v>0</v>
      </c>
      <c r="O742" s="28">
        <f>0.06*M742</f>
        <v>0</v>
      </c>
      <c r="P742" s="26">
        <f>0.00094*M742</f>
        <v>0</v>
      </c>
      <c r="Q742" s="30"/>
      <c r="R742" s="22" t="s">
        <v>2517</v>
      </c>
      <c r="S742" s="22" t="s">
        <v>435</v>
      </c>
      <c r="T742" s="21" t="str">
        <f>HYPERLINK("https://miland.ru/api/getInfo/image/db979c23-90ae-11ed-a22c-00155d82e902")</f>
        <v>https://miland.ru/api/getInfo/image/db979c23-90ae-11ed-a22c-00155d82e902</v>
      </c>
      <c r="U742" s="21"/>
      <c r="V742" s="21" t="s">
        <v>710</v>
      </c>
      <c r="W742" s="21" t="s">
        <v>82</v>
      </c>
      <c r="X742" s="21"/>
      <c r="Y742" s="21" t="s">
        <v>41</v>
      </c>
      <c r="Z742" s="21"/>
      <c r="AA742" s="21" t="str">
        <f>HYPERLINK("https://miland.ru/api/getInfo/item/db979c23-90ae-11ed-a22c-00155d82e902")</f>
        <v>https://miland.ru/api/getInfo/item/db979c23-90ae-11ed-a22c-00155d82e902</v>
      </c>
      <c r="AB742" s="21" t="s">
        <v>42</v>
      </c>
      <c r="AC742" s="21"/>
      <c r="AD742" s="21"/>
    </row>
    <row r="743" spans="2:31" s="1" customFormat="1" ht="96.3" customHeight="1" outlineLevel="7">
      <c r="B743" s="34">
        <v>523</v>
      </c>
      <c r="C743" s="35" t="s">
        <v>2518</v>
      </c>
      <c r="D743" s="73" t="s">
        <v>2519</v>
      </c>
      <c r="E743" s="73"/>
      <c r="F743" s="73"/>
      <c r="G743" s="73"/>
      <c r="H743" s="36" t="s">
        <v>2520</v>
      </c>
      <c r="I743" s="40">
        <v>5</v>
      </c>
      <c r="J743" s="36"/>
      <c r="K743" s="34">
        <v>3</v>
      </c>
      <c r="L743" s="41">
        <v>116.77333333333333</v>
      </c>
      <c r="M743" s="11"/>
      <c r="N743" s="36">
        <f t="shared" si="34"/>
        <v>0</v>
      </c>
      <c r="O743" s="42">
        <f>0.033*M743</f>
        <v>0</v>
      </c>
      <c r="P743" s="43">
        <f>0.00032*M743</f>
        <v>0</v>
      </c>
      <c r="Q743" s="50"/>
      <c r="R743" s="36" t="s">
        <v>2521</v>
      </c>
      <c r="S743" s="36" t="s">
        <v>435</v>
      </c>
      <c r="T743" s="35" t="str">
        <f>HYPERLINK("https://miland.ru/api/getInfo/image/741b8282-90de-11ed-a22c-00155d82e902")</f>
        <v>https://miland.ru/api/getInfo/image/741b8282-90de-11ed-a22c-00155d82e902</v>
      </c>
      <c r="U743" s="35"/>
      <c r="V743" s="35" t="s">
        <v>710</v>
      </c>
      <c r="W743" s="35" t="s">
        <v>82</v>
      </c>
      <c r="X743" s="35"/>
      <c r="Y743" s="35" t="s">
        <v>41</v>
      </c>
      <c r="Z743" s="35"/>
      <c r="AA743" s="35" t="str">
        <f>HYPERLINK("https://miland.ru/api/getInfo/item/741b8282-90de-11ed-a22c-00155d82e902")</f>
        <v>https://miland.ru/api/getInfo/item/741b8282-90de-11ed-a22c-00155d82e902</v>
      </c>
      <c r="AB743" s="35" t="s">
        <v>42</v>
      </c>
      <c r="AC743" s="35"/>
      <c r="AD743" s="35"/>
      <c r="AE743" s="52" t="s">
        <v>1251</v>
      </c>
    </row>
    <row r="744" spans="2:31" s="1" customFormat="1" ht="96.3" customHeight="1" outlineLevel="7">
      <c r="B744" s="20">
        <v>524</v>
      </c>
      <c r="C744" s="21" t="s">
        <v>2522</v>
      </c>
      <c r="D744" s="72" t="s">
        <v>2523</v>
      </c>
      <c r="E744" s="72"/>
      <c r="F744" s="72"/>
      <c r="G744" s="72"/>
      <c r="H744" s="22" t="s">
        <v>2524</v>
      </c>
      <c r="I744" s="23" t="s">
        <v>36</v>
      </c>
      <c r="J744" s="22"/>
      <c r="K744" s="20">
        <v>2</v>
      </c>
      <c r="L744" s="24">
        <v>287.33</v>
      </c>
      <c r="M744" s="11"/>
      <c r="N744" s="22">
        <f t="shared" si="34"/>
        <v>0</v>
      </c>
      <c r="O744" s="25">
        <f>0.022*M744</f>
        <v>0</v>
      </c>
      <c r="P744" s="26">
        <f>0.00056*M744</f>
        <v>0</v>
      </c>
      <c r="Q744" s="30"/>
      <c r="R744" s="22" t="s">
        <v>2525</v>
      </c>
      <c r="S744" s="22"/>
      <c r="T744" s="21" t="str">
        <f>HYPERLINK("https://miland.ru/api/getInfo/image/f7ae3100-d982-11ef-a273-00155d82e908")</f>
        <v>https://miland.ru/api/getInfo/image/f7ae3100-d982-11ef-a273-00155d82e908</v>
      </c>
      <c r="U744" s="21"/>
      <c r="V744" s="21" t="s">
        <v>710</v>
      </c>
      <c r="W744" s="21" t="s">
        <v>82</v>
      </c>
      <c r="X744" s="21"/>
      <c r="Y744" s="21" t="s">
        <v>41</v>
      </c>
      <c r="Z744" s="21"/>
      <c r="AA744" s="21" t="str">
        <f>HYPERLINK("https://miland.ru/api/getInfo/item/f7ae3100-d982-11ef-a273-00155d82e908")</f>
        <v>https://miland.ru/api/getInfo/item/f7ae3100-d982-11ef-a273-00155d82e908</v>
      </c>
      <c r="AB744" s="21" t="s">
        <v>42</v>
      </c>
      <c r="AC744" s="21"/>
      <c r="AD744" s="21"/>
    </row>
    <row r="745" spans="2:31" s="1" customFormat="1" ht="96.3" customHeight="1" outlineLevel="7">
      <c r="B745" s="20">
        <v>525</v>
      </c>
      <c r="C745" s="21" t="s">
        <v>2526</v>
      </c>
      <c r="D745" s="72" t="s">
        <v>2527</v>
      </c>
      <c r="E745" s="72"/>
      <c r="F745" s="72"/>
      <c r="G745" s="72"/>
      <c r="H745" s="22" t="s">
        <v>2528</v>
      </c>
      <c r="I745" s="27">
        <v>308</v>
      </c>
      <c r="J745" s="22"/>
      <c r="K745" s="20">
        <v>2</v>
      </c>
      <c r="L745" s="24">
        <v>408.45</v>
      </c>
      <c r="M745" s="11"/>
      <c r="N745" s="22">
        <f t="shared" si="34"/>
        <v>0</v>
      </c>
      <c r="O745" s="25">
        <f>0.037*M745</f>
        <v>0</v>
      </c>
      <c r="P745" s="26">
        <f>0.00063*M745</f>
        <v>0</v>
      </c>
      <c r="Q745" s="30"/>
      <c r="R745" s="22" t="s">
        <v>2529</v>
      </c>
      <c r="S745" s="22" t="s">
        <v>435</v>
      </c>
      <c r="T745" s="21" t="str">
        <f>HYPERLINK("https://miland.ru/api/getInfo/image/b03de025-bf7c-11ee-a25a-00155d82e908")</f>
        <v>https://miland.ru/api/getInfo/image/b03de025-bf7c-11ee-a25a-00155d82e908</v>
      </c>
      <c r="U745" s="21"/>
      <c r="V745" s="21" t="s">
        <v>710</v>
      </c>
      <c r="W745" s="21" t="s">
        <v>82</v>
      </c>
      <c r="X745" s="21"/>
      <c r="Y745" s="21" t="s">
        <v>41</v>
      </c>
      <c r="Z745" s="21"/>
      <c r="AA745" s="21" t="str">
        <f>HYPERLINK("https://miland.ru/api/getInfo/item/b03de025-bf7c-11ee-a25a-00155d82e908")</f>
        <v>https://miland.ru/api/getInfo/item/b03de025-bf7c-11ee-a25a-00155d82e908</v>
      </c>
      <c r="AB745" s="21" t="s">
        <v>42</v>
      </c>
      <c r="AC745" s="21" t="s">
        <v>2530</v>
      </c>
      <c r="AD745" s="21"/>
    </row>
    <row r="746" spans="2:31" s="1" customFormat="1" ht="96.3" customHeight="1" outlineLevel="7">
      <c r="B746" s="20">
        <v>526</v>
      </c>
      <c r="C746" s="21" t="s">
        <v>2531</v>
      </c>
      <c r="D746" s="72" t="s">
        <v>2532</v>
      </c>
      <c r="E746" s="72"/>
      <c r="F746" s="72"/>
      <c r="G746" s="72"/>
      <c r="H746" s="22" t="s">
        <v>2533</v>
      </c>
      <c r="I746" s="23" t="s">
        <v>36</v>
      </c>
      <c r="J746" s="22"/>
      <c r="K746" s="20">
        <v>2</v>
      </c>
      <c r="L746" s="24">
        <v>354.69</v>
      </c>
      <c r="M746" s="11"/>
      <c r="N746" s="22">
        <f t="shared" si="34"/>
        <v>0</v>
      </c>
      <c r="O746" s="25">
        <f>0.015*M746</f>
        <v>0</v>
      </c>
      <c r="P746" s="26">
        <f>0.00005*M746</f>
        <v>0</v>
      </c>
      <c r="Q746" s="30"/>
      <c r="R746" s="22" t="s">
        <v>2534</v>
      </c>
      <c r="S746" s="22" t="s">
        <v>435</v>
      </c>
      <c r="T746" s="21" t="str">
        <f>HYPERLINK("https://miland.ru/api/getInfo/image/7529f6e4-bf7b-11ee-a25a-00155d82e908")</f>
        <v>https://miland.ru/api/getInfo/image/7529f6e4-bf7b-11ee-a25a-00155d82e908</v>
      </c>
      <c r="U746" s="21"/>
      <c r="V746" s="21" t="s">
        <v>710</v>
      </c>
      <c r="W746" s="21" t="s">
        <v>82</v>
      </c>
      <c r="X746" s="21"/>
      <c r="Y746" s="21" t="s">
        <v>41</v>
      </c>
      <c r="Z746" s="21"/>
      <c r="AA746" s="21" t="str">
        <f>HYPERLINK("https://miland.ru/api/getInfo/item/7529f6e4-bf7b-11ee-a25a-00155d82e908")</f>
        <v>https://miland.ru/api/getInfo/item/7529f6e4-bf7b-11ee-a25a-00155d82e908</v>
      </c>
      <c r="AB746" s="21" t="s">
        <v>42</v>
      </c>
      <c r="AC746" s="21" t="s">
        <v>2530</v>
      </c>
      <c r="AD746" s="21"/>
    </row>
    <row r="747" spans="2:31" ht="12" customHeight="1" outlineLevel="7">
      <c r="B747" s="70" t="s">
        <v>2535</v>
      </c>
      <c r="C747" s="70"/>
      <c r="D747" s="70"/>
      <c r="E747" s="70"/>
      <c r="F747" s="70"/>
      <c r="G747" s="70"/>
    </row>
    <row r="748" spans="2:31" s="1" customFormat="1" ht="96.3" customHeight="1" outlineLevel="7">
      <c r="B748" s="6">
        <v>527</v>
      </c>
      <c r="C748" s="7" t="s">
        <v>2536</v>
      </c>
      <c r="D748" s="71" t="s">
        <v>2537</v>
      </c>
      <c r="E748" s="71"/>
      <c r="F748" s="71"/>
      <c r="G748" s="71"/>
      <c r="H748" s="8" t="s">
        <v>2538</v>
      </c>
      <c r="I748" s="14">
        <v>177</v>
      </c>
      <c r="J748" s="8"/>
      <c r="K748" s="6">
        <v>3</v>
      </c>
      <c r="L748" s="10">
        <v>214.2</v>
      </c>
      <c r="M748" s="11"/>
      <c r="N748" s="8">
        <f>L748*M748</f>
        <v>0</v>
      </c>
      <c r="O748" s="12">
        <f>0.022*M748</f>
        <v>0</v>
      </c>
      <c r="P748" s="13">
        <f>0.00336*M748</f>
        <v>0</v>
      </c>
      <c r="Q748" s="17" t="s">
        <v>37</v>
      </c>
      <c r="R748" s="8" t="s">
        <v>2539</v>
      </c>
      <c r="S748" s="8"/>
      <c r="T748" s="7" t="str">
        <f>HYPERLINK("https://miland.ru/api/getInfo/image/adc5a791-29e2-11f1-a292-00155d82e908")</f>
        <v>https://miland.ru/api/getInfo/image/adc5a791-29e2-11f1-a292-00155d82e908</v>
      </c>
      <c r="U748" s="7"/>
      <c r="V748" s="7"/>
      <c r="W748" s="7" t="s">
        <v>82</v>
      </c>
      <c r="X748" s="7"/>
      <c r="Y748" s="7" t="s">
        <v>41</v>
      </c>
      <c r="Z748" s="7"/>
      <c r="AA748" s="7" t="str">
        <f>HYPERLINK("https://miland.ru/api/getInfo/item/adc5a791-29e2-11f1-a292-00155d82e908")</f>
        <v>https://miland.ru/api/getInfo/item/adc5a791-29e2-11f1-a292-00155d82e908</v>
      </c>
      <c r="AB748" s="7" t="s">
        <v>42</v>
      </c>
      <c r="AC748" s="7"/>
      <c r="AD748" s="7"/>
      <c r="AE748" s="54"/>
    </row>
    <row r="749" spans="2:31" s="1" customFormat="1" ht="96.3" customHeight="1" outlineLevel="7">
      <c r="B749" s="6">
        <v>528</v>
      </c>
      <c r="C749" s="7" t="s">
        <v>2540</v>
      </c>
      <c r="D749" s="71" t="s">
        <v>2541</v>
      </c>
      <c r="E749" s="71"/>
      <c r="F749" s="71"/>
      <c r="G749" s="71"/>
      <c r="H749" s="8" t="s">
        <v>2542</v>
      </c>
      <c r="I749" s="14">
        <v>113</v>
      </c>
      <c r="J749" s="8"/>
      <c r="K749" s="6">
        <v>1</v>
      </c>
      <c r="L749" s="10">
        <v>786.86</v>
      </c>
      <c r="M749" s="11"/>
      <c r="N749" s="8">
        <f>L749*M749</f>
        <v>0</v>
      </c>
      <c r="O749" s="12">
        <f>0.235*M749</f>
        <v>0</v>
      </c>
      <c r="P749" s="13">
        <f>0.01109*M749</f>
        <v>0</v>
      </c>
      <c r="Q749" s="17" t="s">
        <v>37</v>
      </c>
      <c r="R749" s="8" t="s">
        <v>2543</v>
      </c>
      <c r="S749" s="8"/>
      <c r="T749" s="7" t="str">
        <f>HYPERLINK("https://miland.ru/api/getInfo/image/fdcac76a-29e2-11f1-a292-00155d82e908")</f>
        <v>https://miland.ru/api/getInfo/image/fdcac76a-29e2-11f1-a292-00155d82e908</v>
      </c>
      <c r="U749" s="7"/>
      <c r="V749" s="7"/>
      <c r="W749" s="7" t="s">
        <v>82</v>
      </c>
      <c r="X749" s="7"/>
      <c r="Y749" s="7" t="s">
        <v>41</v>
      </c>
      <c r="Z749" s="7"/>
      <c r="AA749" s="7" t="str">
        <f>HYPERLINK("https://miland.ru/api/getInfo/item/fdcac76a-29e2-11f1-a292-00155d82e908")</f>
        <v>https://miland.ru/api/getInfo/item/fdcac76a-29e2-11f1-a292-00155d82e908</v>
      </c>
      <c r="AB749" s="7" t="s">
        <v>42</v>
      </c>
      <c r="AC749" s="7"/>
      <c r="AD749" s="7"/>
      <c r="AE749" s="54"/>
    </row>
    <row r="750" spans="2:31" s="1" customFormat="1" ht="96.3" customHeight="1" outlineLevel="7">
      <c r="B750" s="6">
        <v>529</v>
      </c>
      <c r="C750" s="7" t="s">
        <v>2544</v>
      </c>
      <c r="D750" s="71" t="s">
        <v>2545</v>
      </c>
      <c r="E750" s="71"/>
      <c r="F750" s="71"/>
      <c r="G750" s="71"/>
      <c r="H750" s="8" t="s">
        <v>2546</v>
      </c>
      <c r="I750" s="14">
        <v>62</v>
      </c>
      <c r="J750" s="8"/>
      <c r="K750" s="6">
        <v>1</v>
      </c>
      <c r="L750" s="10">
        <v>445.89</v>
      </c>
      <c r="M750" s="11"/>
      <c r="N750" s="8">
        <f>L750*M750</f>
        <v>0</v>
      </c>
      <c r="O750" s="12">
        <f>0.158*M750</f>
        <v>0</v>
      </c>
      <c r="P750" s="13">
        <f>0.01033*M750</f>
        <v>0</v>
      </c>
      <c r="Q750" s="17" t="s">
        <v>37</v>
      </c>
      <c r="R750" s="8" t="s">
        <v>2547</v>
      </c>
      <c r="S750" s="8"/>
      <c r="T750" s="7" t="str">
        <f>HYPERLINK("https://miland.ru/api/getInfo/image/98703a9e-29e2-11f1-a292-00155d82e908")</f>
        <v>https://miland.ru/api/getInfo/image/98703a9e-29e2-11f1-a292-00155d82e908</v>
      </c>
      <c r="U750" s="7"/>
      <c r="V750" s="7"/>
      <c r="W750" s="7" t="s">
        <v>82</v>
      </c>
      <c r="X750" s="7"/>
      <c r="Y750" s="7" t="s">
        <v>41</v>
      </c>
      <c r="Z750" s="7"/>
      <c r="AA750" s="7" t="str">
        <f>HYPERLINK("https://miland.ru/api/getInfo/item/98703a9e-29e2-11f1-a292-00155d82e908")</f>
        <v>https://miland.ru/api/getInfo/item/98703a9e-29e2-11f1-a292-00155d82e908</v>
      </c>
      <c r="AB750" s="7" t="s">
        <v>42</v>
      </c>
      <c r="AC750" s="7"/>
      <c r="AD750" s="7"/>
      <c r="AE750" s="54"/>
    </row>
    <row r="751" spans="2:31" s="1" customFormat="1" ht="96.3" customHeight="1" outlineLevel="7">
      <c r="B751" s="6">
        <v>530</v>
      </c>
      <c r="C751" s="7" t="s">
        <v>2548</v>
      </c>
      <c r="D751" s="71" t="s">
        <v>2549</v>
      </c>
      <c r="E751" s="71"/>
      <c r="F751" s="71"/>
      <c r="G751" s="71"/>
      <c r="H751" s="8" t="s">
        <v>2550</v>
      </c>
      <c r="I751" s="14">
        <v>232</v>
      </c>
      <c r="J751" s="8"/>
      <c r="K751" s="6">
        <v>2</v>
      </c>
      <c r="L751" s="10">
        <v>375.94</v>
      </c>
      <c r="M751" s="11"/>
      <c r="N751" s="8">
        <f>L751*M751</f>
        <v>0</v>
      </c>
      <c r="O751" s="12">
        <f>0.077*M751</f>
        <v>0</v>
      </c>
      <c r="P751" s="13">
        <f>0.00539*M751</f>
        <v>0</v>
      </c>
      <c r="Q751" s="17" t="s">
        <v>37</v>
      </c>
      <c r="R751" s="8" t="s">
        <v>2551</v>
      </c>
      <c r="S751" s="8"/>
      <c r="T751" s="7" t="str">
        <f>HYPERLINK("https://miland.ru/api/getInfo/image/4435bb8f-29e2-11f1-a292-00155d82e908")</f>
        <v>https://miland.ru/api/getInfo/image/4435bb8f-29e2-11f1-a292-00155d82e908</v>
      </c>
      <c r="U751" s="7"/>
      <c r="V751" s="7"/>
      <c r="W751" s="7" t="s">
        <v>82</v>
      </c>
      <c r="X751" s="7"/>
      <c r="Y751" s="7" t="s">
        <v>41</v>
      </c>
      <c r="Z751" s="7"/>
      <c r="AA751" s="7" t="str">
        <f>HYPERLINK("https://miland.ru/api/getInfo/item/4435bb8f-29e2-11f1-a292-00155d82e908")</f>
        <v>https://miland.ru/api/getInfo/item/4435bb8f-29e2-11f1-a292-00155d82e908</v>
      </c>
      <c r="AB751" s="7" t="s">
        <v>42</v>
      </c>
      <c r="AC751" s="7"/>
      <c r="AD751" s="7"/>
      <c r="AE751" s="54"/>
    </row>
    <row r="752" spans="2:31" ht="12" customHeight="1" outlineLevel="6">
      <c r="B752" s="70" t="s">
        <v>2552</v>
      </c>
      <c r="C752" s="70"/>
      <c r="D752" s="70"/>
      <c r="E752" s="70"/>
      <c r="F752" s="70"/>
      <c r="G752" s="70"/>
    </row>
    <row r="753" spans="2:31" ht="12" customHeight="1" outlineLevel="7">
      <c r="B753" s="70" t="s">
        <v>2226</v>
      </c>
      <c r="C753" s="70"/>
      <c r="D753" s="70"/>
      <c r="E753" s="70"/>
      <c r="F753" s="70"/>
      <c r="G753" s="70"/>
    </row>
    <row r="754" spans="2:31" s="1" customFormat="1" ht="96.3" customHeight="1" outlineLevel="7">
      <c r="B754" s="20">
        <v>531</v>
      </c>
      <c r="C754" s="21" t="s">
        <v>2553</v>
      </c>
      <c r="D754" s="72" t="s">
        <v>2554</v>
      </c>
      <c r="E754" s="72"/>
      <c r="F754" s="72"/>
      <c r="G754" s="72"/>
      <c r="H754" s="22" t="s">
        <v>2555</v>
      </c>
      <c r="I754" s="23" t="s">
        <v>36</v>
      </c>
      <c r="J754" s="22"/>
      <c r="K754" s="20">
        <v>6</v>
      </c>
      <c r="L754" s="24">
        <v>109.69</v>
      </c>
      <c r="M754" s="11"/>
      <c r="N754" s="22">
        <f t="shared" ref="N754:N761" si="35">L754*M754</f>
        <v>0</v>
      </c>
      <c r="O754" s="28">
        <f>0.05*M754</f>
        <v>0</v>
      </c>
      <c r="P754" s="26">
        <f>0.00066*M754</f>
        <v>0</v>
      </c>
      <c r="Q754" s="30"/>
      <c r="R754" s="22" t="s">
        <v>2556</v>
      </c>
      <c r="S754" s="22"/>
      <c r="T754" s="21" t="str">
        <f>HYPERLINK("https://miland.ru/api/getInfo/image/de2acf3d-3718-11e7-977d-5cf3fc4a2490")</f>
        <v>https://miland.ru/api/getInfo/image/de2acf3d-3718-11e7-977d-5cf3fc4a2490</v>
      </c>
      <c r="U754" s="21"/>
      <c r="V754" s="21" t="s">
        <v>710</v>
      </c>
      <c r="W754" s="21" t="s">
        <v>82</v>
      </c>
      <c r="X754" s="21"/>
      <c r="Y754" s="21" t="s">
        <v>41</v>
      </c>
      <c r="Z754" s="21"/>
      <c r="AA754" s="21" t="str">
        <f>HYPERLINK("https://miland.ru/api/getInfo/item/de2acf3d-3718-11e7-977d-5cf3fc4a2490")</f>
        <v>https://miland.ru/api/getInfo/item/de2acf3d-3718-11e7-977d-5cf3fc4a2490</v>
      </c>
      <c r="AB754" s="21" t="s">
        <v>42</v>
      </c>
      <c r="AC754" s="21" t="s">
        <v>2557</v>
      </c>
      <c r="AD754" s="21"/>
    </row>
    <row r="755" spans="2:31" s="1" customFormat="1" ht="96.3" customHeight="1" outlineLevel="7">
      <c r="B755" s="20">
        <v>532</v>
      </c>
      <c r="C755" s="21" t="s">
        <v>2558</v>
      </c>
      <c r="D755" s="72" t="s">
        <v>2559</v>
      </c>
      <c r="E755" s="72"/>
      <c r="F755" s="72"/>
      <c r="G755" s="72"/>
      <c r="H755" s="22" t="s">
        <v>2560</v>
      </c>
      <c r="I755" s="27">
        <v>34</v>
      </c>
      <c r="J755" s="22"/>
      <c r="K755" s="20">
        <v>10</v>
      </c>
      <c r="L755" s="24">
        <v>78.78</v>
      </c>
      <c r="M755" s="11"/>
      <c r="N755" s="22">
        <f t="shared" si="35"/>
        <v>0</v>
      </c>
      <c r="O755" s="28">
        <f>0.05*M755</f>
        <v>0</v>
      </c>
      <c r="P755" s="26">
        <f>0.00051*M755</f>
        <v>0</v>
      </c>
      <c r="Q755" s="30"/>
      <c r="R755" s="22" t="s">
        <v>2561</v>
      </c>
      <c r="S755" s="22" t="s">
        <v>435</v>
      </c>
      <c r="T755" s="21" t="str">
        <f>HYPERLINK("https://miland.ru/api/getInfo/image/08ce39f6-3717-11e7-977d-5cf3fc4a2490")</f>
        <v>https://miland.ru/api/getInfo/image/08ce39f6-3717-11e7-977d-5cf3fc4a2490</v>
      </c>
      <c r="U755" s="21"/>
      <c r="V755" s="21" t="s">
        <v>710</v>
      </c>
      <c r="W755" s="21" t="s">
        <v>82</v>
      </c>
      <c r="X755" s="21"/>
      <c r="Y755" s="21" t="s">
        <v>41</v>
      </c>
      <c r="Z755" s="21"/>
      <c r="AA755" s="21" t="str">
        <f>HYPERLINK("https://miland.ru/api/getInfo/item/08ce39f6-3717-11e7-977d-5cf3fc4a2490")</f>
        <v>https://miland.ru/api/getInfo/item/08ce39f6-3717-11e7-977d-5cf3fc4a2490</v>
      </c>
      <c r="AB755" s="21" t="s">
        <v>42</v>
      </c>
      <c r="AC755" s="21" t="s">
        <v>2562</v>
      </c>
      <c r="AD755" s="21"/>
    </row>
    <row r="756" spans="2:31" s="1" customFormat="1" ht="96.3" customHeight="1" outlineLevel="7">
      <c r="B756" s="20">
        <v>533</v>
      </c>
      <c r="C756" s="21" t="s">
        <v>2563</v>
      </c>
      <c r="D756" s="72" t="s">
        <v>2564</v>
      </c>
      <c r="E756" s="72"/>
      <c r="F756" s="72"/>
      <c r="G756" s="72"/>
      <c r="H756" s="22" t="s">
        <v>2565</v>
      </c>
      <c r="I756" s="23" t="s">
        <v>36</v>
      </c>
      <c r="J756" s="22"/>
      <c r="K756" s="20">
        <v>5</v>
      </c>
      <c r="L756" s="24">
        <v>111.45</v>
      </c>
      <c r="M756" s="11"/>
      <c r="N756" s="22">
        <f t="shared" si="35"/>
        <v>0</v>
      </c>
      <c r="O756" s="25">
        <f>0.023*M756</f>
        <v>0</v>
      </c>
      <c r="P756" s="26">
        <f>0.00029*M756</f>
        <v>0</v>
      </c>
      <c r="Q756" s="30"/>
      <c r="R756" s="22" t="s">
        <v>2566</v>
      </c>
      <c r="S756" s="22"/>
      <c r="T756" s="21" t="str">
        <f>HYPERLINK("https://miland.ru/api/getInfo/image/0f44185d-3716-11e7-977d-5cf3fc4a2490")</f>
        <v>https://miland.ru/api/getInfo/image/0f44185d-3716-11e7-977d-5cf3fc4a2490</v>
      </c>
      <c r="U756" s="21"/>
      <c r="V756" s="21" t="s">
        <v>710</v>
      </c>
      <c r="W756" s="21" t="s">
        <v>82</v>
      </c>
      <c r="X756" s="21"/>
      <c r="Y756" s="21" t="s">
        <v>41</v>
      </c>
      <c r="Z756" s="21"/>
      <c r="AA756" s="21" t="str">
        <f>HYPERLINK("https://miland.ru/api/getInfo/item/0f44185d-3716-11e7-977d-5cf3fc4a2490")</f>
        <v>https://miland.ru/api/getInfo/item/0f44185d-3716-11e7-977d-5cf3fc4a2490</v>
      </c>
      <c r="AB756" s="21" t="s">
        <v>42</v>
      </c>
      <c r="AC756" s="21" t="s">
        <v>2567</v>
      </c>
      <c r="AD756" s="21"/>
    </row>
    <row r="757" spans="2:31" s="1" customFormat="1" ht="96.3" customHeight="1" outlineLevel="7">
      <c r="B757" s="34">
        <v>534</v>
      </c>
      <c r="C757" s="35" t="s">
        <v>2568</v>
      </c>
      <c r="D757" s="73" t="s">
        <v>2569</v>
      </c>
      <c r="E757" s="73"/>
      <c r="F757" s="73"/>
      <c r="G757" s="73"/>
      <c r="H757" s="36" t="s">
        <v>2570</v>
      </c>
      <c r="I757" s="40">
        <v>23</v>
      </c>
      <c r="J757" s="36"/>
      <c r="K757" s="34">
        <v>2</v>
      </c>
      <c r="L757" s="41">
        <v>66.173333333333332</v>
      </c>
      <c r="M757" s="11"/>
      <c r="N757" s="36">
        <f t="shared" si="35"/>
        <v>0</v>
      </c>
      <c r="O757" s="47">
        <f>0.05*M757</f>
        <v>0</v>
      </c>
      <c r="P757" s="43">
        <f>0.00006*M757</f>
        <v>0</v>
      </c>
      <c r="Q757" s="50"/>
      <c r="R757" s="36" t="s">
        <v>2571</v>
      </c>
      <c r="S757" s="36" t="s">
        <v>435</v>
      </c>
      <c r="T757" s="35" t="str">
        <f>HYPERLINK("https://miland.ru/api/getInfo/image/1a617dc9-5f74-11e9-a224-ac1f6b442184")</f>
        <v>https://miland.ru/api/getInfo/image/1a617dc9-5f74-11e9-a224-ac1f6b442184</v>
      </c>
      <c r="U757" s="35"/>
      <c r="V757" s="35" t="s">
        <v>710</v>
      </c>
      <c r="W757" s="35" t="s">
        <v>82</v>
      </c>
      <c r="X757" s="35"/>
      <c r="Y757" s="35" t="s">
        <v>41</v>
      </c>
      <c r="Z757" s="35"/>
      <c r="AA757" s="35" t="str">
        <f>HYPERLINK("https://miland.ru/api/getInfo/item/1a617dc9-5f74-11e9-a224-ac1f6b442184")</f>
        <v>https://miland.ru/api/getInfo/item/1a617dc9-5f74-11e9-a224-ac1f6b442184</v>
      </c>
      <c r="AB757" s="35" t="s">
        <v>42</v>
      </c>
      <c r="AC757" s="35" t="s">
        <v>2572</v>
      </c>
      <c r="AD757" s="35"/>
      <c r="AE757" s="52" t="s">
        <v>1251</v>
      </c>
    </row>
    <row r="758" spans="2:31" s="1" customFormat="1" ht="96.3" customHeight="1" outlineLevel="7">
      <c r="B758" s="20">
        <v>535</v>
      </c>
      <c r="C758" s="21" t="s">
        <v>2573</v>
      </c>
      <c r="D758" s="72" t="s">
        <v>2574</v>
      </c>
      <c r="E758" s="72"/>
      <c r="F758" s="72"/>
      <c r="G758" s="72"/>
      <c r="H758" s="22" t="s">
        <v>2575</v>
      </c>
      <c r="I758" s="27">
        <v>254</v>
      </c>
      <c r="J758" s="22"/>
      <c r="K758" s="20">
        <v>10</v>
      </c>
      <c r="L758" s="24">
        <v>83.38</v>
      </c>
      <c r="M758" s="11"/>
      <c r="N758" s="22">
        <f t="shared" si="35"/>
        <v>0</v>
      </c>
      <c r="O758" s="25">
        <f>0.036*M758</f>
        <v>0</v>
      </c>
      <c r="P758" s="26">
        <f>0.00081*M758</f>
        <v>0</v>
      </c>
      <c r="Q758" s="30"/>
      <c r="R758" s="22" t="s">
        <v>2576</v>
      </c>
      <c r="S758" s="22" t="s">
        <v>435</v>
      </c>
      <c r="T758" s="21" t="str">
        <f>HYPERLINK("https://miland.ru/api/getInfo/image/09ecba1d-972a-11ed-a22d-00155d82e902")</f>
        <v>https://miland.ru/api/getInfo/image/09ecba1d-972a-11ed-a22d-00155d82e902</v>
      </c>
      <c r="U758" s="21"/>
      <c r="V758" s="21" t="s">
        <v>710</v>
      </c>
      <c r="W758" s="21" t="s">
        <v>82</v>
      </c>
      <c r="X758" s="21"/>
      <c r="Y758" s="21" t="s">
        <v>41</v>
      </c>
      <c r="Z758" s="21"/>
      <c r="AA758" s="21" t="str">
        <f>HYPERLINK("https://miland.ru/api/getInfo/item/09ecba1d-972a-11ed-a22d-00155d82e902")</f>
        <v>https://miland.ru/api/getInfo/item/09ecba1d-972a-11ed-a22d-00155d82e902</v>
      </c>
      <c r="AB758" s="21" t="s">
        <v>42</v>
      </c>
      <c r="AC758" s="21" t="s">
        <v>2557</v>
      </c>
      <c r="AD758" s="21"/>
    </row>
    <row r="759" spans="2:31" s="1" customFormat="1" ht="96.3" customHeight="1" outlineLevel="7">
      <c r="B759" s="20">
        <v>536</v>
      </c>
      <c r="C759" s="21" t="s">
        <v>2577</v>
      </c>
      <c r="D759" s="72" t="s">
        <v>2578</v>
      </c>
      <c r="E759" s="72"/>
      <c r="F759" s="72"/>
      <c r="G759" s="72"/>
      <c r="H759" s="22" t="s">
        <v>2579</v>
      </c>
      <c r="I759" s="23" t="s">
        <v>36</v>
      </c>
      <c r="J759" s="22"/>
      <c r="K759" s="20">
        <v>5</v>
      </c>
      <c r="L759" s="24">
        <v>122.62</v>
      </c>
      <c r="M759" s="11"/>
      <c r="N759" s="22">
        <f t="shared" si="35"/>
        <v>0</v>
      </c>
      <c r="O759" s="25">
        <f>0.035*M759</f>
        <v>0</v>
      </c>
      <c r="P759" s="26">
        <f>0.00126*M759</f>
        <v>0</v>
      </c>
      <c r="Q759" s="30"/>
      <c r="R759" s="22" t="s">
        <v>2580</v>
      </c>
      <c r="S759" s="22" t="s">
        <v>435</v>
      </c>
      <c r="T759" s="21" t="str">
        <f>HYPERLINK("https://miland.ru/api/getInfo/image/adeffa70-9729-11ed-a22d-00155d82e902")</f>
        <v>https://miland.ru/api/getInfo/image/adeffa70-9729-11ed-a22d-00155d82e902</v>
      </c>
      <c r="U759" s="21"/>
      <c r="V759" s="21" t="s">
        <v>710</v>
      </c>
      <c r="W759" s="21" t="s">
        <v>82</v>
      </c>
      <c r="X759" s="21"/>
      <c r="Y759" s="21" t="s">
        <v>41</v>
      </c>
      <c r="Z759" s="21"/>
      <c r="AA759" s="21" t="str">
        <f>HYPERLINK("https://miland.ru/api/getInfo/item/adeffa70-9729-11ed-a22d-00155d82e902")</f>
        <v>https://miland.ru/api/getInfo/item/adeffa70-9729-11ed-a22d-00155d82e902</v>
      </c>
      <c r="AB759" s="21" t="s">
        <v>42</v>
      </c>
      <c r="AC759" s="21" t="s">
        <v>2572</v>
      </c>
      <c r="AD759" s="21"/>
    </row>
    <row r="760" spans="2:31" s="1" customFormat="1" ht="96.3" customHeight="1" outlineLevel="7">
      <c r="B760" s="20">
        <v>537</v>
      </c>
      <c r="C760" s="21" t="s">
        <v>2581</v>
      </c>
      <c r="D760" s="72" t="s">
        <v>2582</v>
      </c>
      <c r="E760" s="72"/>
      <c r="F760" s="72"/>
      <c r="G760" s="72"/>
      <c r="H760" s="22" t="s">
        <v>2583</v>
      </c>
      <c r="I760" s="23" t="s">
        <v>36</v>
      </c>
      <c r="J760" s="22"/>
      <c r="K760" s="20">
        <v>5</v>
      </c>
      <c r="L760" s="24">
        <v>127.52</v>
      </c>
      <c r="M760" s="11"/>
      <c r="N760" s="22">
        <f t="shared" si="35"/>
        <v>0</v>
      </c>
      <c r="O760" s="25">
        <f>0.026*M760</f>
        <v>0</v>
      </c>
      <c r="P760" s="26">
        <f>0.00132*M760</f>
        <v>0</v>
      </c>
      <c r="Q760" s="30"/>
      <c r="R760" s="22" t="s">
        <v>2584</v>
      </c>
      <c r="S760" s="22" t="s">
        <v>435</v>
      </c>
      <c r="T760" s="21" t="str">
        <f>HYPERLINK("https://miland.ru/api/getInfo/image/5fde264a-972a-11ed-a22d-00155d82e902")</f>
        <v>https://miland.ru/api/getInfo/image/5fde264a-972a-11ed-a22d-00155d82e902</v>
      </c>
      <c r="U760" s="21"/>
      <c r="V760" s="21" t="s">
        <v>710</v>
      </c>
      <c r="W760" s="21" t="s">
        <v>82</v>
      </c>
      <c r="X760" s="21"/>
      <c r="Y760" s="21" t="s">
        <v>41</v>
      </c>
      <c r="Z760" s="21"/>
      <c r="AA760" s="21" t="str">
        <f>HYPERLINK("https://miland.ru/api/getInfo/item/5fde264a-972a-11ed-a22d-00155d82e902")</f>
        <v>https://miland.ru/api/getInfo/item/5fde264a-972a-11ed-a22d-00155d82e902</v>
      </c>
      <c r="AB760" s="21" t="s">
        <v>42</v>
      </c>
      <c r="AC760" s="21" t="s">
        <v>1600</v>
      </c>
      <c r="AD760" s="21"/>
    </row>
    <row r="761" spans="2:31" s="1" customFormat="1" ht="96.3" customHeight="1" outlineLevel="7">
      <c r="B761" s="20">
        <v>538</v>
      </c>
      <c r="C761" s="21" t="s">
        <v>2585</v>
      </c>
      <c r="D761" s="72" t="s">
        <v>2586</v>
      </c>
      <c r="E761" s="72"/>
      <c r="F761" s="72"/>
      <c r="G761" s="72"/>
      <c r="H761" s="22" t="s">
        <v>2587</v>
      </c>
      <c r="I761" s="27">
        <v>433</v>
      </c>
      <c r="J761" s="22"/>
      <c r="K761" s="20">
        <v>6</v>
      </c>
      <c r="L761" s="24">
        <v>102.5</v>
      </c>
      <c r="M761" s="11"/>
      <c r="N761" s="22">
        <f t="shared" si="35"/>
        <v>0</v>
      </c>
      <c r="O761" s="25">
        <f>0.023*M761</f>
        <v>0</v>
      </c>
      <c r="P761" s="26">
        <f>0.00018*M761</f>
        <v>0</v>
      </c>
      <c r="Q761" s="30"/>
      <c r="R761" s="22" t="s">
        <v>2588</v>
      </c>
      <c r="S761" s="22" t="s">
        <v>435</v>
      </c>
      <c r="T761" s="21" t="str">
        <f>HYPERLINK("https://miland.ru/api/getInfo/image/96336baa-5f74-11e9-a224-ac1f6b442184")</f>
        <v>https://miland.ru/api/getInfo/image/96336baa-5f74-11e9-a224-ac1f6b442184</v>
      </c>
      <c r="U761" s="21"/>
      <c r="V761" s="21" t="s">
        <v>710</v>
      </c>
      <c r="W761" s="21" t="s">
        <v>82</v>
      </c>
      <c r="X761" s="21"/>
      <c r="Y761" s="21" t="s">
        <v>41</v>
      </c>
      <c r="Z761" s="21"/>
      <c r="AA761" s="21" t="str">
        <f>HYPERLINK("https://miland.ru/api/getInfo/item/96336baa-5f74-11e9-a224-ac1f6b442184")</f>
        <v>https://miland.ru/api/getInfo/item/96336baa-5f74-11e9-a224-ac1f6b442184</v>
      </c>
      <c r="AB761" s="21" t="s">
        <v>42</v>
      </c>
      <c r="AC761" s="21" t="s">
        <v>656</v>
      </c>
      <c r="AD761" s="21"/>
    </row>
    <row r="762" spans="2:31" ht="12" customHeight="1" outlineLevel="7">
      <c r="B762" s="70" t="s">
        <v>2251</v>
      </c>
      <c r="C762" s="70"/>
      <c r="D762" s="70"/>
      <c r="E762" s="70"/>
      <c r="F762" s="70"/>
      <c r="G762" s="70"/>
    </row>
    <row r="763" spans="2:31" s="1" customFormat="1" ht="96.3" customHeight="1" outlineLevel="7">
      <c r="B763" s="20">
        <v>539</v>
      </c>
      <c r="C763" s="21" t="s">
        <v>2589</v>
      </c>
      <c r="D763" s="72" t="s">
        <v>2590</v>
      </c>
      <c r="E763" s="72"/>
      <c r="F763" s="72"/>
      <c r="G763" s="72"/>
      <c r="H763" s="22" t="s">
        <v>2591</v>
      </c>
      <c r="I763" s="27">
        <v>104</v>
      </c>
      <c r="J763" s="22"/>
      <c r="K763" s="20">
        <v>5</v>
      </c>
      <c r="L763" s="24">
        <v>114.07</v>
      </c>
      <c r="M763" s="11"/>
      <c r="N763" s="22">
        <f t="shared" ref="N763:N777" si="36">L763*M763</f>
        <v>0</v>
      </c>
      <c r="O763" s="25">
        <f>0.053*M763</f>
        <v>0</v>
      </c>
      <c r="P763" s="26">
        <f>0.00039*M763</f>
        <v>0</v>
      </c>
      <c r="Q763" s="30"/>
      <c r="R763" s="22" t="s">
        <v>2592</v>
      </c>
      <c r="S763" s="22" t="s">
        <v>435</v>
      </c>
      <c r="T763" s="21" t="str">
        <f>HYPERLINK("https://miland.ru/api/getInfo/image/5fbe3e40-3716-11e7-977d-5cf3fc4a2490")</f>
        <v>https://miland.ru/api/getInfo/image/5fbe3e40-3716-11e7-977d-5cf3fc4a2490</v>
      </c>
      <c r="U763" s="21"/>
      <c r="V763" s="21" t="s">
        <v>710</v>
      </c>
      <c r="W763" s="21" t="s">
        <v>82</v>
      </c>
      <c r="X763" s="21"/>
      <c r="Y763" s="21" t="s">
        <v>41</v>
      </c>
      <c r="Z763" s="21"/>
      <c r="AA763" s="21" t="str">
        <f>HYPERLINK("https://miland.ru/api/getInfo/item/5fbe3e40-3716-11e7-977d-5cf3fc4a2490")</f>
        <v>https://miland.ru/api/getInfo/item/5fbe3e40-3716-11e7-977d-5cf3fc4a2490</v>
      </c>
      <c r="AB763" s="21" t="s">
        <v>42</v>
      </c>
      <c r="AC763" s="21" t="s">
        <v>2567</v>
      </c>
      <c r="AD763" s="21"/>
    </row>
    <row r="764" spans="2:31" s="1" customFormat="1" ht="96.3" customHeight="1" outlineLevel="7">
      <c r="B764" s="20">
        <v>540</v>
      </c>
      <c r="C764" s="21" t="s">
        <v>2593</v>
      </c>
      <c r="D764" s="72" t="s">
        <v>2594</v>
      </c>
      <c r="E764" s="72"/>
      <c r="F764" s="72"/>
      <c r="G764" s="72"/>
      <c r="H764" s="22" t="s">
        <v>2595</v>
      </c>
      <c r="I764" s="23" t="s">
        <v>36</v>
      </c>
      <c r="J764" s="22"/>
      <c r="K764" s="20">
        <v>3</v>
      </c>
      <c r="L764" s="24">
        <v>215.69</v>
      </c>
      <c r="M764" s="11"/>
      <c r="N764" s="22">
        <f t="shared" si="36"/>
        <v>0</v>
      </c>
      <c r="O764" s="25">
        <f>0.026*M764</f>
        <v>0</v>
      </c>
      <c r="P764" s="26">
        <f>0.00082*M764</f>
        <v>0</v>
      </c>
      <c r="Q764" s="30"/>
      <c r="R764" s="22" t="s">
        <v>2596</v>
      </c>
      <c r="S764" s="22"/>
      <c r="T764" s="21" t="str">
        <f>HYPERLINK("https://miland.ru/api/getInfo/image/e020971f-d984-11ef-a273-00155d82e908")</f>
        <v>https://miland.ru/api/getInfo/image/e020971f-d984-11ef-a273-00155d82e908</v>
      </c>
      <c r="U764" s="21"/>
      <c r="V764" s="21" t="s">
        <v>710</v>
      </c>
      <c r="W764" s="21" t="s">
        <v>82</v>
      </c>
      <c r="X764" s="21"/>
      <c r="Y764" s="21" t="s">
        <v>41</v>
      </c>
      <c r="Z764" s="21"/>
      <c r="AA764" s="21" t="str">
        <f>HYPERLINK("https://miland.ru/api/getInfo/item/e020971f-d984-11ef-a273-00155d82e908")</f>
        <v>https://miland.ru/api/getInfo/item/e020971f-d984-11ef-a273-00155d82e908</v>
      </c>
      <c r="AB764" s="21" t="s">
        <v>42</v>
      </c>
      <c r="AC764" s="21"/>
      <c r="AD764" s="21"/>
    </row>
    <row r="765" spans="2:31" s="1" customFormat="1" ht="96.3" customHeight="1" outlineLevel="7">
      <c r="B765" s="20">
        <v>541</v>
      </c>
      <c r="C765" s="21" t="s">
        <v>2597</v>
      </c>
      <c r="D765" s="72" t="s">
        <v>2598</v>
      </c>
      <c r="E765" s="72"/>
      <c r="F765" s="72"/>
      <c r="G765" s="72"/>
      <c r="H765" s="22" t="s">
        <v>2599</v>
      </c>
      <c r="I765" s="27">
        <v>37</v>
      </c>
      <c r="J765" s="22"/>
      <c r="K765" s="20">
        <v>2</v>
      </c>
      <c r="L765" s="24">
        <v>147.81</v>
      </c>
      <c r="M765" s="11"/>
      <c r="N765" s="22">
        <f t="shared" si="36"/>
        <v>0</v>
      </c>
      <c r="O765" s="25">
        <f>0.021*M765</f>
        <v>0</v>
      </c>
      <c r="P765" s="26">
        <f>0.00011*M765</f>
        <v>0</v>
      </c>
      <c r="Q765" s="30"/>
      <c r="R765" s="22" t="s">
        <v>2600</v>
      </c>
      <c r="S765" s="22" t="s">
        <v>435</v>
      </c>
      <c r="T765" s="21" t="str">
        <f>HYPERLINK("https://miland.ru/api/getInfo/image/8ab0f5da-90db-11ed-a22c-00155d82e902")</f>
        <v>https://miland.ru/api/getInfo/image/8ab0f5da-90db-11ed-a22c-00155d82e902</v>
      </c>
      <c r="U765" s="21"/>
      <c r="V765" s="21" t="s">
        <v>710</v>
      </c>
      <c r="W765" s="21" t="s">
        <v>82</v>
      </c>
      <c r="X765" s="21"/>
      <c r="Y765" s="21" t="s">
        <v>41</v>
      </c>
      <c r="Z765" s="21"/>
      <c r="AA765" s="21" t="str">
        <f>HYPERLINK("https://miland.ru/api/getInfo/item/8ab0f5da-90db-11ed-a22c-00155d82e902")</f>
        <v>https://miland.ru/api/getInfo/item/8ab0f5da-90db-11ed-a22c-00155d82e902</v>
      </c>
      <c r="AB765" s="21" t="s">
        <v>42</v>
      </c>
      <c r="AC765" s="21"/>
      <c r="AD765" s="21"/>
    </row>
    <row r="766" spans="2:31" s="1" customFormat="1" ht="96.3" customHeight="1" outlineLevel="7">
      <c r="B766" s="37">
        <v>542</v>
      </c>
      <c r="C766" s="38" t="s">
        <v>2601</v>
      </c>
      <c r="D766" s="74" t="s">
        <v>2602</v>
      </c>
      <c r="E766" s="74"/>
      <c r="F766" s="74"/>
      <c r="G766" s="74"/>
      <c r="H766" s="39" t="s">
        <v>2603</v>
      </c>
      <c r="I766" s="44">
        <v>17</v>
      </c>
      <c r="J766" s="39"/>
      <c r="K766" s="37">
        <v>2</v>
      </c>
      <c r="L766" s="41">
        <v>118.53333333333335</v>
      </c>
      <c r="M766" s="11"/>
      <c r="N766" s="39">
        <f t="shared" si="36"/>
        <v>0</v>
      </c>
      <c r="O766" s="48">
        <f>0.023*M766</f>
        <v>0</v>
      </c>
      <c r="P766" s="46">
        <f>0.00007*M766</f>
        <v>0</v>
      </c>
      <c r="Q766" s="51"/>
      <c r="R766" s="39" t="s">
        <v>2604</v>
      </c>
      <c r="S766" s="39" t="s">
        <v>435</v>
      </c>
      <c r="T766" s="38" t="str">
        <f>HYPERLINK("https://miland.ru/api/getInfo/image/54e16d5a-f38a-11ec-a213-ac1f6b442185")</f>
        <v>https://miland.ru/api/getInfo/image/54e16d5a-f38a-11ec-a213-ac1f6b442185</v>
      </c>
      <c r="U766" s="38"/>
      <c r="V766" s="38" t="s">
        <v>710</v>
      </c>
      <c r="W766" s="38" t="s">
        <v>82</v>
      </c>
      <c r="X766" s="38"/>
      <c r="Y766" s="38" t="s">
        <v>41</v>
      </c>
      <c r="Z766" s="38"/>
      <c r="AA766" s="38" t="str">
        <f>HYPERLINK("https://miland.ru/api/getInfo/item/54e16d5a-f38a-11ec-a213-ac1f6b442185")</f>
        <v>https://miland.ru/api/getInfo/item/54e16d5a-f38a-11ec-a213-ac1f6b442185</v>
      </c>
      <c r="AB766" s="38" t="s">
        <v>42</v>
      </c>
      <c r="AC766" s="38" t="s">
        <v>2605</v>
      </c>
      <c r="AD766" s="38"/>
      <c r="AE766" s="53" t="s">
        <v>1306</v>
      </c>
    </row>
    <row r="767" spans="2:31" s="1" customFormat="1" ht="96.3" customHeight="1" outlineLevel="7">
      <c r="B767" s="20">
        <v>543</v>
      </c>
      <c r="C767" s="21" t="s">
        <v>2606</v>
      </c>
      <c r="D767" s="72" t="s">
        <v>2607</v>
      </c>
      <c r="E767" s="72"/>
      <c r="F767" s="72"/>
      <c r="G767" s="72"/>
      <c r="H767" s="22" t="s">
        <v>2608</v>
      </c>
      <c r="I767" s="27">
        <v>185</v>
      </c>
      <c r="J767" s="22"/>
      <c r="K767" s="20">
        <v>6</v>
      </c>
      <c r="L767" s="24">
        <v>116.58</v>
      </c>
      <c r="M767" s="11"/>
      <c r="N767" s="22">
        <f t="shared" si="36"/>
        <v>0</v>
      </c>
      <c r="O767" s="28">
        <f>0.04*M767</f>
        <v>0</v>
      </c>
      <c r="P767" s="29">
        <f>0.0007*M767</f>
        <v>0</v>
      </c>
      <c r="Q767" s="30"/>
      <c r="R767" s="22" t="s">
        <v>2609</v>
      </c>
      <c r="S767" s="22" t="s">
        <v>435</v>
      </c>
      <c r="T767" s="21" t="str">
        <f>HYPERLINK("https://miland.ru/api/getInfo/image/49ddbb3d-88a3-11eb-a277-ac1f6b442184")</f>
        <v>https://miland.ru/api/getInfo/image/49ddbb3d-88a3-11eb-a277-ac1f6b442184</v>
      </c>
      <c r="U767" s="21"/>
      <c r="V767" s="21" t="s">
        <v>710</v>
      </c>
      <c r="W767" s="21" t="s">
        <v>82</v>
      </c>
      <c r="X767" s="21"/>
      <c r="Y767" s="21" t="s">
        <v>41</v>
      </c>
      <c r="Z767" s="21"/>
      <c r="AA767" s="21" t="str">
        <f>HYPERLINK("https://miland.ru/api/getInfo/item/49ddbb3d-88a3-11eb-a277-ac1f6b442184")</f>
        <v>https://miland.ru/api/getInfo/item/49ddbb3d-88a3-11eb-a277-ac1f6b442184</v>
      </c>
      <c r="AB767" s="21" t="s">
        <v>42</v>
      </c>
      <c r="AC767" s="21" t="s">
        <v>2610</v>
      </c>
      <c r="AD767" s="21"/>
    </row>
    <row r="768" spans="2:31" s="1" customFormat="1" ht="96.3" customHeight="1" outlineLevel="7">
      <c r="B768" s="20">
        <v>544</v>
      </c>
      <c r="C768" s="21" t="s">
        <v>2611</v>
      </c>
      <c r="D768" s="72" t="s">
        <v>2612</v>
      </c>
      <c r="E768" s="72"/>
      <c r="F768" s="72"/>
      <c r="G768" s="72"/>
      <c r="H768" s="22" t="s">
        <v>2613</v>
      </c>
      <c r="I768" s="27">
        <v>440</v>
      </c>
      <c r="J768" s="22"/>
      <c r="K768" s="20">
        <v>3</v>
      </c>
      <c r="L768" s="24">
        <v>182.7</v>
      </c>
      <c r="M768" s="11"/>
      <c r="N768" s="22">
        <f t="shared" si="36"/>
        <v>0</v>
      </c>
      <c r="O768" s="25">
        <f>0.036*M768</f>
        <v>0</v>
      </c>
      <c r="P768" s="26">
        <f>0.00026*M768</f>
        <v>0</v>
      </c>
      <c r="Q768" s="30"/>
      <c r="R768" s="22" t="s">
        <v>2614</v>
      </c>
      <c r="S768" s="22" t="s">
        <v>435</v>
      </c>
      <c r="T768" s="21" t="str">
        <f>HYPERLINK("https://miland.ru/api/getInfo/image/8b273ac5-d984-11ef-a273-00155d82e908")</f>
        <v>https://miland.ru/api/getInfo/image/8b273ac5-d984-11ef-a273-00155d82e908</v>
      </c>
      <c r="U768" s="21"/>
      <c r="V768" s="21" t="s">
        <v>710</v>
      </c>
      <c r="W768" s="21" t="s">
        <v>82</v>
      </c>
      <c r="X768" s="21"/>
      <c r="Y768" s="21" t="s">
        <v>41</v>
      </c>
      <c r="Z768" s="21"/>
      <c r="AA768" s="21" t="str">
        <f>HYPERLINK("https://miland.ru/api/getInfo/item/8b273ac5-d984-11ef-a273-00155d82e908")</f>
        <v>https://miland.ru/api/getInfo/item/8b273ac5-d984-11ef-a273-00155d82e908</v>
      </c>
      <c r="AB768" s="21" t="s">
        <v>42</v>
      </c>
      <c r="AC768" s="21"/>
      <c r="AD768" s="21"/>
    </row>
    <row r="769" spans="2:31" s="1" customFormat="1" ht="96.3" customHeight="1" outlineLevel="7">
      <c r="B769" s="20">
        <v>545</v>
      </c>
      <c r="C769" s="21" t="s">
        <v>2615</v>
      </c>
      <c r="D769" s="72" t="s">
        <v>2616</v>
      </c>
      <c r="E769" s="72"/>
      <c r="F769" s="72"/>
      <c r="G769" s="72"/>
      <c r="H769" s="22" t="s">
        <v>2617</v>
      </c>
      <c r="I769" s="23" t="s">
        <v>36</v>
      </c>
      <c r="J769" s="22"/>
      <c r="K769" s="20">
        <v>3</v>
      </c>
      <c r="L769" s="24">
        <v>190.01</v>
      </c>
      <c r="M769" s="11"/>
      <c r="N769" s="22">
        <f t="shared" si="36"/>
        <v>0</v>
      </c>
      <c r="O769" s="25">
        <f>0.014*M769</f>
        <v>0</v>
      </c>
      <c r="P769" s="26">
        <f>0.00022*M769</f>
        <v>0</v>
      </c>
      <c r="Q769" s="30"/>
      <c r="R769" s="22" t="s">
        <v>2618</v>
      </c>
      <c r="S769" s="22"/>
      <c r="T769" s="21" t="str">
        <f>HYPERLINK("https://miland.ru/api/getInfo/image/d34c9ee8-0aca-11f0-a279-00155d82e908")</f>
        <v>https://miland.ru/api/getInfo/image/d34c9ee8-0aca-11f0-a279-00155d82e908</v>
      </c>
      <c r="U769" s="21"/>
      <c r="V769" s="21" t="s">
        <v>710</v>
      </c>
      <c r="W769" s="21" t="s">
        <v>82</v>
      </c>
      <c r="X769" s="21"/>
      <c r="Y769" s="21" t="s">
        <v>41</v>
      </c>
      <c r="Z769" s="21"/>
      <c r="AA769" s="21" t="str">
        <f>HYPERLINK("https://miland.ru/api/getInfo/item/d34c9ee8-0aca-11f0-a279-00155d82e908")</f>
        <v>https://miland.ru/api/getInfo/item/d34c9ee8-0aca-11f0-a279-00155d82e908</v>
      </c>
      <c r="AB769" s="21" t="s">
        <v>42</v>
      </c>
      <c r="AC769" s="21"/>
      <c r="AD769" s="21"/>
    </row>
    <row r="770" spans="2:31" s="1" customFormat="1" ht="96.3" customHeight="1" outlineLevel="7">
      <c r="B770" s="20">
        <v>546</v>
      </c>
      <c r="C770" s="21" t="s">
        <v>2619</v>
      </c>
      <c r="D770" s="72" t="s">
        <v>2620</v>
      </c>
      <c r="E770" s="72"/>
      <c r="F770" s="72"/>
      <c r="G770" s="72"/>
      <c r="H770" s="22" t="s">
        <v>2621</v>
      </c>
      <c r="I770" s="23" t="s">
        <v>36</v>
      </c>
      <c r="J770" s="22"/>
      <c r="K770" s="20">
        <v>3</v>
      </c>
      <c r="L770" s="24">
        <v>190.01</v>
      </c>
      <c r="M770" s="11"/>
      <c r="N770" s="22">
        <f t="shared" si="36"/>
        <v>0</v>
      </c>
      <c r="O770" s="25">
        <f>0.046*M770</f>
        <v>0</v>
      </c>
      <c r="P770" s="26">
        <f>0.00034*M770</f>
        <v>0</v>
      </c>
      <c r="Q770" s="30"/>
      <c r="R770" s="22" t="s">
        <v>2622</v>
      </c>
      <c r="S770" s="22"/>
      <c r="T770" s="21" t="str">
        <f>HYPERLINK("https://miland.ru/api/getInfo/image/47f7c070-0aca-11f0-a279-00155d82e908")</f>
        <v>https://miland.ru/api/getInfo/image/47f7c070-0aca-11f0-a279-00155d82e908</v>
      </c>
      <c r="U770" s="21"/>
      <c r="V770" s="21" t="s">
        <v>710</v>
      </c>
      <c r="W770" s="21" t="s">
        <v>82</v>
      </c>
      <c r="X770" s="21"/>
      <c r="Y770" s="21" t="s">
        <v>41</v>
      </c>
      <c r="Z770" s="21"/>
      <c r="AA770" s="21" t="str">
        <f>HYPERLINK("https://miland.ru/api/getInfo/item/47f7c070-0aca-11f0-a279-00155d82e908")</f>
        <v>https://miland.ru/api/getInfo/item/47f7c070-0aca-11f0-a279-00155d82e908</v>
      </c>
      <c r="AB770" s="21" t="s">
        <v>42</v>
      </c>
      <c r="AC770" s="21"/>
      <c r="AD770" s="21"/>
    </row>
    <row r="771" spans="2:31" s="1" customFormat="1" ht="96.3" customHeight="1" outlineLevel="7">
      <c r="B771" s="20">
        <v>547</v>
      </c>
      <c r="C771" s="21" t="s">
        <v>2623</v>
      </c>
      <c r="D771" s="72" t="s">
        <v>2624</v>
      </c>
      <c r="E771" s="72"/>
      <c r="F771" s="72"/>
      <c r="G771" s="72"/>
      <c r="H771" s="22" t="s">
        <v>2625</v>
      </c>
      <c r="I771" s="23" t="s">
        <v>36</v>
      </c>
      <c r="J771" s="22"/>
      <c r="K771" s="20">
        <v>4</v>
      </c>
      <c r="L771" s="24">
        <v>177.62</v>
      </c>
      <c r="M771" s="11"/>
      <c r="N771" s="22">
        <f t="shared" si="36"/>
        <v>0</v>
      </c>
      <c r="O771" s="25">
        <f>0.018*M771</f>
        <v>0</v>
      </c>
      <c r="P771" s="26">
        <f>0.00084*M771</f>
        <v>0</v>
      </c>
      <c r="Q771" s="30"/>
      <c r="R771" s="22" t="s">
        <v>2626</v>
      </c>
      <c r="S771" s="22" t="s">
        <v>435</v>
      </c>
      <c r="T771" s="21" t="str">
        <f>HYPERLINK("https://miland.ru/api/getInfo/image/c4864072-0acb-11f0-a279-00155d82e908")</f>
        <v>https://miland.ru/api/getInfo/image/c4864072-0acb-11f0-a279-00155d82e908</v>
      </c>
      <c r="U771" s="21"/>
      <c r="V771" s="21" t="s">
        <v>710</v>
      </c>
      <c r="W771" s="21" t="s">
        <v>82</v>
      </c>
      <c r="X771" s="21"/>
      <c r="Y771" s="21" t="s">
        <v>41</v>
      </c>
      <c r="Z771" s="21"/>
      <c r="AA771" s="21" t="str">
        <f>HYPERLINK("https://miland.ru/api/getInfo/item/c4864072-0acb-11f0-a279-00155d82e908")</f>
        <v>https://miland.ru/api/getInfo/item/c4864072-0acb-11f0-a279-00155d82e908</v>
      </c>
      <c r="AB771" s="21" t="s">
        <v>42</v>
      </c>
      <c r="AC771" s="21"/>
      <c r="AD771" s="21"/>
    </row>
    <row r="772" spans="2:31" s="1" customFormat="1" ht="96.3" customHeight="1" outlineLevel="7">
      <c r="B772" s="20">
        <v>548</v>
      </c>
      <c r="C772" s="21" t="s">
        <v>2627</v>
      </c>
      <c r="D772" s="72" t="s">
        <v>2628</v>
      </c>
      <c r="E772" s="72"/>
      <c r="F772" s="72"/>
      <c r="G772" s="72"/>
      <c r="H772" s="22" t="s">
        <v>2629</v>
      </c>
      <c r="I772" s="23" t="s">
        <v>36</v>
      </c>
      <c r="J772" s="22"/>
      <c r="K772" s="20">
        <v>4</v>
      </c>
      <c r="L772" s="24">
        <v>177.62</v>
      </c>
      <c r="M772" s="11"/>
      <c r="N772" s="22">
        <f t="shared" si="36"/>
        <v>0</v>
      </c>
      <c r="O772" s="25">
        <f>0.045*M772</f>
        <v>0</v>
      </c>
      <c r="P772" s="29">
        <f>0.0006*M772</f>
        <v>0</v>
      </c>
      <c r="Q772" s="30"/>
      <c r="R772" s="22" t="s">
        <v>2630</v>
      </c>
      <c r="S772" s="22"/>
      <c r="T772" s="21" t="str">
        <f>HYPERLINK("https://miland.ru/api/getInfo/image/518154bd-0acb-11f0-a279-00155d82e908")</f>
        <v>https://miland.ru/api/getInfo/image/518154bd-0acb-11f0-a279-00155d82e908</v>
      </c>
      <c r="U772" s="21"/>
      <c r="V772" s="21" t="s">
        <v>710</v>
      </c>
      <c r="W772" s="21" t="s">
        <v>82</v>
      </c>
      <c r="X772" s="21"/>
      <c r="Y772" s="21" t="s">
        <v>41</v>
      </c>
      <c r="Z772" s="21"/>
      <c r="AA772" s="21" t="str">
        <f>HYPERLINK("https://miland.ru/api/getInfo/item/518154bd-0acb-11f0-a279-00155d82e908")</f>
        <v>https://miland.ru/api/getInfo/item/518154bd-0acb-11f0-a279-00155d82e908</v>
      </c>
      <c r="AB772" s="21" t="s">
        <v>42</v>
      </c>
      <c r="AC772" s="21"/>
      <c r="AD772" s="21"/>
    </row>
    <row r="773" spans="2:31" s="1" customFormat="1" ht="96.3" customHeight="1" outlineLevel="7">
      <c r="B773" s="20">
        <v>549</v>
      </c>
      <c r="C773" s="21" t="s">
        <v>2631</v>
      </c>
      <c r="D773" s="72" t="s">
        <v>2632</v>
      </c>
      <c r="E773" s="72"/>
      <c r="F773" s="72"/>
      <c r="G773" s="72"/>
      <c r="H773" s="22" t="s">
        <v>2633</v>
      </c>
      <c r="I773" s="23" t="s">
        <v>36</v>
      </c>
      <c r="J773" s="22"/>
      <c r="K773" s="20">
        <v>4</v>
      </c>
      <c r="L773" s="24">
        <v>165.23</v>
      </c>
      <c r="M773" s="11"/>
      <c r="N773" s="22">
        <f t="shared" si="36"/>
        <v>0</v>
      </c>
      <c r="O773" s="25">
        <f>0.033*M773</f>
        <v>0</v>
      </c>
      <c r="P773" s="26">
        <f>0.00017*M773</f>
        <v>0</v>
      </c>
      <c r="Q773" s="30"/>
      <c r="R773" s="22" t="s">
        <v>2634</v>
      </c>
      <c r="S773" s="22"/>
      <c r="T773" s="21" t="str">
        <f>HYPERLINK("https://miland.ru/api/getInfo/image/df3c0f8b-0ac9-11f0-a279-00155d82e908")</f>
        <v>https://miland.ru/api/getInfo/image/df3c0f8b-0ac9-11f0-a279-00155d82e908</v>
      </c>
      <c r="U773" s="21"/>
      <c r="V773" s="21" t="s">
        <v>710</v>
      </c>
      <c r="W773" s="21" t="s">
        <v>82</v>
      </c>
      <c r="X773" s="21"/>
      <c r="Y773" s="21" t="s">
        <v>41</v>
      </c>
      <c r="Z773" s="21"/>
      <c r="AA773" s="21" t="str">
        <f>HYPERLINK("https://miland.ru/api/getInfo/item/df3c0f8b-0ac9-11f0-a279-00155d82e908")</f>
        <v>https://miland.ru/api/getInfo/item/df3c0f8b-0ac9-11f0-a279-00155d82e908</v>
      </c>
      <c r="AB773" s="21" t="s">
        <v>42</v>
      </c>
      <c r="AC773" s="21"/>
      <c r="AD773" s="21"/>
    </row>
    <row r="774" spans="2:31" s="1" customFormat="1" ht="96.3" customHeight="1" outlineLevel="7">
      <c r="B774" s="20">
        <v>550</v>
      </c>
      <c r="C774" s="21" t="s">
        <v>2635</v>
      </c>
      <c r="D774" s="72" t="s">
        <v>2636</v>
      </c>
      <c r="E774" s="72"/>
      <c r="F774" s="72"/>
      <c r="G774" s="72"/>
      <c r="H774" s="22" t="s">
        <v>2637</v>
      </c>
      <c r="I774" s="23" t="s">
        <v>36</v>
      </c>
      <c r="J774" s="22"/>
      <c r="K774" s="20">
        <v>3</v>
      </c>
      <c r="L774" s="24">
        <v>218.91</v>
      </c>
      <c r="M774" s="11"/>
      <c r="N774" s="22">
        <f t="shared" si="36"/>
        <v>0</v>
      </c>
      <c r="O774" s="25">
        <f>0.043*M774</f>
        <v>0</v>
      </c>
      <c r="P774" s="26">
        <f>0.00068*M774</f>
        <v>0</v>
      </c>
      <c r="Q774" s="30"/>
      <c r="R774" s="22" t="s">
        <v>2638</v>
      </c>
      <c r="S774" s="22" t="s">
        <v>435</v>
      </c>
      <c r="T774" s="21" t="str">
        <f>HYPERLINK("https://miland.ru/api/getInfo/image/59b3a015-0a47-11f0-a279-00155d82e908")</f>
        <v>https://miland.ru/api/getInfo/image/59b3a015-0a47-11f0-a279-00155d82e908</v>
      </c>
      <c r="U774" s="21"/>
      <c r="V774" s="21" t="s">
        <v>710</v>
      </c>
      <c r="W774" s="21" t="s">
        <v>82</v>
      </c>
      <c r="X774" s="21"/>
      <c r="Y774" s="21" t="s">
        <v>41</v>
      </c>
      <c r="Z774" s="21"/>
      <c r="AA774" s="21" t="str">
        <f>HYPERLINK("https://miland.ru/api/getInfo/item/59b3a015-0a47-11f0-a279-00155d82e908")</f>
        <v>https://miland.ru/api/getInfo/item/59b3a015-0a47-11f0-a279-00155d82e908</v>
      </c>
      <c r="AB774" s="21" t="s">
        <v>42</v>
      </c>
      <c r="AC774" s="21"/>
      <c r="AD774" s="21"/>
    </row>
    <row r="775" spans="2:31" s="1" customFormat="1" ht="96.3" customHeight="1" outlineLevel="7">
      <c r="B775" s="20">
        <v>551</v>
      </c>
      <c r="C775" s="21" t="s">
        <v>2639</v>
      </c>
      <c r="D775" s="72" t="s">
        <v>2640</v>
      </c>
      <c r="E775" s="72"/>
      <c r="F775" s="72"/>
      <c r="G775" s="72"/>
      <c r="H775" s="22" t="s">
        <v>2641</v>
      </c>
      <c r="I775" s="23" t="s">
        <v>36</v>
      </c>
      <c r="J775" s="22"/>
      <c r="K775" s="20">
        <v>3</v>
      </c>
      <c r="L775" s="24">
        <v>185.86</v>
      </c>
      <c r="M775" s="11"/>
      <c r="N775" s="22">
        <f t="shared" si="36"/>
        <v>0</v>
      </c>
      <c r="O775" s="25">
        <f>0.075*M775</f>
        <v>0</v>
      </c>
      <c r="P775" s="26">
        <f>0.00032*M775</f>
        <v>0</v>
      </c>
      <c r="Q775" s="30"/>
      <c r="R775" s="22" t="s">
        <v>2642</v>
      </c>
      <c r="S775" s="22"/>
      <c r="T775" s="21" t="str">
        <f>HYPERLINK("https://miland.ru/api/getInfo/image/176bfcca-0ac8-11f0-a279-00155d82e908")</f>
        <v>https://miland.ru/api/getInfo/image/176bfcca-0ac8-11f0-a279-00155d82e908</v>
      </c>
      <c r="U775" s="21"/>
      <c r="V775" s="21" t="s">
        <v>710</v>
      </c>
      <c r="W775" s="21" t="s">
        <v>82</v>
      </c>
      <c r="X775" s="21"/>
      <c r="Y775" s="21" t="s">
        <v>41</v>
      </c>
      <c r="Z775" s="21"/>
      <c r="AA775" s="21" t="str">
        <f>HYPERLINK("https://miland.ru/api/getInfo/item/176bfcca-0ac8-11f0-a279-00155d82e908")</f>
        <v>https://miland.ru/api/getInfo/item/176bfcca-0ac8-11f0-a279-00155d82e908</v>
      </c>
      <c r="AB775" s="21" t="s">
        <v>42</v>
      </c>
      <c r="AC775" s="21"/>
      <c r="AD775" s="21"/>
    </row>
    <row r="776" spans="2:31" s="1" customFormat="1" ht="96.3" customHeight="1" outlineLevel="7">
      <c r="B776" s="20">
        <v>552</v>
      </c>
      <c r="C776" s="21" t="s">
        <v>2643</v>
      </c>
      <c r="D776" s="72" t="s">
        <v>2644</v>
      </c>
      <c r="E776" s="72"/>
      <c r="F776" s="72"/>
      <c r="G776" s="72"/>
      <c r="H776" s="22" t="s">
        <v>2645</v>
      </c>
      <c r="I776" s="23" t="s">
        <v>36</v>
      </c>
      <c r="J776" s="22"/>
      <c r="K776" s="20">
        <v>4</v>
      </c>
      <c r="L776" s="24">
        <v>165.23</v>
      </c>
      <c r="M776" s="11"/>
      <c r="N776" s="22">
        <f t="shared" si="36"/>
        <v>0</v>
      </c>
      <c r="O776" s="25">
        <f>0.038*M776</f>
        <v>0</v>
      </c>
      <c r="P776" s="26">
        <f>0.00082*M776</f>
        <v>0</v>
      </c>
      <c r="Q776" s="30"/>
      <c r="R776" s="22" t="s">
        <v>2646</v>
      </c>
      <c r="S776" s="22"/>
      <c r="T776" s="21" t="str">
        <f>HYPERLINK("https://miland.ru/api/getInfo/image/6fc8fa9b-0ac9-11f0-a279-00155d82e908")</f>
        <v>https://miland.ru/api/getInfo/image/6fc8fa9b-0ac9-11f0-a279-00155d82e908</v>
      </c>
      <c r="U776" s="21"/>
      <c r="V776" s="21" t="s">
        <v>710</v>
      </c>
      <c r="W776" s="21" t="s">
        <v>82</v>
      </c>
      <c r="X776" s="21"/>
      <c r="Y776" s="21" t="s">
        <v>41</v>
      </c>
      <c r="Z776" s="21"/>
      <c r="AA776" s="21" t="str">
        <f>HYPERLINK("https://miland.ru/api/getInfo/item/6fc8fa9b-0ac9-11f0-a279-00155d82e908")</f>
        <v>https://miland.ru/api/getInfo/item/6fc8fa9b-0ac9-11f0-a279-00155d82e908</v>
      </c>
      <c r="AB776" s="21" t="s">
        <v>42</v>
      </c>
      <c r="AC776" s="21"/>
      <c r="AD776" s="21"/>
    </row>
    <row r="777" spans="2:31" s="1" customFormat="1" ht="96.3" customHeight="1" outlineLevel="7">
      <c r="B777" s="20">
        <v>553</v>
      </c>
      <c r="C777" s="21" t="s">
        <v>2647</v>
      </c>
      <c r="D777" s="72" t="s">
        <v>2648</v>
      </c>
      <c r="E777" s="72"/>
      <c r="F777" s="72"/>
      <c r="G777" s="72"/>
      <c r="H777" s="22" t="s">
        <v>2649</v>
      </c>
      <c r="I777" s="23" t="s">
        <v>36</v>
      </c>
      <c r="J777" s="22"/>
      <c r="K777" s="20">
        <v>3</v>
      </c>
      <c r="L777" s="24">
        <v>235.42</v>
      </c>
      <c r="M777" s="11"/>
      <c r="N777" s="22">
        <f t="shared" si="36"/>
        <v>0</v>
      </c>
      <c r="O777" s="25">
        <f>0.012*M777</f>
        <v>0</v>
      </c>
      <c r="P777" s="29">
        <f>0.0006*M777</f>
        <v>0</v>
      </c>
      <c r="Q777" s="30"/>
      <c r="R777" s="22" t="s">
        <v>2650</v>
      </c>
      <c r="S777" s="22" t="s">
        <v>435</v>
      </c>
      <c r="T777" s="21" t="str">
        <f>HYPERLINK("https://miland.ru/api/getInfo/image/e4a4abf9-0a46-11f0-a279-00155d82e908")</f>
        <v>https://miland.ru/api/getInfo/image/e4a4abf9-0a46-11f0-a279-00155d82e908</v>
      </c>
      <c r="U777" s="21"/>
      <c r="V777" s="21" t="s">
        <v>710</v>
      </c>
      <c r="W777" s="21" t="s">
        <v>82</v>
      </c>
      <c r="X777" s="21"/>
      <c r="Y777" s="21" t="s">
        <v>41</v>
      </c>
      <c r="Z777" s="21"/>
      <c r="AA777" s="21" t="str">
        <f>HYPERLINK("https://miland.ru/api/getInfo/item/e4a4abf9-0a46-11f0-a279-00155d82e908")</f>
        <v>https://miland.ru/api/getInfo/item/e4a4abf9-0a46-11f0-a279-00155d82e908</v>
      </c>
      <c r="AB777" s="21" t="s">
        <v>42</v>
      </c>
      <c r="AC777" s="21"/>
      <c r="AD777" s="21"/>
    </row>
    <row r="778" spans="2:31" ht="12" customHeight="1" outlineLevel="5">
      <c r="B778" s="70" t="s">
        <v>2651</v>
      </c>
      <c r="C778" s="70"/>
      <c r="D778" s="70"/>
      <c r="E778" s="70"/>
      <c r="F778" s="70"/>
      <c r="G778" s="70"/>
    </row>
    <row r="779" spans="2:31" ht="12" customHeight="1" outlineLevel="6">
      <c r="B779" s="70" t="s">
        <v>2226</v>
      </c>
      <c r="C779" s="70"/>
      <c r="D779" s="70"/>
      <c r="E779" s="70"/>
      <c r="F779" s="70"/>
      <c r="G779" s="70"/>
    </row>
    <row r="780" spans="2:31" s="1" customFormat="1" ht="96.3" customHeight="1" outlineLevel="7">
      <c r="B780" s="6">
        <v>554</v>
      </c>
      <c r="C780" s="7" t="s">
        <v>2652</v>
      </c>
      <c r="D780" s="71" t="s">
        <v>2653</v>
      </c>
      <c r="E780" s="71"/>
      <c r="F780" s="71"/>
      <c r="G780" s="71"/>
      <c r="H780" s="8" t="s">
        <v>2654</v>
      </c>
      <c r="I780" s="14">
        <v>20</v>
      </c>
      <c r="J780" s="8"/>
      <c r="K780" s="6">
        <v>5</v>
      </c>
      <c r="L780" s="10">
        <v>133.53</v>
      </c>
      <c r="M780" s="11"/>
      <c r="N780" s="8">
        <f>L780*M780</f>
        <v>0</v>
      </c>
      <c r="O780" s="12">
        <f>0.046*M780</f>
        <v>0</v>
      </c>
      <c r="P780" s="13">
        <f>0.00031*M780</f>
        <v>0</v>
      </c>
      <c r="Q780" s="17" t="s">
        <v>37</v>
      </c>
      <c r="R780" s="8" t="s">
        <v>2655</v>
      </c>
      <c r="S780" s="8"/>
      <c r="T780" s="7" t="str">
        <f>HYPERLINK("https://miland.ru/api/getInfo/image/bb1e5ad4-2f52-11f1-a292-00155d82e908")</f>
        <v>https://miland.ru/api/getInfo/image/bb1e5ad4-2f52-11f1-a292-00155d82e908</v>
      </c>
      <c r="U780" s="7"/>
      <c r="V780" s="7"/>
      <c r="W780" s="7" t="s">
        <v>82</v>
      </c>
      <c r="X780" s="7"/>
      <c r="Y780" s="7" t="s">
        <v>41</v>
      </c>
      <c r="Z780" s="7"/>
      <c r="AA780" s="7" t="str">
        <f>HYPERLINK("https://miland.ru/api/getInfo/item/bb1e5ad4-2f52-11f1-a292-00155d82e908")</f>
        <v>https://miland.ru/api/getInfo/item/bb1e5ad4-2f52-11f1-a292-00155d82e908</v>
      </c>
      <c r="AB780" s="7" t="s">
        <v>42</v>
      </c>
      <c r="AC780" s="7"/>
      <c r="AD780" s="7"/>
      <c r="AE780" s="54"/>
    </row>
    <row r="781" spans="2:31" s="1" customFormat="1" ht="96.3" customHeight="1" outlineLevel="7">
      <c r="B781" s="20">
        <v>555</v>
      </c>
      <c r="C781" s="21" t="s">
        <v>2656</v>
      </c>
      <c r="D781" s="72" t="s">
        <v>2657</v>
      </c>
      <c r="E781" s="72"/>
      <c r="F781" s="72"/>
      <c r="G781" s="72"/>
      <c r="H781" s="22" t="s">
        <v>2658</v>
      </c>
      <c r="I781" s="23" t="s">
        <v>36</v>
      </c>
      <c r="J781" s="22"/>
      <c r="K781" s="20">
        <v>1</v>
      </c>
      <c r="L781" s="24">
        <v>708.13</v>
      </c>
      <c r="M781" s="11"/>
      <c r="N781" s="22">
        <f>L781*M781</f>
        <v>0</v>
      </c>
      <c r="O781" s="25">
        <f>0.169*M781</f>
        <v>0</v>
      </c>
      <c r="P781" s="26">
        <f>0.00104*M781</f>
        <v>0</v>
      </c>
      <c r="Q781" s="30"/>
      <c r="R781" s="22" t="s">
        <v>2659</v>
      </c>
      <c r="S781" s="22"/>
      <c r="T781" s="21" t="str">
        <f>HYPERLINK("https://miland.ru/api/getInfo/image/9dc05440-f643-11ee-a25b-00155d82e908")</f>
        <v>https://miland.ru/api/getInfo/image/9dc05440-f643-11ee-a25b-00155d82e908</v>
      </c>
      <c r="U781" s="21"/>
      <c r="V781" s="21" t="s">
        <v>710</v>
      </c>
      <c r="W781" s="21" t="s">
        <v>82</v>
      </c>
      <c r="X781" s="21"/>
      <c r="Y781" s="21" t="s">
        <v>41</v>
      </c>
      <c r="Z781" s="21"/>
      <c r="AA781" s="21" t="str">
        <f>HYPERLINK("https://miland.ru/api/getInfo/item/9dc05440-f643-11ee-a25b-00155d82e908")</f>
        <v>https://miland.ru/api/getInfo/item/9dc05440-f643-11ee-a25b-00155d82e908</v>
      </c>
      <c r="AB781" s="21" t="s">
        <v>42</v>
      </c>
      <c r="AC781" s="21" t="s">
        <v>2572</v>
      </c>
      <c r="AD781" s="21"/>
    </row>
    <row r="782" spans="2:31" s="1" customFormat="1" ht="96.3" customHeight="1" outlineLevel="7">
      <c r="B782" s="20">
        <v>556</v>
      </c>
      <c r="C782" s="21" t="s">
        <v>2660</v>
      </c>
      <c r="D782" s="72" t="s">
        <v>2661</v>
      </c>
      <c r="E782" s="72"/>
      <c r="F782" s="72"/>
      <c r="G782" s="72"/>
      <c r="H782" s="22" t="s">
        <v>2662</v>
      </c>
      <c r="I782" s="23" t="s">
        <v>36</v>
      </c>
      <c r="J782" s="22"/>
      <c r="K782" s="20">
        <v>2</v>
      </c>
      <c r="L782" s="24">
        <v>355.44</v>
      </c>
      <c r="M782" s="11"/>
      <c r="N782" s="22">
        <f>L782*M782</f>
        <v>0</v>
      </c>
      <c r="O782" s="25">
        <f>0.094*M782</f>
        <v>0</v>
      </c>
      <c r="P782" s="26">
        <f>0.00043*M782</f>
        <v>0</v>
      </c>
      <c r="Q782" s="30"/>
      <c r="R782" s="22" t="s">
        <v>2663</v>
      </c>
      <c r="S782" s="22"/>
      <c r="T782" s="21" t="str">
        <f>HYPERLINK("https://miland.ru/api/getInfo/image/38d2be15-f643-11ee-a25b-00155d82e908")</f>
        <v>https://miland.ru/api/getInfo/image/38d2be15-f643-11ee-a25b-00155d82e908</v>
      </c>
      <c r="U782" s="21"/>
      <c r="V782" s="21" t="s">
        <v>710</v>
      </c>
      <c r="W782" s="21" t="s">
        <v>82</v>
      </c>
      <c r="X782" s="21"/>
      <c r="Y782" s="21" t="s">
        <v>41</v>
      </c>
      <c r="Z782" s="21"/>
      <c r="AA782" s="21" t="str">
        <f>HYPERLINK("https://miland.ru/api/getInfo/item/38d2be15-f643-11ee-a25b-00155d82e908")</f>
        <v>https://miland.ru/api/getInfo/item/38d2be15-f643-11ee-a25b-00155d82e908</v>
      </c>
      <c r="AB782" s="21" t="s">
        <v>42</v>
      </c>
      <c r="AC782" s="21" t="s">
        <v>2572</v>
      </c>
      <c r="AD782" s="21"/>
    </row>
    <row r="783" spans="2:31" ht="12" customHeight="1" outlineLevel="6">
      <c r="B783" s="70" t="s">
        <v>2251</v>
      </c>
      <c r="C783" s="70"/>
      <c r="D783" s="70"/>
      <c r="E783" s="70"/>
      <c r="F783" s="70"/>
      <c r="G783" s="70"/>
    </row>
    <row r="784" spans="2:31" s="1" customFormat="1" ht="96.3" customHeight="1" outlineLevel="7">
      <c r="B784" s="6">
        <v>557</v>
      </c>
      <c r="C784" s="7" t="s">
        <v>2664</v>
      </c>
      <c r="D784" s="71" t="s">
        <v>2665</v>
      </c>
      <c r="E784" s="71"/>
      <c r="F784" s="71"/>
      <c r="G784" s="71"/>
      <c r="H784" s="8" t="s">
        <v>2666</v>
      </c>
      <c r="I784" s="14">
        <v>311</v>
      </c>
      <c r="J784" s="8"/>
      <c r="K784" s="6">
        <v>10</v>
      </c>
      <c r="L784" s="10">
        <v>83.46</v>
      </c>
      <c r="M784" s="11"/>
      <c r="N784" s="8">
        <f t="shared" ref="N784:N800" si="37">L784*M784</f>
        <v>0</v>
      </c>
      <c r="O784" s="12">
        <f>0.022*M784</f>
        <v>0</v>
      </c>
      <c r="P784" s="13">
        <f>0.00025*M784</f>
        <v>0</v>
      </c>
      <c r="Q784" s="17" t="s">
        <v>37</v>
      </c>
      <c r="R784" s="8" t="s">
        <v>2667</v>
      </c>
      <c r="S784" s="8"/>
      <c r="T784" s="7" t="str">
        <f>HYPERLINK("https://miland.ru/api/getInfo/image/98b762f0-2f50-11f1-a292-00155d82e908")</f>
        <v>https://miland.ru/api/getInfo/image/98b762f0-2f50-11f1-a292-00155d82e908</v>
      </c>
      <c r="U784" s="7"/>
      <c r="V784" s="7"/>
      <c r="W784" s="7" t="s">
        <v>82</v>
      </c>
      <c r="X784" s="7"/>
      <c r="Y784" s="7" t="s">
        <v>41</v>
      </c>
      <c r="Z784" s="7"/>
      <c r="AA784" s="7" t="str">
        <f>HYPERLINK("https://miland.ru/api/getInfo/item/98b762f0-2f50-11f1-a292-00155d82e908")</f>
        <v>https://miland.ru/api/getInfo/item/98b762f0-2f50-11f1-a292-00155d82e908</v>
      </c>
      <c r="AB784" s="7" t="s">
        <v>42</v>
      </c>
      <c r="AC784" s="7"/>
      <c r="AD784" s="7"/>
      <c r="AE784" s="54"/>
    </row>
    <row r="785" spans="2:31" s="1" customFormat="1" ht="96.3" customHeight="1" outlineLevel="7">
      <c r="B785" s="6">
        <v>558</v>
      </c>
      <c r="C785" s="7" t="s">
        <v>2668</v>
      </c>
      <c r="D785" s="71" t="s">
        <v>2669</v>
      </c>
      <c r="E785" s="71"/>
      <c r="F785" s="71"/>
      <c r="G785" s="71"/>
      <c r="H785" s="8" t="s">
        <v>2670</v>
      </c>
      <c r="I785" s="9" t="s">
        <v>36</v>
      </c>
      <c r="J785" s="8"/>
      <c r="K785" s="6">
        <v>10</v>
      </c>
      <c r="L785" s="10">
        <v>90.61</v>
      </c>
      <c r="M785" s="11"/>
      <c r="N785" s="8">
        <f t="shared" si="37"/>
        <v>0</v>
      </c>
      <c r="O785" s="12">
        <f>0.025*M785</f>
        <v>0</v>
      </c>
      <c r="P785" s="13">
        <f>0.00078*M785</f>
        <v>0</v>
      </c>
      <c r="Q785" s="17" t="s">
        <v>37</v>
      </c>
      <c r="R785" s="8" t="s">
        <v>2671</v>
      </c>
      <c r="S785" s="8"/>
      <c r="T785" s="7" t="str">
        <f>HYPERLINK("https://miland.ru/api/getInfo/image/35f08aba-2f52-11f1-a292-00155d82e908")</f>
        <v>https://miland.ru/api/getInfo/image/35f08aba-2f52-11f1-a292-00155d82e908</v>
      </c>
      <c r="U785" s="7"/>
      <c r="V785" s="7"/>
      <c r="W785" s="7" t="s">
        <v>82</v>
      </c>
      <c r="X785" s="7"/>
      <c r="Y785" s="7" t="s">
        <v>41</v>
      </c>
      <c r="Z785" s="7"/>
      <c r="AA785" s="7" t="str">
        <f>HYPERLINK("https://miland.ru/api/getInfo/item/35f08aba-2f52-11f1-a292-00155d82e908")</f>
        <v>https://miland.ru/api/getInfo/item/35f08aba-2f52-11f1-a292-00155d82e908</v>
      </c>
      <c r="AB785" s="7" t="s">
        <v>42</v>
      </c>
      <c r="AC785" s="7"/>
      <c r="AD785" s="7"/>
      <c r="AE785" s="54"/>
    </row>
    <row r="786" spans="2:31" s="1" customFormat="1" ht="96.3" customHeight="1" outlineLevel="7">
      <c r="B786" s="6">
        <v>559</v>
      </c>
      <c r="C786" s="7" t="s">
        <v>2672</v>
      </c>
      <c r="D786" s="71" t="s">
        <v>2673</v>
      </c>
      <c r="E786" s="71"/>
      <c r="F786" s="71"/>
      <c r="G786" s="71"/>
      <c r="H786" s="8" t="s">
        <v>2674</v>
      </c>
      <c r="I786" s="9" t="s">
        <v>36</v>
      </c>
      <c r="J786" s="8"/>
      <c r="K786" s="6">
        <v>6</v>
      </c>
      <c r="L786" s="10">
        <v>114.46</v>
      </c>
      <c r="M786" s="11"/>
      <c r="N786" s="8">
        <f t="shared" si="37"/>
        <v>0</v>
      </c>
      <c r="O786" s="12">
        <f>0.033*M786</f>
        <v>0</v>
      </c>
      <c r="P786" s="16">
        <f>0.0006*M786</f>
        <v>0</v>
      </c>
      <c r="Q786" s="17" t="s">
        <v>37</v>
      </c>
      <c r="R786" s="8" t="s">
        <v>2675</v>
      </c>
      <c r="S786" s="8"/>
      <c r="T786" s="7" t="str">
        <f>HYPERLINK("https://miland.ru/api/getInfo/image/36f34110-2f51-11f1-a292-00155d82e908")</f>
        <v>https://miland.ru/api/getInfo/image/36f34110-2f51-11f1-a292-00155d82e908</v>
      </c>
      <c r="U786" s="7"/>
      <c r="V786" s="7"/>
      <c r="W786" s="7" t="s">
        <v>82</v>
      </c>
      <c r="X786" s="7"/>
      <c r="Y786" s="7" t="s">
        <v>41</v>
      </c>
      <c r="Z786" s="7"/>
      <c r="AA786" s="7" t="str">
        <f>HYPERLINK("https://miland.ru/api/getInfo/item/36f34110-2f51-11f1-a292-00155d82e908")</f>
        <v>https://miland.ru/api/getInfo/item/36f34110-2f51-11f1-a292-00155d82e908</v>
      </c>
      <c r="AB786" s="7" t="s">
        <v>42</v>
      </c>
      <c r="AC786" s="7"/>
      <c r="AD786" s="7"/>
      <c r="AE786" s="54"/>
    </row>
    <row r="787" spans="2:31" s="1" customFormat="1" ht="96.3" customHeight="1" outlineLevel="7">
      <c r="B787" s="6">
        <v>560</v>
      </c>
      <c r="C787" s="7" t="s">
        <v>2676</v>
      </c>
      <c r="D787" s="71" t="s">
        <v>2677</v>
      </c>
      <c r="E787" s="71"/>
      <c r="F787" s="71"/>
      <c r="G787" s="71"/>
      <c r="H787" s="8" t="s">
        <v>2678</v>
      </c>
      <c r="I787" s="14">
        <v>447</v>
      </c>
      <c r="J787" s="8"/>
      <c r="K787" s="6">
        <v>10</v>
      </c>
      <c r="L787" s="10">
        <v>80.12</v>
      </c>
      <c r="M787" s="11"/>
      <c r="N787" s="8">
        <f t="shared" si="37"/>
        <v>0</v>
      </c>
      <c r="O787" s="12">
        <f>0.019*M787</f>
        <v>0</v>
      </c>
      <c r="P787" s="13">
        <f>0.00035*M787</f>
        <v>0</v>
      </c>
      <c r="Q787" s="17" t="s">
        <v>37</v>
      </c>
      <c r="R787" s="8" t="s">
        <v>2679</v>
      </c>
      <c r="S787" s="8"/>
      <c r="T787" s="7" t="str">
        <f>HYPERLINK("https://miland.ru/api/getInfo/image/564c2f67-2f50-11f1-a292-00155d82e908")</f>
        <v>https://miland.ru/api/getInfo/image/564c2f67-2f50-11f1-a292-00155d82e908</v>
      </c>
      <c r="U787" s="7"/>
      <c r="V787" s="7"/>
      <c r="W787" s="7" t="s">
        <v>82</v>
      </c>
      <c r="X787" s="7"/>
      <c r="Y787" s="7" t="s">
        <v>41</v>
      </c>
      <c r="Z787" s="7"/>
      <c r="AA787" s="7" t="str">
        <f>HYPERLINK("https://miland.ru/api/getInfo/item/564c2f67-2f50-11f1-a292-00155d82e908")</f>
        <v>https://miland.ru/api/getInfo/item/564c2f67-2f50-11f1-a292-00155d82e908</v>
      </c>
      <c r="AB787" s="7" t="s">
        <v>42</v>
      </c>
      <c r="AC787" s="7"/>
      <c r="AD787" s="7"/>
      <c r="AE787" s="54"/>
    </row>
    <row r="788" spans="2:31" s="1" customFormat="1" ht="96.3" customHeight="1" outlineLevel="7">
      <c r="B788" s="6">
        <v>561</v>
      </c>
      <c r="C788" s="7" t="s">
        <v>2680</v>
      </c>
      <c r="D788" s="71" t="s">
        <v>2681</v>
      </c>
      <c r="E788" s="71"/>
      <c r="F788" s="71"/>
      <c r="G788" s="71"/>
      <c r="H788" s="8" t="s">
        <v>2682</v>
      </c>
      <c r="I788" s="14">
        <v>87</v>
      </c>
      <c r="J788" s="8"/>
      <c r="K788" s="6">
        <v>10</v>
      </c>
      <c r="L788" s="10">
        <v>83.46</v>
      </c>
      <c r="M788" s="11"/>
      <c r="N788" s="8">
        <f t="shared" si="37"/>
        <v>0</v>
      </c>
      <c r="O788" s="12">
        <f>0.021*M788</f>
        <v>0</v>
      </c>
      <c r="P788" s="13">
        <f>0.00025*M788</f>
        <v>0</v>
      </c>
      <c r="Q788" s="17" t="s">
        <v>37</v>
      </c>
      <c r="R788" s="8" t="s">
        <v>2683</v>
      </c>
      <c r="S788" s="8"/>
      <c r="T788" s="7" t="str">
        <f>HYPERLINK("https://miland.ru/api/getInfo/image/4f39101c-2f52-11f1-a292-00155d82e908")</f>
        <v>https://miland.ru/api/getInfo/image/4f39101c-2f52-11f1-a292-00155d82e908</v>
      </c>
      <c r="U788" s="7"/>
      <c r="V788" s="7"/>
      <c r="W788" s="7" t="s">
        <v>82</v>
      </c>
      <c r="X788" s="7"/>
      <c r="Y788" s="7" t="s">
        <v>41</v>
      </c>
      <c r="Z788" s="7"/>
      <c r="AA788" s="7" t="str">
        <f>HYPERLINK("https://miland.ru/api/getInfo/item/4f39101c-2f52-11f1-a292-00155d82e908")</f>
        <v>https://miland.ru/api/getInfo/item/4f39101c-2f52-11f1-a292-00155d82e908</v>
      </c>
      <c r="AB788" s="7" t="s">
        <v>42</v>
      </c>
      <c r="AC788" s="7"/>
      <c r="AD788" s="7"/>
      <c r="AE788" s="54"/>
    </row>
    <row r="789" spans="2:31" s="1" customFormat="1" ht="96.3" customHeight="1" outlineLevel="7">
      <c r="B789" s="20">
        <v>562</v>
      </c>
      <c r="C789" s="21" t="s">
        <v>2684</v>
      </c>
      <c r="D789" s="72" t="s">
        <v>2685</v>
      </c>
      <c r="E789" s="72"/>
      <c r="F789" s="72"/>
      <c r="G789" s="72"/>
      <c r="H789" s="22" t="s">
        <v>2686</v>
      </c>
      <c r="I789" s="27">
        <v>220</v>
      </c>
      <c r="J789" s="22"/>
      <c r="K789" s="20">
        <v>4</v>
      </c>
      <c r="L789" s="24">
        <v>146.78</v>
      </c>
      <c r="M789" s="11"/>
      <c r="N789" s="22">
        <f t="shared" si="37"/>
        <v>0</v>
      </c>
      <c r="O789" s="25">
        <f>0.013*M789</f>
        <v>0</v>
      </c>
      <c r="P789" s="26">
        <f>0.00011*M789</f>
        <v>0</v>
      </c>
      <c r="Q789" s="30"/>
      <c r="R789" s="22" t="s">
        <v>2687</v>
      </c>
      <c r="S789" s="22"/>
      <c r="T789" s="21" t="str">
        <f>HYPERLINK("https://miland.ru/api/getInfo/image/d6e350f9-e40b-11ed-a233-00155d82e902")</f>
        <v>https://miland.ru/api/getInfo/image/d6e350f9-e40b-11ed-a233-00155d82e902</v>
      </c>
      <c r="U789" s="21"/>
      <c r="V789" s="21" t="s">
        <v>710</v>
      </c>
      <c r="W789" s="21" t="s">
        <v>82</v>
      </c>
      <c r="X789" s="21"/>
      <c r="Y789" s="21" t="s">
        <v>41</v>
      </c>
      <c r="Z789" s="21"/>
      <c r="AA789" s="21" t="str">
        <f>HYPERLINK("https://miland.ru/api/getInfo/item/d6e350f9-e40b-11ed-a233-00155d82e902")</f>
        <v>https://miland.ru/api/getInfo/item/d6e350f9-e40b-11ed-a233-00155d82e902</v>
      </c>
      <c r="AB789" s="21" t="s">
        <v>42</v>
      </c>
      <c r="AC789" s="21"/>
      <c r="AD789" s="21"/>
    </row>
    <row r="790" spans="2:31" s="1" customFormat="1" ht="96.3" customHeight="1" outlineLevel="7">
      <c r="B790" s="20">
        <v>563</v>
      </c>
      <c r="C790" s="21" t="s">
        <v>2688</v>
      </c>
      <c r="D790" s="72" t="s">
        <v>2689</v>
      </c>
      <c r="E790" s="72"/>
      <c r="F790" s="72"/>
      <c r="G790" s="72"/>
      <c r="H790" s="22" t="s">
        <v>2690</v>
      </c>
      <c r="I790" s="27">
        <v>205</v>
      </c>
      <c r="J790" s="22"/>
      <c r="K790" s="20">
        <v>4</v>
      </c>
      <c r="L790" s="24">
        <v>146.78</v>
      </c>
      <c r="M790" s="11"/>
      <c r="N790" s="22">
        <f t="shared" si="37"/>
        <v>0</v>
      </c>
      <c r="O790" s="25">
        <f>0.014*M790</f>
        <v>0</v>
      </c>
      <c r="P790" s="26">
        <f>0.00008*M790</f>
        <v>0</v>
      </c>
      <c r="Q790" s="30"/>
      <c r="R790" s="22" t="s">
        <v>2691</v>
      </c>
      <c r="S790" s="22"/>
      <c r="T790" s="21" t="str">
        <f>HYPERLINK("https://miland.ru/api/getInfo/image/3052cbb8-e40c-11ed-a233-00155d82e902")</f>
        <v>https://miland.ru/api/getInfo/image/3052cbb8-e40c-11ed-a233-00155d82e902</v>
      </c>
      <c r="U790" s="21"/>
      <c r="V790" s="21" t="s">
        <v>710</v>
      </c>
      <c r="W790" s="21" t="s">
        <v>82</v>
      </c>
      <c r="X790" s="21"/>
      <c r="Y790" s="21" t="s">
        <v>41</v>
      </c>
      <c r="Z790" s="21"/>
      <c r="AA790" s="21" t="str">
        <f>HYPERLINK("https://miland.ru/api/getInfo/item/3052cbb8-e40c-11ed-a233-00155d82e902")</f>
        <v>https://miland.ru/api/getInfo/item/3052cbb8-e40c-11ed-a233-00155d82e902</v>
      </c>
      <c r="AB790" s="21" t="s">
        <v>42</v>
      </c>
      <c r="AC790" s="21"/>
      <c r="AD790" s="21"/>
    </row>
    <row r="791" spans="2:31" s="1" customFormat="1" ht="96.3" customHeight="1" outlineLevel="7">
      <c r="B791" s="20">
        <v>564</v>
      </c>
      <c r="C791" s="21" t="s">
        <v>2692</v>
      </c>
      <c r="D791" s="72" t="s">
        <v>2693</v>
      </c>
      <c r="E791" s="72"/>
      <c r="F791" s="72"/>
      <c r="G791" s="72"/>
      <c r="H791" s="22" t="s">
        <v>2694</v>
      </c>
      <c r="I791" s="27">
        <v>276</v>
      </c>
      <c r="J791" s="22"/>
      <c r="K791" s="20">
        <v>4</v>
      </c>
      <c r="L791" s="24">
        <v>177.74</v>
      </c>
      <c r="M791" s="11"/>
      <c r="N791" s="22">
        <f t="shared" si="37"/>
        <v>0</v>
      </c>
      <c r="O791" s="25">
        <f>0.023*M791</f>
        <v>0</v>
      </c>
      <c r="P791" s="26">
        <f>0.00019*M791</f>
        <v>0</v>
      </c>
      <c r="Q791" s="30"/>
      <c r="R791" s="22" t="s">
        <v>2695</v>
      </c>
      <c r="S791" s="22"/>
      <c r="T791" s="21" t="str">
        <f>HYPERLINK("https://miland.ru/api/getInfo/image/a7079dc7-e40c-11ed-a233-00155d82e902")</f>
        <v>https://miland.ru/api/getInfo/image/a7079dc7-e40c-11ed-a233-00155d82e902</v>
      </c>
      <c r="U791" s="21"/>
      <c r="V791" s="21" t="s">
        <v>710</v>
      </c>
      <c r="W791" s="21" t="s">
        <v>82</v>
      </c>
      <c r="X791" s="21"/>
      <c r="Y791" s="21" t="s">
        <v>41</v>
      </c>
      <c r="Z791" s="21"/>
      <c r="AA791" s="21" t="str">
        <f>HYPERLINK("https://miland.ru/api/getInfo/item/a7079dc7-e40c-11ed-a233-00155d82e902")</f>
        <v>https://miland.ru/api/getInfo/item/a7079dc7-e40c-11ed-a233-00155d82e902</v>
      </c>
      <c r="AB791" s="21" t="s">
        <v>42</v>
      </c>
      <c r="AC791" s="21"/>
      <c r="AD791" s="21"/>
    </row>
    <row r="792" spans="2:31" s="1" customFormat="1" ht="96.3" customHeight="1" outlineLevel="7">
      <c r="B792" s="6">
        <v>565</v>
      </c>
      <c r="C792" s="7" t="s">
        <v>2696</v>
      </c>
      <c r="D792" s="71" t="s">
        <v>2697</v>
      </c>
      <c r="E792" s="71"/>
      <c r="F792" s="71"/>
      <c r="G792" s="71"/>
      <c r="H792" s="8" t="s">
        <v>2698</v>
      </c>
      <c r="I792" s="14">
        <v>12</v>
      </c>
      <c r="J792" s="8"/>
      <c r="K792" s="6">
        <v>10</v>
      </c>
      <c r="L792" s="10">
        <v>90.61</v>
      </c>
      <c r="M792" s="11"/>
      <c r="N792" s="8">
        <f t="shared" si="37"/>
        <v>0</v>
      </c>
      <c r="O792" s="12">
        <f>5.045*M792</f>
        <v>0</v>
      </c>
      <c r="P792" s="16">
        <f>0.0439*M792</f>
        <v>0</v>
      </c>
      <c r="Q792" s="17" t="s">
        <v>37</v>
      </c>
      <c r="R792" s="8" t="s">
        <v>2699</v>
      </c>
      <c r="S792" s="8"/>
      <c r="T792" s="7" t="str">
        <f>HYPERLINK("https://miland.ru/api/getInfo/image/1d6ae0b6-2f52-11f1-a292-00155d82e908")</f>
        <v>https://miland.ru/api/getInfo/image/1d6ae0b6-2f52-11f1-a292-00155d82e908</v>
      </c>
      <c r="U792" s="7"/>
      <c r="V792" s="7"/>
      <c r="W792" s="7" t="s">
        <v>82</v>
      </c>
      <c r="X792" s="7"/>
      <c r="Y792" s="7" t="s">
        <v>41</v>
      </c>
      <c r="Z792" s="7"/>
      <c r="AA792" s="7" t="str">
        <f>HYPERLINK("https://miland.ru/api/getInfo/item/1d6ae0b6-2f52-11f1-a292-00155d82e908")</f>
        <v>https://miland.ru/api/getInfo/item/1d6ae0b6-2f52-11f1-a292-00155d82e908</v>
      </c>
      <c r="AB792" s="7" t="s">
        <v>42</v>
      </c>
      <c r="AC792" s="7"/>
      <c r="AD792" s="7"/>
      <c r="AE792" s="54"/>
    </row>
    <row r="793" spans="2:31" s="1" customFormat="1" ht="96.3" customHeight="1" outlineLevel="7">
      <c r="B793" s="6">
        <v>566</v>
      </c>
      <c r="C793" s="7" t="s">
        <v>2700</v>
      </c>
      <c r="D793" s="71" t="s">
        <v>2701</v>
      </c>
      <c r="E793" s="71"/>
      <c r="F793" s="71"/>
      <c r="G793" s="71"/>
      <c r="H793" s="8" t="s">
        <v>2702</v>
      </c>
      <c r="I793" s="9" t="s">
        <v>36</v>
      </c>
      <c r="J793" s="8"/>
      <c r="K793" s="6">
        <v>5</v>
      </c>
      <c r="L793" s="10">
        <v>127.81</v>
      </c>
      <c r="M793" s="11"/>
      <c r="N793" s="8">
        <f t="shared" si="37"/>
        <v>0</v>
      </c>
      <c r="O793" s="18">
        <f>0.04*M793</f>
        <v>0</v>
      </c>
      <c r="P793" s="13">
        <f>0.00059*M793</f>
        <v>0</v>
      </c>
      <c r="Q793" s="17" t="s">
        <v>37</v>
      </c>
      <c r="R793" s="8" t="s">
        <v>2703</v>
      </c>
      <c r="S793" s="8"/>
      <c r="T793" s="7" t="str">
        <f>HYPERLINK("https://miland.ru/api/getInfo/image/a75cca33-2f51-11f1-a292-00155d82e908")</f>
        <v>https://miland.ru/api/getInfo/image/a75cca33-2f51-11f1-a292-00155d82e908</v>
      </c>
      <c r="U793" s="7"/>
      <c r="V793" s="7"/>
      <c r="W793" s="7" t="s">
        <v>82</v>
      </c>
      <c r="X793" s="7"/>
      <c r="Y793" s="7" t="s">
        <v>41</v>
      </c>
      <c r="Z793" s="7"/>
      <c r="AA793" s="7" t="str">
        <f>HYPERLINK("https://miland.ru/api/getInfo/item/a75cca33-2f51-11f1-a292-00155d82e908")</f>
        <v>https://miland.ru/api/getInfo/item/a75cca33-2f51-11f1-a292-00155d82e908</v>
      </c>
      <c r="AB793" s="7" t="s">
        <v>42</v>
      </c>
      <c r="AC793" s="7"/>
      <c r="AD793" s="7"/>
      <c r="AE793" s="54"/>
    </row>
    <row r="794" spans="2:31" s="1" customFormat="1" ht="96.3" customHeight="1" outlineLevel="7">
      <c r="B794" s="6">
        <v>567</v>
      </c>
      <c r="C794" s="7" t="s">
        <v>2704</v>
      </c>
      <c r="D794" s="71" t="s">
        <v>2705</v>
      </c>
      <c r="E794" s="71"/>
      <c r="F794" s="71"/>
      <c r="G794" s="71"/>
      <c r="H794" s="8" t="s">
        <v>2706</v>
      </c>
      <c r="I794" s="14">
        <v>305</v>
      </c>
      <c r="J794" s="8"/>
      <c r="K794" s="6">
        <v>10</v>
      </c>
      <c r="L794" s="10">
        <v>90.61</v>
      </c>
      <c r="M794" s="11"/>
      <c r="N794" s="8">
        <f t="shared" si="37"/>
        <v>0</v>
      </c>
      <c r="O794" s="12">
        <f>0.037*M794</f>
        <v>0</v>
      </c>
      <c r="P794" s="13">
        <f>0.00041*M794</f>
        <v>0</v>
      </c>
      <c r="Q794" s="17" t="s">
        <v>37</v>
      </c>
      <c r="R794" s="8" t="s">
        <v>2707</v>
      </c>
      <c r="S794" s="8"/>
      <c r="T794" s="7" t="str">
        <f>HYPERLINK("https://miland.ru/api/getInfo/image/b8aa9aee-2f51-11f1-a292-00155d82e908")</f>
        <v>https://miland.ru/api/getInfo/image/b8aa9aee-2f51-11f1-a292-00155d82e908</v>
      </c>
      <c r="U794" s="7"/>
      <c r="V794" s="7"/>
      <c r="W794" s="7" t="s">
        <v>82</v>
      </c>
      <c r="X794" s="7"/>
      <c r="Y794" s="7" t="s">
        <v>41</v>
      </c>
      <c r="Z794" s="7"/>
      <c r="AA794" s="7" t="str">
        <f>HYPERLINK("https://miland.ru/api/getInfo/item/b8aa9aee-2f51-11f1-a292-00155d82e908")</f>
        <v>https://miland.ru/api/getInfo/item/b8aa9aee-2f51-11f1-a292-00155d82e908</v>
      </c>
      <c r="AB794" s="7" t="s">
        <v>42</v>
      </c>
      <c r="AC794" s="7"/>
      <c r="AD794" s="7"/>
      <c r="AE794" s="54"/>
    </row>
    <row r="795" spans="2:31" s="1" customFormat="1" ht="96.3" customHeight="1" outlineLevel="7">
      <c r="B795" s="6">
        <v>568</v>
      </c>
      <c r="C795" s="7" t="s">
        <v>2708</v>
      </c>
      <c r="D795" s="71" t="s">
        <v>2709</v>
      </c>
      <c r="E795" s="71"/>
      <c r="F795" s="71"/>
      <c r="G795" s="71"/>
      <c r="H795" s="8" t="s">
        <v>2710</v>
      </c>
      <c r="I795" s="9" t="s">
        <v>36</v>
      </c>
      <c r="J795" s="8"/>
      <c r="K795" s="6">
        <v>10</v>
      </c>
      <c r="L795" s="10">
        <v>78.69</v>
      </c>
      <c r="M795" s="11"/>
      <c r="N795" s="8">
        <f t="shared" si="37"/>
        <v>0</v>
      </c>
      <c r="O795" s="12">
        <f>0.019*M795</f>
        <v>0</v>
      </c>
      <c r="P795" s="13">
        <f>0.00014*M795</f>
        <v>0</v>
      </c>
      <c r="Q795" s="17" t="s">
        <v>37</v>
      </c>
      <c r="R795" s="8" t="s">
        <v>2711</v>
      </c>
      <c r="S795" s="8"/>
      <c r="T795" s="7" t="str">
        <f>HYPERLINK("https://miland.ru/api/getInfo/image/e69dbea3-2f50-11f1-a292-00155d82e908")</f>
        <v>https://miland.ru/api/getInfo/image/e69dbea3-2f50-11f1-a292-00155d82e908</v>
      </c>
      <c r="U795" s="7"/>
      <c r="V795" s="7"/>
      <c r="W795" s="7" t="s">
        <v>82</v>
      </c>
      <c r="X795" s="7"/>
      <c r="Y795" s="7" t="s">
        <v>41</v>
      </c>
      <c r="Z795" s="7"/>
      <c r="AA795" s="7" t="str">
        <f>HYPERLINK("https://miland.ru/api/getInfo/item/e69dbea3-2f50-11f1-a292-00155d82e908")</f>
        <v>https://miland.ru/api/getInfo/item/e69dbea3-2f50-11f1-a292-00155d82e908</v>
      </c>
      <c r="AB795" s="7" t="s">
        <v>42</v>
      </c>
      <c r="AC795" s="7"/>
      <c r="AD795" s="7"/>
      <c r="AE795" s="54"/>
    </row>
    <row r="796" spans="2:31" s="1" customFormat="1" ht="96.3" customHeight="1" outlineLevel="7">
      <c r="B796" s="6">
        <v>569</v>
      </c>
      <c r="C796" s="7" t="s">
        <v>2712</v>
      </c>
      <c r="D796" s="71" t="s">
        <v>2713</v>
      </c>
      <c r="E796" s="71"/>
      <c r="F796" s="71"/>
      <c r="G796" s="71"/>
      <c r="H796" s="8" t="s">
        <v>2714</v>
      </c>
      <c r="I796" s="9" t="s">
        <v>36</v>
      </c>
      <c r="J796" s="8"/>
      <c r="K796" s="6">
        <v>10</v>
      </c>
      <c r="L796" s="10">
        <v>80.12</v>
      </c>
      <c r="M796" s="11"/>
      <c r="N796" s="8">
        <f t="shared" si="37"/>
        <v>0</v>
      </c>
      <c r="O796" s="12">
        <f>0.022*M796</f>
        <v>0</v>
      </c>
      <c r="P796" s="13">
        <f>0.00005*M796</f>
        <v>0</v>
      </c>
      <c r="Q796" s="17" t="s">
        <v>37</v>
      </c>
      <c r="R796" s="8" t="s">
        <v>2715</v>
      </c>
      <c r="S796" s="8"/>
      <c r="T796" s="7" t="str">
        <f>HYPERLINK("https://miland.ru/api/getInfo/image/d4780593-2f50-11f1-a292-00155d82e908")</f>
        <v>https://miland.ru/api/getInfo/image/d4780593-2f50-11f1-a292-00155d82e908</v>
      </c>
      <c r="U796" s="7"/>
      <c r="V796" s="7"/>
      <c r="W796" s="7" t="s">
        <v>82</v>
      </c>
      <c r="X796" s="7"/>
      <c r="Y796" s="7" t="s">
        <v>41</v>
      </c>
      <c r="Z796" s="7"/>
      <c r="AA796" s="7" t="str">
        <f>HYPERLINK("https://miland.ru/api/getInfo/item/d4780593-2f50-11f1-a292-00155d82e908")</f>
        <v>https://miland.ru/api/getInfo/item/d4780593-2f50-11f1-a292-00155d82e908</v>
      </c>
      <c r="AB796" s="7" t="s">
        <v>42</v>
      </c>
      <c r="AC796" s="7"/>
      <c r="AD796" s="7"/>
      <c r="AE796" s="54"/>
    </row>
    <row r="797" spans="2:31" s="1" customFormat="1" ht="96.3" customHeight="1" outlineLevel="7">
      <c r="B797" s="6">
        <v>570</v>
      </c>
      <c r="C797" s="7" t="s">
        <v>2716</v>
      </c>
      <c r="D797" s="71" t="s">
        <v>2717</v>
      </c>
      <c r="E797" s="71"/>
      <c r="F797" s="71"/>
      <c r="G797" s="71"/>
      <c r="H797" s="8" t="s">
        <v>2718</v>
      </c>
      <c r="I797" s="9" t="s">
        <v>36</v>
      </c>
      <c r="J797" s="8"/>
      <c r="K797" s="6">
        <v>10</v>
      </c>
      <c r="L797" s="10">
        <v>66.77</v>
      </c>
      <c r="M797" s="11"/>
      <c r="N797" s="8">
        <f t="shared" si="37"/>
        <v>0</v>
      </c>
      <c r="O797" s="12">
        <f>0.021*M797</f>
        <v>0</v>
      </c>
      <c r="P797" s="13">
        <f>0.00012*M797</f>
        <v>0</v>
      </c>
      <c r="Q797" s="17" t="s">
        <v>37</v>
      </c>
      <c r="R797" s="8" t="s">
        <v>2719</v>
      </c>
      <c r="S797" s="8"/>
      <c r="T797" s="7" t="str">
        <f>HYPERLINK("https://miland.ru/api/getInfo/image/62b7d85f-2f50-11f1-a292-00155d82e908")</f>
        <v>https://miland.ru/api/getInfo/image/62b7d85f-2f50-11f1-a292-00155d82e908</v>
      </c>
      <c r="U797" s="7"/>
      <c r="V797" s="7"/>
      <c r="W797" s="7" t="s">
        <v>82</v>
      </c>
      <c r="X797" s="7"/>
      <c r="Y797" s="7" t="s">
        <v>41</v>
      </c>
      <c r="Z797" s="7"/>
      <c r="AA797" s="7" t="str">
        <f>HYPERLINK("https://miland.ru/api/getInfo/item/62b7d85f-2f50-11f1-a292-00155d82e908")</f>
        <v>https://miland.ru/api/getInfo/item/62b7d85f-2f50-11f1-a292-00155d82e908</v>
      </c>
      <c r="AB797" s="7" t="s">
        <v>42</v>
      </c>
      <c r="AC797" s="7"/>
      <c r="AD797" s="7"/>
      <c r="AE797" s="54"/>
    </row>
    <row r="798" spans="2:31" s="1" customFormat="1" ht="96.3" customHeight="1" outlineLevel="7">
      <c r="B798" s="6">
        <v>571</v>
      </c>
      <c r="C798" s="7" t="s">
        <v>2720</v>
      </c>
      <c r="D798" s="71" t="s">
        <v>2721</v>
      </c>
      <c r="E798" s="71"/>
      <c r="F798" s="71"/>
      <c r="G798" s="71"/>
      <c r="H798" s="8" t="s">
        <v>2722</v>
      </c>
      <c r="I798" s="9" t="s">
        <v>36</v>
      </c>
      <c r="J798" s="8"/>
      <c r="K798" s="6">
        <v>6</v>
      </c>
      <c r="L798" s="10">
        <v>94.43</v>
      </c>
      <c r="M798" s="11"/>
      <c r="N798" s="8">
        <f t="shared" si="37"/>
        <v>0</v>
      </c>
      <c r="O798" s="12">
        <f>0.038*M798</f>
        <v>0</v>
      </c>
      <c r="P798" s="16">
        <f>0.0002*M798</f>
        <v>0</v>
      </c>
      <c r="Q798" s="17" t="s">
        <v>37</v>
      </c>
      <c r="R798" s="8" t="s">
        <v>2723</v>
      </c>
      <c r="S798" s="8"/>
      <c r="T798" s="7" t="str">
        <f>HYPERLINK("https://miland.ru/api/getInfo/image/7cff3738-2f50-11f1-a292-00155d82e908")</f>
        <v>https://miland.ru/api/getInfo/image/7cff3738-2f50-11f1-a292-00155d82e908</v>
      </c>
      <c r="U798" s="7"/>
      <c r="V798" s="7"/>
      <c r="W798" s="7" t="s">
        <v>82</v>
      </c>
      <c r="X798" s="7"/>
      <c r="Y798" s="7" t="s">
        <v>41</v>
      </c>
      <c r="Z798" s="7"/>
      <c r="AA798" s="7" t="str">
        <f>HYPERLINK("https://miland.ru/api/getInfo/item/7cff3738-2f50-11f1-a292-00155d82e908")</f>
        <v>https://miland.ru/api/getInfo/item/7cff3738-2f50-11f1-a292-00155d82e908</v>
      </c>
      <c r="AB798" s="7" t="s">
        <v>42</v>
      </c>
      <c r="AC798" s="7"/>
      <c r="AD798" s="7"/>
      <c r="AE798" s="54"/>
    </row>
    <row r="799" spans="2:31" s="1" customFormat="1" ht="96.3" customHeight="1" outlineLevel="7">
      <c r="B799" s="6">
        <v>572</v>
      </c>
      <c r="C799" s="7" t="s">
        <v>2724</v>
      </c>
      <c r="D799" s="71" t="s">
        <v>2725</v>
      </c>
      <c r="E799" s="71"/>
      <c r="F799" s="71"/>
      <c r="G799" s="71"/>
      <c r="H799" s="8" t="s">
        <v>2726</v>
      </c>
      <c r="I799" s="14">
        <v>117</v>
      </c>
      <c r="J799" s="8"/>
      <c r="K799" s="6">
        <v>10</v>
      </c>
      <c r="L799" s="10">
        <v>80.12</v>
      </c>
      <c r="M799" s="11"/>
      <c r="N799" s="8">
        <f t="shared" si="37"/>
        <v>0</v>
      </c>
      <c r="O799" s="12">
        <f>0.024*M799</f>
        <v>0</v>
      </c>
      <c r="P799" s="13">
        <f>0.00033*M799</f>
        <v>0</v>
      </c>
      <c r="Q799" s="17" t="s">
        <v>37</v>
      </c>
      <c r="R799" s="8" t="s">
        <v>2727</v>
      </c>
      <c r="S799" s="8"/>
      <c r="T799" s="7" t="str">
        <f>HYPERLINK("https://miland.ru/api/getInfo/image/9fe4add8-2f4f-11f1-a292-00155d82e908")</f>
        <v>https://miland.ru/api/getInfo/image/9fe4add8-2f4f-11f1-a292-00155d82e908</v>
      </c>
      <c r="U799" s="7"/>
      <c r="V799" s="7"/>
      <c r="W799" s="7" t="s">
        <v>82</v>
      </c>
      <c r="X799" s="7"/>
      <c r="Y799" s="7" t="s">
        <v>41</v>
      </c>
      <c r="Z799" s="7"/>
      <c r="AA799" s="7" t="str">
        <f>HYPERLINK("https://miland.ru/api/getInfo/item/9fe4add8-2f4f-11f1-a292-00155d82e908")</f>
        <v>https://miland.ru/api/getInfo/item/9fe4add8-2f4f-11f1-a292-00155d82e908</v>
      </c>
      <c r="AB799" s="7" t="s">
        <v>42</v>
      </c>
      <c r="AC799" s="7"/>
      <c r="AD799" s="7"/>
      <c r="AE799" s="54"/>
    </row>
    <row r="800" spans="2:31" s="1" customFormat="1" ht="96.3" customHeight="1" outlineLevel="7">
      <c r="B800" s="20">
        <v>573</v>
      </c>
      <c r="C800" s="21" t="s">
        <v>2728</v>
      </c>
      <c r="D800" s="72" t="s">
        <v>2729</v>
      </c>
      <c r="E800" s="72"/>
      <c r="F800" s="72"/>
      <c r="G800" s="72"/>
      <c r="H800" s="22" t="s">
        <v>2730</v>
      </c>
      <c r="I800" s="27">
        <v>32</v>
      </c>
      <c r="J800" s="22"/>
      <c r="K800" s="20">
        <v>2</v>
      </c>
      <c r="L800" s="24">
        <v>172.76</v>
      </c>
      <c r="M800" s="11"/>
      <c r="N800" s="22">
        <f t="shared" si="37"/>
        <v>0</v>
      </c>
      <c r="O800" s="25">
        <f>0.034*M800</f>
        <v>0</v>
      </c>
      <c r="P800" s="26">
        <f>0.00078*M800</f>
        <v>0</v>
      </c>
      <c r="Q800" s="30"/>
      <c r="R800" s="22" t="s">
        <v>2731</v>
      </c>
      <c r="S800" s="22" t="s">
        <v>435</v>
      </c>
      <c r="T800" s="21" t="str">
        <f>HYPERLINK("https://miland.ru/api/getInfo/image/b930e428-e40a-11ed-a233-00155d82e902")</f>
        <v>https://miland.ru/api/getInfo/image/b930e428-e40a-11ed-a233-00155d82e902</v>
      </c>
      <c r="U800" s="21"/>
      <c r="V800" s="21" t="s">
        <v>710</v>
      </c>
      <c r="W800" s="21" t="s">
        <v>82</v>
      </c>
      <c r="X800" s="21"/>
      <c r="Y800" s="21" t="s">
        <v>41</v>
      </c>
      <c r="Z800" s="21"/>
      <c r="AA800" s="21" t="str">
        <f>HYPERLINK("https://miland.ru/api/getInfo/item/b930e428-e40a-11ed-a233-00155d82e902")</f>
        <v>https://miland.ru/api/getInfo/item/b930e428-e40a-11ed-a233-00155d82e902</v>
      </c>
      <c r="AB800" s="21" t="s">
        <v>42</v>
      </c>
      <c r="AC800" s="21"/>
      <c r="AD800" s="21"/>
    </row>
    <row r="801" spans="2:31" ht="12" customHeight="1" outlineLevel="5">
      <c r="B801" s="70" t="s">
        <v>2732</v>
      </c>
      <c r="C801" s="70"/>
      <c r="D801" s="70"/>
      <c r="E801" s="70"/>
      <c r="F801" s="70"/>
      <c r="G801" s="70"/>
    </row>
    <row r="802" spans="2:31" s="1" customFormat="1" ht="96.3" customHeight="1" outlineLevel="6">
      <c r="B802" s="20">
        <v>574</v>
      </c>
      <c r="C802" s="21" t="s">
        <v>2733</v>
      </c>
      <c r="D802" s="72" t="s">
        <v>2734</v>
      </c>
      <c r="E802" s="72"/>
      <c r="F802" s="72"/>
      <c r="G802" s="72"/>
      <c r="H802" s="22" t="s">
        <v>2735</v>
      </c>
      <c r="I802" s="27">
        <v>410</v>
      </c>
      <c r="J802" s="22"/>
      <c r="K802" s="20">
        <v>1</v>
      </c>
      <c r="L802" s="24">
        <v>515.73</v>
      </c>
      <c r="M802" s="11"/>
      <c r="N802" s="22">
        <f t="shared" ref="N802:N820" si="38">L802*M802</f>
        <v>0</v>
      </c>
      <c r="O802" s="25">
        <f>0.099*M802</f>
        <v>0</v>
      </c>
      <c r="P802" s="25">
        <f>0.001*M802</f>
        <v>0</v>
      </c>
      <c r="Q802" s="30"/>
      <c r="R802" s="22" t="s">
        <v>2736</v>
      </c>
      <c r="S802" s="22" t="s">
        <v>435</v>
      </c>
      <c r="T802" s="21" t="str">
        <f>HYPERLINK("https://miland.ru/api/getInfo/image/dcaa1d24-d8b3-11ef-a273-00155d82e908")</f>
        <v>https://miland.ru/api/getInfo/image/dcaa1d24-d8b3-11ef-a273-00155d82e908</v>
      </c>
      <c r="U802" s="21"/>
      <c r="V802" s="21" t="s">
        <v>710</v>
      </c>
      <c r="W802" s="21" t="s">
        <v>82</v>
      </c>
      <c r="X802" s="21"/>
      <c r="Y802" s="21" t="s">
        <v>41</v>
      </c>
      <c r="Z802" s="21"/>
      <c r="AA802" s="21" t="str">
        <f>HYPERLINK("https://miland.ru/api/getInfo/item/dcaa1d24-d8b3-11ef-a273-00155d82e908")</f>
        <v>https://miland.ru/api/getInfo/item/dcaa1d24-d8b3-11ef-a273-00155d82e908</v>
      </c>
      <c r="AB802" s="21" t="s">
        <v>42</v>
      </c>
      <c r="AC802" s="21"/>
      <c r="AD802" s="21"/>
    </row>
    <row r="803" spans="2:31" s="1" customFormat="1" ht="96.3" customHeight="1" outlineLevel="6">
      <c r="B803" s="20">
        <v>575</v>
      </c>
      <c r="C803" s="21" t="s">
        <v>2737</v>
      </c>
      <c r="D803" s="72" t="s">
        <v>2738</v>
      </c>
      <c r="E803" s="72"/>
      <c r="F803" s="72"/>
      <c r="G803" s="72"/>
      <c r="H803" s="22" t="s">
        <v>2739</v>
      </c>
      <c r="I803" s="27">
        <v>204</v>
      </c>
      <c r="J803" s="22"/>
      <c r="K803" s="20">
        <v>1</v>
      </c>
      <c r="L803" s="24">
        <v>515.73</v>
      </c>
      <c r="M803" s="11"/>
      <c r="N803" s="22">
        <f t="shared" si="38"/>
        <v>0</v>
      </c>
      <c r="O803" s="25">
        <f>0.105*M803</f>
        <v>0</v>
      </c>
      <c r="P803" s="29">
        <f>0.0009*M803</f>
        <v>0</v>
      </c>
      <c r="Q803" s="30"/>
      <c r="R803" s="22" t="s">
        <v>2740</v>
      </c>
      <c r="S803" s="22" t="s">
        <v>435</v>
      </c>
      <c r="T803" s="21" t="str">
        <f>HYPERLINK("https://miland.ru/api/getInfo/image/964f2257-d8b3-11ef-a273-00155d82e908")</f>
        <v>https://miland.ru/api/getInfo/image/964f2257-d8b3-11ef-a273-00155d82e908</v>
      </c>
      <c r="U803" s="21"/>
      <c r="V803" s="21" t="s">
        <v>710</v>
      </c>
      <c r="W803" s="21" t="s">
        <v>82</v>
      </c>
      <c r="X803" s="21"/>
      <c r="Y803" s="21" t="s">
        <v>41</v>
      </c>
      <c r="Z803" s="21"/>
      <c r="AA803" s="21" t="str">
        <f>HYPERLINK("https://miland.ru/api/getInfo/item/964f2257-d8b3-11ef-a273-00155d82e908")</f>
        <v>https://miland.ru/api/getInfo/item/964f2257-d8b3-11ef-a273-00155d82e908</v>
      </c>
      <c r="AB803" s="21" t="s">
        <v>42</v>
      </c>
      <c r="AC803" s="21"/>
      <c r="AD803" s="21"/>
    </row>
    <row r="804" spans="2:31" s="1" customFormat="1" ht="96.3" customHeight="1" outlineLevel="6">
      <c r="B804" s="37">
        <v>576</v>
      </c>
      <c r="C804" s="38" t="s">
        <v>2741</v>
      </c>
      <c r="D804" s="74" t="s">
        <v>2742</v>
      </c>
      <c r="E804" s="74"/>
      <c r="F804" s="74"/>
      <c r="G804" s="74"/>
      <c r="H804" s="39" t="s">
        <v>2743</v>
      </c>
      <c r="I804" s="44">
        <v>12</v>
      </c>
      <c r="J804" s="39"/>
      <c r="K804" s="37">
        <v>1</v>
      </c>
      <c r="L804" s="41">
        <v>141.85333333333332</v>
      </c>
      <c r="M804" s="11"/>
      <c r="N804" s="39">
        <f t="shared" si="38"/>
        <v>0</v>
      </c>
      <c r="O804" s="48">
        <f>0.046*M804</f>
        <v>0</v>
      </c>
      <c r="P804" s="46">
        <f>0.00019*M804</f>
        <v>0</v>
      </c>
      <c r="Q804" s="51"/>
      <c r="R804" s="39" t="s">
        <v>2744</v>
      </c>
      <c r="S804" s="39" t="s">
        <v>435</v>
      </c>
      <c r="T804" s="38" t="str">
        <f>HYPERLINK("https://miland.ru/api/getInfo/image/65701ae6-8202-11ed-a22a-00155d82e902")</f>
        <v>https://miland.ru/api/getInfo/image/65701ae6-8202-11ed-a22a-00155d82e902</v>
      </c>
      <c r="U804" s="38"/>
      <c r="V804" s="38"/>
      <c r="W804" s="38"/>
      <c r="X804" s="38"/>
      <c r="Y804" s="38"/>
      <c r="Z804" s="38"/>
      <c r="AA804" s="38" t="str">
        <f>HYPERLINK("https://miland.ru/api/getInfo/item/65701ae6-8202-11ed-a22a-00155d82e902")</f>
        <v>https://miland.ru/api/getInfo/item/65701ae6-8202-11ed-a22a-00155d82e902</v>
      </c>
      <c r="AB804" s="38" t="s">
        <v>42</v>
      </c>
      <c r="AC804" s="38" t="s">
        <v>2745</v>
      </c>
      <c r="AD804" s="38"/>
      <c r="AE804" s="53" t="s">
        <v>1306</v>
      </c>
    </row>
    <row r="805" spans="2:31" s="1" customFormat="1" ht="96.3" customHeight="1" outlineLevel="6">
      <c r="B805" s="34">
        <v>577</v>
      </c>
      <c r="C805" s="35" t="s">
        <v>2746</v>
      </c>
      <c r="D805" s="73" t="s">
        <v>2747</v>
      </c>
      <c r="E805" s="73"/>
      <c r="F805" s="73"/>
      <c r="G805" s="73"/>
      <c r="H805" s="36" t="s">
        <v>2748</v>
      </c>
      <c r="I805" s="40">
        <v>9</v>
      </c>
      <c r="J805" s="36"/>
      <c r="K805" s="34">
        <v>5</v>
      </c>
      <c r="L805" s="41">
        <v>75.333333333333329</v>
      </c>
      <c r="M805" s="11"/>
      <c r="N805" s="36">
        <f t="shared" si="38"/>
        <v>0</v>
      </c>
      <c r="O805" s="42">
        <f>0.065*M805</f>
        <v>0</v>
      </c>
      <c r="P805" s="43">
        <f>0.00017*M805</f>
        <v>0</v>
      </c>
      <c r="Q805" s="50"/>
      <c r="R805" s="36" t="s">
        <v>2749</v>
      </c>
      <c r="S805" s="36" t="s">
        <v>435</v>
      </c>
      <c r="T805" s="35" t="str">
        <f>HYPERLINK("https://miland.ru/api/getInfo/image/78e5f023-8200-11ed-a22a-00155d82e902")</f>
        <v>https://miland.ru/api/getInfo/image/78e5f023-8200-11ed-a22a-00155d82e902</v>
      </c>
      <c r="U805" s="35"/>
      <c r="V805" s="35"/>
      <c r="W805" s="35" t="s">
        <v>82</v>
      </c>
      <c r="X805" s="35"/>
      <c r="Y805" s="35"/>
      <c r="Z805" s="35"/>
      <c r="AA805" s="35" t="str">
        <f>HYPERLINK("https://miland.ru/api/getInfo/item/78e5f023-8200-11ed-a22a-00155d82e902")</f>
        <v>https://miland.ru/api/getInfo/item/78e5f023-8200-11ed-a22a-00155d82e902</v>
      </c>
      <c r="AB805" s="35" t="s">
        <v>42</v>
      </c>
      <c r="AC805" s="35" t="s">
        <v>2750</v>
      </c>
      <c r="AD805" s="35"/>
      <c r="AE805" s="52" t="s">
        <v>1251</v>
      </c>
    </row>
    <row r="806" spans="2:31" s="1" customFormat="1" ht="96.3" customHeight="1" outlineLevel="6">
      <c r="B806" s="20">
        <v>578</v>
      </c>
      <c r="C806" s="21" t="s">
        <v>2751</v>
      </c>
      <c r="D806" s="72" t="s">
        <v>2752</v>
      </c>
      <c r="E806" s="72"/>
      <c r="F806" s="72"/>
      <c r="G806" s="72"/>
      <c r="H806" s="22" t="s">
        <v>2753</v>
      </c>
      <c r="I806" s="27">
        <v>357</v>
      </c>
      <c r="J806" s="22"/>
      <c r="K806" s="20">
        <v>5</v>
      </c>
      <c r="L806" s="24">
        <v>132.49</v>
      </c>
      <c r="M806" s="11"/>
      <c r="N806" s="22">
        <f t="shared" si="38"/>
        <v>0</v>
      </c>
      <c r="O806" s="25">
        <f>0.043*M806</f>
        <v>0</v>
      </c>
      <c r="P806" s="26">
        <f>0.00008*M806</f>
        <v>0</v>
      </c>
      <c r="Q806" s="30"/>
      <c r="R806" s="22" t="s">
        <v>2754</v>
      </c>
      <c r="S806" s="22" t="s">
        <v>435</v>
      </c>
      <c r="T806" s="21" t="str">
        <f>HYPERLINK("https://miland.ru/api/getInfo/image/c5ee5598-933c-11ee-a250-00155d82e908")</f>
        <v>https://miland.ru/api/getInfo/image/c5ee5598-933c-11ee-a250-00155d82e908</v>
      </c>
      <c r="U806" s="21"/>
      <c r="V806" s="21"/>
      <c r="W806" s="21"/>
      <c r="X806" s="21"/>
      <c r="Y806" s="21"/>
      <c r="Z806" s="21"/>
      <c r="AA806" s="21" t="str">
        <f>HYPERLINK("https://miland.ru/api/getInfo/item/c5ee5598-933c-11ee-a250-00155d82e908")</f>
        <v>https://miland.ru/api/getInfo/item/c5ee5598-933c-11ee-a250-00155d82e908</v>
      </c>
      <c r="AB806" s="21" t="s">
        <v>42</v>
      </c>
      <c r="AC806" s="21" t="s">
        <v>2755</v>
      </c>
      <c r="AD806" s="21"/>
    </row>
    <row r="807" spans="2:31" s="1" customFormat="1" ht="96.3" customHeight="1" outlineLevel="6">
      <c r="B807" s="34">
        <v>579</v>
      </c>
      <c r="C807" s="35" t="s">
        <v>2756</v>
      </c>
      <c r="D807" s="73" t="s">
        <v>2757</v>
      </c>
      <c r="E807" s="73"/>
      <c r="F807" s="73"/>
      <c r="G807" s="73"/>
      <c r="H807" s="36" t="s">
        <v>2758</v>
      </c>
      <c r="I807" s="40">
        <v>345</v>
      </c>
      <c r="J807" s="36"/>
      <c r="K807" s="34">
        <v>5</v>
      </c>
      <c r="L807" s="41">
        <v>75.333333333333329</v>
      </c>
      <c r="M807" s="11"/>
      <c r="N807" s="36">
        <f t="shared" si="38"/>
        <v>0</v>
      </c>
      <c r="O807" s="47">
        <f>0.07*M807</f>
        <v>0</v>
      </c>
      <c r="P807" s="43">
        <f>0.00016*M807</f>
        <v>0</v>
      </c>
      <c r="Q807" s="50"/>
      <c r="R807" s="36" t="s">
        <v>2759</v>
      </c>
      <c r="S807" s="36" t="s">
        <v>435</v>
      </c>
      <c r="T807" s="35" t="str">
        <f>HYPERLINK("https://miland.ru/api/getInfo/image/24e6ffe3-8200-11ed-a22a-00155d82e902")</f>
        <v>https://miland.ru/api/getInfo/image/24e6ffe3-8200-11ed-a22a-00155d82e902</v>
      </c>
      <c r="U807" s="35"/>
      <c r="V807" s="35"/>
      <c r="W807" s="35"/>
      <c r="X807" s="35"/>
      <c r="Y807" s="35"/>
      <c r="Z807" s="35"/>
      <c r="AA807" s="35" t="str">
        <f>HYPERLINK("https://miland.ru/api/getInfo/item/24e6ffe3-8200-11ed-a22a-00155d82e902")</f>
        <v>https://miland.ru/api/getInfo/item/24e6ffe3-8200-11ed-a22a-00155d82e902</v>
      </c>
      <c r="AB807" s="35" t="s">
        <v>42</v>
      </c>
      <c r="AC807" s="35" t="s">
        <v>2750</v>
      </c>
      <c r="AD807" s="35"/>
      <c r="AE807" s="52" t="s">
        <v>1251</v>
      </c>
    </row>
    <row r="808" spans="2:31" s="1" customFormat="1" ht="96.3" customHeight="1" outlineLevel="6">
      <c r="B808" s="34">
        <v>580</v>
      </c>
      <c r="C808" s="35" t="s">
        <v>2760</v>
      </c>
      <c r="D808" s="73" t="s">
        <v>2761</v>
      </c>
      <c r="E808" s="73"/>
      <c r="F808" s="73"/>
      <c r="G808" s="73"/>
      <c r="H808" s="36" t="s">
        <v>2762</v>
      </c>
      <c r="I808" s="40">
        <v>245</v>
      </c>
      <c r="J808" s="36"/>
      <c r="K808" s="34">
        <v>2</v>
      </c>
      <c r="L808" s="41">
        <v>75.333333333333329</v>
      </c>
      <c r="M808" s="11"/>
      <c r="N808" s="36">
        <f t="shared" si="38"/>
        <v>0</v>
      </c>
      <c r="O808" s="42">
        <f>0.078*M808</f>
        <v>0</v>
      </c>
      <c r="P808" s="43">
        <f>0.00016*M808</f>
        <v>0</v>
      </c>
      <c r="Q808" s="50"/>
      <c r="R808" s="36" t="s">
        <v>2763</v>
      </c>
      <c r="S808" s="36" t="s">
        <v>435</v>
      </c>
      <c r="T808" s="35" t="str">
        <f>HYPERLINK("https://miland.ru/api/getInfo/image/cd01f56d-81ff-11ed-a22a-00155d82e902")</f>
        <v>https://miland.ru/api/getInfo/image/cd01f56d-81ff-11ed-a22a-00155d82e902</v>
      </c>
      <c r="U808" s="35"/>
      <c r="V808" s="35"/>
      <c r="W808" s="35"/>
      <c r="X808" s="35"/>
      <c r="Y808" s="35"/>
      <c r="Z808" s="35"/>
      <c r="AA808" s="35" t="str">
        <f>HYPERLINK("https://miland.ru/api/getInfo/item/cd01f56d-81ff-11ed-a22a-00155d82e902")</f>
        <v>https://miland.ru/api/getInfo/item/cd01f56d-81ff-11ed-a22a-00155d82e902</v>
      </c>
      <c r="AB808" s="35" t="s">
        <v>42</v>
      </c>
      <c r="AC808" s="35" t="s">
        <v>2750</v>
      </c>
      <c r="AD808" s="35"/>
      <c r="AE808" s="52" t="s">
        <v>1251</v>
      </c>
    </row>
    <row r="809" spans="2:31" s="1" customFormat="1" ht="96.3" customHeight="1" outlineLevel="6">
      <c r="B809" s="37">
        <v>581</v>
      </c>
      <c r="C809" s="38" t="s">
        <v>2764</v>
      </c>
      <c r="D809" s="74" t="s">
        <v>2765</v>
      </c>
      <c r="E809" s="74"/>
      <c r="F809" s="74"/>
      <c r="G809" s="74"/>
      <c r="H809" s="39" t="s">
        <v>2766</v>
      </c>
      <c r="I809" s="44">
        <v>15</v>
      </c>
      <c r="J809" s="39"/>
      <c r="K809" s="37">
        <v>2</v>
      </c>
      <c r="L809" s="41">
        <v>52.733333333333327</v>
      </c>
      <c r="M809" s="11"/>
      <c r="N809" s="39">
        <f t="shared" si="38"/>
        <v>0</v>
      </c>
      <c r="O809" s="48">
        <f>0.061*M809</f>
        <v>0</v>
      </c>
      <c r="P809" s="46">
        <f>0.00023*M809</f>
        <v>0</v>
      </c>
      <c r="Q809" s="51"/>
      <c r="R809" s="39" t="s">
        <v>2767</v>
      </c>
      <c r="S809" s="39" t="s">
        <v>435</v>
      </c>
      <c r="T809" s="38" t="str">
        <f>HYPERLINK("https://miland.ru/api/getInfo/image/14d24862-8202-11ed-a22a-00155d82e902")</f>
        <v>https://miland.ru/api/getInfo/image/14d24862-8202-11ed-a22a-00155d82e902</v>
      </c>
      <c r="U809" s="38"/>
      <c r="V809" s="38"/>
      <c r="W809" s="38"/>
      <c r="X809" s="38"/>
      <c r="Y809" s="38"/>
      <c r="Z809" s="38"/>
      <c r="AA809" s="38" t="str">
        <f>HYPERLINK("https://miland.ru/api/getInfo/item/14d24862-8202-11ed-a22a-00155d82e902")</f>
        <v>https://miland.ru/api/getInfo/item/14d24862-8202-11ed-a22a-00155d82e902</v>
      </c>
      <c r="AB809" s="38" t="s">
        <v>42</v>
      </c>
      <c r="AC809" s="38" t="s">
        <v>2750</v>
      </c>
      <c r="AD809" s="38"/>
      <c r="AE809" s="53" t="s">
        <v>1306</v>
      </c>
    </row>
    <row r="810" spans="2:31" s="1" customFormat="1" ht="96.3" customHeight="1" outlineLevel="6">
      <c r="B810" s="20">
        <v>582</v>
      </c>
      <c r="C810" s="21" t="s">
        <v>2768</v>
      </c>
      <c r="D810" s="72" t="s">
        <v>2769</v>
      </c>
      <c r="E810" s="72"/>
      <c r="F810" s="72"/>
      <c r="G810" s="72"/>
      <c r="H810" s="22" t="s">
        <v>2770</v>
      </c>
      <c r="I810" s="27">
        <v>423</v>
      </c>
      <c r="J810" s="22"/>
      <c r="K810" s="20">
        <v>5</v>
      </c>
      <c r="L810" s="24">
        <v>132.49</v>
      </c>
      <c r="M810" s="11"/>
      <c r="N810" s="22">
        <f t="shared" si="38"/>
        <v>0</v>
      </c>
      <c r="O810" s="28">
        <f>0.07*M810</f>
        <v>0</v>
      </c>
      <c r="P810" s="26">
        <f>0.00009*M810</f>
        <v>0</v>
      </c>
      <c r="Q810" s="30"/>
      <c r="R810" s="22" t="s">
        <v>2771</v>
      </c>
      <c r="S810" s="22" t="s">
        <v>435</v>
      </c>
      <c r="T810" s="21" t="str">
        <f>HYPERLINK("https://miland.ru/api/getInfo/image/1810bce3-933d-11ee-a250-00155d82e908")</f>
        <v>https://miland.ru/api/getInfo/image/1810bce3-933d-11ee-a250-00155d82e908</v>
      </c>
      <c r="U810" s="21"/>
      <c r="V810" s="21"/>
      <c r="W810" s="21" t="s">
        <v>82</v>
      </c>
      <c r="X810" s="21"/>
      <c r="Y810" s="21" t="s">
        <v>41</v>
      </c>
      <c r="Z810" s="21"/>
      <c r="AA810" s="21" t="str">
        <f>HYPERLINK("https://miland.ru/api/getInfo/item/1810bce3-933d-11ee-a250-00155d82e908")</f>
        <v>https://miland.ru/api/getInfo/item/1810bce3-933d-11ee-a250-00155d82e908</v>
      </c>
      <c r="AB810" s="21" t="s">
        <v>42</v>
      </c>
      <c r="AC810" s="21" t="s">
        <v>2755</v>
      </c>
      <c r="AD810" s="21"/>
    </row>
    <row r="811" spans="2:31" s="1" customFormat="1" ht="96.3" customHeight="1" outlineLevel="6">
      <c r="B811" s="34">
        <v>583</v>
      </c>
      <c r="C811" s="35" t="s">
        <v>2772</v>
      </c>
      <c r="D811" s="73" t="s">
        <v>2773</v>
      </c>
      <c r="E811" s="73"/>
      <c r="F811" s="73"/>
      <c r="G811" s="73"/>
      <c r="H811" s="36" t="s">
        <v>2774</v>
      </c>
      <c r="I811" s="40">
        <v>157</v>
      </c>
      <c r="J811" s="36"/>
      <c r="K811" s="34">
        <v>2</v>
      </c>
      <c r="L811" s="41">
        <v>75.333333333333329</v>
      </c>
      <c r="M811" s="11"/>
      <c r="N811" s="36">
        <f t="shared" si="38"/>
        <v>0</v>
      </c>
      <c r="O811" s="42">
        <f>0.063*M811</f>
        <v>0</v>
      </c>
      <c r="P811" s="43">
        <f>0.00022*M811</f>
        <v>0</v>
      </c>
      <c r="Q811" s="50"/>
      <c r="R811" s="36" t="s">
        <v>2775</v>
      </c>
      <c r="S811" s="36" t="s">
        <v>435</v>
      </c>
      <c r="T811" s="35" t="str">
        <f>HYPERLINK("https://miland.ru/api/getInfo/image/ebc9db79-81fe-11ed-a22a-00155d82e902")</f>
        <v>https://miland.ru/api/getInfo/image/ebc9db79-81fe-11ed-a22a-00155d82e902</v>
      </c>
      <c r="U811" s="35"/>
      <c r="V811" s="35"/>
      <c r="W811" s="35"/>
      <c r="X811" s="35"/>
      <c r="Y811" s="35"/>
      <c r="Z811" s="35"/>
      <c r="AA811" s="35" t="str">
        <f>HYPERLINK("https://miland.ru/api/getInfo/item/ebc9db79-81fe-11ed-a22a-00155d82e902")</f>
        <v>https://miland.ru/api/getInfo/item/ebc9db79-81fe-11ed-a22a-00155d82e902</v>
      </c>
      <c r="AB811" s="35" t="s">
        <v>42</v>
      </c>
      <c r="AC811" s="35" t="s">
        <v>2750</v>
      </c>
      <c r="AD811" s="35"/>
      <c r="AE811" s="52" t="s">
        <v>1251</v>
      </c>
    </row>
    <row r="812" spans="2:31" s="1" customFormat="1" ht="96.3" customHeight="1" outlineLevel="6">
      <c r="B812" s="20">
        <v>584</v>
      </c>
      <c r="C812" s="21" t="s">
        <v>2776</v>
      </c>
      <c r="D812" s="72" t="s">
        <v>2777</v>
      </c>
      <c r="E812" s="72"/>
      <c r="F812" s="72"/>
      <c r="G812" s="72"/>
      <c r="H812" s="22" t="s">
        <v>2778</v>
      </c>
      <c r="I812" s="23" t="s">
        <v>36</v>
      </c>
      <c r="J812" s="22"/>
      <c r="K812" s="20">
        <v>5</v>
      </c>
      <c r="L812" s="24">
        <v>132.49</v>
      </c>
      <c r="M812" s="11"/>
      <c r="N812" s="22">
        <f t="shared" si="38"/>
        <v>0</v>
      </c>
      <c r="O812" s="28">
        <f>0.07*M812</f>
        <v>0</v>
      </c>
      <c r="P812" s="26">
        <f>0.00007*M812</f>
        <v>0</v>
      </c>
      <c r="Q812" s="30"/>
      <c r="R812" s="22" t="s">
        <v>2779</v>
      </c>
      <c r="S812" s="22" t="s">
        <v>435</v>
      </c>
      <c r="T812" s="21" t="str">
        <f>HYPERLINK("https://miland.ru/api/getInfo/image/d8663c49-933c-11ee-a250-00155d82e908")</f>
        <v>https://miland.ru/api/getInfo/image/d8663c49-933c-11ee-a250-00155d82e908</v>
      </c>
      <c r="U812" s="21"/>
      <c r="V812" s="21"/>
      <c r="W812" s="21"/>
      <c r="X812" s="21"/>
      <c r="Y812" s="21"/>
      <c r="Z812" s="21"/>
      <c r="AA812" s="21" t="str">
        <f>HYPERLINK("https://miland.ru/api/getInfo/item/d8663c49-933c-11ee-a250-00155d82e908")</f>
        <v>https://miland.ru/api/getInfo/item/d8663c49-933c-11ee-a250-00155d82e908</v>
      </c>
      <c r="AB812" s="21" t="s">
        <v>42</v>
      </c>
      <c r="AC812" s="21" t="s">
        <v>2780</v>
      </c>
      <c r="AD812" s="21"/>
    </row>
    <row r="813" spans="2:31" s="1" customFormat="1" ht="96.3" customHeight="1" outlineLevel="6">
      <c r="B813" s="20">
        <v>585</v>
      </c>
      <c r="C813" s="21" t="s">
        <v>2781</v>
      </c>
      <c r="D813" s="72" t="s">
        <v>2782</v>
      </c>
      <c r="E813" s="72"/>
      <c r="F813" s="72"/>
      <c r="G813" s="72"/>
      <c r="H813" s="22" t="s">
        <v>2783</v>
      </c>
      <c r="I813" s="27">
        <v>466</v>
      </c>
      <c r="J813" s="22"/>
      <c r="K813" s="20">
        <v>5</v>
      </c>
      <c r="L813" s="24">
        <v>132.49</v>
      </c>
      <c r="M813" s="11"/>
      <c r="N813" s="22">
        <f t="shared" si="38"/>
        <v>0</v>
      </c>
      <c r="O813" s="28">
        <f>0.08*M813</f>
        <v>0</v>
      </c>
      <c r="P813" s="26">
        <f>0.00005*M813</f>
        <v>0</v>
      </c>
      <c r="Q813" s="30"/>
      <c r="R813" s="22" t="s">
        <v>2784</v>
      </c>
      <c r="S813" s="22" t="s">
        <v>435</v>
      </c>
      <c r="T813" s="21" t="str">
        <f>HYPERLINK("https://miland.ru/api/getInfo/image/faea240b-933c-11ee-a250-00155d82e908")</f>
        <v>https://miland.ru/api/getInfo/image/faea240b-933c-11ee-a250-00155d82e908</v>
      </c>
      <c r="U813" s="21"/>
      <c r="V813" s="21"/>
      <c r="W813" s="21"/>
      <c r="X813" s="21"/>
      <c r="Y813" s="21"/>
      <c r="Z813" s="21"/>
      <c r="AA813" s="21" t="str">
        <f>HYPERLINK("https://miland.ru/api/getInfo/item/faea240b-933c-11ee-a250-00155d82e908")</f>
        <v>https://miland.ru/api/getInfo/item/faea240b-933c-11ee-a250-00155d82e908</v>
      </c>
      <c r="AB813" s="21" t="s">
        <v>42</v>
      </c>
      <c r="AC813" s="21" t="s">
        <v>2785</v>
      </c>
      <c r="AD813" s="21"/>
    </row>
    <row r="814" spans="2:31" s="1" customFormat="1" ht="96.3" customHeight="1" outlineLevel="6">
      <c r="B814" s="20">
        <v>586</v>
      </c>
      <c r="C814" s="21" t="s">
        <v>2786</v>
      </c>
      <c r="D814" s="72" t="s">
        <v>2787</v>
      </c>
      <c r="E814" s="72"/>
      <c r="F814" s="72"/>
      <c r="G814" s="72"/>
      <c r="H814" s="22" t="s">
        <v>2788</v>
      </c>
      <c r="I814" s="23" t="s">
        <v>36</v>
      </c>
      <c r="J814" s="22"/>
      <c r="K814" s="20">
        <v>5</v>
      </c>
      <c r="L814" s="24">
        <v>132.49</v>
      </c>
      <c r="M814" s="11"/>
      <c r="N814" s="22">
        <f t="shared" si="38"/>
        <v>0</v>
      </c>
      <c r="O814" s="25">
        <f>0.043*M814</f>
        <v>0</v>
      </c>
      <c r="P814" s="26">
        <f>0.00006*M814</f>
        <v>0</v>
      </c>
      <c r="Q814" s="30"/>
      <c r="R814" s="22" t="s">
        <v>2789</v>
      </c>
      <c r="S814" s="22" t="s">
        <v>435</v>
      </c>
      <c r="T814" s="21" t="str">
        <f>HYPERLINK("https://miland.ru/api/getInfo/image/383bc769-933d-11ee-a250-00155d82e908")</f>
        <v>https://miland.ru/api/getInfo/image/383bc769-933d-11ee-a250-00155d82e908</v>
      </c>
      <c r="U814" s="21"/>
      <c r="V814" s="21"/>
      <c r="W814" s="21"/>
      <c r="X814" s="21"/>
      <c r="Y814" s="21"/>
      <c r="Z814" s="21"/>
      <c r="AA814" s="21" t="str">
        <f>HYPERLINK("https://miland.ru/api/getInfo/item/383bc769-933d-11ee-a250-00155d82e908")</f>
        <v>https://miland.ru/api/getInfo/item/383bc769-933d-11ee-a250-00155d82e908</v>
      </c>
      <c r="AB814" s="21" t="s">
        <v>42</v>
      </c>
      <c r="AC814" s="21" t="s">
        <v>2790</v>
      </c>
      <c r="AD814" s="21"/>
    </row>
    <row r="815" spans="2:31" s="1" customFormat="1" ht="96.3" customHeight="1" outlineLevel="6">
      <c r="B815" s="34">
        <v>587</v>
      </c>
      <c r="C815" s="35" t="s">
        <v>2791</v>
      </c>
      <c r="D815" s="73" t="s">
        <v>2792</v>
      </c>
      <c r="E815" s="73"/>
      <c r="F815" s="73"/>
      <c r="G815" s="73"/>
      <c r="H815" s="36" t="s">
        <v>2793</v>
      </c>
      <c r="I815" s="40">
        <v>320</v>
      </c>
      <c r="J815" s="36"/>
      <c r="K815" s="34">
        <v>5</v>
      </c>
      <c r="L815" s="41">
        <v>75.333333333333329</v>
      </c>
      <c r="M815" s="11"/>
      <c r="N815" s="36">
        <f t="shared" si="38"/>
        <v>0</v>
      </c>
      <c r="O815" s="42">
        <f>0.053*M815</f>
        <v>0</v>
      </c>
      <c r="P815" s="43">
        <f>0.00031*M815</f>
        <v>0</v>
      </c>
      <c r="Q815" s="50"/>
      <c r="R815" s="36" t="s">
        <v>2794</v>
      </c>
      <c r="S815" s="36" t="s">
        <v>435</v>
      </c>
      <c r="T815" s="35" t="str">
        <f>HYPERLINK("https://miland.ru/api/getInfo/image/ec232dea-8200-11ed-a22a-00155d82e902")</f>
        <v>https://miland.ru/api/getInfo/image/ec232dea-8200-11ed-a22a-00155d82e902</v>
      </c>
      <c r="U815" s="35"/>
      <c r="V815" s="35"/>
      <c r="W815" s="35"/>
      <c r="X815" s="35"/>
      <c r="Y815" s="35"/>
      <c r="Z815" s="35"/>
      <c r="AA815" s="35" t="str">
        <f>HYPERLINK("https://miland.ru/api/getInfo/item/ec232dea-8200-11ed-a22a-00155d82e902")</f>
        <v>https://miland.ru/api/getInfo/item/ec232dea-8200-11ed-a22a-00155d82e902</v>
      </c>
      <c r="AB815" s="35" t="s">
        <v>42</v>
      </c>
      <c r="AC815" s="35" t="s">
        <v>2750</v>
      </c>
      <c r="AD815" s="35"/>
      <c r="AE815" s="52" t="s">
        <v>1251</v>
      </c>
    </row>
    <row r="816" spans="2:31" s="1" customFormat="1" ht="96.3" customHeight="1" outlineLevel="6">
      <c r="B816" s="20">
        <v>588</v>
      </c>
      <c r="C816" s="21" t="s">
        <v>2795</v>
      </c>
      <c r="D816" s="72" t="s">
        <v>2796</v>
      </c>
      <c r="E816" s="72"/>
      <c r="F816" s="72"/>
      <c r="G816" s="72"/>
      <c r="H816" s="22" t="s">
        <v>2797</v>
      </c>
      <c r="I816" s="23" t="s">
        <v>36</v>
      </c>
      <c r="J816" s="22"/>
      <c r="K816" s="20">
        <v>5</v>
      </c>
      <c r="L816" s="24">
        <v>132.49</v>
      </c>
      <c r="M816" s="11"/>
      <c r="N816" s="22">
        <f t="shared" si="38"/>
        <v>0</v>
      </c>
      <c r="O816" s="25">
        <f>0.071*M816</f>
        <v>0</v>
      </c>
      <c r="P816" s="26">
        <f>0.00011*M816</f>
        <v>0</v>
      </c>
      <c r="Q816" s="30"/>
      <c r="R816" s="22" t="s">
        <v>2798</v>
      </c>
      <c r="S816" s="22" t="s">
        <v>435</v>
      </c>
      <c r="T816" s="21" t="str">
        <f>HYPERLINK("https://miland.ru/api/getInfo/image/ed074634-933c-11ee-a250-00155d82e908")</f>
        <v>https://miland.ru/api/getInfo/image/ed074634-933c-11ee-a250-00155d82e908</v>
      </c>
      <c r="U816" s="21"/>
      <c r="V816" s="21"/>
      <c r="W816" s="21"/>
      <c r="X816" s="21"/>
      <c r="Y816" s="21"/>
      <c r="Z816" s="21"/>
      <c r="AA816" s="21" t="str">
        <f>HYPERLINK("https://miland.ru/api/getInfo/item/ed074634-933c-11ee-a250-00155d82e908")</f>
        <v>https://miland.ru/api/getInfo/item/ed074634-933c-11ee-a250-00155d82e908</v>
      </c>
      <c r="AB816" s="21" t="s">
        <v>42</v>
      </c>
      <c r="AC816" s="21" t="s">
        <v>2799</v>
      </c>
      <c r="AD816" s="21"/>
    </row>
    <row r="817" spans="2:31" s="1" customFormat="1" ht="96.3" customHeight="1" outlineLevel="6">
      <c r="B817" s="20">
        <v>589</v>
      </c>
      <c r="C817" s="21" t="s">
        <v>2800</v>
      </c>
      <c r="D817" s="72" t="s">
        <v>2801</v>
      </c>
      <c r="E817" s="72"/>
      <c r="F817" s="72"/>
      <c r="G817" s="72"/>
      <c r="H817" s="22" t="s">
        <v>2802</v>
      </c>
      <c r="I817" s="27">
        <v>431</v>
      </c>
      <c r="J817" s="22"/>
      <c r="K817" s="20">
        <v>5</v>
      </c>
      <c r="L817" s="24">
        <v>132.49</v>
      </c>
      <c r="M817" s="11"/>
      <c r="N817" s="22">
        <f t="shared" si="38"/>
        <v>0</v>
      </c>
      <c r="O817" s="28">
        <f>0.07*M817</f>
        <v>0</v>
      </c>
      <c r="P817" s="26">
        <f>0.00011*M817</f>
        <v>0</v>
      </c>
      <c r="Q817" s="30"/>
      <c r="R817" s="22" t="s">
        <v>2803</v>
      </c>
      <c r="S817" s="22" t="s">
        <v>435</v>
      </c>
      <c r="T817" s="21" t="str">
        <f>HYPERLINK("https://miland.ru/api/getInfo/image/093aae6b-933d-11ee-a250-00155d82e908")</f>
        <v>https://miland.ru/api/getInfo/image/093aae6b-933d-11ee-a250-00155d82e908</v>
      </c>
      <c r="U817" s="21"/>
      <c r="V817" s="21"/>
      <c r="W817" s="21"/>
      <c r="X817" s="21"/>
      <c r="Y817" s="21"/>
      <c r="Z817" s="21"/>
      <c r="AA817" s="21" t="str">
        <f>HYPERLINK("https://miland.ru/api/getInfo/item/093aae6b-933d-11ee-a250-00155d82e908")</f>
        <v>https://miland.ru/api/getInfo/item/093aae6b-933d-11ee-a250-00155d82e908</v>
      </c>
      <c r="AB817" s="21" t="s">
        <v>42</v>
      </c>
      <c r="AC817" s="21" t="s">
        <v>2799</v>
      </c>
      <c r="AD817" s="21"/>
    </row>
    <row r="818" spans="2:31" s="1" customFormat="1" ht="96.3" customHeight="1" outlineLevel="6">
      <c r="B818" s="20">
        <v>590</v>
      </c>
      <c r="C818" s="21" t="s">
        <v>2804</v>
      </c>
      <c r="D818" s="72" t="s">
        <v>2805</v>
      </c>
      <c r="E818" s="72"/>
      <c r="F818" s="72"/>
      <c r="G818" s="72"/>
      <c r="H818" s="22" t="s">
        <v>2806</v>
      </c>
      <c r="I818" s="27">
        <v>281</v>
      </c>
      <c r="J818" s="22"/>
      <c r="K818" s="20">
        <v>4</v>
      </c>
      <c r="L818" s="24">
        <v>160.13</v>
      </c>
      <c r="M818" s="11"/>
      <c r="N818" s="22">
        <f t="shared" si="38"/>
        <v>0</v>
      </c>
      <c r="O818" s="25">
        <f>0.051*M818</f>
        <v>0</v>
      </c>
      <c r="P818" s="29">
        <f>0.0003*M818</f>
        <v>0</v>
      </c>
      <c r="Q818" s="30"/>
      <c r="R818" s="22" t="s">
        <v>2807</v>
      </c>
      <c r="S818" s="22" t="s">
        <v>435</v>
      </c>
      <c r="T818" s="21" t="str">
        <f>HYPERLINK("https://miland.ru/api/getInfo/image/82ad2944-d8b3-11ef-a273-00155d82e908")</f>
        <v>https://miland.ru/api/getInfo/image/82ad2944-d8b3-11ef-a273-00155d82e908</v>
      </c>
      <c r="U818" s="21"/>
      <c r="V818" s="21" t="s">
        <v>710</v>
      </c>
      <c r="W818" s="21" t="s">
        <v>82</v>
      </c>
      <c r="X818" s="21"/>
      <c r="Y818" s="21" t="s">
        <v>41</v>
      </c>
      <c r="Z818" s="21"/>
      <c r="AA818" s="21" t="str">
        <f>HYPERLINK("https://miland.ru/api/getInfo/item/82ad2944-d8b3-11ef-a273-00155d82e908")</f>
        <v>https://miland.ru/api/getInfo/item/82ad2944-d8b3-11ef-a273-00155d82e908</v>
      </c>
      <c r="AB818" s="21" t="s">
        <v>42</v>
      </c>
      <c r="AC818" s="21"/>
      <c r="AD818" s="21"/>
    </row>
    <row r="819" spans="2:31" s="1" customFormat="1" ht="96.3" customHeight="1" outlineLevel="6">
      <c r="B819" s="20">
        <v>591</v>
      </c>
      <c r="C819" s="21" t="s">
        <v>2808</v>
      </c>
      <c r="D819" s="72" t="s">
        <v>2809</v>
      </c>
      <c r="E819" s="72"/>
      <c r="F819" s="72"/>
      <c r="G819" s="72"/>
      <c r="H819" s="22" t="s">
        <v>2810</v>
      </c>
      <c r="I819" s="27">
        <v>408</v>
      </c>
      <c r="J819" s="22"/>
      <c r="K819" s="20">
        <v>5</v>
      </c>
      <c r="L819" s="24">
        <v>132.49</v>
      </c>
      <c r="M819" s="11"/>
      <c r="N819" s="22">
        <f t="shared" si="38"/>
        <v>0</v>
      </c>
      <c r="O819" s="25">
        <f>0.072*M819</f>
        <v>0</v>
      </c>
      <c r="P819" s="26">
        <f>0.00011*M819</f>
        <v>0</v>
      </c>
      <c r="Q819" s="30"/>
      <c r="R819" s="22" t="s">
        <v>2811</v>
      </c>
      <c r="S819" s="22" t="s">
        <v>435</v>
      </c>
      <c r="T819" s="21" t="str">
        <f>HYPERLINK("https://miland.ru/api/getInfo/image/5c620272-933c-11ee-a250-00155d82e908")</f>
        <v>https://miland.ru/api/getInfo/image/5c620272-933c-11ee-a250-00155d82e908</v>
      </c>
      <c r="U819" s="21"/>
      <c r="V819" s="21"/>
      <c r="W819" s="21"/>
      <c r="X819" s="21"/>
      <c r="Y819" s="21"/>
      <c r="Z819" s="21"/>
      <c r="AA819" s="21" t="str">
        <f>HYPERLINK("https://miland.ru/api/getInfo/item/5c620272-933c-11ee-a250-00155d82e908")</f>
        <v>https://miland.ru/api/getInfo/item/5c620272-933c-11ee-a250-00155d82e908</v>
      </c>
      <c r="AB819" s="21" t="s">
        <v>42</v>
      </c>
      <c r="AC819" s="21" t="s">
        <v>2755</v>
      </c>
      <c r="AD819" s="21"/>
    </row>
    <row r="820" spans="2:31" s="1" customFormat="1" ht="96.3" customHeight="1" outlineLevel="6">
      <c r="B820" s="20">
        <v>592</v>
      </c>
      <c r="C820" s="21" t="s">
        <v>2812</v>
      </c>
      <c r="D820" s="72" t="s">
        <v>2813</v>
      </c>
      <c r="E820" s="72"/>
      <c r="F820" s="72"/>
      <c r="G820" s="72"/>
      <c r="H820" s="22" t="s">
        <v>2814</v>
      </c>
      <c r="I820" s="23" t="s">
        <v>36</v>
      </c>
      <c r="J820" s="22"/>
      <c r="K820" s="20">
        <v>5</v>
      </c>
      <c r="L820" s="24">
        <v>132.49</v>
      </c>
      <c r="M820" s="11"/>
      <c r="N820" s="22">
        <f t="shared" si="38"/>
        <v>0</v>
      </c>
      <c r="O820" s="25">
        <f>0.071*M820</f>
        <v>0</v>
      </c>
      <c r="P820" s="26">
        <f>0.00011*M820</f>
        <v>0</v>
      </c>
      <c r="Q820" s="30"/>
      <c r="R820" s="22" t="s">
        <v>2815</v>
      </c>
      <c r="S820" s="22" t="s">
        <v>435</v>
      </c>
      <c r="T820" s="21" t="str">
        <f>HYPERLINK("https://miland.ru/api/getInfo/image/b625164f-933c-11ee-a250-00155d82e908")</f>
        <v>https://miland.ru/api/getInfo/image/b625164f-933c-11ee-a250-00155d82e908</v>
      </c>
      <c r="U820" s="21"/>
      <c r="V820" s="21"/>
      <c r="W820" s="21" t="s">
        <v>82</v>
      </c>
      <c r="X820" s="21"/>
      <c r="Y820" s="21" t="s">
        <v>41</v>
      </c>
      <c r="Z820" s="21"/>
      <c r="AA820" s="21" t="str">
        <f>HYPERLINK("https://miland.ru/api/getInfo/item/b625164f-933c-11ee-a250-00155d82e908")</f>
        <v>https://miland.ru/api/getInfo/item/b625164f-933c-11ee-a250-00155d82e908</v>
      </c>
      <c r="AB820" s="21" t="s">
        <v>42</v>
      </c>
      <c r="AC820" s="21" t="s">
        <v>2816</v>
      </c>
      <c r="AD820" s="21"/>
    </row>
    <row r="821" spans="2:31" ht="12" customHeight="1" outlineLevel="5">
      <c r="B821" s="70" t="s">
        <v>2817</v>
      </c>
      <c r="C821" s="70"/>
      <c r="D821" s="70"/>
      <c r="E821" s="70"/>
      <c r="F821" s="70"/>
      <c r="G821" s="70"/>
    </row>
    <row r="822" spans="2:31" s="1" customFormat="1" ht="96.3" customHeight="1" outlineLevel="6">
      <c r="B822" s="37">
        <v>593</v>
      </c>
      <c r="C822" s="38" t="s">
        <v>2818</v>
      </c>
      <c r="D822" s="74" t="s">
        <v>2819</v>
      </c>
      <c r="E822" s="74"/>
      <c r="F822" s="74"/>
      <c r="G822" s="74"/>
      <c r="H822" s="39" t="s">
        <v>2820</v>
      </c>
      <c r="I822" s="44">
        <v>9</v>
      </c>
      <c r="J822" s="39"/>
      <c r="K822" s="37">
        <v>1</v>
      </c>
      <c r="L822" s="41">
        <v>57.293333333333329</v>
      </c>
      <c r="M822" s="11"/>
      <c r="N822" s="39">
        <f>L822*M822</f>
        <v>0</v>
      </c>
      <c r="O822" s="48">
        <f>0.011*M822</f>
        <v>0</v>
      </c>
      <c r="P822" s="46">
        <f>0.00036*M822</f>
        <v>0</v>
      </c>
      <c r="Q822" s="51"/>
      <c r="R822" s="39" t="s">
        <v>2821</v>
      </c>
      <c r="S822" s="39" t="s">
        <v>435</v>
      </c>
      <c r="T822" s="38" t="str">
        <f>HYPERLINK("https://miland.ru/api/getInfo/image/c767b394-88c3-11eb-a277-ac1f6b442184")</f>
        <v>https://miland.ru/api/getInfo/image/c767b394-88c3-11eb-a277-ac1f6b442184</v>
      </c>
      <c r="U822" s="38"/>
      <c r="V822" s="38" t="s">
        <v>710</v>
      </c>
      <c r="W822" s="38" t="s">
        <v>82</v>
      </c>
      <c r="X822" s="38"/>
      <c r="Y822" s="38" t="s">
        <v>41</v>
      </c>
      <c r="Z822" s="38"/>
      <c r="AA822" s="38" t="str">
        <f>HYPERLINK("https://miland.ru/api/getInfo/item/c767b394-88c3-11eb-a277-ac1f6b442184")</f>
        <v>https://miland.ru/api/getInfo/item/c767b394-88c3-11eb-a277-ac1f6b442184</v>
      </c>
      <c r="AB822" s="38" t="s">
        <v>42</v>
      </c>
      <c r="AC822" s="38" t="s">
        <v>2822</v>
      </c>
      <c r="AD822" s="38"/>
      <c r="AE822" s="53" t="s">
        <v>1306</v>
      </c>
    </row>
    <row r="823" spans="2:31" ht="12" customHeight="1" outlineLevel="5">
      <c r="B823" s="70" t="s">
        <v>2823</v>
      </c>
      <c r="C823" s="70"/>
      <c r="D823" s="70"/>
      <c r="E823" s="70"/>
      <c r="F823" s="70"/>
      <c r="G823" s="70"/>
    </row>
    <row r="824" spans="2:31" s="1" customFormat="1" ht="96.3" customHeight="1" outlineLevel="6">
      <c r="B824" s="6">
        <v>594</v>
      </c>
      <c r="C824" s="7" t="s">
        <v>2824</v>
      </c>
      <c r="D824" s="71" t="s">
        <v>2825</v>
      </c>
      <c r="E824" s="71"/>
      <c r="F824" s="71"/>
      <c r="G824" s="71"/>
      <c r="H824" s="8" t="s">
        <v>2826</v>
      </c>
      <c r="I824" s="9" t="s">
        <v>36</v>
      </c>
      <c r="J824" s="8"/>
      <c r="K824" s="6">
        <v>6</v>
      </c>
      <c r="L824" s="10">
        <v>95.38</v>
      </c>
      <c r="M824" s="11"/>
      <c r="N824" s="8">
        <f t="shared" ref="N824:N830" si="39">L824*M824</f>
        <v>0</v>
      </c>
      <c r="O824" s="12">
        <f>0.021*M824</f>
        <v>0</v>
      </c>
      <c r="P824" s="13">
        <f>0.00879*M824</f>
        <v>0</v>
      </c>
      <c r="Q824" s="17" t="s">
        <v>37</v>
      </c>
      <c r="R824" s="8" t="s">
        <v>2827</v>
      </c>
      <c r="S824" s="8"/>
      <c r="T824" s="7" t="str">
        <f>HYPERLINK("https://miland.ru/api/getInfo/image/677b60cb-2f55-11f1-a292-00155d82e908")</f>
        <v>https://miland.ru/api/getInfo/image/677b60cb-2f55-11f1-a292-00155d82e908</v>
      </c>
      <c r="U824" s="7"/>
      <c r="V824" s="7"/>
      <c r="W824" s="7" t="s">
        <v>82</v>
      </c>
      <c r="X824" s="7"/>
      <c r="Y824" s="7" t="s">
        <v>41</v>
      </c>
      <c r="Z824" s="7"/>
      <c r="AA824" s="7" t="str">
        <f>HYPERLINK("https://miland.ru/api/getInfo/item/677b60cb-2f55-11f1-a292-00155d82e908")</f>
        <v>https://miland.ru/api/getInfo/item/677b60cb-2f55-11f1-a292-00155d82e908</v>
      </c>
      <c r="AB824" s="7" t="s">
        <v>42</v>
      </c>
      <c r="AC824" s="7"/>
      <c r="AD824" s="7"/>
      <c r="AE824" s="54"/>
    </row>
    <row r="825" spans="2:31" s="1" customFormat="1" ht="96.3" customHeight="1" outlineLevel="6">
      <c r="B825" s="6">
        <v>595</v>
      </c>
      <c r="C825" s="7" t="s">
        <v>2828</v>
      </c>
      <c r="D825" s="71" t="s">
        <v>2829</v>
      </c>
      <c r="E825" s="71"/>
      <c r="F825" s="71"/>
      <c r="G825" s="71"/>
      <c r="H825" s="8" t="s">
        <v>2830</v>
      </c>
      <c r="I825" s="14">
        <v>149</v>
      </c>
      <c r="J825" s="8"/>
      <c r="K825" s="6">
        <v>5</v>
      </c>
      <c r="L825" s="10">
        <v>131.15</v>
      </c>
      <c r="M825" s="11"/>
      <c r="N825" s="8">
        <f t="shared" si="39"/>
        <v>0</v>
      </c>
      <c r="O825" s="12">
        <f>0.021*M825</f>
        <v>0</v>
      </c>
      <c r="P825" s="13">
        <f>0.00016*M825</f>
        <v>0</v>
      </c>
      <c r="Q825" s="17" t="s">
        <v>37</v>
      </c>
      <c r="R825" s="8" t="s">
        <v>2831</v>
      </c>
      <c r="S825" s="8"/>
      <c r="T825" s="7" t="str">
        <f>HYPERLINK("https://miland.ru/api/getInfo/image/47091439-2f55-11f1-a292-00155d82e908")</f>
        <v>https://miland.ru/api/getInfo/image/47091439-2f55-11f1-a292-00155d82e908</v>
      </c>
      <c r="U825" s="7"/>
      <c r="V825" s="7"/>
      <c r="W825" s="7" t="s">
        <v>82</v>
      </c>
      <c r="X825" s="7"/>
      <c r="Y825" s="7" t="s">
        <v>41</v>
      </c>
      <c r="Z825" s="7"/>
      <c r="AA825" s="7" t="str">
        <f>HYPERLINK("https://miland.ru/api/getInfo/item/47091439-2f55-11f1-a292-00155d82e908")</f>
        <v>https://miland.ru/api/getInfo/item/47091439-2f55-11f1-a292-00155d82e908</v>
      </c>
      <c r="AB825" s="7" t="s">
        <v>42</v>
      </c>
      <c r="AC825" s="7"/>
      <c r="AD825" s="7"/>
      <c r="AE825" s="54"/>
    </row>
    <row r="826" spans="2:31" s="1" customFormat="1" ht="96.3" customHeight="1" outlineLevel="6">
      <c r="B826" s="6">
        <v>596</v>
      </c>
      <c r="C826" s="7" t="s">
        <v>2832</v>
      </c>
      <c r="D826" s="71" t="s">
        <v>2833</v>
      </c>
      <c r="E826" s="71"/>
      <c r="F826" s="71"/>
      <c r="G826" s="71"/>
      <c r="H826" s="8" t="s">
        <v>2834</v>
      </c>
      <c r="I826" s="14">
        <v>237</v>
      </c>
      <c r="J826" s="8"/>
      <c r="K826" s="6">
        <v>5</v>
      </c>
      <c r="L826" s="10">
        <v>114.46</v>
      </c>
      <c r="M826" s="11"/>
      <c r="N826" s="8">
        <f t="shared" si="39"/>
        <v>0</v>
      </c>
      <c r="O826" s="18">
        <f>0.02*M826</f>
        <v>0</v>
      </c>
      <c r="P826" s="13">
        <f>0.00004*M826</f>
        <v>0</v>
      </c>
      <c r="Q826" s="17" t="s">
        <v>37</v>
      </c>
      <c r="R826" s="8" t="s">
        <v>2835</v>
      </c>
      <c r="S826" s="8"/>
      <c r="T826" s="7" t="str">
        <f>HYPERLINK("https://miland.ru/api/getInfo/image/5846b2af-2f55-11f1-a292-00155d82e908")</f>
        <v>https://miland.ru/api/getInfo/image/5846b2af-2f55-11f1-a292-00155d82e908</v>
      </c>
      <c r="U826" s="7"/>
      <c r="V826" s="7"/>
      <c r="W826" s="7" t="s">
        <v>82</v>
      </c>
      <c r="X826" s="7"/>
      <c r="Y826" s="7" t="s">
        <v>41</v>
      </c>
      <c r="Z826" s="7"/>
      <c r="AA826" s="7" t="str">
        <f>HYPERLINK("https://miland.ru/api/getInfo/item/5846b2af-2f55-11f1-a292-00155d82e908")</f>
        <v>https://miland.ru/api/getInfo/item/5846b2af-2f55-11f1-a292-00155d82e908</v>
      </c>
      <c r="AB826" s="7" t="s">
        <v>42</v>
      </c>
      <c r="AC826" s="7"/>
      <c r="AD826" s="7"/>
      <c r="AE826" s="54"/>
    </row>
    <row r="827" spans="2:31" s="1" customFormat="1" ht="96.3" customHeight="1" outlineLevel="6">
      <c r="B827" s="6">
        <v>597</v>
      </c>
      <c r="C827" s="7" t="s">
        <v>2836</v>
      </c>
      <c r="D827" s="71" t="s">
        <v>2837</v>
      </c>
      <c r="E827" s="71"/>
      <c r="F827" s="71"/>
      <c r="G827" s="71"/>
      <c r="H827" s="8" t="s">
        <v>2838</v>
      </c>
      <c r="I827" s="14">
        <v>359</v>
      </c>
      <c r="J827" s="8"/>
      <c r="K827" s="6">
        <v>5</v>
      </c>
      <c r="L827" s="10">
        <v>119.22</v>
      </c>
      <c r="M827" s="11"/>
      <c r="N827" s="8">
        <f t="shared" si="39"/>
        <v>0</v>
      </c>
      <c r="O827" s="18">
        <f>0.02*M827</f>
        <v>0</v>
      </c>
      <c r="P827" s="13">
        <f>0.00017*M827</f>
        <v>0</v>
      </c>
      <c r="Q827" s="17" t="s">
        <v>37</v>
      </c>
      <c r="R827" s="8" t="s">
        <v>2839</v>
      </c>
      <c r="S827" s="8"/>
      <c r="T827" s="7" t="str">
        <f>HYPERLINK("https://miland.ru/api/getInfo/image/36cb5cc6-2f55-11f1-a292-00155d82e908")</f>
        <v>https://miland.ru/api/getInfo/image/36cb5cc6-2f55-11f1-a292-00155d82e908</v>
      </c>
      <c r="U827" s="7"/>
      <c r="V827" s="7"/>
      <c r="W827" s="7" t="s">
        <v>82</v>
      </c>
      <c r="X827" s="7"/>
      <c r="Y827" s="7" t="s">
        <v>41</v>
      </c>
      <c r="Z827" s="7"/>
      <c r="AA827" s="7" t="str">
        <f>HYPERLINK("https://miland.ru/api/getInfo/item/36cb5cc6-2f55-11f1-a292-00155d82e908")</f>
        <v>https://miland.ru/api/getInfo/item/36cb5cc6-2f55-11f1-a292-00155d82e908</v>
      </c>
      <c r="AB827" s="7" t="s">
        <v>42</v>
      </c>
      <c r="AC827" s="7"/>
      <c r="AD827" s="7"/>
      <c r="AE827" s="54"/>
    </row>
    <row r="828" spans="2:31" s="1" customFormat="1" ht="96.3" customHeight="1" outlineLevel="6">
      <c r="B828" s="6">
        <v>598</v>
      </c>
      <c r="C828" s="7" t="s">
        <v>2840</v>
      </c>
      <c r="D828" s="71" t="s">
        <v>2841</v>
      </c>
      <c r="E828" s="71"/>
      <c r="F828" s="71"/>
      <c r="G828" s="71"/>
      <c r="H828" s="8" t="s">
        <v>2842</v>
      </c>
      <c r="I828" s="14">
        <v>215</v>
      </c>
      <c r="J828" s="8"/>
      <c r="K828" s="6">
        <v>6</v>
      </c>
      <c r="L828" s="10">
        <v>103.96</v>
      </c>
      <c r="M828" s="11"/>
      <c r="N828" s="8">
        <f t="shared" si="39"/>
        <v>0</v>
      </c>
      <c r="O828" s="18">
        <f>0.02*M828</f>
        <v>0</v>
      </c>
      <c r="P828" s="13">
        <f>0.00025*M828</f>
        <v>0</v>
      </c>
      <c r="Q828" s="17" t="s">
        <v>37</v>
      </c>
      <c r="R828" s="8" t="s">
        <v>2843</v>
      </c>
      <c r="S828" s="8"/>
      <c r="T828" s="7" t="str">
        <f>HYPERLINK("https://miland.ru/api/getInfo/image/877ac869-2f55-11f1-a292-00155d82e908")</f>
        <v>https://miland.ru/api/getInfo/image/877ac869-2f55-11f1-a292-00155d82e908</v>
      </c>
      <c r="U828" s="7"/>
      <c r="V828" s="7"/>
      <c r="W828" s="7" t="s">
        <v>82</v>
      </c>
      <c r="X828" s="7"/>
      <c r="Y828" s="7" t="s">
        <v>41</v>
      </c>
      <c r="Z828" s="7"/>
      <c r="AA828" s="7" t="str">
        <f>HYPERLINK("https://miland.ru/api/getInfo/item/877ac869-2f55-11f1-a292-00155d82e908")</f>
        <v>https://miland.ru/api/getInfo/item/877ac869-2f55-11f1-a292-00155d82e908</v>
      </c>
      <c r="AB828" s="7" t="s">
        <v>42</v>
      </c>
      <c r="AC828" s="7"/>
      <c r="AD828" s="7"/>
      <c r="AE828" s="54"/>
    </row>
    <row r="829" spans="2:31" s="1" customFormat="1" ht="96.3" customHeight="1" outlineLevel="6">
      <c r="B829" s="6">
        <v>599</v>
      </c>
      <c r="C829" s="7" t="s">
        <v>2844</v>
      </c>
      <c r="D829" s="71" t="s">
        <v>2845</v>
      </c>
      <c r="E829" s="71"/>
      <c r="F829" s="71"/>
      <c r="G829" s="71"/>
      <c r="H829" s="8" t="s">
        <v>2846</v>
      </c>
      <c r="I829" s="9" t="s">
        <v>36</v>
      </c>
      <c r="J829" s="8"/>
      <c r="K829" s="6">
        <v>5</v>
      </c>
      <c r="L829" s="10">
        <v>132.58000000000001</v>
      </c>
      <c r="M829" s="11"/>
      <c r="N829" s="8">
        <f t="shared" si="39"/>
        <v>0</v>
      </c>
      <c r="O829" s="12">
        <f>0.023*M829</f>
        <v>0</v>
      </c>
      <c r="P829" s="13">
        <f>0.00036*M829</f>
        <v>0</v>
      </c>
      <c r="Q829" s="17" t="s">
        <v>37</v>
      </c>
      <c r="R829" s="8" t="s">
        <v>2847</v>
      </c>
      <c r="S829" s="8"/>
      <c r="T829" s="7" t="str">
        <f>HYPERLINK("https://miland.ru/api/getInfo/image/9768dc73-2f55-11f1-a292-00155d82e908")</f>
        <v>https://miland.ru/api/getInfo/image/9768dc73-2f55-11f1-a292-00155d82e908</v>
      </c>
      <c r="U829" s="7"/>
      <c r="V829" s="7"/>
      <c r="W829" s="7" t="s">
        <v>82</v>
      </c>
      <c r="X829" s="7"/>
      <c r="Y829" s="7" t="s">
        <v>41</v>
      </c>
      <c r="Z829" s="7"/>
      <c r="AA829" s="7" t="str">
        <f>HYPERLINK("https://miland.ru/api/getInfo/item/9768dc73-2f55-11f1-a292-00155d82e908")</f>
        <v>https://miland.ru/api/getInfo/item/9768dc73-2f55-11f1-a292-00155d82e908</v>
      </c>
      <c r="AB829" s="7" t="s">
        <v>42</v>
      </c>
      <c r="AC829" s="7"/>
      <c r="AD829" s="7"/>
      <c r="AE829" s="54"/>
    </row>
    <row r="830" spans="2:31" s="1" customFormat="1" ht="96.3" customHeight="1" outlineLevel="6">
      <c r="B830" s="6">
        <v>600</v>
      </c>
      <c r="C830" s="7" t="s">
        <v>2848</v>
      </c>
      <c r="D830" s="71" t="s">
        <v>2849</v>
      </c>
      <c r="E830" s="71"/>
      <c r="F830" s="71"/>
      <c r="G830" s="71"/>
      <c r="H830" s="8" t="s">
        <v>2850</v>
      </c>
      <c r="I830" s="14">
        <v>387</v>
      </c>
      <c r="J830" s="8"/>
      <c r="K830" s="6">
        <v>6</v>
      </c>
      <c r="L830" s="10">
        <v>95.38</v>
      </c>
      <c r="M830" s="11"/>
      <c r="N830" s="8">
        <f t="shared" si="39"/>
        <v>0</v>
      </c>
      <c r="O830" s="12">
        <f>0.015*M830</f>
        <v>0</v>
      </c>
      <c r="P830" s="16">
        <f>0.0001*M830</f>
        <v>0</v>
      </c>
      <c r="Q830" s="17" t="s">
        <v>37</v>
      </c>
      <c r="R830" s="8" t="s">
        <v>2851</v>
      </c>
      <c r="S830" s="8"/>
      <c r="T830" s="7" t="str">
        <f>HYPERLINK("https://miland.ru/api/getInfo/image/747d5073-2f55-11f1-a292-00155d82e908")</f>
        <v>https://miland.ru/api/getInfo/image/747d5073-2f55-11f1-a292-00155d82e908</v>
      </c>
      <c r="U830" s="7"/>
      <c r="V830" s="7"/>
      <c r="W830" s="7" t="s">
        <v>82</v>
      </c>
      <c r="X830" s="7"/>
      <c r="Y830" s="7" t="s">
        <v>41</v>
      </c>
      <c r="Z830" s="7"/>
      <c r="AA830" s="7" t="str">
        <f>HYPERLINK("https://miland.ru/api/getInfo/item/747d5073-2f55-11f1-a292-00155d82e908")</f>
        <v>https://miland.ru/api/getInfo/item/747d5073-2f55-11f1-a292-00155d82e908</v>
      </c>
      <c r="AB830" s="7" t="s">
        <v>42</v>
      </c>
      <c r="AC830" s="7"/>
      <c r="AD830" s="7"/>
      <c r="AE830" s="54"/>
    </row>
    <row r="831" spans="2:31" ht="12" customHeight="1" outlineLevel="4">
      <c r="B831" s="70" t="s">
        <v>2852</v>
      </c>
      <c r="C831" s="70"/>
      <c r="D831" s="70"/>
      <c r="E831" s="70"/>
      <c r="F831" s="70"/>
      <c r="G831" s="70"/>
    </row>
    <row r="832" spans="2:31" ht="12" customHeight="1" outlineLevel="5">
      <c r="B832" s="70" t="s">
        <v>2853</v>
      </c>
      <c r="C832" s="70"/>
      <c r="D832" s="70"/>
      <c r="E832" s="70"/>
      <c r="F832" s="70"/>
      <c r="G832" s="70"/>
    </row>
    <row r="833" spans="2:30" ht="12" customHeight="1" outlineLevel="6">
      <c r="B833" s="70" t="s">
        <v>2854</v>
      </c>
      <c r="C833" s="70"/>
      <c r="D833" s="70"/>
      <c r="E833" s="70"/>
      <c r="F833" s="70"/>
      <c r="G833" s="70"/>
    </row>
    <row r="834" spans="2:30" ht="12" customHeight="1" outlineLevel="7">
      <c r="B834" s="70" t="s">
        <v>2855</v>
      </c>
      <c r="C834" s="70"/>
      <c r="D834" s="70"/>
      <c r="E834" s="70"/>
      <c r="F834" s="70"/>
      <c r="G834" s="70"/>
    </row>
    <row r="835" spans="2:30" s="1" customFormat="1" ht="96.3" customHeight="1" outlineLevel="7">
      <c r="B835" s="20">
        <v>601</v>
      </c>
      <c r="C835" s="21" t="s">
        <v>2856</v>
      </c>
      <c r="D835" s="72" t="s">
        <v>2857</v>
      </c>
      <c r="E835" s="72"/>
      <c r="F835" s="72"/>
      <c r="G835" s="72"/>
      <c r="H835" s="22" t="s">
        <v>2858</v>
      </c>
      <c r="I835" s="27">
        <v>394</v>
      </c>
      <c r="J835" s="22"/>
      <c r="K835" s="20">
        <v>3</v>
      </c>
      <c r="L835" s="24">
        <v>260.49</v>
      </c>
      <c r="M835" s="11"/>
      <c r="N835" s="22">
        <f>L835*M835</f>
        <v>0</v>
      </c>
      <c r="O835" s="25">
        <f>0.035*M835</f>
        <v>0</v>
      </c>
      <c r="P835" s="26">
        <f>0.00058*M835</f>
        <v>0</v>
      </c>
      <c r="Q835" s="30"/>
      <c r="R835" s="22" t="s">
        <v>2859</v>
      </c>
      <c r="S835" s="22" t="s">
        <v>435</v>
      </c>
      <c r="T835" s="21" t="str">
        <f>HYPERLINK("https://miland.ru/api/getInfo/image/d28a61b9-be89-11ee-a25a-00155d82e908")</f>
        <v>https://miland.ru/api/getInfo/image/d28a61b9-be89-11ee-a25a-00155d82e908</v>
      </c>
      <c r="U835" s="21"/>
      <c r="V835" s="21" t="s">
        <v>710</v>
      </c>
      <c r="W835" s="21" t="s">
        <v>546</v>
      </c>
      <c r="X835" s="21"/>
      <c r="Y835" s="21" t="s">
        <v>41</v>
      </c>
      <c r="Z835" s="21"/>
      <c r="AA835" s="21" t="str">
        <f>HYPERLINK("https://miland.ru/api/getInfo/item/d28a61b9-be89-11ee-a25a-00155d82e908")</f>
        <v>https://miland.ru/api/getInfo/item/d28a61b9-be89-11ee-a25a-00155d82e908</v>
      </c>
      <c r="AB835" s="21" t="s">
        <v>42</v>
      </c>
      <c r="AC835" s="21" t="s">
        <v>766</v>
      </c>
      <c r="AD835" s="21"/>
    </row>
    <row r="836" spans="2:30" s="1" customFormat="1" ht="96.3" customHeight="1" outlineLevel="7">
      <c r="B836" s="20">
        <v>602</v>
      </c>
      <c r="C836" s="21" t="s">
        <v>2860</v>
      </c>
      <c r="D836" s="72" t="s">
        <v>2861</v>
      </c>
      <c r="E836" s="72"/>
      <c r="F836" s="72"/>
      <c r="G836" s="72"/>
      <c r="H836" s="22" t="s">
        <v>2862</v>
      </c>
      <c r="I836" s="27">
        <v>432</v>
      </c>
      <c r="J836" s="22"/>
      <c r="K836" s="20">
        <v>3</v>
      </c>
      <c r="L836" s="24">
        <v>260.49</v>
      </c>
      <c r="M836" s="11"/>
      <c r="N836" s="22">
        <f>L836*M836</f>
        <v>0</v>
      </c>
      <c r="O836" s="25">
        <f>0.035*M836</f>
        <v>0</v>
      </c>
      <c r="P836" s="26">
        <f>0.00058*M836</f>
        <v>0</v>
      </c>
      <c r="Q836" s="30"/>
      <c r="R836" s="22" t="s">
        <v>2863</v>
      </c>
      <c r="S836" s="22" t="s">
        <v>435</v>
      </c>
      <c r="T836" s="21" t="str">
        <f>HYPERLINK("https://miland.ru/api/getInfo/image/6c54ceee-be8a-11ee-a25a-00155d82e908")</f>
        <v>https://miland.ru/api/getInfo/image/6c54ceee-be8a-11ee-a25a-00155d82e908</v>
      </c>
      <c r="U836" s="21"/>
      <c r="V836" s="21" t="s">
        <v>710</v>
      </c>
      <c r="W836" s="21" t="s">
        <v>546</v>
      </c>
      <c r="X836" s="21"/>
      <c r="Y836" s="21" t="s">
        <v>41</v>
      </c>
      <c r="Z836" s="21"/>
      <c r="AA836" s="21" t="str">
        <f>HYPERLINK("https://miland.ru/api/getInfo/item/6c54ceee-be8a-11ee-a25a-00155d82e908")</f>
        <v>https://miland.ru/api/getInfo/item/6c54ceee-be8a-11ee-a25a-00155d82e908</v>
      </c>
      <c r="AB836" s="21" t="s">
        <v>42</v>
      </c>
      <c r="AC836" s="21" t="s">
        <v>766</v>
      </c>
      <c r="AD836" s="21"/>
    </row>
    <row r="837" spans="2:30" s="1" customFormat="1" ht="96.3" customHeight="1" outlineLevel="7">
      <c r="B837" s="20">
        <v>603</v>
      </c>
      <c r="C837" s="21" t="s">
        <v>2864</v>
      </c>
      <c r="D837" s="72" t="s">
        <v>2865</v>
      </c>
      <c r="E837" s="72"/>
      <c r="F837" s="72"/>
      <c r="G837" s="72"/>
      <c r="H837" s="22" t="s">
        <v>2866</v>
      </c>
      <c r="I837" s="27">
        <v>488</v>
      </c>
      <c r="J837" s="22"/>
      <c r="K837" s="20">
        <v>2</v>
      </c>
      <c r="L837" s="24">
        <v>310.77</v>
      </c>
      <c r="M837" s="11"/>
      <c r="N837" s="22">
        <f>L837*M837</f>
        <v>0</v>
      </c>
      <c r="O837" s="25">
        <f>0.035*M837</f>
        <v>0</v>
      </c>
      <c r="P837" s="26">
        <f>0.00058*M837</f>
        <v>0</v>
      </c>
      <c r="Q837" s="30"/>
      <c r="R837" s="22" t="s">
        <v>2867</v>
      </c>
      <c r="S837" s="22" t="s">
        <v>435</v>
      </c>
      <c r="T837" s="21" t="str">
        <f>HYPERLINK("https://miland.ru/api/getInfo/image/55d5edce-be89-11ee-a25a-00155d82e908")</f>
        <v>https://miland.ru/api/getInfo/image/55d5edce-be89-11ee-a25a-00155d82e908</v>
      </c>
      <c r="U837" s="21"/>
      <c r="V837" s="21" t="s">
        <v>710</v>
      </c>
      <c r="W837" s="21" t="s">
        <v>546</v>
      </c>
      <c r="X837" s="21"/>
      <c r="Y837" s="21" t="s">
        <v>41</v>
      </c>
      <c r="Z837" s="21"/>
      <c r="AA837" s="21" t="str">
        <f>HYPERLINK("https://miland.ru/api/getInfo/item/55d5edce-be89-11ee-a25a-00155d82e908")</f>
        <v>https://miland.ru/api/getInfo/item/55d5edce-be89-11ee-a25a-00155d82e908</v>
      </c>
      <c r="AB837" s="21" t="s">
        <v>42</v>
      </c>
      <c r="AC837" s="21" t="s">
        <v>766</v>
      </c>
      <c r="AD837" s="21"/>
    </row>
    <row r="838" spans="2:30" s="1" customFormat="1" ht="96.3" customHeight="1" outlineLevel="7">
      <c r="B838" s="20">
        <v>604</v>
      </c>
      <c r="C838" s="21" t="s">
        <v>2868</v>
      </c>
      <c r="D838" s="72" t="s">
        <v>2869</v>
      </c>
      <c r="E838" s="72"/>
      <c r="F838" s="72"/>
      <c r="G838" s="72"/>
      <c r="H838" s="22" t="s">
        <v>2870</v>
      </c>
      <c r="I838" s="27">
        <v>469</v>
      </c>
      <c r="J838" s="22"/>
      <c r="K838" s="20">
        <v>3</v>
      </c>
      <c r="L838" s="24">
        <v>260.49</v>
      </c>
      <c r="M838" s="11"/>
      <c r="N838" s="22">
        <f>L838*M838</f>
        <v>0</v>
      </c>
      <c r="O838" s="25">
        <f>0.035*M838</f>
        <v>0</v>
      </c>
      <c r="P838" s="26">
        <f>0.00058*M838</f>
        <v>0</v>
      </c>
      <c r="Q838" s="30"/>
      <c r="R838" s="22" t="s">
        <v>2871</v>
      </c>
      <c r="S838" s="22" t="s">
        <v>435</v>
      </c>
      <c r="T838" s="21" t="str">
        <f>HYPERLINK("https://miland.ru/api/getInfo/image/b7b0bb08-be89-11ee-a25a-00155d82e908")</f>
        <v>https://miland.ru/api/getInfo/image/b7b0bb08-be89-11ee-a25a-00155d82e908</v>
      </c>
      <c r="U838" s="21"/>
      <c r="V838" s="21" t="s">
        <v>710</v>
      </c>
      <c r="W838" s="21" t="s">
        <v>546</v>
      </c>
      <c r="X838" s="21"/>
      <c r="Y838" s="21" t="s">
        <v>41</v>
      </c>
      <c r="Z838" s="21"/>
      <c r="AA838" s="21" t="str">
        <f>HYPERLINK("https://miland.ru/api/getInfo/item/b7b0bb08-be89-11ee-a25a-00155d82e908")</f>
        <v>https://miland.ru/api/getInfo/item/b7b0bb08-be89-11ee-a25a-00155d82e908</v>
      </c>
      <c r="AB838" s="21" t="s">
        <v>42</v>
      </c>
      <c r="AC838" s="21" t="s">
        <v>766</v>
      </c>
      <c r="AD838" s="21"/>
    </row>
    <row r="839" spans="2:30" s="1" customFormat="1" ht="96.3" customHeight="1" outlineLevel="7">
      <c r="B839" s="20">
        <v>605</v>
      </c>
      <c r="C839" s="21" t="s">
        <v>2872</v>
      </c>
      <c r="D839" s="72" t="s">
        <v>2873</v>
      </c>
      <c r="E839" s="72"/>
      <c r="F839" s="72"/>
      <c r="G839" s="72"/>
      <c r="H839" s="22" t="s">
        <v>2874</v>
      </c>
      <c r="I839" s="27">
        <v>40</v>
      </c>
      <c r="J839" s="22"/>
      <c r="K839" s="20">
        <v>1</v>
      </c>
      <c r="L839" s="32">
        <v>1212.02</v>
      </c>
      <c r="M839" s="11"/>
      <c r="N839" s="22">
        <f>L839*M839</f>
        <v>0</v>
      </c>
      <c r="O839" s="25">
        <f>0.224*M839</f>
        <v>0</v>
      </c>
      <c r="P839" s="26">
        <f>0.00383*M839</f>
        <v>0</v>
      </c>
      <c r="Q839" s="30"/>
      <c r="R839" s="22" t="s">
        <v>2875</v>
      </c>
      <c r="S839" s="22" t="s">
        <v>435</v>
      </c>
      <c r="T839" s="21" t="str">
        <f>HYPERLINK("https://miland.ru/api/getInfo/image/091a4e25-95cf-11ef-a267-00155d82e908")</f>
        <v>https://miland.ru/api/getInfo/image/091a4e25-95cf-11ef-a267-00155d82e908</v>
      </c>
      <c r="U839" s="21"/>
      <c r="V839" s="21" t="s">
        <v>710</v>
      </c>
      <c r="W839" s="21" t="s">
        <v>546</v>
      </c>
      <c r="X839" s="21"/>
      <c r="Y839" s="21" t="s">
        <v>41</v>
      </c>
      <c r="Z839" s="21"/>
      <c r="AA839" s="21" t="str">
        <f>HYPERLINK("https://miland.ru/api/getInfo/item/091a4e25-95cf-11ef-a267-00155d82e908")</f>
        <v>https://miland.ru/api/getInfo/item/091a4e25-95cf-11ef-a267-00155d82e908</v>
      </c>
      <c r="AB839" s="21" t="s">
        <v>42</v>
      </c>
      <c r="AC839" s="21"/>
      <c r="AD839" s="21"/>
    </row>
    <row r="840" spans="2:30" ht="12" customHeight="1" outlineLevel="7">
      <c r="B840" s="70" t="s">
        <v>2876</v>
      </c>
      <c r="C840" s="70"/>
      <c r="D840" s="70"/>
      <c r="E840" s="70"/>
      <c r="F840" s="70"/>
      <c r="G840" s="70"/>
    </row>
    <row r="841" spans="2:30" s="1" customFormat="1" ht="96.3" customHeight="1" outlineLevel="7">
      <c r="B841" s="20">
        <v>606</v>
      </c>
      <c r="C841" s="21" t="s">
        <v>2877</v>
      </c>
      <c r="D841" s="72" t="s">
        <v>2878</v>
      </c>
      <c r="E841" s="72"/>
      <c r="F841" s="72"/>
      <c r="G841" s="72"/>
      <c r="H841" s="22" t="s">
        <v>2879</v>
      </c>
      <c r="I841" s="23" t="s">
        <v>36</v>
      </c>
      <c r="J841" s="22"/>
      <c r="K841" s="20">
        <v>2</v>
      </c>
      <c r="L841" s="24">
        <v>336.48</v>
      </c>
      <c r="M841" s="11"/>
      <c r="N841" s="22">
        <f>L841*M841</f>
        <v>0</v>
      </c>
      <c r="O841" s="25">
        <f>0.034*M841</f>
        <v>0</v>
      </c>
      <c r="P841" s="26">
        <f>0.00058*M841</f>
        <v>0</v>
      </c>
      <c r="Q841" s="30"/>
      <c r="R841" s="22" t="s">
        <v>2880</v>
      </c>
      <c r="S841" s="22" t="s">
        <v>435</v>
      </c>
      <c r="T841" s="21" t="str">
        <f>HYPERLINK("https://miland.ru/api/getInfo/image/f5f829e4-be86-11ee-a25a-00155d82e908")</f>
        <v>https://miland.ru/api/getInfo/image/f5f829e4-be86-11ee-a25a-00155d82e908</v>
      </c>
      <c r="U841" s="21"/>
      <c r="V841" s="21" t="s">
        <v>710</v>
      </c>
      <c r="W841" s="21" t="s">
        <v>546</v>
      </c>
      <c r="X841" s="21"/>
      <c r="Y841" s="21" t="s">
        <v>41</v>
      </c>
      <c r="Z841" s="21"/>
      <c r="AA841" s="21" t="str">
        <f>HYPERLINK("https://miland.ru/api/getInfo/item/f5f829e4-be86-11ee-a25a-00155d82e908")</f>
        <v>https://miland.ru/api/getInfo/item/f5f829e4-be86-11ee-a25a-00155d82e908</v>
      </c>
      <c r="AB841" s="21" t="s">
        <v>42</v>
      </c>
      <c r="AC841" s="21" t="s">
        <v>766</v>
      </c>
      <c r="AD841" s="21"/>
    </row>
    <row r="842" spans="2:30" s="1" customFormat="1" ht="96.3" customHeight="1" outlineLevel="7">
      <c r="B842" s="20">
        <v>607</v>
      </c>
      <c r="C842" s="21" t="s">
        <v>2881</v>
      </c>
      <c r="D842" s="72" t="s">
        <v>2882</v>
      </c>
      <c r="E842" s="72"/>
      <c r="F842" s="72"/>
      <c r="G842" s="72"/>
      <c r="H842" s="22" t="s">
        <v>2883</v>
      </c>
      <c r="I842" s="23" t="s">
        <v>36</v>
      </c>
      <c r="J842" s="22"/>
      <c r="K842" s="20">
        <v>2</v>
      </c>
      <c r="L842" s="24">
        <v>336.48</v>
      </c>
      <c r="M842" s="11"/>
      <c r="N842" s="22">
        <f>L842*M842</f>
        <v>0</v>
      </c>
      <c r="O842" s="25">
        <f>0.034*M842</f>
        <v>0</v>
      </c>
      <c r="P842" s="26">
        <f>0.00059*M842</f>
        <v>0</v>
      </c>
      <c r="Q842" s="30"/>
      <c r="R842" s="22" t="s">
        <v>2884</v>
      </c>
      <c r="S842" s="22" t="s">
        <v>435</v>
      </c>
      <c r="T842" s="21" t="str">
        <f>HYPERLINK("https://miland.ru/api/getInfo/image/daa2888d-be86-11ee-a25a-00155d82e908")</f>
        <v>https://miland.ru/api/getInfo/image/daa2888d-be86-11ee-a25a-00155d82e908</v>
      </c>
      <c r="U842" s="21"/>
      <c r="V842" s="21" t="s">
        <v>710</v>
      </c>
      <c r="W842" s="21" t="s">
        <v>546</v>
      </c>
      <c r="X842" s="21"/>
      <c r="Y842" s="21" t="s">
        <v>41</v>
      </c>
      <c r="Z842" s="21"/>
      <c r="AA842" s="21" t="str">
        <f>HYPERLINK("https://miland.ru/api/getInfo/item/daa2888d-be86-11ee-a25a-00155d82e908")</f>
        <v>https://miland.ru/api/getInfo/item/daa2888d-be86-11ee-a25a-00155d82e908</v>
      </c>
      <c r="AB842" s="21" t="s">
        <v>42</v>
      </c>
      <c r="AC842" s="21" t="s">
        <v>766</v>
      </c>
      <c r="AD842" s="21"/>
    </row>
    <row r="843" spans="2:30" s="1" customFormat="1" ht="96.3" customHeight="1" outlineLevel="7">
      <c r="B843" s="20">
        <v>608</v>
      </c>
      <c r="C843" s="21" t="s">
        <v>2885</v>
      </c>
      <c r="D843" s="72" t="s">
        <v>2886</v>
      </c>
      <c r="E843" s="72"/>
      <c r="F843" s="72"/>
      <c r="G843" s="72"/>
      <c r="H843" s="22" t="s">
        <v>2887</v>
      </c>
      <c r="I843" s="23" t="s">
        <v>36</v>
      </c>
      <c r="J843" s="22"/>
      <c r="K843" s="20">
        <v>2</v>
      </c>
      <c r="L843" s="24">
        <v>336.48</v>
      </c>
      <c r="M843" s="11"/>
      <c r="N843" s="22">
        <f>L843*M843</f>
        <v>0</v>
      </c>
      <c r="O843" s="25">
        <f>0.035*M843</f>
        <v>0</v>
      </c>
      <c r="P843" s="26">
        <f>0.00059*M843</f>
        <v>0</v>
      </c>
      <c r="Q843" s="30"/>
      <c r="R843" s="22" t="s">
        <v>2888</v>
      </c>
      <c r="S843" s="22" t="s">
        <v>435</v>
      </c>
      <c r="T843" s="21" t="str">
        <f>HYPERLINK("https://miland.ru/api/getInfo/image/3283daf3-be87-11ee-a25a-00155d82e908")</f>
        <v>https://miland.ru/api/getInfo/image/3283daf3-be87-11ee-a25a-00155d82e908</v>
      </c>
      <c r="U843" s="21"/>
      <c r="V843" s="21" t="s">
        <v>710</v>
      </c>
      <c r="W843" s="21" t="s">
        <v>546</v>
      </c>
      <c r="X843" s="21"/>
      <c r="Y843" s="21" t="s">
        <v>41</v>
      </c>
      <c r="Z843" s="21"/>
      <c r="AA843" s="21" t="str">
        <f>HYPERLINK("https://miland.ru/api/getInfo/item/3283daf3-be87-11ee-a25a-00155d82e908")</f>
        <v>https://miland.ru/api/getInfo/item/3283daf3-be87-11ee-a25a-00155d82e908</v>
      </c>
      <c r="AB843" s="21" t="s">
        <v>42</v>
      </c>
      <c r="AC843" s="21" t="s">
        <v>766</v>
      </c>
      <c r="AD843" s="21"/>
    </row>
    <row r="844" spans="2:30" s="1" customFormat="1" ht="96.3" customHeight="1" outlineLevel="7">
      <c r="B844" s="20">
        <v>609</v>
      </c>
      <c r="C844" s="21" t="s">
        <v>2889</v>
      </c>
      <c r="D844" s="72" t="s">
        <v>2890</v>
      </c>
      <c r="E844" s="72"/>
      <c r="F844" s="72"/>
      <c r="G844" s="72"/>
      <c r="H844" s="22" t="s">
        <v>2891</v>
      </c>
      <c r="I844" s="23" t="s">
        <v>36</v>
      </c>
      <c r="J844" s="22"/>
      <c r="K844" s="20">
        <v>2</v>
      </c>
      <c r="L844" s="24">
        <v>336.48</v>
      </c>
      <c r="M844" s="11"/>
      <c r="N844" s="22">
        <f>L844*M844</f>
        <v>0</v>
      </c>
      <c r="O844" s="25">
        <f>0.036*M844</f>
        <v>0</v>
      </c>
      <c r="P844" s="26">
        <f>0.00059*M844</f>
        <v>0</v>
      </c>
      <c r="Q844" s="30"/>
      <c r="R844" s="22" t="s">
        <v>2892</v>
      </c>
      <c r="S844" s="22" t="s">
        <v>435</v>
      </c>
      <c r="T844" s="21" t="str">
        <f>HYPERLINK("https://miland.ru/api/getInfo/image/129932a7-be87-11ee-a25a-00155d82e908")</f>
        <v>https://miland.ru/api/getInfo/image/129932a7-be87-11ee-a25a-00155d82e908</v>
      </c>
      <c r="U844" s="21"/>
      <c r="V844" s="21" t="s">
        <v>710</v>
      </c>
      <c r="W844" s="21" t="s">
        <v>546</v>
      </c>
      <c r="X844" s="21"/>
      <c r="Y844" s="21" t="s">
        <v>41</v>
      </c>
      <c r="Z844" s="21"/>
      <c r="AA844" s="21" t="str">
        <f>HYPERLINK("https://miland.ru/api/getInfo/item/129932a7-be87-11ee-a25a-00155d82e908")</f>
        <v>https://miland.ru/api/getInfo/item/129932a7-be87-11ee-a25a-00155d82e908</v>
      </c>
      <c r="AB844" s="21" t="s">
        <v>42</v>
      </c>
      <c r="AC844" s="21" t="s">
        <v>766</v>
      </c>
      <c r="AD844" s="21"/>
    </row>
    <row r="845" spans="2:30" ht="12" customHeight="1" outlineLevel="7">
      <c r="B845" s="70" t="s">
        <v>2893</v>
      </c>
      <c r="C845" s="70"/>
      <c r="D845" s="70"/>
      <c r="E845" s="70"/>
      <c r="F845" s="70"/>
      <c r="G845" s="70"/>
    </row>
    <row r="846" spans="2:30" s="1" customFormat="1" ht="96.3" customHeight="1" outlineLevel="7">
      <c r="B846" s="20">
        <v>610</v>
      </c>
      <c r="C846" s="21" t="s">
        <v>2894</v>
      </c>
      <c r="D846" s="72" t="s">
        <v>2895</v>
      </c>
      <c r="E846" s="72"/>
      <c r="F846" s="72"/>
      <c r="G846" s="72"/>
      <c r="H846" s="22" t="s">
        <v>2896</v>
      </c>
      <c r="I846" s="27">
        <v>132</v>
      </c>
      <c r="J846" s="22"/>
      <c r="K846" s="20">
        <v>2</v>
      </c>
      <c r="L846" s="24">
        <v>336.48</v>
      </c>
      <c r="M846" s="11"/>
      <c r="N846" s="22">
        <f>L846*M846</f>
        <v>0</v>
      </c>
      <c r="O846" s="25">
        <f>0.035*M846</f>
        <v>0</v>
      </c>
      <c r="P846" s="26">
        <f>0.00057*M846</f>
        <v>0</v>
      </c>
      <c r="Q846" s="30"/>
      <c r="R846" s="22" t="s">
        <v>2897</v>
      </c>
      <c r="S846" s="22" t="s">
        <v>435</v>
      </c>
      <c r="T846" s="21" t="str">
        <f>HYPERLINK("https://miland.ru/api/getInfo/image/3a22c066-be88-11ee-a25a-00155d82e908")</f>
        <v>https://miland.ru/api/getInfo/image/3a22c066-be88-11ee-a25a-00155d82e908</v>
      </c>
      <c r="U846" s="21"/>
      <c r="V846" s="21" t="s">
        <v>710</v>
      </c>
      <c r="W846" s="21" t="s">
        <v>546</v>
      </c>
      <c r="X846" s="21"/>
      <c r="Y846" s="21" t="s">
        <v>41</v>
      </c>
      <c r="Z846" s="21"/>
      <c r="AA846" s="21" t="str">
        <f>HYPERLINK("https://miland.ru/api/getInfo/item/3a22c066-be88-11ee-a25a-00155d82e908")</f>
        <v>https://miland.ru/api/getInfo/item/3a22c066-be88-11ee-a25a-00155d82e908</v>
      </c>
      <c r="AB846" s="21" t="s">
        <v>42</v>
      </c>
      <c r="AC846" s="21" t="s">
        <v>766</v>
      </c>
      <c r="AD846" s="21"/>
    </row>
    <row r="847" spans="2:30" s="1" customFormat="1" ht="96.3" customHeight="1" outlineLevel="7">
      <c r="B847" s="20">
        <v>611</v>
      </c>
      <c r="C847" s="21" t="s">
        <v>2898</v>
      </c>
      <c r="D847" s="72" t="s">
        <v>2899</v>
      </c>
      <c r="E847" s="72"/>
      <c r="F847" s="72"/>
      <c r="G847" s="72"/>
      <c r="H847" s="22" t="s">
        <v>2900</v>
      </c>
      <c r="I847" s="27">
        <v>146</v>
      </c>
      <c r="J847" s="22"/>
      <c r="K847" s="20">
        <v>2</v>
      </c>
      <c r="L847" s="24">
        <v>336.48</v>
      </c>
      <c r="M847" s="11"/>
      <c r="N847" s="22">
        <f>L847*M847</f>
        <v>0</v>
      </c>
      <c r="O847" s="25">
        <f>0.033*M847</f>
        <v>0</v>
      </c>
      <c r="P847" s="26">
        <f>0.00059*M847</f>
        <v>0</v>
      </c>
      <c r="Q847" s="30"/>
      <c r="R847" s="22" t="s">
        <v>2901</v>
      </c>
      <c r="S847" s="22" t="s">
        <v>435</v>
      </c>
      <c r="T847" s="21" t="str">
        <f>HYPERLINK("https://miland.ru/api/getInfo/image/580f1599-be88-11ee-a25a-00155d82e908")</f>
        <v>https://miland.ru/api/getInfo/image/580f1599-be88-11ee-a25a-00155d82e908</v>
      </c>
      <c r="U847" s="21"/>
      <c r="V847" s="21" t="s">
        <v>710</v>
      </c>
      <c r="W847" s="21" t="s">
        <v>546</v>
      </c>
      <c r="X847" s="21"/>
      <c r="Y847" s="21" t="s">
        <v>41</v>
      </c>
      <c r="Z847" s="21"/>
      <c r="AA847" s="21" t="str">
        <f>HYPERLINK("https://miland.ru/api/getInfo/item/580f1599-be88-11ee-a25a-00155d82e908")</f>
        <v>https://miland.ru/api/getInfo/item/580f1599-be88-11ee-a25a-00155d82e908</v>
      </c>
      <c r="AB847" s="21" t="s">
        <v>42</v>
      </c>
      <c r="AC847" s="21" t="s">
        <v>766</v>
      </c>
      <c r="AD847" s="21"/>
    </row>
    <row r="848" spans="2:30" s="1" customFormat="1" ht="96.3" customHeight="1" outlineLevel="7">
      <c r="B848" s="20">
        <v>612</v>
      </c>
      <c r="C848" s="21" t="s">
        <v>2902</v>
      </c>
      <c r="D848" s="72" t="s">
        <v>2903</v>
      </c>
      <c r="E848" s="72"/>
      <c r="F848" s="72"/>
      <c r="G848" s="72"/>
      <c r="H848" s="22" t="s">
        <v>2904</v>
      </c>
      <c r="I848" s="27">
        <v>265</v>
      </c>
      <c r="J848" s="22"/>
      <c r="K848" s="20">
        <v>2</v>
      </c>
      <c r="L848" s="24">
        <v>336.48</v>
      </c>
      <c r="M848" s="11"/>
      <c r="N848" s="22">
        <f>L848*M848</f>
        <v>0</v>
      </c>
      <c r="O848" s="25">
        <f>0.034*M848</f>
        <v>0</v>
      </c>
      <c r="P848" s="26">
        <f>0.00057*M848</f>
        <v>0</v>
      </c>
      <c r="Q848" s="30"/>
      <c r="R848" s="22" t="s">
        <v>2905</v>
      </c>
      <c r="S848" s="22" t="s">
        <v>435</v>
      </c>
      <c r="T848" s="21" t="str">
        <f>HYPERLINK("https://miland.ru/api/getInfo/image/7b5fdbc4-be88-11ee-a25a-00155d82e908")</f>
        <v>https://miland.ru/api/getInfo/image/7b5fdbc4-be88-11ee-a25a-00155d82e908</v>
      </c>
      <c r="U848" s="21"/>
      <c r="V848" s="21" t="s">
        <v>710</v>
      </c>
      <c r="W848" s="21" t="s">
        <v>546</v>
      </c>
      <c r="X848" s="21"/>
      <c r="Y848" s="21" t="s">
        <v>41</v>
      </c>
      <c r="Z848" s="21"/>
      <c r="AA848" s="21" t="str">
        <f>HYPERLINK("https://miland.ru/api/getInfo/item/7b5fdbc4-be88-11ee-a25a-00155d82e908")</f>
        <v>https://miland.ru/api/getInfo/item/7b5fdbc4-be88-11ee-a25a-00155d82e908</v>
      </c>
      <c r="AB848" s="21" t="s">
        <v>42</v>
      </c>
      <c r="AC848" s="21" t="s">
        <v>766</v>
      </c>
      <c r="AD848" s="21"/>
    </row>
    <row r="849" spans="2:30" s="1" customFormat="1" ht="96.3" customHeight="1" outlineLevel="7">
      <c r="B849" s="20">
        <v>613</v>
      </c>
      <c r="C849" s="21" t="s">
        <v>2906</v>
      </c>
      <c r="D849" s="72" t="s">
        <v>2907</v>
      </c>
      <c r="E849" s="72"/>
      <c r="F849" s="72"/>
      <c r="G849" s="72"/>
      <c r="H849" s="22" t="s">
        <v>2908</v>
      </c>
      <c r="I849" s="27">
        <v>236</v>
      </c>
      <c r="J849" s="22"/>
      <c r="K849" s="20">
        <v>2</v>
      </c>
      <c r="L849" s="24">
        <v>336.48</v>
      </c>
      <c r="M849" s="11"/>
      <c r="N849" s="22">
        <f>L849*M849</f>
        <v>0</v>
      </c>
      <c r="O849" s="25">
        <f>0.039*M849</f>
        <v>0</v>
      </c>
      <c r="P849" s="26">
        <f>0.00059*M849</f>
        <v>0</v>
      </c>
      <c r="Q849" s="30"/>
      <c r="R849" s="22" t="s">
        <v>2909</v>
      </c>
      <c r="S849" s="22" t="s">
        <v>435</v>
      </c>
      <c r="T849" s="21" t="str">
        <f>HYPERLINK("https://miland.ru/api/getInfo/image/1894a5c9-be88-11ee-a25a-00155d82e908")</f>
        <v>https://miland.ru/api/getInfo/image/1894a5c9-be88-11ee-a25a-00155d82e908</v>
      </c>
      <c r="U849" s="21"/>
      <c r="V849" s="21" t="s">
        <v>710</v>
      </c>
      <c r="W849" s="21" t="s">
        <v>546</v>
      </c>
      <c r="X849" s="21"/>
      <c r="Y849" s="21" t="s">
        <v>41</v>
      </c>
      <c r="Z849" s="21"/>
      <c r="AA849" s="21" t="str">
        <f>HYPERLINK("https://miland.ru/api/getInfo/item/1894a5c9-be88-11ee-a25a-00155d82e908")</f>
        <v>https://miland.ru/api/getInfo/item/1894a5c9-be88-11ee-a25a-00155d82e908</v>
      </c>
      <c r="AB849" s="21" t="s">
        <v>42</v>
      </c>
      <c r="AC849" s="21" t="s">
        <v>766</v>
      </c>
      <c r="AD849" s="21"/>
    </row>
    <row r="850" spans="2:30" ht="12" customHeight="1" outlineLevel="7">
      <c r="B850" s="70" t="s">
        <v>2910</v>
      </c>
      <c r="C850" s="70"/>
      <c r="D850" s="70"/>
      <c r="E850" s="70"/>
      <c r="F850" s="70"/>
      <c r="G850" s="70"/>
    </row>
    <row r="851" spans="2:30" s="1" customFormat="1" ht="96.3" customHeight="1" outlineLevel="7">
      <c r="B851" s="20">
        <v>614</v>
      </c>
      <c r="C851" s="21" t="s">
        <v>2911</v>
      </c>
      <c r="D851" s="72" t="s">
        <v>2912</v>
      </c>
      <c r="E851" s="72"/>
      <c r="F851" s="72"/>
      <c r="G851" s="72"/>
      <c r="H851" s="22" t="s">
        <v>2913</v>
      </c>
      <c r="I851" s="27">
        <v>89</v>
      </c>
      <c r="J851" s="22"/>
      <c r="K851" s="20">
        <v>3</v>
      </c>
      <c r="L851" s="24">
        <v>229.49</v>
      </c>
      <c r="M851" s="11"/>
      <c r="N851" s="22">
        <f>L851*M851</f>
        <v>0</v>
      </c>
      <c r="O851" s="25">
        <f>0.031*M851</f>
        <v>0</v>
      </c>
      <c r="P851" s="26">
        <f>0.00059*M851</f>
        <v>0</v>
      </c>
      <c r="Q851" s="30"/>
      <c r="R851" s="22" t="s">
        <v>2914</v>
      </c>
      <c r="S851" s="22" t="s">
        <v>435</v>
      </c>
      <c r="T851" s="21" t="str">
        <f>HYPERLINK("https://miland.ru/api/getInfo/image/9849576c-be85-11ee-a25a-00155d82e908")</f>
        <v>https://miland.ru/api/getInfo/image/9849576c-be85-11ee-a25a-00155d82e908</v>
      </c>
      <c r="U851" s="21"/>
      <c r="V851" s="21" t="s">
        <v>710</v>
      </c>
      <c r="W851" s="21" t="s">
        <v>546</v>
      </c>
      <c r="X851" s="21"/>
      <c r="Y851" s="21" t="s">
        <v>41</v>
      </c>
      <c r="Z851" s="21"/>
      <c r="AA851" s="21" t="str">
        <f>HYPERLINK("https://miland.ru/api/getInfo/item/9849576c-be85-11ee-a25a-00155d82e908")</f>
        <v>https://miland.ru/api/getInfo/item/9849576c-be85-11ee-a25a-00155d82e908</v>
      </c>
      <c r="AB851" s="21" t="s">
        <v>42</v>
      </c>
      <c r="AC851" s="21" t="s">
        <v>766</v>
      </c>
      <c r="AD851" s="21"/>
    </row>
    <row r="852" spans="2:30" s="1" customFormat="1" ht="96.3" customHeight="1" outlineLevel="7">
      <c r="B852" s="20">
        <v>615</v>
      </c>
      <c r="C852" s="21" t="s">
        <v>2915</v>
      </c>
      <c r="D852" s="72" t="s">
        <v>2916</v>
      </c>
      <c r="E852" s="72"/>
      <c r="F852" s="72"/>
      <c r="G852" s="72"/>
      <c r="H852" s="22" t="s">
        <v>2917</v>
      </c>
      <c r="I852" s="27">
        <v>224</v>
      </c>
      <c r="J852" s="22"/>
      <c r="K852" s="20">
        <v>3</v>
      </c>
      <c r="L852" s="24">
        <v>229.49</v>
      </c>
      <c r="M852" s="11"/>
      <c r="N852" s="22">
        <f>L852*M852</f>
        <v>0</v>
      </c>
      <c r="O852" s="25">
        <f>0.033*M852</f>
        <v>0</v>
      </c>
      <c r="P852" s="26">
        <f>0.00059*M852</f>
        <v>0</v>
      </c>
      <c r="Q852" s="30"/>
      <c r="R852" s="22" t="s">
        <v>2918</v>
      </c>
      <c r="S852" s="22" t="s">
        <v>435</v>
      </c>
      <c r="T852" s="21" t="str">
        <f>HYPERLINK("https://miland.ru/api/getInfo/image/7a6b4eb6-be85-11ee-a25a-00155d82e908")</f>
        <v>https://miland.ru/api/getInfo/image/7a6b4eb6-be85-11ee-a25a-00155d82e908</v>
      </c>
      <c r="U852" s="21"/>
      <c r="V852" s="21" t="s">
        <v>710</v>
      </c>
      <c r="W852" s="21" t="s">
        <v>546</v>
      </c>
      <c r="X852" s="21"/>
      <c r="Y852" s="21" t="s">
        <v>41</v>
      </c>
      <c r="Z852" s="21"/>
      <c r="AA852" s="21" t="str">
        <f>HYPERLINK("https://miland.ru/api/getInfo/item/7a6b4eb6-be85-11ee-a25a-00155d82e908")</f>
        <v>https://miland.ru/api/getInfo/item/7a6b4eb6-be85-11ee-a25a-00155d82e908</v>
      </c>
      <c r="AB852" s="21" t="s">
        <v>42</v>
      </c>
      <c r="AC852" s="21" t="s">
        <v>766</v>
      </c>
      <c r="AD852" s="21"/>
    </row>
    <row r="853" spans="2:30" s="1" customFormat="1" ht="96.3" customHeight="1" outlineLevel="7">
      <c r="B853" s="20">
        <v>616</v>
      </c>
      <c r="C853" s="21" t="s">
        <v>2919</v>
      </c>
      <c r="D853" s="72" t="s">
        <v>2920</v>
      </c>
      <c r="E853" s="72"/>
      <c r="F853" s="72"/>
      <c r="G853" s="72"/>
      <c r="H853" s="22" t="s">
        <v>2921</v>
      </c>
      <c r="I853" s="27">
        <v>194</v>
      </c>
      <c r="J853" s="22"/>
      <c r="K853" s="20">
        <v>3</v>
      </c>
      <c r="L853" s="24">
        <v>241.84</v>
      </c>
      <c r="M853" s="11"/>
      <c r="N853" s="22">
        <f>L853*M853</f>
        <v>0</v>
      </c>
      <c r="O853" s="25">
        <f>0.034*M853</f>
        <v>0</v>
      </c>
      <c r="P853" s="26">
        <f>0.00059*M853</f>
        <v>0</v>
      </c>
      <c r="Q853" s="30"/>
      <c r="R853" s="22" t="s">
        <v>2922</v>
      </c>
      <c r="S853" s="22" t="s">
        <v>435</v>
      </c>
      <c r="T853" s="21" t="str">
        <f>HYPERLINK("https://miland.ru/api/getInfo/image/554e3494-be85-11ee-a25a-00155d82e908")</f>
        <v>https://miland.ru/api/getInfo/image/554e3494-be85-11ee-a25a-00155d82e908</v>
      </c>
      <c r="U853" s="21"/>
      <c r="V853" s="21" t="s">
        <v>710</v>
      </c>
      <c r="W853" s="21" t="s">
        <v>546</v>
      </c>
      <c r="X853" s="21"/>
      <c r="Y853" s="21" t="s">
        <v>41</v>
      </c>
      <c r="Z853" s="21"/>
      <c r="AA853" s="21" t="str">
        <f>HYPERLINK("https://miland.ru/api/getInfo/item/554e3494-be85-11ee-a25a-00155d82e908")</f>
        <v>https://miland.ru/api/getInfo/item/554e3494-be85-11ee-a25a-00155d82e908</v>
      </c>
      <c r="AB853" s="21" t="s">
        <v>42</v>
      </c>
      <c r="AC853" s="21" t="s">
        <v>766</v>
      </c>
      <c r="AD853" s="21"/>
    </row>
    <row r="854" spans="2:30" s="1" customFormat="1" ht="96.3" customHeight="1" outlineLevel="7">
      <c r="B854" s="20">
        <v>617</v>
      </c>
      <c r="C854" s="21" t="s">
        <v>2923</v>
      </c>
      <c r="D854" s="72" t="s">
        <v>2924</v>
      </c>
      <c r="E854" s="72"/>
      <c r="F854" s="72"/>
      <c r="G854" s="72"/>
      <c r="H854" s="22" t="s">
        <v>2925</v>
      </c>
      <c r="I854" s="27">
        <v>381</v>
      </c>
      <c r="J854" s="22"/>
      <c r="K854" s="20">
        <v>3</v>
      </c>
      <c r="L854" s="24">
        <v>234.79</v>
      </c>
      <c r="M854" s="11"/>
      <c r="N854" s="22">
        <f>L854*M854</f>
        <v>0</v>
      </c>
      <c r="O854" s="25">
        <f>0.035*M854</f>
        <v>0</v>
      </c>
      <c r="P854" s="26">
        <f>0.00058*M854</f>
        <v>0</v>
      </c>
      <c r="Q854" s="30"/>
      <c r="R854" s="22" t="s">
        <v>2926</v>
      </c>
      <c r="S854" s="22" t="s">
        <v>435</v>
      </c>
      <c r="T854" s="21" t="str">
        <f>HYPERLINK("https://miland.ru/api/getInfo/image/be94ee98-be85-11ee-a25a-00155d82e908")</f>
        <v>https://miland.ru/api/getInfo/image/be94ee98-be85-11ee-a25a-00155d82e908</v>
      </c>
      <c r="U854" s="21"/>
      <c r="V854" s="21" t="s">
        <v>710</v>
      </c>
      <c r="W854" s="21" t="s">
        <v>546</v>
      </c>
      <c r="X854" s="21"/>
      <c r="Y854" s="21" t="s">
        <v>41</v>
      </c>
      <c r="Z854" s="21"/>
      <c r="AA854" s="21" t="str">
        <f>HYPERLINK("https://miland.ru/api/getInfo/item/be94ee98-be85-11ee-a25a-00155d82e908")</f>
        <v>https://miland.ru/api/getInfo/item/be94ee98-be85-11ee-a25a-00155d82e908</v>
      </c>
      <c r="AB854" s="21" t="s">
        <v>42</v>
      </c>
      <c r="AC854" s="21" t="s">
        <v>766</v>
      </c>
      <c r="AD854" s="21"/>
    </row>
    <row r="855" spans="2:30" s="1" customFormat="1" ht="96.3" customHeight="1" outlineLevel="7">
      <c r="B855" s="20">
        <v>618</v>
      </c>
      <c r="C855" s="21" t="s">
        <v>2927</v>
      </c>
      <c r="D855" s="72" t="s">
        <v>2928</v>
      </c>
      <c r="E855" s="72"/>
      <c r="F855" s="72"/>
      <c r="G855" s="72"/>
      <c r="H855" s="22" t="s">
        <v>2929</v>
      </c>
      <c r="I855" s="27">
        <v>90</v>
      </c>
      <c r="J855" s="22"/>
      <c r="K855" s="20">
        <v>1</v>
      </c>
      <c r="L855" s="32">
        <v>1055.3599999999999</v>
      </c>
      <c r="M855" s="11"/>
      <c r="N855" s="22">
        <f>L855*M855</f>
        <v>0</v>
      </c>
      <c r="O855" s="28">
        <f>0.22*M855</f>
        <v>0</v>
      </c>
      <c r="P855" s="26">
        <f>0.00476*M855</f>
        <v>0</v>
      </c>
      <c r="Q855" s="30"/>
      <c r="R855" s="22" t="s">
        <v>2930</v>
      </c>
      <c r="S855" s="22" t="s">
        <v>435</v>
      </c>
      <c r="T855" s="21" t="str">
        <f>HYPERLINK("https://miland.ru/api/getInfo/image/2efd2553-95ce-11ef-a267-00155d82e908")</f>
        <v>https://miland.ru/api/getInfo/image/2efd2553-95ce-11ef-a267-00155d82e908</v>
      </c>
      <c r="U855" s="21"/>
      <c r="V855" s="21" t="s">
        <v>710</v>
      </c>
      <c r="W855" s="21" t="s">
        <v>546</v>
      </c>
      <c r="X855" s="21"/>
      <c r="Y855" s="21" t="s">
        <v>41</v>
      </c>
      <c r="Z855" s="21"/>
      <c r="AA855" s="21" t="str">
        <f>HYPERLINK("https://miland.ru/api/getInfo/item/2efd2553-95ce-11ef-a267-00155d82e908")</f>
        <v>https://miland.ru/api/getInfo/item/2efd2553-95ce-11ef-a267-00155d82e908</v>
      </c>
      <c r="AB855" s="21" t="s">
        <v>42</v>
      </c>
      <c r="AC855" s="21"/>
      <c r="AD855" s="21"/>
    </row>
    <row r="856" spans="2:30" ht="12" customHeight="1" outlineLevel="7">
      <c r="B856" s="70" t="s">
        <v>2931</v>
      </c>
      <c r="C856" s="70"/>
      <c r="D856" s="70"/>
      <c r="E856" s="70"/>
      <c r="F856" s="70"/>
      <c r="G856" s="70"/>
    </row>
    <row r="857" spans="2:30" s="1" customFormat="1" ht="96.3" customHeight="1" outlineLevel="7">
      <c r="B857" s="20">
        <v>619</v>
      </c>
      <c r="C857" s="21" t="s">
        <v>2932</v>
      </c>
      <c r="D857" s="72" t="s">
        <v>2933</v>
      </c>
      <c r="E857" s="72"/>
      <c r="F857" s="72"/>
      <c r="G857" s="72"/>
      <c r="H857" s="22" t="s">
        <v>2934</v>
      </c>
      <c r="I857" s="27">
        <v>276</v>
      </c>
      <c r="J857" s="22"/>
      <c r="K857" s="20">
        <v>3</v>
      </c>
      <c r="L857" s="24">
        <v>260.49</v>
      </c>
      <c r="M857" s="11"/>
      <c r="N857" s="22">
        <f>L857*M857</f>
        <v>0</v>
      </c>
      <c r="O857" s="25">
        <f>0.034*M857</f>
        <v>0</v>
      </c>
      <c r="P857" s="26">
        <f>0.00059*M857</f>
        <v>0</v>
      </c>
      <c r="Q857" s="30"/>
      <c r="R857" s="22" t="s">
        <v>2935</v>
      </c>
      <c r="S857" s="22" t="s">
        <v>435</v>
      </c>
      <c r="T857" s="21" t="str">
        <f>HYPERLINK("https://miland.ru/api/getInfo/image/7176ab84-be87-11ee-a25a-00155d82e908")</f>
        <v>https://miland.ru/api/getInfo/image/7176ab84-be87-11ee-a25a-00155d82e908</v>
      </c>
      <c r="U857" s="21"/>
      <c r="V857" s="21" t="s">
        <v>710</v>
      </c>
      <c r="W857" s="21" t="s">
        <v>546</v>
      </c>
      <c r="X857" s="21"/>
      <c r="Y857" s="21" t="s">
        <v>41</v>
      </c>
      <c r="Z857" s="21"/>
      <c r="AA857" s="21" t="str">
        <f>HYPERLINK("https://miland.ru/api/getInfo/item/7176ab84-be87-11ee-a25a-00155d82e908")</f>
        <v>https://miland.ru/api/getInfo/item/7176ab84-be87-11ee-a25a-00155d82e908</v>
      </c>
      <c r="AB857" s="21" t="s">
        <v>42</v>
      </c>
      <c r="AC857" s="21" t="s">
        <v>766</v>
      </c>
      <c r="AD857" s="21"/>
    </row>
    <row r="858" spans="2:30" s="1" customFormat="1" ht="96.3" customHeight="1" outlineLevel="7">
      <c r="B858" s="20">
        <v>620</v>
      </c>
      <c r="C858" s="21" t="s">
        <v>2936</v>
      </c>
      <c r="D858" s="72" t="s">
        <v>2937</v>
      </c>
      <c r="E858" s="72"/>
      <c r="F858" s="72"/>
      <c r="G858" s="72"/>
      <c r="H858" s="22" t="s">
        <v>2938</v>
      </c>
      <c r="I858" s="27">
        <v>90</v>
      </c>
      <c r="J858" s="22"/>
      <c r="K858" s="20">
        <v>2</v>
      </c>
      <c r="L858" s="24">
        <v>336.48</v>
      </c>
      <c r="M858" s="11"/>
      <c r="N858" s="22">
        <f>L858*M858</f>
        <v>0</v>
      </c>
      <c r="O858" s="25">
        <f>0.037*M858</f>
        <v>0</v>
      </c>
      <c r="P858" s="26">
        <f>0.00063*M858</f>
        <v>0</v>
      </c>
      <c r="Q858" s="30"/>
      <c r="R858" s="22" t="s">
        <v>2939</v>
      </c>
      <c r="S858" s="22" t="s">
        <v>435</v>
      </c>
      <c r="T858" s="21" t="str">
        <f>HYPERLINK("https://miland.ru/api/getInfo/image/bc9a7acb-be87-11ee-a25a-00155d82e908")</f>
        <v>https://miland.ru/api/getInfo/image/bc9a7acb-be87-11ee-a25a-00155d82e908</v>
      </c>
      <c r="U858" s="21"/>
      <c r="V858" s="21" t="s">
        <v>710</v>
      </c>
      <c r="W858" s="21" t="s">
        <v>546</v>
      </c>
      <c r="X858" s="21"/>
      <c r="Y858" s="21" t="s">
        <v>41</v>
      </c>
      <c r="Z858" s="21"/>
      <c r="AA858" s="21" t="str">
        <f>HYPERLINK("https://miland.ru/api/getInfo/item/bc9a7acb-be87-11ee-a25a-00155d82e908")</f>
        <v>https://miland.ru/api/getInfo/item/bc9a7acb-be87-11ee-a25a-00155d82e908</v>
      </c>
      <c r="AB858" s="21" t="s">
        <v>42</v>
      </c>
      <c r="AC858" s="21" t="s">
        <v>766</v>
      </c>
      <c r="AD858" s="21"/>
    </row>
    <row r="859" spans="2:30" s="1" customFormat="1" ht="96.3" customHeight="1" outlineLevel="7">
      <c r="B859" s="20">
        <v>621</v>
      </c>
      <c r="C859" s="21" t="s">
        <v>2940</v>
      </c>
      <c r="D859" s="72" t="s">
        <v>2941</v>
      </c>
      <c r="E859" s="72"/>
      <c r="F859" s="72"/>
      <c r="G859" s="72"/>
      <c r="H859" s="22" t="s">
        <v>2942</v>
      </c>
      <c r="I859" s="27">
        <v>209</v>
      </c>
      <c r="J859" s="22"/>
      <c r="K859" s="20">
        <v>3</v>
      </c>
      <c r="L859" s="24">
        <v>260.49</v>
      </c>
      <c r="M859" s="11"/>
      <c r="N859" s="22">
        <f>L859*M859</f>
        <v>0</v>
      </c>
      <c r="O859" s="25">
        <f>0.031*M859</f>
        <v>0</v>
      </c>
      <c r="P859" s="26">
        <f>0.00059*M859</f>
        <v>0</v>
      </c>
      <c r="Q859" s="30"/>
      <c r="R859" s="22" t="s">
        <v>2943</v>
      </c>
      <c r="S859" s="22" t="s">
        <v>435</v>
      </c>
      <c r="T859" s="21" t="str">
        <f>HYPERLINK("https://miland.ru/api/getInfo/image/e573a6e2-be87-11ee-a25a-00155d82e908")</f>
        <v>https://miland.ru/api/getInfo/image/e573a6e2-be87-11ee-a25a-00155d82e908</v>
      </c>
      <c r="U859" s="21"/>
      <c r="V859" s="21" t="s">
        <v>710</v>
      </c>
      <c r="W859" s="21" t="s">
        <v>546</v>
      </c>
      <c r="X859" s="21"/>
      <c r="Y859" s="21" t="s">
        <v>41</v>
      </c>
      <c r="Z859" s="21"/>
      <c r="AA859" s="21" t="str">
        <f>HYPERLINK("https://miland.ru/api/getInfo/item/e573a6e2-be87-11ee-a25a-00155d82e908")</f>
        <v>https://miland.ru/api/getInfo/item/e573a6e2-be87-11ee-a25a-00155d82e908</v>
      </c>
      <c r="AB859" s="21" t="s">
        <v>42</v>
      </c>
      <c r="AC859" s="21" t="s">
        <v>766</v>
      </c>
      <c r="AD859" s="21"/>
    </row>
    <row r="860" spans="2:30" s="1" customFormat="1" ht="96.3" customHeight="1" outlineLevel="7">
      <c r="B860" s="20">
        <v>622</v>
      </c>
      <c r="C860" s="21" t="s">
        <v>2944</v>
      </c>
      <c r="D860" s="72" t="s">
        <v>2945</v>
      </c>
      <c r="E860" s="72"/>
      <c r="F860" s="72"/>
      <c r="G860" s="72"/>
      <c r="H860" s="22" t="s">
        <v>2946</v>
      </c>
      <c r="I860" s="27">
        <v>146</v>
      </c>
      <c r="J860" s="22"/>
      <c r="K860" s="20">
        <v>3</v>
      </c>
      <c r="L860" s="24">
        <v>260.49</v>
      </c>
      <c r="M860" s="11"/>
      <c r="N860" s="22">
        <f>L860*M860</f>
        <v>0</v>
      </c>
      <c r="O860" s="25">
        <f>0.032*M860</f>
        <v>0</v>
      </c>
      <c r="P860" s="26">
        <f>0.00061*M860</f>
        <v>0</v>
      </c>
      <c r="Q860" s="30"/>
      <c r="R860" s="22" t="s">
        <v>2947</v>
      </c>
      <c r="S860" s="22" t="s">
        <v>435</v>
      </c>
      <c r="T860" s="21" t="str">
        <f>HYPERLINK("https://miland.ru/api/getInfo/image/94c791f4-be87-11ee-a25a-00155d82e908")</f>
        <v>https://miland.ru/api/getInfo/image/94c791f4-be87-11ee-a25a-00155d82e908</v>
      </c>
      <c r="U860" s="21"/>
      <c r="V860" s="21" t="s">
        <v>710</v>
      </c>
      <c r="W860" s="21" t="s">
        <v>546</v>
      </c>
      <c r="X860" s="21"/>
      <c r="Y860" s="21" t="s">
        <v>41</v>
      </c>
      <c r="Z860" s="21"/>
      <c r="AA860" s="21" t="str">
        <f>HYPERLINK("https://miland.ru/api/getInfo/item/94c791f4-be87-11ee-a25a-00155d82e908")</f>
        <v>https://miland.ru/api/getInfo/item/94c791f4-be87-11ee-a25a-00155d82e908</v>
      </c>
      <c r="AB860" s="21" t="s">
        <v>42</v>
      </c>
      <c r="AC860" s="21" t="s">
        <v>766</v>
      </c>
      <c r="AD860" s="21"/>
    </row>
    <row r="861" spans="2:30" ht="12" customHeight="1" outlineLevel="7">
      <c r="B861" s="70" t="s">
        <v>2948</v>
      </c>
      <c r="C861" s="70"/>
      <c r="D861" s="70"/>
      <c r="E861" s="70"/>
      <c r="F861" s="70"/>
      <c r="G861" s="70"/>
    </row>
    <row r="862" spans="2:30" s="1" customFormat="1" ht="96.3" customHeight="1" outlineLevel="7">
      <c r="B862" s="20">
        <v>623</v>
      </c>
      <c r="C862" s="21" t="s">
        <v>2949</v>
      </c>
      <c r="D862" s="72" t="s">
        <v>2950</v>
      </c>
      <c r="E862" s="72"/>
      <c r="F862" s="72"/>
      <c r="G862" s="72"/>
      <c r="H862" s="22" t="s">
        <v>2951</v>
      </c>
      <c r="I862" s="27">
        <v>382</v>
      </c>
      <c r="J862" s="22"/>
      <c r="K862" s="20">
        <v>2</v>
      </c>
      <c r="L862" s="24">
        <v>284.48</v>
      </c>
      <c r="M862" s="11"/>
      <c r="N862" s="22">
        <f>L862*M862</f>
        <v>0</v>
      </c>
      <c r="O862" s="25">
        <f>0.034*M862</f>
        <v>0</v>
      </c>
      <c r="P862" s="26">
        <f>0.00064*M862</f>
        <v>0</v>
      </c>
      <c r="Q862" s="30"/>
      <c r="R862" s="22" t="s">
        <v>2952</v>
      </c>
      <c r="S862" s="22" t="s">
        <v>435</v>
      </c>
      <c r="T862" s="21" t="str">
        <f>HYPERLINK("https://miland.ru/api/getInfo/image/bcc659be-c4bf-11ee-a25a-00155d82e908")</f>
        <v>https://miland.ru/api/getInfo/image/bcc659be-c4bf-11ee-a25a-00155d82e908</v>
      </c>
      <c r="U862" s="21"/>
      <c r="V862" s="21" t="s">
        <v>710</v>
      </c>
      <c r="W862" s="21" t="s">
        <v>546</v>
      </c>
      <c r="X862" s="21"/>
      <c r="Y862" s="21" t="s">
        <v>41</v>
      </c>
      <c r="Z862" s="21"/>
      <c r="AA862" s="21" t="str">
        <f>HYPERLINK("https://miland.ru/api/getInfo/item/bcc659be-c4bf-11ee-a25a-00155d82e908")</f>
        <v>https://miland.ru/api/getInfo/item/bcc659be-c4bf-11ee-a25a-00155d82e908</v>
      </c>
      <c r="AB862" s="21" t="s">
        <v>42</v>
      </c>
      <c r="AC862" s="21" t="s">
        <v>766</v>
      </c>
      <c r="AD862" s="21"/>
    </row>
    <row r="863" spans="2:30" s="1" customFormat="1" ht="96.3" customHeight="1" outlineLevel="7">
      <c r="B863" s="20">
        <v>624</v>
      </c>
      <c r="C863" s="21" t="s">
        <v>2953</v>
      </c>
      <c r="D863" s="72" t="s">
        <v>2954</v>
      </c>
      <c r="E863" s="72"/>
      <c r="F863" s="72"/>
      <c r="G863" s="72"/>
      <c r="H863" s="22" t="s">
        <v>2955</v>
      </c>
      <c r="I863" s="27">
        <v>287</v>
      </c>
      <c r="J863" s="22"/>
      <c r="K863" s="20">
        <v>2</v>
      </c>
      <c r="L863" s="24">
        <v>275.38</v>
      </c>
      <c r="M863" s="11"/>
      <c r="N863" s="22">
        <f>L863*M863</f>
        <v>0</v>
      </c>
      <c r="O863" s="25">
        <f>0.035*M863</f>
        <v>0</v>
      </c>
      <c r="P863" s="26">
        <f>0.00059*M863</f>
        <v>0</v>
      </c>
      <c r="Q863" s="30"/>
      <c r="R863" s="22" t="s">
        <v>2956</v>
      </c>
      <c r="S863" s="22" t="s">
        <v>435</v>
      </c>
      <c r="T863" s="21" t="str">
        <f>HYPERLINK("https://miland.ru/api/getInfo/image/03a89f21-c4c0-11ee-a25a-00155d82e908")</f>
        <v>https://miland.ru/api/getInfo/image/03a89f21-c4c0-11ee-a25a-00155d82e908</v>
      </c>
      <c r="U863" s="21"/>
      <c r="V863" s="21" t="s">
        <v>710</v>
      </c>
      <c r="W863" s="21" t="s">
        <v>546</v>
      </c>
      <c r="X863" s="21"/>
      <c r="Y863" s="21" t="s">
        <v>41</v>
      </c>
      <c r="Z863" s="21"/>
      <c r="AA863" s="21" t="str">
        <f>HYPERLINK("https://miland.ru/api/getInfo/item/03a89f21-c4c0-11ee-a25a-00155d82e908")</f>
        <v>https://miland.ru/api/getInfo/item/03a89f21-c4c0-11ee-a25a-00155d82e908</v>
      </c>
      <c r="AB863" s="21" t="s">
        <v>42</v>
      </c>
      <c r="AC863" s="21" t="s">
        <v>766</v>
      </c>
      <c r="AD863" s="21"/>
    </row>
    <row r="864" spans="2:30" s="1" customFormat="1" ht="96.3" customHeight="1" outlineLevel="7">
      <c r="B864" s="20">
        <v>625</v>
      </c>
      <c r="C864" s="21" t="s">
        <v>2957</v>
      </c>
      <c r="D864" s="72" t="s">
        <v>2958</v>
      </c>
      <c r="E864" s="72"/>
      <c r="F864" s="72"/>
      <c r="G864" s="72"/>
      <c r="H864" s="22" t="s">
        <v>2959</v>
      </c>
      <c r="I864" s="27">
        <v>378</v>
      </c>
      <c r="J864" s="22"/>
      <c r="K864" s="20">
        <v>2</v>
      </c>
      <c r="L864" s="24">
        <v>267.35000000000002</v>
      </c>
      <c r="M864" s="11"/>
      <c r="N864" s="22">
        <f>L864*M864</f>
        <v>0</v>
      </c>
      <c r="O864" s="25">
        <f>0.035*M864</f>
        <v>0</v>
      </c>
      <c r="P864" s="26">
        <f>0.00062*M864</f>
        <v>0</v>
      </c>
      <c r="Q864" s="30"/>
      <c r="R864" s="22" t="s">
        <v>2960</v>
      </c>
      <c r="S864" s="22" t="s">
        <v>435</v>
      </c>
      <c r="T864" s="21" t="str">
        <f>HYPERLINK("https://miland.ru/api/getInfo/image/47d0516f-c4c0-11ee-a25a-00155d82e908")</f>
        <v>https://miland.ru/api/getInfo/image/47d0516f-c4c0-11ee-a25a-00155d82e908</v>
      </c>
      <c r="U864" s="21"/>
      <c r="V864" s="21" t="s">
        <v>710</v>
      </c>
      <c r="W864" s="21" t="s">
        <v>546</v>
      </c>
      <c r="X864" s="21"/>
      <c r="Y864" s="21" t="s">
        <v>41</v>
      </c>
      <c r="Z864" s="21"/>
      <c r="AA864" s="21" t="str">
        <f>HYPERLINK("https://miland.ru/api/getInfo/item/47d0516f-c4c0-11ee-a25a-00155d82e908")</f>
        <v>https://miland.ru/api/getInfo/item/47d0516f-c4c0-11ee-a25a-00155d82e908</v>
      </c>
      <c r="AB864" s="21" t="s">
        <v>42</v>
      </c>
      <c r="AC864" s="21" t="s">
        <v>766</v>
      </c>
      <c r="AD864" s="21"/>
    </row>
    <row r="865" spans="2:30" s="1" customFormat="1" ht="96.3" customHeight="1" outlineLevel="7">
      <c r="B865" s="20">
        <v>626</v>
      </c>
      <c r="C865" s="21" t="s">
        <v>2961</v>
      </c>
      <c r="D865" s="72" t="s">
        <v>2962</v>
      </c>
      <c r="E865" s="72"/>
      <c r="F865" s="72"/>
      <c r="G865" s="72"/>
      <c r="H865" s="22" t="s">
        <v>2963</v>
      </c>
      <c r="I865" s="27">
        <v>373</v>
      </c>
      <c r="J865" s="22"/>
      <c r="K865" s="20">
        <v>2</v>
      </c>
      <c r="L865" s="24">
        <v>267.35000000000002</v>
      </c>
      <c r="M865" s="11"/>
      <c r="N865" s="22">
        <f>L865*M865</f>
        <v>0</v>
      </c>
      <c r="O865" s="25">
        <f>0.035*M865</f>
        <v>0</v>
      </c>
      <c r="P865" s="26">
        <f>0.00059*M865</f>
        <v>0</v>
      </c>
      <c r="Q865" s="30"/>
      <c r="R865" s="22" t="s">
        <v>2964</v>
      </c>
      <c r="S865" s="22" t="s">
        <v>435</v>
      </c>
      <c r="T865" s="21" t="str">
        <f>HYPERLINK("https://miland.ru/api/getInfo/image/2371f3f6-c4c0-11ee-a25a-00155d82e908")</f>
        <v>https://miland.ru/api/getInfo/image/2371f3f6-c4c0-11ee-a25a-00155d82e908</v>
      </c>
      <c r="U865" s="21"/>
      <c r="V865" s="21" t="s">
        <v>710</v>
      </c>
      <c r="W865" s="21" t="s">
        <v>546</v>
      </c>
      <c r="X865" s="21"/>
      <c r="Y865" s="21" t="s">
        <v>41</v>
      </c>
      <c r="Z865" s="21"/>
      <c r="AA865" s="21" t="str">
        <f>HYPERLINK("https://miland.ru/api/getInfo/item/2371f3f6-c4c0-11ee-a25a-00155d82e908")</f>
        <v>https://miland.ru/api/getInfo/item/2371f3f6-c4c0-11ee-a25a-00155d82e908</v>
      </c>
      <c r="AB865" s="21" t="s">
        <v>42</v>
      </c>
      <c r="AC865" s="21" t="s">
        <v>766</v>
      </c>
      <c r="AD865" s="21"/>
    </row>
    <row r="866" spans="2:30" s="1" customFormat="1" ht="96.3" customHeight="1" outlineLevel="7">
      <c r="B866" s="20">
        <v>627</v>
      </c>
      <c r="C866" s="21" t="s">
        <v>2965</v>
      </c>
      <c r="D866" s="72" t="s">
        <v>2966</v>
      </c>
      <c r="E866" s="72"/>
      <c r="F866" s="72"/>
      <c r="G866" s="72"/>
      <c r="H866" s="22" t="s">
        <v>2967</v>
      </c>
      <c r="I866" s="27">
        <v>148</v>
      </c>
      <c r="J866" s="22"/>
      <c r="K866" s="20">
        <v>1</v>
      </c>
      <c r="L866" s="32">
        <v>1214.33</v>
      </c>
      <c r="M866" s="11"/>
      <c r="N866" s="22">
        <f>L866*M866</f>
        <v>0</v>
      </c>
      <c r="O866" s="25">
        <f>0.288*M866</f>
        <v>0</v>
      </c>
      <c r="P866" s="26">
        <f>0.00387*M866</f>
        <v>0</v>
      </c>
      <c r="Q866" s="30"/>
      <c r="R866" s="22" t="s">
        <v>2968</v>
      </c>
      <c r="S866" s="22" t="s">
        <v>435</v>
      </c>
      <c r="T866" s="21" t="str">
        <f>HYPERLINK("https://miland.ru/api/getInfo/image/6f56f076-95cd-11ef-a267-00155d82e908")</f>
        <v>https://miland.ru/api/getInfo/image/6f56f076-95cd-11ef-a267-00155d82e908</v>
      </c>
      <c r="U866" s="21"/>
      <c r="V866" s="21" t="s">
        <v>710</v>
      </c>
      <c r="W866" s="21" t="s">
        <v>546</v>
      </c>
      <c r="X866" s="21"/>
      <c r="Y866" s="21" t="s">
        <v>41</v>
      </c>
      <c r="Z866" s="21"/>
      <c r="AA866" s="21" t="str">
        <f>HYPERLINK("https://miland.ru/api/getInfo/item/6f56f076-95cd-11ef-a267-00155d82e908")</f>
        <v>https://miland.ru/api/getInfo/item/6f56f076-95cd-11ef-a267-00155d82e908</v>
      </c>
      <c r="AB866" s="21" t="s">
        <v>42</v>
      </c>
      <c r="AC866" s="21"/>
      <c r="AD866" s="21"/>
    </row>
    <row r="867" spans="2:30" ht="12" customHeight="1" outlineLevel="7">
      <c r="B867" s="70" t="s">
        <v>2969</v>
      </c>
      <c r="C867" s="70"/>
      <c r="D867" s="70"/>
      <c r="E867" s="70"/>
      <c r="F867" s="70"/>
      <c r="G867" s="70"/>
    </row>
    <row r="868" spans="2:30" s="1" customFormat="1" ht="96.3" customHeight="1" outlineLevel="7">
      <c r="B868" s="20">
        <v>628</v>
      </c>
      <c r="C868" s="21" t="s">
        <v>2970</v>
      </c>
      <c r="D868" s="72" t="s">
        <v>2971</v>
      </c>
      <c r="E868" s="72"/>
      <c r="F868" s="72"/>
      <c r="G868" s="72"/>
      <c r="H868" s="22" t="s">
        <v>2972</v>
      </c>
      <c r="I868" s="27">
        <v>30</v>
      </c>
      <c r="J868" s="22"/>
      <c r="K868" s="20">
        <v>2</v>
      </c>
      <c r="L868" s="24">
        <v>275.38</v>
      </c>
      <c r="M868" s="11"/>
      <c r="N868" s="22">
        <f>L868*M868</f>
        <v>0</v>
      </c>
      <c r="O868" s="28">
        <f>0.04*M868</f>
        <v>0</v>
      </c>
      <c r="P868" s="26">
        <f>0.00063*M868</f>
        <v>0</v>
      </c>
      <c r="Q868" s="30"/>
      <c r="R868" s="22" t="s">
        <v>2973</v>
      </c>
      <c r="S868" s="22" t="s">
        <v>435</v>
      </c>
      <c r="T868" s="21" t="str">
        <f>HYPERLINK("https://miland.ru/api/getInfo/image/d6dc89c9-e692-11ee-a25a-00155d82e908")</f>
        <v>https://miland.ru/api/getInfo/image/d6dc89c9-e692-11ee-a25a-00155d82e908</v>
      </c>
      <c r="U868" s="21"/>
      <c r="V868" s="21" t="s">
        <v>710</v>
      </c>
      <c r="W868" s="21" t="s">
        <v>546</v>
      </c>
      <c r="X868" s="21"/>
      <c r="Y868" s="21" t="s">
        <v>41</v>
      </c>
      <c r="Z868" s="21"/>
      <c r="AA868" s="21" t="str">
        <f>HYPERLINK("https://miland.ru/api/getInfo/item/d6dc89c9-e692-11ee-a25a-00155d82e908")</f>
        <v>https://miland.ru/api/getInfo/item/d6dc89c9-e692-11ee-a25a-00155d82e908</v>
      </c>
      <c r="AB868" s="21" t="s">
        <v>42</v>
      </c>
      <c r="AC868" s="21" t="s">
        <v>766</v>
      </c>
      <c r="AD868" s="21"/>
    </row>
    <row r="869" spans="2:30" s="1" customFormat="1" ht="96.3" customHeight="1" outlineLevel="7">
      <c r="B869" s="20">
        <v>629</v>
      </c>
      <c r="C869" s="21" t="s">
        <v>2974</v>
      </c>
      <c r="D869" s="72" t="s">
        <v>2975</v>
      </c>
      <c r="E869" s="72"/>
      <c r="F869" s="72"/>
      <c r="G869" s="72"/>
      <c r="H869" s="22" t="s">
        <v>2976</v>
      </c>
      <c r="I869" s="27">
        <v>76</v>
      </c>
      <c r="J869" s="22"/>
      <c r="K869" s="20">
        <v>2</v>
      </c>
      <c r="L869" s="24">
        <v>275.38</v>
      </c>
      <c r="M869" s="11"/>
      <c r="N869" s="22">
        <f>L869*M869</f>
        <v>0</v>
      </c>
      <c r="O869" s="28">
        <f>0.04*M869</f>
        <v>0</v>
      </c>
      <c r="P869" s="26">
        <f>0.00003*M869</f>
        <v>0</v>
      </c>
      <c r="Q869" s="30"/>
      <c r="R869" s="22" t="s">
        <v>2977</v>
      </c>
      <c r="S869" s="22" t="s">
        <v>435</v>
      </c>
      <c r="T869" s="21" t="str">
        <f>HYPERLINK("https://miland.ru/api/getInfo/image/678f2735-e693-11ee-a25a-00155d82e908")</f>
        <v>https://miland.ru/api/getInfo/image/678f2735-e693-11ee-a25a-00155d82e908</v>
      </c>
      <c r="U869" s="21"/>
      <c r="V869" s="21" t="s">
        <v>710</v>
      </c>
      <c r="W869" s="21" t="s">
        <v>546</v>
      </c>
      <c r="X869" s="21"/>
      <c r="Y869" s="21" t="s">
        <v>41</v>
      </c>
      <c r="Z869" s="21"/>
      <c r="AA869" s="21" t="str">
        <f>HYPERLINK("https://miland.ru/api/getInfo/item/678f2735-e693-11ee-a25a-00155d82e908")</f>
        <v>https://miland.ru/api/getInfo/item/678f2735-e693-11ee-a25a-00155d82e908</v>
      </c>
      <c r="AB869" s="21" t="s">
        <v>42</v>
      </c>
      <c r="AC869" s="21" t="s">
        <v>766</v>
      </c>
      <c r="AD869" s="21"/>
    </row>
    <row r="870" spans="2:30" s="1" customFormat="1" ht="96.3" customHeight="1" outlineLevel="7">
      <c r="B870" s="20">
        <v>630</v>
      </c>
      <c r="C870" s="21" t="s">
        <v>2978</v>
      </c>
      <c r="D870" s="72" t="s">
        <v>2979</v>
      </c>
      <c r="E870" s="72"/>
      <c r="F870" s="72"/>
      <c r="G870" s="72"/>
      <c r="H870" s="22" t="s">
        <v>2980</v>
      </c>
      <c r="I870" s="27">
        <v>167</v>
      </c>
      <c r="J870" s="22"/>
      <c r="K870" s="20">
        <v>2</v>
      </c>
      <c r="L870" s="24">
        <v>275.38</v>
      </c>
      <c r="M870" s="11"/>
      <c r="N870" s="22">
        <f>L870*M870</f>
        <v>0</v>
      </c>
      <c r="O870" s="25">
        <f>0.041*M870</f>
        <v>0</v>
      </c>
      <c r="P870" s="26">
        <f>0.00059*M870</f>
        <v>0</v>
      </c>
      <c r="Q870" s="30"/>
      <c r="R870" s="22" t="s">
        <v>2981</v>
      </c>
      <c r="S870" s="22" t="s">
        <v>435</v>
      </c>
      <c r="T870" s="21" t="str">
        <f>HYPERLINK("https://miland.ru/api/getInfo/image/04990073-e693-11ee-a25a-00155d82e908")</f>
        <v>https://miland.ru/api/getInfo/image/04990073-e693-11ee-a25a-00155d82e908</v>
      </c>
      <c r="U870" s="21"/>
      <c r="V870" s="21" t="s">
        <v>710</v>
      </c>
      <c r="W870" s="21" t="s">
        <v>546</v>
      </c>
      <c r="X870" s="21"/>
      <c r="Y870" s="21" t="s">
        <v>41</v>
      </c>
      <c r="Z870" s="21"/>
      <c r="AA870" s="21" t="str">
        <f>HYPERLINK("https://miland.ru/api/getInfo/item/04990073-e693-11ee-a25a-00155d82e908")</f>
        <v>https://miland.ru/api/getInfo/item/04990073-e693-11ee-a25a-00155d82e908</v>
      </c>
      <c r="AB870" s="21" t="s">
        <v>42</v>
      </c>
      <c r="AC870" s="21" t="s">
        <v>766</v>
      </c>
      <c r="AD870" s="21"/>
    </row>
    <row r="871" spans="2:30" s="1" customFormat="1" ht="96.3" customHeight="1" outlineLevel="7">
      <c r="B871" s="20">
        <v>631</v>
      </c>
      <c r="C871" s="21" t="s">
        <v>2982</v>
      </c>
      <c r="D871" s="72" t="s">
        <v>2983</v>
      </c>
      <c r="E871" s="72"/>
      <c r="F871" s="72"/>
      <c r="G871" s="72"/>
      <c r="H871" s="22" t="s">
        <v>2984</v>
      </c>
      <c r="I871" s="27">
        <v>98</v>
      </c>
      <c r="J871" s="22"/>
      <c r="K871" s="20">
        <v>2</v>
      </c>
      <c r="L871" s="24">
        <v>275.38</v>
      </c>
      <c r="M871" s="11"/>
      <c r="N871" s="22">
        <f>L871*M871</f>
        <v>0</v>
      </c>
      <c r="O871" s="25">
        <f>0.039*M871</f>
        <v>0</v>
      </c>
      <c r="P871" s="26">
        <f>0.00064*M871</f>
        <v>0</v>
      </c>
      <c r="Q871" s="30"/>
      <c r="R871" s="22" t="s">
        <v>2985</v>
      </c>
      <c r="S871" s="22" t="s">
        <v>435</v>
      </c>
      <c r="T871" s="21" t="str">
        <f>HYPERLINK("https://miland.ru/api/getInfo/image/47479743-e693-11ee-a25a-00155d82e908")</f>
        <v>https://miland.ru/api/getInfo/image/47479743-e693-11ee-a25a-00155d82e908</v>
      </c>
      <c r="U871" s="21"/>
      <c r="V871" s="21" t="s">
        <v>710</v>
      </c>
      <c r="W871" s="21" t="s">
        <v>546</v>
      </c>
      <c r="X871" s="21"/>
      <c r="Y871" s="21" t="s">
        <v>41</v>
      </c>
      <c r="Z871" s="21"/>
      <c r="AA871" s="21" t="str">
        <f>HYPERLINK("https://miland.ru/api/getInfo/item/47479743-e693-11ee-a25a-00155d82e908")</f>
        <v>https://miland.ru/api/getInfo/item/47479743-e693-11ee-a25a-00155d82e908</v>
      </c>
      <c r="AB871" s="21" t="s">
        <v>42</v>
      </c>
      <c r="AC871" s="21" t="s">
        <v>766</v>
      </c>
      <c r="AD871" s="21"/>
    </row>
    <row r="872" spans="2:30" s="1" customFormat="1" ht="96.3" customHeight="1" outlineLevel="7">
      <c r="B872" s="20">
        <v>632</v>
      </c>
      <c r="C872" s="21" t="s">
        <v>2986</v>
      </c>
      <c r="D872" s="72" t="s">
        <v>2987</v>
      </c>
      <c r="E872" s="72"/>
      <c r="F872" s="72"/>
      <c r="G872" s="72"/>
      <c r="H872" s="22" t="s">
        <v>2988</v>
      </c>
      <c r="I872" s="27">
        <v>11</v>
      </c>
      <c r="J872" s="22"/>
      <c r="K872" s="20">
        <v>1</v>
      </c>
      <c r="L872" s="32">
        <v>1221.29</v>
      </c>
      <c r="M872" s="11"/>
      <c r="N872" s="22">
        <f>L872*M872</f>
        <v>0</v>
      </c>
      <c r="O872" s="25">
        <f>0.249*M872</f>
        <v>0</v>
      </c>
      <c r="P872" s="29">
        <f>0.0049*M872</f>
        <v>0</v>
      </c>
      <c r="Q872" s="30"/>
      <c r="R872" s="22" t="s">
        <v>2989</v>
      </c>
      <c r="S872" s="22" t="s">
        <v>435</v>
      </c>
      <c r="T872" s="21" t="str">
        <f>HYPERLINK("https://miland.ru/api/getInfo/image/bcf20329-95cc-11ef-a267-00155d82e908")</f>
        <v>https://miland.ru/api/getInfo/image/bcf20329-95cc-11ef-a267-00155d82e908</v>
      </c>
      <c r="U872" s="21"/>
      <c r="V872" s="21" t="s">
        <v>710</v>
      </c>
      <c r="W872" s="21" t="s">
        <v>546</v>
      </c>
      <c r="X872" s="21"/>
      <c r="Y872" s="21" t="s">
        <v>41</v>
      </c>
      <c r="Z872" s="21"/>
      <c r="AA872" s="21" t="str">
        <f>HYPERLINK("https://miland.ru/api/getInfo/item/bcf20329-95cc-11ef-a267-00155d82e908")</f>
        <v>https://miland.ru/api/getInfo/item/bcf20329-95cc-11ef-a267-00155d82e908</v>
      </c>
      <c r="AB872" s="21" t="s">
        <v>42</v>
      </c>
      <c r="AC872" s="21"/>
      <c r="AD872" s="21"/>
    </row>
    <row r="873" spans="2:30" ht="12" customHeight="1" outlineLevel="6">
      <c r="B873" s="70" t="s">
        <v>2990</v>
      </c>
      <c r="C873" s="70"/>
      <c r="D873" s="70"/>
      <c r="E873" s="70"/>
      <c r="F873" s="70"/>
      <c r="G873" s="70"/>
    </row>
    <row r="874" spans="2:30" ht="12" customHeight="1" outlineLevel="7">
      <c r="B874" s="70" t="s">
        <v>2991</v>
      </c>
      <c r="C874" s="70"/>
      <c r="D874" s="70"/>
      <c r="E874" s="70"/>
      <c r="F874" s="70"/>
      <c r="G874" s="70"/>
    </row>
    <row r="875" spans="2:30" s="1" customFormat="1" ht="96.3" customHeight="1" outlineLevel="7">
      <c r="B875" s="20">
        <v>633</v>
      </c>
      <c r="C875" s="21" t="s">
        <v>2992</v>
      </c>
      <c r="D875" s="72" t="s">
        <v>2993</v>
      </c>
      <c r="E875" s="72"/>
      <c r="F875" s="72"/>
      <c r="G875" s="72"/>
      <c r="H875" s="22" t="s">
        <v>2994</v>
      </c>
      <c r="I875" s="23" t="s">
        <v>36</v>
      </c>
      <c r="J875" s="22"/>
      <c r="K875" s="20">
        <v>2</v>
      </c>
      <c r="L875" s="24">
        <v>342.75</v>
      </c>
      <c r="M875" s="11"/>
      <c r="N875" s="22">
        <f>L875*M875</f>
        <v>0</v>
      </c>
      <c r="O875" s="25">
        <f>0.057*M875</f>
        <v>0</v>
      </c>
      <c r="P875" s="26">
        <f>0.00107*M875</f>
        <v>0</v>
      </c>
      <c r="Q875" s="30"/>
      <c r="R875" s="22" t="s">
        <v>2995</v>
      </c>
      <c r="S875" s="22" t="s">
        <v>435</v>
      </c>
      <c r="T875" s="21" t="str">
        <f>HYPERLINK("https://miland.ru/api/getInfo/image/6747fa2a-be83-11ee-a25a-00155d82e908")</f>
        <v>https://miland.ru/api/getInfo/image/6747fa2a-be83-11ee-a25a-00155d82e908</v>
      </c>
      <c r="U875" s="21"/>
      <c r="V875" s="21" t="s">
        <v>710</v>
      </c>
      <c r="W875" s="21" t="s">
        <v>546</v>
      </c>
      <c r="X875" s="21"/>
      <c r="Y875" s="21" t="s">
        <v>41</v>
      </c>
      <c r="Z875" s="21"/>
      <c r="AA875" s="21" t="str">
        <f>HYPERLINK("https://miland.ru/api/getInfo/item/6747fa2a-be83-11ee-a25a-00155d82e908")</f>
        <v>https://miland.ru/api/getInfo/item/6747fa2a-be83-11ee-a25a-00155d82e908</v>
      </c>
      <c r="AB875" s="21" t="s">
        <v>42</v>
      </c>
      <c r="AC875" s="21" t="s">
        <v>788</v>
      </c>
      <c r="AD875" s="21"/>
    </row>
    <row r="876" spans="2:30" s="1" customFormat="1" ht="96.3" customHeight="1" outlineLevel="7">
      <c r="B876" s="20">
        <v>634</v>
      </c>
      <c r="C876" s="21" t="s">
        <v>2996</v>
      </c>
      <c r="D876" s="72" t="s">
        <v>2997</v>
      </c>
      <c r="E876" s="72"/>
      <c r="F876" s="72"/>
      <c r="G876" s="72"/>
      <c r="H876" s="22" t="s">
        <v>2998</v>
      </c>
      <c r="I876" s="23" t="s">
        <v>36</v>
      </c>
      <c r="J876" s="22"/>
      <c r="K876" s="20">
        <v>2</v>
      </c>
      <c r="L876" s="24">
        <v>342.75</v>
      </c>
      <c r="M876" s="11"/>
      <c r="N876" s="22">
        <f>L876*M876</f>
        <v>0</v>
      </c>
      <c r="O876" s="25">
        <f>0.058*M876</f>
        <v>0</v>
      </c>
      <c r="P876" s="26">
        <f>0.00107*M876</f>
        <v>0</v>
      </c>
      <c r="Q876" s="30"/>
      <c r="R876" s="22" t="s">
        <v>2999</v>
      </c>
      <c r="S876" s="22" t="s">
        <v>435</v>
      </c>
      <c r="T876" s="21" t="str">
        <f>HYPERLINK("https://miland.ru/api/getInfo/image/ae8e43ef-be83-11ee-a25a-00155d82e908")</f>
        <v>https://miland.ru/api/getInfo/image/ae8e43ef-be83-11ee-a25a-00155d82e908</v>
      </c>
      <c r="U876" s="21"/>
      <c r="V876" s="21" t="s">
        <v>710</v>
      </c>
      <c r="W876" s="21" t="s">
        <v>546</v>
      </c>
      <c r="X876" s="21"/>
      <c r="Y876" s="21" t="s">
        <v>41</v>
      </c>
      <c r="Z876" s="21"/>
      <c r="AA876" s="21" t="str">
        <f>HYPERLINK("https://miland.ru/api/getInfo/item/ae8e43ef-be83-11ee-a25a-00155d82e908")</f>
        <v>https://miland.ru/api/getInfo/item/ae8e43ef-be83-11ee-a25a-00155d82e908</v>
      </c>
      <c r="AB876" s="21" t="s">
        <v>42</v>
      </c>
      <c r="AC876" s="21" t="s">
        <v>788</v>
      </c>
      <c r="AD876" s="21"/>
    </row>
    <row r="877" spans="2:30" s="1" customFormat="1" ht="96.3" customHeight="1" outlineLevel="7">
      <c r="B877" s="20">
        <v>635</v>
      </c>
      <c r="C877" s="21" t="s">
        <v>3000</v>
      </c>
      <c r="D877" s="72" t="s">
        <v>3001</v>
      </c>
      <c r="E877" s="72"/>
      <c r="F877" s="72"/>
      <c r="G877" s="72"/>
      <c r="H877" s="22" t="s">
        <v>3002</v>
      </c>
      <c r="I877" s="27">
        <v>185</v>
      </c>
      <c r="J877" s="22"/>
      <c r="K877" s="20">
        <v>2</v>
      </c>
      <c r="L877" s="24">
        <v>342.75</v>
      </c>
      <c r="M877" s="11"/>
      <c r="N877" s="22">
        <f>L877*M877</f>
        <v>0</v>
      </c>
      <c r="O877" s="25">
        <f>0.056*M877</f>
        <v>0</v>
      </c>
      <c r="P877" s="26">
        <f>0.00107*M877</f>
        <v>0</v>
      </c>
      <c r="Q877" s="30"/>
      <c r="R877" s="22" t="s">
        <v>3003</v>
      </c>
      <c r="S877" s="22" t="s">
        <v>435</v>
      </c>
      <c r="T877" s="21" t="str">
        <f>HYPERLINK("https://miland.ru/api/getInfo/image/4863a1eb-be83-11ee-a25a-00155d82e908")</f>
        <v>https://miland.ru/api/getInfo/image/4863a1eb-be83-11ee-a25a-00155d82e908</v>
      </c>
      <c r="U877" s="21"/>
      <c r="V877" s="21" t="s">
        <v>710</v>
      </c>
      <c r="W877" s="21" t="s">
        <v>546</v>
      </c>
      <c r="X877" s="21"/>
      <c r="Y877" s="21" t="s">
        <v>41</v>
      </c>
      <c r="Z877" s="21"/>
      <c r="AA877" s="21" t="str">
        <f>HYPERLINK("https://miland.ru/api/getInfo/item/4863a1eb-be83-11ee-a25a-00155d82e908")</f>
        <v>https://miland.ru/api/getInfo/item/4863a1eb-be83-11ee-a25a-00155d82e908</v>
      </c>
      <c r="AB877" s="21" t="s">
        <v>42</v>
      </c>
      <c r="AC877" s="21" t="s">
        <v>788</v>
      </c>
      <c r="AD877" s="21"/>
    </row>
    <row r="878" spans="2:30" s="1" customFormat="1" ht="96.3" customHeight="1" outlineLevel="7">
      <c r="B878" s="20">
        <v>636</v>
      </c>
      <c r="C878" s="21" t="s">
        <v>3004</v>
      </c>
      <c r="D878" s="72" t="s">
        <v>3005</v>
      </c>
      <c r="E878" s="72"/>
      <c r="F878" s="72"/>
      <c r="G878" s="72"/>
      <c r="H878" s="22" t="s">
        <v>3006</v>
      </c>
      <c r="I878" s="27">
        <v>460</v>
      </c>
      <c r="J878" s="22"/>
      <c r="K878" s="20">
        <v>2</v>
      </c>
      <c r="L878" s="24">
        <v>342.75</v>
      </c>
      <c r="M878" s="11"/>
      <c r="N878" s="22">
        <f>L878*M878</f>
        <v>0</v>
      </c>
      <c r="O878" s="25">
        <f>0.057*M878</f>
        <v>0</v>
      </c>
      <c r="P878" s="26">
        <f>0.00111*M878</f>
        <v>0</v>
      </c>
      <c r="Q878" s="30"/>
      <c r="R878" s="22" t="s">
        <v>3007</v>
      </c>
      <c r="S878" s="22" t="s">
        <v>435</v>
      </c>
      <c r="T878" s="21" t="str">
        <f>HYPERLINK("https://miland.ru/api/getInfo/image/f8e9ba02-be83-11ee-a25a-00155d82e908")</f>
        <v>https://miland.ru/api/getInfo/image/f8e9ba02-be83-11ee-a25a-00155d82e908</v>
      </c>
      <c r="U878" s="21"/>
      <c r="V878" s="21" t="s">
        <v>710</v>
      </c>
      <c r="W878" s="21" t="s">
        <v>546</v>
      </c>
      <c r="X878" s="21"/>
      <c r="Y878" s="21" t="s">
        <v>41</v>
      </c>
      <c r="Z878" s="21"/>
      <c r="AA878" s="21" t="str">
        <f>HYPERLINK("https://miland.ru/api/getInfo/item/f8e9ba02-be83-11ee-a25a-00155d82e908")</f>
        <v>https://miland.ru/api/getInfo/item/f8e9ba02-be83-11ee-a25a-00155d82e908</v>
      </c>
      <c r="AB878" s="21" t="s">
        <v>42</v>
      </c>
      <c r="AC878" s="21" t="s">
        <v>788</v>
      </c>
      <c r="AD878" s="21"/>
    </row>
    <row r="879" spans="2:30" ht="12" customHeight="1" outlineLevel="7">
      <c r="B879" s="70" t="s">
        <v>3008</v>
      </c>
      <c r="C879" s="70"/>
      <c r="D879" s="70"/>
      <c r="E879" s="70"/>
      <c r="F879" s="70"/>
      <c r="G879" s="70"/>
    </row>
    <row r="880" spans="2:30" s="1" customFormat="1" ht="96.3" customHeight="1" outlineLevel="7">
      <c r="B880" s="20">
        <v>637</v>
      </c>
      <c r="C880" s="21" t="s">
        <v>3009</v>
      </c>
      <c r="D880" s="72" t="s">
        <v>3010</v>
      </c>
      <c r="E880" s="72"/>
      <c r="F880" s="72"/>
      <c r="G880" s="72"/>
      <c r="H880" s="22" t="s">
        <v>3011</v>
      </c>
      <c r="I880" s="27">
        <v>226</v>
      </c>
      <c r="J880" s="22"/>
      <c r="K880" s="20">
        <v>2</v>
      </c>
      <c r="L880" s="24">
        <v>376.21</v>
      </c>
      <c r="M880" s="11"/>
      <c r="N880" s="22">
        <f>L880*M880</f>
        <v>0</v>
      </c>
      <c r="O880" s="25">
        <f>0.065*M880</f>
        <v>0</v>
      </c>
      <c r="P880" s="26">
        <f>0.00112*M880</f>
        <v>0</v>
      </c>
      <c r="Q880" s="30"/>
      <c r="R880" s="22" t="s">
        <v>3012</v>
      </c>
      <c r="S880" s="22" t="s">
        <v>435</v>
      </c>
      <c r="T880" s="21" t="str">
        <f>HYPERLINK("https://miland.ru/api/getInfo/image/138346ad-be82-11ee-a25a-00155d82e908")</f>
        <v>https://miland.ru/api/getInfo/image/138346ad-be82-11ee-a25a-00155d82e908</v>
      </c>
      <c r="U880" s="21"/>
      <c r="V880" s="21" t="s">
        <v>710</v>
      </c>
      <c r="W880" s="21" t="s">
        <v>546</v>
      </c>
      <c r="X880" s="21"/>
      <c r="Y880" s="21" t="s">
        <v>41</v>
      </c>
      <c r="Z880" s="21"/>
      <c r="AA880" s="21" t="str">
        <f>HYPERLINK("https://miland.ru/api/getInfo/item/138346ad-be82-11ee-a25a-00155d82e908")</f>
        <v>https://miland.ru/api/getInfo/item/138346ad-be82-11ee-a25a-00155d82e908</v>
      </c>
      <c r="AB880" s="21" t="s">
        <v>42</v>
      </c>
      <c r="AC880" s="21" t="s">
        <v>788</v>
      </c>
      <c r="AD880" s="21"/>
    </row>
    <row r="881" spans="2:30" s="1" customFormat="1" ht="96.3" customHeight="1" outlineLevel="7">
      <c r="B881" s="20">
        <v>638</v>
      </c>
      <c r="C881" s="21" t="s">
        <v>3013</v>
      </c>
      <c r="D881" s="72" t="s">
        <v>3014</v>
      </c>
      <c r="E881" s="72"/>
      <c r="F881" s="72"/>
      <c r="G881" s="72"/>
      <c r="H881" s="22" t="s">
        <v>3015</v>
      </c>
      <c r="I881" s="27">
        <v>235</v>
      </c>
      <c r="J881" s="22"/>
      <c r="K881" s="20">
        <v>2</v>
      </c>
      <c r="L881" s="24">
        <v>376.21</v>
      </c>
      <c r="M881" s="11"/>
      <c r="N881" s="22">
        <f>L881*M881</f>
        <v>0</v>
      </c>
      <c r="O881" s="25">
        <f>0.055*M881</f>
        <v>0</v>
      </c>
      <c r="P881" s="26">
        <f>0.00111*M881</f>
        <v>0</v>
      </c>
      <c r="Q881" s="30"/>
      <c r="R881" s="22" t="s">
        <v>3016</v>
      </c>
      <c r="S881" s="22" t="s">
        <v>435</v>
      </c>
      <c r="T881" s="21" t="str">
        <f>HYPERLINK("https://miland.ru/api/getInfo/image/e82d96c4-be81-11ee-a25a-00155d82e908")</f>
        <v>https://miland.ru/api/getInfo/image/e82d96c4-be81-11ee-a25a-00155d82e908</v>
      </c>
      <c r="U881" s="21"/>
      <c r="V881" s="21" t="s">
        <v>710</v>
      </c>
      <c r="W881" s="21" t="s">
        <v>546</v>
      </c>
      <c r="X881" s="21"/>
      <c r="Y881" s="21" t="s">
        <v>41</v>
      </c>
      <c r="Z881" s="21"/>
      <c r="AA881" s="21" t="str">
        <f>HYPERLINK("https://miland.ru/api/getInfo/item/e82d96c4-be81-11ee-a25a-00155d82e908")</f>
        <v>https://miland.ru/api/getInfo/item/e82d96c4-be81-11ee-a25a-00155d82e908</v>
      </c>
      <c r="AB881" s="21" t="s">
        <v>42</v>
      </c>
      <c r="AC881" s="21" t="s">
        <v>788</v>
      </c>
      <c r="AD881" s="21"/>
    </row>
    <row r="882" spans="2:30" s="1" customFormat="1" ht="96.3" customHeight="1" outlineLevel="7">
      <c r="B882" s="20">
        <v>639</v>
      </c>
      <c r="C882" s="21" t="s">
        <v>3017</v>
      </c>
      <c r="D882" s="72" t="s">
        <v>3018</v>
      </c>
      <c r="E882" s="72"/>
      <c r="F882" s="72"/>
      <c r="G882" s="72"/>
      <c r="H882" s="22" t="s">
        <v>3019</v>
      </c>
      <c r="I882" s="27">
        <v>292</v>
      </c>
      <c r="J882" s="22"/>
      <c r="K882" s="20">
        <v>2</v>
      </c>
      <c r="L882" s="24">
        <v>376.21</v>
      </c>
      <c r="M882" s="11"/>
      <c r="N882" s="22">
        <f>L882*M882</f>
        <v>0</v>
      </c>
      <c r="O882" s="25">
        <f>0.058*M882</f>
        <v>0</v>
      </c>
      <c r="P882" s="26">
        <f>0.00112*M882</f>
        <v>0</v>
      </c>
      <c r="Q882" s="30"/>
      <c r="R882" s="22" t="s">
        <v>3020</v>
      </c>
      <c r="S882" s="22" t="s">
        <v>435</v>
      </c>
      <c r="T882" s="21" t="str">
        <f>HYPERLINK("https://miland.ru/api/getInfo/image/c553e8a0-be81-11ee-a25a-00155d82e908")</f>
        <v>https://miland.ru/api/getInfo/image/c553e8a0-be81-11ee-a25a-00155d82e908</v>
      </c>
      <c r="U882" s="21"/>
      <c r="V882" s="21" t="s">
        <v>710</v>
      </c>
      <c r="W882" s="21" t="s">
        <v>546</v>
      </c>
      <c r="X882" s="21"/>
      <c r="Y882" s="21" t="s">
        <v>41</v>
      </c>
      <c r="Z882" s="21"/>
      <c r="AA882" s="21" t="str">
        <f>HYPERLINK("https://miland.ru/api/getInfo/item/c553e8a0-be81-11ee-a25a-00155d82e908")</f>
        <v>https://miland.ru/api/getInfo/item/c553e8a0-be81-11ee-a25a-00155d82e908</v>
      </c>
      <c r="AB882" s="21" t="s">
        <v>42</v>
      </c>
      <c r="AC882" s="21" t="s">
        <v>788</v>
      </c>
      <c r="AD882" s="21"/>
    </row>
    <row r="883" spans="2:30" s="1" customFormat="1" ht="96.3" customHeight="1" outlineLevel="7">
      <c r="B883" s="20">
        <v>640</v>
      </c>
      <c r="C883" s="21" t="s">
        <v>3021</v>
      </c>
      <c r="D883" s="72" t="s">
        <v>3022</v>
      </c>
      <c r="E883" s="72"/>
      <c r="F883" s="72"/>
      <c r="G883" s="72"/>
      <c r="H883" s="22" t="s">
        <v>3023</v>
      </c>
      <c r="I883" s="27">
        <v>110</v>
      </c>
      <c r="J883" s="22"/>
      <c r="K883" s="20">
        <v>1</v>
      </c>
      <c r="L883" s="32">
        <v>1624.58</v>
      </c>
      <c r="M883" s="11"/>
      <c r="N883" s="22">
        <f>L883*M883</f>
        <v>0</v>
      </c>
      <c r="O883" s="25">
        <f>0.359*M883</f>
        <v>0</v>
      </c>
      <c r="P883" s="26">
        <f>0.00821*M883</f>
        <v>0</v>
      </c>
      <c r="Q883" s="30"/>
      <c r="R883" s="22" t="s">
        <v>3024</v>
      </c>
      <c r="S883" s="22" t="s">
        <v>435</v>
      </c>
      <c r="T883" s="21" t="str">
        <f>HYPERLINK("https://miland.ru/api/getInfo/image/e3235219-95ce-11ef-a267-00155d82e908")</f>
        <v>https://miland.ru/api/getInfo/image/e3235219-95ce-11ef-a267-00155d82e908</v>
      </c>
      <c r="U883" s="21"/>
      <c r="V883" s="21" t="s">
        <v>710</v>
      </c>
      <c r="W883" s="21" t="s">
        <v>546</v>
      </c>
      <c r="X883" s="21"/>
      <c r="Y883" s="21" t="s">
        <v>41</v>
      </c>
      <c r="Z883" s="21"/>
      <c r="AA883" s="21" t="str">
        <f>HYPERLINK("https://miland.ru/api/getInfo/item/e3235219-95ce-11ef-a267-00155d82e908")</f>
        <v>https://miland.ru/api/getInfo/item/e3235219-95ce-11ef-a267-00155d82e908</v>
      </c>
      <c r="AB883" s="21" t="s">
        <v>42</v>
      </c>
      <c r="AC883" s="21"/>
      <c r="AD883" s="21"/>
    </row>
    <row r="884" spans="2:30" ht="12" customHeight="1" outlineLevel="7">
      <c r="B884" s="70" t="s">
        <v>3025</v>
      </c>
      <c r="C884" s="70"/>
      <c r="D884" s="70"/>
      <c r="E884" s="70"/>
      <c r="F884" s="70"/>
      <c r="G884" s="70"/>
    </row>
    <row r="885" spans="2:30" s="1" customFormat="1" ht="96.3" customHeight="1" outlineLevel="7">
      <c r="B885" s="20">
        <v>641</v>
      </c>
      <c r="C885" s="21" t="s">
        <v>3026</v>
      </c>
      <c r="D885" s="72" t="s">
        <v>3027</v>
      </c>
      <c r="E885" s="72"/>
      <c r="F885" s="72"/>
      <c r="G885" s="72"/>
      <c r="H885" s="22" t="s">
        <v>3028</v>
      </c>
      <c r="I885" s="27">
        <v>409</v>
      </c>
      <c r="J885" s="22"/>
      <c r="K885" s="20">
        <v>1</v>
      </c>
      <c r="L885" s="24">
        <v>458.1</v>
      </c>
      <c r="M885" s="11"/>
      <c r="N885" s="22">
        <f>L885*M885</f>
        <v>0</v>
      </c>
      <c r="O885" s="25">
        <f>0.065*M885</f>
        <v>0</v>
      </c>
      <c r="P885" s="29">
        <f>0.0011*M885</f>
        <v>0</v>
      </c>
      <c r="Q885" s="30"/>
      <c r="R885" s="22" t="s">
        <v>3029</v>
      </c>
      <c r="S885" s="22" t="s">
        <v>435</v>
      </c>
      <c r="T885" s="21" t="str">
        <f>HYPERLINK("https://miland.ru/api/getInfo/image/41b1ab31-be7c-11ee-a25a-00155d82e908")</f>
        <v>https://miland.ru/api/getInfo/image/41b1ab31-be7c-11ee-a25a-00155d82e908</v>
      </c>
      <c r="U885" s="21"/>
      <c r="V885" s="21" t="s">
        <v>710</v>
      </c>
      <c r="W885" s="21" t="s">
        <v>546</v>
      </c>
      <c r="X885" s="21"/>
      <c r="Y885" s="21" t="s">
        <v>41</v>
      </c>
      <c r="Z885" s="21"/>
      <c r="AA885" s="21" t="str">
        <f>HYPERLINK("https://miland.ru/api/getInfo/item/41b1ab31-be7c-11ee-a25a-00155d82e908")</f>
        <v>https://miland.ru/api/getInfo/item/41b1ab31-be7c-11ee-a25a-00155d82e908</v>
      </c>
      <c r="AB885" s="21" t="s">
        <v>42</v>
      </c>
      <c r="AC885" s="21" t="s">
        <v>788</v>
      </c>
      <c r="AD885" s="21"/>
    </row>
    <row r="886" spans="2:30" s="1" customFormat="1" ht="96.3" customHeight="1" outlineLevel="7">
      <c r="B886" s="20">
        <v>642</v>
      </c>
      <c r="C886" s="21" t="s">
        <v>3030</v>
      </c>
      <c r="D886" s="72" t="s">
        <v>3031</v>
      </c>
      <c r="E886" s="72"/>
      <c r="F886" s="72"/>
      <c r="G886" s="72"/>
      <c r="H886" s="22" t="s">
        <v>3032</v>
      </c>
      <c r="I886" s="27">
        <v>203</v>
      </c>
      <c r="J886" s="22"/>
      <c r="K886" s="20">
        <v>1</v>
      </c>
      <c r="L886" s="24">
        <v>437.04</v>
      </c>
      <c r="M886" s="11"/>
      <c r="N886" s="22">
        <f>L886*M886</f>
        <v>0</v>
      </c>
      <c r="O886" s="25">
        <f>0.058*M886</f>
        <v>0</v>
      </c>
      <c r="P886" s="29">
        <f>0.0011*M886</f>
        <v>0</v>
      </c>
      <c r="Q886" s="30"/>
      <c r="R886" s="22" t="s">
        <v>3033</v>
      </c>
      <c r="S886" s="22" t="s">
        <v>435</v>
      </c>
      <c r="T886" s="21" t="str">
        <f>HYPERLINK("https://miland.ru/api/getInfo/image/5e103eae-da2f-11ee-a25a-00155d82e908")</f>
        <v>https://miland.ru/api/getInfo/image/5e103eae-da2f-11ee-a25a-00155d82e908</v>
      </c>
      <c r="U886" s="21"/>
      <c r="V886" s="21" t="s">
        <v>710</v>
      </c>
      <c r="W886" s="21" t="s">
        <v>546</v>
      </c>
      <c r="X886" s="21"/>
      <c r="Y886" s="21" t="s">
        <v>41</v>
      </c>
      <c r="Z886" s="21"/>
      <c r="AA886" s="21" t="str">
        <f>HYPERLINK("https://miland.ru/api/getInfo/item/5e103eae-da2f-11ee-a25a-00155d82e908")</f>
        <v>https://miland.ru/api/getInfo/item/5e103eae-da2f-11ee-a25a-00155d82e908</v>
      </c>
      <c r="AB886" s="21" t="s">
        <v>42</v>
      </c>
      <c r="AC886" s="21" t="s">
        <v>788</v>
      </c>
      <c r="AD886" s="21"/>
    </row>
    <row r="887" spans="2:30" s="1" customFormat="1" ht="96.3" customHeight="1" outlineLevel="7">
      <c r="B887" s="20">
        <v>643</v>
      </c>
      <c r="C887" s="21" t="s">
        <v>3034</v>
      </c>
      <c r="D887" s="72" t="s">
        <v>3035</v>
      </c>
      <c r="E887" s="72"/>
      <c r="F887" s="72"/>
      <c r="G887" s="72"/>
      <c r="H887" s="22" t="s">
        <v>3036</v>
      </c>
      <c r="I887" s="27">
        <v>284</v>
      </c>
      <c r="J887" s="22"/>
      <c r="K887" s="20">
        <v>1</v>
      </c>
      <c r="L887" s="24">
        <v>458.1</v>
      </c>
      <c r="M887" s="11"/>
      <c r="N887" s="22">
        <f>L887*M887</f>
        <v>0</v>
      </c>
      <c r="O887" s="25">
        <f>0.059*M887</f>
        <v>0</v>
      </c>
      <c r="P887" s="29">
        <f>0.0011*M887</f>
        <v>0</v>
      </c>
      <c r="Q887" s="30"/>
      <c r="R887" s="22" t="s">
        <v>3037</v>
      </c>
      <c r="S887" s="22" t="s">
        <v>435</v>
      </c>
      <c r="T887" s="21" t="str">
        <f>HYPERLINK("https://miland.ru/api/getInfo/image/aed868af-be7c-11ee-a25a-00155d82e908")</f>
        <v>https://miland.ru/api/getInfo/image/aed868af-be7c-11ee-a25a-00155d82e908</v>
      </c>
      <c r="U887" s="21"/>
      <c r="V887" s="21" t="s">
        <v>710</v>
      </c>
      <c r="W887" s="21" t="s">
        <v>546</v>
      </c>
      <c r="X887" s="21"/>
      <c r="Y887" s="21" t="s">
        <v>41</v>
      </c>
      <c r="Z887" s="21"/>
      <c r="AA887" s="21" t="str">
        <f>HYPERLINK("https://miland.ru/api/getInfo/item/aed868af-be7c-11ee-a25a-00155d82e908")</f>
        <v>https://miland.ru/api/getInfo/item/aed868af-be7c-11ee-a25a-00155d82e908</v>
      </c>
      <c r="AB887" s="21" t="s">
        <v>42</v>
      </c>
      <c r="AC887" s="21" t="s">
        <v>788</v>
      </c>
      <c r="AD887" s="21"/>
    </row>
    <row r="888" spans="2:30" ht="12" customHeight="1" outlineLevel="7">
      <c r="B888" s="70" t="s">
        <v>3038</v>
      </c>
      <c r="C888" s="70"/>
      <c r="D888" s="70"/>
      <c r="E888" s="70"/>
      <c r="F888" s="70"/>
      <c r="G888" s="70"/>
    </row>
    <row r="889" spans="2:30" s="1" customFormat="1" ht="96.3" customHeight="1" outlineLevel="7">
      <c r="B889" s="20">
        <v>644</v>
      </c>
      <c r="C889" s="21" t="s">
        <v>3039</v>
      </c>
      <c r="D889" s="72" t="s">
        <v>3040</v>
      </c>
      <c r="E889" s="72"/>
      <c r="F889" s="72"/>
      <c r="G889" s="72"/>
      <c r="H889" s="22" t="s">
        <v>3041</v>
      </c>
      <c r="I889" s="27">
        <v>10</v>
      </c>
      <c r="J889" s="22"/>
      <c r="K889" s="20">
        <v>1</v>
      </c>
      <c r="L889" s="24">
        <v>508.17</v>
      </c>
      <c r="M889" s="11"/>
      <c r="N889" s="22">
        <f>L889*M889</f>
        <v>0</v>
      </c>
      <c r="O889" s="25">
        <f>0.061*M889</f>
        <v>0</v>
      </c>
      <c r="P889" s="26">
        <f>0.00111*M889</f>
        <v>0</v>
      </c>
      <c r="Q889" s="30"/>
      <c r="R889" s="22" t="s">
        <v>3042</v>
      </c>
      <c r="S889" s="22" t="s">
        <v>435</v>
      </c>
      <c r="T889" s="21" t="str">
        <f>HYPERLINK("https://miland.ru/api/getInfo/image/05b35396-da31-11ee-a25a-00155d82e908")</f>
        <v>https://miland.ru/api/getInfo/image/05b35396-da31-11ee-a25a-00155d82e908</v>
      </c>
      <c r="U889" s="21"/>
      <c r="V889" s="21" t="s">
        <v>710</v>
      </c>
      <c r="W889" s="21" t="s">
        <v>546</v>
      </c>
      <c r="X889" s="21"/>
      <c r="Y889" s="21" t="s">
        <v>41</v>
      </c>
      <c r="Z889" s="21"/>
      <c r="AA889" s="21" t="str">
        <f>HYPERLINK("https://miland.ru/api/getInfo/item/05b35396-da31-11ee-a25a-00155d82e908")</f>
        <v>https://miland.ru/api/getInfo/item/05b35396-da31-11ee-a25a-00155d82e908</v>
      </c>
      <c r="AB889" s="21" t="s">
        <v>42</v>
      </c>
      <c r="AC889" s="21" t="s">
        <v>788</v>
      </c>
      <c r="AD889" s="21"/>
    </row>
    <row r="890" spans="2:30" s="1" customFormat="1" ht="96.3" customHeight="1" outlineLevel="7">
      <c r="B890" s="20">
        <v>645</v>
      </c>
      <c r="C890" s="21" t="s">
        <v>3043</v>
      </c>
      <c r="D890" s="72" t="s">
        <v>3044</v>
      </c>
      <c r="E890" s="72"/>
      <c r="F890" s="72"/>
      <c r="G890" s="72"/>
      <c r="H890" s="22" t="s">
        <v>3045</v>
      </c>
      <c r="I890" s="27">
        <v>58</v>
      </c>
      <c r="J890" s="22"/>
      <c r="K890" s="20">
        <v>1</v>
      </c>
      <c r="L890" s="24">
        <v>508.17</v>
      </c>
      <c r="M890" s="11"/>
      <c r="N890" s="22">
        <f>L890*M890</f>
        <v>0</v>
      </c>
      <c r="O890" s="25">
        <f>0.062*M890</f>
        <v>0</v>
      </c>
      <c r="P890" s="26">
        <f>0.00132*M890</f>
        <v>0</v>
      </c>
      <c r="Q890" s="30"/>
      <c r="R890" s="22" t="s">
        <v>3046</v>
      </c>
      <c r="S890" s="22" t="s">
        <v>435</v>
      </c>
      <c r="T890" s="21" t="str">
        <f>HYPERLINK("https://miland.ru/api/getInfo/image/e325f79e-da30-11ee-a25a-00155d82e908")</f>
        <v>https://miland.ru/api/getInfo/image/e325f79e-da30-11ee-a25a-00155d82e908</v>
      </c>
      <c r="U890" s="21"/>
      <c r="V890" s="21" t="s">
        <v>710</v>
      </c>
      <c r="W890" s="21" t="s">
        <v>546</v>
      </c>
      <c r="X890" s="21"/>
      <c r="Y890" s="21" t="s">
        <v>41</v>
      </c>
      <c r="Z890" s="21"/>
      <c r="AA890" s="21" t="str">
        <f>HYPERLINK("https://miland.ru/api/getInfo/item/e325f79e-da30-11ee-a25a-00155d82e908")</f>
        <v>https://miland.ru/api/getInfo/item/e325f79e-da30-11ee-a25a-00155d82e908</v>
      </c>
      <c r="AB890" s="21" t="s">
        <v>42</v>
      </c>
      <c r="AC890" s="21" t="s">
        <v>788</v>
      </c>
      <c r="AD890" s="21"/>
    </row>
    <row r="891" spans="2:30" s="1" customFormat="1" ht="96.3" customHeight="1" outlineLevel="7">
      <c r="B891" s="20">
        <v>646</v>
      </c>
      <c r="C891" s="21" t="s">
        <v>3047</v>
      </c>
      <c r="D891" s="72" t="s">
        <v>3048</v>
      </c>
      <c r="E891" s="72"/>
      <c r="F891" s="72"/>
      <c r="G891" s="72"/>
      <c r="H891" s="22" t="s">
        <v>3049</v>
      </c>
      <c r="I891" s="23" t="s">
        <v>36</v>
      </c>
      <c r="J891" s="22"/>
      <c r="K891" s="20">
        <v>1</v>
      </c>
      <c r="L891" s="24">
        <v>508.17</v>
      </c>
      <c r="M891" s="11"/>
      <c r="N891" s="22">
        <f>L891*M891</f>
        <v>0</v>
      </c>
      <c r="O891" s="25">
        <f>0.059*M891</f>
        <v>0</v>
      </c>
      <c r="P891" s="26">
        <f>0.00106*M891</f>
        <v>0</v>
      </c>
      <c r="Q891" s="30"/>
      <c r="R891" s="22" t="s">
        <v>3050</v>
      </c>
      <c r="S891" s="22" t="s">
        <v>435</v>
      </c>
      <c r="T891" s="21" t="str">
        <f>HYPERLINK("https://miland.ru/api/getInfo/image/a1fbaf87-da30-11ee-a25a-00155d82e908")</f>
        <v>https://miland.ru/api/getInfo/image/a1fbaf87-da30-11ee-a25a-00155d82e908</v>
      </c>
      <c r="U891" s="21"/>
      <c r="V891" s="21" t="s">
        <v>710</v>
      </c>
      <c r="W891" s="21" t="s">
        <v>546</v>
      </c>
      <c r="X891" s="21"/>
      <c r="Y891" s="21" t="s">
        <v>41</v>
      </c>
      <c r="Z891" s="21"/>
      <c r="AA891" s="21" t="str">
        <f>HYPERLINK("https://miland.ru/api/getInfo/item/a1fbaf87-da30-11ee-a25a-00155d82e908")</f>
        <v>https://miland.ru/api/getInfo/item/a1fbaf87-da30-11ee-a25a-00155d82e908</v>
      </c>
      <c r="AB891" s="21" t="s">
        <v>42</v>
      </c>
      <c r="AC891" s="21" t="s">
        <v>788</v>
      </c>
      <c r="AD891" s="21"/>
    </row>
    <row r="892" spans="2:30" s="1" customFormat="1" ht="96.3" customHeight="1" outlineLevel="7">
      <c r="B892" s="20">
        <v>647</v>
      </c>
      <c r="C892" s="21" t="s">
        <v>3051</v>
      </c>
      <c r="D892" s="72" t="s">
        <v>3052</v>
      </c>
      <c r="E892" s="72"/>
      <c r="F892" s="72"/>
      <c r="G892" s="72"/>
      <c r="H892" s="22" t="s">
        <v>3053</v>
      </c>
      <c r="I892" s="23" t="s">
        <v>36</v>
      </c>
      <c r="J892" s="22"/>
      <c r="K892" s="20">
        <v>1</v>
      </c>
      <c r="L892" s="24">
        <v>508.17</v>
      </c>
      <c r="M892" s="11"/>
      <c r="N892" s="22">
        <f>L892*M892</f>
        <v>0</v>
      </c>
      <c r="O892" s="25">
        <f>0.056*M892</f>
        <v>0</v>
      </c>
      <c r="P892" s="26">
        <f>0.00114*M892</f>
        <v>0</v>
      </c>
      <c r="Q892" s="30"/>
      <c r="R892" s="22" t="s">
        <v>3054</v>
      </c>
      <c r="S892" s="22" t="s">
        <v>435</v>
      </c>
      <c r="T892" s="21" t="str">
        <f>HYPERLINK("https://miland.ru/api/getInfo/image/c35a476c-da30-11ee-a25a-00155d82e908")</f>
        <v>https://miland.ru/api/getInfo/image/c35a476c-da30-11ee-a25a-00155d82e908</v>
      </c>
      <c r="U892" s="21"/>
      <c r="V892" s="21" t="s">
        <v>710</v>
      </c>
      <c r="W892" s="21" t="s">
        <v>546</v>
      </c>
      <c r="X892" s="21"/>
      <c r="Y892" s="21" t="s">
        <v>41</v>
      </c>
      <c r="Z892" s="21"/>
      <c r="AA892" s="21" t="str">
        <f>HYPERLINK("https://miland.ru/api/getInfo/item/c35a476c-da30-11ee-a25a-00155d82e908")</f>
        <v>https://miland.ru/api/getInfo/item/c35a476c-da30-11ee-a25a-00155d82e908</v>
      </c>
      <c r="AB892" s="21" t="s">
        <v>42</v>
      </c>
      <c r="AC892" s="21" t="s">
        <v>788</v>
      </c>
      <c r="AD892" s="21"/>
    </row>
    <row r="893" spans="2:30" ht="12" customHeight="1" outlineLevel="7">
      <c r="B893" s="70" t="s">
        <v>3055</v>
      </c>
      <c r="C893" s="70"/>
      <c r="D893" s="70"/>
      <c r="E893" s="70"/>
      <c r="F893" s="70"/>
      <c r="G893" s="70"/>
    </row>
    <row r="894" spans="2:30" s="1" customFormat="1" ht="96.3" customHeight="1" outlineLevel="7">
      <c r="B894" s="20">
        <v>648</v>
      </c>
      <c r="C894" s="21" t="s">
        <v>3056</v>
      </c>
      <c r="D894" s="72" t="s">
        <v>3057</v>
      </c>
      <c r="E894" s="72"/>
      <c r="F894" s="72"/>
      <c r="G894" s="72"/>
      <c r="H894" s="22" t="s">
        <v>3058</v>
      </c>
      <c r="I894" s="27">
        <v>141</v>
      </c>
      <c r="J894" s="22"/>
      <c r="K894" s="20">
        <v>2</v>
      </c>
      <c r="L894" s="24">
        <v>376.21</v>
      </c>
      <c r="M894" s="11"/>
      <c r="N894" s="22">
        <f>L894*M894</f>
        <v>0</v>
      </c>
      <c r="O894" s="25">
        <f>0.063*M894</f>
        <v>0</v>
      </c>
      <c r="P894" s="29">
        <f>0.0011*M894</f>
        <v>0</v>
      </c>
      <c r="Q894" s="30"/>
      <c r="R894" s="22" t="s">
        <v>3059</v>
      </c>
      <c r="S894" s="22" t="s">
        <v>435</v>
      </c>
      <c r="T894" s="21" t="str">
        <f>HYPERLINK("https://miland.ru/api/getInfo/image/cdd638f7-be80-11ee-a25a-00155d82e908")</f>
        <v>https://miland.ru/api/getInfo/image/cdd638f7-be80-11ee-a25a-00155d82e908</v>
      </c>
      <c r="U894" s="21"/>
      <c r="V894" s="21" t="s">
        <v>710</v>
      </c>
      <c r="W894" s="21" t="s">
        <v>546</v>
      </c>
      <c r="X894" s="21"/>
      <c r="Y894" s="21" t="s">
        <v>41</v>
      </c>
      <c r="Z894" s="21"/>
      <c r="AA894" s="21" t="str">
        <f>HYPERLINK("https://miland.ru/api/getInfo/item/cdd638f7-be80-11ee-a25a-00155d82e908")</f>
        <v>https://miland.ru/api/getInfo/item/cdd638f7-be80-11ee-a25a-00155d82e908</v>
      </c>
      <c r="AB894" s="21" t="s">
        <v>42</v>
      </c>
      <c r="AC894" s="21" t="s">
        <v>788</v>
      </c>
      <c r="AD894" s="21"/>
    </row>
    <row r="895" spans="2:30" s="1" customFormat="1" ht="96.3" customHeight="1" outlineLevel="7">
      <c r="B895" s="20">
        <v>649</v>
      </c>
      <c r="C895" s="21" t="s">
        <v>3060</v>
      </c>
      <c r="D895" s="72" t="s">
        <v>3061</v>
      </c>
      <c r="E895" s="72"/>
      <c r="F895" s="72"/>
      <c r="G895" s="72"/>
      <c r="H895" s="22" t="s">
        <v>3062</v>
      </c>
      <c r="I895" s="27">
        <v>186</v>
      </c>
      <c r="J895" s="22"/>
      <c r="K895" s="20">
        <v>2</v>
      </c>
      <c r="L895" s="24">
        <v>376.21</v>
      </c>
      <c r="M895" s="11"/>
      <c r="N895" s="22">
        <f>L895*M895</f>
        <v>0</v>
      </c>
      <c r="O895" s="25">
        <f>0.071*M895</f>
        <v>0</v>
      </c>
      <c r="P895" s="29">
        <f>0.0011*M895</f>
        <v>0</v>
      </c>
      <c r="Q895" s="30"/>
      <c r="R895" s="22" t="s">
        <v>3063</v>
      </c>
      <c r="S895" s="22" t="s">
        <v>435</v>
      </c>
      <c r="T895" s="21" t="str">
        <f>HYPERLINK("https://miland.ru/api/getInfo/image/f02cb6bb-be80-11ee-a25a-00155d82e908")</f>
        <v>https://miland.ru/api/getInfo/image/f02cb6bb-be80-11ee-a25a-00155d82e908</v>
      </c>
      <c r="U895" s="21"/>
      <c r="V895" s="21" t="s">
        <v>710</v>
      </c>
      <c r="W895" s="21" t="s">
        <v>546</v>
      </c>
      <c r="X895" s="21"/>
      <c r="Y895" s="21" t="s">
        <v>41</v>
      </c>
      <c r="Z895" s="21"/>
      <c r="AA895" s="21" t="str">
        <f>HYPERLINK("https://miland.ru/api/getInfo/item/f02cb6bb-be80-11ee-a25a-00155d82e908")</f>
        <v>https://miland.ru/api/getInfo/item/f02cb6bb-be80-11ee-a25a-00155d82e908</v>
      </c>
      <c r="AB895" s="21" t="s">
        <v>42</v>
      </c>
      <c r="AC895" s="21" t="s">
        <v>788</v>
      </c>
      <c r="AD895" s="21"/>
    </row>
    <row r="896" spans="2:30" s="1" customFormat="1" ht="96.3" customHeight="1" outlineLevel="7">
      <c r="B896" s="20">
        <v>650</v>
      </c>
      <c r="C896" s="21" t="s">
        <v>3064</v>
      </c>
      <c r="D896" s="72" t="s">
        <v>3065</v>
      </c>
      <c r="E896" s="72"/>
      <c r="F896" s="72"/>
      <c r="G896" s="72"/>
      <c r="H896" s="22" t="s">
        <v>3066</v>
      </c>
      <c r="I896" s="27">
        <v>190</v>
      </c>
      <c r="J896" s="22"/>
      <c r="K896" s="20">
        <v>2</v>
      </c>
      <c r="L896" s="24">
        <v>315.33999999999997</v>
      </c>
      <c r="M896" s="11"/>
      <c r="N896" s="22">
        <f>L896*M896</f>
        <v>0</v>
      </c>
      <c r="O896" s="25">
        <f>0.069*M896</f>
        <v>0</v>
      </c>
      <c r="P896" s="26">
        <f>0.00113*M896</f>
        <v>0</v>
      </c>
      <c r="Q896" s="30"/>
      <c r="R896" s="22" t="s">
        <v>3067</v>
      </c>
      <c r="S896" s="22" t="s">
        <v>435</v>
      </c>
      <c r="T896" s="21" t="str">
        <f>HYPERLINK("https://miland.ru/api/getInfo/image/0eb8e0be-be81-11ee-a25a-00155d82e908")</f>
        <v>https://miland.ru/api/getInfo/image/0eb8e0be-be81-11ee-a25a-00155d82e908</v>
      </c>
      <c r="U896" s="21"/>
      <c r="V896" s="21" t="s">
        <v>710</v>
      </c>
      <c r="W896" s="21" t="s">
        <v>546</v>
      </c>
      <c r="X896" s="21"/>
      <c r="Y896" s="21" t="s">
        <v>41</v>
      </c>
      <c r="Z896" s="21"/>
      <c r="AA896" s="21" t="str">
        <f>HYPERLINK("https://miland.ru/api/getInfo/item/0eb8e0be-be81-11ee-a25a-00155d82e908")</f>
        <v>https://miland.ru/api/getInfo/item/0eb8e0be-be81-11ee-a25a-00155d82e908</v>
      </c>
      <c r="AB896" s="21" t="s">
        <v>42</v>
      </c>
      <c r="AC896" s="21" t="s">
        <v>788</v>
      </c>
      <c r="AD896" s="21"/>
    </row>
    <row r="897" spans="2:30" s="1" customFormat="1" ht="96.3" customHeight="1" outlineLevel="7">
      <c r="B897" s="20">
        <v>651</v>
      </c>
      <c r="C897" s="21" t="s">
        <v>3068</v>
      </c>
      <c r="D897" s="72" t="s">
        <v>3069</v>
      </c>
      <c r="E897" s="72"/>
      <c r="F897" s="72"/>
      <c r="G897" s="72"/>
      <c r="H897" s="22" t="s">
        <v>3070</v>
      </c>
      <c r="I897" s="27">
        <v>323</v>
      </c>
      <c r="J897" s="22"/>
      <c r="K897" s="20">
        <v>2</v>
      </c>
      <c r="L897" s="24">
        <v>376.21</v>
      </c>
      <c r="M897" s="11"/>
      <c r="N897" s="22">
        <f>L897*M897</f>
        <v>0</v>
      </c>
      <c r="O897" s="25">
        <f>0.057*M897</f>
        <v>0</v>
      </c>
      <c r="P897" s="26">
        <f>0.00107*M897</f>
        <v>0</v>
      </c>
      <c r="Q897" s="30"/>
      <c r="R897" s="22" t="s">
        <v>3071</v>
      </c>
      <c r="S897" s="22" t="s">
        <v>435</v>
      </c>
      <c r="T897" s="21" t="str">
        <f>HYPERLINK("https://miland.ru/api/getInfo/image/6f1c6424-be80-11ee-a25a-00155d82e908")</f>
        <v>https://miland.ru/api/getInfo/image/6f1c6424-be80-11ee-a25a-00155d82e908</v>
      </c>
      <c r="U897" s="21"/>
      <c r="V897" s="21" t="s">
        <v>710</v>
      </c>
      <c r="W897" s="21" t="s">
        <v>546</v>
      </c>
      <c r="X897" s="21"/>
      <c r="Y897" s="21" t="s">
        <v>41</v>
      </c>
      <c r="Z897" s="21"/>
      <c r="AA897" s="21" t="str">
        <f>HYPERLINK("https://miland.ru/api/getInfo/item/6f1c6424-be80-11ee-a25a-00155d82e908")</f>
        <v>https://miland.ru/api/getInfo/item/6f1c6424-be80-11ee-a25a-00155d82e908</v>
      </c>
      <c r="AB897" s="21" t="s">
        <v>42</v>
      </c>
      <c r="AC897" s="21" t="s">
        <v>788</v>
      </c>
      <c r="AD897" s="21"/>
    </row>
    <row r="898" spans="2:30" s="1" customFormat="1" ht="96.3" customHeight="1" outlineLevel="7">
      <c r="B898" s="20">
        <v>652</v>
      </c>
      <c r="C898" s="21" t="s">
        <v>3072</v>
      </c>
      <c r="D898" s="72" t="s">
        <v>3073</v>
      </c>
      <c r="E898" s="72"/>
      <c r="F898" s="72"/>
      <c r="G898" s="72"/>
      <c r="H898" s="22" t="s">
        <v>3074</v>
      </c>
      <c r="I898" s="27">
        <v>84</v>
      </c>
      <c r="J898" s="22"/>
      <c r="K898" s="20">
        <v>1</v>
      </c>
      <c r="L898" s="32">
        <v>1563.72</v>
      </c>
      <c r="M898" s="11"/>
      <c r="N898" s="22">
        <f>L898*M898</f>
        <v>0</v>
      </c>
      <c r="O898" s="28">
        <f>0.36*M898</f>
        <v>0</v>
      </c>
      <c r="P898" s="29">
        <f>0.0078*M898</f>
        <v>0</v>
      </c>
      <c r="Q898" s="30"/>
      <c r="R898" s="22" t="s">
        <v>3075</v>
      </c>
      <c r="S898" s="22" t="s">
        <v>435</v>
      </c>
      <c r="T898" s="21" t="str">
        <f>HYPERLINK("https://miland.ru/api/getInfo/image/d07a5cdf-95ce-11ef-a267-00155d82e908")</f>
        <v>https://miland.ru/api/getInfo/image/d07a5cdf-95ce-11ef-a267-00155d82e908</v>
      </c>
      <c r="U898" s="21"/>
      <c r="V898" s="21" t="s">
        <v>710</v>
      </c>
      <c r="W898" s="21" t="s">
        <v>546</v>
      </c>
      <c r="X898" s="21"/>
      <c r="Y898" s="21" t="s">
        <v>41</v>
      </c>
      <c r="Z898" s="21"/>
      <c r="AA898" s="21" t="str">
        <f>HYPERLINK("https://miland.ru/api/getInfo/item/d07a5cdf-95ce-11ef-a267-00155d82e908")</f>
        <v>https://miland.ru/api/getInfo/item/d07a5cdf-95ce-11ef-a267-00155d82e908</v>
      </c>
      <c r="AB898" s="21" t="s">
        <v>42</v>
      </c>
      <c r="AC898" s="21"/>
      <c r="AD898" s="21"/>
    </row>
    <row r="899" spans="2:30" ht="12" customHeight="1" outlineLevel="7">
      <c r="B899" s="70" t="s">
        <v>3076</v>
      </c>
      <c r="C899" s="70"/>
      <c r="D899" s="70"/>
      <c r="E899" s="70"/>
      <c r="F899" s="70"/>
      <c r="G899" s="70"/>
    </row>
    <row r="900" spans="2:30" s="1" customFormat="1" ht="96.3" customHeight="1" outlineLevel="7">
      <c r="B900" s="20">
        <v>653</v>
      </c>
      <c r="C900" s="21" t="s">
        <v>3077</v>
      </c>
      <c r="D900" s="72" t="s">
        <v>3078</v>
      </c>
      <c r="E900" s="72"/>
      <c r="F900" s="72"/>
      <c r="G900" s="72"/>
      <c r="H900" s="22" t="s">
        <v>3079</v>
      </c>
      <c r="I900" s="27">
        <v>494</v>
      </c>
      <c r="J900" s="22"/>
      <c r="K900" s="20">
        <v>1</v>
      </c>
      <c r="L900" s="24">
        <v>407.31</v>
      </c>
      <c r="M900" s="11"/>
      <c r="N900" s="22">
        <f>L900*M900</f>
        <v>0</v>
      </c>
      <c r="O900" s="25">
        <f>0.059*M900</f>
        <v>0</v>
      </c>
      <c r="P900" s="26">
        <f>0.00115*M900</f>
        <v>0</v>
      </c>
      <c r="Q900" s="30"/>
      <c r="R900" s="22" t="s">
        <v>3080</v>
      </c>
      <c r="S900" s="22" t="s">
        <v>435</v>
      </c>
      <c r="T900" s="21" t="str">
        <f>HYPERLINK("https://miland.ru/api/getInfo/image/2b2a0edb-be83-11ee-a25a-00155d82e908")</f>
        <v>https://miland.ru/api/getInfo/image/2b2a0edb-be83-11ee-a25a-00155d82e908</v>
      </c>
      <c r="U900" s="21"/>
      <c r="V900" s="21" t="s">
        <v>710</v>
      </c>
      <c r="W900" s="21" t="s">
        <v>546</v>
      </c>
      <c r="X900" s="21"/>
      <c r="Y900" s="21" t="s">
        <v>41</v>
      </c>
      <c r="Z900" s="21"/>
      <c r="AA900" s="21" t="str">
        <f>HYPERLINK("https://miland.ru/api/getInfo/item/2b2a0edb-be83-11ee-a25a-00155d82e908")</f>
        <v>https://miland.ru/api/getInfo/item/2b2a0edb-be83-11ee-a25a-00155d82e908</v>
      </c>
      <c r="AB900" s="21" t="s">
        <v>42</v>
      </c>
      <c r="AC900" s="21" t="s">
        <v>788</v>
      </c>
      <c r="AD900" s="21"/>
    </row>
    <row r="901" spans="2:30" s="1" customFormat="1" ht="96.3" customHeight="1" outlineLevel="7">
      <c r="B901" s="20">
        <v>654</v>
      </c>
      <c r="C901" s="21" t="s">
        <v>3081</v>
      </c>
      <c r="D901" s="72" t="s">
        <v>3082</v>
      </c>
      <c r="E901" s="72"/>
      <c r="F901" s="72"/>
      <c r="G901" s="72"/>
      <c r="H901" s="22" t="s">
        <v>3083</v>
      </c>
      <c r="I901" s="27">
        <v>209</v>
      </c>
      <c r="J901" s="22"/>
      <c r="K901" s="20">
        <v>1</v>
      </c>
      <c r="L901" s="24">
        <v>407.31</v>
      </c>
      <c r="M901" s="11"/>
      <c r="N901" s="22">
        <f>L901*M901</f>
        <v>0</v>
      </c>
      <c r="O901" s="25">
        <f>0.058*M901</f>
        <v>0</v>
      </c>
      <c r="P901" s="26">
        <f>0.00108*M901</f>
        <v>0</v>
      </c>
      <c r="Q901" s="30"/>
      <c r="R901" s="22" t="s">
        <v>3084</v>
      </c>
      <c r="S901" s="22" t="s">
        <v>435</v>
      </c>
      <c r="T901" s="21" t="str">
        <f>HYPERLINK("https://miland.ru/api/getInfo/image/cfd41067-be82-11ee-a25a-00155d82e908")</f>
        <v>https://miland.ru/api/getInfo/image/cfd41067-be82-11ee-a25a-00155d82e908</v>
      </c>
      <c r="U901" s="21"/>
      <c r="V901" s="21" t="s">
        <v>710</v>
      </c>
      <c r="W901" s="21" t="s">
        <v>546</v>
      </c>
      <c r="X901" s="21"/>
      <c r="Y901" s="21" t="s">
        <v>41</v>
      </c>
      <c r="Z901" s="21"/>
      <c r="AA901" s="21" t="str">
        <f>HYPERLINK("https://miland.ru/api/getInfo/item/cfd41067-be82-11ee-a25a-00155d82e908")</f>
        <v>https://miland.ru/api/getInfo/item/cfd41067-be82-11ee-a25a-00155d82e908</v>
      </c>
      <c r="AB901" s="21" t="s">
        <v>42</v>
      </c>
      <c r="AC901" s="21" t="s">
        <v>788</v>
      </c>
      <c r="AD901" s="21"/>
    </row>
    <row r="902" spans="2:30" s="1" customFormat="1" ht="96.3" customHeight="1" outlineLevel="7">
      <c r="B902" s="20">
        <v>655</v>
      </c>
      <c r="C902" s="21" t="s">
        <v>3085</v>
      </c>
      <c r="D902" s="72" t="s">
        <v>3086</v>
      </c>
      <c r="E902" s="72"/>
      <c r="F902" s="72"/>
      <c r="G902" s="72"/>
      <c r="H902" s="22" t="s">
        <v>3087</v>
      </c>
      <c r="I902" s="27">
        <v>353</v>
      </c>
      <c r="J902" s="22"/>
      <c r="K902" s="20">
        <v>1</v>
      </c>
      <c r="L902" s="24">
        <v>407.31</v>
      </c>
      <c r="M902" s="11"/>
      <c r="N902" s="22">
        <f>L902*M902</f>
        <v>0</v>
      </c>
      <c r="O902" s="25">
        <f>0.055*M902</f>
        <v>0</v>
      </c>
      <c r="P902" s="26">
        <f>0.01516*M902</f>
        <v>0</v>
      </c>
      <c r="Q902" s="30"/>
      <c r="R902" s="22" t="s">
        <v>3088</v>
      </c>
      <c r="S902" s="22" t="s">
        <v>435</v>
      </c>
      <c r="T902" s="21" t="str">
        <f>HYPERLINK("https://miland.ru/api/getInfo/image/097cc043-be83-11ee-a25a-00155d82e908")</f>
        <v>https://miland.ru/api/getInfo/image/097cc043-be83-11ee-a25a-00155d82e908</v>
      </c>
      <c r="U902" s="21"/>
      <c r="V902" s="21" t="s">
        <v>710</v>
      </c>
      <c r="W902" s="21" t="s">
        <v>546</v>
      </c>
      <c r="X902" s="21"/>
      <c r="Y902" s="21" t="s">
        <v>41</v>
      </c>
      <c r="Z902" s="21"/>
      <c r="AA902" s="21" t="str">
        <f>HYPERLINK("https://miland.ru/api/getInfo/item/097cc043-be83-11ee-a25a-00155d82e908")</f>
        <v>https://miland.ru/api/getInfo/item/097cc043-be83-11ee-a25a-00155d82e908</v>
      </c>
      <c r="AB902" s="21" t="s">
        <v>42</v>
      </c>
      <c r="AC902" s="21" t="s">
        <v>788</v>
      </c>
      <c r="AD902" s="21"/>
    </row>
    <row r="903" spans="2:30" s="1" customFormat="1" ht="96.3" customHeight="1" outlineLevel="7">
      <c r="B903" s="20">
        <v>656</v>
      </c>
      <c r="C903" s="21" t="s">
        <v>3089</v>
      </c>
      <c r="D903" s="72" t="s">
        <v>3090</v>
      </c>
      <c r="E903" s="72"/>
      <c r="F903" s="72"/>
      <c r="G903" s="72"/>
      <c r="H903" s="22" t="s">
        <v>3091</v>
      </c>
      <c r="I903" s="27">
        <v>198</v>
      </c>
      <c r="J903" s="22"/>
      <c r="K903" s="20">
        <v>1</v>
      </c>
      <c r="L903" s="24">
        <v>407.31</v>
      </c>
      <c r="M903" s="11"/>
      <c r="N903" s="22">
        <f>L903*M903</f>
        <v>0</v>
      </c>
      <c r="O903" s="25">
        <f>0.057*M903</f>
        <v>0</v>
      </c>
      <c r="P903" s="26">
        <f>0.00109*M903</f>
        <v>0</v>
      </c>
      <c r="Q903" s="30"/>
      <c r="R903" s="22" t="s">
        <v>3092</v>
      </c>
      <c r="S903" s="22" t="s">
        <v>435</v>
      </c>
      <c r="T903" s="21" t="str">
        <f>HYPERLINK("https://miland.ru/api/getInfo/image/eeaa3487-be82-11ee-a25a-00155d82e908")</f>
        <v>https://miland.ru/api/getInfo/image/eeaa3487-be82-11ee-a25a-00155d82e908</v>
      </c>
      <c r="U903" s="21"/>
      <c r="V903" s="21" t="s">
        <v>710</v>
      </c>
      <c r="W903" s="21" t="s">
        <v>546</v>
      </c>
      <c r="X903" s="21"/>
      <c r="Y903" s="21" t="s">
        <v>41</v>
      </c>
      <c r="Z903" s="21"/>
      <c r="AA903" s="21" t="str">
        <f>HYPERLINK("https://miland.ru/api/getInfo/item/eeaa3487-be82-11ee-a25a-00155d82e908")</f>
        <v>https://miland.ru/api/getInfo/item/eeaa3487-be82-11ee-a25a-00155d82e908</v>
      </c>
      <c r="AB903" s="21" t="s">
        <v>42</v>
      </c>
      <c r="AC903" s="21" t="s">
        <v>788</v>
      </c>
      <c r="AD903" s="21"/>
    </row>
    <row r="904" spans="2:30" ht="12" customHeight="1" outlineLevel="7">
      <c r="B904" s="70" t="s">
        <v>3093</v>
      </c>
      <c r="C904" s="70"/>
      <c r="D904" s="70"/>
      <c r="E904" s="70"/>
      <c r="F904" s="70"/>
      <c r="G904" s="70"/>
    </row>
    <row r="905" spans="2:30" s="1" customFormat="1" ht="96.3" customHeight="1" outlineLevel="7">
      <c r="B905" s="20">
        <v>657</v>
      </c>
      <c r="C905" s="21" t="s">
        <v>3094</v>
      </c>
      <c r="D905" s="72" t="s">
        <v>3095</v>
      </c>
      <c r="E905" s="72"/>
      <c r="F905" s="72"/>
      <c r="G905" s="72"/>
      <c r="H905" s="22" t="s">
        <v>3096</v>
      </c>
      <c r="I905" s="27">
        <v>369</v>
      </c>
      <c r="J905" s="22"/>
      <c r="K905" s="20">
        <v>2</v>
      </c>
      <c r="L905" s="24">
        <v>339.39</v>
      </c>
      <c r="M905" s="11"/>
      <c r="N905" s="22">
        <f>L905*M905</f>
        <v>0</v>
      </c>
      <c r="O905" s="25">
        <f>0.059*M905</f>
        <v>0</v>
      </c>
      <c r="P905" s="26">
        <f>0.00105*M905</f>
        <v>0</v>
      </c>
      <c r="Q905" s="30"/>
      <c r="R905" s="22" t="s">
        <v>3097</v>
      </c>
      <c r="S905" s="22" t="s">
        <v>435</v>
      </c>
      <c r="T905" s="21" t="str">
        <f>HYPERLINK("https://miland.ru/api/getInfo/image/3051631f-be7d-11ee-a25a-00155d82e908")</f>
        <v>https://miland.ru/api/getInfo/image/3051631f-be7d-11ee-a25a-00155d82e908</v>
      </c>
      <c r="U905" s="21"/>
      <c r="V905" s="21" t="s">
        <v>710</v>
      </c>
      <c r="W905" s="21" t="s">
        <v>546</v>
      </c>
      <c r="X905" s="21"/>
      <c r="Y905" s="21" t="s">
        <v>41</v>
      </c>
      <c r="Z905" s="21"/>
      <c r="AA905" s="21" t="str">
        <f>HYPERLINK("https://miland.ru/api/getInfo/item/3051631f-be7d-11ee-a25a-00155d82e908")</f>
        <v>https://miland.ru/api/getInfo/item/3051631f-be7d-11ee-a25a-00155d82e908</v>
      </c>
      <c r="AB905" s="21" t="s">
        <v>42</v>
      </c>
      <c r="AC905" s="21" t="s">
        <v>788</v>
      </c>
      <c r="AD905" s="21"/>
    </row>
    <row r="906" spans="2:30" s="1" customFormat="1" ht="96.3" customHeight="1" outlineLevel="7">
      <c r="B906" s="20">
        <v>658</v>
      </c>
      <c r="C906" s="21" t="s">
        <v>3098</v>
      </c>
      <c r="D906" s="72" t="s">
        <v>3099</v>
      </c>
      <c r="E906" s="72"/>
      <c r="F906" s="72"/>
      <c r="G906" s="72"/>
      <c r="H906" s="22" t="s">
        <v>3100</v>
      </c>
      <c r="I906" s="23" t="s">
        <v>36</v>
      </c>
      <c r="J906" s="22"/>
      <c r="K906" s="20">
        <v>2</v>
      </c>
      <c r="L906" s="24">
        <v>339.39</v>
      </c>
      <c r="M906" s="11"/>
      <c r="N906" s="22">
        <f>L906*M906</f>
        <v>0</v>
      </c>
      <c r="O906" s="25">
        <f>0.059*M906</f>
        <v>0</v>
      </c>
      <c r="P906" s="26">
        <f>0.00105*M906</f>
        <v>0</v>
      </c>
      <c r="Q906" s="30"/>
      <c r="R906" s="22" t="s">
        <v>3101</v>
      </c>
      <c r="S906" s="22" t="s">
        <v>435</v>
      </c>
      <c r="T906" s="21" t="str">
        <f>HYPERLINK("https://miland.ru/api/getInfo/image/4c8e493a-be7d-11ee-a25a-00155d82e908")</f>
        <v>https://miland.ru/api/getInfo/image/4c8e493a-be7d-11ee-a25a-00155d82e908</v>
      </c>
      <c r="U906" s="21"/>
      <c r="V906" s="21" t="s">
        <v>710</v>
      </c>
      <c r="W906" s="21" t="s">
        <v>546</v>
      </c>
      <c r="X906" s="21"/>
      <c r="Y906" s="21" t="s">
        <v>41</v>
      </c>
      <c r="Z906" s="21"/>
      <c r="AA906" s="21" t="str">
        <f>HYPERLINK("https://miland.ru/api/getInfo/item/4c8e493a-be7d-11ee-a25a-00155d82e908")</f>
        <v>https://miland.ru/api/getInfo/item/4c8e493a-be7d-11ee-a25a-00155d82e908</v>
      </c>
      <c r="AB906" s="21" t="s">
        <v>42</v>
      </c>
      <c r="AC906" s="21" t="s">
        <v>788</v>
      </c>
      <c r="AD906" s="21"/>
    </row>
    <row r="907" spans="2:30" s="1" customFormat="1" ht="96.3" customHeight="1" outlineLevel="7">
      <c r="B907" s="20">
        <v>659</v>
      </c>
      <c r="C907" s="21" t="s">
        <v>3102</v>
      </c>
      <c r="D907" s="72" t="s">
        <v>3103</v>
      </c>
      <c r="E907" s="72"/>
      <c r="F907" s="72"/>
      <c r="G907" s="72"/>
      <c r="H907" s="22" t="s">
        <v>3104</v>
      </c>
      <c r="I907" s="27">
        <v>486</v>
      </c>
      <c r="J907" s="22"/>
      <c r="K907" s="20">
        <v>2</v>
      </c>
      <c r="L907" s="24">
        <v>339.39</v>
      </c>
      <c r="M907" s="11"/>
      <c r="N907" s="22">
        <f>L907*M907</f>
        <v>0</v>
      </c>
      <c r="O907" s="25">
        <f>0.058*M907</f>
        <v>0</v>
      </c>
      <c r="P907" s="26">
        <f>0.00109*M907</f>
        <v>0</v>
      </c>
      <c r="Q907" s="30"/>
      <c r="R907" s="22" t="s">
        <v>3105</v>
      </c>
      <c r="S907" s="22" t="s">
        <v>435</v>
      </c>
      <c r="T907" s="21" t="str">
        <f>HYPERLINK("https://miland.ru/api/getInfo/image/0c2061d0-be7d-11ee-a25a-00155d82e908")</f>
        <v>https://miland.ru/api/getInfo/image/0c2061d0-be7d-11ee-a25a-00155d82e908</v>
      </c>
      <c r="U907" s="21"/>
      <c r="V907" s="21" t="s">
        <v>710</v>
      </c>
      <c r="W907" s="21" t="s">
        <v>546</v>
      </c>
      <c r="X907" s="21"/>
      <c r="Y907" s="21" t="s">
        <v>41</v>
      </c>
      <c r="Z907" s="21"/>
      <c r="AA907" s="21" t="str">
        <f>HYPERLINK("https://miland.ru/api/getInfo/item/0c2061d0-be7d-11ee-a25a-00155d82e908")</f>
        <v>https://miland.ru/api/getInfo/item/0c2061d0-be7d-11ee-a25a-00155d82e908</v>
      </c>
      <c r="AB907" s="21" t="s">
        <v>42</v>
      </c>
      <c r="AC907" s="21" t="s">
        <v>788</v>
      </c>
      <c r="AD907" s="21"/>
    </row>
    <row r="908" spans="2:30" s="1" customFormat="1" ht="96.3" customHeight="1" outlineLevel="7">
      <c r="B908" s="20">
        <v>660</v>
      </c>
      <c r="C908" s="21" t="s">
        <v>3106</v>
      </c>
      <c r="D908" s="72" t="s">
        <v>3107</v>
      </c>
      <c r="E908" s="72"/>
      <c r="F908" s="72"/>
      <c r="G908" s="72"/>
      <c r="H908" s="22" t="s">
        <v>3108</v>
      </c>
      <c r="I908" s="23" t="s">
        <v>36</v>
      </c>
      <c r="J908" s="22"/>
      <c r="K908" s="20">
        <v>2</v>
      </c>
      <c r="L908" s="24">
        <v>339.39</v>
      </c>
      <c r="M908" s="11"/>
      <c r="N908" s="22">
        <f>L908*M908</f>
        <v>0</v>
      </c>
      <c r="O908" s="25">
        <f>0.058*M908</f>
        <v>0</v>
      </c>
      <c r="P908" s="26">
        <f>0.00109*M908</f>
        <v>0</v>
      </c>
      <c r="Q908" s="30"/>
      <c r="R908" s="22" t="s">
        <v>3109</v>
      </c>
      <c r="S908" s="22" t="s">
        <v>435</v>
      </c>
      <c r="T908" s="21" t="str">
        <f>HYPERLINK("https://miland.ru/api/getInfo/image/6c044064-be90-11ee-a25a-00155d82e908")</f>
        <v>https://miland.ru/api/getInfo/image/6c044064-be90-11ee-a25a-00155d82e908</v>
      </c>
      <c r="U908" s="21"/>
      <c r="V908" s="21" t="s">
        <v>710</v>
      </c>
      <c r="W908" s="21" t="s">
        <v>546</v>
      </c>
      <c r="X908" s="21"/>
      <c r="Y908" s="21" t="s">
        <v>41</v>
      </c>
      <c r="Z908" s="21"/>
      <c r="AA908" s="21" t="str">
        <f>HYPERLINK("https://miland.ru/api/getInfo/item/6c044064-be90-11ee-a25a-00155d82e908")</f>
        <v>https://miland.ru/api/getInfo/item/6c044064-be90-11ee-a25a-00155d82e908</v>
      </c>
      <c r="AB908" s="21" t="s">
        <v>42</v>
      </c>
      <c r="AC908" s="21" t="s">
        <v>788</v>
      </c>
      <c r="AD908" s="21"/>
    </row>
    <row r="909" spans="2:30" s="1" customFormat="1" ht="96.3" customHeight="1" outlineLevel="7">
      <c r="B909" s="20">
        <v>661</v>
      </c>
      <c r="C909" s="21" t="s">
        <v>3110</v>
      </c>
      <c r="D909" s="72" t="s">
        <v>3111</v>
      </c>
      <c r="E909" s="72"/>
      <c r="F909" s="72"/>
      <c r="G909" s="72"/>
      <c r="H909" s="22" t="s">
        <v>3112</v>
      </c>
      <c r="I909" s="27">
        <v>116</v>
      </c>
      <c r="J909" s="22"/>
      <c r="K909" s="20">
        <v>1</v>
      </c>
      <c r="L909" s="32">
        <v>1477.33</v>
      </c>
      <c r="M909" s="11"/>
      <c r="N909" s="22">
        <f>L909*M909</f>
        <v>0</v>
      </c>
      <c r="O909" s="25">
        <f>0.361*M909</f>
        <v>0</v>
      </c>
      <c r="P909" s="29">
        <f>0.0078*M909</f>
        <v>0</v>
      </c>
      <c r="Q909" s="30"/>
      <c r="R909" s="22" t="s">
        <v>3113</v>
      </c>
      <c r="S909" s="22" t="s">
        <v>435</v>
      </c>
      <c r="T909" s="21" t="str">
        <f>HYPERLINK("https://miland.ru/api/getInfo/image/bae6cc3b-95ce-11ef-a267-00155d82e908")</f>
        <v>https://miland.ru/api/getInfo/image/bae6cc3b-95ce-11ef-a267-00155d82e908</v>
      </c>
      <c r="U909" s="21"/>
      <c r="V909" s="21" t="s">
        <v>710</v>
      </c>
      <c r="W909" s="21" t="s">
        <v>546</v>
      </c>
      <c r="X909" s="21"/>
      <c r="Y909" s="21" t="s">
        <v>41</v>
      </c>
      <c r="Z909" s="21"/>
      <c r="AA909" s="21" t="str">
        <f>HYPERLINK("https://miland.ru/api/getInfo/item/bae6cc3b-95ce-11ef-a267-00155d82e908")</f>
        <v>https://miland.ru/api/getInfo/item/bae6cc3b-95ce-11ef-a267-00155d82e908</v>
      </c>
      <c r="AB909" s="21" t="s">
        <v>42</v>
      </c>
      <c r="AC909" s="21"/>
      <c r="AD909" s="21"/>
    </row>
    <row r="910" spans="2:30" ht="12" customHeight="1" outlineLevel="7">
      <c r="B910" s="70" t="s">
        <v>3114</v>
      </c>
      <c r="C910" s="70"/>
      <c r="D910" s="70"/>
      <c r="E910" s="70"/>
      <c r="F910" s="70"/>
      <c r="G910" s="70"/>
    </row>
    <row r="911" spans="2:30" s="1" customFormat="1" ht="96.3" customHeight="1" outlineLevel="7">
      <c r="B911" s="20">
        <v>662</v>
      </c>
      <c r="C911" s="21" t="s">
        <v>3115</v>
      </c>
      <c r="D911" s="72" t="s">
        <v>3116</v>
      </c>
      <c r="E911" s="72"/>
      <c r="F911" s="72"/>
      <c r="G911" s="72"/>
      <c r="H911" s="22" t="s">
        <v>3117</v>
      </c>
      <c r="I911" s="23" t="s">
        <v>36</v>
      </c>
      <c r="J911" s="22"/>
      <c r="K911" s="20">
        <v>2</v>
      </c>
      <c r="L911" s="24">
        <v>286.01</v>
      </c>
      <c r="M911" s="11"/>
      <c r="N911" s="22">
        <f>L911*M911</f>
        <v>0</v>
      </c>
      <c r="O911" s="25">
        <f>0.055*M911</f>
        <v>0</v>
      </c>
      <c r="P911" s="26">
        <f>0.00094*M911</f>
        <v>0</v>
      </c>
      <c r="Q911" s="30"/>
      <c r="R911" s="22" t="s">
        <v>3118</v>
      </c>
      <c r="S911" s="22" t="s">
        <v>435</v>
      </c>
      <c r="T911" s="21" t="str">
        <f>HYPERLINK("https://miland.ru/api/getInfo/image/7f8ec68b-9d72-11ed-a22e-00155d82e902")</f>
        <v>https://miland.ru/api/getInfo/image/7f8ec68b-9d72-11ed-a22e-00155d82e902</v>
      </c>
      <c r="U911" s="21"/>
      <c r="V911" s="21" t="s">
        <v>710</v>
      </c>
      <c r="W911" s="21" t="s">
        <v>546</v>
      </c>
      <c r="X911" s="21"/>
      <c r="Y911" s="21" t="s">
        <v>41</v>
      </c>
      <c r="Z911" s="21"/>
      <c r="AA911" s="21" t="str">
        <f>HYPERLINK("https://miland.ru/api/getInfo/item/7f8ec68b-9d72-11ed-a22e-00155d82e902")</f>
        <v>https://miland.ru/api/getInfo/item/7f8ec68b-9d72-11ed-a22e-00155d82e902</v>
      </c>
      <c r="AB911" s="21" t="s">
        <v>42</v>
      </c>
      <c r="AC911" s="21" t="s">
        <v>1600</v>
      </c>
      <c r="AD911" s="21"/>
    </row>
    <row r="912" spans="2:30" s="1" customFormat="1" ht="96.3" customHeight="1" outlineLevel="7">
      <c r="B912" s="20">
        <v>663</v>
      </c>
      <c r="C912" s="21" t="s">
        <v>3119</v>
      </c>
      <c r="D912" s="72" t="s">
        <v>3120</v>
      </c>
      <c r="E912" s="72"/>
      <c r="F912" s="72"/>
      <c r="G912" s="72"/>
      <c r="H912" s="22" t="s">
        <v>3121</v>
      </c>
      <c r="I912" s="27">
        <v>451</v>
      </c>
      <c r="J912" s="22"/>
      <c r="K912" s="20">
        <v>2</v>
      </c>
      <c r="L912" s="24">
        <v>286.01</v>
      </c>
      <c r="M912" s="11"/>
      <c r="N912" s="22">
        <f>L912*M912</f>
        <v>0</v>
      </c>
      <c r="O912" s="25">
        <f>0.051*M912</f>
        <v>0</v>
      </c>
      <c r="P912" s="26">
        <f>0.00098*M912</f>
        <v>0</v>
      </c>
      <c r="Q912" s="30"/>
      <c r="R912" s="22" t="s">
        <v>3122</v>
      </c>
      <c r="S912" s="22" t="s">
        <v>435</v>
      </c>
      <c r="T912" s="21" t="str">
        <f>HYPERLINK("https://miland.ru/api/getInfo/image/5493af69-9d72-11ed-a22e-00155d82e902")</f>
        <v>https://miland.ru/api/getInfo/image/5493af69-9d72-11ed-a22e-00155d82e902</v>
      </c>
      <c r="U912" s="21"/>
      <c r="V912" s="21" t="s">
        <v>710</v>
      </c>
      <c r="W912" s="21" t="s">
        <v>546</v>
      </c>
      <c r="X912" s="21"/>
      <c r="Y912" s="21" t="s">
        <v>41</v>
      </c>
      <c r="Z912" s="21"/>
      <c r="AA912" s="21" t="str">
        <f>HYPERLINK("https://miland.ru/api/getInfo/item/5493af69-9d72-11ed-a22e-00155d82e902")</f>
        <v>https://miland.ru/api/getInfo/item/5493af69-9d72-11ed-a22e-00155d82e902</v>
      </c>
      <c r="AB912" s="21" t="s">
        <v>42</v>
      </c>
      <c r="AC912" s="21" t="s">
        <v>1600</v>
      </c>
      <c r="AD912" s="21"/>
    </row>
    <row r="913" spans="2:31" s="1" customFormat="1" ht="96.3" customHeight="1" outlineLevel="7">
      <c r="B913" s="20">
        <v>664</v>
      </c>
      <c r="C913" s="21" t="s">
        <v>3123</v>
      </c>
      <c r="D913" s="72" t="s">
        <v>3124</v>
      </c>
      <c r="E913" s="72"/>
      <c r="F913" s="72"/>
      <c r="G913" s="72"/>
      <c r="H913" s="22" t="s">
        <v>3125</v>
      </c>
      <c r="I913" s="27">
        <v>367</v>
      </c>
      <c r="J913" s="22"/>
      <c r="K913" s="20">
        <v>2</v>
      </c>
      <c r="L913" s="24">
        <v>286.01</v>
      </c>
      <c r="M913" s="11"/>
      <c r="N913" s="22">
        <f>L913*M913</f>
        <v>0</v>
      </c>
      <c r="O913" s="25">
        <f>0.054*M913</f>
        <v>0</v>
      </c>
      <c r="P913" s="26">
        <f>0.00095*M913</f>
        <v>0</v>
      </c>
      <c r="Q913" s="30"/>
      <c r="R913" s="22" t="s">
        <v>3126</v>
      </c>
      <c r="S913" s="22" t="s">
        <v>435</v>
      </c>
      <c r="T913" s="21" t="str">
        <f>HYPERLINK("https://miland.ru/api/getInfo/image/dd0814d0-9d71-11ed-a22e-00155d82e902")</f>
        <v>https://miland.ru/api/getInfo/image/dd0814d0-9d71-11ed-a22e-00155d82e902</v>
      </c>
      <c r="U913" s="21"/>
      <c r="V913" s="21" t="s">
        <v>710</v>
      </c>
      <c r="W913" s="21" t="s">
        <v>546</v>
      </c>
      <c r="X913" s="21"/>
      <c r="Y913" s="21" t="s">
        <v>41</v>
      </c>
      <c r="Z913" s="21"/>
      <c r="AA913" s="21" t="str">
        <f>HYPERLINK("https://miland.ru/api/getInfo/item/dd0814d0-9d71-11ed-a22e-00155d82e902")</f>
        <v>https://miland.ru/api/getInfo/item/dd0814d0-9d71-11ed-a22e-00155d82e902</v>
      </c>
      <c r="AB913" s="21" t="s">
        <v>42</v>
      </c>
      <c r="AC913" s="21" t="s">
        <v>1600</v>
      </c>
      <c r="AD913" s="21"/>
    </row>
    <row r="914" spans="2:31" s="1" customFormat="1" ht="96.3" customHeight="1" outlineLevel="7">
      <c r="B914" s="20">
        <v>665</v>
      </c>
      <c r="C914" s="21" t="s">
        <v>3127</v>
      </c>
      <c r="D914" s="72" t="s">
        <v>3128</v>
      </c>
      <c r="E914" s="72"/>
      <c r="F914" s="72"/>
      <c r="G914" s="72"/>
      <c r="H914" s="22" t="s">
        <v>3129</v>
      </c>
      <c r="I914" s="27">
        <v>479</v>
      </c>
      <c r="J914" s="22"/>
      <c r="K914" s="20">
        <v>2</v>
      </c>
      <c r="L914" s="24">
        <v>286.01</v>
      </c>
      <c r="M914" s="11"/>
      <c r="N914" s="22">
        <f>L914*M914</f>
        <v>0</v>
      </c>
      <c r="O914" s="25">
        <f>0.057*M914</f>
        <v>0</v>
      </c>
      <c r="P914" s="26">
        <f>0.00094*M914</f>
        <v>0</v>
      </c>
      <c r="Q914" s="30"/>
      <c r="R914" s="22" t="s">
        <v>3130</v>
      </c>
      <c r="S914" s="22" t="s">
        <v>435</v>
      </c>
      <c r="T914" s="21" t="str">
        <f>HYPERLINK("https://miland.ru/api/getInfo/image/0fe43401-9d72-11ed-a22e-00155d82e902")</f>
        <v>https://miland.ru/api/getInfo/image/0fe43401-9d72-11ed-a22e-00155d82e902</v>
      </c>
      <c r="U914" s="21"/>
      <c r="V914" s="21" t="s">
        <v>710</v>
      </c>
      <c r="W914" s="21" t="s">
        <v>546</v>
      </c>
      <c r="X914" s="21"/>
      <c r="Y914" s="21" t="s">
        <v>41</v>
      </c>
      <c r="Z914" s="21"/>
      <c r="AA914" s="21" t="str">
        <f>HYPERLINK("https://miland.ru/api/getInfo/item/0fe43401-9d72-11ed-a22e-00155d82e902")</f>
        <v>https://miland.ru/api/getInfo/item/0fe43401-9d72-11ed-a22e-00155d82e902</v>
      </c>
      <c r="AB914" s="21" t="s">
        <v>42</v>
      </c>
      <c r="AC914" s="21" t="s">
        <v>1600</v>
      </c>
      <c r="AD914" s="21"/>
    </row>
    <row r="915" spans="2:31" ht="12" customHeight="1" outlineLevel="7">
      <c r="B915" s="70" t="s">
        <v>3131</v>
      </c>
      <c r="C915" s="70"/>
      <c r="D915" s="70"/>
      <c r="E915" s="70"/>
      <c r="F915" s="70"/>
      <c r="G915" s="70"/>
    </row>
    <row r="916" spans="2:31" s="1" customFormat="1" ht="96.3" customHeight="1" outlineLevel="7">
      <c r="B916" s="20">
        <v>666</v>
      </c>
      <c r="C916" s="21" t="s">
        <v>3132</v>
      </c>
      <c r="D916" s="72" t="s">
        <v>3133</v>
      </c>
      <c r="E916" s="72"/>
      <c r="F916" s="72"/>
      <c r="G916" s="72"/>
      <c r="H916" s="22" t="s">
        <v>3134</v>
      </c>
      <c r="I916" s="27">
        <v>398</v>
      </c>
      <c r="J916" s="22"/>
      <c r="K916" s="20">
        <v>2</v>
      </c>
      <c r="L916" s="24">
        <v>284.48</v>
      </c>
      <c r="M916" s="11"/>
      <c r="N916" s="22">
        <f>L916*M916</f>
        <v>0</v>
      </c>
      <c r="O916" s="25">
        <f>0.061*M916</f>
        <v>0</v>
      </c>
      <c r="P916" s="26">
        <f>0.00106*M916</f>
        <v>0</v>
      </c>
      <c r="Q916" s="30"/>
      <c r="R916" s="22" t="s">
        <v>3135</v>
      </c>
      <c r="S916" s="22" t="s">
        <v>435</v>
      </c>
      <c r="T916" s="21" t="str">
        <f>HYPERLINK("https://miland.ru/api/getInfo/image/7e182e23-be82-11ee-a25a-00155d82e908")</f>
        <v>https://miland.ru/api/getInfo/image/7e182e23-be82-11ee-a25a-00155d82e908</v>
      </c>
      <c r="U916" s="21"/>
      <c r="V916" s="21" t="s">
        <v>710</v>
      </c>
      <c r="W916" s="21" t="s">
        <v>546</v>
      </c>
      <c r="X916" s="21"/>
      <c r="Y916" s="21" t="s">
        <v>41</v>
      </c>
      <c r="Z916" s="21"/>
      <c r="AA916" s="21" t="str">
        <f>HYPERLINK("https://miland.ru/api/getInfo/item/7e182e23-be82-11ee-a25a-00155d82e908")</f>
        <v>https://miland.ru/api/getInfo/item/7e182e23-be82-11ee-a25a-00155d82e908</v>
      </c>
      <c r="AB916" s="21" t="s">
        <v>42</v>
      </c>
      <c r="AC916" s="21" t="s">
        <v>788</v>
      </c>
      <c r="AD916" s="21"/>
    </row>
    <row r="917" spans="2:31" s="1" customFormat="1" ht="96.3" customHeight="1" outlineLevel="7">
      <c r="B917" s="20">
        <v>667</v>
      </c>
      <c r="C917" s="21" t="s">
        <v>3136</v>
      </c>
      <c r="D917" s="72" t="s">
        <v>3137</v>
      </c>
      <c r="E917" s="72"/>
      <c r="F917" s="72"/>
      <c r="G917" s="72"/>
      <c r="H917" s="22" t="s">
        <v>3138</v>
      </c>
      <c r="I917" s="27">
        <v>485</v>
      </c>
      <c r="J917" s="22"/>
      <c r="K917" s="20">
        <v>2</v>
      </c>
      <c r="L917" s="24">
        <v>284.48</v>
      </c>
      <c r="M917" s="11"/>
      <c r="N917" s="22">
        <f>L917*M917</f>
        <v>0</v>
      </c>
      <c r="O917" s="25">
        <f>0.056*M917</f>
        <v>0</v>
      </c>
      <c r="P917" s="26">
        <f>0.00107*M917</f>
        <v>0</v>
      </c>
      <c r="Q917" s="30"/>
      <c r="R917" s="22" t="s">
        <v>3139</v>
      </c>
      <c r="S917" s="22" t="s">
        <v>435</v>
      </c>
      <c r="T917" s="21" t="str">
        <f>HYPERLINK("https://miland.ru/api/getInfo/image/3f9edacf-be82-11ee-a25a-00155d82e908")</f>
        <v>https://miland.ru/api/getInfo/image/3f9edacf-be82-11ee-a25a-00155d82e908</v>
      </c>
      <c r="U917" s="21"/>
      <c r="V917" s="21" t="s">
        <v>710</v>
      </c>
      <c r="W917" s="21" t="s">
        <v>546</v>
      </c>
      <c r="X917" s="21"/>
      <c r="Y917" s="21" t="s">
        <v>41</v>
      </c>
      <c r="Z917" s="21"/>
      <c r="AA917" s="21" t="str">
        <f>HYPERLINK("https://miland.ru/api/getInfo/item/3f9edacf-be82-11ee-a25a-00155d82e908")</f>
        <v>https://miland.ru/api/getInfo/item/3f9edacf-be82-11ee-a25a-00155d82e908</v>
      </c>
      <c r="AB917" s="21" t="s">
        <v>42</v>
      </c>
      <c r="AC917" s="21" t="s">
        <v>788</v>
      </c>
      <c r="AD917" s="21"/>
    </row>
    <row r="918" spans="2:31" s="1" customFormat="1" ht="96.3" customHeight="1" outlineLevel="7">
      <c r="B918" s="20">
        <v>668</v>
      </c>
      <c r="C918" s="21" t="s">
        <v>3140</v>
      </c>
      <c r="D918" s="72" t="s">
        <v>3141</v>
      </c>
      <c r="E918" s="72"/>
      <c r="F918" s="72"/>
      <c r="G918" s="72"/>
      <c r="H918" s="22" t="s">
        <v>3142</v>
      </c>
      <c r="I918" s="27">
        <v>427</v>
      </c>
      <c r="J918" s="22"/>
      <c r="K918" s="20">
        <v>2</v>
      </c>
      <c r="L918" s="24">
        <v>284.48</v>
      </c>
      <c r="M918" s="11"/>
      <c r="N918" s="22">
        <f>L918*M918</f>
        <v>0</v>
      </c>
      <c r="O918" s="25">
        <f>0.065*M918</f>
        <v>0</v>
      </c>
      <c r="P918" s="26">
        <f>0.00113*M918</f>
        <v>0</v>
      </c>
      <c r="Q918" s="30"/>
      <c r="R918" s="22" t="s">
        <v>3143</v>
      </c>
      <c r="S918" s="22" t="s">
        <v>435</v>
      </c>
      <c r="T918" s="21" t="str">
        <f>HYPERLINK("https://miland.ru/api/getInfo/image/61f5765e-be82-11ee-a25a-00155d82e908")</f>
        <v>https://miland.ru/api/getInfo/image/61f5765e-be82-11ee-a25a-00155d82e908</v>
      </c>
      <c r="U918" s="21"/>
      <c r="V918" s="21" t="s">
        <v>710</v>
      </c>
      <c r="W918" s="21" t="s">
        <v>546</v>
      </c>
      <c r="X918" s="21"/>
      <c r="Y918" s="21" t="s">
        <v>41</v>
      </c>
      <c r="Z918" s="21"/>
      <c r="AA918" s="21" t="str">
        <f>HYPERLINK("https://miland.ru/api/getInfo/item/61f5765e-be82-11ee-a25a-00155d82e908")</f>
        <v>https://miland.ru/api/getInfo/item/61f5765e-be82-11ee-a25a-00155d82e908</v>
      </c>
      <c r="AB918" s="21" t="s">
        <v>42</v>
      </c>
      <c r="AC918" s="21" t="s">
        <v>788</v>
      </c>
      <c r="AD918" s="21"/>
    </row>
    <row r="919" spans="2:31" s="1" customFormat="1" ht="96.3" customHeight="1" outlineLevel="7">
      <c r="B919" s="20">
        <v>669</v>
      </c>
      <c r="C919" s="21" t="s">
        <v>3144</v>
      </c>
      <c r="D919" s="72" t="s">
        <v>3145</v>
      </c>
      <c r="E919" s="72"/>
      <c r="F919" s="72"/>
      <c r="G919" s="72"/>
      <c r="H919" s="22" t="s">
        <v>3146</v>
      </c>
      <c r="I919" s="27">
        <v>493</v>
      </c>
      <c r="J919" s="22"/>
      <c r="K919" s="20">
        <v>2</v>
      </c>
      <c r="L919" s="24">
        <v>284.48</v>
      </c>
      <c r="M919" s="11"/>
      <c r="N919" s="22">
        <f>L919*M919</f>
        <v>0</v>
      </c>
      <c r="O919" s="25">
        <f>0.063*M919</f>
        <v>0</v>
      </c>
      <c r="P919" s="26">
        <f>0.00119*M919</f>
        <v>0</v>
      </c>
      <c r="Q919" s="30"/>
      <c r="R919" s="22" t="s">
        <v>3147</v>
      </c>
      <c r="S919" s="22" t="s">
        <v>435</v>
      </c>
      <c r="T919" s="21" t="str">
        <f>HYPERLINK("https://miland.ru/api/getInfo/image/9c5358e8-be82-11ee-a25a-00155d82e908")</f>
        <v>https://miland.ru/api/getInfo/image/9c5358e8-be82-11ee-a25a-00155d82e908</v>
      </c>
      <c r="U919" s="21"/>
      <c r="V919" s="21" t="s">
        <v>710</v>
      </c>
      <c r="W919" s="21" t="s">
        <v>546</v>
      </c>
      <c r="X919" s="21"/>
      <c r="Y919" s="21" t="s">
        <v>41</v>
      </c>
      <c r="Z919" s="21"/>
      <c r="AA919" s="21" t="str">
        <f>HYPERLINK("https://miland.ru/api/getInfo/item/9c5358e8-be82-11ee-a25a-00155d82e908")</f>
        <v>https://miland.ru/api/getInfo/item/9c5358e8-be82-11ee-a25a-00155d82e908</v>
      </c>
      <c r="AB919" s="21" t="s">
        <v>42</v>
      </c>
      <c r="AC919" s="21" t="s">
        <v>788</v>
      </c>
      <c r="AD919" s="21"/>
    </row>
    <row r="920" spans="2:31" s="1" customFormat="1" ht="96.3" customHeight="1" outlineLevel="7">
      <c r="B920" s="20">
        <v>670</v>
      </c>
      <c r="C920" s="21" t="s">
        <v>3148</v>
      </c>
      <c r="D920" s="72" t="s">
        <v>3149</v>
      </c>
      <c r="E920" s="72"/>
      <c r="F920" s="72"/>
      <c r="G920" s="72"/>
      <c r="H920" s="22" t="s">
        <v>3150</v>
      </c>
      <c r="I920" s="27">
        <v>100</v>
      </c>
      <c r="J920" s="22"/>
      <c r="K920" s="20">
        <v>1</v>
      </c>
      <c r="L920" s="32">
        <v>1257.7</v>
      </c>
      <c r="M920" s="11"/>
      <c r="N920" s="22">
        <f>L920*M920</f>
        <v>0</v>
      </c>
      <c r="O920" s="25">
        <f>0.367*M920</f>
        <v>0</v>
      </c>
      <c r="P920" s="26">
        <f>0.00597*M920</f>
        <v>0</v>
      </c>
      <c r="Q920" s="30"/>
      <c r="R920" s="22" t="s">
        <v>3151</v>
      </c>
      <c r="S920" s="22" t="s">
        <v>435</v>
      </c>
      <c r="T920" s="21" t="str">
        <f>HYPERLINK("https://miland.ru/api/getInfo/image/a6d1029d-95ce-11ef-a267-00155d82e908")</f>
        <v>https://miland.ru/api/getInfo/image/a6d1029d-95ce-11ef-a267-00155d82e908</v>
      </c>
      <c r="U920" s="21"/>
      <c r="V920" s="21" t="s">
        <v>710</v>
      </c>
      <c r="W920" s="21" t="s">
        <v>546</v>
      </c>
      <c r="X920" s="21"/>
      <c r="Y920" s="21" t="s">
        <v>41</v>
      </c>
      <c r="Z920" s="21"/>
      <c r="AA920" s="21" t="str">
        <f>HYPERLINK("https://miland.ru/api/getInfo/item/a6d1029d-95ce-11ef-a267-00155d82e908")</f>
        <v>https://miland.ru/api/getInfo/item/a6d1029d-95ce-11ef-a267-00155d82e908</v>
      </c>
      <c r="AB920" s="21" t="s">
        <v>42</v>
      </c>
      <c r="AC920" s="21"/>
      <c r="AD920" s="21"/>
    </row>
    <row r="921" spans="2:31" ht="12" customHeight="1" outlineLevel="7">
      <c r="B921" s="70" t="s">
        <v>3152</v>
      </c>
      <c r="C921" s="70"/>
      <c r="D921" s="70"/>
      <c r="E921" s="70"/>
      <c r="F921" s="70"/>
      <c r="G921" s="70"/>
    </row>
    <row r="922" spans="2:31" s="1" customFormat="1" ht="96.3" customHeight="1" outlineLevel="7">
      <c r="B922" s="34">
        <v>671</v>
      </c>
      <c r="C922" s="35" t="s">
        <v>3153</v>
      </c>
      <c r="D922" s="73" t="s">
        <v>3154</v>
      </c>
      <c r="E922" s="73"/>
      <c r="F922" s="73"/>
      <c r="G922" s="73"/>
      <c r="H922" s="36" t="s">
        <v>3155</v>
      </c>
      <c r="I922" s="40">
        <v>482</v>
      </c>
      <c r="J922" s="36"/>
      <c r="K922" s="34">
        <v>2</v>
      </c>
      <c r="L922" s="41">
        <v>202.86666666666667</v>
      </c>
      <c r="M922" s="11"/>
      <c r="N922" s="36">
        <f>L922*M922</f>
        <v>0</v>
      </c>
      <c r="O922" s="47">
        <f>0.06*M922</f>
        <v>0</v>
      </c>
      <c r="P922" s="43">
        <f>0.00108*M922</f>
        <v>0</v>
      </c>
      <c r="Q922" s="50"/>
      <c r="R922" s="36" t="s">
        <v>3156</v>
      </c>
      <c r="S922" s="36" t="s">
        <v>435</v>
      </c>
      <c r="T922" s="35" t="str">
        <f>HYPERLINK("https://miland.ru/api/getInfo/image/9ca66e6b-c4be-11ee-a25a-00155d82e908")</f>
        <v>https://miland.ru/api/getInfo/image/9ca66e6b-c4be-11ee-a25a-00155d82e908</v>
      </c>
      <c r="U922" s="35"/>
      <c r="V922" s="35" t="s">
        <v>710</v>
      </c>
      <c r="W922" s="35" t="s">
        <v>546</v>
      </c>
      <c r="X922" s="35"/>
      <c r="Y922" s="35" t="s">
        <v>41</v>
      </c>
      <c r="Z922" s="35"/>
      <c r="AA922" s="35" t="str">
        <f>HYPERLINK("https://miland.ru/api/getInfo/item/9ca66e6b-c4be-11ee-a25a-00155d82e908")</f>
        <v>https://miland.ru/api/getInfo/item/9ca66e6b-c4be-11ee-a25a-00155d82e908</v>
      </c>
      <c r="AB922" s="35" t="s">
        <v>42</v>
      </c>
      <c r="AC922" s="35" t="s">
        <v>788</v>
      </c>
      <c r="AD922" s="35"/>
      <c r="AE922" s="52" t="s">
        <v>1251</v>
      </c>
    </row>
    <row r="923" spans="2:31" s="1" customFormat="1" ht="96.3" customHeight="1" outlineLevel="7">
      <c r="B923" s="34">
        <v>672</v>
      </c>
      <c r="C923" s="35" t="s">
        <v>3157</v>
      </c>
      <c r="D923" s="73" t="s">
        <v>3158</v>
      </c>
      <c r="E923" s="73"/>
      <c r="F923" s="73"/>
      <c r="G923" s="73"/>
      <c r="H923" s="36" t="s">
        <v>3159</v>
      </c>
      <c r="I923" s="40">
        <v>485</v>
      </c>
      <c r="J923" s="36"/>
      <c r="K923" s="34">
        <v>2</v>
      </c>
      <c r="L923" s="41">
        <v>226.26666666666665</v>
      </c>
      <c r="M923" s="11"/>
      <c r="N923" s="36">
        <f>L923*M923</f>
        <v>0</v>
      </c>
      <c r="O923" s="42">
        <f>0.058*M923</f>
        <v>0</v>
      </c>
      <c r="P923" s="43">
        <f>0.00106*M923</f>
        <v>0</v>
      </c>
      <c r="Q923" s="50"/>
      <c r="R923" s="36" t="s">
        <v>3160</v>
      </c>
      <c r="S923" s="36" t="s">
        <v>435</v>
      </c>
      <c r="T923" s="35" t="str">
        <f>HYPERLINK("https://miland.ru/api/getInfo/image/d923aa30-c4be-11ee-a25a-00155d82e908")</f>
        <v>https://miland.ru/api/getInfo/image/d923aa30-c4be-11ee-a25a-00155d82e908</v>
      </c>
      <c r="U923" s="35"/>
      <c r="V923" s="35" t="s">
        <v>710</v>
      </c>
      <c r="W923" s="35" t="s">
        <v>546</v>
      </c>
      <c r="X923" s="35"/>
      <c r="Y923" s="35" t="s">
        <v>41</v>
      </c>
      <c r="Z923" s="35"/>
      <c r="AA923" s="35" t="str">
        <f>HYPERLINK("https://miland.ru/api/getInfo/item/d923aa30-c4be-11ee-a25a-00155d82e908")</f>
        <v>https://miland.ru/api/getInfo/item/d923aa30-c4be-11ee-a25a-00155d82e908</v>
      </c>
      <c r="AB923" s="35" t="s">
        <v>42</v>
      </c>
      <c r="AC923" s="35" t="s">
        <v>788</v>
      </c>
      <c r="AD923" s="35"/>
      <c r="AE923" s="52" t="s">
        <v>1251</v>
      </c>
    </row>
    <row r="924" spans="2:31" s="1" customFormat="1" ht="96.3" customHeight="1" outlineLevel="7">
      <c r="B924" s="34">
        <v>673</v>
      </c>
      <c r="C924" s="35" t="s">
        <v>3161</v>
      </c>
      <c r="D924" s="73" t="s">
        <v>3162</v>
      </c>
      <c r="E924" s="73"/>
      <c r="F924" s="73"/>
      <c r="G924" s="73"/>
      <c r="H924" s="36" t="s">
        <v>3163</v>
      </c>
      <c r="I924" s="56" t="s">
        <v>36</v>
      </c>
      <c r="J924" s="36"/>
      <c r="K924" s="34">
        <v>2</v>
      </c>
      <c r="L924" s="41">
        <v>226.26666666666665</v>
      </c>
      <c r="M924" s="11"/>
      <c r="N924" s="36">
        <f>L924*M924</f>
        <v>0</v>
      </c>
      <c r="O924" s="47">
        <f>0.06*M924</f>
        <v>0</v>
      </c>
      <c r="P924" s="43">
        <f>0.00107*M924</f>
        <v>0</v>
      </c>
      <c r="Q924" s="50"/>
      <c r="R924" s="36" t="s">
        <v>3164</v>
      </c>
      <c r="S924" s="36" t="s">
        <v>435</v>
      </c>
      <c r="T924" s="35" t="str">
        <f>HYPERLINK("https://miland.ru/api/getInfo/image/fbc6822b-c4be-11ee-a25a-00155d82e908")</f>
        <v>https://miland.ru/api/getInfo/image/fbc6822b-c4be-11ee-a25a-00155d82e908</v>
      </c>
      <c r="U924" s="35"/>
      <c r="V924" s="35" t="s">
        <v>710</v>
      </c>
      <c r="W924" s="35" t="s">
        <v>546</v>
      </c>
      <c r="X924" s="35"/>
      <c r="Y924" s="35" t="s">
        <v>41</v>
      </c>
      <c r="Z924" s="35"/>
      <c r="AA924" s="35" t="str">
        <f>HYPERLINK("https://miland.ru/api/getInfo/item/fbc6822b-c4be-11ee-a25a-00155d82e908")</f>
        <v>https://miland.ru/api/getInfo/item/fbc6822b-c4be-11ee-a25a-00155d82e908</v>
      </c>
      <c r="AB924" s="35" t="s">
        <v>42</v>
      </c>
      <c r="AC924" s="35" t="s">
        <v>788</v>
      </c>
      <c r="AD924" s="35"/>
      <c r="AE924" s="52" t="s">
        <v>1251</v>
      </c>
    </row>
    <row r="925" spans="2:31" s="1" customFormat="1" ht="96.3" customHeight="1" outlineLevel="7">
      <c r="B925" s="34">
        <v>674</v>
      </c>
      <c r="C925" s="35" t="s">
        <v>3165</v>
      </c>
      <c r="D925" s="73" t="s">
        <v>3166</v>
      </c>
      <c r="E925" s="73"/>
      <c r="F925" s="73"/>
      <c r="G925" s="73"/>
      <c r="H925" s="36" t="s">
        <v>3167</v>
      </c>
      <c r="I925" s="56" t="s">
        <v>36</v>
      </c>
      <c r="J925" s="36"/>
      <c r="K925" s="34">
        <v>2</v>
      </c>
      <c r="L925" s="41">
        <v>226.26666666666665</v>
      </c>
      <c r="M925" s="11"/>
      <c r="N925" s="36">
        <f>L925*M925</f>
        <v>0</v>
      </c>
      <c r="O925" s="42">
        <f>0.059*M925</f>
        <v>0</v>
      </c>
      <c r="P925" s="43">
        <f>0.00107*M925</f>
        <v>0</v>
      </c>
      <c r="Q925" s="50"/>
      <c r="R925" s="36" t="s">
        <v>3168</v>
      </c>
      <c r="S925" s="36" t="s">
        <v>435</v>
      </c>
      <c r="T925" s="35" t="str">
        <f>HYPERLINK("https://miland.ru/api/getInfo/image/e955ca54-c4be-11ee-a25a-00155d82e908")</f>
        <v>https://miland.ru/api/getInfo/image/e955ca54-c4be-11ee-a25a-00155d82e908</v>
      </c>
      <c r="U925" s="35"/>
      <c r="V925" s="35" t="s">
        <v>710</v>
      </c>
      <c r="W925" s="35" t="s">
        <v>546</v>
      </c>
      <c r="X925" s="35"/>
      <c r="Y925" s="35" t="s">
        <v>41</v>
      </c>
      <c r="Z925" s="35"/>
      <c r="AA925" s="35" t="str">
        <f>HYPERLINK("https://miland.ru/api/getInfo/item/e955ca54-c4be-11ee-a25a-00155d82e908")</f>
        <v>https://miland.ru/api/getInfo/item/e955ca54-c4be-11ee-a25a-00155d82e908</v>
      </c>
      <c r="AB925" s="35" t="s">
        <v>42</v>
      </c>
      <c r="AC925" s="35" t="s">
        <v>788</v>
      </c>
      <c r="AD925" s="35"/>
      <c r="AE925" s="52" t="s">
        <v>1251</v>
      </c>
    </row>
    <row r="926" spans="2:31" s="1" customFormat="1" ht="96.3" customHeight="1" outlineLevel="7">
      <c r="B926" s="34">
        <v>675</v>
      </c>
      <c r="C926" s="35" t="s">
        <v>3169</v>
      </c>
      <c r="D926" s="73" t="s">
        <v>3170</v>
      </c>
      <c r="E926" s="73"/>
      <c r="F926" s="73"/>
      <c r="G926" s="73"/>
      <c r="H926" s="36" t="s">
        <v>3171</v>
      </c>
      <c r="I926" s="40">
        <v>159</v>
      </c>
      <c r="J926" s="36"/>
      <c r="K926" s="34">
        <v>1</v>
      </c>
      <c r="L926" s="41">
        <v>972.54666666666662</v>
      </c>
      <c r="M926" s="11"/>
      <c r="N926" s="36">
        <f>L926*M926</f>
        <v>0</v>
      </c>
      <c r="O926" s="42">
        <f>0.366*M926</f>
        <v>0</v>
      </c>
      <c r="P926" s="43">
        <f>0.00834*M926</f>
        <v>0</v>
      </c>
      <c r="Q926" s="50"/>
      <c r="R926" s="36" t="s">
        <v>3172</v>
      </c>
      <c r="S926" s="36" t="s">
        <v>435</v>
      </c>
      <c r="T926" s="35" t="str">
        <f>HYPERLINK("https://miland.ru/api/getInfo/image/7f6e16b0-95ce-11ef-a267-00155d82e908")</f>
        <v>https://miland.ru/api/getInfo/image/7f6e16b0-95ce-11ef-a267-00155d82e908</v>
      </c>
      <c r="U926" s="35"/>
      <c r="V926" s="35" t="s">
        <v>710</v>
      </c>
      <c r="W926" s="35" t="s">
        <v>546</v>
      </c>
      <c r="X926" s="35"/>
      <c r="Y926" s="35" t="s">
        <v>41</v>
      </c>
      <c r="Z926" s="35"/>
      <c r="AA926" s="35" t="str">
        <f>HYPERLINK("https://miland.ru/api/getInfo/item/7f6e16b0-95ce-11ef-a267-00155d82e908")</f>
        <v>https://miland.ru/api/getInfo/item/7f6e16b0-95ce-11ef-a267-00155d82e908</v>
      </c>
      <c r="AB926" s="35" t="s">
        <v>42</v>
      </c>
      <c r="AC926" s="35"/>
      <c r="AD926" s="35"/>
      <c r="AE926" s="52" t="s">
        <v>1251</v>
      </c>
    </row>
    <row r="927" spans="2:31" ht="12" customHeight="1" outlineLevel="7">
      <c r="B927" s="70" t="s">
        <v>3173</v>
      </c>
      <c r="C927" s="70"/>
      <c r="D927" s="70"/>
      <c r="E927" s="70"/>
      <c r="F927" s="70"/>
      <c r="G927" s="70"/>
    </row>
    <row r="928" spans="2:31" s="1" customFormat="1" ht="96.3" customHeight="1" outlineLevel="7">
      <c r="B928" s="20">
        <v>676</v>
      </c>
      <c r="C928" s="21" t="s">
        <v>3174</v>
      </c>
      <c r="D928" s="72" t="s">
        <v>3175</v>
      </c>
      <c r="E928" s="72"/>
      <c r="F928" s="72"/>
      <c r="G928" s="72"/>
      <c r="H928" s="22" t="s">
        <v>3176</v>
      </c>
      <c r="I928" s="27">
        <v>111</v>
      </c>
      <c r="J928" s="22"/>
      <c r="K928" s="20">
        <v>2</v>
      </c>
      <c r="L928" s="24">
        <v>338.92</v>
      </c>
      <c r="M928" s="11"/>
      <c r="N928" s="22">
        <f>L928*M928</f>
        <v>0</v>
      </c>
      <c r="O928" s="25">
        <f>0.055*M928</f>
        <v>0</v>
      </c>
      <c r="P928" s="29">
        <f>0.0011*M928</f>
        <v>0</v>
      </c>
      <c r="Q928" s="30"/>
      <c r="R928" s="22" t="s">
        <v>3177</v>
      </c>
      <c r="S928" s="22" t="s">
        <v>435</v>
      </c>
      <c r="T928" s="21" t="str">
        <f>HYPERLINK("https://miland.ru/api/getInfo/image/6107a13b-be7b-11ee-a25a-00155d82e908")</f>
        <v>https://miland.ru/api/getInfo/image/6107a13b-be7b-11ee-a25a-00155d82e908</v>
      </c>
      <c r="U928" s="21"/>
      <c r="V928" s="21" t="s">
        <v>710</v>
      </c>
      <c r="W928" s="21" t="s">
        <v>546</v>
      </c>
      <c r="X928" s="21"/>
      <c r="Y928" s="21" t="s">
        <v>41</v>
      </c>
      <c r="Z928" s="21"/>
      <c r="AA928" s="21" t="str">
        <f>HYPERLINK("https://miland.ru/api/getInfo/item/6107a13b-be7b-11ee-a25a-00155d82e908")</f>
        <v>https://miland.ru/api/getInfo/item/6107a13b-be7b-11ee-a25a-00155d82e908</v>
      </c>
      <c r="AB928" s="21" t="s">
        <v>42</v>
      </c>
      <c r="AC928" s="21" t="s">
        <v>788</v>
      </c>
      <c r="AD928" s="21"/>
    </row>
    <row r="929" spans="2:30" s="1" customFormat="1" ht="96.3" customHeight="1" outlineLevel="7">
      <c r="B929" s="20">
        <v>677</v>
      </c>
      <c r="C929" s="21" t="s">
        <v>3178</v>
      </c>
      <c r="D929" s="72" t="s">
        <v>3179</v>
      </c>
      <c r="E929" s="72"/>
      <c r="F929" s="72"/>
      <c r="G929" s="72"/>
      <c r="H929" s="22" t="s">
        <v>3180</v>
      </c>
      <c r="I929" s="27">
        <v>10</v>
      </c>
      <c r="J929" s="22"/>
      <c r="K929" s="20">
        <v>2</v>
      </c>
      <c r="L929" s="24">
        <v>392.56</v>
      </c>
      <c r="M929" s="11"/>
      <c r="N929" s="22">
        <f>L929*M929</f>
        <v>0</v>
      </c>
      <c r="O929" s="25">
        <f>0.065*M929</f>
        <v>0</v>
      </c>
      <c r="P929" s="26">
        <f>0.00116*M929</f>
        <v>0</v>
      </c>
      <c r="Q929" s="30"/>
      <c r="R929" s="22" t="s">
        <v>3181</v>
      </c>
      <c r="S929" s="22" t="s">
        <v>435</v>
      </c>
      <c r="T929" s="21" t="str">
        <f>HYPERLINK("https://miland.ru/api/getInfo/image/8316b5db-be7b-11ee-a25a-00155d82e908")</f>
        <v>https://miland.ru/api/getInfo/image/8316b5db-be7b-11ee-a25a-00155d82e908</v>
      </c>
      <c r="U929" s="21"/>
      <c r="V929" s="21" t="s">
        <v>710</v>
      </c>
      <c r="W929" s="21" t="s">
        <v>546</v>
      </c>
      <c r="X929" s="21"/>
      <c r="Y929" s="21" t="s">
        <v>41</v>
      </c>
      <c r="Z929" s="21"/>
      <c r="AA929" s="21" t="str">
        <f>HYPERLINK("https://miland.ru/api/getInfo/item/8316b5db-be7b-11ee-a25a-00155d82e908")</f>
        <v>https://miland.ru/api/getInfo/item/8316b5db-be7b-11ee-a25a-00155d82e908</v>
      </c>
      <c r="AB929" s="21" t="s">
        <v>42</v>
      </c>
      <c r="AC929" s="21" t="s">
        <v>788</v>
      </c>
      <c r="AD929" s="21"/>
    </row>
    <row r="930" spans="2:30" s="1" customFormat="1" ht="96.3" customHeight="1" outlineLevel="7">
      <c r="B930" s="20">
        <v>678</v>
      </c>
      <c r="C930" s="21" t="s">
        <v>3182</v>
      </c>
      <c r="D930" s="72" t="s">
        <v>3183</v>
      </c>
      <c r="E930" s="72"/>
      <c r="F930" s="72"/>
      <c r="G930" s="72"/>
      <c r="H930" s="22" t="s">
        <v>3184</v>
      </c>
      <c r="I930" s="27">
        <v>222</v>
      </c>
      <c r="J930" s="22"/>
      <c r="K930" s="20">
        <v>2</v>
      </c>
      <c r="L930" s="24">
        <v>392.56</v>
      </c>
      <c r="M930" s="11"/>
      <c r="N930" s="22">
        <f>L930*M930</f>
        <v>0</v>
      </c>
      <c r="O930" s="25">
        <f>0.065*M930</f>
        <v>0</v>
      </c>
      <c r="P930" s="26">
        <f>0.00112*M930</f>
        <v>0</v>
      </c>
      <c r="Q930" s="30"/>
      <c r="R930" s="22" t="s">
        <v>3185</v>
      </c>
      <c r="S930" s="22" t="s">
        <v>435</v>
      </c>
      <c r="T930" s="21" t="str">
        <f>HYPERLINK("https://miland.ru/api/getInfo/image/3485757a-be7b-11ee-a25a-00155d82e908")</f>
        <v>https://miland.ru/api/getInfo/image/3485757a-be7b-11ee-a25a-00155d82e908</v>
      </c>
      <c r="U930" s="21"/>
      <c r="V930" s="21" t="s">
        <v>710</v>
      </c>
      <c r="W930" s="21" t="s">
        <v>546</v>
      </c>
      <c r="X930" s="21"/>
      <c r="Y930" s="21" t="s">
        <v>41</v>
      </c>
      <c r="Z930" s="21"/>
      <c r="AA930" s="21" t="str">
        <f>HYPERLINK("https://miland.ru/api/getInfo/item/3485757a-be7b-11ee-a25a-00155d82e908")</f>
        <v>https://miland.ru/api/getInfo/item/3485757a-be7b-11ee-a25a-00155d82e908</v>
      </c>
      <c r="AB930" s="21" t="s">
        <v>42</v>
      </c>
      <c r="AC930" s="21" t="s">
        <v>788</v>
      </c>
      <c r="AD930" s="21"/>
    </row>
    <row r="931" spans="2:30" s="1" customFormat="1" ht="96.3" customHeight="1" outlineLevel="7">
      <c r="B931" s="20">
        <v>679</v>
      </c>
      <c r="C931" s="21" t="s">
        <v>3186</v>
      </c>
      <c r="D931" s="72" t="s">
        <v>3187</v>
      </c>
      <c r="E931" s="72"/>
      <c r="F931" s="72"/>
      <c r="G931" s="72"/>
      <c r="H931" s="22" t="s">
        <v>3188</v>
      </c>
      <c r="I931" s="27">
        <v>227</v>
      </c>
      <c r="J931" s="22"/>
      <c r="K931" s="20">
        <v>2</v>
      </c>
      <c r="L931" s="24">
        <v>392.56</v>
      </c>
      <c r="M931" s="11"/>
      <c r="N931" s="22">
        <f>L931*M931</f>
        <v>0</v>
      </c>
      <c r="O931" s="25">
        <f>0.062*M931</f>
        <v>0</v>
      </c>
      <c r="P931" s="26">
        <f>0.00131*M931</f>
        <v>0</v>
      </c>
      <c r="Q931" s="30"/>
      <c r="R931" s="22" t="s">
        <v>3189</v>
      </c>
      <c r="S931" s="22" t="s">
        <v>435</v>
      </c>
      <c r="T931" s="21" t="str">
        <f>HYPERLINK("https://miland.ru/api/getInfo/image/a4755b50-be7b-11ee-a25a-00155d82e908")</f>
        <v>https://miland.ru/api/getInfo/image/a4755b50-be7b-11ee-a25a-00155d82e908</v>
      </c>
      <c r="U931" s="21"/>
      <c r="V931" s="21" t="s">
        <v>710</v>
      </c>
      <c r="W931" s="21" t="s">
        <v>546</v>
      </c>
      <c r="X931" s="21"/>
      <c r="Y931" s="21" t="s">
        <v>41</v>
      </c>
      <c r="Z931" s="21"/>
      <c r="AA931" s="21" t="str">
        <f>HYPERLINK("https://miland.ru/api/getInfo/item/a4755b50-be7b-11ee-a25a-00155d82e908")</f>
        <v>https://miland.ru/api/getInfo/item/a4755b50-be7b-11ee-a25a-00155d82e908</v>
      </c>
      <c r="AB931" s="21" t="s">
        <v>42</v>
      </c>
      <c r="AC931" s="21" t="s">
        <v>788</v>
      </c>
      <c r="AD931" s="21"/>
    </row>
    <row r="932" spans="2:30" ht="12" customHeight="1" outlineLevel="7">
      <c r="B932" s="70" t="s">
        <v>3190</v>
      </c>
      <c r="C932" s="70"/>
      <c r="D932" s="70"/>
      <c r="E932" s="70"/>
      <c r="F932" s="70"/>
      <c r="G932" s="70"/>
    </row>
    <row r="933" spans="2:30" s="1" customFormat="1" ht="96.3" customHeight="1" outlineLevel="7">
      <c r="B933" s="20">
        <v>680</v>
      </c>
      <c r="C933" s="21" t="s">
        <v>3191</v>
      </c>
      <c r="D933" s="72" t="s">
        <v>3192</v>
      </c>
      <c r="E933" s="72"/>
      <c r="F933" s="72"/>
      <c r="G933" s="72"/>
      <c r="H933" s="22" t="s">
        <v>3193</v>
      </c>
      <c r="I933" s="27">
        <v>96</v>
      </c>
      <c r="J933" s="22"/>
      <c r="K933" s="20">
        <v>2</v>
      </c>
      <c r="L933" s="24">
        <v>324.79000000000002</v>
      </c>
      <c r="M933" s="11"/>
      <c r="N933" s="22">
        <f>L933*M933</f>
        <v>0</v>
      </c>
      <c r="O933" s="25">
        <f>0.055*M933</f>
        <v>0</v>
      </c>
      <c r="P933" s="26">
        <f>0.00109*M933</f>
        <v>0</v>
      </c>
      <c r="Q933" s="30"/>
      <c r="R933" s="22" t="s">
        <v>3194</v>
      </c>
      <c r="S933" s="22" t="s">
        <v>435</v>
      </c>
      <c r="T933" s="21" t="str">
        <f>HYPERLINK("https://miland.ru/api/getInfo/image/680668a8-be7e-11ee-a25a-00155d82e908")</f>
        <v>https://miland.ru/api/getInfo/image/680668a8-be7e-11ee-a25a-00155d82e908</v>
      </c>
      <c r="U933" s="21"/>
      <c r="V933" s="21" t="s">
        <v>710</v>
      </c>
      <c r="W933" s="21" t="s">
        <v>546</v>
      </c>
      <c r="X933" s="21"/>
      <c r="Y933" s="21" t="s">
        <v>41</v>
      </c>
      <c r="Z933" s="21"/>
      <c r="AA933" s="21" t="str">
        <f>HYPERLINK("https://miland.ru/api/getInfo/item/680668a8-be7e-11ee-a25a-00155d82e908")</f>
        <v>https://miland.ru/api/getInfo/item/680668a8-be7e-11ee-a25a-00155d82e908</v>
      </c>
      <c r="AB933" s="21" t="s">
        <v>42</v>
      </c>
      <c r="AC933" s="21" t="s">
        <v>788</v>
      </c>
      <c r="AD933" s="21"/>
    </row>
    <row r="934" spans="2:30" s="1" customFormat="1" ht="96.3" customHeight="1" outlineLevel="7">
      <c r="B934" s="20">
        <v>681</v>
      </c>
      <c r="C934" s="21" t="s">
        <v>3195</v>
      </c>
      <c r="D934" s="72" t="s">
        <v>3196</v>
      </c>
      <c r="E934" s="72"/>
      <c r="F934" s="72"/>
      <c r="G934" s="72"/>
      <c r="H934" s="22" t="s">
        <v>3197</v>
      </c>
      <c r="I934" s="27">
        <v>140</v>
      </c>
      <c r="J934" s="22"/>
      <c r="K934" s="20">
        <v>2</v>
      </c>
      <c r="L934" s="24">
        <v>324.79000000000002</v>
      </c>
      <c r="M934" s="11"/>
      <c r="N934" s="22">
        <f>L934*M934</f>
        <v>0</v>
      </c>
      <c r="O934" s="25">
        <f>0.055*M934</f>
        <v>0</v>
      </c>
      <c r="P934" s="26">
        <f>0.00108*M934</f>
        <v>0</v>
      </c>
      <c r="Q934" s="30"/>
      <c r="R934" s="22" t="s">
        <v>3198</v>
      </c>
      <c r="S934" s="22" t="s">
        <v>435</v>
      </c>
      <c r="T934" s="21" t="str">
        <f>HYPERLINK("https://miland.ru/api/getInfo/image/aaf0ce17-be7e-11ee-a25a-00155d82e908")</f>
        <v>https://miland.ru/api/getInfo/image/aaf0ce17-be7e-11ee-a25a-00155d82e908</v>
      </c>
      <c r="U934" s="21"/>
      <c r="V934" s="21" t="s">
        <v>710</v>
      </c>
      <c r="W934" s="21" t="s">
        <v>546</v>
      </c>
      <c r="X934" s="21"/>
      <c r="Y934" s="21" t="s">
        <v>41</v>
      </c>
      <c r="Z934" s="21"/>
      <c r="AA934" s="21" t="str">
        <f>HYPERLINK("https://miland.ru/api/getInfo/item/aaf0ce17-be7e-11ee-a25a-00155d82e908")</f>
        <v>https://miland.ru/api/getInfo/item/aaf0ce17-be7e-11ee-a25a-00155d82e908</v>
      </c>
      <c r="AB934" s="21" t="s">
        <v>42</v>
      </c>
      <c r="AC934" s="21" t="s">
        <v>788</v>
      </c>
      <c r="AD934" s="21"/>
    </row>
    <row r="935" spans="2:30" s="1" customFormat="1" ht="96.3" customHeight="1" outlineLevel="7">
      <c r="B935" s="20">
        <v>682</v>
      </c>
      <c r="C935" s="21" t="s">
        <v>3199</v>
      </c>
      <c r="D935" s="72" t="s">
        <v>3200</v>
      </c>
      <c r="E935" s="72"/>
      <c r="F935" s="72"/>
      <c r="G935" s="72"/>
      <c r="H935" s="22" t="s">
        <v>3201</v>
      </c>
      <c r="I935" s="27">
        <v>62</v>
      </c>
      <c r="J935" s="22"/>
      <c r="K935" s="20">
        <v>2</v>
      </c>
      <c r="L935" s="24">
        <v>315.33999999999997</v>
      </c>
      <c r="M935" s="11"/>
      <c r="N935" s="22">
        <f>L935*M935</f>
        <v>0</v>
      </c>
      <c r="O935" s="25">
        <f>0.055*M935</f>
        <v>0</v>
      </c>
      <c r="P935" s="26">
        <f>0.00105*M935</f>
        <v>0</v>
      </c>
      <c r="Q935" s="30"/>
      <c r="R935" s="22" t="s">
        <v>3202</v>
      </c>
      <c r="S935" s="22" t="s">
        <v>435</v>
      </c>
      <c r="T935" s="21" t="str">
        <f>HYPERLINK("https://miland.ru/api/getInfo/image/8c07abeb-be7e-11ee-a25a-00155d82e908")</f>
        <v>https://miland.ru/api/getInfo/image/8c07abeb-be7e-11ee-a25a-00155d82e908</v>
      </c>
      <c r="U935" s="21"/>
      <c r="V935" s="21" t="s">
        <v>710</v>
      </c>
      <c r="W935" s="21" t="s">
        <v>546</v>
      </c>
      <c r="X935" s="21"/>
      <c r="Y935" s="21" t="s">
        <v>41</v>
      </c>
      <c r="Z935" s="21"/>
      <c r="AA935" s="21" t="str">
        <f>HYPERLINK("https://miland.ru/api/getInfo/item/8c07abeb-be7e-11ee-a25a-00155d82e908")</f>
        <v>https://miland.ru/api/getInfo/item/8c07abeb-be7e-11ee-a25a-00155d82e908</v>
      </c>
      <c r="AB935" s="21" t="s">
        <v>42</v>
      </c>
      <c r="AC935" s="21" t="s">
        <v>788</v>
      </c>
      <c r="AD935" s="21"/>
    </row>
    <row r="936" spans="2:30" s="1" customFormat="1" ht="96.3" customHeight="1" outlineLevel="7">
      <c r="B936" s="20">
        <v>683</v>
      </c>
      <c r="C936" s="21" t="s">
        <v>3203</v>
      </c>
      <c r="D936" s="72" t="s">
        <v>3204</v>
      </c>
      <c r="E936" s="72"/>
      <c r="F936" s="72"/>
      <c r="G936" s="72"/>
      <c r="H936" s="22" t="s">
        <v>3205</v>
      </c>
      <c r="I936" s="27">
        <v>287</v>
      </c>
      <c r="J936" s="22"/>
      <c r="K936" s="20">
        <v>2</v>
      </c>
      <c r="L936" s="24">
        <v>324.79000000000002</v>
      </c>
      <c r="M936" s="11"/>
      <c r="N936" s="22">
        <f>L936*M936</f>
        <v>0</v>
      </c>
      <c r="O936" s="25">
        <f>0.055*M936</f>
        <v>0</v>
      </c>
      <c r="P936" s="26">
        <f>0.00107*M936</f>
        <v>0</v>
      </c>
      <c r="Q936" s="30"/>
      <c r="R936" s="22" t="s">
        <v>3206</v>
      </c>
      <c r="S936" s="22" t="s">
        <v>435</v>
      </c>
      <c r="T936" s="21" t="str">
        <f>HYPERLINK("https://miland.ru/api/getInfo/image/4c2678bb-be7e-11ee-a25a-00155d82e908")</f>
        <v>https://miland.ru/api/getInfo/image/4c2678bb-be7e-11ee-a25a-00155d82e908</v>
      </c>
      <c r="U936" s="21"/>
      <c r="V936" s="21" t="s">
        <v>710</v>
      </c>
      <c r="W936" s="21" t="s">
        <v>546</v>
      </c>
      <c r="X936" s="21"/>
      <c r="Y936" s="21" t="s">
        <v>41</v>
      </c>
      <c r="Z936" s="21"/>
      <c r="AA936" s="21" t="str">
        <f>HYPERLINK("https://miland.ru/api/getInfo/item/4c2678bb-be7e-11ee-a25a-00155d82e908")</f>
        <v>https://miland.ru/api/getInfo/item/4c2678bb-be7e-11ee-a25a-00155d82e908</v>
      </c>
      <c r="AB936" s="21" t="s">
        <v>42</v>
      </c>
      <c r="AC936" s="21" t="s">
        <v>788</v>
      </c>
      <c r="AD936" s="21"/>
    </row>
    <row r="937" spans="2:30" s="1" customFormat="1" ht="96.3" customHeight="1" outlineLevel="7">
      <c r="B937" s="20">
        <v>684</v>
      </c>
      <c r="C937" s="21" t="s">
        <v>3207</v>
      </c>
      <c r="D937" s="72" t="s">
        <v>3208</v>
      </c>
      <c r="E937" s="72"/>
      <c r="F937" s="72"/>
      <c r="G937" s="72"/>
      <c r="H937" s="22" t="s">
        <v>3209</v>
      </c>
      <c r="I937" s="27">
        <v>56</v>
      </c>
      <c r="J937" s="22"/>
      <c r="K937" s="20">
        <v>1</v>
      </c>
      <c r="L937" s="32">
        <v>1409.48</v>
      </c>
      <c r="M937" s="11"/>
      <c r="N937" s="22">
        <f>L937*M937</f>
        <v>0</v>
      </c>
      <c r="O937" s="25">
        <f>0.366*M937</f>
        <v>0</v>
      </c>
      <c r="P937" s="29">
        <f>0.0085*M937</f>
        <v>0</v>
      </c>
      <c r="Q937" s="30"/>
      <c r="R937" s="22" t="s">
        <v>3210</v>
      </c>
      <c r="S937" s="22" t="s">
        <v>435</v>
      </c>
      <c r="T937" s="21" t="str">
        <f>HYPERLINK("https://miland.ru/api/getInfo/image/55e95ae5-95ce-11ef-a267-00155d82e908")</f>
        <v>https://miland.ru/api/getInfo/image/55e95ae5-95ce-11ef-a267-00155d82e908</v>
      </c>
      <c r="U937" s="21"/>
      <c r="V937" s="21" t="s">
        <v>710</v>
      </c>
      <c r="W937" s="21" t="s">
        <v>546</v>
      </c>
      <c r="X937" s="21"/>
      <c r="Y937" s="21" t="s">
        <v>41</v>
      </c>
      <c r="Z937" s="21"/>
      <c r="AA937" s="21" t="str">
        <f>HYPERLINK("https://miland.ru/api/getInfo/item/55e95ae5-95ce-11ef-a267-00155d82e908")</f>
        <v>https://miland.ru/api/getInfo/item/55e95ae5-95ce-11ef-a267-00155d82e908</v>
      </c>
      <c r="AB937" s="21" t="s">
        <v>42</v>
      </c>
      <c r="AC937" s="21"/>
      <c r="AD937" s="21"/>
    </row>
    <row r="938" spans="2:30" ht="12" customHeight="1" outlineLevel="7">
      <c r="B938" s="70" t="s">
        <v>3211</v>
      </c>
      <c r="C938" s="70"/>
      <c r="D938" s="70"/>
      <c r="E938" s="70"/>
      <c r="F938" s="70"/>
      <c r="G938" s="70"/>
    </row>
    <row r="939" spans="2:30" s="1" customFormat="1" ht="96.3" customHeight="1" outlineLevel="7">
      <c r="B939" s="20">
        <v>685</v>
      </c>
      <c r="C939" s="21" t="s">
        <v>3212</v>
      </c>
      <c r="D939" s="72" t="s">
        <v>3213</v>
      </c>
      <c r="E939" s="72"/>
      <c r="F939" s="72"/>
      <c r="G939" s="72"/>
      <c r="H939" s="22" t="s">
        <v>3214</v>
      </c>
      <c r="I939" s="27">
        <v>461</v>
      </c>
      <c r="J939" s="22"/>
      <c r="K939" s="20">
        <v>2</v>
      </c>
      <c r="L939" s="24">
        <v>376.21</v>
      </c>
      <c r="M939" s="11"/>
      <c r="N939" s="22">
        <f>L939*M939</f>
        <v>0</v>
      </c>
      <c r="O939" s="25">
        <f>0.064*M939</f>
        <v>0</v>
      </c>
      <c r="P939" s="26">
        <f>0.00115*M939</f>
        <v>0</v>
      </c>
      <c r="Q939" s="30"/>
      <c r="R939" s="22" t="s">
        <v>3215</v>
      </c>
      <c r="S939" s="22" t="s">
        <v>435</v>
      </c>
      <c r="T939" s="21" t="str">
        <f>HYPERLINK("https://miland.ru/api/getInfo/image/e16075e6-be7e-11ee-a25a-00155d82e908")</f>
        <v>https://miland.ru/api/getInfo/image/e16075e6-be7e-11ee-a25a-00155d82e908</v>
      </c>
      <c r="U939" s="21"/>
      <c r="V939" s="21" t="s">
        <v>710</v>
      </c>
      <c r="W939" s="21" t="s">
        <v>546</v>
      </c>
      <c r="X939" s="21"/>
      <c r="Y939" s="21" t="s">
        <v>41</v>
      </c>
      <c r="Z939" s="21"/>
      <c r="AA939" s="21" t="str">
        <f>HYPERLINK("https://miland.ru/api/getInfo/item/e16075e6-be7e-11ee-a25a-00155d82e908")</f>
        <v>https://miland.ru/api/getInfo/item/e16075e6-be7e-11ee-a25a-00155d82e908</v>
      </c>
      <c r="AB939" s="21" t="s">
        <v>42</v>
      </c>
      <c r="AC939" s="21" t="s">
        <v>788</v>
      </c>
      <c r="AD939" s="21"/>
    </row>
    <row r="940" spans="2:30" s="1" customFormat="1" ht="96.3" customHeight="1" outlineLevel="7">
      <c r="B940" s="20">
        <v>686</v>
      </c>
      <c r="C940" s="21" t="s">
        <v>3216</v>
      </c>
      <c r="D940" s="72" t="s">
        <v>3217</v>
      </c>
      <c r="E940" s="72"/>
      <c r="F940" s="72"/>
      <c r="G940" s="72"/>
      <c r="H940" s="22" t="s">
        <v>3218</v>
      </c>
      <c r="I940" s="27">
        <v>496</v>
      </c>
      <c r="J940" s="22"/>
      <c r="K940" s="20">
        <v>2</v>
      </c>
      <c r="L940" s="24">
        <v>376.21</v>
      </c>
      <c r="M940" s="11"/>
      <c r="N940" s="22">
        <f>L940*M940</f>
        <v>0</v>
      </c>
      <c r="O940" s="25">
        <f>0.066*M940</f>
        <v>0</v>
      </c>
      <c r="P940" s="26">
        <f>0.00111*M940</f>
        <v>0</v>
      </c>
      <c r="Q940" s="30"/>
      <c r="R940" s="22" t="s">
        <v>3219</v>
      </c>
      <c r="S940" s="22" t="s">
        <v>435</v>
      </c>
      <c r="T940" s="21" t="str">
        <f>HYPERLINK("https://miland.ru/api/getInfo/image/08559414-be7f-11ee-a25a-00155d82e908")</f>
        <v>https://miland.ru/api/getInfo/image/08559414-be7f-11ee-a25a-00155d82e908</v>
      </c>
      <c r="U940" s="21"/>
      <c r="V940" s="21" t="s">
        <v>710</v>
      </c>
      <c r="W940" s="21" t="s">
        <v>546</v>
      </c>
      <c r="X940" s="21"/>
      <c r="Y940" s="21" t="s">
        <v>41</v>
      </c>
      <c r="Z940" s="21"/>
      <c r="AA940" s="21" t="str">
        <f>HYPERLINK("https://miland.ru/api/getInfo/item/08559414-be7f-11ee-a25a-00155d82e908")</f>
        <v>https://miland.ru/api/getInfo/item/08559414-be7f-11ee-a25a-00155d82e908</v>
      </c>
      <c r="AB940" s="21" t="s">
        <v>42</v>
      </c>
      <c r="AC940" s="21" t="s">
        <v>788</v>
      </c>
      <c r="AD940" s="21"/>
    </row>
    <row r="941" spans="2:30" s="1" customFormat="1" ht="96.3" customHeight="1" outlineLevel="7">
      <c r="B941" s="20">
        <v>687</v>
      </c>
      <c r="C941" s="21" t="s">
        <v>3220</v>
      </c>
      <c r="D941" s="72" t="s">
        <v>3221</v>
      </c>
      <c r="E941" s="72"/>
      <c r="F941" s="72"/>
      <c r="G941" s="72"/>
      <c r="H941" s="22" t="s">
        <v>3222</v>
      </c>
      <c r="I941" s="27">
        <v>252</v>
      </c>
      <c r="J941" s="22"/>
      <c r="K941" s="20">
        <v>2</v>
      </c>
      <c r="L941" s="24">
        <v>376.21</v>
      </c>
      <c r="M941" s="11"/>
      <c r="N941" s="22">
        <f>L941*M941</f>
        <v>0</v>
      </c>
      <c r="O941" s="25">
        <f>0.055*M941</f>
        <v>0</v>
      </c>
      <c r="P941" s="26">
        <f>0.00108*M941</f>
        <v>0</v>
      </c>
      <c r="Q941" s="30"/>
      <c r="R941" s="22" t="s">
        <v>3223</v>
      </c>
      <c r="S941" s="22" t="s">
        <v>435</v>
      </c>
      <c r="T941" s="21" t="str">
        <f>HYPERLINK("https://miland.ru/api/getInfo/image/5d4a417a-be7f-11ee-a25a-00155d82e908")</f>
        <v>https://miland.ru/api/getInfo/image/5d4a417a-be7f-11ee-a25a-00155d82e908</v>
      </c>
      <c r="U941" s="21"/>
      <c r="V941" s="21" t="s">
        <v>710</v>
      </c>
      <c r="W941" s="21" t="s">
        <v>546</v>
      </c>
      <c r="X941" s="21"/>
      <c r="Y941" s="21" t="s">
        <v>41</v>
      </c>
      <c r="Z941" s="21"/>
      <c r="AA941" s="21" t="str">
        <f>HYPERLINK("https://miland.ru/api/getInfo/item/5d4a417a-be7f-11ee-a25a-00155d82e908")</f>
        <v>https://miland.ru/api/getInfo/item/5d4a417a-be7f-11ee-a25a-00155d82e908</v>
      </c>
      <c r="AB941" s="21" t="s">
        <v>42</v>
      </c>
      <c r="AC941" s="21" t="s">
        <v>788</v>
      </c>
      <c r="AD941" s="21"/>
    </row>
    <row r="942" spans="2:30" s="1" customFormat="1" ht="96.3" customHeight="1" outlineLevel="7">
      <c r="B942" s="20">
        <v>688</v>
      </c>
      <c r="C942" s="21" t="s">
        <v>3224</v>
      </c>
      <c r="D942" s="72" t="s">
        <v>3225</v>
      </c>
      <c r="E942" s="72"/>
      <c r="F942" s="72"/>
      <c r="G942" s="72"/>
      <c r="H942" s="22" t="s">
        <v>3226</v>
      </c>
      <c r="I942" s="27">
        <v>353</v>
      </c>
      <c r="J942" s="22"/>
      <c r="K942" s="20">
        <v>2</v>
      </c>
      <c r="L942" s="24">
        <v>376.21</v>
      </c>
      <c r="M942" s="11"/>
      <c r="N942" s="22">
        <f>L942*M942</f>
        <v>0</v>
      </c>
      <c r="O942" s="25">
        <f>0.055*M942</f>
        <v>0</v>
      </c>
      <c r="P942" s="29">
        <f>0.0011*M942</f>
        <v>0</v>
      </c>
      <c r="Q942" s="30"/>
      <c r="R942" s="22" t="s">
        <v>3227</v>
      </c>
      <c r="S942" s="22" t="s">
        <v>435</v>
      </c>
      <c r="T942" s="21" t="str">
        <f>HYPERLINK("https://miland.ru/api/getInfo/image/2d028e96-be7f-11ee-a25a-00155d82e908")</f>
        <v>https://miland.ru/api/getInfo/image/2d028e96-be7f-11ee-a25a-00155d82e908</v>
      </c>
      <c r="U942" s="21"/>
      <c r="V942" s="21" t="s">
        <v>710</v>
      </c>
      <c r="W942" s="21" t="s">
        <v>546</v>
      </c>
      <c r="X942" s="21"/>
      <c r="Y942" s="21" t="s">
        <v>41</v>
      </c>
      <c r="Z942" s="21"/>
      <c r="AA942" s="21" t="str">
        <f>HYPERLINK("https://miland.ru/api/getInfo/item/2d028e96-be7f-11ee-a25a-00155d82e908")</f>
        <v>https://miland.ru/api/getInfo/item/2d028e96-be7f-11ee-a25a-00155d82e908</v>
      </c>
      <c r="AB942" s="21" t="s">
        <v>42</v>
      </c>
      <c r="AC942" s="21" t="s">
        <v>788</v>
      </c>
      <c r="AD942" s="21"/>
    </row>
    <row r="943" spans="2:30" s="1" customFormat="1" ht="96.3" customHeight="1" outlineLevel="7">
      <c r="B943" s="20">
        <v>689</v>
      </c>
      <c r="C943" s="21" t="s">
        <v>3228</v>
      </c>
      <c r="D943" s="72" t="s">
        <v>3229</v>
      </c>
      <c r="E943" s="72"/>
      <c r="F943" s="72"/>
      <c r="G943" s="72"/>
      <c r="H943" s="22" t="s">
        <v>3230</v>
      </c>
      <c r="I943" s="27">
        <v>77</v>
      </c>
      <c r="J943" s="22"/>
      <c r="K943" s="20">
        <v>1</v>
      </c>
      <c r="L943" s="32">
        <v>1624.58</v>
      </c>
      <c r="M943" s="11"/>
      <c r="N943" s="22">
        <f>L943*M943</f>
        <v>0</v>
      </c>
      <c r="O943" s="25">
        <f>0.359*M943</f>
        <v>0</v>
      </c>
      <c r="P943" s="29">
        <f>0.0086*M943</f>
        <v>0</v>
      </c>
      <c r="Q943" s="30"/>
      <c r="R943" s="22" t="s">
        <v>3231</v>
      </c>
      <c r="S943" s="22" t="s">
        <v>435</v>
      </c>
      <c r="T943" s="21" t="str">
        <f>HYPERLINK("https://miland.ru/api/getInfo/image/441348ac-95ce-11ef-a267-00155d82e908")</f>
        <v>https://miland.ru/api/getInfo/image/441348ac-95ce-11ef-a267-00155d82e908</v>
      </c>
      <c r="U943" s="21"/>
      <c r="V943" s="21" t="s">
        <v>710</v>
      </c>
      <c r="W943" s="21" t="s">
        <v>546</v>
      </c>
      <c r="X943" s="21"/>
      <c r="Y943" s="21" t="s">
        <v>41</v>
      </c>
      <c r="Z943" s="21"/>
      <c r="AA943" s="21" t="str">
        <f>HYPERLINK("https://miland.ru/api/getInfo/item/441348ac-95ce-11ef-a267-00155d82e908")</f>
        <v>https://miland.ru/api/getInfo/item/441348ac-95ce-11ef-a267-00155d82e908</v>
      </c>
      <c r="AB943" s="21" t="s">
        <v>42</v>
      </c>
      <c r="AC943" s="21"/>
      <c r="AD943" s="21"/>
    </row>
    <row r="944" spans="2:30" ht="12" customHeight="1" outlineLevel="7">
      <c r="B944" s="70" t="s">
        <v>3232</v>
      </c>
      <c r="C944" s="70"/>
      <c r="D944" s="70"/>
      <c r="E944" s="70"/>
      <c r="F944" s="70"/>
      <c r="G944" s="70"/>
    </row>
    <row r="945" spans="2:30" s="1" customFormat="1" ht="96.3" customHeight="1" outlineLevel="7">
      <c r="B945" s="20">
        <v>690</v>
      </c>
      <c r="C945" s="21" t="s">
        <v>3233</v>
      </c>
      <c r="D945" s="72" t="s">
        <v>3234</v>
      </c>
      <c r="E945" s="72"/>
      <c r="F945" s="72"/>
      <c r="G945" s="72"/>
      <c r="H945" s="22" t="s">
        <v>3235</v>
      </c>
      <c r="I945" s="27">
        <v>9</v>
      </c>
      <c r="J945" s="22"/>
      <c r="K945" s="20">
        <v>2</v>
      </c>
      <c r="L945" s="24">
        <v>290.72000000000003</v>
      </c>
      <c r="M945" s="11"/>
      <c r="N945" s="22">
        <f>L945*M945</f>
        <v>0</v>
      </c>
      <c r="O945" s="25">
        <f>0.057*M945</f>
        <v>0</v>
      </c>
      <c r="P945" s="26">
        <f>0.00094*M945</f>
        <v>0</v>
      </c>
      <c r="Q945" s="30"/>
      <c r="R945" s="22" t="s">
        <v>3236</v>
      </c>
      <c r="S945" s="22" t="s">
        <v>435</v>
      </c>
      <c r="T945" s="21" t="str">
        <f>HYPERLINK("https://miland.ru/api/getInfo/image/d6440f69-9d43-11ed-a22e-00155d82e902")</f>
        <v>https://miland.ru/api/getInfo/image/d6440f69-9d43-11ed-a22e-00155d82e902</v>
      </c>
      <c r="U945" s="21"/>
      <c r="V945" s="21" t="s">
        <v>710</v>
      </c>
      <c r="W945" s="21" t="s">
        <v>546</v>
      </c>
      <c r="X945" s="21"/>
      <c r="Y945" s="21" t="s">
        <v>41</v>
      </c>
      <c r="Z945" s="21"/>
      <c r="AA945" s="21" t="str">
        <f>HYPERLINK("https://miland.ru/api/getInfo/item/d6440f69-9d43-11ed-a22e-00155d82e902")</f>
        <v>https://miland.ru/api/getInfo/item/d6440f69-9d43-11ed-a22e-00155d82e902</v>
      </c>
      <c r="AB945" s="21" t="s">
        <v>42</v>
      </c>
      <c r="AC945" s="21" t="s">
        <v>1600</v>
      </c>
      <c r="AD945" s="21"/>
    </row>
    <row r="946" spans="2:30" s="1" customFormat="1" ht="96.3" customHeight="1" outlineLevel="7">
      <c r="B946" s="20">
        <v>691</v>
      </c>
      <c r="C946" s="21" t="s">
        <v>3237</v>
      </c>
      <c r="D946" s="72" t="s">
        <v>3238</v>
      </c>
      <c r="E946" s="72"/>
      <c r="F946" s="72"/>
      <c r="G946" s="72"/>
      <c r="H946" s="22" t="s">
        <v>3239</v>
      </c>
      <c r="I946" s="27">
        <v>13</v>
      </c>
      <c r="J946" s="22"/>
      <c r="K946" s="20">
        <v>2</v>
      </c>
      <c r="L946" s="24">
        <v>290.72000000000003</v>
      </c>
      <c r="M946" s="11"/>
      <c r="N946" s="22">
        <f>L946*M946</f>
        <v>0</v>
      </c>
      <c r="O946" s="25">
        <f>0.057*M946</f>
        <v>0</v>
      </c>
      <c r="P946" s="26">
        <f>0.00098*M946</f>
        <v>0</v>
      </c>
      <c r="Q946" s="30"/>
      <c r="R946" s="22" t="s">
        <v>3240</v>
      </c>
      <c r="S946" s="22" t="s">
        <v>435</v>
      </c>
      <c r="T946" s="21" t="str">
        <f>HYPERLINK("https://miland.ru/api/getInfo/image/aad688c4-9d43-11ed-a22e-00155d82e902")</f>
        <v>https://miland.ru/api/getInfo/image/aad688c4-9d43-11ed-a22e-00155d82e902</v>
      </c>
      <c r="U946" s="21"/>
      <c r="V946" s="21" t="s">
        <v>710</v>
      </c>
      <c r="W946" s="21" t="s">
        <v>546</v>
      </c>
      <c r="X946" s="21"/>
      <c r="Y946" s="21" t="s">
        <v>41</v>
      </c>
      <c r="Z946" s="21"/>
      <c r="AA946" s="21" t="str">
        <f>HYPERLINK("https://miland.ru/api/getInfo/item/aad688c4-9d43-11ed-a22e-00155d82e902")</f>
        <v>https://miland.ru/api/getInfo/item/aad688c4-9d43-11ed-a22e-00155d82e902</v>
      </c>
      <c r="AB946" s="21" t="s">
        <v>42</v>
      </c>
      <c r="AC946" s="21" t="s">
        <v>1600</v>
      </c>
      <c r="AD946" s="21"/>
    </row>
    <row r="947" spans="2:30" ht="12" customHeight="1" outlineLevel="7">
      <c r="B947" s="70" t="s">
        <v>3241</v>
      </c>
      <c r="C947" s="70"/>
      <c r="D947" s="70"/>
      <c r="E947" s="70"/>
      <c r="F947" s="70"/>
      <c r="G947" s="70"/>
    </row>
    <row r="948" spans="2:30" s="1" customFormat="1" ht="96.3" customHeight="1" outlineLevel="7">
      <c r="B948" s="20">
        <v>692</v>
      </c>
      <c r="C948" s="21" t="s">
        <v>3242</v>
      </c>
      <c r="D948" s="72" t="s">
        <v>3243</v>
      </c>
      <c r="E948" s="72"/>
      <c r="F948" s="72"/>
      <c r="G948" s="72"/>
      <c r="H948" s="22" t="s">
        <v>3244</v>
      </c>
      <c r="I948" s="27">
        <v>411</v>
      </c>
      <c r="J948" s="22"/>
      <c r="K948" s="20">
        <v>2</v>
      </c>
      <c r="L948" s="24">
        <v>324.48</v>
      </c>
      <c r="M948" s="11"/>
      <c r="N948" s="22">
        <f>L948*M948</f>
        <v>0</v>
      </c>
      <c r="O948" s="25">
        <f>0.051*M948</f>
        <v>0</v>
      </c>
      <c r="P948" s="26">
        <f>0.00098*M948</f>
        <v>0</v>
      </c>
      <c r="Q948" s="30"/>
      <c r="R948" s="22" t="s">
        <v>3245</v>
      </c>
      <c r="S948" s="22" t="s">
        <v>435</v>
      </c>
      <c r="T948" s="21" t="str">
        <f>HYPERLINK("https://miland.ru/api/getInfo/image/12d198cd-9d70-11ed-a22e-00155d82e902")</f>
        <v>https://miland.ru/api/getInfo/image/12d198cd-9d70-11ed-a22e-00155d82e902</v>
      </c>
      <c r="U948" s="21"/>
      <c r="V948" s="21" t="s">
        <v>710</v>
      </c>
      <c r="W948" s="21" t="s">
        <v>546</v>
      </c>
      <c r="X948" s="21"/>
      <c r="Y948" s="21" t="s">
        <v>41</v>
      </c>
      <c r="Z948" s="21"/>
      <c r="AA948" s="21" t="str">
        <f>HYPERLINK("https://miland.ru/api/getInfo/item/12d198cd-9d70-11ed-a22e-00155d82e902")</f>
        <v>https://miland.ru/api/getInfo/item/12d198cd-9d70-11ed-a22e-00155d82e902</v>
      </c>
      <c r="AB948" s="21" t="s">
        <v>42</v>
      </c>
      <c r="AC948" s="21" t="s">
        <v>1600</v>
      </c>
      <c r="AD948" s="21"/>
    </row>
    <row r="949" spans="2:30" s="1" customFormat="1" ht="96.3" customHeight="1" outlineLevel="7">
      <c r="B949" s="20">
        <v>693</v>
      </c>
      <c r="C949" s="21" t="s">
        <v>3246</v>
      </c>
      <c r="D949" s="72" t="s">
        <v>3247</v>
      </c>
      <c r="E949" s="72"/>
      <c r="F949" s="72"/>
      <c r="G949" s="72"/>
      <c r="H949" s="22" t="s">
        <v>3248</v>
      </c>
      <c r="I949" s="27">
        <v>276</v>
      </c>
      <c r="J949" s="22"/>
      <c r="K949" s="20">
        <v>2</v>
      </c>
      <c r="L949" s="24">
        <v>324.48</v>
      </c>
      <c r="M949" s="11"/>
      <c r="N949" s="22">
        <f>L949*M949</f>
        <v>0</v>
      </c>
      <c r="O949" s="25">
        <f>0.052*M949</f>
        <v>0</v>
      </c>
      <c r="P949" s="26">
        <f>0.00098*M949</f>
        <v>0</v>
      </c>
      <c r="Q949" s="30"/>
      <c r="R949" s="22" t="s">
        <v>3249</v>
      </c>
      <c r="S949" s="22" t="s">
        <v>435</v>
      </c>
      <c r="T949" s="21" t="str">
        <f>HYPERLINK("https://miland.ru/api/getInfo/image/c244a488-9d6f-11ed-a22e-00155d82e902")</f>
        <v>https://miland.ru/api/getInfo/image/c244a488-9d6f-11ed-a22e-00155d82e902</v>
      </c>
      <c r="U949" s="21"/>
      <c r="V949" s="21" t="s">
        <v>710</v>
      </c>
      <c r="W949" s="21" t="s">
        <v>546</v>
      </c>
      <c r="X949" s="21"/>
      <c r="Y949" s="21" t="s">
        <v>41</v>
      </c>
      <c r="Z949" s="21"/>
      <c r="AA949" s="21" t="str">
        <f>HYPERLINK("https://miland.ru/api/getInfo/item/c244a488-9d6f-11ed-a22e-00155d82e902")</f>
        <v>https://miland.ru/api/getInfo/item/c244a488-9d6f-11ed-a22e-00155d82e902</v>
      </c>
      <c r="AB949" s="21" t="s">
        <v>42</v>
      </c>
      <c r="AC949" s="21" t="s">
        <v>1600</v>
      </c>
      <c r="AD949" s="21"/>
    </row>
    <row r="950" spans="2:30" s="1" customFormat="1" ht="96.3" customHeight="1" outlineLevel="7">
      <c r="B950" s="20">
        <v>694</v>
      </c>
      <c r="C950" s="21" t="s">
        <v>3250</v>
      </c>
      <c r="D950" s="72" t="s">
        <v>3251</v>
      </c>
      <c r="E950" s="72"/>
      <c r="F950" s="72"/>
      <c r="G950" s="72"/>
      <c r="H950" s="22" t="s">
        <v>3252</v>
      </c>
      <c r="I950" s="23" t="s">
        <v>36</v>
      </c>
      <c r="J950" s="22"/>
      <c r="K950" s="20">
        <v>2</v>
      </c>
      <c r="L950" s="24">
        <v>324.48</v>
      </c>
      <c r="M950" s="11"/>
      <c r="N950" s="22">
        <f>L950*M950</f>
        <v>0</v>
      </c>
      <c r="O950" s="25">
        <f>0.052*M950</f>
        <v>0</v>
      </c>
      <c r="P950" s="26">
        <f>0.00099*M950</f>
        <v>0</v>
      </c>
      <c r="Q950" s="30"/>
      <c r="R950" s="22" t="s">
        <v>3253</v>
      </c>
      <c r="S950" s="22" t="s">
        <v>435</v>
      </c>
      <c r="T950" s="21" t="str">
        <f>HYPERLINK("https://miland.ru/api/getInfo/image/eb18fb39-9d6f-11ed-a22e-00155d82e902")</f>
        <v>https://miland.ru/api/getInfo/image/eb18fb39-9d6f-11ed-a22e-00155d82e902</v>
      </c>
      <c r="U950" s="21"/>
      <c r="V950" s="21" t="s">
        <v>710</v>
      </c>
      <c r="W950" s="21" t="s">
        <v>546</v>
      </c>
      <c r="X950" s="21"/>
      <c r="Y950" s="21" t="s">
        <v>41</v>
      </c>
      <c r="Z950" s="21"/>
      <c r="AA950" s="21" t="str">
        <f>HYPERLINK("https://miland.ru/api/getInfo/item/eb18fb39-9d6f-11ed-a22e-00155d82e902")</f>
        <v>https://miland.ru/api/getInfo/item/eb18fb39-9d6f-11ed-a22e-00155d82e902</v>
      </c>
      <c r="AB950" s="21" t="s">
        <v>42</v>
      </c>
      <c r="AC950" s="21" t="s">
        <v>1600</v>
      </c>
      <c r="AD950" s="21"/>
    </row>
    <row r="951" spans="2:30" s="1" customFormat="1" ht="96.3" customHeight="1" outlineLevel="7">
      <c r="B951" s="20">
        <v>695</v>
      </c>
      <c r="C951" s="21" t="s">
        <v>3254</v>
      </c>
      <c r="D951" s="72" t="s">
        <v>3255</v>
      </c>
      <c r="E951" s="72"/>
      <c r="F951" s="72"/>
      <c r="G951" s="72"/>
      <c r="H951" s="22" t="s">
        <v>3256</v>
      </c>
      <c r="I951" s="27">
        <v>80</v>
      </c>
      <c r="J951" s="22"/>
      <c r="K951" s="20">
        <v>2</v>
      </c>
      <c r="L951" s="24">
        <v>324.48</v>
      </c>
      <c r="M951" s="11"/>
      <c r="N951" s="22">
        <f>L951*M951</f>
        <v>0</v>
      </c>
      <c r="O951" s="25">
        <f>0.056*M951</f>
        <v>0</v>
      </c>
      <c r="P951" s="26">
        <f>0.00098*M951</f>
        <v>0</v>
      </c>
      <c r="Q951" s="30"/>
      <c r="R951" s="22" t="s">
        <v>3257</v>
      </c>
      <c r="S951" s="22" t="s">
        <v>435</v>
      </c>
      <c r="T951" s="21" t="str">
        <f>HYPERLINK("https://miland.ru/api/getInfo/image/abfbc66f-9d45-11ed-a22e-00155d82e902")</f>
        <v>https://miland.ru/api/getInfo/image/abfbc66f-9d45-11ed-a22e-00155d82e902</v>
      </c>
      <c r="U951" s="21"/>
      <c r="V951" s="21" t="s">
        <v>710</v>
      </c>
      <c r="W951" s="21" t="s">
        <v>546</v>
      </c>
      <c r="X951" s="21"/>
      <c r="Y951" s="21" t="s">
        <v>41</v>
      </c>
      <c r="Z951" s="21"/>
      <c r="AA951" s="21" t="str">
        <f>HYPERLINK("https://miland.ru/api/getInfo/item/abfbc66f-9d45-11ed-a22e-00155d82e902")</f>
        <v>https://miland.ru/api/getInfo/item/abfbc66f-9d45-11ed-a22e-00155d82e902</v>
      </c>
      <c r="AB951" s="21" t="s">
        <v>42</v>
      </c>
      <c r="AC951" s="21" t="s">
        <v>1600</v>
      </c>
      <c r="AD951" s="21"/>
    </row>
    <row r="952" spans="2:30" ht="12" customHeight="1" outlineLevel="7">
      <c r="B952" s="70" t="s">
        <v>3258</v>
      </c>
      <c r="C952" s="70"/>
      <c r="D952" s="70"/>
      <c r="E952" s="70"/>
      <c r="F952" s="70"/>
      <c r="G952" s="70"/>
    </row>
    <row r="953" spans="2:30" s="1" customFormat="1" ht="96.3" customHeight="1" outlineLevel="7">
      <c r="B953" s="20">
        <v>696</v>
      </c>
      <c r="C953" s="21" t="s">
        <v>3259</v>
      </c>
      <c r="D953" s="72" t="s">
        <v>3260</v>
      </c>
      <c r="E953" s="72"/>
      <c r="F953" s="72"/>
      <c r="G953" s="72"/>
      <c r="H953" s="22" t="s">
        <v>3261</v>
      </c>
      <c r="I953" s="27">
        <v>319</v>
      </c>
      <c r="J953" s="22"/>
      <c r="K953" s="20">
        <v>2</v>
      </c>
      <c r="L953" s="24">
        <v>367.45</v>
      </c>
      <c r="M953" s="11"/>
      <c r="N953" s="22">
        <f>L953*M953</f>
        <v>0</v>
      </c>
      <c r="O953" s="25">
        <f>0.057*M953</f>
        <v>0</v>
      </c>
      <c r="P953" s="26">
        <f>0.00809*M953</f>
        <v>0</v>
      </c>
      <c r="Q953" s="30"/>
      <c r="R953" s="22" t="s">
        <v>3262</v>
      </c>
      <c r="S953" s="22" t="s">
        <v>435</v>
      </c>
      <c r="T953" s="21" t="str">
        <f>HYPERLINK("https://miland.ru/api/getInfo/image/2fa20cc7-be85-11ee-a25a-00155d82e908")</f>
        <v>https://miland.ru/api/getInfo/image/2fa20cc7-be85-11ee-a25a-00155d82e908</v>
      </c>
      <c r="U953" s="21"/>
      <c r="V953" s="21" t="s">
        <v>710</v>
      </c>
      <c r="W953" s="21" t="s">
        <v>546</v>
      </c>
      <c r="X953" s="21"/>
      <c r="Y953" s="21" t="s">
        <v>41</v>
      </c>
      <c r="Z953" s="21"/>
      <c r="AA953" s="21" t="str">
        <f>HYPERLINK("https://miland.ru/api/getInfo/item/2fa20cc7-be85-11ee-a25a-00155d82e908")</f>
        <v>https://miland.ru/api/getInfo/item/2fa20cc7-be85-11ee-a25a-00155d82e908</v>
      </c>
      <c r="AB953" s="21" t="s">
        <v>42</v>
      </c>
      <c r="AC953" s="21" t="s">
        <v>788</v>
      </c>
      <c r="AD953" s="21"/>
    </row>
    <row r="954" spans="2:30" s="1" customFormat="1" ht="96.3" customHeight="1" outlineLevel="7">
      <c r="B954" s="20">
        <v>697</v>
      </c>
      <c r="C954" s="21" t="s">
        <v>3263</v>
      </c>
      <c r="D954" s="72" t="s">
        <v>3264</v>
      </c>
      <c r="E954" s="72"/>
      <c r="F954" s="72"/>
      <c r="G954" s="72"/>
      <c r="H954" s="22" t="s">
        <v>3265</v>
      </c>
      <c r="I954" s="27">
        <v>349</v>
      </c>
      <c r="J954" s="22"/>
      <c r="K954" s="20">
        <v>2</v>
      </c>
      <c r="L954" s="24">
        <v>367.45</v>
      </c>
      <c r="M954" s="11"/>
      <c r="N954" s="22">
        <f>L954*M954</f>
        <v>0</v>
      </c>
      <c r="O954" s="25">
        <f>0.061*M954</f>
        <v>0</v>
      </c>
      <c r="P954" s="26">
        <f>0.00108*M954</f>
        <v>0</v>
      </c>
      <c r="Q954" s="30"/>
      <c r="R954" s="22" t="s">
        <v>3266</v>
      </c>
      <c r="S954" s="22" t="s">
        <v>435</v>
      </c>
      <c r="T954" s="21" t="str">
        <f>HYPERLINK("https://miland.ru/api/getInfo/image/ea2ef2bd-be84-11ee-a25a-00155d82e908")</f>
        <v>https://miland.ru/api/getInfo/image/ea2ef2bd-be84-11ee-a25a-00155d82e908</v>
      </c>
      <c r="U954" s="21"/>
      <c r="V954" s="21" t="s">
        <v>710</v>
      </c>
      <c r="W954" s="21" t="s">
        <v>546</v>
      </c>
      <c r="X954" s="21"/>
      <c r="Y954" s="21" t="s">
        <v>41</v>
      </c>
      <c r="Z954" s="21"/>
      <c r="AA954" s="21" t="str">
        <f>HYPERLINK("https://miland.ru/api/getInfo/item/ea2ef2bd-be84-11ee-a25a-00155d82e908")</f>
        <v>https://miland.ru/api/getInfo/item/ea2ef2bd-be84-11ee-a25a-00155d82e908</v>
      </c>
      <c r="AB954" s="21" t="s">
        <v>42</v>
      </c>
      <c r="AC954" s="21" t="s">
        <v>788</v>
      </c>
      <c r="AD954" s="21"/>
    </row>
    <row r="955" spans="2:30" s="1" customFormat="1" ht="96.3" customHeight="1" outlineLevel="7">
      <c r="B955" s="20">
        <v>698</v>
      </c>
      <c r="C955" s="21" t="s">
        <v>3267</v>
      </c>
      <c r="D955" s="72" t="s">
        <v>3268</v>
      </c>
      <c r="E955" s="72"/>
      <c r="F955" s="72"/>
      <c r="G955" s="72"/>
      <c r="H955" s="22" t="s">
        <v>3269</v>
      </c>
      <c r="I955" s="27">
        <v>355</v>
      </c>
      <c r="J955" s="22"/>
      <c r="K955" s="20">
        <v>2</v>
      </c>
      <c r="L955" s="24">
        <v>367.45</v>
      </c>
      <c r="M955" s="11"/>
      <c r="N955" s="22">
        <f>L955*M955</f>
        <v>0</v>
      </c>
      <c r="O955" s="28">
        <f>0.06*M955</f>
        <v>0</v>
      </c>
      <c r="P955" s="26">
        <f>0.00115*M955</f>
        <v>0</v>
      </c>
      <c r="Q955" s="30"/>
      <c r="R955" s="22" t="s">
        <v>3270</v>
      </c>
      <c r="S955" s="22" t="s">
        <v>435</v>
      </c>
      <c r="T955" s="21" t="str">
        <f>HYPERLINK("https://miland.ru/api/getInfo/image/12b70ef6-be85-11ee-a25a-00155d82e908")</f>
        <v>https://miland.ru/api/getInfo/image/12b70ef6-be85-11ee-a25a-00155d82e908</v>
      </c>
      <c r="U955" s="21"/>
      <c r="V955" s="21" t="s">
        <v>710</v>
      </c>
      <c r="W955" s="21" t="s">
        <v>546</v>
      </c>
      <c r="X955" s="21"/>
      <c r="Y955" s="21" t="s">
        <v>41</v>
      </c>
      <c r="Z955" s="21"/>
      <c r="AA955" s="21" t="str">
        <f>HYPERLINK("https://miland.ru/api/getInfo/item/12b70ef6-be85-11ee-a25a-00155d82e908")</f>
        <v>https://miland.ru/api/getInfo/item/12b70ef6-be85-11ee-a25a-00155d82e908</v>
      </c>
      <c r="AB955" s="21" t="s">
        <v>42</v>
      </c>
      <c r="AC955" s="21" t="s">
        <v>788</v>
      </c>
      <c r="AD955" s="21"/>
    </row>
    <row r="956" spans="2:30" s="1" customFormat="1" ht="96.3" customHeight="1" outlineLevel="7">
      <c r="B956" s="20">
        <v>699</v>
      </c>
      <c r="C956" s="21" t="s">
        <v>3271</v>
      </c>
      <c r="D956" s="72" t="s">
        <v>3272</v>
      </c>
      <c r="E956" s="72"/>
      <c r="F956" s="72"/>
      <c r="G956" s="72"/>
      <c r="H956" s="22" t="s">
        <v>3273</v>
      </c>
      <c r="I956" s="27">
        <v>276</v>
      </c>
      <c r="J956" s="22"/>
      <c r="K956" s="20">
        <v>2</v>
      </c>
      <c r="L956" s="24">
        <v>367.45</v>
      </c>
      <c r="M956" s="11"/>
      <c r="N956" s="22">
        <f>L956*M956</f>
        <v>0</v>
      </c>
      <c r="O956" s="25">
        <f>0.055*M956</f>
        <v>0</v>
      </c>
      <c r="P956" s="26">
        <f>0.00105*M956</f>
        <v>0</v>
      </c>
      <c r="Q956" s="30"/>
      <c r="R956" s="22" t="s">
        <v>3274</v>
      </c>
      <c r="S956" s="22" t="s">
        <v>435</v>
      </c>
      <c r="T956" s="21" t="str">
        <f>HYPERLINK("https://miland.ru/api/getInfo/image/c9858023-be84-11ee-a25a-00155d82e908")</f>
        <v>https://miland.ru/api/getInfo/image/c9858023-be84-11ee-a25a-00155d82e908</v>
      </c>
      <c r="U956" s="21"/>
      <c r="V956" s="21" t="s">
        <v>710</v>
      </c>
      <c r="W956" s="21" t="s">
        <v>546</v>
      </c>
      <c r="X956" s="21"/>
      <c r="Y956" s="21" t="s">
        <v>41</v>
      </c>
      <c r="Z956" s="21"/>
      <c r="AA956" s="21" t="str">
        <f>HYPERLINK("https://miland.ru/api/getInfo/item/c9858023-be84-11ee-a25a-00155d82e908")</f>
        <v>https://miland.ru/api/getInfo/item/c9858023-be84-11ee-a25a-00155d82e908</v>
      </c>
      <c r="AB956" s="21" t="s">
        <v>42</v>
      </c>
      <c r="AC956" s="21" t="s">
        <v>788</v>
      </c>
      <c r="AD956" s="21"/>
    </row>
    <row r="957" spans="2:30" ht="12" customHeight="1" outlineLevel="7">
      <c r="B957" s="70" t="s">
        <v>3275</v>
      </c>
      <c r="C957" s="70"/>
      <c r="D957" s="70"/>
      <c r="E957" s="70"/>
      <c r="F957" s="70"/>
      <c r="G957" s="70"/>
    </row>
    <row r="958" spans="2:30" s="1" customFormat="1" ht="96.3" customHeight="1" outlineLevel="7">
      <c r="B958" s="20">
        <v>700</v>
      </c>
      <c r="C958" s="21" t="s">
        <v>3276</v>
      </c>
      <c r="D958" s="72" t="s">
        <v>3277</v>
      </c>
      <c r="E958" s="72"/>
      <c r="F958" s="72"/>
      <c r="G958" s="72"/>
      <c r="H958" s="22" t="s">
        <v>3278</v>
      </c>
      <c r="I958" s="27">
        <v>367</v>
      </c>
      <c r="J958" s="22"/>
      <c r="K958" s="20">
        <v>2</v>
      </c>
      <c r="L958" s="24">
        <v>317.74</v>
      </c>
      <c r="M958" s="11"/>
      <c r="N958" s="22">
        <f>L958*M958</f>
        <v>0</v>
      </c>
      <c r="O958" s="25">
        <f>0.058*M958</f>
        <v>0</v>
      </c>
      <c r="P958" s="26">
        <f>0.00105*M958</f>
        <v>0</v>
      </c>
      <c r="Q958" s="30"/>
      <c r="R958" s="22" t="s">
        <v>3279</v>
      </c>
      <c r="S958" s="22" t="s">
        <v>435</v>
      </c>
      <c r="T958" s="21" t="str">
        <f>HYPERLINK("https://miland.ru/api/getInfo/image/e89e60b4-be78-11ee-a25a-00155d82e908")</f>
        <v>https://miland.ru/api/getInfo/image/e89e60b4-be78-11ee-a25a-00155d82e908</v>
      </c>
      <c r="U958" s="21"/>
      <c r="V958" s="21" t="s">
        <v>710</v>
      </c>
      <c r="W958" s="21" t="s">
        <v>546</v>
      </c>
      <c r="X958" s="21"/>
      <c r="Y958" s="21" t="s">
        <v>41</v>
      </c>
      <c r="Z958" s="21"/>
      <c r="AA958" s="21" t="str">
        <f>HYPERLINK("https://miland.ru/api/getInfo/item/e89e60b4-be78-11ee-a25a-00155d82e908")</f>
        <v>https://miland.ru/api/getInfo/item/e89e60b4-be78-11ee-a25a-00155d82e908</v>
      </c>
      <c r="AB958" s="21" t="s">
        <v>42</v>
      </c>
      <c r="AC958" s="21" t="s">
        <v>788</v>
      </c>
      <c r="AD958" s="21"/>
    </row>
    <row r="959" spans="2:30" s="1" customFormat="1" ht="96.3" customHeight="1" outlineLevel="7">
      <c r="B959" s="20">
        <v>701</v>
      </c>
      <c r="C959" s="21" t="s">
        <v>3280</v>
      </c>
      <c r="D959" s="72" t="s">
        <v>3281</v>
      </c>
      <c r="E959" s="72"/>
      <c r="F959" s="72"/>
      <c r="G959" s="72"/>
      <c r="H959" s="22" t="s">
        <v>3282</v>
      </c>
      <c r="I959" s="27">
        <v>410</v>
      </c>
      <c r="J959" s="22"/>
      <c r="K959" s="20">
        <v>2</v>
      </c>
      <c r="L959" s="24">
        <v>376.21</v>
      </c>
      <c r="M959" s="11"/>
      <c r="N959" s="22">
        <f>L959*M959</f>
        <v>0</v>
      </c>
      <c r="O959" s="25">
        <f>0.059*M959</f>
        <v>0</v>
      </c>
      <c r="P959" s="26">
        <f>0.00107*M959</f>
        <v>0</v>
      </c>
      <c r="Q959" s="30"/>
      <c r="R959" s="22" t="s">
        <v>3283</v>
      </c>
      <c r="S959" s="22" t="s">
        <v>435</v>
      </c>
      <c r="T959" s="21" t="str">
        <f>HYPERLINK("https://miland.ru/api/getInfo/image/6c3033e3-be79-11ee-a25a-00155d82e908")</f>
        <v>https://miland.ru/api/getInfo/image/6c3033e3-be79-11ee-a25a-00155d82e908</v>
      </c>
      <c r="U959" s="21"/>
      <c r="V959" s="21" t="s">
        <v>710</v>
      </c>
      <c r="W959" s="21" t="s">
        <v>546</v>
      </c>
      <c r="X959" s="21"/>
      <c r="Y959" s="21" t="s">
        <v>41</v>
      </c>
      <c r="Z959" s="21"/>
      <c r="AA959" s="21" t="str">
        <f>HYPERLINK("https://miland.ru/api/getInfo/item/6c3033e3-be79-11ee-a25a-00155d82e908")</f>
        <v>https://miland.ru/api/getInfo/item/6c3033e3-be79-11ee-a25a-00155d82e908</v>
      </c>
      <c r="AB959" s="21" t="s">
        <v>42</v>
      </c>
      <c r="AC959" s="21" t="s">
        <v>788</v>
      </c>
      <c r="AD959" s="21"/>
    </row>
    <row r="960" spans="2:30" s="1" customFormat="1" ht="96.3" customHeight="1" outlineLevel="7">
      <c r="B960" s="20">
        <v>702</v>
      </c>
      <c r="C960" s="21" t="s">
        <v>3284</v>
      </c>
      <c r="D960" s="72" t="s">
        <v>3285</v>
      </c>
      <c r="E960" s="72"/>
      <c r="F960" s="72"/>
      <c r="G960" s="72"/>
      <c r="H960" s="22" t="s">
        <v>3286</v>
      </c>
      <c r="I960" s="23" t="s">
        <v>36</v>
      </c>
      <c r="J960" s="22"/>
      <c r="K960" s="20">
        <v>1</v>
      </c>
      <c r="L960" s="24">
        <v>485.93</v>
      </c>
      <c r="M960" s="11"/>
      <c r="N960" s="22">
        <f>L960*M960</f>
        <v>0</v>
      </c>
      <c r="O960" s="25">
        <f>0.062*M960</f>
        <v>0</v>
      </c>
      <c r="P960" s="26">
        <f>0.00126*M960</f>
        <v>0</v>
      </c>
      <c r="Q960" s="30"/>
      <c r="R960" s="22" t="s">
        <v>3287</v>
      </c>
      <c r="S960" s="22" t="s">
        <v>435</v>
      </c>
      <c r="T960" s="21" t="str">
        <f>HYPERLINK("https://miland.ru/api/getInfo/image/57918c3e-be79-11ee-a25a-00155d82e908")</f>
        <v>https://miland.ru/api/getInfo/image/57918c3e-be79-11ee-a25a-00155d82e908</v>
      </c>
      <c r="U960" s="21"/>
      <c r="V960" s="21" t="s">
        <v>710</v>
      </c>
      <c r="W960" s="21" t="s">
        <v>546</v>
      </c>
      <c r="X960" s="21"/>
      <c r="Y960" s="21" t="s">
        <v>41</v>
      </c>
      <c r="Z960" s="21"/>
      <c r="AA960" s="21" t="str">
        <f>HYPERLINK("https://miland.ru/api/getInfo/item/57918c3e-be79-11ee-a25a-00155d82e908")</f>
        <v>https://miland.ru/api/getInfo/item/57918c3e-be79-11ee-a25a-00155d82e908</v>
      </c>
      <c r="AB960" s="21" t="s">
        <v>42</v>
      </c>
      <c r="AC960" s="21" t="s">
        <v>788</v>
      </c>
      <c r="AD960" s="21"/>
    </row>
    <row r="961" spans="2:30" s="1" customFormat="1" ht="96.3" customHeight="1" outlineLevel="7">
      <c r="B961" s="20">
        <v>703</v>
      </c>
      <c r="C961" s="21" t="s">
        <v>3288</v>
      </c>
      <c r="D961" s="72" t="s">
        <v>3289</v>
      </c>
      <c r="E961" s="72"/>
      <c r="F961" s="72"/>
      <c r="G961" s="72"/>
      <c r="H961" s="22" t="s">
        <v>3290</v>
      </c>
      <c r="I961" s="27">
        <v>126</v>
      </c>
      <c r="J961" s="22"/>
      <c r="K961" s="20">
        <v>2</v>
      </c>
      <c r="L961" s="24">
        <v>376.21</v>
      </c>
      <c r="M961" s="11"/>
      <c r="N961" s="22">
        <f>L961*M961</f>
        <v>0</v>
      </c>
      <c r="O961" s="25">
        <f>0.066*M961</f>
        <v>0</v>
      </c>
      <c r="P961" s="26">
        <f>0.00113*M961</f>
        <v>0</v>
      </c>
      <c r="Q961" s="30"/>
      <c r="R961" s="22" t="s">
        <v>3291</v>
      </c>
      <c r="S961" s="22" t="s">
        <v>435</v>
      </c>
      <c r="T961" s="21" t="str">
        <f>HYPERLINK("https://miland.ru/api/getInfo/image/45743f56-be79-11ee-a25a-00155d82e908")</f>
        <v>https://miland.ru/api/getInfo/image/45743f56-be79-11ee-a25a-00155d82e908</v>
      </c>
      <c r="U961" s="21"/>
      <c r="V961" s="21" t="s">
        <v>710</v>
      </c>
      <c r="W961" s="21" t="s">
        <v>546</v>
      </c>
      <c r="X961" s="21"/>
      <c r="Y961" s="21" t="s">
        <v>41</v>
      </c>
      <c r="Z961" s="21"/>
      <c r="AA961" s="21" t="str">
        <f>HYPERLINK("https://miland.ru/api/getInfo/item/45743f56-be79-11ee-a25a-00155d82e908")</f>
        <v>https://miland.ru/api/getInfo/item/45743f56-be79-11ee-a25a-00155d82e908</v>
      </c>
      <c r="AB961" s="21" t="s">
        <v>42</v>
      </c>
      <c r="AC961" s="21" t="s">
        <v>788</v>
      </c>
      <c r="AD961" s="21"/>
    </row>
    <row r="962" spans="2:30" s="1" customFormat="1" ht="96.3" customHeight="1" outlineLevel="7">
      <c r="B962" s="20">
        <v>704</v>
      </c>
      <c r="C962" s="21" t="s">
        <v>3292</v>
      </c>
      <c r="D962" s="72" t="s">
        <v>3293</v>
      </c>
      <c r="E962" s="72"/>
      <c r="F962" s="72"/>
      <c r="G962" s="72"/>
      <c r="H962" s="22" t="s">
        <v>3294</v>
      </c>
      <c r="I962" s="27">
        <v>111</v>
      </c>
      <c r="J962" s="22"/>
      <c r="K962" s="20">
        <v>1</v>
      </c>
      <c r="L962" s="32">
        <v>1189.92</v>
      </c>
      <c r="M962" s="11"/>
      <c r="N962" s="22">
        <f>L962*M962</f>
        <v>0</v>
      </c>
      <c r="O962" s="25">
        <f>0.304*M962</f>
        <v>0</v>
      </c>
      <c r="P962" s="26">
        <f>0.00619*M962</f>
        <v>0</v>
      </c>
      <c r="Q962" s="30"/>
      <c r="R962" s="22" t="s">
        <v>3295</v>
      </c>
      <c r="S962" s="22" t="s">
        <v>435</v>
      </c>
      <c r="T962" s="21" t="str">
        <f>HYPERLINK("https://miland.ru/api/getInfo/image/81238c48-95cd-11ef-a267-00155d82e908")</f>
        <v>https://miland.ru/api/getInfo/image/81238c48-95cd-11ef-a267-00155d82e908</v>
      </c>
      <c r="U962" s="21"/>
      <c r="V962" s="21" t="s">
        <v>710</v>
      </c>
      <c r="W962" s="21" t="s">
        <v>546</v>
      </c>
      <c r="X962" s="21"/>
      <c r="Y962" s="21" t="s">
        <v>41</v>
      </c>
      <c r="Z962" s="21"/>
      <c r="AA962" s="21" t="str">
        <f>HYPERLINK("https://miland.ru/api/getInfo/item/81238c48-95cd-11ef-a267-00155d82e908")</f>
        <v>https://miland.ru/api/getInfo/item/81238c48-95cd-11ef-a267-00155d82e908</v>
      </c>
      <c r="AB962" s="21" t="s">
        <v>42</v>
      </c>
      <c r="AC962" s="21"/>
      <c r="AD962" s="21"/>
    </row>
    <row r="963" spans="2:30" ht="12" customHeight="1" outlineLevel="7">
      <c r="B963" s="70" t="s">
        <v>3296</v>
      </c>
      <c r="C963" s="70"/>
      <c r="D963" s="70"/>
      <c r="E963" s="70"/>
      <c r="F963" s="70"/>
      <c r="G963" s="70"/>
    </row>
    <row r="964" spans="2:30" s="1" customFormat="1" ht="96.3" customHeight="1" outlineLevel="7">
      <c r="B964" s="20">
        <v>705</v>
      </c>
      <c r="C964" s="21" t="s">
        <v>3297</v>
      </c>
      <c r="D964" s="72" t="s">
        <v>3298</v>
      </c>
      <c r="E964" s="72"/>
      <c r="F964" s="72"/>
      <c r="G964" s="72"/>
      <c r="H964" s="22" t="s">
        <v>3299</v>
      </c>
      <c r="I964" s="27">
        <v>356</v>
      </c>
      <c r="J964" s="22"/>
      <c r="K964" s="20">
        <v>2</v>
      </c>
      <c r="L964" s="24">
        <v>392.56</v>
      </c>
      <c r="M964" s="11"/>
      <c r="N964" s="22">
        <f>L964*M964</f>
        <v>0</v>
      </c>
      <c r="O964" s="25">
        <f>0.065*M964</f>
        <v>0</v>
      </c>
      <c r="P964" s="26">
        <f>0.00115*M964</f>
        <v>0</v>
      </c>
      <c r="Q964" s="30"/>
      <c r="R964" s="22" t="s">
        <v>3300</v>
      </c>
      <c r="S964" s="22" t="s">
        <v>435</v>
      </c>
      <c r="T964" s="21" t="str">
        <f>HYPERLINK("https://miland.ru/api/getInfo/image/66558573-be7a-11ee-a25a-00155d82e908")</f>
        <v>https://miland.ru/api/getInfo/image/66558573-be7a-11ee-a25a-00155d82e908</v>
      </c>
      <c r="U964" s="21"/>
      <c r="V964" s="21" t="s">
        <v>710</v>
      </c>
      <c r="W964" s="21" t="s">
        <v>546</v>
      </c>
      <c r="X964" s="21"/>
      <c r="Y964" s="21" t="s">
        <v>41</v>
      </c>
      <c r="Z964" s="21"/>
      <c r="AA964" s="21" t="str">
        <f>HYPERLINK("https://miland.ru/api/getInfo/item/66558573-be7a-11ee-a25a-00155d82e908")</f>
        <v>https://miland.ru/api/getInfo/item/66558573-be7a-11ee-a25a-00155d82e908</v>
      </c>
      <c r="AB964" s="21" t="s">
        <v>42</v>
      </c>
      <c r="AC964" s="21" t="s">
        <v>788</v>
      </c>
      <c r="AD964" s="21"/>
    </row>
    <row r="965" spans="2:30" s="1" customFormat="1" ht="96.3" customHeight="1" outlineLevel="7">
      <c r="B965" s="20">
        <v>706</v>
      </c>
      <c r="C965" s="21" t="s">
        <v>3301</v>
      </c>
      <c r="D965" s="72" t="s">
        <v>3302</v>
      </c>
      <c r="E965" s="72"/>
      <c r="F965" s="72"/>
      <c r="G965" s="72"/>
      <c r="H965" s="22" t="s">
        <v>3303</v>
      </c>
      <c r="I965" s="27">
        <v>77</v>
      </c>
      <c r="J965" s="22"/>
      <c r="K965" s="20">
        <v>2</v>
      </c>
      <c r="L965" s="24">
        <v>392.56</v>
      </c>
      <c r="M965" s="11"/>
      <c r="N965" s="22">
        <f>L965*M965</f>
        <v>0</v>
      </c>
      <c r="O965" s="25">
        <f>0.059*M965</f>
        <v>0</v>
      </c>
      <c r="P965" s="26">
        <f>0.00107*M965</f>
        <v>0</v>
      </c>
      <c r="Q965" s="30"/>
      <c r="R965" s="22" t="s">
        <v>3304</v>
      </c>
      <c r="S965" s="22" t="s">
        <v>435</v>
      </c>
      <c r="T965" s="21" t="str">
        <f>HYPERLINK("https://miland.ru/api/getInfo/image/8f27798f-be7a-11ee-a25a-00155d82e908")</f>
        <v>https://miland.ru/api/getInfo/image/8f27798f-be7a-11ee-a25a-00155d82e908</v>
      </c>
      <c r="U965" s="21"/>
      <c r="V965" s="21" t="s">
        <v>710</v>
      </c>
      <c r="W965" s="21" t="s">
        <v>546</v>
      </c>
      <c r="X965" s="21"/>
      <c r="Y965" s="21" t="s">
        <v>41</v>
      </c>
      <c r="Z965" s="21"/>
      <c r="AA965" s="21" t="str">
        <f>HYPERLINK("https://miland.ru/api/getInfo/item/8f27798f-be7a-11ee-a25a-00155d82e908")</f>
        <v>https://miland.ru/api/getInfo/item/8f27798f-be7a-11ee-a25a-00155d82e908</v>
      </c>
      <c r="AB965" s="21" t="s">
        <v>42</v>
      </c>
      <c r="AC965" s="21" t="s">
        <v>788</v>
      </c>
      <c r="AD965" s="21"/>
    </row>
    <row r="966" spans="2:30" s="1" customFormat="1" ht="96.3" customHeight="1" outlineLevel="7">
      <c r="B966" s="20">
        <v>707</v>
      </c>
      <c r="C966" s="21" t="s">
        <v>3305</v>
      </c>
      <c r="D966" s="72" t="s">
        <v>3306</v>
      </c>
      <c r="E966" s="72"/>
      <c r="F966" s="72"/>
      <c r="G966" s="72"/>
      <c r="H966" s="22" t="s">
        <v>3307</v>
      </c>
      <c r="I966" s="27">
        <v>70</v>
      </c>
      <c r="J966" s="22"/>
      <c r="K966" s="20">
        <v>2</v>
      </c>
      <c r="L966" s="24">
        <v>392.56</v>
      </c>
      <c r="M966" s="11"/>
      <c r="N966" s="22">
        <f>L966*M966</f>
        <v>0</v>
      </c>
      <c r="O966" s="25">
        <f>0.058*M966</f>
        <v>0</v>
      </c>
      <c r="P966" s="26">
        <f>0.00106*M966</f>
        <v>0</v>
      </c>
      <c r="Q966" s="30"/>
      <c r="R966" s="22" t="s">
        <v>3308</v>
      </c>
      <c r="S966" s="22" t="s">
        <v>435</v>
      </c>
      <c r="T966" s="21" t="str">
        <f>HYPERLINK("https://miland.ru/api/getInfo/image/3528f089-be7a-11ee-a25a-00155d82e908")</f>
        <v>https://miland.ru/api/getInfo/image/3528f089-be7a-11ee-a25a-00155d82e908</v>
      </c>
      <c r="U966" s="21"/>
      <c r="V966" s="21" t="s">
        <v>710</v>
      </c>
      <c r="W966" s="21" t="s">
        <v>546</v>
      </c>
      <c r="X966" s="21"/>
      <c r="Y966" s="21" t="s">
        <v>41</v>
      </c>
      <c r="Z966" s="21"/>
      <c r="AA966" s="21" t="str">
        <f>HYPERLINK("https://miland.ru/api/getInfo/item/3528f089-be7a-11ee-a25a-00155d82e908")</f>
        <v>https://miland.ru/api/getInfo/item/3528f089-be7a-11ee-a25a-00155d82e908</v>
      </c>
      <c r="AB966" s="21" t="s">
        <v>42</v>
      </c>
      <c r="AC966" s="21" t="s">
        <v>788</v>
      </c>
      <c r="AD966" s="21"/>
    </row>
    <row r="967" spans="2:30" s="1" customFormat="1" ht="96.3" customHeight="1" outlineLevel="7">
      <c r="B967" s="20">
        <v>708</v>
      </c>
      <c r="C967" s="21" t="s">
        <v>3309</v>
      </c>
      <c r="D967" s="72" t="s">
        <v>3310</v>
      </c>
      <c r="E967" s="72"/>
      <c r="F967" s="72"/>
      <c r="G967" s="72"/>
      <c r="H967" s="22" t="s">
        <v>3311</v>
      </c>
      <c r="I967" s="27">
        <v>231</v>
      </c>
      <c r="J967" s="22"/>
      <c r="K967" s="20">
        <v>2</v>
      </c>
      <c r="L967" s="24">
        <v>392.56</v>
      </c>
      <c r="M967" s="11"/>
      <c r="N967" s="22">
        <f>L967*M967</f>
        <v>0</v>
      </c>
      <c r="O967" s="25">
        <f>0.059*M967</f>
        <v>0</v>
      </c>
      <c r="P967" s="26">
        <f>0.00111*M967</f>
        <v>0</v>
      </c>
      <c r="Q967" s="30"/>
      <c r="R967" s="22" t="s">
        <v>3312</v>
      </c>
      <c r="S967" s="22" t="s">
        <v>435</v>
      </c>
      <c r="T967" s="21" t="str">
        <f>HYPERLINK("https://miland.ru/api/getInfo/image/bd4f9345-be7a-11ee-a25a-00155d82e908")</f>
        <v>https://miland.ru/api/getInfo/image/bd4f9345-be7a-11ee-a25a-00155d82e908</v>
      </c>
      <c r="U967" s="21"/>
      <c r="V967" s="21" t="s">
        <v>710</v>
      </c>
      <c r="W967" s="21" t="s">
        <v>546</v>
      </c>
      <c r="X967" s="21"/>
      <c r="Y967" s="21" t="s">
        <v>41</v>
      </c>
      <c r="Z967" s="21"/>
      <c r="AA967" s="21" t="str">
        <f>HYPERLINK("https://miland.ru/api/getInfo/item/bd4f9345-be7a-11ee-a25a-00155d82e908")</f>
        <v>https://miland.ru/api/getInfo/item/bd4f9345-be7a-11ee-a25a-00155d82e908</v>
      </c>
      <c r="AB967" s="21" t="s">
        <v>42</v>
      </c>
      <c r="AC967" s="21" t="s">
        <v>788</v>
      </c>
      <c r="AD967" s="21"/>
    </row>
    <row r="968" spans="2:30" ht="12" customHeight="1" outlineLevel="7">
      <c r="B968" s="70" t="s">
        <v>3313</v>
      </c>
      <c r="C968" s="70"/>
      <c r="D968" s="70"/>
      <c r="E968" s="70"/>
      <c r="F968" s="70"/>
      <c r="G968" s="70"/>
    </row>
    <row r="969" spans="2:30" s="1" customFormat="1" ht="96.3" customHeight="1" outlineLevel="7">
      <c r="B969" s="20">
        <v>709</v>
      </c>
      <c r="C969" s="21" t="s">
        <v>3314</v>
      </c>
      <c r="D969" s="72" t="s">
        <v>3315</v>
      </c>
      <c r="E969" s="72"/>
      <c r="F969" s="72"/>
      <c r="G969" s="72"/>
      <c r="H969" s="22" t="s">
        <v>3316</v>
      </c>
      <c r="I969" s="27">
        <v>258</v>
      </c>
      <c r="J969" s="22"/>
      <c r="K969" s="20">
        <v>2</v>
      </c>
      <c r="L969" s="24">
        <v>376.21</v>
      </c>
      <c r="M969" s="11"/>
      <c r="N969" s="22">
        <f>L969*M969</f>
        <v>0</v>
      </c>
      <c r="O969" s="25">
        <f>0.055*M969</f>
        <v>0</v>
      </c>
      <c r="P969" s="26">
        <f>0.00109*M969</f>
        <v>0</v>
      </c>
      <c r="Q969" s="30"/>
      <c r="R969" s="22" t="s">
        <v>3317</v>
      </c>
      <c r="S969" s="22" t="s">
        <v>435</v>
      </c>
      <c r="T969" s="21" t="str">
        <f>HYPERLINK("https://miland.ru/api/getInfo/image/da8bd1a3-be7d-11ee-a25a-00155d82e908")</f>
        <v>https://miland.ru/api/getInfo/image/da8bd1a3-be7d-11ee-a25a-00155d82e908</v>
      </c>
      <c r="U969" s="21"/>
      <c r="V969" s="21" t="s">
        <v>710</v>
      </c>
      <c r="W969" s="21" t="s">
        <v>546</v>
      </c>
      <c r="X969" s="21"/>
      <c r="Y969" s="21" t="s">
        <v>41</v>
      </c>
      <c r="Z969" s="21"/>
      <c r="AA969" s="21" t="str">
        <f>HYPERLINK("https://miland.ru/api/getInfo/item/da8bd1a3-be7d-11ee-a25a-00155d82e908")</f>
        <v>https://miland.ru/api/getInfo/item/da8bd1a3-be7d-11ee-a25a-00155d82e908</v>
      </c>
      <c r="AB969" s="21" t="s">
        <v>42</v>
      </c>
      <c r="AC969" s="21" t="s">
        <v>788</v>
      </c>
      <c r="AD969" s="21"/>
    </row>
    <row r="970" spans="2:30" s="1" customFormat="1" ht="96.3" customHeight="1" outlineLevel="7">
      <c r="B970" s="20">
        <v>710</v>
      </c>
      <c r="C970" s="21" t="s">
        <v>3318</v>
      </c>
      <c r="D970" s="72" t="s">
        <v>3319</v>
      </c>
      <c r="E970" s="72"/>
      <c r="F970" s="72"/>
      <c r="G970" s="72"/>
      <c r="H970" s="22" t="s">
        <v>3320</v>
      </c>
      <c r="I970" s="27">
        <v>462</v>
      </c>
      <c r="J970" s="22"/>
      <c r="K970" s="20">
        <v>2</v>
      </c>
      <c r="L970" s="24">
        <v>324.79000000000002</v>
      </c>
      <c r="M970" s="11"/>
      <c r="N970" s="22">
        <f>L970*M970</f>
        <v>0</v>
      </c>
      <c r="O970" s="25">
        <f>0.055*M970</f>
        <v>0</v>
      </c>
      <c r="P970" s="26">
        <f>0.00108*M970</f>
        <v>0</v>
      </c>
      <c r="Q970" s="30"/>
      <c r="R970" s="22" t="s">
        <v>3321</v>
      </c>
      <c r="S970" s="22" t="s">
        <v>435</v>
      </c>
      <c r="T970" s="21" t="str">
        <f>HYPERLINK("https://miland.ru/api/getInfo/image/69f2d2de-be7d-11ee-a25a-00155d82e908")</f>
        <v>https://miland.ru/api/getInfo/image/69f2d2de-be7d-11ee-a25a-00155d82e908</v>
      </c>
      <c r="U970" s="21"/>
      <c r="V970" s="21" t="s">
        <v>710</v>
      </c>
      <c r="W970" s="21" t="s">
        <v>546</v>
      </c>
      <c r="X970" s="21"/>
      <c r="Y970" s="21" t="s">
        <v>41</v>
      </c>
      <c r="Z970" s="21"/>
      <c r="AA970" s="21" t="str">
        <f>HYPERLINK("https://miland.ru/api/getInfo/item/69f2d2de-be7d-11ee-a25a-00155d82e908")</f>
        <v>https://miland.ru/api/getInfo/item/69f2d2de-be7d-11ee-a25a-00155d82e908</v>
      </c>
      <c r="AB970" s="21" t="s">
        <v>42</v>
      </c>
      <c r="AC970" s="21" t="s">
        <v>788</v>
      </c>
      <c r="AD970" s="21"/>
    </row>
    <row r="971" spans="2:30" s="1" customFormat="1" ht="96.3" customHeight="1" outlineLevel="7">
      <c r="B971" s="20">
        <v>711</v>
      </c>
      <c r="C971" s="21" t="s">
        <v>3322</v>
      </c>
      <c r="D971" s="72" t="s">
        <v>3323</v>
      </c>
      <c r="E971" s="72"/>
      <c r="F971" s="72"/>
      <c r="G971" s="72"/>
      <c r="H971" s="22" t="s">
        <v>3324</v>
      </c>
      <c r="I971" s="27">
        <v>440</v>
      </c>
      <c r="J971" s="22"/>
      <c r="K971" s="20">
        <v>2</v>
      </c>
      <c r="L971" s="24">
        <v>324.79000000000002</v>
      </c>
      <c r="M971" s="11"/>
      <c r="N971" s="22">
        <f>L971*M971</f>
        <v>0</v>
      </c>
      <c r="O971" s="25">
        <f>0.055*M971</f>
        <v>0</v>
      </c>
      <c r="P971" s="26">
        <f>0.00109*M971</f>
        <v>0</v>
      </c>
      <c r="Q971" s="30"/>
      <c r="R971" s="22" t="s">
        <v>3325</v>
      </c>
      <c r="S971" s="22" t="s">
        <v>435</v>
      </c>
      <c r="T971" s="21" t="str">
        <f>HYPERLINK("https://miland.ru/api/getInfo/image/bcadaf01-be7d-11ee-a25a-00155d82e908")</f>
        <v>https://miland.ru/api/getInfo/image/bcadaf01-be7d-11ee-a25a-00155d82e908</v>
      </c>
      <c r="U971" s="21"/>
      <c r="V971" s="21" t="s">
        <v>710</v>
      </c>
      <c r="W971" s="21" t="s">
        <v>546</v>
      </c>
      <c r="X971" s="21"/>
      <c r="Y971" s="21" t="s">
        <v>41</v>
      </c>
      <c r="Z971" s="21"/>
      <c r="AA971" s="21" t="str">
        <f>HYPERLINK("https://miland.ru/api/getInfo/item/bcadaf01-be7d-11ee-a25a-00155d82e908")</f>
        <v>https://miland.ru/api/getInfo/item/bcadaf01-be7d-11ee-a25a-00155d82e908</v>
      </c>
      <c r="AB971" s="21" t="s">
        <v>42</v>
      </c>
      <c r="AC971" s="21" t="s">
        <v>788</v>
      </c>
      <c r="AD971" s="21"/>
    </row>
    <row r="972" spans="2:30" s="1" customFormat="1" ht="96.3" customHeight="1" outlineLevel="7">
      <c r="B972" s="20">
        <v>712</v>
      </c>
      <c r="C972" s="21" t="s">
        <v>3326</v>
      </c>
      <c r="D972" s="72" t="s">
        <v>3327</v>
      </c>
      <c r="E972" s="72"/>
      <c r="F972" s="72"/>
      <c r="G972" s="72"/>
      <c r="H972" s="22" t="s">
        <v>3328</v>
      </c>
      <c r="I972" s="27">
        <v>278</v>
      </c>
      <c r="J972" s="22"/>
      <c r="K972" s="20">
        <v>2</v>
      </c>
      <c r="L972" s="24">
        <v>376.21</v>
      </c>
      <c r="M972" s="11"/>
      <c r="N972" s="22">
        <f>L972*M972</f>
        <v>0</v>
      </c>
      <c r="O972" s="25">
        <f>0.055*M972</f>
        <v>0</v>
      </c>
      <c r="P972" s="26">
        <f>0.00109*M972</f>
        <v>0</v>
      </c>
      <c r="Q972" s="30"/>
      <c r="R972" s="22" t="s">
        <v>3329</v>
      </c>
      <c r="S972" s="22" t="s">
        <v>435</v>
      </c>
      <c r="T972" s="21" t="str">
        <f>HYPERLINK("https://miland.ru/api/getInfo/image/f97503d0-be7d-11ee-a25a-00155d82e908")</f>
        <v>https://miland.ru/api/getInfo/image/f97503d0-be7d-11ee-a25a-00155d82e908</v>
      </c>
      <c r="U972" s="21"/>
      <c r="V972" s="21" t="s">
        <v>710</v>
      </c>
      <c r="W972" s="21" t="s">
        <v>546</v>
      </c>
      <c r="X972" s="21"/>
      <c r="Y972" s="21" t="s">
        <v>41</v>
      </c>
      <c r="Z972" s="21"/>
      <c r="AA972" s="21" t="str">
        <f>HYPERLINK("https://miland.ru/api/getInfo/item/f97503d0-be7d-11ee-a25a-00155d82e908")</f>
        <v>https://miland.ru/api/getInfo/item/f97503d0-be7d-11ee-a25a-00155d82e908</v>
      </c>
      <c r="AB972" s="21" t="s">
        <v>42</v>
      </c>
      <c r="AC972" s="21" t="s">
        <v>788</v>
      </c>
      <c r="AD972" s="21"/>
    </row>
    <row r="973" spans="2:30" s="1" customFormat="1" ht="96.3" customHeight="1" outlineLevel="7">
      <c r="B973" s="20">
        <v>713</v>
      </c>
      <c r="C973" s="21" t="s">
        <v>3330</v>
      </c>
      <c r="D973" s="72" t="s">
        <v>3331</v>
      </c>
      <c r="E973" s="72"/>
      <c r="F973" s="72"/>
      <c r="G973" s="72"/>
      <c r="H973" s="22" t="s">
        <v>3332</v>
      </c>
      <c r="I973" s="27">
        <v>170</v>
      </c>
      <c r="J973" s="22"/>
      <c r="K973" s="20">
        <v>1</v>
      </c>
      <c r="L973" s="32">
        <v>1521.76</v>
      </c>
      <c r="M973" s="11"/>
      <c r="N973" s="22">
        <f>L973*M973</f>
        <v>0</v>
      </c>
      <c r="O973" s="25">
        <f>0.359*M973</f>
        <v>0</v>
      </c>
      <c r="P973" s="26">
        <f>0.00821*M973</f>
        <v>0</v>
      </c>
      <c r="Q973" s="30"/>
      <c r="R973" s="22" t="s">
        <v>3333</v>
      </c>
      <c r="S973" s="22" t="s">
        <v>435</v>
      </c>
      <c r="T973" s="21" t="str">
        <f>HYPERLINK("https://miland.ru/api/getInfo/image/fb831c22-95cc-11ef-a267-00155d82e908")</f>
        <v>https://miland.ru/api/getInfo/image/fb831c22-95cc-11ef-a267-00155d82e908</v>
      </c>
      <c r="U973" s="21"/>
      <c r="V973" s="21" t="s">
        <v>710</v>
      </c>
      <c r="W973" s="21" t="s">
        <v>546</v>
      </c>
      <c r="X973" s="21"/>
      <c r="Y973" s="21" t="s">
        <v>41</v>
      </c>
      <c r="Z973" s="21"/>
      <c r="AA973" s="21" t="str">
        <f>HYPERLINK("https://miland.ru/api/getInfo/item/fb831c22-95cc-11ef-a267-00155d82e908")</f>
        <v>https://miland.ru/api/getInfo/item/fb831c22-95cc-11ef-a267-00155d82e908</v>
      </c>
      <c r="AB973" s="21" t="s">
        <v>42</v>
      </c>
      <c r="AC973" s="21"/>
      <c r="AD973" s="21"/>
    </row>
    <row r="974" spans="2:30" ht="12" customHeight="1" outlineLevel="7">
      <c r="B974" s="70" t="s">
        <v>3334</v>
      </c>
      <c r="C974" s="70"/>
      <c r="D974" s="70"/>
      <c r="E974" s="70"/>
      <c r="F974" s="70"/>
      <c r="G974" s="70"/>
    </row>
    <row r="975" spans="2:30" s="1" customFormat="1" ht="96.3" customHeight="1" outlineLevel="7">
      <c r="B975" s="20">
        <v>714</v>
      </c>
      <c r="C975" s="21" t="s">
        <v>3335</v>
      </c>
      <c r="D975" s="72" t="s">
        <v>3336</v>
      </c>
      <c r="E975" s="72"/>
      <c r="F975" s="72"/>
      <c r="G975" s="72"/>
      <c r="H975" s="22" t="s">
        <v>3337</v>
      </c>
      <c r="I975" s="27">
        <v>339</v>
      </c>
      <c r="J975" s="22"/>
      <c r="K975" s="20">
        <v>2</v>
      </c>
      <c r="L975" s="24">
        <v>307.14999999999998</v>
      </c>
      <c r="M975" s="11"/>
      <c r="N975" s="22">
        <f>L975*M975</f>
        <v>0</v>
      </c>
      <c r="O975" s="25">
        <f>0.056*M975</f>
        <v>0</v>
      </c>
      <c r="P975" s="26">
        <f>0.00106*M975</f>
        <v>0</v>
      </c>
      <c r="Q975" s="30"/>
      <c r="R975" s="22" t="s">
        <v>3338</v>
      </c>
      <c r="S975" s="22" t="s">
        <v>435</v>
      </c>
      <c r="T975" s="21" t="str">
        <f>HYPERLINK("https://miland.ru/api/getInfo/image/864eaba4-be84-11ee-a25a-00155d82e908")</f>
        <v>https://miland.ru/api/getInfo/image/864eaba4-be84-11ee-a25a-00155d82e908</v>
      </c>
      <c r="U975" s="21"/>
      <c r="V975" s="21" t="s">
        <v>710</v>
      </c>
      <c r="W975" s="21" t="s">
        <v>546</v>
      </c>
      <c r="X975" s="21"/>
      <c r="Y975" s="21" t="s">
        <v>41</v>
      </c>
      <c r="Z975" s="21"/>
      <c r="AA975" s="21" t="str">
        <f>HYPERLINK("https://miland.ru/api/getInfo/item/864eaba4-be84-11ee-a25a-00155d82e908")</f>
        <v>https://miland.ru/api/getInfo/item/864eaba4-be84-11ee-a25a-00155d82e908</v>
      </c>
      <c r="AB975" s="21" t="s">
        <v>42</v>
      </c>
      <c r="AC975" s="21" t="s">
        <v>788</v>
      </c>
      <c r="AD975" s="21"/>
    </row>
    <row r="976" spans="2:30" s="1" customFormat="1" ht="96.3" customHeight="1" outlineLevel="7">
      <c r="B976" s="20">
        <v>715</v>
      </c>
      <c r="C976" s="21" t="s">
        <v>3339</v>
      </c>
      <c r="D976" s="72" t="s">
        <v>3340</v>
      </c>
      <c r="E976" s="72"/>
      <c r="F976" s="72"/>
      <c r="G976" s="72"/>
      <c r="H976" s="22" t="s">
        <v>3341</v>
      </c>
      <c r="I976" s="27">
        <v>473</v>
      </c>
      <c r="J976" s="22"/>
      <c r="K976" s="20">
        <v>2</v>
      </c>
      <c r="L976" s="24">
        <v>307.14999999999998</v>
      </c>
      <c r="M976" s="11"/>
      <c r="N976" s="22">
        <f>L976*M976</f>
        <v>0</v>
      </c>
      <c r="O976" s="25">
        <f>0.056*M976</f>
        <v>0</v>
      </c>
      <c r="P976" s="26">
        <f>0.00108*M976</f>
        <v>0</v>
      </c>
      <c r="Q976" s="30"/>
      <c r="R976" s="22" t="s">
        <v>3342</v>
      </c>
      <c r="S976" s="22" t="s">
        <v>435</v>
      </c>
      <c r="T976" s="21" t="str">
        <f>HYPERLINK("https://miland.ru/api/getInfo/image/4f9ea36b-be84-11ee-a25a-00155d82e908")</f>
        <v>https://miland.ru/api/getInfo/image/4f9ea36b-be84-11ee-a25a-00155d82e908</v>
      </c>
      <c r="U976" s="21"/>
      <c r="V976" s="21" t="s">
        <v>710</v>
      </c>
      <c r="W976" s="21" t="s">
        <v>546</v>
      </c>
      <c r="X976" s="21"/>
      <c r="Y976" s="21" t="s">
        <v>41</v>
      </c>
      <c r="Z976" s="21"/>
      <c r="AA976" s="21" t="str">
        <f>HYPERLINK("https://miland.ru/api/getInfo/item/4f9ea36b-be84-11ee-a25a-00155d82e908")</f>
        <v>https://miland.ru/api/getInfo/item/4f9ea36b-be84-11ee-a25a-00155d82e908</v>
      </c>
      <c r="AB976" s="21" t="s">
        <v>42</v>
      </c>
      <c r="AC976" s="21" t="s">
        <v>788</v>
      </c>
      <c r="AD976" s="21"/>
    </row>
    <row r="977" spans="2:30" s="1" customFormat="1" ht="96.3" customHeight="1" outlineLevel="7">
      <c r="B977" s="20">
        <v>716</v>
      </c>
      <c r="C977" s="21" t="s">
        <v>3343</v>
      </c>
      <c r="D977" s="72" t="s">
        <v>3344</v>
      </c>
      <c r="E977" s="72"/>
      <c r="F977" s="72"/>
      <c r="G977" s="72"/>
      <c r="H977" s="22" t="s">
        <v>3345</v>
      </c>
      <c r="I977" s="27">
        <v>443</v>
      </c>
      <c r="J977" s="22"/>
      <c r="K977" s="20">
        <v>2</v>
      </c>
      <c r="L977" s="24">
        <v>307.14999999999998</v>
      </c>
      <c r="M977" s="11"/>
      <c r="N977" s="22">
        <f>L977*M977</f>
        <v>0</v>
      </c>
      <c r="O977" s="25">
        <f>0.054*M977</f>
        <v>0</v>
      </c>
      <c r="P977" s="26">
        <f>0.00105*M977</f>
        <v>0</v>
      </c>
      <c r="Q977" s="30"/>
      <c r="R977" s="22" t="s">
        <v>3346</v>
      </c>
      <c r="S977" s="22" t="s">
        <v>435</v>
      </c>
      <c r="T977" s="21" t="str">
        <f>HYPERLINK("https://miland.ru/api/getInfo/image/6a083bdb-be84-11ee-a25a-00155d82e908")</f>
        <v>https://miland.ru/api/getInfo/image/6a083bdb-be84-11ee-a25a-00155d82e908</v>
      </c>
      <c r="U977" s="21"/>
      <c r="V977" s="21" t="s">
        <v>710</v>
      </c>
      <c r="W977" s="21" t="s">
        <v>546</v>
      </c>
      <c r="X977" s="21"/>
      <c r="Y977" s="21" t="s">
        <v>41</v>
      </c>
      <c r="Z977" s="21"/>
      <c r="AA977" s="21" t="str">
        <f>HYPERLINK("https://miland.ru/api/getInfo/item/6a083bdb-be84-11ee-a25a-00155d82e908")</f>
        <v>https://miland.ru/api/getInfo/item/6a083bdb-be84-11ee-a25a-00155d82e908</v>
      </c>
      <c r="AB977" s="21" t="s">
        <v>42</v>
      </c>
      <c r="AC977" s="21" t="s">
        <v>788</v>
      </c>
      <c r="AD977" s="21"/>
    </row>
    <row r="978" spans="2:30" s="1" customFormat="1" ht="96.3" customHeight="1" outlineLevel="7">
      <c r="B978" s="20">
        <v>717</v>
      </c>
      <c r="C978" s="21" t="s">
        <v>3347</v>
      </c>
      <c r="D978" s="72" t="s">
        <v>3348</v>
      </c>
      <c r="E978" s="72"/>
      <c r="F978" s="72"/>
      <c r="G978" s="72"/>
      <c r="H978" s="22" t="s">
        <v>3349</v>
      </c>
      <c r="I978" s="27">
        <v>490</v>
      </c>
      <c r="J978" s="22"/>
      <c r="K978" s="20">
        <v>2</v>
      </c>
      <c r="L978" s="24">
        <v>342.75</v>
      </c>
      <c r="M978" s="11"/>
      <c r="N978" s="22">
        <f>L978*M978</f>
        <v>0</v>
      </c>
      <c r="O978" s="25">
        <f>0.056*M978</f>
        <v>0</v>
      </c>
      <c r="P978" s="26">
        <f>0.00114*M978</f>
        <v>0</v>
      </c>
      <c r="Q978" s="30"/>
      <c r="R978" s="22" t="s">
        <v>3350</v>
      </c>
      <c r="S978" s="22" t="s">
        <v>435</v>
      </c>
      <c r="T978" s="21" t="str">
        <f>HYPERLINK("https://miland.ru/api/getInfo/image/2952cded-be84-11ee-a25a-00155d82e908")</f>
        <v>https://miland.ru/api/getInfo/image/2952cded-be84-11ee-a25a-00155d82e908</v>
      </c>
      <c r="U978" s="21"/>
      <c r="V978" s="21" t="s">
        <v>710</v>
      </c>
      <c r="W978" s="21" t="s">
        <v>546</v>
      </c>
      <c r="X978" s="21"/>
      <c r="Y978" s="21" t="s">
        <v>41</v>
      </c>
      <c r="Z978" s="21"/>
      <c r="AA978" s="21" t="str">
        <f>HYPERLINK("https://miland.ru/api/getInfo/item/2952cded-be84-11ee-a25a-00155d82e908")</f>
        <v>https://miland.ru/api/getInfo/item/2952cded-be84-11ee-a25a-00155d82e908</v>
      </c>
      <c r="AB978" s="21" t="s">
        <v>42</v>
      </c>
      <c r="AC978" s="21" t="s">
        <v>788</v>
      </c>
      <c r="AD978" s="21"/>
    </row>
    <row r="979" spans="2:30" ht="12" customHeight="1" outlineLevel="7">
      <c r="B979" s="70" t="s">
        <v>3351</v>
      </c>
      <c r="C979" s="70"/>
      <c r="D979" s="70"/>
      <c r="E979" s="70"/>
      <c r="F979" s="70"/>
      <c r="G979" s="70"/>
    </row>
    <row r="980" spans="2:30" s="1" customFormat="1" ht="96.3" customHeight="1" outlineLevel="7">
      <c r="B980" s="20">
        <v>718</v>
      </c>
      <c r="C980" s="21" t="s">
        <v>3352</v>
      </c>
      <c r="D980" s="72" t="s">
        <v>3353</v>
      </c>
      <c r="E980" s="72"/>
      <c r="F980" s="72"/>
      <c r="G980" s="72"/>
      <c r="H980" s="22" t="s">
        <v>3354</v>
      </c>
      <c r="I980" s="23" t="s">
        <v>36</v>
      </c>
      <c r="J980" s="22"/>
      <c r="K980" s="20">
        <v>1</v>
      </c>
      <c r="L980" s="24">
        <v>481.99</v>
      </c>
      <c r="M980" s="11"/>
      <c r="N980" s="22">
        <f>L980*M980</f>
        <v>0</v>
      </c>
      <c r="O980" s="25">
        <f>0.058*M980</f>
        <v>0</v>
      </c>
      <c r="P980" s="26">
        <f>0.00108*M980</f>
        <v>0</v>
      </c>
      <c r="Q980" s="30"/>
      <c r="R980" s="22" t="s">
        <v>3355</v>
      </c>
      <c r="S980" s="22" t="s">
        <v>435</v>
      </c>
      <c r="T980" s="21" t="str">
        <f>HYPERLINK("https://miland.ru/api/getInfo/image/7f5ab432-e6bf-11ee-a25a-00155d82e908")</f>
        <v>https://miland.ru/api/getInfo/image/7f5ab432-e6bf-11ee-a25a-00155d82e908</v>
      </c>
      <c r="U980" s="21"/>
      <c r="V980" s="21" t="s">
        <v>710</v>
      </c>
      <c r="W980" s="21" t="s">
        <v>546</v>
      </c>
      <c r="X980" s="21"/>
      <c r="Y980" s="21" t="s">
        <v>41</v>
      </c>
      <c r="Z980" s="21"/>
      <c r="AA980" s="21" t="str">
        <f>HYPERLINK("https://miland.ru/api/getInfo/item/7f5ab432-e6bf-11ee-a25a-00155d82e908")</f>
        <v>https://miland.ru/api/getInfo/item/7f5ab432-e6bf-11ee-a25a-00155d82e908</v>
      </c>
      <c r="AB980" s="21" t="s">
        <v>42</v>
      </c>
      <c r="AC980" s="21" t="s">
        <v>788</v>
      </c>
      <c r="AD980" s="21"/>
    </row>
    <row r="981" spans="2:30" s="1" customFormat="1" ht="96.3" customHeight="1" outlineLevel="7">
      <c r="B981" s="20">
        <v>719</v>
      </c>
      <c r="C981" s="21" t="s">
        <v>3356</v>
      </c>
      <c r="D981" s="72" t="s">
        <v>3357</v>
      </c>
      <c r="E981" s="72"/>
      <c r="F981" s="72"/>
      <c r="G981" s="72"/>
      <c r="H981" s="22" t="s">
        <v>3358</v>
      </c>
      <c r="I981" s="27">
        <v>241</v>
      </c>
      <c r="J981" s="22"/>
      <c r="K981" s="20">
        <v>2</v>
      </c>
      <c r="L981" s="24">
        <v>324.79000000000002</v>
      </c>
      <c r="M981" s="11"/>
      <c r="N981" s="22">
        <f>L981*M981</f>
        <v>0</v>
      </c>
      <c r="O981" s="25">
        <f>0.058*M981</f>
        <v>0</v>
      </c>
      <c r="P981" s="26">
        <f>0.00111*M981</f>
        <v>0</v>
      </c>
      <c r="Q981" s="30"/>
      <c r="R981" s="22" t="s">
        <v>3359</v>
      </c>
      <c r="S981" s="22" t="s">
        <v>435</v>
      </c>
      <c r="T981" s="21" t="str">
        <f>HYPERLINK("https://miland.ru/api/getInfo/image/d2c868a8-e6bf-11ee-a25a-00155d82e908")</f>
        <v>https://miland.ru/api/getInfo/image/d2c868a8-e6bf-11ee-a25a-00155d82e908</v>
      </c>
      <c r="U981" s="21"/>
      <c r="V981" s="21" t="s">
        <v>710</v>
      </c>
      <c r="W981" s="21" t="s">
        <v>546</v>
      </c>
      <c r="X981" s="21"/>
      <c r="Y981" s="21" t="s">
        <v>41</v>
      </c>
      <c r="Z981" s="21"/>
      <c r="AA981" s="21" t="str">
        <f>HYPERLINK("https://miland.ru/api/getInfo/item/d2c868a8-e6bf-11ee-a25a-00155d82e908")</f>
        <v>https://miland.ru/api/getInfo/item/d2c868a8-e6bf-11ee-a25a-00155d82e908</v>
      </c>
      <c r="AB981" s="21" t="s">
        <v>42</v>
      </c>
      <c r="AC981" s="21" t="s">
        <v>788</v>
      </c>
      <c r="AD981" s="21"/>
    </row>
    <row r="982" spans="2:30" s="1" customFormat="1" ht="96.3" customHeight="1" outlineLevel="7">
      <c r="B982" s="20">
        <v>720</v>
      </c>
      <c r="C982" s="21" t="s">
        <v>3360</v>
      </c>
      <c r="D982" s="72" t="s">
        <v>3361</v>
      </c>
      <c r="E982" s="72"/>
      <c r="F982" s="72"/>
      <c r="G982" s="72"/>
      <c r="H982" s="22" t="s">
        <v>3362</v>
      </c>
      <c r="I982" s="27">
        <v>206</v>
      </c>
      <c r="J982" s="22"/>
      <c r="K982" s="20">
        <v>2</v>
      </c>
      <c r="L982" s="24">
        <v>324.79000000000002</v>
      </c>
      <c r="M982" s="11"/>
      <c r="N982" s="22">
        <f>L982*M982</f>
        <v>0</v>
      </c>
      <c r="O982" s="28">
        <f>0.06*M982</f>
        <v>0</v>
      </c>
      <c r="P982" s="26">
        <f>0.00106*M982</f>
        <v>0</v>
      </c>
      <c r="Q982" s="30"/>
      <c r="R982" s="22" t="s">
        <v>3363</v>
      </c>
      <c r="S982" s="22" t="s">
        <v>435</v>
      </c>
      <c r="T982" s="21" t="str">
        <f>HYPERLINK("https://miland.ru/api/getInfo/image/bc2b895a-e6bf-11ee-a25a-00155d82e908")</f>
        <v>https://miland.ru/api/getInfo/image/bc2b895a-e6bf-11ee-a25a-00155d82e908</v>
      </c>
      <c r="U982" s="21"/>
      <c r="V982" s="21" t="s">
        <v>710</v>
      </c>
      <c r="W982" s="21" t="s">
        <v>546</v>
      </c>
      <c r="X982" s="21"/>
      <c r="Y982" s="21" t="s">
        <v>41</v>
      </c>
      <c r="Z982" s="21"/>
      <c r="AA982" s="21" t="str">
        <f>HYPERLINK("https://miland.ru/api/getInfo/item/bc2b895a-e6bf-11ee-a25a-00155d82e908")</f>
        <v>https://miland.ru/api/getInfo/item/bc2b895a-e6bf-11ee-a25a-00155d82e908</v>
      </c>
      <c r="AB982" s="21" t="s">
        <v>42</v>
      </c>
      <c r="AC982" s="21" t="s">
        <v>788</v>
      </c>
      <c r="AD982" s="21"/>
    </row>
    <row r="983" spans="2:30" s="1" customFormat="1" ht="96.3" customHeight="1" outlineLevel="7">
      <c r="B983" s="20">
        <v>721</v>
      </c>
      <c r="C983" s="21" t="s">
        <v>3364</v>
      </c>
      <c r="D983" s="72" t="s">
        <v>3365</v>
      </c>
      <c r="E983" s="72"/>
      <c r="F983" s="72"/>
      <c r="G983" s="72"/>
      <c r="H983" s="22" t="s">
        <v>3366</v>
      </c>
      <c r="I983" s="27">
        <v>92</v>
      </c>
      <c r="J983" s="22"/>
      <c r="K983" s="20">
        <v>1</v>
      </c>
      <c r="L983" s="32">
        <v>1094.1400000000001</v>
      </c>
      <c r="M983" s="11"/>
      <c r="N983" s="22">
        <f>L983*M983</f>
        <v>0</v>
      </c>
      <c r="O983" s="28">
        <f>3.05*M983</f>
        <v>0</v>
      </c>
      <c r="P983" s="29">
        <f>0.1152*M983</f>
        <v>0</v>
      </c>
      <c r="Q983" s="30"/>
      <c r="R983" s="22" t="s">
        <v>3367</v>
      </c>
      <c r="S983" s="22" t="s">
        <v>435</v>
      </c>
      <c r="T983" s="21" t="str">
        <f>HYPERLINK("https://miland.ru/api/getInfo/image/689001d7-95cc-11ef-a267-00155d82e908")</f>
        <v>https://miland.ru/api/getInfo/image/689001d7-95cc-11ef-a267-00155d82e908</v>
      </c>
      <c r="U983" s="21"/>
      <c r="V983" s="21" t="s">
        <v>710</v>
      </c>
      <c r="W983" s="21" t="s">
        <v>546</v>
      </c>
      <c r="X983" s="21"/>
      <c r="Y983" s="21" t="s">
        <v>41</v>
      </c>
      <c r="Z983" s="21"/>
      <c r="AA983" s="21" t="str">
        <f>HYPERLINK("https://miland.ru/api/getInfo/item/689001d7-95cc-11ef-a267-00155d82e908")</f>
        <v>https://miland.ru/api/getInfo/item/689001d7-95cc-11ef-a267-00155d82e908</v>
      </c>
      <c r="AB983" s="21" t="s">
        <v>42</v>
      </c>
      <c r="AC983" s="21"/>
      <c r="AD983" s="21"/>
    </row>
    <row r="984" spans="2:30" s="1" customFormat="1" ht="96.3" customHeight="1" outlineLevel="7">
      <c r="B984" s="20">
        <v>722</v>
      </c>
      <c r="C984" s="21" t="s">
        <v>3368</v>
      </c>
      <c r="D984" s="72" t="s">
        <v>3369</v>
      </c>
      <c r="E984" s="72"/>
      <c r="F984" s="72"/>
      <c r="G984" s="72"/>
      <c r="H984" s="22" t="s">
        <v>3370</v>
      </c>
      <c r="I984" s="27">
        <v>312</v>
      </c>
      <c r="J984" s="22"/>
      <c r="K984" s="20">
        <v>2</v>
      </c>
      <c r="L984" s="24">
        <v>324.79000000000002</v>
      </c>
      <c r="M984" s="11"/>
      <c r="N984" s="22">
        <f>L984*M984</f>
        <v>0</v>
      </c>
      <c r="O984" s="25">
        <f>0.061*M984</f>
        <v>0</v>
      </c>
      <c r="P984" s="26">
        <f>0.00113*M984</f>
        <v>0</v>
      </c>
      <c r="Q984" s="30"/>
      <c r="R984" s="22" t="s">
        <v>3371</v>
      </c>
      <c r="S984" s="22" t="s">
        <v>435</v>
      </c>
      <c r="T984" s="21" t="str">
        <f>HYPERLINK("https://miland.ru/api/getInfo/image/a512b7d6-e6bf-11ee-a25a-00155d82e908")</f>
        <v>https://miland.ru/api/getInfo/image/a512b7d6-e6bf-11ee-a25a-00155d82e908</v>
      </c>
      <c r="U984" s="21"/>
      <c r="V984" s="21" t="s">
        <v>710</v>
      </c>
      <c r="W984" s="21" t="s">
        <v>546</v>
      </c>
      <c r="X984" s="21"/>
      <c r="Y984" s="21" t="s">
        <v>41</v>
      </c>
      <c r="Z984" s="21"/>
      <c r="AA984" s="21" t="str">
        <f>HYPERLINK("https://miland.ru/api/getInfo/item/a512b7d6-e6bf-11ee-a25a-00155d82e908")</f>
        <v>https://miland.ru/api/getInfo/item/a512b7d6-e6bf-11ee-a25a-00155d82e908</v>
      </c>
      <c r="AB984" s="21" t="s">
        <v>42</v>
      </c>
      <c r="AC984" s="21" t="s">
        <v>788</v>
      </c>
      <c r="AD984" s="21"/>
    </row>
    <row r="985" spans="2:30" ht="12" customHeight="1" outlineLevel="5">
      <c r="B985" s="70" t="s">
        <v>3372</v>
      </c>
      <c r="C985" s="70"/>
      <c r="D985" s="70"/>
      <c r="E985" s="70"/>
      <c r="F985" s="70"/>
      <c r="G985" s="70"/>
    </row>
    <row r="986" spans="2:30" ht="12" customHeight="1" outlineLevel="6">
      <c r="B986" s="70" t="s">
        <v>3373</v>
      </c>
      <c r="C986" s="70"/>
      <c r="D986" s="70"/>
      <c r="E986" s="70"/>
      <c r="F986" s="70"/>
      <c r="G986" s="70"/>
    </row>
    <row r="987" spans="2:30" s="1" customFormat="1" ht="96.3" customHeight="1" outlineLevel="7">
      <c r="B987" s="20">
        <v>723</v>
      </c>
      <c r="C987" s="21" t="s">
        <v>3374</v>
      </c>
      <c r="D987" s="72" t="s">
        <v>3375</v>
      </c>
      <c r="E987" s="72"/>
      <c r="F987" s="72"/>
      <c r="G987" s="72"/>
      <c r="H987" s="22" t="s">
        <v>3376</v>
      </c>
      <c r="I987" s="23" t="s">
        <v>36</v>
      </c>
      <c r="J987" s="22"/>
      <c r="K987" s="20">
        <v>2</v>
      </c>
      <c r="L987" s="24">
        <v>278.8</v>
      </c>
      <c r="M987" s="11"/>
      <c r="N987" s="22">
        <f t="shared" ref="N987:N995" si="40">L987*M987</f>
        <v>0</v>
      </c>
      <c r="O987" s="25">
        <f>0.054*M987</f>
        <v>0</v>
      </c>
      <c r="P987" s="26">
        <f>0.00082*M987</f>
        <v>0</v>
      </c>
      <c r="Q987" s="30"/>
      <c r="R987" s="22" t="s">
        <v>3377</v>
      </c>
      <c r="S987" s="22"/>
      <c r="T987" s="21" t="str">
        <f>HYPERLINK("https://miland.ru/api/getInfo/image/e1e0d67c-8a3c-11ec-a211-ac1f6b442185")</f>
        <v>https://miland.ru/api/getInfo/image/e1e0d67c-8a3c-11ec-a211-ac1f6b442185</v>
      </c>
      <c r="U987" s="21"/>
      <c r="V987" s="21" t="s">
        <v>710</v>
      </c>
      <c r="W987" s="21" t="s">
        <v>82</v>
      </c>
      <c r="X987" s="21"/>
      <c r="Y987" s="21" t="s">
        <v>41</v>
      </c>
      <c r="Z987" s="21"/>
      <c r="AA987" s="21" t="str">
        <f>HYPERLINK("https://miland.ru/api/getInfo/item/e1e0d67c-8a3c-11ec-a211-ac1f6b442185")</f>
        <v>https://miland.ru/api/getInfo/item/e1e0d67c-8a3c-11ec-a211-ac1f6b442185</v>
      </c>
      <c r="AB987" s="21" t="s">
        <v>42</v>
      </c>
      <c r="AC987" s="21" t="s">
        <v>3378</v>
      </c>
      <c r="AD987" s="21"/>
    </row>
    <row r="988" spans="2:30" s="1" customFormat="1" ht="96.3" customHeight="1" outlineLevel="7">
      <c r="B988" s="20">
        <v>724</v>
      </c>
      <c r="C988" s="21" t="s">
        <v>3379</v>
      </c>
      <c r="D988" s="72" t="s">
        <v>3380</v>
      </c>
      <c r="E988" s="72"/>
      <c r="F988" s="72"/>
      <c r="G988" s="72"/>
      <c r="H988" s="22" t="s">
        <v>3381</v>
      </c>
      <c r="I988" s="23" t="s">
        <v>36</v>
      </c>
      <c r="J988" s="22"/>
      <c r="K988" s="20">
        <v>2</v>
      </c>
      <c r="L988" s="24">
        <v>278.8</v>
      </c>
      <c r="M988" s="11"/>
      <c r="N988" s="22">
        <f t="shared" si="40"/>
        <v>0</v>
      </c>
      <c r="O988" s="25">
        <f>0.052*M988</f>
        <v>0</v>
      </c>
      <c r="P988" s="26">
        <f>0.00064*M988</f>
        <v>0</v>
      </c>
      <c r="Q988" s="30"/>
      <c r="R988" s="22" t="s">
        <v>3382</v>
      </c>
      <c r="S988" s="22"/>
      <c r="T988" s="21" t="str">
        <f>HYPERLINK("https://miland.ru/api/getInfo/image/431e1544-8a3d-11ec-a211-ac1f6b442185")</f>
        <v>https://miland.ru/api/getInfo/image/431e1544-8a3d-11ec-a211-ac1f6b442185</v>
      </c>
      <c r="U988" s="21"/>
      <c r="V988" s="21" t="s">
        <v>710</v>
      </c>
      <c r="W988" s="21" t="s">
        <v>82</v>
      </c>
      <c r="X988" s="21"/>
      <c r="Y988" s="21" t="s">
        <v>41</v>
      </c>
      <c r="Z988" s="21"/>
      <c r="AA988" s="21" t="str">
        <f>HYPERLINK("https://miland.ru/api/getInfo/item/431e1544-8a3d-11ec-a211-ac1f6b442185")</f>
        <v>https://miland.ru/api/getInfo/item/431e1544-8a3d-11ec-a211-ac1f6b442185</v>
      </c>
      <c r="AB988" s="21" t="s">
        <v>42</v>
      </c>
      <c r="AC988" s="21" t="s">
        <v>3378</v>
      </c>
      <c r="AD988" s="21"/>
    </row>
    <row r="989" spans="2:30" s="1" customFormat="1" ht="96.3" customHeight="1" outlineLevel="7">
      <c r="B989" s="20">
        <v>725</v>
      </c>
      <c r="C989" s="21" t="s">
        <v>3383</v>
      </c>
      <c r="D989" s="72" t="s">
        <v>3384</v>
      </c>
      <c r="E989" s="72"/>
      <c r="F989" s="72"/>
      <c r="G989" s="72"/>
      <c r="H989" s="22" t="s">
        <v>3385</v>
      </c>
      <c r="I989" s="23" t="s">
        <v>36</v>
      </c>
      <c r="J989" s="22"/>
      <c r="K989" s="20">
        <v>2</v>
      </c>
      <c r="L989" s="24">
        <v>278.8</v>
      </c>
      <c r="M989" s="11"/>
      <c r="N989" s="22">
        <f t="shared" si="40"/>
        <v>0</v>
      </c>
      <c r="O989" s="25">
        <f>0.046*M989</f>
        <v>0</v>
      </c>
      <c r="P989" s="26">
        <f>0.00108*M989</f>
        <v>0</v>
      </c>
      <c r="Q989" s="30"/>
      <c r="R989" s="22" t="s">
        <v>3386</v>
      </c>
      <c r="S989" s="22"/>
      <c r="T989" s="21" t="str">
        <f>HYPERLINK("https://miland.ru/api/getInfo/image/828c6663-8a3c-11ec-a211-ac1f6b442185")</f>
        <v>https://miland.ru/api/getInfo/image/828c6663-8a3c-11ec-a211-ac1f6b442185</v>
      </c>
      <c r="U989" s="21"/>
      <c r="V989" s="21" t="s">
        <v>710</v>
      </c>
      <c r="W989" s="21" t="s">
        <v>82</v>
      </c>
      <c r="X989" s="21"/>
      <c r="Y989" s="21" t="s">
        <v>41</v>
      </c>
      <c r="Z989" s="21"/>
      <c r="AA989" s="21" t="str">
        <f>HYPERLINK("https://miland.ru/api/getInfo/item/828c6663-8a3c-11ec-a211-ac1f6b442185")</f>
        <v>https://miland.ru/api/getInfo/item/828c6663-8a3c-11ec-a211-ac1f6b442185</v>
      </c>
      <c r="AB989" s="21" t="s">
        <v>42</v>
      </c>
      <c r="AC989" s="21" t="s">
        <v>3378</v>
      </c>
      <c r="AD989" s="21"/>
    </row>
    <row r="990" spans="2:30" s="1" customFormat="1" ht="96.3" customHeight="1" outlineLevel="7">
      <c r="B990" s="20">
        <v>726</v>
      </c>
      <c r="C990" s="21" t="s">
        <v>3387</v>
      </c>
      <c r="D990" s="72" t="s">
        <v>3388</v>
      </c>
      <c r="E990" s="72"/>
      <c r="F990" s="72"/>
      <c r="G990" s="72"/>
      <c r="H990" s="22" t="s">
        <v>3389</v>
      </c>
      <c r="I990" s="27">
        <v>265</v>
      </c>
      <c r="J990" s="22"/>
      <c r="K990" s="20">
        <v>1</v>
      </c>
      <c r="L990" s="24">
        <v>952.9</v>
      </c>
      <c r="M990" s="11"/>
      <c r="N990" s="22">
        <f t="shared" si="40"/>
        <v>0</v>
      </c>
      <c r="O990" s="25">
        <f>0.184*M990</f>
        <v>0</v>
      </c>
      <c r="P990" s="26">
        <f>0.00273*M990</f>
        <v>0</v>
      </c>
      <c r="Q990" s="30"/>
      <c r="R990" s="22" t="s">
        <v>3390</v>
      </c>
      <c r="S990" s="22" t="s">
        <v>435</v>
      </c>
      <c r="T990" s="21" t="str">
        <f>HYPERLINK("https://miland.ru/api/getInfo/image/24774f38-8a3c-11ec-a211-ac1f6b442185")</f>
        <v>https://miland.ru/api/getInfo/image/24774f38-8a3c-11ec-a211-ac1f6b442185</v>
      </c>
      <c r="U990" s="21"/>
      <c r="V990" s="21" t="s">
        <v>710</v>
      </c>
      <c r="W990" s="21" t="s">
        <v>82</v>
      </c>
      <c r="X990" s="21"/>
      <c r="Y990" s="21" t="s">
        <v>41</v>
      </c>
      <c r="Z990" s="21"/>
      <c r="AA990" s="21" t="str">
        <f>HYPERLINK("https://miland.ru/api/getInfo/item/24774f38-8a3c-11ec-a211-ac1f6b442185")</f>
        <v>https://miland.ru/api/getInfo/item/24774f38-8a3c-11ec-a211-ac1f6b442185</v>
      </c>
      <c r="AB990" s="21" t="s">
        <v>42</v>
      </c>
      <c r="AC990" s="21" t="s">
        <v>3391</v>
      </c>
      <c r="AD990" s="21"/>
    </row>
    <row r="991" spans="2:30" s="1" customFormat="1" ht="96.3" customHeight="1" outlineLevel="7">
      <c r="B991" s="20">
        <v>727</v>
      </c>
      <c r="C991" s="21" t="s">
        <v>3392</v>
      </c>
      <c r="D991" s="72" t="s">
        <v>3393</v>
      </c>
      <c r="E991" s="72"/>
      <c r="F991" s="72"/>
      <c r="G991" s="72"/>
      <c r="H991" s="22" t="s">
        <v>3394</v>
      </c>
      <c r="I991" s="27">
        <v>428</v>
      </c>
      <c r="J991" s="22"/>
      <c r="K991" s="20">
        <v>1</v>
      </c>
      <c r="L991" s="24">
        <v>952.9</v>
      </c>
      <c r="M991" s="11"/>
      <c r="N991" s="22">
        <f t="shared" si="40"/>
        <v>0</v>
      </c>
      <c r="O991" s="25">
        <f>0.195*M991</f>
        <v>0</v>
      </c>
      <c r="P991" s="26">
        <f>0.00221*M991</f>
        <v>0</v>
      </c>
      <c r="Q991" s="30"/>
      <c r="R991" s="22" t="s">
        <v>3395</v>
      </c>
      <c r="S991" s="22"/>
      <c r="T991" s="21" t="str">
        <f>HYPERLINK("https://miland.ru/api/getInfo/image/a93ff162-8a3b-11ec-a211-ac1f6b442185")</f>
        <v>https://miland.ru/api/getInfo/image/a93ff162-8a3b-11ec-a211-ac1f6b442185</v>
      </c>
      <c r="U991" s="21"/>
      <c r="V991" s="21" t="s">
        <v>710</v>
      </c>
      <c r="W991" s="21" t="s">
        <v>82</v>
      </c>
      <c r="X991" s="21"/>
      <c r="Y991" s="21" t="s">
        <v>41</v>
      </c>
      <c r="Z991" s="21"/>
      <c r="AA991" s="21" t="str">
        <f>HYPERLINK("https://miland.ru/api/getInfo/item/a93ff162-8a3b-11ec-a211-ac1f6b442185")</f>
        <v>https://miland.ru/api/getInfo/item/a93ff162-8a3b-11ec-a211-ac1f6b442185</v>
      </c>
      <c r="AB991" s="21" t="s">
        <v>42</v>
      </c>
      <c r="AC991" s="21" t="s">
        <v>3391</v>
      </c>
      <c r="AD991" s="21"/>
    </row>
    <row r="992" spans="2:30" s="1" customFormat="1" ht="96.3" customHeight="1" outlineLevel="7">
      <c r="B992" s="20">
        <v>728</v>
      </c>
      <c r="C992" s="21" t="s">
        <v>3396</v>
      </c>
      <c r="D992" s="72" t="s">
        <v>3397</v>
      </c>
      <c r="E992" s="72"/>
      <c r="F992" s="72"/>
      <c r="G992" s="72"/>
      <c r="H992" s="22" t="s">
        <v>3398</v>
      </c>
      <c r="I992" s="27">
        <v>317</v>
      </c>
      <c r="J992" s="22"/>
      <c r="K992" s="20">
        <v>1</v>
      </c>
      <c r="L992" s="32">
        <v>1108.47</v>
      </c>
      <c r="M992" s="11"/>
      <c r="N992" s="22">
        <f t="shared" si="40"/>
        <v>0</v>
      </c>
      <c r="O992" s="25">
        <f>0.306*M992</f>
        <v>0</v>
      </c>
      <c r="P992" s="26">
        <f>0.00437*M992</f>
        <v>0</v>
      </c>
      <c r="Q992" s="30"/>
      <c r="R992" s="22" t="s">
        <v>3399</v>
      </c>
      <c r="S992" s="22"/>
      <c r="T992" s="21" t="str">
        <f>HYPERLINK("https://miland.ru/api/getInfo/image/47655473-8a3b-11ec-a211-ac1f6b442185")</f>
        <v>https://miland.ru/api/getInfo/image/47655473-8a3b-11ec-a211-ac1f6b442185</v>
      </c>
      <c r="U992" s="21"/>
      <c r="V992" s="21" t="s">
        <v>710</v>
      </c>
      <c r="W992" s="21" t="s">
        <v>82</v>
      </c>
      <c r="X992" s="21"/>
      <c r="Y992" s="21" t="s">
        <v>41</v>
      </c>
      <c r="Z992" s="21"/>
      <c r="AA992" s="21" t="str">
        <f>HYPERLINK("https://miland.ru/api/getInfo/item/47655473-8a3b-11ec-a211-ac1f6b442185")</f>
        <v>https://miland.ru/api/getInfo/item/47655473-8a3b-11ec-a211-ac1f6b442185</v>
      </c>
      <c r="AB992" s="21" t="s">
        <v>42</v>
      </c>
      <c r="AC992" s="21" t="s">
        <v>3391</v>
      </c>
      <c r="AD992" s="21"/>
    </row>
    <row r="993" spans="2:31" s="1" customFormat="1" ht="96.3" customHeight="1" outlineLevel="7">
      <c r="B993" s="20">
        <v>729</v>
      </c>
      <c r="C993" s="21" t="s">
        <v>3400</v>
      </c>
      <c r="D993" s="72" t="s">
        <v>3401</v>
      </c>
      <c r="E993" s="72"/>
      <c r="F993" s="72"/>
      <c r="G993" s="72"/>
      <c r="H993" s="22" t="s">
        <v>3402</v>
      </c>
      <c r="I993" s="23" t="s">
        <v>36</v>
      </c>
      <c r="J993" s="22"/>
      <c r="K993" s="20">
        <v>4</v>
      </c>
      <c r="L993" s="24">
        <v>173</v>
      </c>
      <c r="M993" s="11"/>
      <c r="N993" s="22">
        <f t="shared" si="40"/>
        <v>0</v>
      </c>
      <c r="O993" s="25">
        <f>0.037*M993</f>
        <v>0</v>
      </c>
      <c r="P993" s="26">
        <f>0.00023*M993</f>
        <v>0</v>
      </c>
      <c r="Q993" s="30"/>
      <c r="R993" s="22" t="s">
        <v>3403</v>
      </c>
      <c r="S993" s="22"/>
      <c r="T993" s="21" t="str">
        <f>HYPERLINK("https://miland.ru/api/getInfo/image/691ffe88-0cab-11ec-a20e-ac1f6b442185")</f>
        <v>https://miland.ru/api/getInfo/image/691ffe88-0cab-11ec-a20e-ac1f6b442185</v>
      </c>
      <c r="U993" s="21"/>
      <c r="V993" s="21" t="s">
        <v>710</v>
      </c>
      <c r="W993" s="21" t="s">
        <v>82</v>
      </c>
      <c r="X993" s="21"/>
      <c r="Y993" s="21" t="s">
        <v>41</v>
      </c>
      <c r="Z993" s="21"/>
      <c r="AA993" s="21" t="str">
        <f>HYPERLINK("https://miland.ru/api/getInfo/item/691ffe88-0cab-11ec-a20e-ac1f6b442185")</f>
        <v>https://miland.ru/api/getInfo/item/691ffe88-0cab-11ec-a20e-ac1f6b442185</v>
      </c>
      <c r="AB993" s="21" t="s">
        <v>42</v>
      </c>
      <c r="AC993" s="21" t="s">
        <v>3404</v>
      </c>
      <c r="AD993" s="21"/>
    </row>
    <row r="994" spans="2:31" s="1" customFormat="1" ht="96.3" customHeight="1" outlineLevel="7">
      <c r="B994" s="20">
        <v>730</v>
      </c>
      <c r="C994" s="21" t="s">
        <v>3405</v>
      </c>
      <c r="D994" s="72" t="s">
        <v>3406</v>
      </c>
      <c r="E994" s="72"/>
      <c r="F994" s="72"/>
      <c r="G994" s="72"/>
      <c r="H994" s="22" t="s">
        <v>3407</v>
      </c>
      <c r="I994" s="23" t="s">
        <v>36</v>
      </c>
      <c r="J994" s="22"/>
      <c r="K994" s="20">
        <v>3</v>
      </c>
      <c r="L994" s="24">
        <v>204.3</v>
      </c>
      <c r="M994" s="11"/>
      <c r="N994" s="22">
        <f t="shared" si="40"/>
        <v>0</v>
      </c>
      <c r="O994" s="25">
        <f>0.029*M994</f>
        <v>0</v>
      </c>
      <c r="P994" s="26">
        <f>0.00037*M994</f>
        <v>0</v>
      </c>
      <c r="Q994" s="30"/>
      <c r="R994" s="22" t="s">
        <v>3408</v>
      </c>
      <c r="S994" s="22"/>
      <c r="T994" s="21" t="str">
        <f>HYPERLINK("https://miland.ru/api/getInfo/image/ab48c18d-9909-11eb-a201-ac1f6b442185")</f>
        <v>https://miland.ru/api/getInfo/image/ab48c18d-9909-11eb-a201-ac1f6b442185</v>
      </c>
      <c r="U994" s="21"/>
      <c r="V994" s="21" t="s">
        <v>710</v>
      </c>
      <c r="W994" s="21" t="s">
        <v>82</v>
      </c>
      <c r="X994" s="21"/>
      <c r="Y994" s="21" t="s">
        <v>41</v>
      </c>
      <c r="Z994" s="21"/>
      <c r="AA994" s="21" t="str">
        <f>HYPERLINK("https://miland.ru/api/getInfo/item/ab48c18d-9909-11eb-a201-ac1f6b442185")</f>
        <v>https://miland.ru/api/getInfo/item/ab48c18d-9909-11eb-a201-ac1f6b442185</v>
      </c>
      <c r="AB994" s="21" t="s">
        <v>42</v>
      </c>
      <c r="AC994" s="21" t="s">
        <v>3404</v>
      </c>
      <c r="AD994" s="21"/>
    </row>
    <row r="995" spans="2:31" s="1" customFormat="1" ht="96.3" customHeight="1" outlineLevel="7">
      <c r="B995" s="20">
        <v>731</v>
      </c>
      <c r="C995" s="21" t="s">
        <v>3409</v>
      </c>
      <c r="D995" s="72" t="s">
        <v>3410</v>
      </c>
      <c r="E995" s="72"/>
      <c r="F995" s="72"/>
      <c r="G995" s="72"/>
      <c r="H995" s="22" t="s">
        <v>3411</v>
      </c>
      <c r="I995" s="23" t="s">
        <v>36</v>
      </c>
      <c r="J995" s="22"/>
      <c r="K995" s="20">
        <v>3</v>
      </c>
      <c r="L995" s="24">
        <v>204.3</v>
      </c>
      <c r="M995" s="11"/>
      <c r="N995" s="22">
        <f t="shared" si="40"/>
        <v>0</v>
      </c>
      <c r="O995" s="25">
        <f>0.029*M995</f>
        <v>0</v>
      </c>
      <c r="P995" s="26">
        <f>0.00037*M995</f>
        <v>0</v>
      </c>
      <c r="Q995" s="30"/>
      <c r="R995" s="22" t="s">
        <v>3412</v>
      </c>
      <c r="S995" s="22"/>
      <c r="T995" s="21" t="str">
        <f>HYPERLINK("https://miland.ru/api/getInfo/image/29c33958-9909-11eb-a201-ac1f6b442185")</f>
        <v>https://miland.ru/api/getInfo/image/29c33958-9909-11eb-a201-ac1f6b442185</v>
      </c>
      <c r="U995" s="21"/>
      <c r="V995" s="21" t="s">
        <v>710</v>
      </c>
      <c r="W995" s="21" t="s">
        <v>82</v>
      </c>
      <c r="X995" s="21"/>
      <c r="Y995" s="21" t="s">
        <v>41</v>
      </c>
      <c r="Z995" s="21"/>
      <c r="AA995" s="21" t="str">
        <f>HYPERLINK("https://miland.ru/api/getInfo/item/29c33958-9909-11eb-a201-ac1f6b442185")</f>
        <v>https://miland.ru/api/getInfo/item/29c33958-9909-11eb-a201-ac1f6b442185</v>
      </c>
      <c r="AB995" s="21" t="s">
        <v>42</v>
      </c>
      <c r="AC995" s="21" t="s">
        <v>3404</v>
      </c>
      <c r="AD995" s="21"/>
    </row>
    <row r="996" spans="2:31" ht="12" customHeight="1" outlineLevel="6">
      <c r="B996" s="70" t="s">
        <v>3413</v>
      </c>
      <c r="C996" s="70"/>
      <c r="D996" s="70"/>
      <c r="E996" s="70"/>
      <c r="F996" s="70"/>
      <c r="G996" s="70"/>
    </row>
    <row r="997" spans="2:31" ht="12" customHeight="1" outlineLevel="7">
      <c r="B997" s="70" t="s">
        <v>3414</v>
      </c>
      <c r="C997" s="70"/>
      <c r="D997" s="70"/>
      <c r="E997" s="70"/>
      <c r="F997" s="70"/>
      <c r="G997" s="70"/>
    </row>
    <row r="998" spans="2:31" s="1" customFormat="1" ht="96.3" customHeight="1" outlineLevel="7">
      <c r="B998" s="20">
        <v>732</v>
      </c>
      <c r="C998" s="21" t="s">
        <v>3415</v>
      </c>
      <c r="D998" s="72" t="s">
        <v>3416</v>
      </c>
      <c r="E998" s="72"/>
      <c r="F998" s="72"/>
      <c r="G998" s="72"/>
      <c r="H998" s="22" t="s">
        <v>3417</v>
      </c>
      <c r="I998" s="27">
        <v>70</v>
      </c>
      <c r="J998" s="22"/>
      <c r="K998" s="20">
        <v>3</v>
      </c>
      <c r="L998" s="24">
        <v>229.25</v>
      </c>
      <c r="M998" s="11"/>
      <c r="N998" s="22">
        <f t="shared" ref="N998:N1008" si="41">L998*M998</f>
        <v>0</v>
      </c>
      <c r="O998" s="25">
        <f>0.035*M998</f>
        <v>0</v>
      </c>
      <c r="P998" s="26">
        <f>0.00095*M998</f>
        <v>0</v>
      </c>
      <c r="Q998" s="30"/>
      <c r="R998" s="22" t="s">
        <v>3418</v>
      </c>
      <c r="S998" s="22"/>
      <c r="T998" s="21" t="str">
        <f>HYPERLINK("https://miland.ru/api/getInfo/image/a04b5d32-5ab6-11e9-a222-ac1f6b442184")</f>
        <v>https://miland.ru/api/getInfo/image/a04b5d32-5ab6-11e9-a222-ac1f6b442184</v>
      </c>
      <c r="U998" s="21"/>
      <c r="V998" s="21" t="s">
        <v>710</v>
      </c>
      <c r="W998" s="21" t="s">
        <v>82</v>
      </c>
      <c r="X998" s="21"/>
      <c r="Y998" s="21" t="s">
        <v>41</v>
      </c>
      <c r="Z998" s="21"/>
      <c r="AA998" s="21" t="str">
        <f>HYPERLINK("https://miland.ru/api/getInfo/item/a04b5d32-5ab6-11e9-a222-ac1f6b442184")</f>
        <v>https://miland.ru/api/getInfo/item/a04b5d32-5ab6-11e9-a222-ac1f6b442184</v>
      </c>
      <c r="AB998" s="21" t="s">
        <v>42</v>
      </c>
      <c r="AC998" s="21" t="s">
        <v>3419</v>
      </c>
      <c r="AD998" s="21"/>
    </row>
    <row r="999" spans="2:31" s="1" customFormat="1" ht="96.3" customHeight="1" outlineLevel="7">
      <c r="B999" s="20">
        <v>733</v>
      </c>
      <c r="C999" s="21" t="s">
        <v>3420</v>
      </c>
      <c r="D999" s="72" t="s">
        <v>3421</v>
      </c>
      <c r="E999" s="72"/>
      <c r="F999" s="72"/>
      <c r="G999" s="72"/>
      <c r="H999" s="22" t="s">
        <v>3422</v>
      </c>
      <c r="I999" s="23" t="s">
        <v>36</v>
      </c>
      <c r="J999" s="22"/>
      <c r="K999" s="20">
        <v>3</v>
      </c>
      <c r="L999" s="24">
        <v>205</v>
      </c>
      <c r="M999" s="11"/>
      <c r="N999" s="22">
        <f t="shared" si="41"/>
        <v>0</v>
      </c>
      <c r="O999" s="25">
        <f>0.056*M999</f>
        <v>0</v>
      </c>
      <c r="P999" s="29">
        <f>0.0008*M999</f>
        <v>0</v>
      </c>
      <c r="Q999" s="30"/>
      <c r="R999" s="22" t="s">
        <v>3423</v>
      </c>
      <c r="S999" s="22"/>
      <c r="T999" s="21" t="str">
        <f>HYPERLINK("https://miland.ru/api/getInfo/image/9818bd5b-8a44-11ec-a211-ac1f6b442185")</f>
        <v>https://miland.ru/api/getInfo/image/9818bd5b-8a44-11ec-a211-ac1f6b442185</v>
      </c>
      <c r="U999" s="21"/>
      <c r="V999" s="21" t="s">
        <v>710</v>
      </c>
      <c r="W999" s="21" t="s">
        <v>82</v>
      </c>
      <c r="X999" s="21"/>
      <c r="Y999" s="21" t="s">
        <v>41</v>
      </c>
      <c r="Z999" s="21"/>
      <c r="AA999" s="21" t="str">
        <f>HYPERLINK("https://miland.ru/api/getInfo/item/9818bd5b-8a44-11ec-a211-ac1f6b442185")</f>
        <v>https://miland.ru/api/getInfo/item/9818bd5b-8a44-11ec-a211-ac1f6b442185</v>
      </c>
      <c r="AB999" s="21" t="s">
        <v>42</v>
      </c>
      <c r="AC999" s="21" t="s">
        <v>3424</v>
      </c>
      <c r="AD999" s="21"/>
    </row>
    <row r="1000" spans="2:31" s="1" customFormat="1" ht="96.3" customHeight="1" outlineLevel="7">
      <c r="B1000" s="20">
        <v>734</v>
      </c>
      <c r="C1000" s="21" t="s">
        <v>3425</v>
      </c>
      <c r="D1000" s="72" t="s">
        <v>3426</v>
      </c>
      <c r="E1000" s="72"/>
      <c r="F1000" s="72"/>
      <c r="G1000" s="72"/>
      <c r="H1000" s="22" t="s">
        <v>3427</v>
      </c>
      <c r="I1000" s="23" t="s">
        <v>36</v>
      </c>
      <c r="J1000" s="22"/>
      <c r="K1000" s="20">
        <v>3</v>
      </c>
      <c r="L1000" s="24">
        <v>205</v>
      </c>
      <c r="M1000" s="11"/>
      <c r="N1000" s="22">
        <f t="shared" si="41"/>
        <v>0</v>
      </c>
      <c r="O1000" s="25">
        <f>0.046*M1000</f>
        <v>0</v>
      </c>
      <c r="P1000" s="26">
        <f>0.00077*M1000</f>
        <v>0</v>
      </c>
      <c r="Q1000" s="30"/>
      <c r="R1000" s="22" t="s">
        <v>3428</v>
      </c>
      <c r="S1000" s="22"/>
      <c r="T1000" s="21" t="str">
        <f>HYPERLINK("https://miland.ru/api/getInfo/image/965ace3b-8a3f-11ec-a211-ac1f6b442185")</f>
        <v>https://miland.ru/api/getInfo/image/965ace3b-8a3f-11ec-a211-ac1f6b442185</v>
      </c>
      <c r="U1000" s="21"/>
      <c r="V1000" s="21" t="s">
        <v>710</v>
      </c>
      <c r="W1000" s="21" t="s">
        <v>82</v>
      </c>
      <c r="X1000" s="21"/>
      <c r="Y1000" s="21" t="s">
        <v>41</v>
      </c>
      <c r="Z1000" s="21"/>
      <c r="AA1000" s="21" t="str">
        <f>HYPERLINK("https://miland.ru/api/getInfo/item/965ace3b-8a3f-11ec-a211-ac1f6b442185")</f>
        <v>https://miland.ru/api/getInfo/item/965ace3b-8a3f-11ec-a211-ac1f6b442185</v>
      </c>
      <c r="AB1000" s="21" t="s">
        <v>42</v>
      </c>
      <c r="AC1000" s="21" t="s">
        <v>3424</v>
      </c>
      <c r="AD1000" s="21"/>
    </row>
    <row r="1001" spans="2:31" s="1" customFormat="1" ht="96.3" customHeight="1" outlineLevel="7">
      <c r="B1001" s="20">
        <v>735</v>
      </c>
      <c r="C1001" s="21" t="s">
        <v>3429</v>
      </c>
      <c r="D1001" s="72" t="s">
        <v>3430</v>
      </c>
      <c r="E1001" s="72"/>
      <c r="F1001" s="72"/>
      <c r="G1001" s="72"/>
      <c r="H1001" s="22" t="s">
        <v>3431</v>
      </c>
      <c r="I1001" s="23" t="s">
        <v>36</v>
      </c>
      <c r="J1001" s="22"/>
      <c r="K1001" s="20">
        <v>3</v>
      </c>
      <c r="L1001" s="24">
        <v>240.37</v>
      </c>
      <c r="M1001" s="11"/>
      <c r="N1001" s="22">
        <f t="shared" si="41"/>
        <v>0</v>
      </c>
      <c r="O1001" s="25">
        <f>0.047*M1001</f>
        <v>0</v>
      </c>
      <c r="P1001" s="26">
        <f>0.00081*M1001</f>
        <v>0</v>
      </c>
      <c r="Q1001" s="30"/>
      <c r="R1001" s="22" t="s">
        <v>3432</v>
      </c>
      <c r="S1001" s="22"/>
      <c r="T1001" s="21" t="str">
        <f>HYPERLINK("https://miland.ru/api/getInfo/image/3bf626cc-8a44-11ec-a211-ac1f6b442185")</f>
        <v>https://miland.ru/api/getInfo/image/3bf626cc-8a44-11ec-a211-ac1f6b442185</v>
      </c>
      <c r="U1001" s="21"/>
      <c r="V1001" s="21" t="s">
        <v>710</v>
      </c>
      <c r="W1001" s="21" t="s">
        <v>82</v>
      </c>
      <c r="X1001" s="21"/>
      <c r="Y1001" s="21" t="s">
        <v>41</v>
      </c>
      <c r="Z1001" s="21"/>
      <c r="AA1001" s="21" t="str">
        <f>HYPERLINK("https://miland.ru/api/getInfo/item/3bf626cc-8a44-11ec-a211-ac1f6b442185")</f>
        <v>https://miland.ru/api/getInfo/item/3bf626cc-8a44-11ec-a211-ac1f6b442185</v>
      </c>
      <c r="AB1001" s="21" t="s">
        <v>42</v>
      </c>
      <c r="AC1001" s="21" t="s">
        <v>3424</v>
      </c>
      <c r="AD1001" s="21"/>
    </row>
    <row r="1002" spans="2:31" s="1" customFormat="1" ht="96.3" customHeight="1" outlineLevel="7">
      <c r="B1002" s="20">
        <v>736</v>
      </c>
      <c r="C1002" s="21" t="s">
        <v>3433</v>
      </c>
      <c r="D1002" s="72" t="s">
        <v>3434</v>
      </c>
      <c r="E1002" s="72"/>
      <c r="F1002" s="72"/>
      <c r="G1002" s="72"/>
      <c r="H1002" s="22" t="s">
        <v>3435</v>
      </c>
      <c r="I1002" s="23" t="s">
        <v>36</v>
      </c>
      <c r="J1002" s="22"/>
      <c r="K1002" s="20">
        <v>3</v>
      </c>
      <c r="L1002" s="24">
        <v>205</v>
      </c>
      <c r="M1002" s="11"/>
      <c r="N1002" s="22">
        <f t="shared" si="41"/>
        <v>0</v>
      </c>
      <c r="O1002" s="25">
        <f>0.042*M1002</f>
        <v>0</v>
      </c>
      <c r="P1002" s="26">
        <f>0.00088*M1002</f>
        <v>0</v>
      </c>
      <c r="Q1002" s="30"/>
      <c r="R1002" s="22" t="s">
        <v>3436</v>
      </c>
      <c r="S1002" s="22"/>
      <c r="T1002" s="21" t="str">
        <f>HYPERLINK("https://miland.ru/api/getInfo/image/58037a92-8a40-11ec-a211-ac1f6b442185")</f>
        <v>https://miland.ru/api/getInfo/image/58037a92-8a40-11ec-a211-ac1f6b442185</v>
      </c>
      <c r="U1002" s="21"/>
      <c r="V1002" s="21" t="s">
        <v>710</v>
      </c>
      <c r="W1002" s="21" t="s">
        <v>82</v>
      </c>
      <c r="X1002" s="21"/>
      <c r="Y1002" s="21" t="s">
        <v>41</v>
      </c>
      <c r="Z1002" s="21"/>
      <c r="AA1002" s="21" t="str">
        <f>HYPERLINK("https://miland.ru/api/getInfo/item/58037a92-8a40-11ec-a211-ac1f6b442185")</f>
        <v>https://miland.ru/api/getInfo/item/58037a92-8a40-11ec-a211-ac1f6b442185</v>
      </c>
      <c r="AB1002" s="21" t="s">
        <v>42</v>
      </c>
      <c r="AC1002" s="21" t="s">
        <v>3424</v>
      </c>
      <c r="AD1002" s="21"/>
    </row>
    <row r="1003" spans="2:31" s="1" customFormat="1" ht="96.3" customHeight="1" outlineLevel="7">
      <c r="B1003" s="20">
        <v>737</v>
      </c>
      <c r="C1003" s="21" t="s">
        <v>3437</v>
      </c>
      <c r="D1003" s="72" t="s">
        <v>3438</v>
      </c>
      <c r="E1003" s="72"/>
      <c r="F1003" s="72"/>
      <c r="G1003" s="72"/>
      <c r="H1003" s="22" t="s">
        <v>3439</v>
      </c>
      <c r="I1003" s="23" t="s">
        <v>36</v>
      </c>
      <c r="J1003" s="22"/>
      <c r="K1003" s="20">
        <v>3</v>
      </c>
      <c r="L1003" s="24">
        <v>240.37</v>
      </c>
      <c r="M1003" s="11"/>
      <c r="N1003" s="22">
        <f t="shared" si="41"/>
        <v>0</v>
      </c>
      <c r="O1003" s="25">
        <f>0.114*M1003</f>
        <v>0</v>
      </c>
      <c r="P1003" s="26">
        <f>0.00091*M1003</f>
        <v>0</v>
      </c>
      <c r="Q1003" s="30"/>
      <c r="R1003" s="22" t="s">
        <v>3440</v>
      </c>
      <c r="S1003" s="22"/>
      <c r="T1003" s="21" t="str">
        <f>HYPERLINK("https://miland.ru/api/getInfo/image/90e8dc54-8a42-11ec-a211-ac1f6b442185")</f>
        <v>https://miland.ru/api/getInfo/image/90e8dc54-8a42-11ec-a211-ac1f6b442185</v>
      </c>
      <c r="U1003" s="21"/>
      <c r="V1003" s="21" t="s">
        <v>710</v>
      </c>
      <c r="W1003" s="21" t="s">
        <v>82</v>
      </c>
      <c r="X1003" s="21"/>
      <c r="Y1003" s="21" t="s">
        <v>41</v>
      </c>
      <c r="Z1003" s="21"/>
      <c r="AA1003" s="21" t="str">
        <f>HYPERLINK("https://miland.ru/api/getInfo/item/90e8dc54-8a42-11ec-a211-ac1f6b442185")</f>
        <v>https://miland.ru/api/getInfo/item/90e8dc54-8a42-11ec-a211-ac1f6b442185</v>
      </c>
      <c r="AB1003" s="21" t="s">
        <v>42</v>
      </c>
      <c r="AC1003" s="21" t="s">
        <v>3424</v>
      </c>
      <c r="AD1003" s="21"/>
    </row>
    <row r="1004" spans="2:31" s="1" customFormat="1" ht="96.3" customHeight="1" outlineLevel="7">
      <c r="B1004" s="34">
        <v>738</v>
      </c>
      <c r="C1004" s="35" t="s">
        <v>3441</v>
      </c>
      <c r="D1004" s="73" t="s">
        <v>3442</v>
      </c>
      <c r="E1004" s="73"/>
      <c r="F1004" s="73"/>
      <c r="G1004" s="73"/>
      <c r="H1004" s="36" t="s">
        <v>3443</v>
      </c>
      <c r="I1004" s="40">
        <v>7</v>
      </c>
      <c r="J1004" s="36"/>
      <c r="K1004" s="34">
        <v>5</v>
      </c>
      <c r="L1004" s="41">
        <v>75.706666666666663</v>
      </c>
      <c r="M1004" s="11"/>
      <c r="N1004" s="36">
        <f t="shared" si="41"/>
        <v>0</v>
      </c>
      <c r="O1004" s="47">
        <f>0.05*M1004</f>
        <v>0</v>
      </c>
      <c r="P1004" s="43">
        <f>0.00096*M1004</f>
        <v>0</v>
      </c>
      <c r="Q1004" s="50"/>
      <c r="R1004" s="36" t="s">
        <v>3444</v>
      </c>
      <c r="S1004" s="36" t="s">
        <v>435</v>
      </c>
      <c r="T1004" s="35" t="str">
        <f>HYPERLINK("https://miland.ru/api/getInfo/image/80c25493-5299-11e8-b825-5cf3fc4a2490")</f>
        <v>https://miland.ru/api/getInfo/image/80c25493-5299-11e8-b825-5cf3fc4a2490</v>
      </c>
      <c r="U1004" s="35"/>
      <c r="V1004" s="35" t="s">
        <v>710</v>
      </c>
      <c r="W1004" s="35" t="s">
        <v>82</v>
      </c>
      <c r="X1004" s="35"/>
      <c r="Y1004" s="35" t="s">
        <v>41</v>
      </c>
      <c r="Z1004" s="35"/>
      <c r="AA1004" s="35" t="str">
        <f>HYPERLINK("https://miland.ru/api/getInfo/item/80c25493-5299-11e8-b825-5cf3fc4a2490")</f>
        <v>https://miland.ru/api/getInfo/item/80c25493-5299-11e8-b825-5cf3fc4a2490</v>
      </c>
      <c r="AB1004" s="35" t="s">
        <v>42</v>
      </c>
      <c r="AC1004" s="35" t="s">
        <v>3445</v>
      </c>
      <c r="AD1004" s="35"/>
      <c r="AE1004" s="52" t="s">
        <v>1251</v>
      </c>
    </row>
    <row r="1005" spans="2:31" s="1" customFormat="1" ht="96.3" customHeight="1" outlineLevel="7">
      <c r="B1005" s="20">
        <v>739</v>
      </c>
      <c r="C1005" s="21" t="s">
        <v>3446</v>
      </c>
      <c r="D1005" s="72" t="s">
        <v>3447</v>
      </c>
      <c r="E1005" s="72"/>
      <c r="F1005" s="72"/>
      <c r="G1005" s="72"/>
      <c r="H1005" s="22" t="s">
        <v>3448</v>
      </c>
      <c r="I1005" s="23" t="s">
        <v>36</v>
      </c>
      <c r="J1005" s="22"/>
      <c r="K1005" s="20">
        <v>3</v>
      </c>
      <c r="L1005" s="24">
        <v>247.89</v>
      </c>
      <c r="M1005" s="11"/>
      <c r="N1005" s="22">
        <f t="shared" si="41"/>
        <v>0</v>
      </c>
      <c r="O1005" s="25">
        <f>6.807*M1005</f>
        <v>0</v>
      </c>
      <c r="P1005" s="26">
        <f>0.08547*M1005</f>
        <v>0</v>
      </c>
      <c r="Q1005" s="30"/>
      <c r="R1005" s="22" t="s">
        <v>3449</v>
      </c>
      <c r="S1005" s="22"/>
      <c r="T1005" s="21" t="str">
        <f>HYPERLINK("https://miland.ru/api/getInfo/image/cf82dd93-990a-11eb-a201-ac1f6b442185")</f>
        <v>https://miland.ru/api/getInfo/image/cf82dd93-990a-11eb-a201-ac1f6b442185</v>
      </c>
      <c r="U1005" s="21"/>
      <c r="V1005" s="21" t="s">
        <v>710</v>
      </c>
      <c r="W1005" s="21" t="s">
        <v>82</v>
      </c>
      <c r="X1005" s="21"/>
      <c r="Y1005" s="21" t="s">
        <v>41</v>
      </c>
      <c r="Z1005" s="21"/>
      <c r="AA1005" s="21" t="str">
        <f>HYPERLINK("https://miland.ru/api/getInfo/item/cf82dd93-990a-11eb-a201-ac1f6b442185")</f>
        <v>https://miland.ru/api/getInfo/item/cf82dd93-990a-11eb-a201-ac1f6b442185</v>
      </c>
      <c r="AB1005" s="21" t="s">
        <v>42</v>
      </c>
      <c r="AC1005" s="21" t="s">
        <v>3450</v>
      </c>
      <c r="AD1005" s="21"/>
    </row>
    <row r="1006" spans="2:31" s="1" customFormat="1" ht="96.3" customHeight="1" outlineLevel="7">
      <c r="B1006" s="20">
        <v>740</v>
      </c>
      <c r="C1006" s="21" t="s">
        <v>3451</v>
      </c>
      <c r="D1006" s="72" t="s">
        <v>3452</v>
      </c>
      <c r="E1006" s="72"/>
      <c r="F1006" s="72"/>
      <c r="G1006" s="72"/>
      <c r="H1006" s="22" t="s">
        <v>3453</v>
      </c>
      <c r="I1006" s="27">
        <v>259</v>
      </c>
      <c r="J1006" s="22"/>
      <c r="K1006" s="20">
        <v>3</v>
      </c>
      <c r="L1006" s="24">
        <v>247.89</v>
      </c>
      <c r="M1006" s="11"/>
      <c r="N1006" s="22">
        <f t="shared" si="41"/>
        <v>0</v>
      </c>
      <c r="O1006" s="25">
        <f>0.053*M1006</f>
        <v>0</v>
      </c>
      <c r="P1006" s="26">
        <f>0.00084*M1006</f>
        <v>0</v>
      </c>
      <c r="Q1006" s="30"/>
      <c r="R1006" s="22" t="s">
        <v>3454</v>
      </c>
      <c r="S1006" s="22"/>
      <c r="T1006" s="21" t="str">
        <f>HYPERLINK("https://miland.ru/api/getInfo/image/ad5c35a2-9727-11ed-a22d-00155d82e902")</f>
        <v>https://miland.ru/api/getInfo/image/ad5c35a2-9727-11ed-a22d-00155d82e902</v>
      </c>
      <c r="U1006" s="21"/>
      <c r="V1006" s="21" t="s">
        <v>710</v>
      </c>
      <c r="W1006" s="21" t="s">
        <v>82</v>
      </c>
      <c r="X1006" s="21"/>
      <c r="Y1006" s="21" t="s">
        <v>41</v>
      </c>
      <c r="Z1006" s="21"/>
      <c r="AA1006" s="21" t="str">
        <f>HYPERLINK("https://miland.ru/api/getInfo/item/ad5c35a2-9727-11ed-a22d-00155d82e902")</f>
        <v>https://miland.ru/api/getInfo/item/ad5c35a2-9727-11ed-a22d-00155d82e902</v>
      </c>
      <c r="AB1006" s="21" t="s">
        <v>42</v>
      </c>
      <c r="AC1006" s="21" t="s">
        <v>3424</v>
      </c>
      <c r="AD1006" s="21"/>
    </row>
    <row r="1007" spans="2:31" s="1" customFormat="1" ht="96.3" customHeight="1" outlineLevel="7">
      <c r="B1007" s="20">
        <v>741</v>
      </c>
      <c r="C1007" s="21" t="s">
        <v>3455</v>
      </c>
      <c r="D1007" s="72" t="s">
        <v>3456</v>
      </c>
      <c r="E1007" s="72"/>
      <c r="F1007" s="72"/>
      <c r="G1007" s="72"/>
      <c r="H1007" s="22" t="s">
        <v>3457</v>
      </c>
      <c r="I1007" s="23" t="s">
        <v>36</v>
      </c>
      <c r="J1007" s="22"/>
      <c r="K1007" s="20">
        <v>3</v>
      </c>
      <c r="L1007" s="24">
        <v>224.26</v>
      </c>
      <c r="M1007" s="11"/>
      <c r="N1007" s="22">
        <f t="shared" si="41"/>
        <v>0</v>
      </c>
      <c r="O1007" s="25">
        <f>0.059*M1007</f>
        <v>0</v>
      </c>
      <c r="P1007" s="29">
        <f>0.0008*M1007</f>
        <v>0</v>
      </c>
      <c r="Q1007" s="30"/>
      <c r="R1007" s="22" t="s">
        <v>3458</v>
      </c>
      <c r="S1007" s="22"/>
      <c r="T1007" s="21" t="str">
        <f>HYPERLINK("https://miland.ru/api/getInfo/image/e3d30089-9727-11ed-a22d-00155d82e902")</f>
        <v>https://miland.ru/api/getInfo/image/e3d30089-9727-11ed-a22d-00155d82e902</v>
      </c>
      <c r="U1007" s="21"/>
      <c r="V1007" s="21" t="s">
        <v>710</v>
      </c>
      <c r="W1007" s="21" t="s">
        <v>82</v>
      </c>
      <c r="X1007" s="21"/>
      <c r="Y1007" s="21" t="s">
        <v>41</v>
      </c>
      <c r="Z1007" s="21"/>
      <c r="AA1007" s="21" t="str">
        <f>HYPERLINK("https://miland.ru/api/getInfo/item/e3d30089-9727-11ed-a22d-00155d82e902")</f>
        <v>https://miland.ru/api/getInfo/item/e3d30089-9727-11ed-a22d-00155d82e902</v>
      </c>
      <c r="AB1007" s="21" t="s">
        <v>42</v>
      </c>
      <c r="AC1007" s="21" t="s">
        <v>3424</v>
      </c>
      <c r="AD1007" s="21"/>
    </row>
    <row r="1008" spans="2:31" s="1" customFormat="1" ht="96.3" customHeight="1" outlineLevel="7">
      <c r="B1008" s="20">
        <v>742</v>
      </c>
      <c r="C1008" s="21" t="s">
        <v>3459</v>
      </c>
      <c r="D1008" s="72" t="s">
        <v>3460</v>
      </c>
      <c r="E1008" s="72"/>
      <c r="F1008" s="72"/>
      <c r="G1008" s="72"/>
      <c r="H1008" s="22" t="s">
        <v>3461</v>
      </c>
      <c r="I1008" s="27">
        <v>221</v>
      </c>
      <c r="J1008" s="22"/>
      <c r="K1008" s="20">
        <v>3</v>
      </c>
      <c r="L1008" s="24">
        <v>247.89</v>
      </c>
      <c r="M1008" s="11"/>
      <c r="N1008" s="22">
        <f t="shared" si="41"/>
        <v>0</v>
      </c>
      <c r="O1008" s="28">
        <f>0.05*M1008</f>
        <v>0</v>
      </c>
      <c r="P1008" s="29">
        <f>0.0009*M1008</f>
        <v>0</v>
      </c>
      <c r="Q1008" s="30"/>
      <c r="R1008" s="22" t="s">
        <v>3462</v>
      </c>
      <c r="S1008" s="22"/>
      <c r="T1008" s="21" t="str">
        <f>HYPERLINK("https://miland.ru/api/getInfo/image/6f1de0d0-990a-11eb-a201-ac1f6b442185")</f>
        <v>https://miland.ru/api/getInfo/image/6f1de0d0-990a-11eb-a201-ac1f6b442185</v>
      </c>
      <c r="U1008" s="21"/>
      <c r="V1008" s="21" t="s">
        <v>710</v>
      </c>
      <c r="W1008" s="21" t="s">
        <v>82</v>
      </c>
      <c r="X1008" s="21"/>
      <c r="Y1008" s="21" t="s">
        <v>41</v>
      </c>
      <c r="Z1008" s="21"/>
      <c r="AA1008" s="21" t="str">
        <f>HYPERLINK("https://miland.ru/api/getInfo/item/6f1de0d0-990a-11eb-a201-ac1f6b442185")</f>
        <v>https://miland.ru/api/getInfo/item/6f1de0d0-990a-11eb-a201-ac1f6b442185</v>
      </c>
      <c r="AB1008" s="21" t="s">
        <v>42</v>
      </c>
      <c r="AC1008" s="21" t="s">
        <v>3450</v>
      </c>
      <c r="AD1008" s="21"/>
    </row>
    <row r="1009" spans="2:30" ht="12" customHeight="1" outlineLevel="7">
      <c r="B1009" s="70" t="s">
        <v>3463</v>
      </c>
      <c r="C1009" s="70"/>
      <c r="D1009" s="70"/>
      <c r="E1009" s="70"/>
      <c r="F1009" s="70"/>
      <c r="G1009" s="70"/>
    </row>
    <row r="1010" spans="2:30" s="1" customFormat="1" ht="96.3" customHeight="1" outlineLevel="7">
      <c r="B1010" s="20">
        <v>743</v>
      </c>
      <c r="C1010" s="21" t="s">
        <v>3464</v>
      </c>
      <c r="D1010" s="72" t="s">
        <v>3465</v>
      </c>
      <c r="E1010" s="72"/>
      <c r="F1010" s="72"/>
      <c r="G1010" s="72"/>
      <c r="H1010" s="22" t="s">
        <v>3466</v>
      </c>
      <c r="I1010" s="23" t="s">
        <v>36</v>
      </c>
      <c r="J1010" s="22"/>
      <c r="K1010" s="20">
        <v>2</v>
      </c>
      <c r="L1010" s="24">
        <v>343.32</v>
      </c>
      <c r="M1010" s="11"/>
      <c r="N1010" s="22">
        <f>L1010*M1010</f>
        <v>0</v>
      </c>
      <c r="O1010" s="25">
        <f>0.061*M1010</f>
        <v>0</v>
      </c>
      <c r="P1010" s="26">
        <f>0.00135*M1010</f>
        <v>0</v>
      </c>
      <c r="Q1010" s="30"/>
      <c r="R1010" s="22" t="s">
        <v>3467</v>
      </c>
      <c r="S1010" s="22"/>
      <c r="T1010" s="21" t="str">
        <f>HYPERLINK("https://miland.ru/api/getInfo/image/9da5594a-5ab8-11e9-a222-ac1f6b442184")</f>
        <v>https://miland.ru/api/getInfo/image/9da5594a-5ab8-11e9-a222-ac1f6b442184</v>
      </c>
      <c r="U1010" s="21"/>
      <c r="V1010" s="21" t="s">
        <v>710</v>
      </c>
      <c r="W1010" s="21" t="s">
        <v>82</v>
      </c>
      <c r="X1010" s="21"/>
      <c r="Y1010" s="21" t="s">
        <v>41</v>
      </c>
      <c r="Z1010" s="21"/>
      <c r="AA1010" s="21" t="str">
        <f>HYPERLINK("https://miland.ru/api/getInfo/item/9da5594a-5ab8-11e9-a222-ac1f6b442184")</f>
        <v>https://miland.ru/api/getInfo/item/9da5594a-5ab8-11e9-a222-ac1f6b442184</v>
      </c>
      <c r="AB1010" s="21" t="s">
        <v>42</v>
      </c>
      <c r="AC1010" s="21" t="s">
        <v>3468</v>
      </c>
      <c r="AD1010" s="21"/>
    </row>
    <row r="1011" spans="2:30" ht="12" customHeight="1" outlineLevel="7">
      <c r="B1011" s="70" t="s">
        <v>1363</v>
      </c>
      <c r="C1011" s="70"/>
      <c r="D1011" s="70"/>
      <c r="E1011" s="70"/>
      <c r="F1011" s="70"/>
      <c r="G1011" s="70"/>
    </row>
    <row r="1012" spans="2:30" s="1" customFormat="1" ht="96.3" customHeight="1" outlineLevel="7">
      <c r="B1012" s="20">
        <v>744</v>
      </c>
      <c r="C1012" s="21" t="s">
        <v>3469</v>
      </c>
      <c r="D1012" s="72" t="s">
        <v>3470</v>
      </c>
      <c r="E1012" s="72"/>
      <c r="F1012" s="72"/>
      <c r="G1012" s="72"/>
      <c r="H1012" s="22" t="s">
        <v>3471</v>
      </c>
      <c r="I1012" s="23" t="s">
        <v>36</v>
      </c>
      <c r="J1012" s="22"/>
      <c r="K1012" s="20">
        <v>1</v>
      </c>
      <c r="L1012" s="24">
        <v>423.6</v>
      </c>
      <c r="M1012" s="11"/>
      <c r="N1012" s="22">
        <f>L1012*M1012</f>
        <v>0</v>
      </c>
      <c r="O1012" s="25">
        <f>0.089*M1012</f>
        <v>0</v>
      </c>
      <c r="P1012" s="26">
        <f>0.00227*M1012</f>
        <v>0</v>
      </c>
      <c r="Q1012" s="30"/>
      <c r="R1012" s="22" t="s">
        <v>3472</v>
      </c>
      <c r="S1012" s="22"/>
      <c r="T1012" s="21" t="str">
        <f>HYPERLINK("https://miland.ru/api/getInfo/image/f01fbecd-9711-11ed-a22d-00155d82e902")</f>
        <v>https://miland.ru/api/getInfo/image/f01fbecd-9711-11ed-a22d-00155d82e902</v>
      </c>
      <c r="U1012" s="21"/>
      <c r="V1012" s="21" t="s">
        <v>710</v>
      </c>
      <c r="W1012" s="21" t="s">
        <v>82</v>
      </c>
      <c r="X1012" s="21"/>
      <c r="Y1012" s="21" t="s">
        <v>41</v>
      </c>
      <c r="Z1012" s="21"/>
      <c r="AA1012" s="21" t="str">
        <f>HYPERLINK("https://miland.ru/api/getInfo/item/f01fbecd-9711-11ed-a22d-00155d82e902")</f>
        <v>https://miland.ru/api/getInfo/item/f01fbecd-9711-11ed-a22d-00155d82e902</v>
      </c>
      <c r="AB1012" s="21" t="s">
        <v>42</v>
      </c>
      <c r="AC1012" s="21" t="s">
        <v>3473</v>
      </c>
      <c r="AD1012" s="21"/>
    </row>
    <row r="1013" spans="2:30" s="1" customFormat="1" ht="96.3" customHeight="1" outlineLevel="7">
      <c r="B1013" s="20">
        <v>745</v>
      </c>
      <c r="C1013" s="21" t="s">
        <v>3474</v>
      </c>
      <c r="D1013" s="72" t="s">
        <v>3475</v>
      </c>
      <c r="E1013" s="72"/>
      <c r="F1013" s="72"/>
      <c r="G1013" s="72"/>
      <c r="H1013" s="22" t="s">
        <v>3476</v>
      </c>
      <c r="I1013" s="23" t="s">
        <v>36</v>
      </c>
      <c r="J1013" s="22"/>
      <c r="K1013" s="20">
        <v>2</v>
      </c>
      <c r="L1013" s="24">
        <v>296.17</v>
      </c>
      <c r="M1013" s="11"/>
      <c r="N1013" s="22">
        <f>L1013*M1013</f>
        <v>0</v>
      </c>
      <c r="O1013" s="25">
        <f>0.088*M1013</f>
        <v>0</v>
      </c>
      <c r="P1013" s="26">
        <f>0.00204*M1013</f>
        <v>0</v>
      </c>
      <c r="Q1013" s="30"/>
      <c r="R1013" s="22" t="s">
        <v>3477</v>
      </c>
      <c r="S1013" s="22"/>
      <c r="T1013" s="21" t="str">
        <f>HYPERLINK("https://miland.ru/api/getInfo/image/f6602a76-8a3e-11ec-a211-ac1f6b442185")</f>
        <v>https://miland.ru/api/getInfo/image/f6602a76-8a3e-11ec-a211-ac1f6b442185</v>
      </c>
      <c r="U1013" s="21"/>
      <c r="V1013" s="21" t="s">
        <v>710</v>
      </c>
      <c r="W1013" s="21" t="s">
        <v>82</v>
      </c>
      <c r="X1013" s="21"/>
      <c r="Y1013" s="21" t="s">
        <v>41</v>
      </c>
      <c r="Z1013" s="21"/>
      <c r="AA1013" s="21" t="str">
        <f>HYPERLINK("https://miland.ru/api/getInfo/item/f6602a76-8a3e-11ec-a211-ac1f6b442185")</f>
        <v>https://miland.ru/api/getInfo/item/f6602a76-8a3e-11ec-a211-ac1f6b442185</v>
      </c>
      <c r="AB1013" s="21" t="s">
        <v>42</v>
      </c>
      <c r="AC1013" s="21" t="s">
        <v>3473</v>
      </c>
      <c r="AD1013" s="21"/>
    </row>
    <row r="1014" spans="2:30" s="1" customFormat="1" ht="96.3" customHeight="1" outlineLevel="7">
      <c r="B1014" s="20">
        <v>746</v>
      </c>
      <c r="C1014" s="21" t="s">
        <v>3478</v>
      </c>
      <c r="D1014" s="72" t="s">
        <v>3479</v>
      </c>
      <c r="E1014" s="72"/>
      <c r="F1014" s="72"/>
      <c r="G1014" s="72"/>
      <c r="H1014" s="22" t="s">
        <v>3480</v>
      </c>
      <c r="I1014" s="23" t="s">
        <v>36</v>
      </c>
      <c r="J1014" s="22"/>
      <c r="K1014" s="20">
        <v>1</v>
      </c>
      <c r="L1014" s="24">
        <v>423.6</v>
      </c>
      <c r="M1014" s="11"/>
      <c r="N1014" s="22">
        <f>L1014*M1014</f>
        <v>0</v>
      </c>
      <c r="O1014" s="25">
        <f>0.089*M1014</f>
        <v>0</v>
      </c>
      <c r="P1014" s="26">
        <f>0.00238*M1014</f>
        <v>0</v>
      </c>
      <c r="Q1014" s="30"/>
      <c r="R1014" s="22" t="s">
        <v>3481</v>
      </c>
      <c r="S1014" s="22"/>
      <c r="T1014" s="21" t="str">
        <f>HYPERLINK("https://miland.ru/api/getInfo/image/cce79c88-9712-11ed-a22d-00155d82e902")</f>
        <v>https://miland.ru/api/getInfo/image/cce79c88-9712-11ed-a22d-00155d82e902</v>
      </c>
      <c r="U1014" s="21"/>
      <c r="V1014" s="21" t="s">
        <v>710</v>
      </c>
      <c r="W1014" s="21" t="s">
        <v>82</v>
      </c>
      <c r="X1014" s="21"/>
      <c r="Y1014" s="21" t="s">
        <v>41</v>
      </c>
      <c r="Z1014" s="21"/>
      <c r="AA1014" s="21" t="str">
        <f>HYPERLINK("https://miland.ru/api/getInfo/item/cce79c88-9712-11ed-a22d-00155d82e902")</f>
        <v>https://miland.ru/api/getInfo/item/cce79c88-9712-11ed-a22d-00155d82e902</v>
      </c>
      <c r="AB1014" s="21" t="s">
        <v>42</v>
      </c>
      <c r="AC1014" s="21" t="s">
        <v>3473</v>
      </c>
      <c r="AD1014" s="21"/>
    </row>
    <row r="1015" spans="2:30" s="1" customFormat="1" ht="96.3" customHeight="1" outlineLevel="7">
      <c r="B1015" s="20">
        <v>747</v>
      </c>
      <c r="C1015" s="21" t="s">
        <v>3482</v>
      </c>
      <c r="D1015" s="72" t="s">
        <v>3483</v>
      </c>
      <c r="E1015" s="72"/>
      <c r="F1015" s="72"/>
      <c r="G1015" s="72"/>
      <c r="H1015" s="22" t="s">
        <v>3484</v>
      </c>
      <c r="I1015" s="23" t="s">
        <v>36</v>
      </c>
      <c r="J1015" s="22"/>
      <c r="K1015" s="20">
        <v>1</v>
      </c>
      <c r="L1015" s="24">
        <v>440.1</v>
      </c>
      <c r="M1015" s="11"/>
      <c r="N1015" s="22">
        <f>L1015*M1015</f>
        <v>0</v>
      </c>
      <c r="O1015" s="25">
        <f>0.098*M1015</f>
        <v>0</v>
      </c>
      <c r="P1015" s="26">
        <f>0.00197*M1015</f>
        <v>0</v>
      </c>
      <c r="Q1015" s="30"/>
      <c r="R1015" s="22" t="s">
        <v>3485</v>
      </c>
      <c r="S1015" s="22"/>
      <c r="T1015" s="21" t="str">
        <f>HYPERLINK("https://miland.ru/api/getInfo/image/8fcdc96e-9713-11ed-a22d-00155d82e902")</f>
        <v>https://miland.ru/api/getInfo/image/8fcdc96e-9713-11ed-a22d-00155d82e902</v>
      </c>
      <c r="U1015" s="21"/>
      <c r="V1015" s="21" t="s">
        <v>710</v>
      </c>
      <c r="W1015" s="21" t="s">
        <v>82</v>
      </c>
      <c r="X1015" s="21"/>
      <c r="Y1015" s="21" t="s">
        <v>41</v>
      </c>
      <c r="Z1015" s="21"/>
      <c r="AA1015" s="21" t="str">
        <f>HYPERLINK("https://miland.ru/api/getInfo/item/8fcdc96e-9713-11ed-a22d-00155d82e902")</f>
        <v>https://miland.ru/api/getInfo/item/8fcdc96e-9713-11ed-a22d-00155d82e902</v>
      </c>
      <c r="AB1015" s="21" t="s">
        <v>42</v>
      </c>
      <c r="AC1015" s="21" t="s">
        <v>3486</v>
      </c>
      <c r="AD1015" s="21"/>
    </row>
    <row r="1016" spans="2:30" s="1" customFormat="1" ht="96.3" customHeight="1" outlineLevel="7">
      <c r="B1016" s="20">
        <v>748</v>
      </c>
      <c r="C1016" s="21" t="s">
        <v>3487</v>
      </c>
      <c r="D1016" s="72" t="s">
        <v>3488</v>
      </c>
      <c r="E1016" s="72"/>
      <c r="F1016" s="72"/>
      <c r="G1016" s="72"/>
      <c r="H1016" s="22" t="s">
        <v>3489</v>
      </c>
      <c r="I1016" s="23" t="s">
        <v>36</v>
      </c>
      <c r="J1016" s="22"/>
      <c r="K1016" s="20">
        <v>1</v>
      </c>
      <c r="L1016" s="24">
        <v>440.1</v>
      </c>
      <c r="M1016" s="11"/>
      <c r="N1016" s="22">
        <f>L1016*M1016</f>
        <v>0</v>
      </c>
      <c r="O1016" s="25">
        <f>0.099*M1016</f>
        <v>0</v>
      </c>
      <c r="P1016" s="26">
        <f>0.00218*M1016</f>
        <v>0</v>
      </c>
      <c r="Q1016" s="30"/>
      <c r="R1016" s="22" t="s">
        <v>3490</v>
      </c>
      <c r="S1016" s="22"/>
      <c r="T1016" s="21" t="str">
        <f>HYPERLINK("https://miland.ru/api/getInfo/image/0c680370-9714-11ed-a22d-00155d82e902")</f>
        <v>https://miland.ru/api/getInfo/image/0c680370-9714-11ed-a22d-00155d82e902</v>
      </c>
      <c r="U1016" s="21"/>
      <c r="V1016" s="21" t="s">
        <v>710</v>
      </c>
      <c r="W1016" s="21" t="s">
        <v>82</v>
      </c>
      <c r="X1016" s="21"/>
      <c r="Y1016" s="21" t="s">
        <v>41</v>
      </c>
      <c r="Z1016" s="21"/>
      <c r="AA1016" s="21" t="str">
        <f>HYPERLINK("https://miland.ru/api/getInfo/item/0c680370-9714-11ed-a22d-00155d82e902")</f>
        <v>https://miland.ru/api/getInfo/item/0c680370-9714-11ed-a22d-00155d82e902</v>
      </c>
      <c r="AB1016" s="21" t="s">
        <v>42</v>
      </c>
      <c r="AC1016" s="21" t="s">
        <v>3486</v>
      </c>
      <c r="AD1016" s="21"/>
    </row>
    <row r="1017" spans="2:30" ht="12" customHeight="1" outlineLevel="6">
      <c r="B1017" s="70" t="s">
        <v>3491</v>
      </c>
      <c r="C1017" s="70"/>
      <c r="D1017" s="70"/>
      <c r="E1017" s="70"/>
      <c r="F1017" s="70"/>
      <c r="G1017" s="70"/>
    </row>
    <row r="1018" spans="2:30" ht="12" customHeight="1" outlineLevel="7">
      <c r="B1018" s="70" t="s">
        <v>3492</v>
      </c>
      <c r="C1018" s="70"/>
      <c r="D1018" s="70"/>
      <c r="E1018" s="70"/>
      <c r="F1018" s="70"/>
      <c r="G1018" s="70"/>
    </row>
    <row r="1019" spans="2:30" s="1" customFormat="1" ht="96.3" customHeight="1" outlineLevel="7">
      <c r="B1019" s="20">
        <v>749</v>
      </c>
      <c r="C1019" s="21" t="s">
        <v>3493</v>
      </c>
      <c r="D1019" s="72" t="s">
        <v>3494</v>
      </c>
      <c r="E1019" s="72"/>
      <c r="F1019" s="72"/>
      <c r="G1019" s="72"/>
      <c r="H1019" s="22" t="s">
        <v>3495</v>
      </c>
      <c r="I1019" s="23" t="s">
        <v>36</v>
      </c>
      <c r="J1019" s="22"/>
      <c r="K1019" s="20">
        <v>1</v>
      </c>
      <c r="L1019" s="24">
        <v>528.13</v>
      </c>
      <c r="M1019" s="11"/>
      <c r="N1019" s="22">
        <f t="shared" ref="N1019:N1024" si="42">L1019*M1019</f>
        <v>0</v>
      </c>
      <c r="O1019" s="25">
        <f>0.148*M1019</f>
        <v>0</v>
      </c>
      <c r="P1019" s="26">
        <f>0.00228*M1019</f>
        <v>0</v>
      </c>
      <c r="Q1019" s="30"/>
      <c r="R1019" s="22" t="s">
        <v>3496</v>
      </c>
      <c r="S1019" s="22"/>
      <c r="T1019" s="21" t="str">
        <f>HYPERLINK("https://miland.ru/api/getInfo/image/97fd2947-8a4b-11ec-a211-ac1f6b442185")</f>
        <v>https://miland.ru/api/getInfo/image/97fd2947-8a4b-11ec-a211-ac1f6b442185</v>
      </c>
      <c r="U1019" s="21"/>
      <c r="V1019" s="21" t="s">
        <v>710</v>
      </c>
      <c r="W1019" s="21" t="s">
        <v>82</v>
      </c>
      <c r="X1019" s="21"/>
      <c r="Y1019" s="21" t="s">
        <v>41</v>
      </c>
      <c r="Z1019" s="21"/>
      <c r="AA1019" s="21" t="str">
        <f>HYPERLINK("https://miland.ru/api/getInfo/item/97fd2947-8a4b-11ec-a211-ac1f6b442185")</f>
        <v>https://miland.ru/api/getInfo/item/97fd2947-8a4b-11ec-a211-ac1f6b442185</v>
      </c>
      <c r="AB1019" s="21" t="s">
        <v>42</v>
      </c>
      <c r="AC1019" s="21" t="s">
        <v>3497</v>
      </c>
      <c r="AD1019" s="21"/>
    </row>
    <row r="1020" spans="2:30" s="1" customFormat="1" ht="96.3" customHeight="1" outlineLevel="7">
      <c r="B1020" s="20">
        <v>750</v>
      </c>
      <c r="C1020" s="21" t="s">
        <v>3498</v>
      </c>
      <c r="D1020" s="72" t="s">
        <v>3499</v>
      </c>
      <c r="E1020" s="72"/>
      <c r="F1020" s="72"/>
      <c r="G1020" s="72"/>
      <c r="H1020" s="22" t="s">
        <v>3500</v>
      </c>
      <c r="I1020" s="23" t="s">
        <v>36</v>
      </c>
      <c r="J1020" s="22"/>
      <c r="K1020" s="20">
        <v>1</v>
      </c>
      <c r="L1020" s="24">
        <v>528.13</v>
      </c>
      <c r="M1020" s="11"/>
      <c r="N1020" s="22">
        <f t="shared" si="42"/>
        <v>0</v>
      </c>
      <c r="O1020" s="25">
        <f>0.166*M1020</f>
        <v>0</v>
      </c>
      <c r="P1020" s="26">
        <f>0.00357*M1020</f>
        <v>0</v>
      </c>
      <c r="Q1020" s="30"/>
      <c r="R1020" s="22" t="s">
        <v>3501</v>
      </c>
      <c r="S1020" s="22"/>
      <c r="T1020" s="21" t="str">
        <f>HYPERLINK("https://miland.ru/api/getInfo/image/60de55dd-9714-11ed-a22d-00155d82e902")</f>
        <v>https://miland.ru/api/getInfo/image/60de55dd-9714-11ed-a22d-00155d82e902</v>
      </c>
      <c r="U1020" s="21"/>
      <c r="V1020" s="21" t="s">
        <v>710</v>
      </c>
      <c r="W1020" s="21" t="s">
        <v>82</v>
      </c>
      <c r="X1020" s="21"/>
      <c r="Y1020" s="21" t="s">
        <v>41</v>
      </c>
      <c r="Z1020" s="21"/>
      <c r="AA1020" s="21" t="str">
        <f>HYPERLINK("https://miland.ru/api/getInfo/item/60de55dd-9714-11ed-a22d-00155d82e902")</f>
        <v>https://miland.ru/api/getInfo/item/60de55dd-9714-11ed-a22d-00155d82e902</v>
      </c>
      <c r="AB1020" s="21" t="s">
        <v>42</v>
      </c>
      <c r="AC1020" s="21" t="s">
        <v>3502</v>
      </c>
      <c r="AD1020" s="21"/>
    </row>
    <row r="1021" spans="2:30" s="1" customFormat="1" ht="96.3" customHeight="1" outlineLevel="7">
      <c r="B1021" s="20">
        <v>751</v>
      </c>
      <c r="C1021" s="21" t="s">
        <v>3503</v>
      </c>
      <c r="D1021" s="72" t="s">
        <v>3504</v>
      </c>
      <c r="E1021" s="72"/>
      <c r="F1021" s="72"/>
      <c r="G1021" s="72"/>
      <c r="H1021" s="22" t="s">
        <v>3505</v>
      </c>
      <c r="I1021" s="23" t="s">
        <v>36</v>
      </c>
      <c r="J1021" s="22"/>
      <c r="K1021" s="20">
        <v>1</v>
      </c>
      <c r="L1021" s="24">
        <v>528.13</v>
      </c>
      <c r="M1021" s="11"/>
      <c r="N1021" s="22">
        <f t="shared" si="42"/>
        <v>0</v>
      </c>
      <c r="O1021" s="25">
        <f>0.171*M1021</f>
        <v>0</v>
      </c>
      <c r="P1021" s="29">
        <f>0.0037*M1021</f>
        <v>0</v>
      </c>
      <c r="Q1021" s="30"/>
      <c r="R1021" s="22" t="s">
        <v>3506</v>
      </c>
      <c r="S1021" s="22"/>
      <c r="T1021" s="21" t="str">
        <f>HYPERLINK("https://miland.ru/api/getInfo/image/3adf1247-8a45-11ec-a211-ac1f6b442185")</f>
        <v>https://miland.ru/api/getInfo/image/3adf1247-8a45-11ec-a211-ac1f6b442185</v>
      </c>
      <c r="U1021" s="21"/>
      <c r="V1021" s="21" t="s">
        <v>710</v>
      </c>
      <c r="W1021" s="21" t="s">
        <v>82</v>
      </c>
      <c r="X1021" s="21"/>
      <c r="Y1021" s="21" t="s">
        <v>41</v>
      </c>
      <c r="Z1021" s="21"/>
      <c r="AA1021" s="21" t="str">
        <f>HYPERLINK("https://miland.ru/api/getInfo/item/3adf1247-8a45-11ec-a211-ac1f6b442185")</f>
        <v>https://miland.ru/api/getInfo/item/3adf1247-8a45-11ec-a211-ac1f6b442185</v>
      </c>
      <c r="AB1021" s="21" t="s">
        <v>42</v>
      </c>
      <c r="AC1021" s="21" t="s">
        <v>3497</v>
      </c>
      <c r="AD1021" s="21"/>
    </row>
    <row r="1022" spans="2:30" s="1" customFormat="1" ht="96.3" customHeight="1" outlineLevel="7">
      <c r="B1022" s="20">
        <v>752</v>
      </c>
      <c r="C1022" s="21" t="s">
        <v>3507</v>
      </c>
      <c r="D1022" s="72" t="s">
        <v>3508</v>
      </c>
      <c r="E1022" s="72"/>
      <c r="F1022" s="72"/>
      <c r="G1022" s="72"/>
      <c r="H1022" s="22" t="s">
        <v>3509</v>
      </c>
      <c r="I1022" s="23" t="s">
        <v>36</v>
      </c>
      <c r="J1022" s="22"/>
      <c r="K1022" s="20">
        <v>1</v>
      </c>
      <c r="L1022" s="24">
        <v>528.13</v>
      </c>
      <c r="M1022" s="11"/>
      <c r="N1022" s="22">
        <f t="shared" si="42"/>
        <v>0</v>
      </c>
      <c r="O1022" s="25">
        <f>0.155*M1022</f>
        <v>0</v>
      </c>
      <c r="P1022" s="26">
        <f>0.00231*M1022</f>
        <v>0</v>
      </c>
      <c r="Q1022" s="30"/>
      <c r="R1022" s="22" t="s">
        <v>3510</v>
      </c>
      <c r="S1022" s="22"/>
      <c r="T1022" s="21" t="str">
        <f>HYPERLINK("https://miland.ru/api/getInfo/image/50a7eca5-8a46-11ec-a211-ac1f6b442185")</f>
        <v>https://miland.ru/api/getInfo/image/50a7eca5-8a46-11ec-a211-ac1f6b442185</v>
      </c>
      <c r="U1022" s="21"/>
      <c r="V1022" s="21" t="s">
        <v>710</v>
      </c>
      <c r="W1022" s="21" t="s">
        <v>82</v>
      </c>
      <c r="X1022" s="21"/>
      <c r="Y1022" s="21" t="s">
        <v>41</v>
      </c>
      <c r="Z1022" s="21"/>
      <c r="AA1022" s="21" t="str">
        <f>HYPERLINK("https://miland.ru/api/getInfo/item/50a7eca5-8a46-11ec-a211-ac1f6b442185")</f>
        <v>https://miland.ru/api/getInfo/item/50a7eca5-8a46-11ec-a211-ac1f6b442185</v>
      </c>
      <c r="AB1022" s="21" t="s">
        <v>42</v>
      </c>
      <c r="AC1022" s="21" t="s">
        <v>3497</v>
      </c>
      <c r="AD1022" s="21"/>
    </row>
    <row r="1023" spans="2:30" s="1" customFormat="1" ht="96.3" customHeight="1" outlineLevel="7">
      <c r="B1023" s="20">
        <v>753</v>
      </c>
      <c r="C1023" s="21" t="s">
        <v>3511</v>
      </c>
      <c r="D1023" s="72" t="s">
        <v>3512</v>
      </c>
      <c r="E1023" s="72"/>
      <c r="F1023" s="72"/>
      <c r="G1023" s="72"/>
      <c r="H1023" s="22" t="s">
        <v>3513</v>
      </c>
      <c r="I1023" s="23" t="s">
        <v>36</v>
      </c>
      <c r="J1023" s="22"/>
      <c r="K1023" s="20">
        <v>1</v>
      </c>
      <c r="L1023" s="24">
        <v>528.13</v>
      </c>
      <c r="M1023" s="11"/>
      <c r="N1023" s="22">
        <f t="shared" si="42"/>
        <v>0</v>
      </c>
      <c r="O1023" s="25">
        <f>0.154*M1023</f>
        <v>0</v>
      </c>
      <c r="P1023" s="26">
        <f>0.00376*M1023</f>
        <v>0</v>
      </c>
      <c r="Q1023" s="30"/>
      <c r="R1023" s="22" t="s">
        <v>3514</v>
      </c>
      <c r="S1023" s="22"/>
      <c r="T1023" s="21" t="str">
        <f>HYPERLINK("https://miland.ru/api/getInfo/image/45d6a9b3-8a4b-11ec-a211-ac1f6b442185")</f>
        <v>https://miland.ru/api/getInfo/image/45d6a9b3-8a4b-11ec-a211-ac1f6b442185</v>
      </c>
      <c r="U1023" s="21"/>
      <c r="V1023" s="21" t="s">
        <v>710</v>
      </c>
      <c r="W1023" s="21" t="s">
        <v>82</v>
      </c>
      <c r="X1023" s="21"/>
      <c r="Y1023" s="21" t="s">
        <v>41</v>
      </c>
      <c r="Z1023" s="21"/>
      <c r="AA1023" s="21" t="str">
        <f>HYPERLINK("https://miland.ru/api/getInfo/item/45d6a9b3-8a4b-11ec-a211-ac1f6b442185")</f>
        <v>https://miland.ru/api/getInfo/item/45d6a9b3-8a4b-11ec-a211-ac1f6b442185</v>
      </c>
      <c r="AB1023" s="21" t="s">
        <v>42</v>
      </c>
      <c r="AC1023" s="21" t="s">
        <v>3497</v>
      </c>
      <c r="AD1023" s="21"/>
    </row>
    <row r="1024" spans="2:30" s="1" customFormat="1" ht="96.3" customHeight="1" outlineLevel="7">
      <c r="B1024" s="20">
        <v>754</v>
      </c>
      <c r="C1024" s="21" t="s">
        <v>3515</v>
      </c>
      <c r="D1024" s="72" t="s">
        <v>3516</v>
      </c>
      <c r="E1024" s="72"/>
      <c r="F1024" s="72"/>
      <c r="G1024" s="72"/>
      <c r="H1024" s="22" t="s">
        <v>3517</v>
      </c>
      <c r="I1024" s="23" t="s">
        <v>36</v>
      </c>
      <c r="J1024" s="22"/>
      <c r="K1024" s="20">
        <v>1</v>
      </c>
      <c r="L1024" s="24">
        <v>528.13</v>
      </c>
      <c r="M1024" s="11"/>
      <c r="N1024" s="22">
        <f t="shared" si="42"/>
        <v>0</v>
      </c>
      <c r="O1024" s="25">
        <f>0.138*M1024</f>
        <v>0</v>
      </c>
      <c r="P1024" s="26">
        <f>0.00354*M1024</f>
        <v>0</v>
      </c>
      <c r="Q1024" s="30"/>
      <c r="R1024" s="22" t="s">
        <v>3518</v>
      </c>
      <c r="S1024" s="22"/>
      <c r="T1024" s="21" t="str">
        <f>HYPERLINK("https://miland.ru/api/getInfo/image/f830cb3c-8a45-11ec-a211-ac1f6b442185")</f>
        <v>https://miland.ru/api/getInfo/image/f830cb3c-8a45-11ec-a211-ac1f6b442185</v>
      </c>
      <c r="U1024" s="21"/>
      <c r="V1024" s="21" t="s">
        <v>710</v>
      </c>
      <c r="W1024" s="21" t="s">
        <v>82</v>
      </c>
      <c r="X1024" s="21"/>
      <c r="Y1024" s="21" t="s">
        <v>41</v>
      </c>
      <c r="Z1024" s="21"/>
      <c r="AA1024" s="21" t="str">
        <f>HYPERLINK("https://miland.ru/api/getInfo/item/f830cb3c-8a45-11ec-a211-ac1f6b442185")</f>
        <v>https://miland.ru/api/getInfo/item/f830cb3c-8a45-11ec-a211-ac1f6b442185</v>
      </c>
      <c r="AB1024" s="21" t="s">
        <v>42</v>
      </c>
      <c r="AC1024" s="21" t="s">
        <v>3497</v>
      </c>
      <c r="AD1024" s="21"/>
    </row>
    <row r="1025" spans="2:31" ht="12" customHeight="1" outlineLevel="7">
      <c r="B1025" s="70" t="s">
        <v>3519</v>
      </c>
      <c r="C1025" s="70"/>
      <c r="D1025" s="70"/>
      <c r="E1025" s="70"/>
      <c r="F1025" s="70"/>
      <c r="G1025" s="70"/>
    </row>
    <row r="1026" spans="2:31" s="1" customFormat="1" ht="96.3" customHeight="1" outlineLevel="7">
      <c r="B1026" s="20">
        <v>755</v>
      </c>
      <c r="C1026" s="21" t="s">
        <v>3520</v>
      </c>
      <c r="D1026" s="72" t="s">
        <v>3521</v>
      </c>
      <c r="E1026" s="72"/>
      <c r="F1026" s="72"/>
      <c r="G1026" s="72"/>
      <c r="H1026" s="22" t="s">
        <v>3522</v>
      </c>
      <c r="I1026" s="27">
        <v>5</v>
      </c>
      <c r="J1026" s="22"/>
      <c r="K1026" s="20">
        <v>1</v>
      </c>
      <c r="L1026" s="24">
        <v>524.25</v>
      </c>
      <c r="M1026" s="11"/>
      <c r="N1026" s="22">
        <f>L1026*M1026</f>
        <v>0</v>
      </c>
      <c r="O1026" s="25">
        <f>0.138*M1026</f>
        <v>0</v>
      </c>
      <c r="P1026" s="26">
        <f>0.00187*M1026</f>
        <v>0</v>
      </c>
      <c r="Q1026" s="30"/>
      <c r="R1026" s="22" t="s">
        <v>3523</v>
      </c>
      <c r="S1026" s="22" t="s">
        <v>435</v>
      </c>
      <c r="T1026" s="21" t="str">
        <f>HYPERLINK("https://miland.ru/api/getInfo/image/f0118c19-8988-11ec-a211-ac1f6b442185")</f>
        <v>https://miland.ru/api/getInfo/image/f0118c19-8988-11ec-a211-ac1f6b442185</v>
      </c>
      <c r="U1026" s="21"/>
      <c r="V1026" s="21" t="s">
        <v>710</v>
      </c>
      <c r="W1026" s="21" t="s">
        <v>82</v>
      </c>
      <c r="X1026" s="21"/>
      <c r="Y1026" s="21" t="s">
        <v>41</v>
      </c>
      <c r="Z1026" s="21"/>
      <c r="AA1026" s="21" t="str">
        <f>HYPERLINK("https://miland.ru/api/getInfo/item/f0118c19-8988-11ec-a211-ac1f6b442185")</f>
        <v>https://miland.ru/api/getInfo/item/f0118c19-8988-11ec-a211-ac1f6b442185</v>
      </c>
      <c r="AB1026" s="21" t="s">
        <v>42</v>
      </c>
      <c r="AC1026" s="21" t="s">
        <v>3524</v>
      </c>
      <c r="AD1026" s="21"/>
    </row>
    <row r="1027" spans="2:31" ht="12" customHeight="1" outlineLevel="7">
      <c r="B1027" s="70" t="s">
        <v>3525</v>
      </c>
      <c r="C1027" s="70"/>
      <c r="D1027" s="70"/>
      <c r="E1027" s="70"/>
      <c r="F1027" s="70"/>
      <c r="G1027" s="70"/>
    </row>
    <row r="1028" spans="2:31" s="1" customFormat="1" ht="96.3" customHeight="1" outlineLevel="7">
      <c r="B1028" s="20">
        <v>756</v>
      </c>
      <c r="C1028" s="21" t="s">
        <v>3526</v>
      </c>
      <c r="D1028" s="72" t="s">
        <v>3527</v>
      </c>
      <c r="E1028" s="72"/>
      <c r="F1028" s="72"/>
      <c r="G1028" s="72"/>
      <c r="H1028" s="22" t="s">
        <v>3528</v>
      </c>
      <c r="I1028" s="27">
        <v>14</v>
      </c>
      <c r="J1028" s="22"/>
      <c r="K1028" s="20">
        <v>3</v>
      </c>
      <c r="L1028" s="24">
        <v>184.73</v>
      </c>
      <c r="M1028" s="11"/>
      <c r="N1028" s="22">
        <f>L1028*M1028</f>
        <v>0</v>
      </c>
      <c r="O1028" s="25">
        <f>0.079*M1028</f>
        <v>0</v>
      </c>
      <c r="P1028" s="26">
        <f>0.00201*M1028</f>
        <v>0</v>
      </c>
      <c r="Q1028" s="30"/>
      <c r="R1028" s="22" t="s">
        <v>3529</v>
      </c>
      <c r="S1028" s="22"/>
      <c r="T1028" s="21" t="str">
        <f>HYPERLINK("https://miland.ru/api/getInfo/image/865d8fc7-ff90-11ed-a23a-00155d82e902")</f>
        <v>https://miland.ru/api/getInfo/image/865d8fc7-ff90-11ed-a23a-00155d82e902</v>
      </c>
      <c r="U1028" s="21"/>
      <c r="V1028" s="21" t="s">
        <v>710</v>
      </c>
      <c r="W1028" s="21" t="s">
        <v>82</v>
      </c>
      <c r="X1028" s="21"/>
      <c r="Y1028" s="21" t="s">
        <v>41</v>
      </c>
      <c r="Z1028" s="21"/>
      <c r="AA1028" s="21" t="str">
        <f>HYPERLINK("https://miland.ru/api/getInfo/item/865d8fc7-ff90-11ed-a23a-00155d82e902")</f>
        <v>https://miland.ru/api/getInfo/item/865d8fc7-ff90-11ed-a23a-00155d82e902</v>
      </c>
      <c r="AB1028" s="21" t="s">
        <v>42</v>
      </c>
      <c r="AC1028" s="21"/>
      <c r="AD1028" s="21"/>
    </row>
    <row r="1029" spans="2:31" ht="12" customHeight="1" outlineLevel="6">
      <c r="B1029" s="70" t="s">
        <v>3530</v>
      </c>
      <c r="C1029" s="70"/>
      <c r="D1029" s="70"/>
      <c r="E1029" s="70"/>
      <c r="F1029" s="70"/>
      <c r="G1029" s="70"/>
    </row>
    <row r="1030" spans="2:31" ht="12" customHeight="1" outlineLevel="7">
      <c r="B1030" s="70" t="s">
        <v>3531</v>
      </c>
      <c r="C1030" s="70"/>
      <c r="D1030" s="70"/>
      <c r="E1030" s="70"/>
      <c r="F1030" s="70"/>
      <c r="G1030" s="70"/>
    </row>
    <row r="1031" spans="2:31" s="1" customFormat="1" ht="96.3" customHeight="1" outlineLevel="7">
      <c r="B1031" s="20">
        <v>757</v>
      </c>
      <c r="C1031" s="21" t="s">
        <v>3532</v>
      </c>
      <c r="D1031" s="72" t="s">
        <v>3533</v>
      </c>
      <c r="E1031" s="72"/>
      <c r="F1031" s="72"/>
      <c r="G1031" s="72"/>
      <c r="H1031" s="22" t="s">
        <v>3534</v>
      </c>
      <c r="I1031" s="27">
        <v>5</v>
      </c>
      <c r="J1031" s="22"/>
      <c r="K1031" s="20">
        <v>3</v>
      </c>
      <c r="L1031" s="24">
        <v>182.45</v>
      </c>
      <c r="M1031" s="11"/>
      <c r="N1031" s="22">
        <f t="shared" ref="N1031:N1048" si="43">L1031*M1031</f>
        <v>0</v>
      </c>
      <c r="O1031" s="25">
        <f>0.064*M1031</f>
        <v>0</v>
      </c>
      <c r="P1031" s="26">
        <f>0.00141*M1031</f>
        <v>0</v>
      </c>
      <c r="Q1031" s="30"/>
      <c r="R1031" s="22" t="s">
        <v>3535</v>
      </c>
      <c r="S1031" s="22"/>
      <c r="T1031" s="21" t="str">
        <f>HYPERLINK("https://miland.ru/api/getInfo/image/5de1c43a-2404-11e6-b4ab-5cf3fc4a2490")</f>
        <v>https://miland.ru/api/getInfo/image/5de1c43a-2404-11e6-b4ab-5cf3fc4a2490</v>
      </c>
      <c r="U1031" s="21"/>
      <c r="V1031" s="21" t="s">
        <v>710</v>
      </c>
      <c r="W1031" s="21" t="s">
        <v>82</v>
      </c>
      <c r="X1031" s="21"/>
      <c r="Y1031" s="21" t="s">
        <v>41</v>
      </c>
      <c r="Z1031" s="21"/>
      <c r="AA1031" s="21" t="str">
        <f>HYPERLINK("https://miland.ru/api/getInfo/item/5de1c43a-2404-11e6-b4ab-5cf3fc4a2490")</f>
        <v>https://miland.ru/api/getInfo/item/5de1c43a-2404-11e6-b4ab-5cf3fc4a2490</v>
      </c>
      <c r="AB1031" s="21" t="s">
        <v>42</v>
      </c>
      <c r="AC1031" s="21" t="s">
        <v>3536</v>
      </c>
      <c r="AD1031" s="21"/>
    </row>
    <row r="1032" spans="2:31" s="1" customFormat="1" ht="96.3" customHeight="1" outlineLevel="7">
      <c r="B1032" s="20">
        <v>758</v>
      </c>
      <c r="C1032" s="21" t="s">
        <v>3537</v>
      </c>
      <c r="D1032" s="72" t="s">
        <v>3538</v>
      </c>
      <c r="E1032" s="72"/>
      <c r="F1032" s="72"/>
      <c r="G1032" s="72"/>
      <c r="H1032" s="22" t="s">
        <v>3539</v>
      </c>
      <c r="I1032" s="23" t="s">
        <v>36</v>
      </c>
      <c r="J1032" s="22"/>
      <c r="K1032" s="20">
        <v>3</v>
      </c>
      <c r="L1032" s="24">
        <v>220.06</v>
      </c>
      <c r="M1032" s="11"/>
      <c r="N1032" s="22">
        <f t="shared" si="43"/>
        <v>0</v>
      </c>
      <c r="O1032" s="28">
        <f>0.06*M1032</f>
        <v>0</v>
      </c>
      <c r="P1032" s="26">
        <f>0.00134*M1032</f>
        <v>0</v>
      </c>
      <c r="Q1032" s="30"/>
      <c r="R1032" s="22" t="s">
        <v>3540</v>
      </c>
      <c r="S1032" s="22"/>
      <c r="T1032" s="21" t="str">
        <f>HYPERLINK("https://miland.ru/api/getInfo/image/3cc03efa-23fd-11e6-b4ab-5cf3fc4a2490")</f>
        <v>https://miland.ru/api/getInfo/image/3cc03efa-23fd-11e6-b4ab-5cf3fc4a2490</v>
      </c>
      <c r="U1032" s="21"/>
      <c r="V1032" s="21" t="s">
        <v>710</v>
      </c>
      <c r="W1032" s="21" t="s">
        <v>82</v>
      </c>
      <c r="X1032" s="21"/>
      <c r="Y1032" s="21" t="s">
        <v>41</v>
      </c>
      <c r="Z1032" s="21"/>
      <c r="AA1032" s="21" t="str">
        <f>HYPERLINK("https://miland.ru/api/getInfo/item/3cc03efa-23fd-11e6-b4ab-5cf3fc4a2490")</f>
        <v>https://miland.ru/api/getInfo/item/3cc03efa-23fd-11e6-b4ab-5cf3fc4a2490</v>
      </c>
      <c r="AB1032" s="21" t="s">
        <v>42</v>
      </c>
      <c r="AC1032" s="21" t="s">
        <v>3536</v>
      </c>
      <c r="AD1032" s="21"/>
    </row>
    <row r="1033" spans="2:31" s="1" customFormat="1" ht="96.3" customHeight="1" outlineLevel="7">
      <c r="B1033" s="6">
        <v>759</v>
      </c>
      <c r="C1033" s="7" t="s">
        <v>3541</v>
      </c>
      <c r="D1033" s="71" t="s">
        <v>3542</v>
      </c>
      <c r="E1033" s="71"/>
      <c r="F1033" s="71"/>
      <c r="G1033" s="71"/>
      <c r="H1033" s="8" t="s">
        <v>3543</v>
      </c>
      <c r="I1033" s="9" t="s">
        <v>36</v>
      </c>
      <c r="J1033" s="8"/>
      <c r="K1033" s="6">
        <v>3</v>
      </c>
      <c r="L1033" s="10">
        <v>206.74</v>
      </c>
      <c r="M1033" s="11"/>
      <c r="N1033" s="8">
        <f t="shared" si="43"/>
        <v>0</v>
      </c>
      <c r="O1033" s="12">
        <f>0.106*M1033</f>
        <v>0</v>
      </c>
      <c r="P1033" s="13">
        <f>0.00313*M1033</f>
        <v>0</v>
      </c>
      <c r="Q1033" s="17" t="s">
        <v>37</v>
      </c>
      <c r="R1033" s="8" t="s">
        <v>3544</v>
      </c>
      <c r="S1033" s="8"/>
      <c r="T1033" s="7" t="str">
        <f>HYPERLINK("https://miland.ru/api/getInfo/image/18ccc5c4-3184-11f1-a292-00155d82e908")</f>
        <v>https://miland.ru/api/getInfo/image/18ccc5c4-3184-11f1-a292-00155d82e908</v>
      </c>
      <c r="U1033" s="7"/>
      <c r="V1033" s="7"/>
      <c r="W1033" s="7"/>
      <c r="X1033" s="7"/>
      <c r="Y1033" s="7" t="s">
        <v>41</v>
      </c>
      <c r="Z1033" s="7"/>
      <c r="AA1033" s="7" t="str">
        <f>HYPERLINK("https://miland.ru/api/getInfo/item/18ccc5c4-3184-11f1-a292-00155d82e908")</f>
        <v>https://miland.ru/api/getInfo/item/18ccc5c4-3184-11f1-a292-00155d82e908</v>
      </c>
      <c r="AB1033" s="7" t="s">
        <v>50</v>
      </c>
      <c r="AC1033" s="7"/>
      <c r="AD1033" s="7"/>
      <c r="AE1033" s="54"/>
    </row>
    <row r="1034" spans="2:31" s="1" customFormat="1" ht="96.3" customHeight="1" outlineLevel="7">
      <c r="B1034" s="20">
        <v>760</v>
      </c>
      <c r="C1034" s="21" t="s">
        <v>3545</v>
      </c>
      <c r="D1034" s="72" t="s">
        <v>3546</v>
      </c>
      <c r="E1034" s="72"/>
      <c r="F1034" s="72"/>
      <c r="G1034" s="72"/>
      <c r="H1034" s="22" t="s">
        <v>3547</v>
      </c>
      <c r="I1034" s="23" t="s">
        <v>36</v>
      </c>
      <c r="J1034" s="22"/>
      <c r="K1034" s="20">
        <v>4</v>
      </c>
      <c r="L1034" s="24">
        <v>220.18</v>
      </c>
      <c r="M1034" s="11"/>
      <c r="N1034" s="22">
        <f t="shared" si="43"/>
        <v>0</v>
      </c>
      <c r="O1034" s="25">
        <f>0.059*M1034</f>
        <v>0</v>
      </c>
      <c r="P1034" s="26">
        <f>0.00133*M1034</f>
        <v>0</v>
      </c>
      <c r="Q1034" s="30"/>
      <c r="R1034" s="22" t="s">
        <v>3548</v>
      </c>
      <c r="S1034" s="22"/>
      <c r="T1034" s="21" t="str">
        <f>HYPERLINK("https://miland.ru/api/getInfo/image/50047200-dca3-11ef-a273-00155d82e908")</f>
        <v>https://miland.ru/api/getInfo/image/50047200-dca3-11ef-a273-00155d82e908</v>
      </c>
      <c r="U1034" s="21"/>
      <c r="V1034" s="21" t="s">
        <v>710</v>
      </c>
      <c r="W1034" s="21" t="s">
        <v>82</v>
      </c>
      <c r="X1034" s="21"/>
      <c r="Y1034" s="21" t="s">
        <v>41</v>
      </c>
      <c r="Z1034" s="21"/>
      <c r="AA1034" s="21" t="str">
        <f>HYPERLINK("https://miland.ru/api/getInfo/item/50047200-dca3-11ef-a273-00155d82e908")</f>
        <v>https://miland.ru/api/getInfo/item/50047200-dca3-11ef-a273-00155d82e908</v>
      </c>
      <c r="AB1034" s="21" t="s">
        <v>42</v>
      </c>
      <c r="AC1034" s="21"/>
      <c r="AD1034" s="21"/>
    </row>
    <row r="1035" spans="2:31" s="1" customFormat="1" ht="96.3" customHeight="1" outlineLevel="7">
      <c r="B1035" s="6">
        <v>761</v>
      </c>
      <c r="C1035" s="7" t="s">
        <v>3549</v>
      </c>
      <c r="D1035" s="71" t="s">
        <v>3550</v>
      </c>
      <c r="E1035" s="71"/>
      <c r="F1035" s="71"/>
      <c r="G1035" s="71"/>
      <c r="H1035" s="8" t="s">
        <v>3551</v>
      </c>
      <c r="I1035" s="9" t="s">
        <v>36</v>
      </c>
      <c r="J1035" s="8"/>
      <c r="K1035" s="6">
        <v>3</v>
      </c>
      <c r="L1035" s="10">
        <v>206.74</v>
      </c>
      <c r="M1035" s="11"/>
      <c r="N1035" s="8">
        <f t="shared" si="43"/>
        <v>0</v>
      </c>
      <c r="O1035" s="12">
        <f>0.108*M1035</f>
        <v>0</v>
      </c>
      <c r="P1035" s="13">
        <f>0.00303*M1035</f>
        <v>0</v>
      </c>
      <c r="Q1035" s="17" t="s">
        <v>37</v>
      </c>
      <c r="R1035" s="8" t="s">
        <v>3552</v>
      </c>
      <c r="S1035" s="8"/>
      <c r="T1035" s="7" t="str">
        <f>HYPERLINK("https://miland.ru/api/getInfo/image/ef7339df-3183-11f1-a292-00155d82e908")</f>
        <v>https://miland.ru/api/getInfo/image/ef7339df-3183-11f1-a292-00155d82e908</v>
      </c>
      <c r="U1035" s="7"/>
      <c r="V1035" s="7"/>
      <c r="W1035" s="7"/>
      <c r="X1035" s="7"/>
      <c r="Y1035" s="7" t="s">
        <v>41</v>
      </c>
      <c r="Z1035" s="7"/>
      <c r="AA1035" s="7" t="str">
        <f>HYPERLINK("https://miland.ru/api/getInfo/item/ef7339df-3183-11f1-a292-00155d82e908")</f>
        <v>https://miland.ru/api/getInfo/item/ef7339df-3183-11f1-a292-00155d82e908</v>
      </c>
      <c r="AB1035" s="7" t="s">
        <v>50</v>
      </c>
      <c r="AC1035" s="7"/>
      <c r="AD1035" s="7"/>
      <c r="AE1035" s="54"/>
    </row>
    <row r="1036" spans="2:31" s="1" customFormat="1" ht="96.3" customHeight="1" outlineLevel="7">
      <c r="B1036" s="6">
        <v>762</v>
      </c>
      <c r="C1036" s="7" t="s">
        <v>3553</v>
      </c>
      <c r="D1036" s="71" t="s">
        <v>3554</v>
      </c>
      <c r="E1036" s="71"/>
      <c r="F1036" s="71"/>
      <c r="G1036" s="71"/>
      <c r="H1036" s="8" t="s">
        <v>3555</v>
      </c>
      <c r="I1036" s="9" t="s">
        <v>36</v>
      </c>
      <c r="J1036" s="8"/>
      <c r="K1036" s="6">
        <v>3</v>
      </c>
      <c r="L1036" s="10">
        <v>206.74</v>
      </c>
      <c r="M1036" s="11"/>
      <c r="N1036" s="8">
        <f t="shared" si="43"/>
        <v>0</v>
      </c>
      <c r="O1036" s="12">
        <f>0.112*M1036</f>
        <v>0</v>
      </c>
      <c r="P1036" s="13">
        <f>0.00311*M1036</f>
        <v>0</v>
      </c>
      <c r="Q1036" s="17" t="s">
        <v>37</v>
      </c>
      <c r="R1036" s="8" t="s">
        <v>3556</v>
      </c>
      <c r="S1036" s="8"/>
      <c r="T1036" s="7" t="str">
        <f>HYPERLINK("https://miland.ru/api/getInfo/image/e5de919f-3182-11f1-a292-00155d82e908")</f>
        <v>https://miland.ru/api/getInfo/image/e5de919f-3182-11f1-a292-00155d82e908</v>
      </c>
      <c r="U1036" s="7"/>
      <c r="V1036" s="7"/>
      <c r="W1036" s="7"/>
      <c r="X1036" s="7"/>
      <c r="Y1036" s="7" t="s">
        <v>41</v>
      </c>
      <c r="Z1036" s="7"/>
      <c r="AA1036" s="7" t="str">
        <f>HYPERLINK("https://miland.ru/api/getInfo/item/e5de919f-3182-11f1-a292-00155d82e908")</f>
        <v>https://miland.ru/api/getInfo/item/e5de919f-3182-11f1-a292-00155d82e908</v>
      </c>
      <c r="AB1036" s="7" t="s">
        <v>50</v>
      </c>
      <c r="AC1036" s="7"/>
      <c r="AD1036" s="7"/>
      <c r="AE1036" s="54"/>
    </row>
    <row r="1037" spans="2:31" s="1" customFormat="1" ht="96.3" customHeight="1" outlineLevel="7">
      <c r="B1037" s="6">
        <v>763</v>
      </c>
      <c r="C1037" s="7" t="s">
        <v>3557</v>
      </c>
      <c r="D1037" s="71" t="s">
        <v>3558</v>
      </c>
      <c r="E1037" s="71"/>
      <c r="F1037" s="71"/>
      <c r="G1037" s="71"/>
      <c r="H1037" s="8" t="s">
        <v>3559</v>
      </c>
      <c r="I1037" s="14">
        <v>485</v>
      </c>
      <c r="J1037" s="8"/>
      <c r="K1037" s="6">
        <v>3</v>
      </c>
      <c r="L1037" s="10">
        <v>206.74</v>
      </c>
      <c r="M1037" s="11"/>
      <c r="N1037" s="8">
        <f t="shared" si="43"/>
        <v>0</v>
      </c>
      <c r="O1037" s="12">
        <f>0.114*M1037</f>
        <v>0</v>
      </c>
      <c r="P1037" s="13">
        <f>0.00308*M1037</f>
        <v>0</v>
      </c>
      <c r="Q1037" s="17" t="s">
        <v>37</v>
      </c>
      <c r="R1037" s="8" t="s">
        <v>3560</v>
      </c>
      <c r="S1037" s="8"/>
      <c r="T1037" s="7" t="str">
        <f>HYPERLINK("https://miland.ru/api/getInfo/image/fa01f830-3182-11f1-a292-00155d82e908")</f>
        <v>https://miland.ru/api/getInfo/image/fa01f830-3182-11f1-a292-00155d82e908</v>
      </c>
      <c r="U1037" s="7"/>
      <c r="V1037" s="7"/>
      <c r="W1037" s="7"/>
      <c r="X1037" s="7"/>
      <c r="Y1037" s="7" t="s">
        <v>41</v>
      </c>
      <c r="Z1037" s="7"/>
      <c r="AA1037" s="7" t="str">
        <f>HYPERLINK("https://miland.ru/api/getInfo/item/fa01f830-3182-11f1-a292-00155d82e908")</f>
        <v>https://miland.ru/api/getInfo/item/fa01f830-3182-11f1-a292-00155d82e908</v>
      </c>
      <c r="AB1037" s="7" t="s">
        <v>50</v>
      </c>
      <c r="AC1037" s="7"/>
      <c r="AD1037" s="7"/>
      <c r="AE1037" s="54"/>
    </row>
    <row r="1038" spans="2:31" s="1" customFormat="1" ht="96.3" customHeight="1" outlineLevel="7">
      <c r="B1038" s="20">
        <v>764</v>
      </c>
      <c r="C1038" s="21" t="s">
        <v>3561</v>
      </c>
      <c r="D1038" s="72" t="s">
        <v>3562</v>
      </c>
      <c r="E1038" s="72"/>
      <c r="F1038" s="72"/>
      <c r="G1038" s="72"/>
      <c r="H1038" s="22" t="s">
        <v>3563</v>
      </c>
      <c r="I1038" s="23" t="s">
        <v>36</v>
      </c>
      <c r="J1038" s="22"/>
      <c r="K1038" s="20">
        <v>3</v>
      </c>
      <c r="L1038" s="24">
        <v>182.45</v>
      </c>
      <c r="M1038" s="11"/>
      <c r="N1038" s="22">
        <f t="shared" si="43"/>
        <v>0</v>
      </c>
      <c r="O1038" s="25">
        <f>0.063*M1038</f>
        <v>0</v>
      </c>
      <c r="P1038" s="26">
        <f>0.00134*M1038</f>
        <v>0</v>
      </c>
      <c r="Q1038" s="30"/>
      <c r="R1038" s="22" t="s">
        <v>3564</v>
      </c>
      <c r="S1038" s="22"/>
      <c r="T1038" s="21" t="str">
        <f>HYPERLINK("https://miland.ru/api/getInfo/image/108ebd7b-2411-11e6-b4ab-5cf3fc4a2490")</f>
        <v>https://miland.ru/api/getInfo/image/108ebd7b-2411-11e6-b4ab-5cf3fc4a2490</v>
      </c>
      <c r="U1038" s="21"/>
      <c r="V1038" s="21" t="s">
        <v>710</v>
      </c>
      <c r="W1038" s="21" t="s">
        <v>82</v>
      </c>
      <c r="X1038" s="21"/>
      <c r="Y1038" s="21" t="s">
        <v>41</v>
      </c>
      <c r="Z1038" s="21"/>
      <c r="AA1038" s="21" t="str">
        <f>HYPERLINK("https://miland.ru/api/getInfo/item/108ebd7b-2411-11e6-b4ab-5cf3fc4a2490")</f>
        <v>https://miland.ru/api/getInfo/item/108ebd7b-2411-11e6-b4ab-5cf3fc4a2490</v>
      </c>
      <c r="AB1038" s="21" t="s">
        <v>42</v>
      </c>
      <c r="AC1038" s="21" t="s">
        <v>3536</v>
      </c>
      <c r="AD1038" s="21"/>
    </row>
    <row r="1039" spans="2:31" s="1" customFormat="1" ht="96.3" customHeight="1" outlineLevel="7">
      <c r="B1039" s="20">
        <v>765</v>
      </c>
      <c r="C1039" s="21" t="s">
        <v>3565</v>
      </c>
      <c r="D1039" s="72" t="s">
        <v>3566</v>
      </c>
      <c r="E1039" s="72"/>
      <c r="F1039" s="72"/>
      <c r="G1039" s="72"/>
      <c r="H1039" s="22" t="s">
        <v>3567</v>
      </c>
      <c r="I1039" s="23" t="s">
        <v>36</v>
      </c>
      <c r="J1039" s="22"/>
      <c r="K1039" s="20">
        <v>4</v>
      </c>
      <c r="L1039" s="24">
        <v>170.9</v>
      </c>
      <c r="M1039" s="11"/>
      <c r="N1039" s="22">
        <f t="shared" si="43"/>
        <v>0</v>
      </c>
      <c r="O1039" s="25">
        <f>0.064*M1039</f>
        <v>0</v>
      </c>
      <c r="P1039" s="26">
        <f>0.00136*M1039</f>
        <v>0</v>
      </c>
      <c r="Q1039" s="30"/>
      <c r="R1039" s="22" t="s">
        <v>3568</v>
      </c>
      <c r="S1039" s="22"/>
      <c r="T1039" s="21" t="str">
        <f>HYPERLINK("https://miland.ru/api/getInfo/image/3567051a-240e-11e6-b4ab-5cf3fc4a2490")</f>
        <v>https://miland.ru/api/getInfo/image/3567051a-240e-11e6-b4ab-5cf3fc4a2490</v>
      </c>
      <c r="U1039" s="21"/>
      <c r="V1039" s="21" t="s">
        <v>710</v>
      </c>
      <c r="W1039" s="21" t="s">
        <v>82</v>
      </c>
      <c r="X1039" s="21"/>
      <c r="Y1039" s="21" t="s">
        <v>41</v>
      </c>
      <c r="Z1039" s="21"/>
      <c r="AA1039" s="21" t="str">
        <f>HYPERLINK("https://miland.ru/api/getInfo/item/3567051a-240e-11e6-b4ab-5cf3fc4a2490")</f>
        <v>https://miland.ru/api/getInfo/item/3567051a-240e-11e6-b4ab-5cf3fc4a2490</v>
      </c>
      <c r="AB1039" s="21" t="s">
        <v>42</v>
      </c>
      <c r="AC1039" s="21" t="s">
        <v>3536</v>
      </c>
      <c r="AD1039" s="21"/>
    </row>
    <row r="1040" spans="2:31" s="1" customFormat="1" ht="96.3" customHeight="1" outlineLevel="7">
      <c r="B1040" s="20">
        <v>766</v>
      </c>
      <c r="C1040" s="21" t="s">
        <v>3569</v>
      </c>
      <c r="D1040" s="72" t="s">
        <v>3570</v>
      </c>
      <c r="E1040" s="72"/>
      <c r="F1040" s="72"/>
      <c r="G1040" s="72"/>
      <c r="H1040" s="22" t="s">
        <v>3571</v>
      </c>
      <c r="I1040" s="23" t="s">
        <v>36</v>
      </c>
      <c r="J1040" s="22"/>
      <c r="K1040" s="20">
        <v>3</v>
      </c>
      <c r="L1040" s="24">
        <v>182.45</v>
      </c>
      <c r="M1040" s="11"/>
      <c r="N1040" s="22">
        <f t="shared" si="43"/>
        <v>0</v>
      </c>
      <c r="O1040" s="28">
        <f>0.06*M1040</f>
        <v>0</v>
      </c>
      <c r="P1040" s="29">
        <f>0.0014*M1040</f>
        <v>0</v>
      </c>
      <c r="Q1040" s="30"/>
      <c r="R1040" s="22" t="s">
        <v>3572</v>
      </c>
      <c r="S1040" s="22"/>
      <c r="T1040" s="21" t="str">
        <f>HYPERLINK("https://miland.ru/api/getInfo/image/d770f8da-23f9-11e6-b4ab-5cf3fc4a2490")</f>
        <v>https://miland.ru/api/getInfo/image/d770f8da-23f9-11e6-b4ab-5cf3fc4a2490</v>
      </c>
      <c r="U1040" s="21"/>
      <c r="V1040" s="21" t="s">
        <v>710</v>
      </c>
      <c r="W1040" s="21" t="s">
        <v>82</v>
      </c>
      <c r="X1040" s="21"/>
      <c r="Y1040" s="21" t="s">
        <v>41</v>
      </c>
      <c r="Z1040" s="21"/>
      <c r="AA1040" s="21" t="str">
        <f>HYPERLINK("https://miland.ru/api/getInfo/item/d770f8da-23f9-11e6-b4ab-5cf3fc4a2490")</f>
        <v>https://miland.ru/api/getInfo/item/d770f8da-23f9-11e6-b4ab-5cf3fc4a2490</v>
      </c>
      <c r="AB1040" s="21" t="s">
        <v>42</v>
      </c>
      <c r="AC1040" s="21" t="s">
        <v>3536</v>
      </c>
      <c r="AD1040" s="21"/>
    </row>
    <row r="1041" spans="2:31" s="1" customFormat="1" ht="96.3" customHeight="1" outlineLevel="7">
      <c r="B1041" s="20">
        <v>767</v>
      </c>
      <c r="C1041" s="21" t="s">
        <v>3573</v>
      </c>
      <c r="D1041" s="72" t="s">
        <v>3574</v>
      </c>
      <c r="E1041" s="72"/>
      <c r="F1041" s="72"/>
      <c r="G1041" s="72"/>
      <c r="H1041" s="22" t="s">
        <v>3575</v>
      </c>
      <c r="I1041" s="23" t="s">
        <v>36</v>
      </c>
      <c r="J1041" s="22"/>
      <c r="K1041" s="20">
        <v>3</v>
      </c>
      <c r="L1041" s="24">
        <v>182.45</v>
      </c>
      <c r="M1041" s="11"/>
      <c r="N1041" s="22">
        <f t="shared" si="43"/>
        <v>0</v>
      </c>
      <c r="O1041" s="25">
        <f>0.059*M1041</f>
        <v>0</v>
      </c>
      <c r="P1041" s="26">
        <f>0.00137*M1041</f>
        <v>0</v>
      </c>
      <c r="Q1041" s="30"/>
      <c r="R1041" s="22" t="s">
        <v>3576</v>
      </c>
      <c r="S1041" s="22"/>
      <c r="T1041" s="21" t="str">
        <f>HYPERLINK("https://miland.ru/api/getInfo/image/416b369a-2410-11e6-b4ab-5cf3fc4a2490")</f>
        <v>https://miland.ru/api/getInfo/image/416b369a-2410-11e6-b4ab-5cf3fc4a2490</v>
      </c>
      <c r="U1041" s="21"/>
      <c r="V1041" s="21" t="s">
        <v>710</v>
      </c>
      <c r="W1041" s="21" t="s">
        <v>82</v>
      </c>
      <c r="X1041" s="21"/>
      <c r="Y1041" s="21" t="s">
        <v>41</v>
      </c>
      <c r="Z1041" s="21"/>
      <c r="AA1041" s="21" t="str">
        <f>HYPERLINK("https://miland.ru/api/getInfo/item/416b369a-2410-11e6-b4ab-5cf3fc4a2490")</f>
        <v>https://miland.ru/api/getInfo/item/416b369a-2410-11e6-b4ab-5cf3fc4a2490</v>
      </c>
      <c r="AB1041" s="21" t="s">
        <v>42</v>
      </c>
      <c r="AC1041" s="21" t="s">
        <v>3536</v>
      </c>
      <c r="AD1041" s="21"/>
    </row>
    <row r="1042" spans="2:31" s="1" customFormat="1" ht="96.3" customHeight="1" outlineLevel="7">
      <c r="B1042" s="20">
        <v>768</v>
      </c>
      <c r="C1042" s="21" t="s">
        <v>3577</v>
      </c>
      <c r="D1042" s="72" t="s">
        <v>3578</v>
      </c>
      <c r="E1042" s="72"/>
      <c r="F1042" s="72"/>
      <c r="G1042" s="72"/>
      <c r="H1042" s="22" t="s">
        <v>3579</v>
      </c>
      <c r="I1042" s="23" t="s">
        <v>36</v>
      </c>
      <c r="J1042" s="22"/>
      <c r="K1042" s="20">
        <v>3</v>
      </c>
      <c r="L1042" s="24">
        <v>182.45</v>
      </c>
      <c r="M1042" s="11"/>
      <c r="N1042" s="22">
        <f t="shared" si="43"/>
        <v>0</v>
      </c>
      <c r="O1042" s="28">
        <f>0.06*M1042</f>
        <v>0</v>
      </c>
      <c r="P1042" s="29">
        <f>0.0014*M1042</f>
        <v>0</v>
      </c>
      <c r="Q1042" s="30"/>
      <c r="R1042" s="22" t="s">
        <v>3580</v>
      </c>
      <c r="S1042" s="22"/>
      <c r="T1042" s="21" t="str">
        <f>HYPERLINK("https://miland.ru/api/getInfo/image/96ba1505-24a0-11e6-b4ab-5cf3fc4a2490")</f>
        <v>https://miland.ru/api/getInfo/image/96ba1505-24a0-11e6-b4ab-5cf3fc4a2490</v>
      </c>
      <c r="U1042" s="21"/>
      <c r="V1042" s="21" t="s">
        <v>710</v>
      </c>
      <c r="W1042" s="21" t="s">
        <v>82</v>
      </c>
      <c r="X1042" s="21"/>
      <c r="Y1042" s="21" t="s">
        <v>41</v>
      </c>
      <c r="Z1042" s="21"/>
      <c r="AA1042" s="21" t="str">
        <f>HYPERLINK("https://miland.ru/api/getInfo/item/96ba1505-24a0-11e6-b4ab-5cf3fc4a2490")</f>
        <v>https://miland.ru/api/getInfo/item/96ba1505-24a0-11e6-b4ab-5cf3fc4a2490</v>
      </c>
      <c r="AB1042" s="21" t="s">
        <v>42</v>
      </c>
      <c r="AC1042" s="21" t="s">
        <v>3536</v>
      </c>
      <c r="AD1042" s="21"/>
    </row>
    <row r="1043" spans="2:31" s="1" customFormat="1" ht="96.3" customHeight="1" outlineLevel="7">
      <c r="B1043" s="20">
        <v>769</v>
      </c>
      <c r="C1043" s="21" t="s">
        <v>3581</v>
      </c>
      <c r="D1043" s="72" t="s">
        <v>3582</v>
      </c>
      <c r="E1043" s="72"/>
      <c r="F1043" s="72"/>
      <c r="G1043" s="72"/>
      <c r="H1043" s="22" t="s">
        <v>3583</v>
      </c>
      <c r="I1043" s="23" t="s">
        <v>36</v>
      </c>
      <c r="J1043" s="22"/>
      <c r="K1043" s="20">
        <v>4</v>
      </c>
      <c r="L1043" s="24">
        <v>170.9</v>
      </c>
      <c r="M1043" s="11"/>
      <c r="N1043" s="22">
        <f t="shared" si="43"/>
        <v>0</v>
      </c>
      <c r="O1043" s="25">
        <f>0.062*M1043</f>
        <v>0</v>
      </c>
      <c r="P1043" s="26">
        <f>0.00134*M1043</f>
        <v>0</v>
      </c>
      <c r="Q1043" s="30"/>
      <c r="R1043" s="22" t="s">
        <v>3584</v>
      </c>
      <c r="S1043" s="22"/>
      <c r="T1043" s="21" t="str">
        <f>HYPERLINK("https://miland.ru/api/getInfo/image/2ffba3fa-240f-11e6-b4ab-5cf3fc4a2490")</f>
        <v>https://miland.ru/api/getInfo/image/2ffba3fa-240f-11e6-b4ab-5cf3fc4a2490</v>
      </c>
      <c r="U1043" s="21"/>
      <c r="V1043" s="21" t="s">
        <v>710</v>
      </c>
      <c r="W1043" s="21" t="s">
        <v>82</v>
      </c>
      <c r="X1043" s="21"/>
      <c r="Y1043" s="21" t="s">
        <v>41</v>
      </c>
      <c r="Z1043" s="21"/>
      <c r="AA1043" s="21" t="str">
        <f>HYPERLINK("https://miland.ru/api/getInfo/item/2ffba3fa-240f-11e6-b4ab-5cf3fc4a2490")</f>
        <v>https://miland.ru/api/getInfo/item/2ffba3fa-240f-11e6-b4ab-5cf3fc4a2490</v>
      </c>
      <c r="AB1043" s="21" t="s">
        <v>42</v>
      </c>
      <c r="AC1043" s="21" t="s">
        <v>3536</v>
      </c>
      <c r="AD1043" s="21"/>
    </row>
    <row r="1044" spans="2:31" s="1" customFormat="1" ht="96.3" customHeight="1" outlineLevel="7">
      <c r="B1044" s="20">
        <v>770</v>
      </c>
      <c r="C1044" s="21" t="s">
        <v>3585</v>
      </c>
      <c r="D1044" s="72" t="s">
        <v>3586</v>
      </c>
      <c r="E1044" s="72"/>
      <c r="F1044" s="72"/>
      <c r="G1044" s="72"/>
      <c r="H1044" s="22" t="s">
        <v>3587</v>
      </c>
      <c r="I1044" s="27">
        <v>15</v>
      </c>
      <c r="J1044" s="22"/>
      <c r="K1044" s="20">
        <v>4</v>
      </c>
      <c r="L1044" s="24">
        <v>170.9</v>
      </c>
      <c r="M1044" s="11"/>
      <c r="N1044" s="22">
        <f t="shared" si="43"/>
        <v>0</v>
      </c>
      <c r="O1044" s="25">
        <f>0.061*M1044</f>
        <v>0</v>
      </c>
      <c r="P1044" s="26">
        <f>0.00157*M1044</f>
        <v>0</v>
      </c>
      <c r="Q1044" s="30"/>
      <c r="R1044" s="22" t="s">
        <v>3588</v>
      </c>
      <c r="S1044" s="22" t="s">
        <v>435</v>
      </c>
      <c r="T1044" s="21" t="str">
        <f>HYPERLINK("https://miland.ru/api/getInfo/image/6c380fba-2410-11e6-b4ab-5cf3fc4a2490")</f>
        <v>https://miland.ru/api/getInfo/image/6c380fba-2410-11e6-b4ab-5cf3fc4a2490</v>
      </c>
      <c r="U1044" s="21"/>
      <c r="V1044" s="21" t="s">
        <v>710</v>
      </c>
      <c r="W1044" s="21" t="s">
        <v>82</v>
      </c>
      <c r="X1044" s="21"/>
      <c r="Y1044" s="21" t="s">
        <v>41</v>
      </c>
      <c r="Z1044" s="21"/>
      <c r="AA1044" s="21" t="str">
        <f>HYPERLINK("https://miland.ru/api/getInfo/item/6c380fba-2410-11e6-b4ab-5cf3fc4a2490")</f>
        <v>https://miland.ru/api/getInfo/item/6c380fba-2410-11e6-b4ab-5cf3fc4a2490</v>
      </c>
      <c r="AB1044" s="21" t="s">
        <v>42</v>
      </c>
      <c r="AC1044" s="21" t="s">
        <v>3536</v>
      </c>
      <c r="AD1044" s="21"/>
    </row>
    <row r="1045" spans="2:31" s="1" customFormat="1" ht="96.3" customHeight="1" outlineLevel="7">
      <c r="B1045" s="20">
        <v>771</v>
      </c>
      <c r="C1045" s="21" t="s">
        <v>3589</v>
      </c>
      <c r="D1045" s="72" t="s">
        <v>3590</v>
      </c>
      <c r="E1045" s="72"/>
      <c r="F1045" s="72"/>
      <c r="G1045" s="72"/>
      <c r="H1045" s="22" t="s">
        <v>3591</v>
      </c>
      <c r="I1045" s="27">
        <v>391</v>
      </c>
      <c r="J1045" s="22"/>
      <c r="K1045" s="20">
        <v>2</v>
      </c>
      <c r="L1045" s="24">
        <v>346.27</v>
      </c>
      <c r="M1045" s="11"/>
      <c r="N1045" s="22">
        <f t="shared" si="43"/>
        <v>0</v>
      </c>
      <c r="O1045" s="25">
        <f>0.205*M1045</f>
        <v>0</v>
      </c>
      <c r="P1045" s="26">
        <f>0.00139*M1045</f>
        <v>0</v>
      </c>
      <c r="Q1045" s="30"/>
      <c r="R1045" s="22" t="s">
        <v>3592</v>
      </c>
      <c r="S1045" s="22"/>
      <c r="T1045" s="21" t="str">
        <f>HYPERLINK("https://miland.ru/api/getInfo/image/be691a36-63f3-11ed-a22a-00155d82e902")</f>
        <v>https://miland.ru/api/getInfo/image/be691a36-63f3-11ed-a22a-00155d82e902</v>
      </c>
      <c r="U1045" s="21"/>
      <c r="V1045" s="21" t="s">
        <v>710</v>
      </c>
      <c r="W1045" s="21" t="s">
        <v>82</v>
      </c>
      <c r="X1045" s="21"/>
      <c r="Y1045" s="21" t="s">
        <v>41</v>
      </c>
      <c r="Z1045" s="21"/>
      <c r="AA1045" s="21" t="str">
        <f>HYPERLINK("https://miland.ru/api/getInfo/item/be691a36-63f3-11ed-a22a-00155d82e902")</f>
        <v>https://miland.ru/api/getInfo/item/be691a36-63f3-11ed-a22a-00155d82e902</v>
      </c>
      <c r="AB1045" s="21" t="s">
        <v>42</v>
      </c>
      <c r="AC1045" s="21" t="s">
        <v>3593</v>
      </c>
      <c r="AD1045" s="21"/>
    </row>
    <row r="1046" spans="2:31" s="1" customFormat="1" ht="96.3" customHeight="1" outlineLevel="7">
      <c r="B1046" s="20">
        <v>772</v>
      </c>
      <c r="C1046" s="21" t="s">
        <v>3594</v>
      </c>
      <c r="D1046" s="72" t="s">
        <v>3595</v>
      </c>
      <c r="E1046" s="72"/>
      <c r="F1046" s="72"/>
      <c r="G1046" s="72"/>
      <c r="H1046" s="22" t="s">
        <v>3596</v>
      </c>
      <c r="I1046" s="23" t="s">
        <v>36</v>
      </c>
      <c r="J1046" s="22"/>
      <c r="K1046" s="20">
        <v>2</v>
      </c>
      <c r="L1046" s="24">
        <v>378.99</v>
      </c>
      <c r="M1046" s="11"/>
      <c r="N1046" s="22">
        <f t="shared" si="43"/>
        <v>0</v>
      </c>
      <c r="O1046" s="33">
        <f>0.2*M1046</f>
        <v>0</v>
      </c>
      <c r="P1046" s="26">
        <f>0.00138*M1046</f>
        <v>0</v>
      </c>
      <c r="Q1046" s="30"/>
      <c r="R1046" s="22" t="s">
        <v>3597</v>
      </c>
      <c r="S1046" s="22"/>
      <c r="T1046" s="21" t="str">
        <f>HYPERLINK("https://miland.ru/api/getInfo/image/d7e57c93-990f-11eb-a201-ac1f6b442185")</f>
        <v>https://miland.ru/api/getInfo/image/d7e57c93-990f-11eb-a201-ac1f6b442185</v>
      </c>
      <c r="U1046" s="21"/>
      <c r="V1046" s="21" t="s">
        <v>710</v>
      </c>
      <c r="W1046" s="21" t="s">
        <v>82</v>
      </c>
      <c r="X1046" s="21"/>
      <c r="Y1046" s="21" t="s">
        <v>41</v>
      </c>
      <c r="Z1046" s="21"/>
      <c r="AA1046" s="21" t="str">
        <f>HYPERLINK("https://miland.ru/api/getInfo/item/d7e57c93-990f-11eb-a201-ac1f6b442185")</f>
        <v>https://miland.ru/api/getInfo/item/d7e57c93-990f-11eb-a201-ac1f6b442185</v>
      </c>
      <c r="AB1046" s="21" t="s">
        <v>42</v>
      </c>
      <c r="AC1046" s="21" t="s">
        <v>2396</v>
      </c>
      <c r="AD1046" s="21"/>
    </row>
    <row r="1047" spans="2:31" s="1" customFormat="1" ht="96.3" customHeight="1" outlineLevel="7">
      <c r="B1047" s="20">
        <v>773</v>
      </c>
      <c r="C1047" s="21" t="s">
        <v>3598</v>
      </c>
      <c r="D1047" s="72" t="s">
        <v>3599</v>
      </c>
      <c r="E1047" s="72"/>
      <c r="F1047" s="72"/>
      <c r="G1047" s="72"/>
      <c r="H1047" s="22" t="s">
        <v>3600</v>
      </c>
      <c r="I1047" s="23" t="s">
        <v>36</v>
      </c>
      <c r="J1047" s="22"/>
      <c r="K1047" s="20">
        <v>3</v>
      </c>
      <c r="L1047" s="24">
        <v>206.58</v>
      </c>
      <c r="M1047" s="11"/>
      <c r="N1047" s="22">
        <f t="shared" si="43"/>
        <v>0</v>
      </c>
      <c r="O1047" s="25">
        <f>0.074*M1047</f>
        <v>0</v>
      </c>
      <c r="P1047" s="26">
        <f>0.00146*M1047</f>
        <v>0</v>
      </c>
      <c r="Q1047" s="30"/>
      <c r="R1047" s="22" t="s">
        <v>3601</v>
      </c>
      <c r="S1047" s="22"/>
      <c r="T1047" s="21" t="str">
        <f>HYPERLINK("https://miland.ru/api/getInfo/image/aa887ad1-990e-11eb-a201-ac1f6b442185")</f>
        <v>https://miland.ru/api/getInfo/image/aa887ad1-990e-11eb-a201-ac1f6b442185</v>
      </c>
      <c r="U1047" s="21"/>
      <c r="V1047" s="21" t="s">
        <v>710</v>
      </c>
      <c r="W1047" s="21" t="s">
        <v>82</v>
      </c>
      <c r="X1047" s="21"/>
      <c r="Y1047" s="21" t="s">
        <v>41</v>
      </c>
      <c r="Z1047" s="21"/>
      <c r="AA1047" s="21" t="str">
        <f>HYPERLINK("https://miland.ru/api/getInfo/item/aa887ad1-990e-11eb-a201-ac1f6b442185")</f>
        <v>https://miland.ru/api/getInfo/item/aa887ad1-990e-11eb-a201-ac1f6b442185</v>
      </c>
      <c r="AB1047" s="21" t="s">
        <v>42</v>
      </c>
      <c r="AC1047" s="21" t="s">
        <v>2396</v>
      </c>
      <c r="AD1047" s="21"/>
    </row>
    <row r="1048" spans="2:31" s="1" customFormat="1" ht="96.3" customHeight="1" outlineLevel="7">
      <c r="B1048" s="20">
        <v>774</v>
      </c>
      <c r="C1048" s="21" t="s">
        <v>3602</v>
      </c>
      <c r="D1048" s="72" t="s">
        <v>3603</v>
      </c>
      <c r="E1048" s="72"/>
      <c r="F1048" s="72"/>
      <c r="G1048" s="72"/>
      <c r="H1048" s="22" t="s">
        <v>3604</v>
      </c>
      <c r="I1048" s="27">
        <v>30</v>
      </c>
      <c r="J1048" s="22"/>
      <c r="K1048" s="20">
        <v>2</v>
      </c>
      <c r="L1048" s="24">
        <v>302.45</v>
      </c>
      <c r="M1048" s="11"/>
      <c r="N1048" s="22">
        <f t="shared" si="43"/>
        <v>0</v>
      </c>
      <c r="O1048" s="25">
        <f>0.073*M1048</f>
        <v>0</v>
      </c>
      <c r="P1048" s="26">
        <f>0.00132*M1048</f>
        <v>0</v>
      </c>
      <c r="Q1048" s="30"/>
      <c r="R1048" s="22" t="s">
        <v>3605</v>
      </c>
      <c r="S1048" s="22"/>
      <c r="T1048" s="21" t="str">
        <f>HYPERLINK("https://miland.ru/api/getInfo/image/11f42396-63e5-11ed-a22a-00155d82e902")</f>
        <v>https://miland.ru/api/getInfo/image/11f42396-63e5-11ed-a22a-00155d82e902</v>
      </c>
      <c r="U1048" s="21"/>
      <c r="V1048" s="21" t="s">
        <v>710</v>
      </c>
      <c r="W1048" s="21" t="s">
        <v>82</v>
      </c>
      <c r="X1048" s="21"/>
      <c r="Y1048" s="21" t="s">
        <v>41</v>
      </c>
      <c r="Z1048" s="21"/>
      <c r="AA1048" s="21" t="str">
        <f>HYPERLINK("https://miland.ru/api/getInfo/item/11f42396-63e5-11ed-a22a-00155d82e902")</f>
        <v>https://miland.ru/api/getInfo/item/11f42396-63e5-11ed-a22a-00155d82e902</v>
      </c>
      <c r="AB1048" s="21" t="s">
        <v>42</v>
      </c>
      <c r="AC1048" s="21" t="s">
        <v>3593</v>
      </c>
      <c r="AD1048" s="21"/>
    </row>
    <row r="1049" spans="2:31" ht="12" customHeight="1" outlineLevel="7">
      <c r="B1049" s="70" t="s">
        <v>3606</v>
      </c>
      <c r="C1049" s="70"/>
      <c r="D1049" s="70"/>
      <c r="E1049" s="70"/>
      <c r="F1049" s="70"/>
      <c r="G1049" s="70"/>
    </row>
    <row r="1050" spans="2:31" s="1" customFormat="1" ht="96.3" customHeight="1" outlineLevel="7">
      <c r="B1050" s="20">
        <v>775</v>
      </c>
      <c r="C1050" s="21" t="s">
        <v>3607</v>
      </c>
      <c r="D1050" s="72" t="s">
        <v>3608</v>
      </c>
      <c r="E1050" s="72"/>
      <c r="F1050" s="72"/>
      <c r="G1050" s="72"/>
      <c r="H1050" s="22" t="s">
        <v>3609</v>
      </c>
      <c r="I1050" s="23" t="s">
        <v>36</v>
      </c>
      <c r="J1050" s="22"/>
      <c r="K1050" s="20">
        <v>1</v>
      </c>
      <c r="L1050" s="32">
        <v>1139.68</v>
      </c>
      <c r="M1050" s="11"/>
      <c r="N1050" s="22">
        <f t="shared" ref="N1050:N1067" si="44">L1050*M1050</f>
        <v>0</v>
      </c>
      <c r="O1050" s="25">
        <f>0.179*M1050</f>
        <v>0</v>
      </c>
      <c r="P1050" s="26">
        <f>0.00284*M1050</f>
        <v>0</v>
      </c>
      <c r="Q1050" s="30"/>
      <c r="R1050" s="22" t="s">
        <v>3610</v>
      </c>
      <c r="S1050" s="22"/>
      <c r="T1050" s="21" t="str">
        <f>HYPERLINK("https://miland.ru/api/getInfo/image/8f00a8de-24cd-11f0-a279-00155d82e908")</f>
        <v>https://miland.ru/api/getInfo/image/8f00a8de-24cd-11f0-a279-00155d82e908</v>
      </c>
      <c r="U1050" s="21"/>
      <c r="V1050" s="21" t="s">
        <v>710</v>
      </c>
      <c r="W1050" s="21" t="s">
        <v>82</v>
      </c>
      <c r="X1050" s="21"/>
      <c r="Y1050" s="21" t="s">
        <v>41</v>
      </c>
      <c r="Z1050" s="21"/>
      <c r="AA1050" s="21" t="str">
        <f>HYPERLINK("https://miland.ru/api/getInfo/item/8f00a8de-24cd-11f0-a279-00155d82e908")</f>
        <v>https://miland.ru/api/getInfo/item/8f00a8de-24cd-11f0-a279-00155d82e908</v>
      </c>
      <c r="AB1050" s="21" t="s">
        <v>42</v>
      </c>
      <c r="AC1050" s="21"/>
      <c r="AD1050" s="21"/>
    </row>
    <row r="1051" spans="2:31" s="1" customFormat="1" ht="96.3" customHeight="1" outlineLevel="7">
      <c r="B1051" s="20">
        <v>776</v>
      </c>
      <c r="C1051" s="21" t="s">
        <v>3611</v>
      </c>
      <c r="D1051" s="72" t="s">
        <v>3612</v>
      </c>
      <c r="E1051" s="72"/>
      <c r="F1051" s="72"/>
      <c r="G1051" s="72"/>
      <c r="H1051" s="22" t="s">
        <v>3613</v>
      </c>
      <c r="I1051" s="23" t="s">
        <v>36</v>
      </c>
      <c r="J1051" s="22"/>
      <c r="K1051" s="20">
        <v>1</v>
      </c>
      <c r="L1051" s="24">
        <v>427.51</v>
      </c>
      <c r="M1051" s="11"/>
      <c r="N1051" s="22">
        <f t="shared" si="44"/>
        <v>0</v>
      </c>
      <c r="O1051" s="25">
        <f>0.177*M1051</f>
        <v>0</v>
      </c>
      <c r="P1051" s="26">
        <f>0.00284*M1051</f>
        <v>0</v>
      </c>
      <c r="Q1051" s="30"/>
      <c r="R1051" s="22" t="s">
        <v>3614</v>
      </c>
      <c r="S1051" s="22"/>
      <c r="T1051" s="21" t="str">
        <f>HYPERLINK("https://miland.ru/api/getInfo/image/5aa80126-24ce-11f0-a279-00155d82e908")</f>
        <v>https://miland.ru/api/getInfo/image/5aa80126-24ce-11f0-a279-00155d82e908</v>
      </c>
      <c r="U1051" s="21"/>
      <c r="V1051" s="21" t="s">
        <v>710</v>
      </c>
      <c r="W1051" s="21" t="s">
        <v>82</v>
      </c>
      <c r="X1051" s="21"/>
      <c r="Y1051" s="21" t="s">
        <v>41</v>
      </c>
      <c r="Z1051" s="21"/>
      <c r="AA1051" s="21" t="str">
        <f>HYPERLINK("https://miland.ru/api/getInfo/item/5aa80126-24ce-11f0-a279-00155d82e908")</f>
        <v>https://miland.ru/api/getInfo/item/5aa80126-24ce-11f0-a279-00155d82e908</v>
      </c>
      <c r="AB1051" s="21" t="s">
        <v>42</v>
      </c>
      <c r="AC1051" s="21"/>
      <c r="AD1051" s="21"/>
    </row>
    <row r="1052" spans="2:31" s="1" customFormat="1" ht="96.3" customHeight="1" outlineLevel="7">
      <c r="B1052" s="20">
        <v>777</v>
      </c>
      <c r="C1052" s="21" t="s">
        <v>3615</v>
      </c>
      <c r="D1052" s="72" t="s">
        <v>3616</v>
      </c>
      <c r="E1052" s="72"/>
      <c r="F1052" s="72"/>
      <c r="G1052" s="72"/>
      <c r="H1052" s="22" t="s">
        <v>3617</v>
      </c>
      <c r="I1052" s="23" t="s">
        <v>36</v>
      </c>
      <c r="J1052" s="22"/>
      <c r="K1052" s="20">
        <v>2</v>
      </c>
      <c r="L1052" s="24">
        <v>370.4</v>
      </c>
      <c r="M1052" s="11"/>
      <c r="N1052" s="22">
        <f t="shared" si="44"/>
        <v>0</v>
      </c>
      <c r="O1052" s="28">
        <f>0.12*M1052</f>
        <v>0</v>
      </c>
      <c r="P1052" s="26">
        <f>0.00261*M1052</f>
        <v>0</v>
      </c>
      <c r="Q1052" s="30"/>
      <c r="R1052" s="22" t="s">
        <v>3618</v>
      </c>
      <c r="S1052" s="22"/>
      <c r="T1052" s="21" t="str">
        <f>HYPERLINK("https://miland.ru/api/getInfo/image/af93fdc6-8a4d-11ec-a211-ac1f6b442185")</f>
        <v>https://miland.ru/api/getInfo/image/af93fdc6-8a4d-11ec-a211-ac1f6b442185</v>
      </c>
      <c r="U1052" s="21"/>
      <c r="V1052" s="21" t="s">
        <v>710</v>
      </c>
      <c r="W1052" s="21" t="s">
        <v>82</v>
      </c>
      <c r="X1052" s="21"/>
      <c r="Y1052" s="21" t="s">
        <v>41</v>
      </c>
      <c r="Z1052" s="21"/>
      <c r="AA1052" s="21" t="str">
        <f>HYPERLINK("https://miland.ru/api/getInfo/item/af93fdc6-8a4d-11ec-a211-ac1f6b442185")</f>
        <v>https://miland.ru/api/getInfo/item/af93fdc6-8a4d-11ec-a211-ac1f6b442185</v>
      </c>
      <c r="AB1052" s="21" t="s">
        <v>42</v>
      </c>
      <c r="AC1052" s="21" t="s">
        <v>3619</v>
      </c>
      <c r="AD1052" s="21"/>
    </row>
    <row r="1053" spans="2:31" s="1" customFormat="1" ht="96.3" customHeight="1" outlineLevel="7">
      <c r="B1053" s="20">
        <v>778</v>
      </c>
      <c r="C1053" s="21" t="s">
        <v>3620</v>
      </c>
      <c r="D1053" s="72" t="s">
        <v>3621</v>
      </c>
      <c r="E1053" s="72"/>
      <c r="F1053" s="72"/>
      <c r="G1053" s="72"/>
      <c r="H1053" s="22" t="s">
        <v>3622</v>
      </c>
      <c r="I1053" s="23" t="s">
        <v>36</v>
      </c>
      <c r="J1053" s="22"/>
      <c r="K1053" s="20">
        <v>2</v>
      </c>
      <c r="L1053" s="24">
        <v>370.4</v>
      </c>
      <c r="M1053" s="11"/>
      <c r="N1053" s="22">
        <f t="shared" si="44"/>
        <v>0</v>
      </c>
      <c r="O1053" s="25">
        <f>0.139*M1053</f>
        <v>0</v>
      </c>
      <c r="P1053" s="26">
        <f>0.00119*M1053</f>
        <v>0</v>
      </c>
      <c r="Q1053" s="30"/>
      <c r="R1053" s="22" t="s">
        <v>3623</v>
      </c>
      <c r="S1053" s="22"/>
      <c r="T1053" s="21" t="str">
        <f>HYPERLINK("https://miland.ru/api/getInfo/image/5b69f9c6-8a4e-11ec-a211-ac1f6b442185")</f>
        <v>https://miland.ru/api/getInfo/image/5b69f9c6-8a4e-11ec-a211-ac1f6b442185</v>
      </c>
      <c r="U1053" s="21"/>
      <c r="V1053" s="21" t="s">
        <v>710</v>
      </c>
      <c r="W1053" s="21" t="s">
        <v>82</v>
      </c>
      <c r="X1053" s="21"/>
      <c r="Y1053" s="21" t="s">
        <v>41</v>
      </c>
      <c r="Z1053" s="21"/>
      <c r="AA1053" s="21" t="str">
        <f>HYPERLINK("https://miland.ru/api/getInfo/item/5b69f9c6-8a4e-11ec-a211-ac1f6b442185")</f>
        <v>https://miland.ru/api/getInfo/item/5b69f9c6-8a4e-11ec-a211-ac1f6b442185</v>
      </c>
      <c r="AB1053" s="21" t="s">
        <v>42</v>
      </c>
      <c r="AC1053" s="21" t="s">
        <v>3619</v>
      </c>
      <c r="AD1053" s="21"/>
    </row>
    <row r="1054" spans="2:31" s="1" customFormat="1" ht="96.3" customHeight="1" outlineLevel="7">
      <c r="B1054" s="20">
        <v>779</v>
      </c>
      <c r="C1054" s="21" t="s">
        <v>3624</v>
      </c>
      <c r="D1054" s="72" t="s">
        <v>3625</v>
      </c>
      <c r="E1054" s="72"/>
      <c r="F1054" s="72"/>
      <c r="G1054" s="72"/>
      <c r="H1054" s="22" t="s">
        <v>3626</v>
      </c>
      <c r="I1054" s="27">
        <v>5</v>
      </c>
      <c r="J1054" s="22"/>
      <c r="K1054" s="20">
        <v>2</v>
      </c>
      <c r="L1054" s="24">
        <v>370.4</v>
      </c>
      <c r="M1054" s="11"/>
      <c r="N1054" s="22">
        <f t="shared" si="44"/>
        <v>0</v>
      </c>
      <c r="O1054" s="25">
        <f>0.116*M1054</f>
        <v>0</v>
      </c>
      <c r="P1054" s="26">
        <f>0.00269*M1054</f>
        <v>0</v>
      </c>
      <c r="Q1054" s="30"/>
      <c r="R1054" s="22" t="s">
        <v>3627</v>
      </c>
      <c r="S1054" s="22"/>
      <c r="T1054" s="21" t="str">
        <f>HYPERLINK("https://miland.ru/api/getInfo/image/b731f45e-8a4e-11ec-a211-ac1f6b442185")</f>
        <v>https://miland.ru/api/getInfo/image/b731f45e-8a4e-11ec-a211-ac1f6b442185</v>
      </c>
      <c r="U1054" s="21"/>
      <c r="V1054" s="21" t="s">
        <v>710</v>
      </c>
      <c r="W1054" s="21" t="s">
        <v>82</v>
      </c>
      <c r="X1054" s="21"/>
      <c r="Y1054" s="21" t="s">
        <v>41</v>
      </c>
      <c r="Z1054" s="21"/>
      <c r="AA1054" s="21" t="str">
        <f>HYPERLINK("https://miland.ru/api/getInfo/item/b731f45e-8a4e-11ec-a211-ac1f6b442185")</f>
        <v>https://miland.ru/api/getInfo/item/b731f45e-8a4e-11ec-a211-ac1f6b442185</v>
      </c>
      <c r="AB1054" s="21" t="s">
        <v>42</v>
      </c>
      <c r="AC1054" s="21" t="s">
        <v>3619</v>
      </c>
      <c r="AD1054" s="21"/>
    </row>
    <row r="1055" spans="2:31" s="1" customFormat="1" ht="96.3" customHeight="1" outlineLevel="7">
      <c r="B1055" s="20">
        <v>780</v>
      </c>
      <c r="C1055" s="21" t="s">
        <v>3628</v>
      </c>
      <c r="D1055" s="72" t="s">
        <v>3629</v>
      </c>
      <c r="E1055" s="72"/>
      <c r="F1055" s="72"/>
      <c r="G1055" s="72"/>
      <c r="H1055" s="22" t="s">
        <v>3630</v>
      </c>
      <c r="I1055" s="23" t="s">
        <v>36</v>
      </c>
      <c r="J1055" s="22"/>
      <c r="K1055" s="20">
        <v>2</v>
      </c>
      <c r="L1055" s="24">
        <v>370.4</v>
      </c>
      <c r="M1055" s="11"/>
      <c r="N1055" s="22">
        <f t="shared" si="44"/>
        <v>0</v>
      </c>
      <c r="O1055" s="25">
        <f>0.135*M1055</f>
        <v>0</v>
      </c>
      <c r="P1055" s="26">
        <f>0.00263*M1055</f>
        <v>0</v>
      </c>
      <c r="Q1055" s="30"/>
      <c r="R1055" s="22" t="s">
        <v>3631</v>
      </c>
      <c r="S1055" s="22"/>
      <c r="T1055" s="21" t="str">
        <f>HYPERLINK("https://miland.ru/api/getInfo/image/0992299a-8a4e-11ec-a211-ac1f6b442185")</f>
        <v>https://miland.ru/api/getInfo/image/0992299a-8a4e-11ec-a211-ac1f6b442185</v>
      </c>
      <c r="U1055" s="21"/>
      <c r="V1055" s="21" t="s">
        <v>710</v>
      </c>
      <c r="W1055" s="21" t="s">
        <v>82</v>
      </c>
      <c r="X1055" s="21"/>
      <c r="Y1055" s="21" t="s">
        <v>41</v>
      </c>
      <c r="Z1055" s="21"/>
      <c r="AA1055" s="21" t="str">
        <f>HYPERLINK("https://miland.ru/api/getInfo/item/0992299a-8a4e-11ec-a211-ac1f6b442185")</f>
        <v>https://miland.ru/api/getInfo/item/0992299a-8a4e-11ec-a211-ac1f6b442185</v>
      </c>
      <c r="AB1055" s="21" t="s">
        <v>42</v>
      </c>
      <c r="AC1055" s="21" t="s">
        <v>3619</v>
      </c>
      <c r="AD1055" s="21"/>
    </row>
    <row r="1056" spans="2:31" s="1" customFormat="1" ht="96.3" customHeight="1" outlineLevel="7">
      <c r="B1056" s="34">
        <v>781</v>
      </c>
      <c r="C1056" s="35" t="s">
        <v>3632</v>
      </c>
      <c r="D1056" s="73" t="s">
        <v>3633</v>
      </c>
      <c r="E1056" s="73"/>
      <c r="F1056" s="73"/>
      <c r="G1056" s="73"/>
      <c r="H1056" s="36" t="s">
        <v>3634</v>
      </c>
      <c r="I1056" s="40">
        <v>54</v>
      </c>
      <c r="J1056" s="36"/>
      <c r="K1056" s="34">
        <v>5</v>
      </c>
      <c r="L1056" s="41">
        <v>75.706666666666663</v>
      </c>
      <c r="M1056" s="11"/>
      <c r="N1056" s="36">
        <f t="shared" si="44"/>
        <v>0</v>
      </c>
      <c r="O1056" s="47">
        <f>0.05*M1056</f>
        <v>0</v>
      </c>
      <c r="P1056" s="43">
        <f>0.00096*M1056</f>
        <v>0</v>
      </c>
      <c r="Q1056" s="50"/>
      <c r="R1056" s="36" t="s">
        <v>3635</v>
      </c>
      <c r="S1056" s="36" t="s">
        <v>435</v>
      </c>
      <c r="T1056" s="35" t="str">
        <f>HYPERLINK("https://miland.ru/api/getInfo/image/6cbd53ce-5299-11e8-b825-5cf3fc4a2490")</f>
        <v>https://miland.ru/api/getInfo/image/6cbd53ce-5299-11e8-b825-5cf3fc4a2490</v>
      </c>
      <c r="U1056" s="35"/>
      <c r="V1056" s="35" t="s">
        <v>710</v>
      </c>
      <c r="W1056" s="35" t="s">
        <v>82</v>
      </c>
      <c r="X1056" s="35"/>
      <c r="Y1056" s="35" t="s">
        <v>41</v>
      </c>
      <c r="Z1056" s="35"/>
      <c r="AA1056" s="35" t="str">
        <f>HYPERLINK("https://miland.ru/api/getInfo/item/6cbd53ce-5299-11e8-b825-5cf3fc4a2490")</f>
        <v>https://miland.ru/api/getInfo/item/6cbd53ce-5299-11e8-b825-5cf3fc4a2490</v>
      </c>
      <c r="AB1056" s="35" t="s">
        <v>42</v>
      </c>
      <c r="AC1056" s="35" t="s">
        <v>3445</v>
      </c>
      <c r="AD1056" s="35"/>
      <c r="AE1056" s="52" t="s">
        <v>1251</v>
      </c>
    </row>
    <row r="1057" spans="2:31" s="1" customFormat="1" ht="96.3" customHeight="1" outlineLevel="7">
      <c r="B1057" s="34">
        <v>782</v>
      </c>
      <c r="C1057" s="35" t="s">
        <v>3636</v>
      </c>
      <c r="D1057" s="73" t="s">
        <v>3637</v>
      </c>
      <c r="E1057" s="73"/>
      <c r="F1057" s="73"/>
      <c r="G1057" s="73"/>
      <c r="H1057" s="36" t="s">
        <v>3638</v>
      </c>
      <c r="I1057" s="40">
        <v>33</v>
      </c>
      <c r="J1057" s="36"/>
      <c r="K1057" s="34">
        <v>2</v>
      </c>
      <c r="L1057" s="41">
        <v>217.06666666666669</v>
      </c>
      <c r="M1057" s="11"/>
      <c r="N1057" s="36">
        <f t="shared" si="44"/>
        <v>0</v>
      </c>
      <c r="O1057" s="47">
        <f>0.09*M1057</f>
        <v>0</v>
      </c>
      <c r="P1057" s="43">
        <f>0.00274*M1057</f>
        <v>0</v>
      </c>
      <c r="Q1057" s="50"/>
      <c r="R1057" s="36" t="s">
        <v>3639</v>
      </c>
      <c r="S1057" s="36" t="s">
        <v>435</v>
      </c>
      <c r="T1057" s="35" t="str">
        <f>HYPERLINK("https://miland.ru/api/getInfo/image/0c8b617b-5299-11e8-b825-5cf3fc4a2490")</f>
        <v>https://miland.ru/api/getInfo/image/0c8b617b-5299-11e8-b825-5cf3fc4a2490</v>
      </c>
      <c r="U1057" s="35"/>
      <c r="V1057" s="35" t="s">
        <v>710</v>
      </c>
      <c r="W1057" s="35" t="s">
        <v>82</v>
      </c>
      <c r="X1057" s="35"/>
      <c r="Y1057" s="35" t="s">
        <v>41</v>
      </c>
      <c r="Z1057" s="35"/>
      <c r="AA1057" s="35" t="str">
        <f>HYPERLINK("https://miland.ru/api/getInfo/item/0c8b617b-5299-11e8-b825-5cf3fc4a2490")</f>
        <v>https://miland.ru/api/getInfo/item/0c8b617b-5299-11e8-b825-5cf3fc4a2490</v>
      </c>
      <c r="AB1057" s="35" t="s">
        <v>42</v>
      </c>
      <c r="AC1057" s="35" t="s">
        <v>3640</v>
      </c>
      <c r="AD1057" s="35"/>
      <c r="AE1057" s="52" t="s">
        <v>1251</v>
      </c>
    </row>
    <row r="1058" spans="2:31" s="1" customFormat="1" ht="96.3" customHeight="1" outlineLevel="7">
      <c r="B1058" s="20">
        <v>783</v>
      </c>
      <c r="C1058" s="21" t="s">
        <v>3641</v>
      </c>
      <c r="D1058" s="72" t="s">
        <v>3642</v>
      </c>
      <c r="E1058" s="72"/>
      <c r="F1058" s="72"/>
      <c r="G1058" s="72"/>
      <c r="H1058" s="22" t="s">
        <v>3643</v>
      </c>
      <c r="I1058" s="27">
        <v>113</v>
      </c>
      <c r="J1058" s="22"/>
      <c r="K1058" s="20">
        <v>1</v>
      </c>
      <c r="L1058" s="24">
        <v>539.79999999999995</v>
      </c>
      <c r="M1058" s="11"/>
      <c r="N1058" s="22">
        <f t="shared" si="44"/>
        <v>0</v>
      </c>
      <c r="O1058" s="25">
        <f>0.293*M1058</f>
        <v>0</v>
      </c>
      <c r="P1058" s="26">
        <f>0.00285*M1058</f>
        <v>0</v>
      </c>
      <c r="Q1058" s="30"/>
      <c r="R1058" s="22" t="s">
        <v>3644</v>
      </c>
      <c r="S1058" s="22"/>
      <c r="T1058" s="21" t="str">
        <f>HYPERLINK("https://miland.ru/api/getInfo/image/d8d136b0-dcb3-11ef-a273-00155d82e908")</f>
        <v>https://miland.ru/api/getInfo/image/d8d136b0-dcb3-11ef-a273-00155d82e908</v>
      </c>
      <c r="U1058" s="21"/>
      <c r="V1058" s="21" t="s">
        <v>710</v>
      </c>
      <c r="W1058" s="21" t="s">
        <v>82</v>
      </c>
      <c r="X1058" s="21"/>
      <c r="Y1058" s="21" t="s">
        <v>41</v>
      </c>
      <c r="Z1058" s="21"/>
      <c r="AA1058" s="21" t="str">
        <f>HYPERLINK("https://miland.ru/api/getInfo/item/d8d136b0-dcb3-11ef-a273-00155d82e908")</f>
        <v>https://miland.ru/api/getInfo/item/d8d136b0-dcb3-11ef-a273-00155d82e908</v>
      </c>
      <c r="AB1058" s="21" t="s">
        <v>42</v>
      </c>
      <c r="AC1058" s="21"/>
      <c r="AD1058" s="21"/>
    </row>
    <row r="1059" spans="2:31" s="1" customFormat="1" ht="96.3" customHeight="1" outlineLevel="7">
      <c r="B1059" s="20">
        <v>784</v>
      </c>
      <c r="C1059" s="21" t="s">
        <v>3645</v>
      </c>
      <c r="D1059" s="72" t="s">
        <v>3646</v>
      </c>
      <c r="E1059" s="72"/>
      <c r="F1059" s="72"/>
      <c r="G1059" s="72"/>
      <c r="H1059" s="22" t="s">
        <v>3647</v>
      </c>
      <c r="I1059" s="27">
        <v>5</v>
      </c>
      <c r="J1059" s="22"/>
      <c r="K1059" s="20">
        <v>1</v>
      </c>
      <c r="L1059" s="24">
        <v>664.02</v>
      </c>
      <c r="M1059" s="11"/>
      <c r="N1059" s="22">
        <f t="shared" si="44"/>
        <v>0</v>
      </c>
      <c r="O1059" s="25">
        <f>0.206*M1059</f>
        <v>0</v>
      </c>
      <c r="P1059" s="26">
        <f>0.00292*M1059</f>
        <v>0</v>
      </c>
      <c r="Q1059" s="30"/>
      <c r="R1059" s="22" t="s">
        <v>3648</v>
      </c>
      <c r="S1059" s="22"/>
      <c r="T1059" s="21" t="str">
        <f>HYPERLINK("https://miland.ru/api/getInfo/image/4d5c6ce9-6104-11ed-a229-00155d82e902")</f>
        <v>https://miland.ru/api/getInfo/image/4d5c6ce9-6104-11ed-a229-00155d82e902</v>
      </c>
      <c r="U1059" s="21"/>
      <c r="V1059" s="21" t="s">
        <v>710</v>
      </c>
      <c r="W1059" s="21" t="s">
        <v>82</v>
      </c>
      <c r="X1059" s="21"/>
      <c r="Y1059" s="21" t="s">
        <v>41</v>
      </c>
      <c r="Z1059" s="21"/>
      <c r="AA1059" s="21" t="str">
        <f>HYPERLINK("https://miland.ru/api/getInfo/item/4d5c6ce9-6104-11ed-a229-00155d82e902")</f>
        <v>https://miland.ru/api/getInfo/item/4d5c6ce9-6104-11ed-a229-00155d82e902</v>
      </c>
      <c r="AB1059" s="21" t="s">
        <v>42</v>
      </c>
      <c r="AC1059" s="21" t="s">
        <v>3649</v>
      </c>
      <c r="AD1059" s="21"/>
    </row>
    <row r="1060" spans="2:31" s="1" customFormat="1" ht="96.3" customHeight="1" outlineLevel="7">
      <c r="B1060" s="20">
        <v>785</v>
      </c>
      <c r="C1060" s="21" t="s">
        <v>3650</v>
      </c>
      <c r="D1060" s="72" t="s">
        <v>3651</v>
      </c>
      <c r="E1060" s="72"/>
      <c r="F1060" s="72"/>
      <c r="G1060" s="72"/>
      <c r="H1060" s="22" t="s">
        <v>3652</v>
      </c>
      <c r="I1060" s="27">
        <v>108</v>
      </c>
      <c r="J1060" s="22"/>
      <c r="K1060" s="20">
        <v>1</v>
      </c>
      <c r="L1060" s="24">
        <v>664.02</v>
      </c>
      <c r="M1060" s="11"/>
      <c r="N1060" s="22">
        <f t="shared" si="44"/>
        <v>0</v>
      </c>
      <c r="O1060" s="25">
        <f>0.198*M1060</f>
        <v>0</v>
      </c>
      <c r="P1060" s="26">
        <f>0.00292*M1060</f>
        <v>0</v>
      </c>
      <c r="Q1060" s="30"/>
      <c r="R1060" s="22" t="s">
        <v>3653</v>
      </c>
      <c r="S1060" s="22"/>
      <c r="T1060" s="21" t="str">
        <f>HYPERLINK("https://miland.ru/api/getInfo/image/9cecb2cc-6104-11ed-a229-00155d82e902")</f>
        <v>https://miland.ru/api/getInfo/image/9cecb2cc-6104-11ed-a229-00155d82e902</v>
      </c>
      <c r="U1060" s="21"/>
      <c r="V1060" s="21" t="s">
        <v>710</v>
      </c>
      <c r="W1060" s="21" t="s">
        <v>82</v>
      </c>
      <c r="X1060" s="21"/>
      <c r="Y1060" s="21" t="s">
        <v>41</v>
      </c>
      <c r="Z1060" s="21"/>
      <c r="AA1060" s="21" t="str">
        <f>HYPERLINK("https://miland.ru/api/getInfo/item/9cecb2cc-6104-11ed-a229-00155d82e902")</f>
        <v>https://miland.ru/api/getInfo/item/9cecb2cc-6104-11ed-a229-00155d82e902</v>
      </c>
      <c r="AB1060" s="21" t="s">
        <v>42</v>
      </c>
      <c r="AC1060" s="21" t="s">
        <v>3649</v>
      </c>
      <c r="AD1060" s="21"/>
    </row>
    <row r="1061" spans="2:31" s="1" customFormat="1" ht="96.3" customHeight="1" outlineLevel="7">
      <c r="B1061" s="20">
        <v>786</v>
      </c>
      <c r="C1061" s="21" t="s">
        <v>3654</v>
      </c>
      <c r="D1061" s="72" t="s">
        <v>3655</v>
      </c>
      <c r="E1061" s="72"/>
      <c r="F1061" s="72"/>
      <c r="G1061" s="72"/>
      <c r="H1061" s="22" t="s">
        <v>3656</v>
      </c>
      <c r="I1061" s="27">
        <v>60</v>
      </c>
      <c r="J1061" s="22"/>
      <c r="K1061" s="20">
        <v>1</v>
      </c>
      <c r="L1061" s="24">
        <v>605.15</v>
      </c>
      <c r="M1061" s="11"/>
      <c r="N1061" s="22">
        <f t="shared" si="44"/>
        <v>0</v>
      </c>
      <c r="O1061" s="25">
        <f>0.209*M1061</f>
        <v>0</v>
      </c>
      <c r="P1061" s="26">
        <f>0.00308*M1061</f>
        <v>0</v>
      </c>
      <c r="Q1061" s="30"/>
      <c r="R1061" s="22" t="s">
        <v>3657</v>
      </c>
      <c r="S1061" s="22"/>
      <c r="T1061" s="21" t="str">
        <f>HYPERLINK("https://miland.ru/api/getInfo/image/5e429a56-6103-11ed-a229-00155d82e902")</f>
        <v>https://miland.ru/api/getInfo/image/5e429a56-6103-11ed-a229-00155d82e902</v>
      </c>
      <c r="U1061" s="21"/>
      <c r="V1061" s="21" t="s">
        <v>710</v>
      </c>
      <c r="W1061" s="21" t="s">
        <v>82</v>
      </c>
      <c r="X1061" s="21"/>
      <c r="Y1061" s="21" t="s">
        <v>41</v>
      </c>
      <c r="Z1061" s="21"/>
      <c r="AA1061" s="21" t="str">
        <f>HYPERLINK("https://miland.ru/api/getInfo/item/5e429a56-6103-11ed-a229-00155d82e902")</f>
        <v>https://miland.ru/api/getInfo/item/5e429a56-6103-11ed-a229-00155d82e902</v>
      </c>
      <c r="AB1061" s="21" t="s">
        <v>42</v>
      </c>
      <c r="AC1061" s="21" t="s">
        <v>3649</v>
      </c>
      <c r="AD1061" s="21"/>
    </row>
    <row r="1062" spans="2:31" s="1" customFormat="1" ht="96.3" customHeight="1" outlineLevel="7">
      <c r="B1062" s="20">
        <v>787</v>
      </c>
      <c r="C1062" s="21" t="s">
        <v>3658</v>
      </c>
      <c r="D1062" s="72" t="s">
        <v>3659</v>
      </c>
      <c r="E1062" s="72"/>
      <c r="F1062" s="72"/>
      <c r="G1062" s="72"/>
      <c r="H1062" s="22" t="s">
        <v>3660</v>
      </c>
      <c r="I1062" s="27">
        <v>212</v>
      </c>
      <c r="J1062" s="22"/>
      <c r="K1062" s="20">
        <v>1</v>
      </c>
      <c r="L1062" s="24">
        <v>664.02</v>
      </c>
      <c r="M1062" s="11"/>
      <c r="N1062" s="22">
        <f t="shared" si="44"/>
        <v>0</v>
      </c>
      <c r="O1062" s="25">
        <f>0.199*M1062</f>
        <v>0</v>
      </c>
      <c r="P1062" s="26">
        <f>0.00283*M1062</f>
        <v>0</v>
      </c>
      <c r="Q1062" s="30"/>
      <c r="R1062" s="22" t="s">
        <v>3661</v>
      </c>
      <c r="S1062" s="22"/>
      <c r="T1062" s="21" t="str">
        <f>HYPERLINK("https://miland.ru/api/getInfo/image/a60c1d22-6103-11ed-a229-00155d82e902")</f>
        <v>https://miland.ru/api/getInfo/image/a60c1d22-6103-11ed-a229-00155d82e902</v>
      </c>
      <c r="U1062" s="21"/>
      <c r="V1062" s="21" t="s">
        <v>710</v>
      </c>
      <c r="W1062" s="21" t="s">
        <v>82</v>
      </c>
      <c r="X1062" s="21"/>
      <c r="Y1062" s="21" t="s">
        <v>41</v>
      </c>
      <c r="Z1062" s="21"/>
      <c r="AA1062" s="21" t="str">
        <f>HYPERLINK("https://miland.ru/api/getInfo/item/a60c1d22-6103-11ed-a229-00155d82e902")</f>
        <v>https://miland.ru/api/getInfo/item/a60c1d22-6103-11ed-a229-00155d82e902</v>
      </c>
      <c r="AB1062" s="21" t="s">
        <v>42</v>
      </c>
      <c r="AC1062" s="21" t="s">
        <v>3649</v>
      </c>
      <c r="AD1062" s="21"/>
    </row>
    <row r="1063" spans="2:31" s="1" customFormat="1" ht="96.3" customHeight="1" outlineLevel="7">
      <c r="B1063" s="20">
        <v>788</v>
      </c>
      <c r="C1063" s="21" t="s">
        <v>3662</v>
      </c>
      <c r="D1063" s="72" t="s">
        <v>3663</v>
      </c>
      <c r="E1063" s="72"/>
      <c r="F1063" s="72"/>
      <c r="G1063" s="72"/>
      <c r="H1063" s="22" t="s">
        <v>3664</v>
      </c>
      <c r="I1063" s="27">
        <v>132</v>
      </c>
      <c r="J1063" s="22"/>
      <c r="K1063" s="20">
        <v>1</v>
      </c>
      <c r="L1063" s="24">
        <v>605.15</v>
      </c>
      <c r="M1063" s="11"/>
      <c r="N1063" s="22">
        <f t="shared" si="44"/>
        <v>0</v>
      </c>
      <c r="O1063" s="28">
        <f>0.22*M1063</f>
        <v>0</v>
      </c>
      <c r="P1063" s="26">
        <f>0.00278*M1063</f>
        <v>0</v>
      </c>
      <c r="Q1063" s="30"/>
      <c r="R1063" s="22" t="s">
        <v>3665</v>
      </c>
      <c r="S1063" s="22"/>
      <c r="T1063" s="21" t="str">
        <f>HYPERLINK("https://miland.ru/api/getInfo/image/f115b190-6103-11ed-a229-00155d82e902")</f>
        <v>https://miland.ru/api/getInfo/image/f115b190-6103-11ed-a229-00155d82e902</v>
      </c>
      <c r="U1063" s="21"/>
      <c r="V1063" s="21" t="s">
        <v>710</v>
      </c>
      <c r="W1063" s="21" t="s">
        <v>82</v>
      </c>
      <c r="X1063" s="21"/>
      <c r="Y1063" s="21" t="s">
        <v>41</v>
      </c>
      <c r="Z1063" s="21"/>
      <c r="AA1063" s="21" t="str">
        <f>HYPERLINK("https://miland.ru/api/getInfo/item/f115b190-6103-11ed-a229-00155d82e902")</f>
        <v>https://miland.ru/api/getInfo/item/f115b190-6103-11ed-a229-00155d82e902</v>
      </c>
      <c r="AB1063" s="21" t="s">
        <v>42</v>
      </c>
      <c r="AC1063" s="21" t="s">
        <v>3649</v>
      </c>
      <c r="AD1063" s="21"/>
    </row>
    <row r="1064" spans="2:31" s="1" customFormat="1" ht="96.3" customHeight="1" outlineLevel="7">
      <c r="B1064" s="20">
        <v>789</v>
      </c>
      <c r="C1064" s="21" t="s">
        <v>3666</v>
      </c>
      <c r="D1064" s="72" t="s">
        <v>3667</v>
      </c>
      <c r="E1064" s="72"/>
      <c r="F1064" s="72"/>
      <c r="G1064" s="72"/>
      <c r="H1064" s="22" t="s">
        <v>3668</v>
      </c>
      <c r="I1064" s="27">
        <v>73</v>
      </c>
      <c r="J1064" s="22"/>
      <c r="K1064" s="20">
        <v>1</v>
      </c>
      <c r="L1064" s="24">
        <v>664.02</v>
      </c>
      <c r="M1064" s="11"/>
      <c r="N1064" s="22">
        <f t="shared" si="44"/>
        <v>0</v>
      </c>
      <c r="O1064" s="25">
        <f>0.222*M1064</f>
        <v>0</v>
      </c>
      <c r="P1064" s="26">
        <f>0.00272*M1064</f>
        <v>0</v>
      </c>
      <c r="Q1064" s="30"/>
      <c r="R1064" s="22" t="s">
        <v>3669</v>
      </c>
      <c r="S1064" s="22"/>
      <c r="T1064" s="21" t="str">
        <f>HYPERLINK("https://miland.ru/api/getInfo/image/cdcf533c-6102-11ed-a229-00155d82e902")</f>
        <v>https://miland.ru/api/getInfo/image/cdcf533c-6102-11ed-a229-00155d82e902</v>
      </c>
      <c r="U1064" s="21"/>
      <c r="V1064" s="21" t="s">
        <v>710</v>
      </c>
      <c r="W1064" s="21" t="s">
        <v>82</v>
      </c>
      <c r="X1064" s="21"/>
      <c r="Y1064" s="21" t="s">
        <v>41</v>
      </c>
      <c r="Z1064" s="21"/>
      <c r="AA1064" s="21" t="str">
        <f>HYPERLINK("https://miland.ru/api/getInfo/item/cdcf533c-6102-11ed-a229-00155d82e902")</f>
        <v>https://miland.ru/api/getInfo/item/cdcf533c-6102-11ed-a229-00155d82e902</v>
      </c>
      <c r="AB1064" s="21" t="s">
        <v>42</v>
      </c>
      <c r="AC1064" s="21" t="s">
        <v>3649</v>
      </c>
      <c r="AD1064" s="21"/>
    </row>
    <row r="1065" spans="2:31" s="1" customFormat="1" ht="96.3" customHeight="1" outlineLevel="7">
      <c r="B1065" s="20">
        <v>790</v>
      </c>
      <c r="C1065" s="21" t="s">
        <v>3670</v>
      </c>
      <c r="D1065" s="72" t="s">
        <v>3671</v>
      </c>
      <c r="E1065" s="72"/>
      <c r="F1065" s="72"/>
      <c r="G1065" s="72"/>
      <c r="H1065" s="22" t="s">
        <v>3672</v>
      </c>
      <c r="I1065" s="27">
        <v>99</v>
      </c>
      <c r="J1065" s="22"/>
      <c r="K1065" s="20">
        <v>1</v>
      </c>
      <c r="L1065" s="24">
        <v>664.02</v>
      </c>
      <c r="M1065" s="11"/>
      <c r="N1065" s="22">
        <f t="shared" si="44"/>
        <v>0</v>
      </c>
      <c r="O1065" s="25">
        <f>0.218*M1065</f>
        <v>0</v>
      </c>
      <c r="P1065" s="26">
        <f>0.00307*M1065</f>
        <v>0</v>
      </c>
      <c r="Q1065" s="30"/>
      <c r="R1065" s="22" t="s">
        <v>3673</v>
      </c>
      <c r="S1065" s="22"/>
      <c r="T1065" s="21" t="str">
        <f>HYPERLINK("https://miland.ru/api/getInfo/image/e36731e5-6101-11ed-a229-00155d82e902")</f>
        <v>https://miland.ru/api/getInfo/image/e36731e5-6101-11ed-a229-00155d82e902</v>
      </c>
      <c r="U1065" s="21"/>
      <c r="V1065" s="21" t="s">
        <v>710</v>
      </c>
      <c r="W1065" s="21" t="s">
        <v>82</v>
      </c>
      <c r="X1065" s="21"/>
      <c r="Y1065" s="21" t="s">
        <v>41</v>
      </c>
      <c r="Z1065" s="21"/>
      <c r="AA1065" s="21" t="str">
        <f>HYPERLINK("https://miland.ru/api/getInfo/item/e36731e5-6101-11ed-a229-00155d82e902")</f>
        <v>https://miland.ru/api/getInfo/item/e36731e5-6101-11ed-a229-00155d82e902</v>
      </c>
      <c r="AB1065" s="21" t="s">
        <v>42</v>
      </c>
      <c r="AC1065" s="21" t="s">
        <v>3649</v>
      </c>
      <c r="AD1065" s="21"/>
    </row>
    <row r="1066" spans="2:31" s="1" customFormat="1" ht="96.3" customHeight="1" outlineLevel="7">
      <c r="B1066" s="20">
        <v>791</v>
      </c>
      <c r="C1066" s="21" t="s">
        <v>3674</v>
      </c>
      <c r="D1066" s="72" t="s">
        <v>3675</v>
      </c>
      <c r="E1066" s="72"/>
      <c r="F1066" s="72"/>
      <c r="G1066" s="72"/>
      <c r="H1066" s="22" t="s">
        <v>3676</v>
      </c>
      <c r="I1066" s="27">
        <v>190</v>
      </c>
      <c r="J1066" s="22"/>
      <c r="K1066" s="20">
        <v>1</v>
      </c>
      <c r="L1066" s="24">
        <v>664.02</v>
      </c>
      <c r="M1066" s="11"/>
      <c r="N1066" s="22">
        <f t="shared" si="44"/>
        <v>0</v>
      </c>
      <c r="O1066" s="25">
        <f>0.214*M1066</f>
        <v>0</v>
      </c>
      <c r="P1066" s="26">
        <f>0.00315*M1066</f>
        <v>0</v>
      </c>
      <c r="Q1066" s="30"/>
      <c r="R1066" s="22" t="s">
        <v>3677</v>
      </c>
      <c r="S1066" s="22"/>
      <c r="T1066" s="21" t="str">
        <f>HYPERLINK("https://miland.ru/api/getInfo/image/83016224-6102-11ed-a229-00155d82e902")</f>
        <v>https://miland.ru/api/getInfo/image/83016224-6102-11ed-a229-00155d82e902</v>
      </c>
      <c r="U1066" s="21"/>
      <c r="V1066" s="21" t="s">
        <v>710</v>
      </c>
      <c r="W1066" s="21" t="s">
        <v>82</v>
      </c>
      <c r="X1066" s="21"/>
      <c r="Y1066" s="21" t="s">
        <v>41</v>
      </c>
      <c r="Z1066" s="21"/>
      <c r="AA1066" s="21" t="str">
        <f>HYPERLINK("https://miland.ru/api/getInfo/item/83016224-6102-11ed-a229-00155d82e902")</f>
        <v>https://miland.ru/api/getInfo/item/83016224-6102-11ed-a229-00155d82e902</v>
      </c>
      <c r="AB1066" s="21" t="s">
        <v>42</v>
      </c>
      <c r="AC1066" s="21" t="s">
        <v>3649</v>
      </c>
      <c r="AD1066" s="21"/>
    </row>
    <row r="1067" spans="2:31" s="1" customFormat="1" ht="96.3" customHeight="1" outlineLevel="7">
      <c r="B1067" s="20">
        <v>792</v>
      </c>
      <c r="C1067" s="21" t="s">
        <v>3678</v>
      </c>
      <c r="D1067" s="72" t="s">
        <v>3679</v>
      </c>
      <c r="E1067" s="72"/>
      <c r="F1067" s="72"/>
      <c r="G1067" s="72"/>
      <c r="H1067" s="22" t="s">
        <v>3680</v>
      </c>
      <c r="I1067" s="27">
        <v>143</v>
      </c>
      <c r="J1067" s="22"/>
      <c r="K1067" s="20">
        <v>1</v>
      </c>
      <c r="L1067" s="24">
        <v>664.02</v>
      </c>
      <c r="M1067" s="11"/>
      <c r="N1067" s="22">
        <f t="shared" si="44"/>
        <v>0</v>
      </c>
      <c r="O1067" s="25">
        <f>0.221*M1067</f>
        <v>0</v>
      </c>
      <c r="P1067" s="26">
        <f>0.00287*M1067</f>
        <v>0</v>
      </c>
      <c r="Q1067" s="30"/>
      <c r="R1067" s="22" t="s">
        <v>3681</v>
      </c>
      <c r="S1067" s="22"/>
      <c r="T1067" s="21" t="str">
        <f>HYPERLINK("https://miland.ru/api/getInfo/image/1165a948-6103-11ed-a229-00155d82e902")</f>
        <v>https://miland.ru/api/getInfo/image/1165a948-6103-11ed-a229-00155d82e902</v>
      </c>
      <c r="U1067" s="21"/>
      <c r="V1067" s="21" t="s">
        <v>710</v>
      </c>
      <c r="W1067" s="21" t="s">
        <v>82</v>
      </c>
      <c r="X1067" s="21"/>
      <c r="Y1067" s="21" t="s">
        <v>41</v>
      </c>
      <c r="Z1067" s="21"/>
      <c r="AA1067" s="21" t="str">
        <f>HYPERLINK("https://miland.ru/api/getInfo/item/1165a948-6103-11ed-a229-00155d82e902")</f>
        <v>https://miland.ru/api/getInfo/item/1165a948-6103-11ed-a229-00155d82e902</v>
      </c>
      <c r="AB1067" s="21" t="s">
        <v>42</v>
      </c>
      <c r="AC1067" s="21" t="s">
        <v>3649</v>
      </c>
      <c r="AD1067" s="21"/>
    </row>
    <row r="1068" spans="2:31" ht="12" customHeight="1" outlineLevel="7">
      <c r="B1068" s="70" t="s">
        <v>3682</v>
      </c>
      <c r="C1068" s="70"/>
      <c r="D1068" s="70"/>
      <c r="E1068" s="70"/>
      <c r="F1068" s="70"/>
      <c r="G1068" s="70"/>
    </row>
    <row r="1069" spans="2:31" s="1" customFormat="1" ht="96.3" customHeight="1" outlineLevel="7">
      <c r="B1069" s="20">
        <v>793</v>
      </c>
      <c r="C1069" s="21" t="s">
        <v>3683</v>
      </c>
      <c r="D1069" s="72" t="s">
        <v>3684</v>
      </c>
      <c r="E1069" s="72"/>
      <c r="F1069" s="72"/>
      <c r="G1069" s="72"/>
      <c r="H1069" s="22" t="s">
        <v>3685</v>
      </c>
      <c r="I1069" s="27">
        <v>144</v>
      </c>
      <c r="J1069" s="22"/>
      <c r="K1069" s="20">
        <v>1</v>
      </c>
      <c r="L1069" s="24">
        <v>753.01</v>
      </c>
      <c r="M1069" s="11"/>
      <c r="N1069" s="22">
        <f>L1069*M1069</f>
        <v>0</v>
      </c>
      <c r="O1069" s="25">
        <f>0.228*M1069</f>
        <v>0</v>
      </c>
      <c r="P1069" s="26">
        <f>0.00456*M1069</f>
        <v>0</v>
      </c>
      <c r="Q1069" s="30"/>
      <c r="R1069" s="22" t="s">
        <v>3686</v>
      </c>
      <c r="S1069" s="22" t="s">
        <v>435</v>
      </c>
      <c r="T1069" s="21" t="str">
        <f>HYPERLINK("https://miland.ru/api/getInfo/image/fe00907b-60f6-11ed-a229-00155d82e902")</f>
        <v>https://miland.ru/api/getInfo/image/fe00907b-60f6-11ed-a229-00155d82e902</v>
      </c>
      <c r="U1069" s="21"/>
      <c r="V1069" s="21" t="s">
        <v>710</v>
      </c>
      <c r="W1069" s="21" t="s">
        <v>82</v>
      </c>
      <c r="X1069" s="21"/>
      <c r="Y1069" s="21" t="s">
        <v>41</v>
      </c>
      <c r="Z1069" s="21"/>
      <c r="AA1069" s="21" t="str">
        <f>HYPERLINK("https://miland.ru/api/getInfo/item/fe00907b-60f6-11ed-a229-00155d82e902")</f>
        <v>https://miland.ru/api/getInfo/item/fe00907b-60f6-11ed-a229-00155d82e902</v>
      </c>
      <c r="AB1069" s="21" t="s">
        <v>42</v>
      </c>
      <c r="AC1069" s="21" t="s">
        <v>3687</v>
      </c>
      <c r="AD1069" s="21"/>
    </row>
    <row r="1070" spans="2:31" s="1" customFormat="1" ht="96.3" customHeight="1" outlineLevel="7">
      <c r="B1070" s="20">
        <v>794</v>
      </c>
      <c r="C1070" s="21" t="s">
        <v>3688</v>
      </c>
      <c r="D1070" s="72" t="s">
        <v>3689</v>
      </c>
      <c r="E1070" s="72"/>
      <c r="F1070" s="72"/>
      <c r="G1070" s="72"/>
      <c r="H1070" s="22" t="s">
        <v>3690</v>
      </c>
      <c r="I1070" s="27">
        <v>106</v>
      </c>
      <c r="J1070" s="22"/>
      <c r="K1070" s="20">
        <v>1</v>
      </c>
      <c r="L1070" s="24">
        <v>753.01</v>
      </c>
      <c r="M1070" s="11"/>
      <c r="N1070" s="22">
        <f>L1070*M1070</f>
        <v>0</v>
      </c>
      <c r="O1070" s="25">
        <f>0.223*M1070</f>
        <v>0</v>
      </c>
      <c r="P1070" s="26">
        <f>0.00515*M1070</f>
        <v>0</v>
      </c>
      <c r="Q1070" s="30"/>
      <c r="R1070" s="22" t="s">
        <v>3691</v>
      </c>
      <c r="S1070" s="22" t="s">
        <v>435</v>
      </c>
      <c r="T1070" s="21" t="str">
        <f>HYPERLINK("https://miland.ru/api/getInfo/image/c121ed9e-60f7-11ed-a229-00155d82e902")</f>
        <v>https://miland.ru/api/getInfo/image/c121ed9e-60f7-11ed-a229-00155d82e902</v>
      </c>
      <c r="U1070" s="21"/>
      <c r="V1070" s="21" t="s">
        <v>710</v>
      </c>
      <c r="W1070" s="21" t="s">
        <v>82</v>
      </c>
      <c r="X1070" s="21"/>
      <c r="Y1070" s="21" t="s">
        <v>41</v>
      </c>
      <c r="Z1070" s="21"/>
      <c r="AA1070" s="21" t="str">
        <f>HYPERLINK("https://miland.ru/api/getInfo/item/c121ed9e-60f7-11ed-a229-00155d82e902")</f>
        <v>https://miland.ru/api/getInfo/item/c121ed9e-60f7-11ed-a229-00155d82e902</v>
      </c>
      <c r="AB1070" s="21" t="s">
        <v>42</v>
      </c>
      <c r="AC1070" s="21" t="s">
        <v>3687</v>
      </c>
      <c r="AD1070" s="21"/>
    </row>
    <row r="1071" spans="2:31" s="1" customFormat="1" ht="96.3" customHeight="1" outlineLevel="7">
      <c r="B1071" s="6">
        <v>795</v>
      </c>
      <c r="C1071" s="7" t="s">
        <v>3692</v>
      </c>
      <c r="D1071" s="71" t="s">
        <v>3693</v>
      </c>
      <c r="E1071" s="71"/>
      <c r="F1071" s="71"/>
      <c r="G1071" s="71"/>
      <c r="H1071" s="8" t="s">
        <v>3694</v>
      </c>
      <c r="I1071" s="14">
        <v>195</v>
      </c>
      <c r="J1071" s="8"/>
      <c r="K1071" s="6">
        <v>1</v>
      </c>
      <c r="L1071" s="10">
        <v>856.8</v>
      </c>
      <c r="M1071" s="11"/>
      <c r="N1071" s="8">
        <f>L1071*M1071</f>
        <v>0</v>
      </c>
      <c r="O1071" s="12">
        <f>0.338*M1071</f>
        <v>0</v>
      </c>
      <c r="P1071" s="13">
        <f>0.00472*M1071</f>
        <v>0</v>
      </c>
      <c r="Q1071" s="17" t="s">
        <v>37</v>
      </c>
      <c r="R1071" s="8" t="s">
        <v>3695</v>
      </c>
      <c r="S1071" s="8"/>
      <c r="T1071" s="7" t="str">
        <f>HYPERLINK("https://miland.ru/api/getInfo/image/756095c3-2cd7-11f1-a292-00155d82e908")</f>
        <v>https://miland.ru/api/getInfo/image/756095c3-2cd7-11f1-a292-00155d82e908</v>
      </c>
      <c r="U1071" s="7"/>
      <c r="V1071" s="7"/>
      <c r="W1071" s="7" t="s">
        <v>82</v>
      </c>
      <c r="X1071" s="7"/>
      <c r="Y1071" s="7" t="s">
        <v>41</v>
      </c>
      <c r="Z1071" s="7"/>
      <c r="AA1071" s="7" t="str">
        <f>HYPERLINK("https://miland.ru/api/getInfo/item/756095c3-2cd7-11f1-a292-00155d82e908")</f>
        <v>https://miland.ru/api/getInfo/item/756095c3-2cd7-11f1-a292-00155d82e908</v>
      </c>
      <c r="AB1071" s="7" t="s">
        <v>42</v>
      </c>
      <c r="AC1071" s="7"/>
      <c r="AD1071" s="7"/>
      <c r="AE1071" s="54"/>
    </row>
    <row r="1072" spans="2:31" ht="12" customHeight="1" outlineLevel="7">
      <c r="B1072" s="70" t="s">
        <v>3696</v>
      </c>
      <c r="C1072" s="70"/>
      <c r="D1072" s="70"/>
      <c r="E1072" s="70"/>
      <c r="F1072" s="70"/>
      <c r="G1072" s="70"/>
    </row>
    <row r="1073" spans="2:31" s="1" customFormat="1" ht="96.3" customHeight="1" outlineLevel="7">
      <c r="B1073" s="20">
        <v>796</v>
      </c>
      <c r="C1073" s="21" t="s">
        <v>3697</v>
      </c>
      <c r="D1073" s="72" t="s">
        <v>3698</v>
      </c>
      <c r="E1073" s="72"/>
      <c r="F1073" s="72"/>
      <c r="G1073" s="72"/>
      <c r="H1073" s="22" t="s">
        <v>3699</v>
      </c>
      <c r="I1073" s="27">
        <v>278</v>
      </c>
      <c r="J1073" s="22"/>
      <c r="K1073" s="20">
        <v>1</v>
      </c>
      <c r="L1073" s="24">
        <v>661.16</v>
      </c>
      <c r="M1073" s="11"/>
      <c r="N1073" s="22">
        <f>L1073*M1073</f>
        <v>0</v>
      </c>
      <c r="O1073" s="25">
        <f>0.248*M1073</f>
        <v>0</v>
      </c>
      <c r="P1073" s="26">
        <f>0.00549*M1073</f>
        <v>0</v>
      </c>
      <c r="Q1073" s="30"/>
      <c r="R1073" s="22" t="s">
        <v>3700</v>
      </c>
      <c r="S1073" s="22"/>
      <c r="T1073" s="21" t="str">
        <f>HYPERLINK("https://miland.ru/api/getInfo/image/3308b103-8a50-11ec-a211-ac1f6b442185")</f>
        <v>https://miland.ru/api/getInfo/image/3308b103-8a50-11ec-a211-ac1f6b442185</v>
      </c>
      <c r="U1073" s="21"/>
      <c r="V1073" s="21" t="s">
        <v>710</v>
      </c>
      <c r="W1073" s="21" t="s">
        <v>82</v>
      </c>
      <c r="X1073" s="21"/>
      <c r="Y1073" s="21" t="s">
        <v>41</v>
      </c>
      <c r="Z1073" s="21"/>
      <c r="AA1073" s="21" t="str">
        <f>HYPERLINK("https://miland.ru/api/getInfo/item/3308b103-8a50-11ec-a211-ac1f6b442185")</f>
        <v>https://miland.ru/api/getInfo/item/3308b103-8a50-11ec-a211-ac1f6b442185</v>
      </c>
      <c r="AB1073" s="21" t="s">
        <v>42</v>
      </c>
      <c r="AC1073" s="21" t="s">
        <v>3701</v>
      </c>
      <c r="AD1073" s="21"/>
    </row>
    <row r="1074" spans="2:31" s="1" customFormat="1" ht="96.3" customHeight="1" outlineLevel="7">
      <c r="B1074" s="20">
        <v>797</v>
      </c>
      <c r="C1074" s="21" t="s">
        <v>3702</v>
      </c>
      <c r="D1074" s="72" t="s">
        <v>3703</v>
      </c>
      <c r="E1074" s="72"/>
      <c r="F1074" s="72"/>
      <c r="G1074" s="72"/>
      <c r="H1074" s="22" t="s">
        <v>3704</v>
      </c>
      <c r="I1074" s="27">
        <v>5</v>
      </c>
      <c r="J1074" s="22"/>
      <c r="K1074" s="20">
        <v>1</v>
      </c>
      <c r="L1074" s="24">
        <v>661.16</v>
      </c>
      <c r="M1074" s="11"/>
      <c r="N1074" s="22">
        <f>L1074*M1074</f>
        <v>0</v>
      </c>
      <c r="O1074" s="28">
        <f>0.26*M1074</f>
        <v>0</v>
      </c>
      <c r="P1074" s="29">
        <f>0.0054*M1074</f>
        <v>0</v>
      </c>
      <c r="Q1074" s="30"/>
      <c r="R1074" s="22" t="s">
        <v>3705</v>
      </c>
      <c r="S1074" s="22" t="s">
        <v>435</v>
      </c>
      <c r="T1074" s="21" t="str">
        <f>HYPERLINK("https://miland.ru/api/getInfo/image/e5046292-8a50-11ec-a211-ac1f6b442185")</f>
        <v>https://miland.ru/api/getInfo/image/e5046292-8a50-11ec-a211-ac1f6b442185</v>
      </c>
      <c r="U1074" s="21"/>
      <c r="V1074" s="21" t="s">
        <v>710</v>
      </c>
      <c r="W1074" s="21" t="s">
        <v>82</v>
      </c>
      <c r="X1074" s="21"/>
      <c r="Y1074" s="21" t="s">
        <v>41</v>
      </c>
      <c r="Z1074" s="21"/>
      <c r="AA1074" s="21" t="str">
        <f>HYPERLINK("https://miland.ru/api/getInfo/item/e5046292-8a50-11ec-a211-ac1f6b442185")</f>
        <v>https://miland.ru/api/getInfo/item/e5046292-8a50-11ec-a211-ac1f6b442185</v>
      </c>
      <c r="AB1074" s="21" t="s">
        <v>42</v>
      </c>
      <c r="AC1074" s="21" t="s">
        <v>3701</v>
      </c>
      <c r="AD1074" s="21"/>
    </row>
    <row r="1075" spans="2:31" s="1" customFormat="1" ht="96.3" customHeight="1" outlineLevel="7">
      <c r="B1075" s="20">
        <v>798</v>
      </c>
      <c r="C1075" s="21" t="s">
        <v>3706</v>
      </c>
      <c r="D1075" s="72" t="s">
        <v>3707</v>
      </c>
      <c r="E1075" s="72"/>
      <c r="F1075" s="72"/>
      <c r="G1075" s="72"/>
      <c r="H1075" s="22" t="s">
        <v>3708</v>
      </c>
      <c r="I1075" s="27">
        <v>261</v>
      </c>
      <c r="J1075" s="22"/>
      <c r="K1075" s="20">
        <v>1</v>
      </c>
      <c r="L1075" s="24">
        <v>661.16</v>
      </c>
      <c r="M1075" s="11"/>
      <c r="N1075" s="22">
        <f>L1075*M1075</f>
        <v>0</v>
      </c>
      <c r="O1075" s="25">
        <f>0.265*M1075</f>
        <v>0</v>
      </c>
      <c r="P1075" s="26">
        <f>0.00586*M1075</f>
        <v>0</v>
      </c>
      <c r="Q1075" s="30"/>
      <c r="R1075" s="22" t="s">
        <v>3709</v>
      </c>
      <c r="S1075" s="22" t="s">
        <v>435</v>
      </c>
      <c r="T1075" s="21" t="str">
        <f>HYPERLINK("https://miland.ru/api/getInfo/image/8e46db9c-8a4f-11ec-a211-ac1f6b442185")</f>
        <v>https://miland.ru/api/getInfo/image/8e46db9c-8a4f-11ec-a211-ac1f6b442185</v>
      </c>
      <c r="U1075" s="21"/>
      <c r="V1075" s="21" t="s">
        <v>710</v>
      </c>
      <c r="W1075" s="21" t="s">
        <v>82</v>
      </c>
      <c r="X1075" s="21"/>
      <c r="Y1075" s="21" t="s">
        <v>41</v>
      </c>
      <c r="Z1075" s="21"/>
      <c r="AA1075" s="21" t="str">
        <f>HYPERLINK("https://miland.ru/api/getInfo/item/8e46db9c-8a4f-11ec-a211-ac1f6b442185")</f>
        <v>https://miland.ru/api/getInfo/item/8e46db9c-8a4f-11ec-a211-ac1f6b442185</v>
      </c>
      <c r="AB1075" s="21" t="s">
        <v>42</v>
      </c>
      <c r="AC1075" s="21" t="s">
        <v>3701</v>
      </c>
      <c r="AD1075" s="21"/>
    </row>
    <row r="1076" spans="2:31" s="1" customFormat="1" ht="96.3" customHeight="1" outlineLevel="7">
      <c r="B1076" s="6">
        <v>799</v>
      </c>
      <c r="C1076" s="7" t="s">
        <v>3710</v>
      </c>
      <c r="D1076" s="71" t="s">
        <v>3711</v>
      </c>
      <c r="E1076" s="71"/>
      <c r="F1076" s="71"/>
      <c r="G1076" s="71"/>
      <c r="H1076" s="8" t="s">
        <v>3712</v>
      </c>
      <c r="I1076" s="14">
        <v>59</v>
      </c>
      <c r="J1076" s="8"/>
      <c r="K1076" s="6">
        <v>1</v>
      </c>
      <c r="L1076" s="15">
        <v>1054.08</v>
      </c>
      <c r="M1076" s="11"/>
      <c r="N1076" s="8">
        <f>L1076*M1076</f>
        <v>0</v>
      </c>
      <c r="O1076" s="12">
        <f>0.392*M1076</f>
        <v>0</v>
      </c>
      <c r="P1076" s="13">
        <f>0.00567*M1076</f>
        <v>0</v>
      </c>
      <c r="Q1076" s="17" t="s">
        <v>37</v>
      </c>
      <c r="R1076" s="8" t="s">
        <v>3713</v>
      </c>
      <c r="S1076" s="8"/>
      <c r="T1076" s="7" t="str">
        <f>HYPERLINK("https://miland.ru/api/getInfo/image/827ad75e-2cdb-11f1-a292-00155d82e908")</f>
        <v>https://miland.ru/api/getInfo/image/827ad75e-2cdb-11f1-a292-00155d82e908</v>
      </c>
      <c r="U1076" s="7"/>
      <c r="V1076" s="7"/>
      <c r="W1076" s="7" t="s">
        <v>82</v>
      </c>
      <c r="X1076" s="7"/>
      <c r="Y1076" s="7" t="s">
        <v>41</v>
      </c>
      <c r="Z1076" s="7"/>
      <c r="AA1076" s="7" t="str">
        <f>HYPERLINK("https://miland.ru/api/getInfo/item/827ad75e-2cdb-11f1-a292-00155d82e908")</f>
        <v>https://miland.ru/api/getInfo/item/827ad75e-2cdb-11f1-a292-00155d82e908</v>
      </c>
      <c r="AB1076" s="7" t="s">
        <v>42</v>
      </c>
      <c r="AC1076" s="7"/>
      <c r="AD1076" s="7"/>
      <c r="AE1076" s="54"/>
    </row>
    <row r="1077" spans="2:31" ht="12" customHeight="1" outlineLevel="7">
      <c r="B1077" s="70" t="s">
        <v>3714</v>
      </c>
      <c r="C1077" s="70"/>
      <c r="D1077" s="70"/>
      <c r="E1077" s="70"/>
      <c r="F1077" s="70"/>
      <c r="G1077" s="70"/>
    </row>
    <row r="1078" spans="2:31" s="1" customFormat="1" ht="96.3" customHeight="1" outlineLevel="7">
      <c r="B1078" s="20">
        <v>800</v>
      </c>
      <c r="C1078" s="21" t="s">
        <v>3715</v>
      </c>
      <c r="D1078" s="72" t="s">
        <v>3716</v>
      </c>
      <c r="E1078" s="72"/>
      <c r="F1078" s="72"/>
      <c r="G1078" s="72"/>
      <c r="H1078" s="22" t="s">
        <v>3717</v>
      </c>
      <c r="I1078" s="27">
        <v>23</v>
      </c>
      <c r="J1078" s="22"/>
      <c r="K1078" s="20">
        <v>1</v>
      </c>
      <c r="L1078" s="32">
        <v>1633.59</v>
      </c>
      <c r="M1078" s="11"/>
      <c r="N1078" s="22">
        <f>L1078*M1078</f>
        <v>0</v>
      </c>
      <c r="O1078" s="25">
        <f>0.341*M1078</f>
        <v>0</v>
      </c>
      <c r="P1078" s="26">
        <f>0.00956*M1078</f>
        <v>0</v>
      </c>
      <c r="Q1078" s="30"/>
      <c r="R1078" s="22" t="s">
        <v>3718</v>
      </c>
      <c r="S1078" s="22" t="s">
        <v>435</v>
      </c>
      <c r="T1078" s="21" t="str">
        <f>HYPERLINK("https://miland.ru/api/getInfo/image/370eb7db-8b37-11ec-a211-ac1f6b442185")</f>
        <v>https://miland.ru/api/getInfo/image/370eb7db-8b37-11ec-a211-ac1f6b442185</v>
      </c>
      <c r="U1078" s="21"/>
      <c r="V1078" s="21" t="s">
        <v>710</v>
      </c>
      <c r="W1078" s="21" t="s">
        <v>82</v>
      </c>
      <c r="X1078" s="21"/>
      <c r="Y1078" s="21" t="s">
        <v>41</v>
      </c>
      <c r="Z1078" s="21"/>
      <c r="AA1078" s="21" t="str">
        <f>HYPERLINK("https://miland.ru/api/getInfo/item/370eb7db-8b37-11ec-a211-ac1f6b442185")</f>
        <v>https://miland.ru/api/getInfo/item/370eb7db-8b37-11ec-a211-ac1f6b442185</v>
      </c>
      <c r="AB1078" s="21" t="s">
        <v>42</v>
      </c>
      <c r="AC1078" s="21" t="s">
        <v>3719</v>
      </c>
      <c r="AD1078" s="21"/>
    </row>
    <row r="1079" spans="2:31" s="1" customFormat="1" ht="96.3" customHeight="1" outlineLevel="7">
      <c r="B1079" s="20">
        <v>801</v>
      </c>
      <c r="C1079" s="21" t="s">
        <v>3720</v>
      </c>
      <c r="D1079" s="72" t="s">
        <v>3721</v>
      </c>
      <c r="E1079" s="72"/>
      <c r="F1079" s="72"/>
      <c r="G1079" s="72"/>
      <c r="H1079" s="22" t="s">
        <v>3722</v>
      </c>
      <c r="I1079" s="27">
        <v>40</v>
      </c>
      <c r="J1079" s="22"/>
      <c r="K1079" s="20">
        <v>1</v>
      </c>
      <c r="L1079" s="32">
        <v>1633.65</v>
      </c>
      <c r="M1079" s="11"/>
      <c r="N1079" s="22">
        <f>L1079*M1079</f>
        <v>0</v>
      </c>
      <c r="O1079" s="25">
        <f>0.287*M1079</f>
        <v>0</v>
      </c>
      <c r="P1079" s="26">
        <f>0.01101*M1079</f>
        <v>0</v>
      </c>
      <c r="Q1079" s="30"/>
      <c r="R1079" s="22" t="s">
        <v>3723</v>
      </c>
      <c r="S1079" s="22" t="s">
        <v>435</v>
      </c>
      <c r="T1079" s="21" t="str">
        <f>HYPERLINK("https://miland.ru/api/getInfo/image/3ed61392-8b36-11ec-a211-ac1f6b442185")</f>
        <v>https://miland.ru/api/getInfo/image/3ed61392-8b36-11ec-a211-ac1f6b442185</v>
      </c>
      <c r="U1079" s="21"/>
      <c r="V1079" s="21" t="s">
        <v>710</v>
      </c>
      <c r="W1079" s="21" t="s">
        <v>82</v>
      </c>
      <c r="X1079" s="21"/>
      <c r="Y1079" s="21" t="s">
        <v>41</v>
      </c>
      <c r="Z1079" s="21"/>
      <c r="AA1079" s="21" t="str">
        <f>HYPERLINK("https://miland.ru/api/getInfo/item/3ed61392-8b36-11ec-a211-ac1f6b442185")</f>
        <v>https://miland.ru/api/getInfo/item/3ed61392-8b36-11ec-a211-ac1f6b442185</v>
      </c>
      <c r="AB1079" s="21" t="s">
        <v>42</v>
      </c>
      <c r="AC1079" s="21" t="s">
        <v>3719</v>
      </c>
      <c r="AD1079" s="21"/>
    </row>
    <row r="1080" spans="2:31" s="1" customFormat="1" ht="96.3" customHeight="1" outlineLevel="7">
      <c r="B1080" s="20">
        <v>802</v>
      </c>
      <c r="C1080" s="21" t="s">
        <v>3724</v>
      </c>
      <c r="D1080" s="72" t="s">
        <v>3725</v>
      </c>
      <c r="E1080" s="72"/>
      <c r="F1080" s="72"/>
      <c r="G1080" s="72"/>
      <c r="H1080" s="22" t="s">
        <v>3726</v>
      </c>
      <c r="I1080" s="27">
        <v>5</v>
      </c>
      <c r="J1080" s="22"/>
      <c r="K1080" s="20">
        <v>1</v>
      </c>
      <c r="L1080" s="32">
        <v>1633.65</v>
      </c>
      <c r="M1080" s="11"/>
      <c r="N1080" s="22">
        <f>L1080*M1080</f>
        <v>0</v>
      </c>
      <c r="O1080" s="25">
        <f>0.337*M1080</f>
        <v>0</v>
      </c>
      <c r="P1080" s="29">
        <f>0.0082*M1080</f>
        <v>0</v>
      </c>
      <c r="Q1080" s="30"/>
      <c r="R1080" s="22" t="s">
        <v>3727</v>
      </c>
      <c r="S1080" s="22"/>
      <c r="T1080" s="21" t="str">
        <f>HYPERLINK("https://miland.ru/api/getInfo/image/eac1a15c-8b36-11ec-a211-ac1f6b442185")</f>
        <v>https://miland.ru/api/getInfo/image/eac1a15c-8b36-11ec-a211-ac1f6b442185</v>
      </c>
      <c r="U1080" s="21"/>
      <c r="V1080" s="21" t="s">
        <v>710</v>
      </c>
      <c r="W1080" s="21" t="s">
        <v>82</v>
      </c>
      <c r="X1080" s="21"/>
      <c r="Y1080" s="21" t="s">
        <v>41</v>
      </c>
      <c r="Z1080" s="21"/>
      <c r="AA1080" s="21" t="str">
        <f>HYPERLINK("https://miland.ru/api/getInfo/item/eac1a15c-8b36-11ec-a211-ac1f6b442185")</f>
        <v>https://miland.ru/api/getInfo/item/eac1a15c-8b36-11ec-a211-ac1f6b442185</v>
      </c>
      <c r="AB1080" s="21" t="s">
        <v>42</v>
      </c>
      <c r="AC1080" s="21" t="s">
        <v>3719</v>
      </c>
      <c r="AD1080" s="21"/>
    </row>
    <row r="1081" spans="2:31" s="1" customFormat="1" ht="96.3" customHeight="1" outlineLevel="7">
      <c r="B1081" s="20">
        <v>803</v>
      </c>
      <c r="C1081" s="21" t="s">
        <v>3728</v>
      </c>
      <c r="D1081" s="72" t="s">
        <v>3729</v>
      </c>
      <c r="E1081" s="72"/>
      <c r="F1081" s="72"/>
      <c r="G1081" s="72"/>
      <c r="H1081" s="22" t="s">
        <v>3730</v>
      </c>
      <c r="I1081" s="27">
        <v>171</v>
      </c>
      <c r="J1081" s="22"/>
      <c r="K1081" s="20">
        <v>1</v>
      </c>
      <c r="L1081" s="32">
        <v>1494.45</v>
      </c>
      <c r="M1081" s="11"/>
      <c r="N1081" s="22">
        <f>L1081*M1081</f>
        <v>0</v>
      </c>
      <c r="O1081" s="25">
        <f>0.274*M1081</f>
        <v>0</v>
      </c>
      <c r="P1081" s="26">
        <f>0.01022*M1081</f>
        <v>0</v>
      </c>
      <c r="Q1081" s="30"/>
      <c r="R1081" s="22" t="s">
        <v>3731</v>
      </c>
      <c r="S1081" s="22" t="s">
        <v>435</v>
      </c>
      <c r="T1081" s="21" t="str">
        <f>HYPERLINK("https://miland.ru/api/getInfo/image/e0e301f3-8b34-11ec-a211-ac1f6b442185")</f>
        <v>https://miland.ru/api/getInfo/image/e0e301f3-8b34-11ec-a211-ac1f6b442185</v>
      </c>
      <c r="U1081" s="21"/>
      <c r="V1081" s="21" t="s">
        <v>710</v>
      </c>
      <c r="W1081" s="21" t="s">
        <v>82</v>
      </c>
      <c r="X1081" s="21"/>
      <c r="Y1081" s="21" t="s">
        <v>41</v>
      </c>
      <c r="Z1081" s="21"/>
      <c r="AA1081" s="21" t="str">
        <f>HYPERLINK("https://miland.ru/api/getInfo/item/e0e301f3-8b34-11ec-a211-ac1f6b442185")</f>
        <v>https://miland.ru/api/getInfo/item/e0e301f3-8b34-11ec-a211-ac1f6b442185</v>
      </c>
      <c r="AB1081" s="21" t="s">
        <v>42</v>
      </c>
      <c r="AC1081" s="21" t="s">
        <v>3719</v>
      </c>
      <c r="AD1081" s="21"/>
    </row>
    <row r="1082" spans="2:31" ht="12" customHeight="1" outlineLevel="7">
      <c r="B1082" s="70" t="s">
        <v>3732</v>
      </c>
      <c r="C1082" s="70"/>
      <c r="D1082" s="70"/>
      <c r="E1082" s="70"/>
      <c r="F1082" s="70"/>
      <c r="G1082" s="70"/>
    </row>
    <row r="1083" spans="2:31" s="1" customFormat="1" ht="96.3" customHeight="1" outlineLevel="7">
      <c r="B1083" s="20">
        <v>804</v>
      </c>
      <c r="C1083" s="21" t="s">
        <v>3733</v>
      </c>
      <c r="D1083" s="72" t="s">
        <v>3734</v>
      </c>
      <c r="E1083" s="72"/>
      <c r="F1083" s="72"/>
      <c r="G1083" s="72"/>
      <c r="H1083" s="22" t="s">
        <v>3735</v>
      </c>
      <c r="I1083" s="27">
        <v>67</v>
      </c>
      <c r="J1083" s="22"/>
      <c r="K1083" s="20">
        <v>1</v>
      </c>
      <c r="L1083" s="32">
        <v>1028.32</v>
      </c>
      <c r="M1083" s="11"/>
      <c r="N1083" s="22">
        <f>L1083*M1083</f>
        <v>0</v>
      </c>
      <c r="O1083" s="28">
        <f>0.34*M1083</f>
        <v>0</v>
      </c>
      <c r="P1083" s="26">
        <f>0.00803*M1083</f>
        <v>0</v>
      </c>
      <c r="Q1083" s="30"/>
      <c r="R1083" s="22" t="s">
        <v>3736</v>
      </c>
      <c r="S1083" s="22"/>
      <c r="T1083" s="21" t="str">
        <f>HYPERLINK("https://miland.ru/api/getInfo/image/983d2bc6-8a53-11ec-a211-ac1f6b442185")</f>
        <v>https://miland.ru/api/getInfo/image/983d2bc6-8a53-11ec-a211-ac1f6b442185</v>
      </c>
      <c r="U1083" s="21"/>
      <c r="V1083" s="21" t="s">
        <v>710</v>
      </c>
      <c r="W1083" s="21" t="s">
        <v>82</v>
      </c>
      <c r="X1083" s="21"/>
      <c r="Y1083" s="21" t="s">
        <v>41</v>
      </c>
      <c r="Z1083" s="21"/>
      <c r="AA1083" s="21" t="str">
        <f>HYPERLINK("https://miland.ru/api/getInfo/item/983d2bc6-8a53-11ec-a211-ac1f6b442185")</f>
        <v>https://miland.ru/api/getInfo/item/983d2bc6-8a53-11ec-a211-ac1f6b442185</v>
      </c>
      <c r="AB1083" s="21" t="s">
        <v>42</v>
      </c>
      <c r="AC1083" s="21" t="s">
        <v>3737</v>
      </c>
      <c r="AD1083" s="21"/>
    </row>
    <row r="1084" spans="2:31" ht="12" customHeight="1" outlineLevel="6">
      <c r="B1084" s="70" t="s">
        <v>3738</v>
      </c>
      <c r="C1084" s="70"/>
      <c r="D1084" s="70"/>
      <c r="E1084" s="70"/>
      <c r="F1084" s="70"/>
      <c r="G1084" s="70"/>
    </row>
    <row r="1085" spans="2:31" s="1" customFormat="1" ht="96.3" customHeight="1" outlineLevel="7">
      <c r="B1085" s="20">
        <v>805</v>
      </c>
      <c r="C1085" s="21" t="s">
        <v>3739</v>
      </c>
      <c r="D1085" s="72" t="s">
        <v>3740</v>
      </c>
      <c r="E1085" s="72"/>
      <c r="F1085" s="72"/>
      <c r="G1085" s="72"/>
      <c r="H1085" s="22" t="s">
        <v>3741</v>
      </c>
      <c r="I1085" s="27">
        <v>376</v>
      </c>
      <c r="J1085" s="22"/>
      <c r="K1085" s="20">
        <v>1</v>
      </c>
      <c r="L1085" s="24">
        <v>609.88</v>
      </c>
      <c r="M1085" s="11"/>
      <c r="N1085" s="22">
        <f>L1085*M1085</f>
        <v>0</v>
      </c>
      <c r="O1085" s="25">
        <f>0.205*M1085</f>
        <v>0</v>
      </c>
      <c r="P1085" s="26">
        <f>0.00466*M1085</f>
        <v>0</v>
      </c>
      <c r="Q1085" s="30"/>
      <c r="R1085" s="22" t="s">
        <v>3742</v>
      </c>
      <c r="S1085" s="22"/>
      <c r="T1085" s="21" t="str">
        <f>HYPERLINK("https://miland.ru/api/getInfo/image/586f9ec3-60f8-11ed-a229-00155d82e902")</f>
        <v>https://miland.ru/api/getInfo/image/586f9ec3-60f8-11ed-a229-00155d82e902</v>
      </c>
      <c r="U1085" s="21"/>
      <c r="V1085" s="21" t="s">
        <v>710</v>
      </c>
      <c r="W1085" s="21" t="s">
        <v>82</v>
      </c>
      <c r="X1085" s="21"/>
      <c r="Y1085" s="21" t="s">
        <v>41</v>
      </c>
      <c r="Z1085" s="21"/>
      <c r="AA1085" s="21" t="str">
        <f>HYPERLINK("https://miland.ru/api/getInfo/item/586f9ec3-60f8-11ed-a229-00155d82e902")</f>
        <v>https://miland.ru/api/getInfo/item/586f9ec3-60f8-11ed-a229-00155d82e902</v>
      </c>
      <c r="AB1085" s="21" t="s">
        <v>42</v>
      </c>
      <c r="AC1085" s="21" t="s">
        <v>3743</v>
      </c>
      <c r="AD1085" s="21"/>
    </row>
    <row r="1086" spans="2:31" s="1" customFormat="1" ht="96.3" customHeight="1" outlineLevel="7">
      <c r="B1086" s="20">
        <v>806</v>
      </c>
      <c r="C1086" s="21" t="s">
        <v>3744</v>
      </c>
      <c r="D1086" s="72" t="s">
        <v>3745</v>
      </c>
      <c r="E1086" s="72"/>
      <c r="F1086" s="72"/>
      <c r="G1086" s="72"/>
      <c r="H1086" s="22" t="s">
        <v>3746</v>
      </c>
      <c r="I1086" s="27">
        <v>72</v>
      </c>
      <c r="J1086" s="22"/>
      <c r="K1086" s="20">
        <v>1</v>
      </c>
      <c r="L1086" s="24">
        <v>609.88</v>
      </c>
      <c r="M1086" s="11"/>
      <c r="N1086" s="22">
        <f>L1086*M1086</f>
        <v>0</v>
      </c>
      <c r="O1086" s="25">
        <f>0.195*M1086</f>
        <v>0</v>
      </c>
      <c r="P1086" s="26">
        <f>0.00374*M1086</f>
        <v>0</v>
      </c>
      <c r="Q1086" s="30"/>
      <c r="R1086" s="22" t="s">
        <v>3747</v>
      </c>
      <c r="S1086" s="22"/>
      <c r="T1086" s="21" t="str">
        <f>HYPERLINK("https://miland.ru/api/getInfo/image/014df8fe-60f9-11ed-a229-00155d82e902")</f>
        <v>https://miland.ru/api/getInfo/image/014df8fe-60f9-11ed-a229-00155d82e902</v>
      </c>
      <c r="U1086" s="21"/>
      <c r="V1086" s="21" t="s">
        <v>710</v>
      </c>
      <c r="W1086" s="21" t="s">
        <v>82</v>
      </c>
      <c r="X1086" s="21"/>
      <c r="Y1086" s="21" t="s">
        <v>41</v>
      </c>
      <c r="Z1086" s="21"/>
      <c r="AA1086" s="21" t="str">
        <f>HYPERLINK("https://miland.ru/api/getInfo/item/014df8fe-60f9-11ed-a229-00155d82e902")</f>
        <v>https://miland.ru/api/getInfo/item/014df8fe-60f9-11ed-a229-00155d82e902</v>
      </c>
      <c r="AB1086" s="21" t="s">
        <v>42</v>
      </c>
      <c r="AC1086" s="21" t="s">
        <v>3743</v>
      </c>
      <c r="AD1086" s="21"/>
    </row>
    <row r="1087" spans="2:31" s="1" customFormat="1" ht="96.3" customHeight="1" outlineLevel="7">
      <c r="B1087" s="20">
        <v>807</v>
      </c>
      <c r="C1087" s="21" t="s">
        <v>3748</v>
      </c>
      <c r="D1087" s="72" t="s">
        <v>3749</v>
      </c>
      <c r="E1087" s="72"/>
      <c r="F1087" s="72"/>
      <c r="G1087" s="72"/>
      <c r="H1087" s="22" t="s">
        <v>3750</v>
      </c>
      <c r="I1087" s="27">
        <v>189</v>
      </c>
      <c r="J1087" s="22"/>
      <c r="K1087" s="20">
        <v>1</v>
      </c>
      <c r="L1087" s="24">
        <v>609.88</v>
      </c>
      <c r="M1087" s="11"/>
      <c r="N1087" s="22">
        <f>L1087*M1087</f>
        <v>0</v>
      </c>
      <c r="O1087" s="25">
        <f>0.186*M1087</f>
        <v>0</v>
      </c>
      <c r="P1087" s="26">
        <f>0.00461*M1087</f>
        <v>0</v>
      </c>
      <c r="Q1087" s="30"/>
      <c r="R1087" s="22" t="s">
        <v>3751</v>
      </c>
      <c r="S1087" s="22"/>
      <c r="T1087" s="21" t="str">
        <f>HYPERLINK("https://miland.ru/api/getInfo/image/af70d6b1-60f8-11ed-a229-00155d82e902")</f>
        <v>https://miland.ru/api/getInfo/image/af70d6b1-60f8-11ed-a229-00155d82e902</v>
      </c>
      <c r="U1087" s="21"/>
      <c r="V1087" s="21" t="s">
        <v>710</v>
      </c>
      <c r="W1087" s="21" t="s">
        <v>82</v>
      </c>
      <c r="X1087" s="21"/>
      <c r="Y1087" s="21" t="s">
        <v>41</v>
      </c>
      <c r="Z1087" s="21"/>
      <c r="AA1087" s="21" t="str">
        <f>HYPERLINK("https://miland.ru/api/getInfo/item/af70d6b1-60f8-11ed-a229-00155d82e902")</f>
        <v>https://miland.ru/api/getInfo/item/af70d6b1-60f8-11ed-a229-00155d82e902</v>
      </c>
      <c r="AB1087" s="21" t="s">
        <v>42</v>
      </c>
      <c r="AC1087" s="21" t="s">
        <v>3743</v>
      </c>
      <c r="AD1087" s="21"/>
    </row>
    <row r="1088" spans="2:31" s="1" customFormat="1" ht="96.3" customHeight="1" outlineLevel="7">
      <c r="B1088" s="20">
        <v>808</v>
      </c>
      <c r="C1088" s="21" t="s">
        <v>3752</v>
      </c>
      <c r="D1088" s="72" t="s">
        <v>3753</v>
      </c>
      <c r="E1088" s="72"/>
      <c r="F1088" s="72"/>
      <c r="G1088" s="72"/>
      <c r="H1088" s="22" t="s">
        <v>3754</v>
      </c>
      <c r="I1088" s="27">
        <v>135</v>
      </c>
      <c r="J1088" s="22"/>
      <c r="K1088" s="20">
        <v>1</v>
      </c>
      <c r="L1088" s="24">
        <v>573.42999999999995</v>
      </c>
      <c r="M1088" s="11"/>
      <c r="N1088" s="22">
        <f>L1088*M1088</f>
        <v>0</v>
      </c>
      <c r="O1088" s="33">
        <f>0.2*M1088</f>
        <v>0</v>
      </c>
      <c r="P1088" s="26">
        <f>0.00378*M1088</f>
        <v>0</v>
      </c>
      <c r="Q1088" s="30"/>
      <c r="R1088" s="22" t="s">
        <v>3755</v>
      </c>
      <c r="S1088" s="22" t="s">
        <v>435</v>
      </c>
      <c r="T1088" s="21" t="str">
        <f>HYPERLINK("https://miland.ru/api/getInfo/image/4f7899d6-60f9-11ed-a229-00155d82e902")</f>
        <v>https://miland.ru/api/getInfo/image/4f7899d6-60f9-11ed-a229-00155d82e902</v>
      </c>
      <c r="U1088" s="21"/>
      <c r="V1088" s="21" t="s">
        <v>710</v>
      </c>
      <c r="W1088" s="21" t="s">
        <v>82</v>
      </c>
      <c r="X1088" s="21"/>
      <c r="Y1088" s="21" t="s">
        <v>41</v>
      </c>
      <c r="Z1088" s="21"/>
      <c r="AA1088" s="21" t="str">
        <f>HYPERLINK("https://miland.ru/api/getInfo/item/4f7899d6-60f9-11ed-a229-00155d82e902")</f>
        <v>https://miland.ru/api/getInfo/item/4f7899d6-60f9-11ed-a229-00155d82e902</v>
      </c>
      <c r="AB1088" s="21" t="s">
        <v>42</v>
      </c>
      <c r="AC1088" s="21" t="s">
        <v>3743</v>
      </c>
      <c r="AD1088" s="21"/>
    </row>
    <row r="1089" spans="2:31" ht="12" customHeight="1" outlineLevel="6">
      <c r="B1089" s="70" t="s">
        <v>3756</v>
      </c>
      <c r="C1089" s="70"/>
      <c r="D1089" s="70"/>
      <c r="E1089" s="70"/>
      <c r="F1089" s="70"/>
      <c r="G1089" s="70"/>
    </row>
    <row r="1090" spans="2:31" ht="12" customHeight="1" outlineLevel="7">
      <c r="B1090" s="70" t="s">
        <v>3757</v>
      </c>
      <c r="C1090" s="70"/>
      <c r="D1090" s="70"/>
      <c r="E1090" s="70"/>
      <c r="F1090" s="70"/>
      <c r="G1090" s="70"/>
    </row>
    <row r="1091" spans="2:31" s="1" customFormat="1" ht="96.3" customHeight="1" outlineLevel="7">
      <c r="B1091" s="6">
        <v>809</v>
      </c>
      <c r="C1091" s="7" t="s">
        <v>3758</v>
      </c>
      <c r="D1091" s="71" t="s">
        <v>3759</v>
      </c>
      <c r="E1091" s="71"/>
      <c r="F1091" s="71"/>
      <c r="G1091" s="71"/>
      <c r="H1091" s="8" t="s">
        <v>3760</v>
      </c>
      <c r="I1091" s="9" t="s">
        <v>36</v>
      </c>
      <c r="J1091" s="8"/>
      <c r="K1091" s="6">
        <v>2</v>
      </c>
      <c r="L1091" s="10">
        <v>326.33999999999997</v>
      </c>
      <c r="M1091" s="11"/>
      <c r="N1091" s="8">
        <f>L1091*M1091</f>
        <v>0</v>
      </c>
      <c r="O1091" s="12">
        <f>0.064*M1091</f>
        <v>0</v>
      </c>
      <c r="P1091" s="13">
        <f>0.00167*M1091</f>
        <v>0</v>
      </c>
      <c r="Q1091" s="17" t="s">
        <v>37</v>
      </c>
      <c r="R1091" s="8" t="s">
        <v>3761</v>
      </c>
      <c r="S1091" s="8"/>
      <c r="T1091" s="7" t="str">
        <f>HYPERLINK("https://miland.ru/api/getInfo/image/3fdeb713-2ce6-11f1-a292-00155d82e908")</f>
        <v>https://miland.ru/api/getInfo/image/3fdeb713-2ce6-11f1-a292-00155d82e908</v>
      </c>
      <c r="U1091" s="7"/>
      <c r="V1091" s="7"/>
      <c r="W1091" s="7" t="s">
        <v>82</v>
      </c>
      <c r="X1091" s="7"/>
      <c r="Y1091" s="7" t="s">
        <v>41</v>
      </c>
      <c r="Z1091" s="7"/>
      <c r="AA1091" s="7" t="str">
        <f>HYPERLINK("https://miland.ru/api/getInfo/item/3fdeb713-2ce6-11f1-a292-00155d82e908")</f>
        <v>https://miland.ru/api/getInfo/item/3fdeb713-2ce6-11f1-a292-00155d82e908</v>
      </c>
      <c r="AB1091" s="7" t="s">
        <v>42</v>
      </c>
      <c r="AC1091" s="7"/>
      <c r="AD1091" s="7"/>
      <c r="AE1091" s="54"/>
    </row>
    <row r="1092" spans="2:31" ht="12" customHeight="1" outlineLevel="7">
      <c r="B1092" s="70" t="s">
        <v>3762</v>
      </c>
      <c r="C1092" s="70"/>
      <c r="D1092" s="70"/>
      <c r="E1092" s="70"/>
      <c r="F1092" s="70"/>
      <c r="G1092" s="70"/>
    </row>
    <row r="1093" spans="2:31" s="1" customFormat="1" ht="96.3" customHeight="1" outlineLevel="7">
      <c r="B1093" s="20">
        <v>810</v>
      </c>
      <c r="C1093" s="21" t="s">
        <v>3763</v>
      </c>
      <c r="D1093" s="72" t="s">
        <v>3764</v>
      </c>
      <c r="E1093" s="72"/>
      <c r="F1093" s="72"/>
      <c r="G1093" s="72"/>
      <c r="H1093" s="22" t="s">
        <v>3765</v>
      </c>
      <c r="I1093" s="23" t="s">
        <v>36</v>
      </c>
      <c r="J1093" s="22"/>
      <c r="K1093" s="20">
        <v>3</v>
      </c>
      <c r="L1093" s="24">
        <v>203.14</v>
      </c>
      <c r="M1093" s="11"/>
      <c r="N1093" s="22">
        <f>L1093*M1093</f>
        <v>0</v>
      </c>
      <c r="O1093" s="25">
        <f>0.101*M1093</f>
        <v>0</v>
      </c>
      <c r="P1093" s="26">
        <f>0.00025*M1093</f>
        <v>0</v>
      </c>
      <c r="Q1093" s="30"/>
      <c r="R1093" s="22" t="s">
        <v>3766</v>
      </c>
      <c r="S1093" s="22"/>
      <c r="T1093" s="21" t="str">
        <f>HYPERLINK("https://miland.ru/api/getInfo/image/eeeb8f7f-8a5d-11ec-a211-ac1f6b442185")</f>
        <v>https://miland.ru/api/getInfo/image/eeeb8f7f-8a5d-11ec-a211-ac1f6b442185</v>
      </c>
      <c r="U1093" s="21"/>
      <c r="V1093" s="21" t="s">
        <v>710</v>
      </c>
      <c r="W1093" s="21" t="s">
        <v>82</v>
      </c>
      <c r="X1093" s="21"/>
      <c r="Y1093" s="21" t="s">
        <v>41</v>
      </c>
      <c r="Z1093" s="21"/>
      <c r="AA1093" s="21" t="str">
        <f>HYPERLINK("https://miland.ru/api/getInfo/item/eeeb8f7f-8a5d-11ec-a211-ac1f6b442185")</f>
        <v>https://miland.ru/api/getInfo/item/eeeb8f7f-8a5d-11ec-a211-ac1f6b442185</v>
      </c>
      <c r="AB1093" s="21" t="s">
        <v>42</v>
      </c>
      <c r="AC1093" s="21" t="s">
        <v>3767</v>
      </c>
      <c r="AD1093" s="21"/>
    </row>
    <row r="1094" spans="2:31" s="1" customFormat="1" ht="96.3" customHeight="1" outlineLevel="7">
      <c r="B1094" s="20">
        <v>811</v>
      </c>
      <c r="C1094" s="21" t="s">
        <v>3768</v>
      </c>
      <c r="D1094" s="72" t="s">
        <v>3769</v>
      </c>
      <c r="E1094" s="72"/>
      <c r="F1094" s="72"/>
      <c r="G1094" s="72"/>
      <c r="H1094" s="22" t="s">
        <v>3770</v>
      </c>
      <c r="I1094" s="23" t="s">
        <v>36</v>
      </c>
      <c r="J1094" s="22"/>
      <c r="K1094" s="20">
        <v>3</v>
      </c>
      <c r="L1094" s="24">
        <v>203.14</v>
      </c>
      <c r="M1094" s="11"/>
      <c r="N1094" s="22">
        <f>L1094*M1094</f>
        <v>0</v>
      </c>
      <c r="O1094" s="25">
        <f>0.098*M1094</f>
        <v>0</v>
      </c>
      <c r="P1094" s="26">
        <f>0.00224*M1094</f>
        <v>0</v>
      </c>
      <c r="Q1094" s="30"/>
      <c r="R1094" s="22" t="s">
        <v>3771</v>
      </c>
      <c r="S1094" s="22"/>
      <c r="T1094" s="21" t="str">
        <f>HYPERLINK("https://miland.ru/api/getInfo/image/45b9d21a-240b-11e6-b4ab-5cf3fc4a2490")</f>
        <v>https://miland.ru/api/getInfo/image/45b9d21a-240b-11e6-b4ab-5cf3fc4a2490</v>
      </c>
      <c r="U1094" s="21"/>
      <c r="V1094" s="21" t="s">
        <v>710</v>
      </c>
      <c r="W1094" s="21" t="s">
        <v>82</v>
      </c>
      <c r="X1094" s="21"/>
      <c r="Y1094" s="21" t="s">
        <v>41</v>
      </c>
      <c r="Z1094" s="21"/>
      <c r="AA1094" s="21" t="str">
        <f>HYPERLINK("https://miland.ru/api/getInfo/item/45b9d21a-240b-11e6-b4ab-5cf3fc4a2490")</f>
        <v>https://miland.ru/api/getInfo/item/45b9d21a-240b-11e6-b4ab-5cf3fc4a2490</v>
      </c>
      <c r="AB1094" s="21" t="s">
        <v>42</v>
      </c>
      <c r="AC1094" s="21" t="s">
        <v>3772</v>
      </c>
      <c r="AD1094" s="21"/>
    </row>
    <row r="1095" spans="2:31" ht="12" customHeight="1" outlineLevel="7">
      <c r="B1095" s="70" t="s">
        <v>3773</v>
      </c>
      <c r="C1095" s="70"/>
      <c r="D1095" s="70"/>
      <c r="E1095" s="70"/>
      <c r="F1095" s="70"/>
      <c r="G1095" s="70"/>
    </row>
    <row r="1096" spans="2:31" s="1" customFormat="1" ht="96.3" customHeight="1" outlineLevel="7">
      <c r="B1096" s="20">
        <v>812</v>
      </c>
      <c r="C1096" s="21" t="s">
        <v>3774</v>
      </c>
      <c r="D1096" s="72" t="s">
        <v>3775</v>
      </c>
      <c r="E1096" s="72"/>
      <c r="F1096" s="72"/>
      <c r="G1096" s="72"/>
      <c r="H1096" s="22" t="s">
        <v>3776</v>
      </c>
      <c r="I1096" s="27">
        <v>291</v>
      </c>
      <c r="J1096" s="22"/>
      <c r="K1096" s="20">
        <v>1</v>
      </c>
      <c r="L1096" s="24">
        <v>683.86</v>
      </c>
      <c r="M1096" s="11"/>
      <c r="N1096" s="22">
        <f t="shared" ref="N1096:N1113" si="45">L1096*M1096</f>
        <v>0</v>
      </c>
      <c r="O1096" s="25">
        <f>0.128*M1096</f>
        <v>0</v>
      </c>
      <c r="P1096" s="26">
        <f>0.00307*M1096</f>
        <v>0</v>
      </c>
      <c r="Q1096" s="30"/>
      <c r="R1096" s="22" t="s">
        <v>3777</v>
      </c>
      <c r="S1096" s="22"/>
      <c r="T1096" s="21" t="str">
        <f>HYPERLINK("https://miland.ru/api/getInfo/image/ffde2309-dca5-11ef-a273-00155d82e908")</f>
        <v>https://miland.ru/api/getInfo/image/ffde2309-dca5-11ef-a273-00155d82e908</v>
      </c>
      <c r="U1096" s="21"/>
      <c r="V1096" s="21" t="s">
        <v>710</v>
      </c>
      <c r="W1096" s="21" t="s">
        <v>82</v>
      </c>
      <c r="X1096" s="21"/>
      <c r="Y1096" s="21" t="s">
        <v>41</v>
      </c>
      <c r="Z1096" s="21"/>
      <c r="AA1096" s="21" t="str">
        <f>HYPERLINK("https://miland.ru/api/getInfo/item/ffde2309-dca5-11ef-a273-00155d82e908")</f>
        <v>https://miland.ru/api/getInfo/item/ffde2309-dca5-11ef-a273-00155d82e908</v>
      </c>
      <c r="AB1096" s="21" t="s">
        <v>42</v>
      </c>
      <c r="AC1096" s="21"/>
      <c r="AD1096" s="21"/>
    </row>
    <row r="1097" spans="2:31" s="1" customFormat="1" ht="96.3" customHeight="1" outlineLevel="7">
      <c r="B1097" s="20">
        <v>813</v>
      </c>
      <c r="C1097" s="21" t="s">
        <v>3778</v>
      </c>
      <c r="D1097" s="72" t="s">
        <v>3779</v>
      </c>
      <c r="E1097" s="72"/>
      <c r="F1097" s="72"/>
      <c r="G1097" s="72"/>
      <c r="H1097" s="22" t="s">
        <v>3780</v>
      </c>
      <c r="I1097" s="27">
        <v>283</v>
      </c>
      <c r="J1097" s="22"/>
      <c r="K1097" s="20">
        <v>1</v>
      </c>
      <c r="L1097" s="24">
        <v>427.97</v>
      </c>
      <c r="M1097" s="11"/>
      <c r="N1097" s="22">
        <f t="shared" si="45"/>
        <v>0</v>
      </c>
      <c r="O1097" s="25">
        <f>0.127*M1097</f>
        <v>0</v>
      </c>
      <c r="P1097" s="26">
        <f>0.00324*M1097</f>
        <v>0</v>
      </c>
      <c r="Q1097" s="30"/>
      <c r="R1097" s="22" t="s">
        <v>3781</v>
      </c>
      <c r="S1097" s="22" t="s">
        <v>435</v>
      </c>
      <c r="T1097" s="21" t="str">
        <f>HYPERLINK("https://miland.ru/api/getInfo/image/b4b60c97-dcb3-11ef-a273-00155d82e908")</f>
        <v>https://miland.ru/api/getInfo/image/b4b60c97-dcb3-11ef-a273-00155d82e908</v>
      </c>
      <c r="U1097" s="21"/>
      <c r="V1097" s="21" t="s">
        <v>710</v>
      </c>
      <c r="W1097" s="21" t="s">
        <v>82</v>
      </c>
      <c r="X1097" s="21"/>
      <c r="Y1097" s="21" t="s">
        <v>41</v>
      </c>
      <c r="Z1097" s="21"/>
      <c r="AA1097" s="21" t="str">
        <f>HYPERLINK("https://miland.ru/api/getInfo/item/b4b60c97-dcb3-11ef-a273-00155d82e908")</f>
        <v>https://miland.ru/api/getInfo/item/b4b60c97-dcb3-11ef-a273-00155d82e908</v>
      </c>
      <c r="AB1097" s="21" t="s">
        <v>42</v>
      </c>
      <c r="AC1097" s="21"/>
      <c r="AD1097" s="21"/>
    </row>
    <row r="1098" spans="2:31" s="1" customFormat="1" ht="96.3" customHeight="1" outlineLevel="7">
      <c r="B1098" s="20">
        <v>814</v>
      </c>
      <c r="C1098" s="21" t="s">
        <v>3782</v>
      </c>
      <c r="D1098" s="72" t="s">
        <v>3783</v>
      </c>
      <c r="E1098" s="72"/>
      <c r="F1098" s="72"/>
      <c r="G1098" s="72"/>
      <c r="H1098" s="22" t="s">
        <v>3784</v>
      </c>
      <c r="I1098" s="27">
        <v>245</v>
      </c>
      <c r="J1098" s="22"/>
      <c r="K1098" s="20">
        <v>1</v>
      </c>
      <c r="L1098" s="24">
        <v>683.86</v>
      </c>
      <c r="M1098" s="11"/>
      <c r="N1098" s="22">
        <f t="shared" si="45"/>
        <v>0</v>
      </c>
      <c r="O1098" s="25">
        <f>0.124*M1098</f>
        <v>0</v>
      </c>
      <c r="P1098" s="29">
        <f>0.0031*M1098</f>
        <v>0</v>
      </c>
      <c r="Q1098" s="30"/>
      <c r="R1098" s="22" t="s">
        <v>3785</v>
      </c>
      <c r="S1098" s="22"/>
      <c r="T1098" s="21" t="str">
        <f>HYPERLINK("https://miland.ru/api/getInfo/image/97c22f59-dca5-11ef-a273-00155d82e908")</f>
        <v>https://miland.ru/api/getInfo/image/97c22f59-dca5-11ef-a273-00155d82e908</v>
      </c>
      <c r="U1098" s="21"/>
      <c r="V1098" s="21" t="s">
        <v>710</v>
      </c>
      <c r="W1098" s="21" t="s">
        <v>82</v>
      </c>
      <c r="X1098" s="21"/>
      <c r="Y1098" s="21" t="s">
        <v>41</v>
      </c>
      <c r="Z1098" s="21"/>
      <c r="AA1098" s="21" t="str">
        <f>HYPERLINK("https://miland.ru/api/getInfo/item/97c22f59-dca5-11ef-a273-00155d82e908")</f>
        <v>https://miland.ru/api/getInfo/item/97c22f59-dca5-11ef-a273-00155d82e908</v>
      </c>
      <c r="AB1098" s="21" t="s">
        <v>42</v>
      </c>
      <c r="AC1098" s="21"/>
      <c r="AD1098" s="21"/>
    </row>
    <row r="1099" spans="2:31" s="1" customFormat="1" ht="96.3" customHeight="1" outlineLevel="7">
      <c r="B1099" s="6">
        <v>815</v>
      </c>
      <c r="C1099" s="7" t="s">
        <v>3786</v>
      </c>
      <c r="D1099" s="71" t="s">
        <v>3787</v>
      </c>
      <c r="E1099" s="71"/>
      <c r="F1099" s="71"/>
      <c r="G1099" s="71"/>
      <c r="H1099" s="8" t="s">
        <v>3788</v>
      </c>
      <c r="I1099" s="9" t="s">
        <v>36</v>
      </c>
      <c r="J1099" s="8"/>
      <c r="K1099" s="6">
        <v>2</v>
      </c>
      <c r="L1099" s="10">
        <v>310.11</v>
      </c>
      <c r="M1099" s="11"/>
      <c r="N1099" s="8">
        <f t="shared" si="45"/>
        <v>0</v>
      </c>
      <c r="O1099" s="12">
        <f>0.198*M1099</f>
        <v>0</v>
      </c>
      <c r="P1099" s="13">
        <f>0.00505*M1099</f>
        <v>0</v>
      </c>
      <c r="Q1099" s="17" t="s">
        <v>37</v>
      </c>
      <c r="R1099" s="8" t="s">
        <v>3789</v>
      </c>
      <c r="S1099" s="8"/>
      <c r="T1099" s="7" t="str">
        <f>HYPERLINK("https://miland.ru/api/getInfo/image/b36521ea-3181-11f1-a292-00155d82e908")</f>
        <v>https://miland.ru/api/getInfo/image/b36521ea-3181-11f1-a292-00155d82e908</v>
      </c>
      <c r="U1099" s="7"/>
      <c r="V1099" s="7"/>
      <c r="W1099" s="7"/>
      <c r="X1099" s="7"/>
      <c r="Y1099" s="7" t="s">
        <v>41</v>
      </c>
      <c r="Z1099" s="7"/>
      <c r="AA1099" s="7" t="str">
        <f>HYPERLINK("https://miland.ru/api/getInfo/item/b36521ea-3181-11f1-a292-00155d82e908")</f>
        <v>https://miland.ru/api/getInfo/item/b36521ea-3181-11f1-a292-00155d82e908</v>
      </c>
      <c r="AB1099" s="7" t="s">
        <v>50</v>
      </c>
      <c r="AC1099" s="7"/>
      <c r="AD1099" s="7"/>
      <c r="AE1099" s="54"/>
    </row>
    <row r="1100" spans="2:31" s="1" customFormat="1" ht="96.3" customHeight="1" outlineLevel="7">
      <c r="B1100" s="6">
        <v>816</v>
      </c>
      <c r="C1100" s="7" t="s">
        <v>3790</v>
      </c>
      <c r="D1100" s="71" t="s">
        <v>3791</v>
      </c>
      <c r="E1100" s="71"/>
      <c r="F1100" s="71"/>
      <c r="G1100" s="71"/>
      <c r="H1100" s="8" t="s">
        <v>3792</v>
      </c>
      <c r="I1100" s="9" t="s">
        <v>36</v>
      </c>
      <c r="J1100" s="8"/>
      <c r="K1100" s="6">
        <v>2</v>
      </c>
      <c r="L1100" s="10">
        <v>310.11</v>
      </c>
      <c r="M1100" s="11"/>
      <c r="N1100" s="8">
        <f t="shared" si="45"/>
        <v>0</v>
      </c>
      <c r="O1100" s="18">
        <f>0.19*M1100</f>
        <v>0</v>
      </c>
      <c r="P1100" s="16">
        <f>0.0049*M1100</f>
        <v>0</v>
      </c>
      <c r="Q1100" s="17" t="s">
        <v>37</v>
      </c>
      <c r="R1100" s="8" t="s">
        <v>3793</v>
      </c>
      <c r="S1100" s="8"/>
      <c r="T1100" s="7" t="str">
        <f>HYPERLINK("https://miland.ru/api/getInfo/image/6f6a8791-3181-11f1-a292-00155d82e908")</f>
        <v>https://miland.ru/api/getInfo/image/6f6a8791-3181-11f1-a292-00155d82e908</v>
      </c>
      <c r="U1100" s="7"/>
      <c r="V1100" s="7"/>
      <c r="W1100" s="7"/>
      <c r="X1100" s="7"/>
      <c r="Y1100" s="7" t="s">
        <v>41</v>
      </c>
      <c r="Z1100" s="7"/>
      <c r="AA1100" s="7" t="str">
        <f>HYPERLINK("https://miland.ru/api/getInfo/item/6f6a8791-3181-11f1-a292-00155d82e908")</f>
        <v>https://miland.ru/api/getInfo/item/6f6a8791-3181-11f1-a292-00155d82e908</v>
      </c>
      <c r="AB1100" s="7" t="s">
        <v>50</v>
      </c>
      <c r="AC1100" s="7"/>
      <c r="AD1100" s="7"/>
      <c r="AE1100" s="54"/>
    </row>
    <row r="1101" spans="2:31" s="1" customFormat="1" ht="96.3" customHeight="1" outlineLevel="7">
      <c r="B1101" s="6">
        <v>817</v>
      </c>
      <c r="C1101" s="7" t="s">
        <v>3794</v>
      </c>
      <c r="D1101" s="71" t="s">
        <v>3795</v>
      </c>
      <c r="E1101" s="71"/>
      <c r="F1101" s="71"/>
      <c r="G1101" s="71"/>
      <c r="H1101" s="8" t="s">
        <v>3796</v>
      </c>
      <c r="I1101" s="9" t="s">
        <v>36</v>
      </c>
      <c r="J1101" s="8"/>
      <c r="K1101" s="6">
        <v>2</v>
      </c>
      <c r="L1101" s="10">
        <v>310.11</v>
      </c>
      <c r="M1101" s="11"/>
      <c r="N1101" s="8">
        <f t="shared" si="45"/>
        <v>0</v>
      </c>
      <c r="O1101" s="12">
        <f>0.199*M1101</f>
        <v>0</v>
      </c>
      <c r="P1101" s="16">
        <f>0.0048*M1101</f>
        <v>0</v>
      </c>
      <c r="Q1101" s="17" t="s">
        <v>37</v>
      </c>
      <c r="R1101" s="8" t="s">
        <v>3797</v>
      </c>
      <c r="S1101" s="8"/>
      <c r="T1101" s="7" t="str">
        <f>HYPERLINK("https://miland.ru/api/getInfo/image/274775bf-3182-11f1-a292-00155d82e908")</f>
        <v>https://miland.ru/api/getInfo/image/274775bf-3182-11f1-a292-00155d82e908</v>
      </c>
      <c r="U1101" s="7"/>
      <c r="V1101" s="7"/>
      <c r="W1101" s="7"/>
      <c r="X1101" s="7"/>
      <c r="Y1101" s="7" t="s">
        <v>41</v>
      </c>
      <c r="Z1101" s="7"/>
      <c r="AA1101" s="7" t="str">
        <f>HYPERLINK("https://miland.ru/api/getInfo/item/274775bf-3182-11f1-a292-00155d82e908")</f>
        <v>https://miland.ru/api/getInfo/item/274775bf-3182-11f1-a292-00155d82e908</v>
      </c>
      <c r="AB1101" s="7" t="s">
        <v>50</v>
      </c>
      <c r="AC1101" s="7"/>
      <c r="AD1101" s="7"/>
      <c r="AE1101" s="54"/>
    </row>
    <row r="1102" spans="2:31" s="1" customFormat="1" ht="96.3" customHeight="1" outlineLevel="7">
      <c r="B1102" s="6">
        <v>818</v>
      </c>
      <c r="C1102" s="7" t="s">
        <v>3798</v>
      </c>
      <c r="D1102" s="71" t="s">
        <v>3799</v>
      </c>
      <c r="E1102" s="71"/>
      <c r="F1102" s="71"/>
      <c r="G1102" s="71"/>
      <c r="H1102" s="8" t="s">
        <v>3800</v>
      </c>
      <c r="I1102" s="14">
        <v>485</v>
      </c>
      <c r="J1102" s="8"/>
      <c r="K1102" s="6">
        <v>2</v>
      </c>
      <c r="L1102" s="10">
        <v>310.11</v>
      </c>
      <c r="M1102" s="11"/>
      <c r="N1102" s="8">
        <f t="shared" si="45"/>
        <v>0</v>
      </c>
      <c r="O1102" s="12">
        <f>0.207*M1102</f>
        <v>0</v>
      </c>
      <c r="P1102" s="13">
        <f>0.00483*M1102</f>
        <v>0</v>
      </c>
      <c r="Q1102" s="17" t="s">
        <v>37</v>
      </c>
      <c r="R1102" s="8" t="s">
        <v>3801</v>
      </c>
      <c r="S1102" s="8"/>
      <c r="T1102" s="7" t="str">
        <f>HYPERLINK("https://miland.ru/api/getInfo/image/04733c01-3182-11f1-a292-00155d82e908")</f>
        <v>https://miland.ru/api/getInfo/image/04733c01-3182-11f1-a292-00155d82e908</v>
      </c>
      <c r="U1102" s="7"/>
      <c r="V1102" s="7"/>
      <c r="W1102" s="7"/>
      <c r="X1102" s="7"/>
      <c r="Y1102" s="7" t="s">
        <v>41</v>
      </c>
      <c r="Z1102" s="7"/>
      <c r="AA1102" s="7" t="str">
        <f>HYPERLINK("https://miland.ru/api/getInfo/item/04733c01-3182-11f1-a292-00155d82e908")</f>
        <v>https://miland.ru/api/getInfo/item/04733c01-3182-11f1-a292-00155d82e908</v>
      </c>
      <c r="AB1102" s="7" t="s">
        <v>50</v>
      </c>
      <c r="AC1102" s="7"/>
      <c r="AD1102" s="7"/>
      <c r="AE1102" s="54"/>
    </row>
    <row r="1103" spans="2:31" s="1" customFormat="1" ht="96.3" customHeight="1" outlineLevel="7">
      <c r="B1103" s="6">
        <v>819</v>
      </c>
      <c r="C1103" s="7" t="s">
        <v>3802</v>
      </c>
      <c r="D1103" s="71" t="s">
        <v>3803</v>
      </c>
      <c r="E1103" s="71"/>
      <c r="F1103" s="71"/>
      <c r="G1103" s="71"/>
      <c r="H1103" s="8" t="s">
        <v>3804</v>
      </c>
      <c r="I1103" s="14">
        <v>485</v>
      </c>
      <c r="J1103" s="8"/>
      <c r="K1103" s="6">
        <v>2</v>
      </c>
      <c r="L1103" s="10">
        <v>310.11</v>
      </c>
      <c r="M1103" s="11"/>
      <c r="N1103" s="8">
        <f t="shared" si="45"/>
        <v>0</v>
      </c>
      <c r="O1103" s="12">
        <f>0.198*M1103</f>
        <v>0</v>
      </c>
      <c r="P1103" s="13">
        <f>0.00479*M1103</f>
        <v>0</v>
      </c>
      <c r="Q1103" s="17" t="s">
        <v>37</v>
      </c>
      <c r="R1103" s="8" t="s">
        <v>3805</v>
      </c>
      <c r="S1103" s="8"/>
      <c r="T1103" s="7" t="str">
        <f>HYPERLINK("https://miland.ru/api/getInfo/image/87897e10-3181-11f1-a292-00155d82e908")</f>
        <v>https://miland.ru/api/getInfo/image/87897e10-3181-11f1-a292-00155d82e908</v>
      </c>
      <c r="U1103" s="7"/>
      <c r="V1103" s="7"/>
      <c r="W1103" s="7"/>
      <c r="X1103" s="7"/>
      <c r="Y1103" s="7" t="s">
        <v>41</v>
      </c>
      <c r="Z1103" s="7"/>
      <c r="AA1103" s="7" t="str">
        <f>HYPERLINK("https://miland.ru/api/getInfo/item/87897e10-3181-11f1-a292-00155d82e908")</f>
        <v>https://miland.ru/api/getInfo/item/87897e10-3181-11f1-a292-00155d82e908</v>
      </c>
      <c r="AB1103" s="7" t="s">
        <v>50</v>
      </c>
      <c r="AC1103" s="7"/>
      <c r="AD1103" s="7"/>
      <c r="AE1103" s="54"/>
    </row>
    <row r="1104" spans="2:31" s="1" customFormat="1" ht="96.3" customHeight="1" outlineLevel="7">
      <c r="B1104" s="6">
        <v>820</v>
      </c>
      <c r="C1104" s="7" t="s">
        <v>3806</v>
      </c>
      <c r="D1104" s="71" t="s">
        <v>3807</v>
      </c>
      <c r="E1104" s="71"/>
      <c r="F1104" s="71"/>
      <c r="G1104" s="71"/>
      <c r="H1104" s="8" t="s">
        <v>3808</v>
      </c>
      <c r="I1104" s="9" t="s">
        <v>36</v>
      </c>
      <c r="J1104" s="8"/>
      <c r="K1104" s="6">
        <v>2</v>
      </c>
      <c r="L1104" s="10">
        <v>310.11</v>
      </c>
      <c r="M1104" s="11"/>
      <c r="N1104" s="8">
        <f t="shared" si="45"/>
        <v>0</v>
      </c>
      <c r="O1104" s="12">
        <f>0.209*M1104</f>
        <v>0</v>
      </c>
      <c r="P1104" s="13">
        <f>0.00481*M1104</f>
        <v>0</v>
      </c>
      <c r="Q1104" s="17" t="s">
        <v>37</v>
      </c>
      <c r="R1104" s="8" t="s">
        <v>3809</v>
      </c>
      <c r="S1104" s="8"/>
      <c r="T1104" s="7" t="str">
        <f>HYPERLINK("https://miland.ru/api/getInfo/image/9fbb3a06-3181-11f1-a292-00155d82e908")</f>
        <v>https://miland.ru/api/getInfo/image/9fbb3a06-3181-11f1-a292-00155d82e908</v>
      </c>
      <c r="U1104" s="7"/>
      <c r="V1104" s="7"/>
      <c r="W1104" s="7"/>
      <c r="X1104" s="7"/>
      <c r="Y1104" s="7" t="s">
        <v>41</v>
      </c>
      <c r="Z1104" s="7"/>
      <c r="AA1104" s="7" t="str">
        <f>HYPERLINK("https://miland.ru/api/getInfo/item/9fbb3a06-3181-11f1-a292-00155d82e908")</f>
        <v>https://miland.ru/api/getInfo/item/9fbb3a06-3181-11f1-a292-00155d82e908</v>
      </c>
      <c r="AB1104" s="7" t="s">
        <v>50</v>
      </c>
      <c r="AC1104" s="7"/>
      <c r="AD1104" s="7"/>
      <c r="AE1104" s="54"/>
    </row>
    <row r="1105" spans="2:31" s="1" customFormat="1" ht="96.3" customHeight="1" outlineLevel="7">
      <c r="B1105" s="20">
        <v>821</v>
      </c>
      <c r="C1105" s="21" t="s">
        <v>3810</v>
      </c>
      <c r="D1105" s="72" t="s">
        <v>3811</v>
      </c>
      <c r="E1105" s="72"/>
      <c r="F1105" s="72"/>
      <c r="G1105" s="72"/>
      <c r="H1105" s="22" t="s">
        <v>3812</v>
      </c>
      <c r="I1105" s="23" t="s">
        <v>36</v>
      </c>
      <c r="J1105" s="22"/>
      <c r="K1105" s="20">
        <v>2</v>
      </c>
      <c r="L1105" s="24">
        <v>281.88</v>
      </c>
      <c r="M1105" s="11"/>
      <c r="N1105" s="22">
        <f t="shared" si="45"/>
        <v>0</v>
      </c>
      <c r="O1105" s="25">
        <f>0.135*M1105</f>
        <v>0</v>
      </c>
      <c r="P1105" s="26">
        <f>0.00309*M1105</f>
        <v>0</v>
      </c>
      <c r="Q1105" s="30"/>
      <c r="R1105" s="22" t="s">
        <v>3813</v>
      </c>
      <c r="S1105" s="22"/>
      <c r="T1105" s="21" t="str">
        <f>HYPERLINK("https://miland.ru/api/getInfo/image/e20592c5-249e-11e6-b4ab-5cf3fc4a2490")</f>
        <v>https://miland.ru/api/getInfo/image/e20592c5-249e-11e6-b4ab-5cf3fc4a2490</v>
      </c>
      <c r="U1105" s="21"/>
      <c r="V1105" s="21" t="s">
        <v>710</v>
      </c>
      <c r="W1105" s="21" t="s">
        <v>82</v>
      </c>
      <c r="X1105" s="21"/>
      <c r="Y1105" s="21" t="s">
        <v>41</v>
      </c>
      <c r="Z1105" s="21"/>
      <c r="AA1105" s="21" t="str">
        <f>HYPERLINK("https://miland.ru/api/getInfo/item/e20592c5-249e-11e6-b4ab-5cf3fc4a2490")</f>
        <v>https://miland.ru/api/getInfo/item/e20592c5-249e-11e6-b4ab-5cf3fc4a2490</v>
      </c>
      <c r="AB1105" s="21" t="s">
        <v>42</v>
      </c>
      <c r="AC1105" s="21" t="s">
        <v>3772</v>
      </c>
      <c r="AD1105" s="21"/>
    </row>
    <row r="1106" spans="2:31" s="1" customFormat="1" ht="96.3" customHeight="1" outlineLevel="7">
      <c r="B1106" s="20">
        <v>822</v>
      </c>
      <c r="C1106" s="21" t="s">
        <v>3814</v>
      </c>
      <c r="D1106" s="72" t="s">
        <v>3815</v>
      </c>
      <c r="E1106" s="72"/>
      <c r="F1106" s="72"/>
      <c r="G1106" s="72"/>
      <c r="H1106" s="22" t="s">
        <v>3816</v>
      </c>
      <c r="I1106" s="27">
        <v>33</v>
      </c>
      <c r="J1106" s="22"/>
      <c r="K1106" s="20">
        <v>3</v>
      </c>
      <c r="L1106" s="24">
        <v>256.25</v>
      </c>
      <c r="M1106" s="11"/>
      <c r="N1106" s="22">
        <f t="shared" si="45"/>
        <v>0</v>
      </c>
      <c r="O1106" s="25">
        <f>0.133*M1106</f>
        <v>0</v>
      </c>
      <c r="P1106" s="26">
        <f>0.00311*M1106</f>
        <v>0</v>
      </c>
      <c r="Q1106" s="30"/>
      <c r="R1106" s="22" t="s">
        <v>3817</v>
      </c>
      <c r="S1106" s="22"/>
      <c r="T1106" s="21" t="str">
        <f>HYPERLINK("https://miland.ru/api/getInfo/image/34c9ffa3-63e6-11ed-a22a-00155d82e902")</f>
        <v>https://miland.ru/api/getInfo/image/34c9ffa3-63e6-11ed-a22a-00155d82e902</v>
      </c>
      <c r="U1106" s="21"/>
      <c r="V1106" s="21" t="s">
        <v>710</v>
      </c>
      <c r="W1106" s="21" t="s">
        <v>82</v>
      </c>
      <c r="X1106" s="21"/>
      <c r="Y1106" s="21" t="s">
        <v>41</v>
      </c>
      <c r="Z1106" s="21"/>
      <c r="AA1106" s="21" t="str">
        <f>HYPERLINK("https://miland.ru/api/getInfo/item/34c9ffa3-63e6-11ed-a22a-00155d82e902")</f>
        <v>https://miland.ru/api/getInfo/item/34c9ffa3-63e6-11ed-a22a-00155d82e902</v>
      </c>
      <c r="AB1106" s="21" t="s">
        <v>42</v>
      </c>
      <c r="AC1106" s="21" t="s">
        <v>3818</v>
      </c>
      <c r="AD1106" s="21"/>
    </row>
    <row r="1107" spans="2:31" s="1" customFormat="1" ht="96.3" customHeight="1" outlineLevel="7">
      <c r="B1107" s="20">
        <v>823</v>
      </c>
      <c r="C1107" s="21" t="s">
        <v>3819</v>
      </c>
      <c r="D1107" s="72" t="s">
        <v>3820</v>
      </c>
      <c r="E1107" s="72"/>
      <c r="F1107" s="72"/>
      <c r="G1107" s="72"/>
      <c r="H1107" s="22" t="s">
        <v>3821</v>
      </c>
      <c r="I1107" s="27">
        <v>155</v>
      </c>
      <c r="J1107" s="22"/>
      <c r="K1107" s="20">
        <v>2</v>
      </c>
      <c r="L1107" s="24">
        <v>281.88</v>
      </c>
      <c r="M1107" s="11"/>
      <c r="N1107" s="22">
        <f t="shared" si="45"/>
        <v>0</v>
      </c>
      <c r="O1107" s="25">
        <f>0.129*M1107</f>
        <v>0</v>
      </c>
      <c r="P1107" s="26">
        <f>0.00315*M1107</f>
        <v>0</v>
      </c>
      <c r="Q1107" s="30"/>
      <c r="R1107" s="22" t="s">
        <v>3822</v>
      </c>
      <c r="S1107" s="22"/>
      <c r="T1107" s="21" t="str">
        <f>HYPERLINK("https://miland.ru/api/getInfo/image/4fee95f0-63e7-11ed-a22a-00155d82e902")</f>
        <v>https://miland.ru/api/getInfo/image/4fee95f0-63e7-11ed-a22a-00155d82e902</v>
      </c>
      <c r="U1107" s="21"/>
      <c r="V1107" s="21" t="s">
        <v>710</v>
      </c>
      <c r="W1107" s="21" t="s">
        <v>82</v>
      </c>
      <c r="X1107" s="21"/>
      <c r="Y1107" s="21" t="s">
        <v>41</v>
      </c>
      <c r="Z1107" s="21"/>
      <c r="AA1107" s="21" t="str">
        <f>HYPERLINK("https://miland.ru/api/getInfo/item/4fee95f0-63e7-11ed-a22a-00155d82e902")</f>
        <v>https://miland.ru/api/getInfo/item/4fee95f0-63e7-11ed-a22a-00155d82e902</v>
      </c>
      <c r="AB1107" s="21" t="s">
        <v>42</v>
      </c>
      <c r="AC1107" s="21" t="s">
        <v>3818</v>
      </c>
      <c r="AD1107" s="21"/>
    </row>
    <row r="1108" spans="2:31" s="1" customFormat="1" ht="96.3" customHeight="1" outlineLevel="7">
      <c r="B1108" s="20">
        <v>824</v>
      </c>
      <c r="C1108" s="21" t="s">
        <v>3823</v>
      </c>
      <c r="D1108" s="72" t="s">
        <v>3824</v>
      </c>
      <c r="E1108" s="72"/>
      <c r="F1108" s="72"/>
      <c r="G1108" s="72"/>
      <c r="H1108" s="22" t="s">
        <v>3825</v>
      </c>
      <c r="I1108" s="23" t="s">
        <v>36</v>
      </c>
      <c r="J1108" s="22"/>
      <c r="K1108" s="20">
        <v>2</v>
      </c>
      <c r="L1108" s="24">
        <v>281.88</v>
      </c>
      <c r="M1108" s="11"/>
      <c r="N1108" s="22">
        <f t="shared" si="45"/>
        <v>0</v>
      </c>
      <c r="O1108" s="28">
        <f>0.14*M1108</f>
        <v>0</v>
      </c>
      <c r="P1108" s="29">
        <f>0.0031*M1108</f>
        <v>0</v>
      </c>
      <c r="Q1108" s="30"/>
      <c r="R1108" s="22" t="s">
        <v>3826</v>
      </c>
      <c r="S1108" s="22"/>
      <c r="T1108" s="21" t="str">
        <f>HYPERLINK("https://miland.ru/api/getInfo/image/298ce545-24a3-11e6-b4ab-5cf3fc4a2490")</f>
        <v>https://miland.ru/api/getInfo/image/298ce545-24a3-11e6-b4ab-5cf3fc4a2490</v>
      </c>
      <c r="U1108" s="21"/>
      <c r="V1108" s="21" t="s">
        <v>710</v>
      </c>
      <c r="W1108" s="21" t="s">
        <v>82</v>
      </c>
      <c r="X1108" s="21"/>
      <c r="Y1108" s="21" t="s">
        <v>41</v>
      </c>
      <c r="Z1108" s="21"/>
      <c r="AA1108" s="21" t="str">
        <f>HYPERLINK("https://miland.ru/api/getInfo/item/298ce545-24a3-11e6-b4ab-5cf3fc4a2490")</f>
        <v>https://miland.ru/api/getInfo/item/298ce545-24a3-11e6-b4ab-5cf3fc4a2490</v>
      </c>
      <c r="AB1108" s="21" t="s">
        <v>42</v>
      </c>
      <c r="AC1108" s="21" t="s">
        <v>3772</v>
      </c>
      <c r="AD1108" s="21"/>
    </row>
    <row r="1109" spans="2:31" s="1" customFormat="1" ht="96.3" customHeight="1" outlineLevel="7">
      <c r="B1109" s="20">
        <v>825</v>
      </c>
      <c r="C1109" s="21" t="s">
        <v>3827</v>
      </c>
      <c r="D1109" s="72" t="s">
        <v>3828</v>
      </c>
      <c r="E1109" s="72"/>
      <c r="F1109" s="72"/>
      <c r="G1109" s="72"/>
      <c r="H1109" s="22" t="s">
        <v>3829</v>
      </c>
      <c r="I1109" s="27">
        <v>478</v>
      </c>
      <c r="J1109" s="22"/>
      <c r="K1109" s="20">
        <v>1</v>
      </c>
      <c r="L1109" s="24">
        <v>668.18</v>
      </c>
      <c r="M1109" s="11"/>
      <c r="N1109" s="22">
        <f t="shared" si="45"/>
        <v>0</v>
      </c>
      <c r="O1109" s="25">
        <f>0.382*M1109</f>
        <v>0</v>
      </c>
      <c r="P1109" s="26">
        <f>0.00337*M1109</f>
        <v>0</v>
      </c>
      <c r="Q1109" s="30"/>
      <c r="R1109" s="22" t="s">
        <v>3830</v>
      </c>
      <c r="S1109" s="22"/>
      <c r="T1109" s="21" t="str">
        <f>HYPERLINK("https://miland.ru/api/getInfo/image/3c19d985-63f4-11ed-a22a-00155d82e902")</f>
        <v>https://miland.ru/api/getInfo/image/3c19d985-63f4-11ed-a22a-00155d82e902</v>
      </c>
      <c r="U1109" s="21"/>
      <c r="V1109" s="21" t="s">
        <v>710</v>
      </c>
      <c r="W1109" s="21" t="s">
        <v>82</v>
      </c>
      <c r="X1109" s="21"/>
      <c r="Y1109" s="21" t="s">
        <v>41</v>
      </c>
      <c r="Z1109" s="21"/>
      <c r="AA1109" s="21" t="str">
        <f>HYPERLINK("https://miland.ru/api/getInfo/item/3c19d985-63f4-11ed-a22a-00155d82e902")</f>
        <v>https://miland.ru/api/getInfo/item/3c19d985-63f4-11ed-a22a-00155d82e902</v>
      </c>
      <c r="AB1109" s="21" t="s">
        <v>42</v>
      </c>
      <c r="AC1109" s="21" t="s">
        <v>3831</v>
      </c>
      <c r="AD1109" s="21"/>
    </row>
    <row r="1110" spans="2:31" s="1" customFormat="1" ht="96.3" customHeight="1" outlineLevel="7">
      <c r="B1110" s="6">
        <v>826</v>
      </c>
      <c r="C1110" s="7" t="s">
        <v>3832</v>
      </c>
      <c r="D1110" s="71" t="s">
        <v>3833</v>
      </c>
      <c r="E1110" s="71"/>
      <c r="F1110" s="71"/>
      <c r="G1110" s="71"/>
      <c r="H1110" s="8" t="s">
        <v>3834</v>
      </c>
      <c r="I1110" s="14">
        <v>269</v>
      </c>
      <c r="J1110" s="8"/>
      <c r="K1110" s="6">
        <v>1</v>
      </c>
      <c r="L1110" s="10">
        <v>663.44</v>
      </c>
      <c r="M1110" s="11"/>
      <c r="N1110" s="8">
        <f t="shared" si="45"/>
        <v>0</v>
      </c>
      <c r="O1110" s="12">
        <f>0.137*M1110</f>
        <v>0</v>
      </c>
      <c r="P1110" s="13">
        <f>0.00313*M1110</f>
        <v>0</v>
      </c>
      <c r="Q1110" s="17" t="s">
        <v>37</v>
      </c>
      <c r="R1110" s="8" t="s">
        <v>3835</v>
      </c>
      <c r="S1110" s="8"/>
      <c r="T1110" s="7" t="str">
        <f>HYPERLINK("https://miland.ru/api/getInfo/image/6bac0706-2cda-11f1-a292-00155d82e908")</f>
        <v>https://miland.ru/api/getInfo/image/6bac0706-2cda-11f1-a292-00155d82e908</v>
      </c>
      <c r="U1110" s="7"/>
      <c r="V1110" s="7"/>
      <c r="W1110" s="7" t="s">
        <v>82</v>
      </c>
      <c r="X1110" s="7"/>
      <c r="Y1110" s="7" t="s">
        <v>41</v>
      </c>
      <c r="Z1110" s="7"/>
      <c r="AA1110" s="7" t="str">
        <f>HYPERLINK("https://miland.ru/api/getInfo/item/6bac0706-2cda-11f1-a292-00155d82e908")</f>
        <v>https://miland.ru/api/getInfo/item/6bac0706-2cda-11f1-a292-00155d82e908</v>
      </c>
      <c r="AB1110" s="7" t="s">
        <v>42</v>
      </c>
      <c r="AC1110" s="7"/>
      <c r="AD1110" s="7"/>
      <c r="AE1110" s="54"/>
    </row>
    <row r="1111" spans="2:31" s="1" customFormat="1" ht="96.3" customHeight="1" outlineLevel="7">
      <c r="B1111" s="6">
        <v>827</v>
      </c>
      <c r="C1111" s="7" t="s">
        <v>3836</v>
      </c>
      <c r="D1111" s="71" t="s">
        <v>3837</v>
      </c>
      <c r="E1111" s="71"/>
      <c r="F1111" s="71"/>
      <c r="G1111" s="71"/>
      <c r="H1111" s="8" t="s">
        <v>3838</v>
      </c>
      <c r="I1111" s="14">
        <v>269</v>
      </c>
      <c r="J1111" s="8"/>
      <c r="K1111" s="6">
        <v>1</v>
      </c>
      <c r="L1111" s="10">
        <v>663.44</v>
      </c>
      <c r="M1111" s="11"/>
      <c r="N1111" s="8">
        <f t="shared" si="45"/>
        <v>0</v>
      </c>
      <c r="O1111" s="12">
        <f>0.211*M1111</f>
        <v>0</v>
      </c>
      <c r="P1111" s="13">
        <f>0.00325*M1111</f>
        <v>0</v>
      </c>
      <c r="Q1111" s="17" t="s">
        <v>37</v>
      </c>
      <c r="R1111" s="8" t="s">
        <v>3839</v>
      </c>
      <c r="S1111" s="8"/>
      <c r="T1111" s="7" t="str">
        <f>HYPERLINK("https://miland.ru/api/getInfo/image/88963eea-2ce7-11f1-a292-00155d82e908")</f>
        <v>https://miland.ru/api/getInfo/image/88963eea-2ce7-11f1-a292-00155d82e908</v>
      </c>
      <c r="U1111" s="7"/>
      <c r="V1111" s="7"/>
      <c r="W1111" s="7" t="s">
        <v>82</v>
      </c>
      <c r="X1111" s="7"/>
      <c r="Y1111" s="7" t="s">
        <v>41</v>
      </c>
      <c r="Z1111" s="7"/>
      <c r="AA1111" s="7" t="str">
        <f>HYPERLINK("https://miland.ru/api/getInfo/item/88963eea-2ce7-11f1-a292-00155d82e908")</f>
        <v>https://miland.ru/api/getInfo/item/88963eea-2ce7-11f1-a292-00155d82e908</v>
      </c>
      <c r="AB1111" s="7" t="s">
        <v>42</v>
      </c>
      <c r="AC1111" s="7"/>
      <c r="AD1111" s="7"/>
      <c r="AE1111" s="54"/>
    </row>
    <row r="1112" spans="2:31" s="1" customFormat="1" ht="96.3" customHeight="1" outlineLevel="7">
      <c r="B1112" s="6">
        <v>828</v>
      </c>
      <c r="C1112" s="7" t="s">
        <v>3840</v>
      </c>
      <c r="D1112" s="71" t="s">
        <v>3841</v>
      </c>
      <c r="E1112" s="71"/>
      <c r="F1112" s="71"/>
      <c r="G1112" s="71"/>
      <c r="H1112" s="8" t="s">
        <v>3842</v>
      </c>
      <c r="I1112" s="14">
        <v>213</v>
      </c>
      <c r="J1112" s="8"/>
      <c r="K1112" s="6">
        <v>1</v>
      </c>
      <c r="L1112" s="10">
        <v>609.05999999999995</v>
      </c>
      <c r="M1112" s="11"/>
      <c r="N1112" s="8">
        <f t="shared" si="45"/>
        <v>0</v>
      </c>
      <c r="O1112" s="12">
        <f>0.135*M1112</f>
        <v>0</v>
      </c>
      <c r="P1112" s="13">
        <f>0.00307*M1112</f>
        <v>0</v>
      </c>
      <c r="Q1112" s="17" t="s">
        <v>37</v>
      </c>
      <c r="R1112" s="8" t="s">
        <v>3843</v>
      </c>
      <c r="S1112" s="8"/>
      <c r="T1112" s="7" t="str">
        <f>HYPERLINK("https://miland.ru/api/getInfo/image/1bfaeefd-2cdd-11f1-a292-00155d82e908")</f>
        <v>https://miland.ru/api/getInfo/image/1bfaeefd-2cdd-11f1-a292-00155d82e908</v>
      </c>
      <c r="U1112" s="7"/>
      <c r="V1112" s="7"/>
      <c r="W1112" s="7" t="s">
        <v>82</v>
      </c>
      <c r="X1112" s="7"/>
      <c r="Y1112" s="7" t="s">
        <v>41</v>
      </c>
      <c r="Z1112" s="7"/>
      <c r="AA1112" s="7" t="str">
        <f>HYPERLINK("https://miland.ru/api/getInfo/item/1bfaeefd-2cdd-11f1-a292-00155d82e908")</f>
        <v>https://miland.ru/api/getInfo/item/1bfaeefd-2cdd-11f1-a292-00155d82e908</v>
      </c>
      <c r="AB1112" s="7" t="s">
        <v>42</v>
      </c>
      <c r="AC1112" s="7"/>
      <c r="AD1112" s="7"/>
      <c r="AE1112" s="54"/>
    </row>
    <row r="1113" spans="2:31" s="1" customFormat="1" ht="96.3" customHeight="1" outlineLevel="7">
      <c r="B1113" s="20">
        <v>829</v>
      </c>
      <c r="C1113" s="21" t="s">
        <v>3844</v>
      </c>
      <c r="D1113" s="72" t="s">
        <v>3845</v>
      </c>
      <c r="E1113" s="72"/>
      <c r="F1113" s="72"/>
      <c r="G1113" s="72"/>
      <c r="H1113" s="22" t="s">
        <v>3846</v>
      </c>
      <c r="I1113" s="27">
        <v>388</v>
      </c>
      <c r="J1113" s="22"/>
      <c r="K1113" s="20">
        <v>1</v>
      </c>
      <c r="L1113" s="24">
        <v>668.18</v>
      </c>
      <c r="M1113" s="11"/>
      <c r="N1113" s="22">
        <f t="shared" si="45"/>
        <v>0</v>
      </c>
      <c r="O1113" s="28">
        <f>0.47*M1113</f>
        <v>0</v>
      </c>
      <c r="P1113" s="26">
        <f>0.00327*M1113</f>
        <v>0</v>
      </c>
      <c r="Q1113" s="30"/>
      <c r="R1113" s="22" t="s">
        <v>3847</v>
      </c>
      <c r="S1113" s="22"/>
      <c r="T1113" s="21" t="str">
        <f>HYPERLINK("https://miland.ru/api/getInfo/image/7c20f128-9917-11eb-a201-ac1f6b442185")</f>
        <v>https://miland.ru/api/getInfo/image/7c20f128-9917-11eb-a201-ac1f6b442185</v>
      </c>
      <c r="U1113" s="21"/>
      <c r="V1113" s="21" t="s">
        <v>710</v>
      </c>
      <c r="W1113" s="21" t="s">
        <v>82</v>
      </c>
      <c r="X1113" s="21"/>
      <c r="Y1113" s="21" t="s">
        <v>41</v>
      </c>
      <c r="Z1113" s="21"/>
      <c r="AA1113" s="21" t="str">
        <f>HYPERLINK("https://miland.ru/api/getInfo/item/7c20f128-9917-11eb-a201-ac1f6b442185")</f>
        <v>https://miland.ru/api/getInfo/item/7c20f128-9917-11eb-a201-ac1f6b442185</v>
      </c>
      <c r="AB1113" s="21" t="s">
        <v>42</v>
      </c>
      <c r="AC1113" s="21" t="s">
        <v>1600</v>
      </c>
      <c r="AD1113" s="21"/>
    </row>
    <row r="1114" spans="2:31" ht="12" customHeight="1" outlineLevel="7">
      <c r="B1114" s="70" t="s">
        <v>3848</v>
      </c>
      <c r="C1114" s="70"/>
      <c r="D1114" s="70"/>
      <c r="E1114" s="70"/>
      <c r="F1114" s="70"/>
      <c r="G1114" s="70"/>
    </row>
    <row r="1115" spans="2:31" s="1" customFormat="1" ht="96.3" customHeight="1" outlineLevel="7">
      <c r="B1115" s="20">
        <v>830</v>
      </c>
      <c r="C1115" s="21" t="s">
        <v>3849</v>
      </c>
      <c r="D1115" s="72" t="s">
        <v>3850</v>
      </c>
      <c r="E1115" s="72"/>
      <c r="F1115" s="72"/>
      <c r="G1115" s="72"/>
      <c r="H1115" s="22" t="s">
        <v>3851</v>
      </c>
      <c r="I1115" s="27">
        <v>165</v>
      </c>
      <c r="J1115" s="22"/>
      <c r="K1115" s="20">
        <v>1</v>
      </c>
      <c r="L1115" s="24">
        <v>854.22</v>
      </c>
      <c r="M1115" s="11"/>
      <c r="N1115" s="22">
        <f>L1115*M1115</f>
        <v>0</v>
      </c>
      <c r="O1115" s="25">
        <f>0.285*M1115</f>
        <v>0</v>
      </c>
      <c r="P1115" s="26">
        <f>0.00139*M1115</f>
        <v>0</v>
      </c>
      <c r="Q1115" s="30"/>
      <c r="R1115" s="22" t="s">
        <v>3852</v>
      </c>
      <c r="S1115" s="22" t="s">
        <v>435</v>
      </c>
      <c r="T1115" s="21" t="str">
        <f>HYPERLINK("https://miland.ru/api/getInfo/image/9a2298c1-dca3-11ef-a273-00155d82e908")</f>
        <v>https://miland.ru/api/getInfo/image/9a2298c1-dca3-11ef-a273-00155d82e908</v>
      </c>
      <c r="U1115" s="21"/>
      <c r="V1115" s="21" t="s">
        <v>710</v>
      </c>
      <c r="W1115" s="21" t="s">
        <v>82</v>
      </c>
      <c r="X1115" s="21"/>
      <c r="Y1115" s="21" t="s">
        <v>41</v>
      </c>
      <c r="Z1115" s="21"/>
      <c r="AA1115" s="21" t="str">
        <f>HYPERLINK("https://miland.ru/api/getInfo/item/9a2298c1-dca3-11ef-a273-00155d82e908")</f>
        <v>https://miland.ru/api/getInfo/item/9a2298c1-dca3-11ef-a273-00155d82e908</v>
      </c>
      <c r="AB1115" s="21" t="s">
        <v>42</v>
      </c>
      <c r="AC1115" s="21"/>
      <c r="AD1115" s="21"/>
    </row>
    <row r="1116" spans="2:31" ht="12" customHeight="1" outlineLevel="7">
      <c r="B1116" s="70" t="s">
        <v>3853</v>
      </c>
      <c r="C1116" s="70"/>
      <c r="D1116" s="70"/>
      <c r="E1116" s="70"/>
      <c r="F1116" s="70"/>
      <c r="G1116" s="70"/>
    </row>
    <row r="1117" spans="2:31" s="1" customFormat="1" ht="96.3" customHeight="1" outlineLevel="7">
      <c r="B1117" s="20">
        <v>831</v>
      </c>
      <c r="C1117" s="21" t="s">
        <v>3854</v>
      </c>
      <c r="D1117" s="72" t="s">
        <v>3855</v>
      </c>
      <c r="E1117" s="72"/>
      <c r="F1117" s="72"/>
      <c r="G1117" s="72"/>
      <c r="H1117" s="22" t="s">
        <v>3856</v>
      </c>
      <c r="I1117" s="27">
        <v>92</v>
      </c>
      <c r="J1117" s="22"/>
      <c r="K1117" s="20">
        <v>5</v>
      </c>
      <c r="L1117" s="24">
        <v>108.36</v>
      </c>
      <c r="M1117" s="11"/>
      <c r="N1117" s="22">
        <f t="shared" ref="N1117:N1122" si="46">L1117*M1117</f>
        <v>0</v>
      </c>
      <c r="O1117" s="28">
        <f>0.03*M1117</f>
        <v>0</v>
      </c>
      <c r="P1117" s="26">
        <f>0.00033*M1117</f>
        <v>0</v>
      </c>
      <c r="Q1117" s="30"/>
      <c r="R1117" s="22" t="s">
        <v>3857</v>
      </c>
      <c r="S1117" s="22"/>
      <c r="T1117" s="21" t="str">
        <f>HYPERLINK("https://miland.ru/api/getInfo/image/03a98ad9-971f-11ed-a22d-00155d82e902")</f>
        <v>https://miland.ru/api/getInfo/image/03a98ad9-971f-11ed-a22d-00155d82e902</v>
      </c>
      <c r="U1117" s="21"/>
      <c r="V1117" s="21" t="s">
        <v>710</v>
      </c>
      <c r="W1117" s="21" t="s">
        <v>82</v>
      </c>
      <c r="X1117" s="21"/>
      <c r="Y1117" s="21" t="s">
        <v>41</v>
      </c>
      <c r="Z1117" s="21"/>
      <c r="AA1117" s="21" t="str">
        <f>HYPERLINK("https://miland.ru/api/getInfo/item/03a98ad9-971f-11ed-a22d-00155d82e902")</f>
        <v>https://miland.ru/api/getInfo/item/03a98ad9-971f-11ed-a22d-00155d82e902</v>
      </c>
      <c r="AB1117" s="21" t="s">
        <v>42</v>
      </c>
      <c r="AC1117" s="21" t="s">
        <v>1600</v>
      </c>
      <c r="AD1117" s="21"/>
    </row>
    <row r="1118" spans="2:31" s="1" customFormat="1" ht="96.3" customHeight="1" outlineLevel="7">
      <c r="B1118" s="20">
        <v>832</v>
      </c>
      <c r="C1118" s="21" t="s">
        <v>3858</v>
      </c>
      <c r="D1118" s="72" t="s">
        <v>3859</v>
      </c>
      <c r="E1118" s="72"/>
      <c r="F1118" s="72"/>
      <c r="G1118" s="72"/>
      <c r="H1118" s="22" t="s">
        <v>3860</v>
      </c>
      <c r="I1118" s="23" t="s">
        <v>36</v>
      </c>
      <c r="J1118" s="22"/>
      <c r="K1118" s="20">
        <v>5</v>
      </c>
      <c r="L1118" s="24">
        <v>108.36</v>
      </c>
      <c r="M1118" s="11"/>
      <c r="N1118" s="22">
        <f t="shared" si="46"/>
        <v>0</v>
      </c>
      <c r="O1118" s="25">
        <f>0.018*M1118</f>
        <v>0</v>
      </c>
      <c r="P1118" s="26">
        <f>0.00075*M1118</f>
        <v>0</v>
      </c>
      <c r="Q1118" s="30"/>
      <c r="R1118" s="22" t="s">
        <v>3861</v>
      </c>
      <c r="S1118" s="22"/>
      <c r="T1118" s="21" t="str">
        <f>HYPERLINK("https://miland.ru/api/getInfo/image/183fdc27-9721-11ed-a22d-00155d82e902")</f>
        <v>https://miland.ru/api/getInfo/image/183fdc27-9721-11ed-a22d-00155d82e902</v>
      </c>
      <c r="U1118" s="21"/>
      <c r="V1118" s="21" t="s">
        <v>710</v>
      </c>
      <c r="W1118" s="21" t="s">
        <v>82</v>
      </c>
      <c r="X1118" s="21"/>
      <c r="Y1118" s="21" t="s">
        <v>41</v>
      </c>
      <c r="Z1118" s="21"/>
      <c r="AA1118" s="21" t="str">
        <f>HYPERLINK("https://miland.ru/api/getInfo/item/183fdc27-9721-11ed-a22d-00155d82e902")</f>
        <v>https://miland.ru/api/getInfo/item/183fdc27-9721-11ed-a22d-00155d82e902</v>
      </c>
      <c r="AB1118" s="21" t="s">
        <v>42</v>
      </c>
      <c r="AC1118" s="21" t="s">
        <v>1600</v>
      </c>
      <c r="AD1118" s="21"/>
    </row>
    <row r="1119" spans="2:31" s="1" customFormat="1" ht="96.3" customHeight="1" outlineLevel="7">
      <c r="B1119" s="20">
        <v>833</v>
      </c>
      <c r="C1119" s="21" t="s">
        <v>3862</v>
      </c>
      <c r="D1119" s="72" t="s">
        <v>3863</v>
      </c>
      <c r="E1119" s="72"/>
      <c r="F1119" s="72"/>
      <c r="G1119" s="72"/>
      <c r="H1119" s="22" t="s">
        <v>3864</v>
      </c>
      <c r="I1119" s="23" t="s">
        <v>36</v>
      </c>
      <c r="J1119" s="22"/>
      <c r="K1119" s="20">
        <v>10</v>
      </c>
      <c r="L1119" s="24">
        <v>73.16</v>
      </c>
      <c r="M1119" s="11"/>
      <c r="N1119" s="22">
        <f t="shared" si="46"/>
        <v>0</v>
      </c>
      <c r="O1119" s="25">
        <f>0.018*M1119</f>
        <v>0</v>
      </c>
      <c r="P1119" s="26">
        <f>0.00062*M1119</f>
        <v>0</v>
      </c>
      <c r="Q1119" s="30"/>
      <c r="R1119" s="22" t="s">
        <v>3865</v>
      </c>
      <c r="S1119" s="22" t="s">
        <v>435</v>
      </c>
      <c r="T1119" s="21" t="str">
        <f>HYPERLINK("https://miland.ru/api/getInfo/image/88b0856e-9721-11ed-a22d-00155d82e902")</f>
        <v>https://miland.ru/api/getInfo/image/88b0856e-9721-11ed-a22d-00155d82e902</v>
      </c>
      <c r="U1119" s="21"/>
      <c r="V1119" s="21" t="s">
        <v>710</v>
      </c>
      <c r="W1119" s="21" t="s">
        <v>82</v>
      </c>
      <c r="X1119" s="21"/>
      <c r="Y1119" s="21" t="s">
        <v>41</v>
      </c>
      <c r="Z1119" s="21"/>
      <c r="AA1119" s="21" t="str">
        <f>HYPERLINK("https://miland.ru/api/getInfo/item/88b0856e-9721-11ed-a22d-00155d82e902")</f>
        <v>https://miland.ru/api/getInfo/item/88b0856e-9721-11ed-a22d-00155d82e902</v>
      </c>
      <c r="AB1119" s="21" t="s">
        <v>42</v>
      </c>
      <c r="AC1119" s="21" t="s">
        <v>1600</v>
      </c>
      <c r="AD1119" s="21"/>
    </row>
    <row r="1120" spans="2:31" s="1" customFormat="1" ht="96.3" customHeight="1" outlineLevel="7">
      <c r="B1120" s="20">
        <v>834</v>
      </c>
      <c r="C1120" s="21" t="s">
        <v>3866</v>
      </c>
      <c r="D1120" s="72" t="s">
        <v>3867</v>
      </c>
      <c r="E1120" s="72"/>
      <c r="F1120" s="72"/>
      <c r="G1120" s="72"/>
      <c r="H1120" s="22" t="s">
        <v>3868</v>
      </c>
      <c r="I1120" s="27">
        <v>207</v>
      </c>
      <c r="J1120" s="22"/>
      <c r="K1120" s="20">
        <v>5</v>
      </c>
      <c r="L1120" s="24">
        <v>108.36</v>
      </c>
      <c r="M1120" s="11"/>
      <c r="N1120" s="22">
        <f t="shared" si="46"/>
        <v>0</v>
      </c>
      <c r="O1120" s="25">
        <f>0.023*M1120</f>
        <v>0</v>
      </c>
      <c r="P1120" s="26">
        <f>0.00084*M1120</f>
        <v>0</v>
      </c>
      <c r="Q1120" s="30"/>
      <c r="R1120" s="22" t="s">
        <v>3869</v>
      </c>
      <c r="S1120" s="22" t="s">
        <v>435</v>
      </c>
      <c r="T1120" s="21" t="str">
        <f>HYPERLINK("https://miland.ru/api/getInfo/image/a7a93fec-9720-11ed-a22d-00155d82e902")</f>
        <v>https://miland.ru/api/getInfo/image/a7a93fec-9720-11ed-a22d-00155d82e902</v>
      </c>
      <c r="U1120" s="21"/>
      <c r="V1120" s="21" t="s">
        <v>710</v>
      </c>
      <c r="W1120" s="21" t="s">
        <v>82</v>
      </c>
      <c r="X1120" s="21"/>
      <c r="Y1120" s="21" t="s">
        <v>41</v>
      </c>
      <c r="Z1120" s="21"/>
      <c r="AA1120" s="21" t="str">
        <f>HYPERLINK("https://miland.ru/api/getInfo/item/a7a93fec-9720-11ed-a22d-00155d82e902")</f>
        <v>https://miland.ru/api/getInfo/item/a7a93fec-9720-11ed-a22d-00155d82e902</v>
      </c>
      <c r="AB1120" s="21" t="s">
        <v>42</v>
      </c>
      <c r="AC1120" s="21" t="s">
        <v>1600</v>
      </c>
      <c r="AD1120" s="21"/>
    </row>
    <row r="1121" spans="2:31" s="1" customFormat="1" ht="96.3" customHeight="1" outlineLevel="7">
      <c r="B1121" s="20">
        <v>835</v>
      </c>
      <c r="C1121" s="21" t="s">
        <v>3870</v>
      </c>
      <c r="D1121" s="72" t="s">
        <v>3871</v>
      </c>
      <c r="E1121" s="72"/>
      <c r="F1121" s="72"/>
      <c r="G1121" s="72"/>
      <c r="H1121" s="22" t="s">
        <v>3872</v>
      </c>
      <c r="I1121" s="23" t="s">
        <v>36</v>
      </c>
      <c r="J1121" s="22"/>
      <c r="K1121" s="20">
        <v>5</v>
      </c>
      <c r="L1121" s="24">
        <v>108.36</v>
      </c>
      <c r="M1121" s="11"/>
      <c r="N1121" s="22">
        <f t="shared" si="46"/>
        <v>0</v>
      </c>
      <c r="O1121" s="28">
        <f>0.02*M1121</f>
        <v>0</v>
      </c>
      <c r="P1121" s="26">
        <f>0.00067*M1121</f>
        <v>0</v>
      </c>
      <c r="Q1121" s="30"/>
      <c r="R1121" s="22" t="s">
        <v>3873</v>
      </c>
      <c r="S1121" s="22" t="s">
        <v>435</v>
      </c>
      <c r="T1121" s="21" t="str">
        <f>HYPERLINK("https://miland.ru/api/getInfo/image/debfcc55-9720-11ed-a22d-00155d82e902")</f>
        <v>https://miland.ru/api/getInfo/image/debfcc55-9720-11ed-a22d-00155d82e902</v>
      </c>
      <c r="U1121" s="21"/>
      <c r="V1121" s="21" t="s">
        <v>710</v>
      </c>
      <c r="W1121" s="21" t="s">
        <v>82</v>
      </c>
      <c r="X1121" s="21"/>
      <c r="Y1121" s="21" t="s">
        <v>41</v>
      </c>
      <c r="Z1121" s="21"/>
      <c r="AA1121" s="21" t="str">
        <f>HYPERLINK("https://miland.ru/api/getInfo/item/debfcc55-9720-11ed-a22d-00155d82e902")</f>
        <v>https://miland.ru/api/getInfo/item/debfcc55-9720-11ed-a22d-00155d82e902</v>
      </c>
      <c r="AB1121" s="21" t="s">
        <v>42</v>
      </c>
      <c r="AC1121" s="21" t="s">
        <v>1600</v>
      </c>
      <c r="AD1121" s="21"/>
    </row>
    <row r="1122" spans="2:31" s="1" customFormat="1" ht="96.3" customHeight="1" outlineLevel="7">
      <c r="B1122" s="20">
        <v>836</v>
      </c>
      <c r="C1122" s="21" t="s">
        <v>3874</v>
      </c>
      <c r="D1122" s="72" t="s">
        <v>3875</v>
      </c>
      <c r="E1122" s="72"/>
      <c r="F1122" s="72"/>
      <c r="G1122" s="72"/>
      <c r="H1122" s="22" t="s">
        <v>3876</v>
      </c>
      <c r="I1122" s="27">
        <v>35</v>
      </c>
      <c r="J1122" s="22"/>
      <c r="K1122" s="20">
        <v>3</v>
      </c>
      <c r="L1122" s="24">
        <v>228.5</v>
      </c>
      <c r="M1122" s="11"/>
      <c r="N1122" s="22">
        <f t="shared" si="46"/>
        <v>0</v>
      </c>
      <c r="O1122" s="25">
        <f>0.047*M1122</f>
        <v>0</v>
      </c>
      <c r="P1122" s="26">
        <f>0.00154*M1122</f>
        <v>0</v>
      </c>
      <c r="Q1122" s="30"/>
      <c r="R1122" s="22" t="s">
        <v>3877</v>
      </c>
      <c r="S1122" s="22" t="s">
        <v>435</v>
      </c>
      <c r="T1122" s="21" t="str">
        <f>HYPERLINK("https://miland.ru/api/getInfo/image/041104b3-9726-11ed-a22d-00155d82e902")</f>
        <v>https://miland.ru/api/getInfo/image/041104b3-9726-11ed-a22d-00155d82e902</v>
      </c>
      <c r="U1122" s="21"/>
      <c r="V1122" s="21" t="s">
        <v>710</v>
      </c>
      <c r="W1122" s="21" t="s">
        <v>82</v>
      </c>
      <c r="X1122" s="21"/>
      <c r="Y1122" s="21" t="s">
        <v>41</v>
      </c>
      <c r="Z1122" s="21"/>
      <c r="AA1122" s="21" t="str">
        <f>HYPERLINK("https://miland.ru/api/getInfo/item/041104b3-9726-11ed-a22d-00155d82e902")</f>
        <v>https://miland.ru/api/getInfo/item/041104b3-9726-11ed-a22d-00155d82e902</v>
      </c>
      <c r="AB1122" s="21" t="s">
        <v>42</v>
      </c>
      <c r="AC1122" s="21" t="s">
        <v>1600</v>
      </c>
      <c r="AD1122" s="21"/>
    </row>
    <row r="1123" spans="2:31" ht="12" customHeight="1" outlineLevel="6">
      <c r="B1123" s="70" t="s">
        <v>3878</v>
      </c>
      <c r="C1123" s="70"/>
      <c r="D1123" s="70"/>
      <c r="E1123" s="70"/>
      <c r="F1123" s="70"/>
      <c r="G1123" s="70"/>
    </row>
    <row r="1124" spans="2:31" ht="12" customHeight="1" outlineLevel="7">
      <c r="B1124" s="70" t="s">
        <v>3879</v>
      </c>
      <c r="C1124" s="70"/>
      <c r="D1124" s="70"/>
      <c r="E1124" s="70"/>
      <c r="F1124" s="70"/>
      <c r="G1124" s="70"/>
    </row>
    <row r="1125" spans="2:31" s="1" customFormat="1" ht="96.3" customHeight="1" outlineLevel="7">
      <c r="B1125" s="20">
        <v>837</v>
      </c>
      <c r="C1125" s="21" t="s">
        <v>3880</v>
      </c>
      <c r="D1125" s="72" t="s">
        <v>3881</v>
      </c>
      <c r="E1125" s="72"/>
      <c r="F1125" s="72"/>
      <c r="G1125" s="72"/>
      <c r="H1125" s="22" t="s">
        <v>3882</v>
      </c>
      <c r="I1125" s="23" t="s">
        <v>36</v>
      </c>
      <c r="J1125" s="22"/>
      <c r="K1125" s="20">
        <v>3</v>
      </c>
      <c r="L1125" s="24">
        <v>192.7</v>
      </c>
      <c r="M1125" s="11"/>
      <c r="N1125" s="22">
        <f t="shared" ref="N1125:N1132" si="47">L1125*M1125</f>
        <v>0</v>
      </c>
      <c r="O1125" s="25">
        <f>0.087*M1125</f>
        <v>0</v>
      </c>
      <c r="P1125" s="29">
        <f>0.0021*M1125</f>
        <v>0</v>
      </c>
      <c r="Q1125" s="30"/>
      <c r="R1125" s="22" t="s">
        <v>3883</v>
      </c>
      <c r="S1125" s="22"/>
      <c r="T1125" s="21" t="str">
        <f>HYPERLINK("https://miland.ru/api/getInfo/image/9e3342d6-5ac3-11e9-a222-ac1f6b442184")</f>
        <v>https://miland.ru/api/getInfo/image/9e3342d6-5ac3-11e9-a222-ac1f6b442184</v>
      </c>
      <c r="U1125" s="21"/>
      <c r="V1125" s="21" t="s">
        <v>710</v>
      </c>
      <c r="W1125" s="21" t="s">
        <v>82</v>
      </c>
      <c r="X1125" s="21"/>
      <c r="Y1125" s="21" t="s">
        <v>41</v>
      </c>
      <c r="Z1125" s="21"/>
      <c r="AA1125" s="21" t="str">
        <f>HYPERLINK("https://miland.ru/api/getInfo/item/9e3342d6-5ac3-11e9-a222-ac1f6b442184")</f>
        <v>https://miland.ru/api/getInfo/item/9e3342d6-5ac3-11e9-a222-ac1f6b442184</v>
      </c>
      <c r="AB1125" s="21" t="s">
        <v>42</v>
      </c>
      <c r="AC1125" s="21" t="s">
        <v>3884</v>
      </c>
      <c r="AD1125" s="21"/>
    </row>
    <row r="1126" spans="2:31" s="1" customFormat="1" ht="96.3" customHeight="1" outlineLevel="7">
      <c r="B1126" s="20">
        <v>838</v>
      </c>
      <c r="C1126" s="21" t="s">
        <v>3885</v>
      </c>
      <c r="D1126" s="72" t="s">
        <v>3886</v>
      </c>
      <c r="E1126" s="72"/>
      <c r="F1126" s="72"/>
      <c r="G1126" s="72"/>
      <c r="H1126" s="22" t="s">
        <v>3887</v>
      </c>
      <c r="I1126" s="27">
        <v>146</v>
      </c>
      <c r="J1126" s="22"/>
      <c r="K1126" s="20">
        <v>3</v>
      </c>
      <c r="L1126" s="24">
        <v>192.7</v>
      </c>
      <c r="M1126" s="11"/>
      <c r="N1126" s="22">
        <f t="shared" si="47"/>
        <v>0</v>
      </c>
      <c r="O1126" s="25">
        <f>0.083*M1126</f>
        <v>0</v>
      </c>
      <c r="P1126" s="26">
        <f>0.00247*M1126</f>
        <v>0</v>
      </c>
      <c r="Q1126" s="30"/>
      <c r="R1126" s="22" t="s">
        <v>3888</v>
      </c>
      <c r="S1126" s="22"/>
      <c r="T1126" s="21" t="str">
        <f>HYPERLINK("https://miland.ru/api/getInfo/image/5e06c8d2-5ac3-11e9-a222-ac1f6b442184")</f>
        <v>https://miland.ru/api/getInfo/image/5e06c8d2-5ac3-11e9-a222-ac1f6b442184</v>
      </c>
      <c r="U1126" s="21"/>
      <c r="V1126" s="21" t="s">
        <v>710</v>
      </c>
      <c r="W1126" s="21" t="s">
        <v>82</v>
      </c>
      <c r="X1126" s="21"/>
      <c r="Y1126" s="21" t="s">
        <v>41</v>
      </c>
      <c r="Z1126" s="21"/>
      <c r="AA1126" s="21" t="str">
        <f>HYPERLINK("https://miland.ru/api/getInfo/item/5e06c8d2-5ac3-11e9-a222-ac1f6b442184")</f>
        <v>https://miland.ru/api/getInfo/item/5e06c8d2-5ac3-11e9-a222-ac1f6b442184</v>
      </c>
      <c r="AB1126" s="21" t="s">
        <v>42</v>
      </c>
      <c r="AC1126" s="21" t="s">
        <v>3884</v>
      </c>
      <c r="AD1126" s="21"/>
    </row>
    <row r="1127" spans="2:31" s="1" customFormat="1" ht="96.3" customHeight="1" outlineLevel="7">
      <c r="B1127" s="20">
        <v>839</v>
      </c>
      <c r="C1127" s="21" t="s">
        <v>3889</v>
      </c>
      <c r="D1127" s="72" t="s">
        <v>3890</v>
      </c>
      <c r="E1127" s="72"/>
      <c r="F1127" s="72"/>
      <c r="G1127" s="72"/>
      <c r="H1127" s="22" t="s">
        <v>3891</v>
      </c>
      <c r="I1127" s="23" t="s">
        <v>36</v>
      </c>
      <c r="J1127" s="22"/>
      <c r="K1127" s="20">
        <v>3</v>
      </c>
      <c r="L1127" s="24">
        <v>192.7</v>
      </c>
      <c r="M1127" s="11"/>
      <c r="N1127" s="22">
        <f t="shared" si="47"/>
        <v>0</v>
      </c>
      <c r="O1127" s="25">
        <f>0.088*M1127</f>
        <v>0</v>
      </c>
      <c r="P1127" s="26">
        <f>0.00223*M1127</f>
        <v>0</v>
      </c>
      <c r="Q1127" s="30"/>
      <c r="R1127" s="22" t="s">
        <v>3892</v>
      </c>
      <c r="S1127" s="22"/>
      <c r="T1127" s="21" t="str">
        <f>HYPERLINK("https://miland.ru/api/getInfo/image/e22c9313-5ac3-11e9-a222-ac1f6b442184")</f>
        <v>https://miland.ru/api/getInfo/image/e22c9313-5ac3-11e9-a222-ac1f6b442184</v>
      </c>
      <c r="U1127" s="21"/>
      <c r="V1127" s="21" t="s">
        <v>710</v>
      </c>
      <c r="W1127" s="21" t="s">
        <v>82</v>
      </c>
      <c r="X1127" s="21"/>
      <c r="Y1127" s="21" t="s">
        <v>41</v>
      </c>
      <c r="Z1127" s="21"/>
      <c r="AA1127" s="21" t="str">
        <f>HYPERLINK("https://miland.ru/api/getInfo/item/e22c9313-5ac3-11e9-a222-ac1f6b442184")</f>
        <v>https://miland.ru/api/getInfo/item/e22c9313-5ac3-11e9-a222-ac1f6b442184</v>
      </c>
      <c r="AB1127" s="21" t="s">
        <v>42</v>
      </c>
      <c r="AC1127" s="21" t="s">
        <v>3884</v>
      </c>
      <c r="AD1127" s="21"/>
    </row>
    <row r="1128" spans="2:31" s="1" customFormat="1" ht="96.3" customHeight="1" outlineLevel="7">
      <c r="B1128" s="20">
        <v>840</v>
      </c>
      <c r="C1128" s="21" t="s">
        <v>3893</v>
      </c>
      <c r="D1128" s="72" t="s">
        <v>3894</v>
      </c>
      <c r="E1128" s="72"/>
      <c r="F1128" s="72"/>
      <c r="G1128" s="72"/>
      <c r="H1128" s="22" t="s">
        <v>3895</v>
      </c>
      <c r="I1128" s="23" t="s">
        <v>36</v>
      </c>
      <c r="J1128" s="22"/>
      <c r="K1128" s="20">
        <v>3</v>
      </c>
      <c r="L1128" s="24">
        <v>192.7</v>
      </c>
      <c r="M1128" s="11"/>
      <c r="N1128" s="22">
        <f t="shared" si="47"/>
        <v>0</v>
      </c>
      <c r="O1128" s="25">
        <f>0.087*M1128</f>
        <v>0</v>
      </c>
      <c r="P1128" s="26">
        <f>0.00202*M1128</f>
        <v>0</v>
      </c>
      <c r="Q1128" s="30"/>
      <c r="R1128" s="22" t="s">
        <v>3896</v>
      </c>
      <c r="S1128" s="22"/>
      <c r="T1128" s="21" t="str">
        <f>HYPERLINK("https://miland.ru/api/getInfo/image/38dc232a-5ac4-11e9-a222-ac1f6b442184")</f>
        <v>https://miland.ru/api/getInfo/image/38dc232a-5ac4-11e9-a222-ac1f6b442184</v>
      </c>
      <c r="U1128" s="21"/>
      <c r="V1128" s="21" t="s">
        <v>710</v>
      </c>
      <c r="W1128" s="21" t="s">
        <v>82</v>
      </c>
      <c r="X1128" s="21"/>
      <c r="Y1128" s="21" t="s">
        <v>41</v>
      </c>
      <c r="Z1128" s="21"/>
      <c r="AA1128" s="21" t="str">
        <f>HYPERLINK("https://miland.ru/api/getInfo/item/38dc232a-5ac4-11e9-a222-ac1f6b442184")</f>
        <v>https://miland.ru/api/getInfo/item/38dc232a-5ac4-11e9-a222-ac1f6b442184</v>
      </c>
      <c r="AB1128" s="21" t="s">
        <v>42</v>
      </c>
      <c r="AC1128" s="21" t="s">
        <v>3884</v>
      </c>
      <c r="AD1128" s="21"/>
    </row>
    <row r="1129" spans="2:31" s="1" customFormat="1" ht="96.3" customHeight="1" outlineLevel="7">
      <c r="B1129" s="20">
        <v>841</v>
      </c>
      <c r="C1129" s="21" t="s">
        <v>3897</v>
      </c>
      <c r="D1129" s="72" t="s">
        <v>3898</v>
      </c>
      <c r="E1129" s="72"/>
      <c r="F1129" s="72"/>
      <c r="G1129" s="72"/>
      <c r="H1129" s="22" t="s">
        <v>3899</v>
      </c>
      <c r="I1129" s="23" t="s">
        <v>36</v>
      </c>
      <c r="J1129" s="22"/>
      <c r="K1129" s="20">
        <v>3</v>
      </c>
      <c r="L1129" s="24">
        <v>192.7</v>
      </c>
      <c r="M1129" s="11"/>
      <c r="N1129" s="22">
        <f t="shared" si="47"/>
        <v>0</v>
      </c>
      <c r="O1129" s="25">
        <f>0.082*M1129</f>
        <v>0</v>
      </c>
      <c r="P1129" s="26">
        <f>0.00137*M1129</f>
        <v>0</v>
      </c>
      <c r="Q1129" s="30"/>
      <c r="R1129" s="22" t="s">
        <v>3900</v>
      </c>
      <c r="S1129" s="22"/>
      <c r="T1129" s="21" t="str">
        <f>HYPERLINK("https://miland.ru/api/getInfo/image/34815e99-8b2c-11ec-a211-ac1f6b442185")</f>
        <v>https://miland.ru/api/getInfo/image/34815e99-8b2c-11ec-a211-ac1f6b442185</v>
      </c>
      <c r="U1129" s="21"/>
      <c r="V1129" s="21" t="s">
        <v>710</v>
      </c>
      <c r="W1129" s="21" t="s">
        <v>82</v>
      </c>
      <c r="X1129" s="21"/>
      <c r="Y1129" s="21" t="s">
        <v>41</v>
      </c>
      <c r="Z1129" s="21"/>
      <c r="AA1129" s="21" t="str">
        <f>HYPERLINK("https://miland.ru/api/getInfo/item/34815e99-8b2c-11ec-a211-ac1f6b442185")</f>
        <v>https://miland.ru/api/getInfo/item/34815e99-8b2c-11ec-a211-ac1f6b442185</v>
      </c>
      <c r="AB1129" s="21" t="s">
        <v>42</v>
      </c>
      <c r="AC1129" s="21" t="s">
        <v>3901</v>
      </c>
      <c r="AD1129" s="21"/>
    </row>
    <row r="1130" spans="2:31" s="1" customFormat="1" ht="96.3" customHeight="1" outlineLevel="7">
      <c r="B1130" s="20">
        <v>842</v>
      </c>
      <c r="C1130" s="21" t="s">
        <v>3902</v>
      </c>
      <c r="D1130" s="72" t="s">
        <v>3903</v>
      </c>
      <c r="E1130" s="72"/>
      <c r="F1130" s="72"/>
      <c r="G1130" s="72"/>
      <c r="H1130" s="22" t="s">
        <v>3904</v>
      </c>
      <c r="I1130" s="27">
        <v>326</v>
      </c>
      <c r="J1130" s="22"/>
      <c r="K1130" s="20">
        <v>3</v>
      </c>
      <c r="L1130" s="24">
        <v>192.7</v>
      </c>
      <c r="M1130" s="11"/>
      <c r="N1130" s="22">
        <f t="shared" si="47"/>
        <v>0</v>
      </c>
      <c r="O1130" s="25">
        <f>0.083*M1130</f>
        <v>0</v>
      </c>
      <c r="P1130" s="26">
        <f>0.00223*M1130</f>
        <v>0</v>
      </c>
      <c r="Q1130" s="30"/>
      <c r="R1130" s="22" t="s">
        <v>3905</v>
      </c>
      <c r="S1130" s="22"/>
      <c r="T1130" s="21" t="str">
        <f>HYPERLINK("https://miland.ru/api/getInfo/image/ed5acfe3-5ac2-11e9-a222-ac1f6b442184")</f>
        <v>https://miland.ru/api/getInfo/image/ed5acfe3-5ac2-11e9-a222-ac1f6b442184</v>
      </c>
      <c r="U1130" s="21"/>
      <c r="V1130" s="21" t="s">
        <v>710</v>
      </c>
      <c r="W1130" s="21" t="s">
        <v>82</v>
      </c>
      <c r="X1130" s="21"/>
      <c r="Y1130" s="21" t="s">
        <v>41</v>
      </c>
      <c r="Z1130" s="21"/>
      <c r="AA1130" s="21" t="str">
        <f>HYPERLINK("https://miland.ru/api/getInfo/item/ed5acfe3-5ac2-11e9-a222-ac1f6b442184")</f>
        <v>https://miland.ru/api/getInfo/item/ed5acfe3-5ac2-11e9-a222-ac1f6b442184</v>
      </c>
      <c r="AB1130" s="21" t="s">
        <v>42</v>
      </c>
      <c r="AC1130" s="21" t="s">
        <v>3884</v>
      </c>
      <c r="AD1130" s="21"/>
    </row>
    <row r="1131" spans="2:31" s="1" customFormat="1" ht="96.3" customHeight="1" outlineLevel="7">
      <c r="B1131" s="20">
        <v>843</v>
      </c>
      <c r="C1131" s="21" t="s">
        <v>3906</v>
      </c>
      <c r="D1131" s="72" t="s">
        <v>3907</v>
      </c>
      <c r="E1131" s="72"/>
      <c r="F1131" s="72"/>
      <c r="G1131" s="72"/>
      <c r="H1131" s="22" t="s">
        <v>3908</v>
      </c>
      <c r="I1131" s="27">
        <v>495</v>
      </c>
      <c r="J1131" s="22"/>
      <c r="K1131" s="20">
        <v>3</v>
      </c>
      <c r="L1131" s="24">
        <v>192.7</v>
      </c>
      <c r="M1131" s="11"/>
      <c r="N1131" s="22">
        <f t="shared" si="47"/>
        <v>0</v>
      </c>
      <c r="O1131" s="25">
        <f>0.094*M1131</f>
        <v>0</v>
      </c>
      <c r="P1131" s="26">
        <f>0.00221*M1131</f>
        <v>0</v>
      </c>
      <c r="Q1131" s="30"/>
      <c r="R1131" s="22" t="s">
        <v>3909</v>
      </c>
      <c r="S1131" s="22"/>
      <c r="T1131" s="21" t="str">
        <f>HYPERLINK("https://miland.ru/api/getInfo/image/fbb26118-8b2c-11ec-a211-ac1f6b442185")</f>
        <v>https://miland.ru/api/getInfo/image/fbb26118-8b2c-11ec-a211-ac1f6b442185</v>
      </c>
      <c r="U1131" s="21"/>
      <c r="V1131" s="21" t="s">
        <v>710</v>
      </c>
      <c r="W1131" s="21" t="s">
        <v>82</v>
      </c>
      <c r="X1131" s="21"/>
      <c r="Y1131" s="21" t="s">
        <v>41</v>
      </c>
      <c r="Z1131" s="21"/>
      <c r="AA1131" s="21" t="str">
        <f>HYPERLINK("https://miland.ru/api/getInfo/item/fbb26118-8b2c-11ec-a211-ac1f6b442185")</f>
        <v>https://miland.ru/api/getInfo/item/fbb26118-8b2c-11ec-a211-ac1f6b442185</v>
      </c>
      <c r="AB1131" s="21" t="s">
        <v>42</v>
      </c>
      <c r="AC1131" s="21" t="s">
        <v>3901</v>
      </c>
      <c r="AD1131" s="21"/>
    </row>
    <row r="1132" spans="2:31" s="1" customFormat="1" ht="96.3" customHeight="1" outlineLevel="7">
      <c r="B1132" s="20">
        <v>844</v>
      </c>
      <c r="C1132" s="21" t="s">
        <v>3910</v>
      </c>
      <c r="D1132" s="72" t="s">
        <v>3911</v>
      </c>
      <c r="E1132" s="72"/>
      <c r="F1132" s="72"/>
      <c r="G1132" s="72"/>
      <c r="H1132" s="22" t="s">
        <v>3912</v>
      </c>
      <c r="I1132" s="27">
        <v>274</v>
      </c>
      <c r="J1132" s="22"/>
      <c r="K1132" s="20">
        <v>3</v>
      </c>
      <c r="L1132" s="24">
        <v>192.7</v>
      </c>
      <c r="M1132" s="11"/>
      <c r="N1132" s="22">
        <f t="shared" si="47"/>
        <v>0</v>
      </c>
      <c r="O1132" s="25">
        <f>0.085*M1132</f>
        <v>0</v>
      </c>
      <c r="P1132" s="26">
        <f>0.00225*M1132</f>
        <v>0</v>
      </c>
      <c r="Q1132" s="30"/>
      <c r="R1132" s="22" t="s">
        <v>3913</v>
      </c>
      <c r="S1132" s="22"/>
      <c r="T1132" s="21" t="str">
        <f>HYPERLINK("https://miland.ru/api/getInfo/image/26d847a1-5ac2-11e9-a222-ac1f6b442184")</f>
        <v>https://miland.ru/api/getInfo/image/26d847a1-5ac2-11e9-a222-ac1f6b442184</v>
      </c>
      <c r="U1132" s="21"/>
      <c r="V1132" s="21" t="s">
        <v>710</v>
      </c>
      <c r="W1132" s="21" t="s">
        <v>82</v>
      </c>
      <c r="X1132" s="21"/>
      <c r="Y1132" s="21" t="s">
        <v>41</v>
      </c>
      <c r="Z1132" s="21"/>
      <c r="AA1132" s="21" t="str">
        <f>HYPERLINK("https://miland.ru/api/getInfo/item/26d847a1-5ac2-11e9-a222-ac1f6b442184")</f>
        <v>https://miland.ru/api/getInfo/item/26d847a1-5ac2-11e9-a222-ac1f6b442184</v>
      </c>
      <c r="AB1132" s="21" t="s">
        <v>42</v>
      </c>
      <c r="AC1132" s="21" t="s">
        <v>3884</v>
      </c>
      <c r="AD1132" s="21"/>
    </row>
    <row r="1133" spans="2:31" ht="12" customHeight="1" outlineLevel="7">
      <c r="B1133" s="70" t="s">
        <v>3914</v>
      </c>
      <c r="C1133" s="70"/>
      <c r="D1133" s="70"/>
      <c r="E1133" s="70"/>
      <c r="F1133" s="70"/>
      <c r="G1133" s="70"/>
    </row>
    <row r="1134" spans="2:31" s="1" customFormat="1" ht="96.3" customHeight="1" outlineLevel="7">
      <c r="B1134" s="6">
        <v>845</v>
      </c>
      <c r="C1134" s="7" t="s">
        <v>3915</v>
      </c>
      <c r="D1134" s="71" t="s">
        <v>3916</v>
      </c>
      <c r="E1134" s="71"/>
      <c r="F1134" s="71"/>
      <c r="G1134" s="71"/>
      <c r="H1134" s="8" t="s">
        <v>3917</v>
      </c>
      <c r="I1134" s="9" t="s">
        <v>36</v>
      </c>
      <c r="J1134" s="8"/>
      <c r="K1134" s="6">
        <v>1</v>
      </c>
      <c r="L1134" s="10">
        <v>551.30999999999995</v>
      </c>
      <c r="M1134" s="11"/>
      <c r="N1134" s="8">
        <f t="shared" ref="N1134:N1141" si="48">L1134*M1134</f>
        <v>0</v>
      </c>
      <c r="O1134" s="12">
        <f>0.299*M1134</f>
        <v>0</v>
      </c>
      <c r="P1134" s="13">
        <f>0.00773*M1134</f>
        <v>0</v>
      </c>
      <c r="Q1134" s="17" t="s">
        <v>37</v>
      </c>
      <c r="R1134" s="8" t="s">
        <v>3918</v>
      </c>
      <c r="S1134" s="8"/>
      <c r="T1134" s="7" t="str">
        <f>HYPERLINK("https://miland.ru/api/getInfo/image/8b63253d-3185-11f1-a292-00155d82e908")</f>
        <v>https://miland.ru/api/getInfo/image/8b63253d-3185-11f1-a292-00155d82e908</v>
      </c>
      <c r="U1134" s="7"/>
      <c r="V1134" s="7"/>
      <c r="W1134" s="7"/>
      <c r="X1134" s="7"/>
      <c r="Y1134" s="7" t="s">
        <v>41</v>
      </c>
      <c r="Z1134" s="7"/>
      <c r="AA1134" s="7" t="str">
        <f>HYPERLINK("https://miland.ru/api/getInfo/item/8b63253d-3185-11f1-a292-00155d82e908")</f>
        <v>https://miland.ru/api/getInfo/item/8b63253d-3185-11f1-a292-00155d82e908</v>
      </c>
      <c r="AB1134" s="7" t="s">
        <v>50</v>
      </c>
      <c r="AC1134" s="7"/>
      <c r="AD1134" s="7"/>
      <c r="AE1134" s="54"/>
    </row>
    <row r="1135" spans="2:31" s="1" customFormat="1" ht="96.3" customHeight="1" outlineLevel="7">
      <c r="B1135" s="6">
        <v>846</v>
      </c>
      <c r="C1135" s="7" t="s">
        <v>3919</v>
      </c>
      <c r="D1135" s="71" t="s">
        <v>3920</v>
      </c>
      <c r="E1135" s="71"/>
      <c r="F1135" s="71"/>
      <c r="G1135" s="71"/>
      <c r="H1135" s="8" t="s">
        <v>3921</v>
      </c>
      <c r="I1135" s="14">
        <v>307</v>
      </c>
      <c r="J1135" s="8"/>
      <c r="K1135" s="6">
        <v>1</v>
      </c>
      <c r="L1135" s="10">
        <v>551.30999999999995</v>
      </c>
      <c r="M1135" s="11"/>
      <c r="N1135" s="8">
        <f t="shared" si="48"/>
        <v>0</v>
      </c>
      <c r="O1135" s="12">
        <f>0.303*M1135</f>
        <v>0</v>
      </c>
      <c r="P1135" s="13">
        <f>0.00816*M1135</f>
        <v>0</v>
      </c>
      <c r="Q1135" s="17" t="s">
        <v>37</v>
      </c>
      <c r="R1135" s="8" t="s">
        <v>3922</v>
      </c>
      <c r="S1135" s="8"/>
      <c r="T1135" s="7" t="str">
        <f>HYPERLINK("https://miland.ru/api/getInfo/image/1b0edc59-3185-11f1-a292-00155d82e908")</f>
        <v>https://miland.ru/api/getInfo/image/1b0edc59-3185-11f1-a292-00155d82e908</v>
      </c>
      <c r="U1135" s="7"/>
      <c r="V1135" s="7"/>
      <c r="W1135" s="7"/>
      <c r="X1135" s="7"/>
      <c r="Y1135" s="7" t="s">
        <v>41</v>
      </c>
      <c r="Z1135" s="7"/>
      <c r="AA1135" s="7" t="str">
        <f>HYPERLINK("https://miland.ru/api/getInfo/item/1b0edc59-3185-11f1-a292-00155d82e908")</f>
        <v>https://miland.ru/api/getInfo/item/1b0edc59-3185-11f1-a292-00155d82e908</v>
      </c>
      <c r="AB1135" s="7" t="s">
        <v>50</v>
      </c>
      <c r="AC1135" s="7"/>
      <c r="AD1135" s="7"/>
      <c r="AE1135" s="54"/>
    </row>
    <row r="1136" spans="2:31" s="1" customFormat="1" ht="96.3" customHeight="1" outlineLevel="7">
      <c r="B1136" s="6">
        <v>847</v>
      </c>
      <c r="C1136" s="7" t="s">
        <v>3923</v>
      </c>
      <c r="D1136" s="71" t="s">
        <v>3924</v>
      </c>
      <c r="E1136" s="71"/>
      <c r="F1136" s="71"/>
      <c r="G1136" s="71"/>
      <c r="H1136" s="8" t="s">
        <v>3925</v>
      </c>
      <c r="I1136" s="14">
        <v>185</v>
      </c>
      <c r="J1136" s="8"/>
      <c r="K1136" s="6">
        <v>1</v>
      </c>
      <c r="L1136" s="10">
        <v>551.30999999999995</v>
      </c>
      <c r="M1136" s="11"/>
      <c r="N1136" s="8">
        <f t="shared" si="48"/>
        <v>0</v>
      </c>
      <c r="O1136" s="12">
        <f>0.297*M1136</f>
        <v>0</v>
      </c>
      <c r="P1136" s="16">
        <f>0.0081*M1136</f>
        <v>0</v>
      </c>
      <c r="Q1136" s="17" t="s">
        <v>37</v>
      </c>
      <c r="R1136" s="8" t="s">
        <v>3926</v>
      </c>
      <c r="S1136" s="8"/>
      <c r="T1136" s="7" t="str">
        <f>HYPERLINK("https://miland.ru/api/getInfo/image/ed4e56a3-3184-11f1-a292-00155d82e908")</f>
        <v>https://miland.ru/api/getInfo/image/ed4e56a3-3184-11f1-a292-00155d82e908</v>
      </c>
      <c r="U1136" s="7"/>
      <c r="V1136" s="7"/>
      <c r="W1136" s="7"/>
      <c r="X1136" s="7"/>
      <c r="Y1136" s="7" t="s">
        <v>41</v>
      </c>
      <c r="Z1136" s="7"/>
      <c r="AA1136" s="7" t="str">
        <f>HYPERLINK("https://miland.ru/api/getInfo/item/ed4e56a3-3184-11f1-a292-00155d82e908")</f>
        <v>https://miland.ru/api/getInfo/item/ed4e56a3-3184-11f1-a292-00155d82e908</v>
      </c>
      <c r="AB1136" s="7" t="s">
        <v>50</v>
      </c>
      <c r="AC1136" s="7"/>
      <c r="AD1136" s="7"/>
      <c r="AE1136" s="54"/>
    </row>
    <row r="1137" spans="2:31" s="1" customFormat="1" ht="96.3" customHeight="1" outlineLevel="7">
      <c r="B1137" s="6">
        <v>848</v>
      </c>
      <c r="C1137" s="7" t="s">
        <v>3927</v>
      </c>
      <c r="D1137" s="71" t="s">
        <v>3928</v>
      </c>
      <c r="E1137" s="71"/>
      <c r="F1137" s="71"/>
      <c r="G1137" s="71"/>
      <c r="H1137" s="8" t="s">
        <v>3929</v>
      </c>
      <c r="I1137" s="14">
        <v>203</v>
      </c>
      <c r="J1137" s="8"/>
      <c r="K1137" s="6">
        <v>1</v>
      </c>
      <c r="L1137" s="10">
        <v>551.30999999999995</v>
      </c>
      <c r="M1137" s="11"/>
      <c r="N1137" s="8">
        <f t="shared" si="48"/>
        <v>0</v>
      </c>
      <c r="O1137" s="12">
        <f>0.311*M1137</f>
        <v>0</v>
      </c>
      <c r="P1137" s="13">
        <f>0.00769*M1137</f>
        <v>0</v>
      </c>
      <c r="Q1137" s="17" t="s">
        <v>37</v>
      </c>
      <c r="R1137" s="8" t="s">
        <v>3930</v>
      </c>
      <c r="S1137" s="8"/>
      <c r="T1137" s="7" t="str">
        <f>HYPERLINK("https://miland.ru/api/getInfo/image/5fbc2579-3185-11f1-a292-00155d82e908")</f>
        <v>https://miland.ru/api/getInfo/image/5fbc2579-3185-11f1-a292-00155d82e908</v>
      </c>
      <c r="U1137" s="7"/>
      <c r="V1137" s="7"/>
      <c r="W1137" s="7"/>
      <c r="X1137" s="7"/>
      <c r="Y1137" s="7" t="s">
        <v>41</v>
      </c>
      <c r="Z1137" s="7"/>
      <c r="AA1137" s="7" t="str">
        <f>HYPERLINK("https://miland.ru/api/getInfo/item/5fbc2579-3185-11f1-a292-00155d82e908")</f>
        <v>https://miland.ru/api/getInfo/item/5fbc2579-3185-11f1-a292-00155d82e908</v>
      </c>
      <c r="AB1137" s="7" t="s">
        <v>50</v>
      </c>
      <c r="AC1137" s="7"/>
      <c r="AD1137" s="7"/>
      <c r="AE1137" s="54"/>
    </row>
    <row r="1138" spans="2:31" s="1" customFormat="1" ht="96.3" customHeight="1" outlineLevel="7">
      <c r="B1138" s="6">
        <v>849</v>
      </c>
      <c r="C1138" s="7" t="s">
        <v>3931</v>
      </c>
      <c r="D1138" s="71" t="s">
        <v>3932</v>
      </c>
      <c r="E1138" s="71"/>
      <c r="F1138" s="71"/>
      <c r="G1138" s="71"/>
      <c r="H1138" s="8" t="s">
        <v>3933</v>
      </c>
      <c r="I1138" s="14">
        <v>198</v>
      </c>
      <c r="J1138" s="8"/>
      <c r="K1138" s="6">
        <v>1</v>
      </c>
      <c r="L1138" s="10">
        <v>551.30999999999995</v>
      </c>
      <c r="M1138" s="11"/>
      <c r="N1138" s="8">
        <f t="shared" si="48"/>
        <v>0</v>
      </c>
      <c r="O1138" s="12">
        <f>0.316*M1138</f>
        <v>0</v>
      </c>
      <c r="P1138" s="13">
        <f>0.00781*M1138</f>
        <v>0</v>
      </c>
      <c r="Q1138" s="17" t="s">
        <v>37</v>
      </c>
      <c r="R1138" s="8" t="s">
        <v>3934</v>
      </c>
      <c r="S1138" s="8"/>
      <c r="T1138" s="7" t="str">
        <f>HYPERLINK("https://miland.ru/api/getInfo/image/8ce432d2-3184-11f1-a292-00155d82e908")</f>
        <v>https://miland.ru/api/getInfo/image/8ce432d2-3184-11f1-a292-00155d82e908</v>
      </c>
      <c r="U1138" s="7"/>
      <c r="V1138" s="7"/>
      <c r="W1138" s="7"/>
      <c r="X1138" s="7"/>
      <c r="Y1138" s="7" t="s">
        <v>41</v>
      </c>
      <c r="Z1138" s="7"/>
      <c r="AA1138" s="7" t="str">
        <f>HYPERLINK("https://miland.ru/api/getInfo/item/8ce432d2-3184-11f1-a292-00155d82e908")</f>
        <v>https://miland.ru/api/getInfo/item/8ce432d2-3184-11f1-a292-00155d82e908</v>
      </c>
      <c r="AB1138" s="7" t="s">
        <v>50</v>
      </c>
      <c r="AC1138" s="7"/>
      <c r="AD1138" s="7"/>
      <c r="AE1138" s="54"/>
    </row>
    <row r="1139" spans="2:31" s="1" customFormat="1" ht="96.3" customHeight="1" outlineLevel="7">
      <c r="B1139" s="6">
        <v>850</v>
      </c>
      <c r="C1139" s="7" t="s">
        <v>3935</v>
      </c>
      <c r="D1139" s="71" t="s">
        <v>3936</v>
      </c>
      <c r="E1139" s="71"/>
      <c r="F1139" s="71"/>
      <c r="G1139" s="71"/>
      <c r="H1139" s="8" t="s">
        <v>3937</v>
      </c>
      <c r="I1139" s="14">
        <v>220</v>
      </c>
      <c r="J1139" s="8"/>
      <c r="K1139" s="6">
        <v>1</v>
      </c>
      <c r="L1139" s="10">
        <v>551.30999999999995</v>
      </c>
      <c r="M1139" s="11"/>
      <c r="N1139" s="8">
        <f t="shared" si="48"/>
        <v>0</v>
      </c>
      <c r="O1139" s="12">
        <f>0.298*M1139</f>
        <v>0</v>
      </c>
      <c r="P1139" s="13">
        <f>0.00798*M1139</f>
        <v>0</v>
      </c>
      <c r="Q1139" s="17" t="s">
        <v>37</v>
      </c>
      <c r="R1139" s="8" t="s">
        <v>3938</v>
      </c>
      <c r="S1139" s="8"/>
      <c r="T1139" s="7" t="str">
        <f>HYPERLINK("https://miland.ru/api/getInfo/image/d5752122-3184-11f1-a292-00155d82e908")</f>
        <v>https://miland.ru/api/getInfo/image/d5752122-3184-11f1-a292-00155d82e908</v>
      </c>
      <c r="U1139" s="7"/>
      <c r="V1139" s="7"/>
      <c r="W1139" s="7"/>
      <c r="X1139" s="7"/>
      <c r="Y1139" s="7" t="s">
        <v>41</v>
      </c>
      <c r="Z1139" s="7"/>
      <c r="AA1139" s="7" t="str">
        <f>HYPERLINK("https://miland.ru/api/getInfo/item/d5752122-3184-11f1-a292-00155d82e908")</f>
        <v>https://miland.ru/api/getInfo/item/d5752122-3184-11f1-a292-00155d82e908</v>
      </c>
      <c r="AB1139" s="7" t="s">
        <v>50</v>
      </c>
      <c r="AC1139" s="7"/>
      <c r="AD1139" s="7"/>
      <c r="AE1139" s="54"/>
    </row>
    <row r="1140" spans="2:31" s="1" customFormat="1" ht="96.3" customHeight="1" outlineLevel="7">
      <c r="B1140" s="6">
        <v>851</v>
      </c>
      <c r="C1140" s="7" t="s">
        <v>3939</v>
      </c>
      <c r="D1140" s="71" t="s">
        <v>3940</v>
      </c>
      <c r="E1140" s="71"/>
      <c r="F1140" s="71"/>
      <c r="G1140" s="71"/>
      <c r="H1140" s="8" t="s">
        <v>3941</v>
      </c>
      <c r="I1140" s="14">
        <v>332</v>
      </c>
      <c r="J1140" s="8"/>
      <c r="K1140" s="6">
        <v>1</v>
      </c>
      <c r="L1140" s="10">
        <v>551.30999999999995</v>
      </c>
      <c r="M1140" s="11"/>
      <c r="N1140" s="8">
        <f t="shared" si="48"/>
        <v>0</v>
      </c>
      <c r="O1140" s="12">
        <f>0.297*M1140</f>
        <v>0</v>
      </c>
      <c r="P1140" s="13">
        <f>0.00805*M1140</f>
        <v>0</v>
      </c>
      <c r="Q1140" s="17" t="s">
        <v>37</v>
      </c>
      <c r="R1140" s="8" t="s">
        <v>3942</v>
      </c>
      <c r="S1140" s="8"/>
      <c r="T1140" s="7" t="str">
        <f>HYPERLINK("https://miland.ru/api/getInfo/image/35456950-3185-11f1-a292-00155d82e908")</f>
        <v>https://miland.ru/api/getInfo/image/35456950-3185-11f1-a292-00155d82e908</v>
      </c>
      <c r="U1140" s="7"/>
      <c r="V1140" s="7"/>
      <c r="W1140" s="7"/>
      <c r="X1140" s="7"/>
      <c r="Y1140" s="7" t="s">
        <v>41</v>
      </c>
      <c r="Z1140" s="7"/>
      <c r="AA1140" s="7" t="str">
        <f>HYPERLINK("https://miland.ru/api/getInfo/item/35456950-3185-11f1-a292-00155d82e908")</f>
        <v>https://miland.ru/api/getInfo/item/35456950-3185-11f1-a292-00155d82e908</v>
      </c>
      <c r="AB1140" s="7" t="s">
        <v>50</v>
      </c>
      <c r="AC1140" s="7"/>
      <c r="AD1140" s="7"/>
      <c r="AE1140" s="54"/>
    </row>
    <row r="1141" spans="2:31" s="1" customFormat="1" ht="96.3" customHeight="1" outlineLevel="7">
      <c r="B1141" s="6">
        <v>852</v>
      </c>
      <c r="C1141" s="7" t="s">
        <v>3943</v>
      </c>
      <c r="D1141" s="71" t="s">
        <v>3944</v>
      </c>
      <c r="E1141" s="71"/>
      <c r="F1141" s="71"/>
      <c r="G1141" s="71"/>
      <c r="H1141" s="8" t="s">
        <v>3945</v>
      </c>
      <c r="I1141" s="14">
        <v>191</v>
      </c>
      <c r="J1141" s="8"/>
      <c r="K1141" s="6">
        <v>1</v>
      </c>
      <c r="L1141" s="15">
        <v>1024.99</v>
      </c>
      <c r="M1141" s="11"/>
      <c r="N1141" s="8">
        <f t="shared" si="48"/>
        <v>0</v>
      </c>
      <c r="O1141" s="18">
        <f>0.22*M1141</f>
        <v>0</v>
      </c>
      <c r="P1141" s="13">
        <f>0.00623*M1141</f>
        <v>0</v>
      </c>
      <c r="Q1141" s="17" t="s">
        <v>37</v>
      </c>
      <c r="R1141" s="8" t="s">
        <v>3946</v>
      </c>
      <c r="S1141" s="8"/>
      <c r="T1141" s="7" t="str">
        <f>HYPERLINK("https://miland.ru/api/getInfo/image/4ac5331a-2ce8-11f1-a292-00155d82e908")</f>
        <v>https://miland.ru/api/getInfo/image/4ac5331a-2ce8-11f1-a292-00155d82e908</v>
      </c>
      <c r="U1141" s="7"/>
      <c r="V1141" s="7"/>
      <c r="W1141" s="7" t="s">
        <v>82</v>
      </c>
      <c r="X1141" s="7"/>
      <c r="Y1141" s="7" t="s">
        <v>41</v>
      </c>
      <c r="Z1141" s="7"/>
      <c r="AA1141" s="7" t="str">
        <f>HYPERLINK("https://miland.ru/api/getInfo/item/4ac5331a-2ce8-11f1-a292-00155d82e908")</f>
        <v>https://miland.ru/api/getInfo/item/4ac5331a-2ce8-11f1-a292-00155d82e908</v>
      </c>
      <c r="AB1141" s="7" t="s">
        <v>42</v>
      </c>
      <c r="AC1141" s="7"/>
      <c r="AD1141" s="7"/>
      <c r="AE1141" s="54"/>
    </row>
    <row r="1142" spans="2:31" ht="12" customHeight="1" outlineLevel="7">
      <c r="B1142" s="70" t="s">
        <v>1363</v>
      </c>
      <c r="C1142" s="70"/>
      <c r="D1142" s="70"/>
      <c r="E1142" s="70"/>
      <c r="F1142" s="70"/>
      <c r="G1142" s="70"/>
    </row>
    <row r="1143" spans="2:31" s="1" customFormat="1" ht="96.3" customHeight="1" outlineLevel="7">
      <c r="B1143" s="6">
        <v>853</v>
      </c>
      <c r="C1143" s="7" t="s">
        <v>3947</v>
      </c>
      <c r="D1143" s="71" t="s">
        <v>3948</v>
      </c>
      <c r="E1143" s="71"/>
      <c r="F1143" s="71"/>
      <c r="G1143" s="71"/>
      <c r="H1143" s="8" t="s">
        <v>3949</v>
      </c>
      <c r="I1143" s="9" t="s">
        <v>36</v>
      </c>
      <c r="J1143" s="8"/>
      <c r="K1143" s="6">
        <v>5</v>
      </c>
      <c r="L1143" s="10">
        <v>113.5</v>
      </c>
      <c r="M1143" s="11"/>
      <c r="N1143" s="8">
        <f t="shared" ref="N1143:N1155" si="49">L1143*M1143</f>
        <v>0</v>
      </c>
      <c r="O1143" s="12">
        <f>0.024*M1143</f>
        <v>0</v>
      </c>
      <c r="P1143" s="13">
        <f>0.00076*M1143</f>
        <v>0</v>
      </c>
      <c r="Q1143" s="17" t="s">
        <v>37</v>
      </c>
      <c r="R1143" s="8" t="s">
        <v>3950</v>
      </c>
      <c r="S1143" s="8"/>
      <c r="T1143" s="7" t="str">
        <f>HYPERLINK("https://miland.ru/api/getInfo/image/27651206-2f54-11f1-a292-00155d82e908")</f>
        <v>https://miland.ru/api/getInfo/image/27651206-2f54-11f1-a292-00155d82e908</v>
      </c>
      <c r="U1143" s="7"/>
      <c r="V1143" s="7"/>
      <c r="W1143" s="7" t="s">
        <v>82</v>
      </c>
      <c r="X1143" s="7"/>
      <c r="Y1143" s="7" t="s">
        <v>41</v>
      </c>
      <c r="Z1143" s="7"/>
      <c r="AA1143" s="7" t="str">
        <f>HYPERLINK("https://miland.ru/api/getInfo/item/27651206-2f54-11f1-a292-00155d82e908")</f>
        <v>https://miland.ru/api/getInfo/item/27651206-2f54-11f1-a292-00155d82e908</v>
      </c>
      <c r="AB1143" s="7" t="s">
        <v>42</v>
      </c>
      <c r="AC1143" s="7"/>
      <c r="AD1143" s="7"/>
      <c r="AE1143" s="54"/>
    </row>
    <row r="1144" spans="2:31" s="1" customFormat="1" ht="96.3" customHeight="1" outlineLevel="7">
      <c r="B1144" s="6">
        <v>854</v>
      </c>
      <c r="C1144" s="7" t="s">
        <v>3951</v>
      </c>
      <c r="D1144" s="71" t="s">
        <v>3952</v>
      </c>
      <c r="E1144" s="71"/>
      <c r="F1144" s="71"/>
      <c r="G1144" s="71"/>
      <c r="H1144" s="8" t="s">
        <v>3953</v>
      </c>
      <c r="I1144" s="9" t="s">
        <v>36</v>
      </c>
      <c r="J1144" s="8"/>
      <c r="K1144" s="6">
        <v>5</v>
      </c>
      <c r="L1144" s="10">
        <v>113.5</v>
      </c>
      <c r="M1144" s="11"/>
      <c r="N1144" s="8">
        <f t="shared" si="49"/>
        <v>0</v>
      </c>
      <c r="O1144" s="12">
        <f>0.023*M1144</f>
        <v>0</v>
      </c>
      <c r="P1144" s="13">
        <f>0.00074*M1144</f>
        <v>0</v>
      </c>
      <c r="Q1144" s="17" t="s">
        <v>37</v>
      </c>
      <c r="R1144" s="8" t="s">
        <v>3954</v>
      </c>
      <c r="S1144" s="8"/>
      <c r="T1144" s="7" t="str">
        <f>HYPERLINK("https://miland.ru/api/getInfo/image/1445b596-2f54-11f1-a292-00155d82e908")</f>
        <v>https://miland.ru/api/getInfo/image/1445b596-2f54-11f1-a292-00155d82e908</v>
      </c>
      <c r="U1144" s="7"/>
      <c r="V1144" s="7"/>
      <c r="W1144" s="7" t="s">
        <v>82</v>
      </c>
      <c r="X1144" s="7"/>
      <c r="Y1144" s="7" t="s">
        <v>41</v>
      </c>
      <c r="Z1144" s="7"/>
      <c r="AA1144" s="7" t="str">
        <f>HYPERLINK("https://miland.ru/api/getInfo/item/1445b596-2f54-11f1-a292-00155d82e908")</f>
        <v>https://miland.ru/api/getInfo/item/1445b596-2f54-11f1-a292-00155d82e908</v>
      </c>
      <c r="AB1144" s="7" t="s">
        <v>42</v>
      </c>
      <c r="AC1144" s="7"/>
      <c r="AD1144" s="7"/>
      <c r="AE1144" s="54"/>
    </row>
    <row r="1145" spans="2:31" s="1" customFormat="1" ht="96.3" customHeight="1" outlineLevel="7">
      <c r="B1145" s="6">
        <v>855</v>
      </c>
      <c r="C1145" s="7" t="s">
        <v>3955</v>
      </c>
      <c r="D1145" s="71" t="s">
        <v>3956</v>
      </c>
      <c r="E1145" s="71"/>
      <c r="F1145" s="71"/>
      <c r="G1145" s="71"/>
      <c r="H1145" s="8" t="s">
        <v>3957</v>
      </c>
      <c r="I1145" s="9" t="s">
        <v>36</v>
      </c>
      <c r="J1145" s="8"/>
      <c r="K1145" s="6">
        <v>5</v>
      </c>
      <c r="L1145" s="10">
        <v>113.5</v>
      </c>
      <c r="M1145" s="11"/>
      <c r="N1145" s="8">
        <f t="shared" si="49"/>
        <v>0</v>
      </c>
      <c r="O1145" s="12">
        <f>0.023*M1145</f>
        <v>0</v>
      </c>
      <c r="P1145" s="13">
        <f>0.00078*M1145</f>
        <v>0</v>
      </c>
      <c r="Q1145" s="17" t="s">
        <v>37</v>
      </c>
      <c r="R1145" s="8" t="s">
        <v>3958</v>
      </c>
      <c r="S1145" s="8"/>
      <c r="T1145" s="7" t="str">
        <f>HYPERLINK("https://miland.ru/api/getInfo/image/03d303d5-2f54-11f1-a292-00155d82e908")</f>
        <v>https://miland.ru/api/getInfo/image/03d303d5-2f54-11f1-a292-00155d82e908</v>
      </c>
      <c r="U1145" s="7"/>
      <c r="V1145" s="7"/>
      <c r="W1145" s="7" t="s">
        <v>82</v>
      </c>
      <c r="X1145" s="7"/>
      <c r="Y1145" s="7" t="s">
        <v>41</v>
      </c>
      <c r="Z1145" s="7"/>
      <c r="AA1145" s="7" t="str">
        <f>HYPERLINK("https://miland.ru/api/getInfo/item/03d303d5-2f54-11f1-a292-00155d82e908")</f>
        <v>https://miland.ru/api/getInfo/item/03d303d5-2f54-11f1-a292-00155d82e908</v>
      </c>
      <c r="AB1145" s="7" t="s">
        <v>42</v>
      </c>
      <c r="AC1145" s="7"/>
      <c r="AD1145" s="7"/>
      <c r="AE1145" s="54"/>
    </row>
    <row r="1146" spans="2:31" s="1" customFormat="1" ht="96.3" customHeight="1" outlineLevel="7">
      <c r="B1146" s="6">
        <v>856</v>
      </c>
      <c r="C1146" s="7" t="s">
        <v>3959</v>
      </c>
      <c r="D1146" s="71" t="s">
        <v>3960</v>
      </c>
      <c r="E1146" s="71"/>
      <c r="F1146" s="71"/>
      <c r="G1146" s="71"/>
      <c r="H1146" s="8" t="s">
        <v>3961</v>
      </c>
      <c r="I1146" s="14">
        <v>391</v>
      </c>
      <c r="J1146" s="8"/>
      <c r="K1146" s="6">
        <v>1</v>
      </c>
      <c r="L1146" s="10">
        <v>444.38</v>
      </c>
      <c r="M1146" s="11"/>
      <c r="N1146" s="8">
        <f t="shared" si="49"/>
        <v>0</v>
      </c>
      <c r="O1146" s="12">
        <f>0.086*M1146</f>
        <v>0</v>
      </c>
      <c r="P1146" s="13">
        <f>0.00285*M1146</f>
        <v>0</v>
      </c>
      <c r="Q1146" s="17" t="s">
        <v>37</v>
      </c>
      <c r="R1146" s="8" t="s">
        <v>3962</v>
      </c>
      <c r="S1146" s="8"/>
      <c r="T1146" s="7" t="str">
        <f>HYPERLINK("https://miland.ru/api/getInfo/image/80ccbf74-e0c4-11f0-a28c-00155d82e908")</f>
        <v>https://miland.ru/api/getInfo/image/80ccbf74-e0c4-11f0-a28c-00155d82e908</v>
      </c>
      <c r="U1146" s="7"/>
      <c r="V1146" s="7"/>
      <c r="W1146" s="7" t="s">
        <v>82</v>
      </c>
      <c r="X1146" s="7"/>
      <c r="Y1146" s="7" t="s">
        <v>41</v>
      </c>
      <c r="Z1146" s="7"/>
      <c r="AA1146" s="7" t="str">
        <f>HYPERLINK("https://miland.ru/api/getInfo/item/80ccbf74-e0c4-11f0-a28c-00155d82e908")</f>
        <v>https://miland.ru/api/getInfo/item/80ccbf74-e0c4-11f0-a28c-00155d82e908</v>
      </c>
      <c r="AB1146" s="7" t="s">
        <v>42</v>
      </c>
      <c r="AC1146" s="7"/>
      <c r="AD1146" s="7"/>
      <c r="AE1146" s="54"/>
    </row>
    <row r="1147" spans="2:31" s="1" customFormat="1" ht="96.3" customHeight="1" outlineLevel="7">
      <c r="B1147" s="6">
        <v>857</v>
      </c>
      <c r="C1147" s="7" t="s">
        <v>3963</v>
      </c>
      <c r="D1147" s="71" t="s">
        <v>3964</v>
      </c>
      <c r="E1147" s="71"/>
      <c r="F1147" s="71"/>
      <c r="G1147" s="71"/>
      <c r="H1147" s="8" t="s">
        <v>3965</v>
      </c>
      <c r="I1147" s="14">
        <v>396</v>
      </c>
      <c r="J1147" s="8"/>
      <c r="K1147" s="6">
        <v>1</v>
      </c>
      <c r="L1147" s="10">
        <v>444.38</v>
      </c>
      <c r="M1147" s="11"/>
      <c r="N1147" s="8">
        <f t="shared" si="49"/>
        <v>0</v>
      </c>
      <c r="O1147" s="12">
        <f>0.097*M1147</f>
        <v>0</v>
      </c>
      <c r="P1147" s="13">
        <f>0.00314*M1147</f>
        <v>0</v>
      </c>
      <c r="Q1147" s="17" t="s">
        <v>37</v>
      </c>
      <c r="R1147" s="8" t="s">
        <v>3966</v>
      </c>
      <c r="S1147" s="8"/>
      <c r="T1147" s="7" t="str">
        <f>HYPERLINK("https://miland.ru/api/getInfo/image/d65e6f54-e0c3-11f0-a28c-00155d82e908")</f>
        <v>https://miland.ru/api/getInfo/image/d65e6f54-e0c3-11f0-a28c-00155d82e908</v>
      </c>
      <c r="U1147" s="7"/>
      <c r="V1147" s="7"/>
      <c r="W1147" s="7" t="s">
        <v>82</v>
      </c>
      <c r="X1147" s="7"/>
      <c r="Y1147" s="7" t="s">
        <v>41</v>
      </c>
      <c r="Z1147" s="7"/>
      <c r="AA1147" s="7" t="str">
        <f>HYPERLINK("https://miland.ru/api/getInfo/item/d65e6f54-e0c3-11f0-a28c-00155d82e908")</f>
        <v>https://miland.ru/api/getInfo/item/d65e6f54-e0c3-11f0-a28c-00155d82e908</v>
      </c>
      <c r="AB1147" s="7" t="s">
        <v>42</v>
      </c>
      <c r="AC1147" s="7"/>
      <c r="AD1147" s="7"/>
      <c r="AE1147" s="54"/>
    </row>
    <row r="1148" spans="2:31" s="1" customFormat="1" ht="96.3" customHeight="1" outlineLevel="7">
      <c r="B1148" s="6">
        <v>858</v>
      </c>
      <c r="C1148" s="7" t="s">
        <v>3967</v>
      </c>
      <c r="D1148" s="71" t="s">
        <v>3968</v>
      </c>
      <c r="E1148" s="71"/>
      <c r="F1148" s="71"/>
      <c r="G1148" s="71"/>
      <c r="H1148" s="8" t="s">
        <v>3969</v>
      </c>
      <c r="I1148" s="14">
        <v>456</v>
      </c>
      <c r="J1148" s="8"/>
      <c r="K1148" s="6">
        <v>1</v>
      </c>
      <c r="L1148" s="10">
        <v>444.38</v>
      </c>
      <c r="M1148" s="11"/>
      <c r="N1148" s="8">
        <f t="shared" si="49"/>
        <v>0</v>
      </c>
      <c r="O1148" s="12">
        <f>0.079*M1148</f>
        <v>0</v>
      </c>
      <c r="P1148" s="13">
        <f>0.00249*M1148</f>
        <v>0</v>
      </c>
      <c r="Q1148" s="17" t="s">
        <v>37</v>
      </c>
      <c r="R1148" s="8" t="s">
        <v>3970</v>
      </c>
      <c r="S1148" s="8"/>
      <c r="T1148" s="7" t="str">
        <f>HYPERLINK("https://miland.ru/api/getInfo/image/0267d164-e0c4-11f0-a28c-00155d82e908")</f>
        <v>https://miland.ru/api/getInfo/image/0267d164-e0c4-11f0-a28c-00155d82e908</v>
      </c>
      <c r="U1148" s="7"/>
      <c r="V1148" s="7"/>
      <c r="W1148" s="7" t="s">
        <v>82</v>
      </c>
      <c r="X1148" s="7"/>
      <c r="Y1148" s="7" t="s">
        <v>41</v>
      </c>
      <c r="Z1148" s="7"/>
      <c r="AA1148" s="7" t="str">
        <f>HYPERLINK("https://miland.ru/api/getInfo/item/0267d164-e0c4-11f0-a28c-00155d82e908")</f>
        <v>https://miland.ru/api/getInfo/item/0267d164-e0c4-11f0-a28c-00155d82e908</v>
      </c>
      <c r="AB1148" s="7" t="s">
        <v>42</v>
      </c>
      <c r="AC1148" s="7"/>
      <c r="AD1148" s="7"/>
      <c r="AE1148" s="54"/>
    </row>
    <row r="1149" spans="2:31" s="1" customFormat="1" ht="96.3" customHeight="1" outlineLevel="7">
      <c r="B1149" s="6">
        <v>859</v>
      </c>
      <c r="C1149" s="7" t="s">
        <v>3971</v>
      </c>
      <c r="D1149" s="71" t="s">
        <v>3972</v>
      </c>
      <c r="E1149" s="71"/>
      <c r="F1149" s="71"/>
      <c r="G1149" s="71"/>
      <c r="H1149" s="8" t="s">
        <v>3973</v>
      </c>
      <c r="I1149" s="14">
        <v>458</v>
      </c>
      <c r="J1149" s="8"/>
      <c r="K1149" s="6">
        <v>1</v>
      </c>
      <c r="L1149" s="10">
        <v>444.38</v>
      </c>
      <c r="M1149" s="11"/>
      <c r="N1149" s="8">
        <f t="shared" si="49"/>
        <v>0</v>
      </c>
      <c r="O1149" s="12">
        <f>0.084*M1149</f>
        <v>0</v>
      </c>
      <c r="P1149" s="13">
        <f>0.00226*M1149</f>
        <v>0</v>
      </c>
      <c r="Q1149" s="17" t="s">
        <v>37</v>
      </c>
      <c r="R1149" s="8" t="s">
        <v>3974</v>
      </c>
      <c r="S1149" s="8"/>
      <c r="T1149" s="7" t="str">
        <f>HYPERLINK("https://miland.ru/api/getInfo/image/ba201e1a-e0c3-11f0-a28c-00155d82e908")</f>
        <v>https://miland.ru/api/getInfo/image/ba201e1a-e0c3-11f0-a28c-00155d82e908</v>
      </c>
      <c r="U1149" s="7"/>
      <c r="V1149" s="7"/>
      <c r="W1149" s="7" t="s">
        <v>82</v>
      </c>
      <c r="X1149" s="7"/>
      <c r="Y1149" s="7" t="s">
        <v>41</v>
      </c>
      <c r="Z1149" s="7"/>
      <c r="AA1149" s="7" t="str">
        <f>HYPERLINK("https://miland.ru/api/getInfo/item/ba201e1a-e0c3-11f0-a28c-00155d82e908")</f>
        <v>https://miland.ru/api/getInfo/item/ba201e1a-e0c3-11f0-a28c-00155d82e908</v>
      </c>
      <c r="AB1149" s="7" t="s">
        <v>42</v>
      </c>
      <c r="AC1149" s="7"/>
      <c r="AD1149" s="7"/>
      <c r="AE1149" s="54"/>
    </row>
    <row r="1150" spans="2:31" s="1" customFormat="1" ht="96.3" customHeight="1" outlineLevel="7">
      <c r="B1150" s="6">
        <v>860</v>
      </c>
      <c r="C1150" s="7" t="s">
        <v>3975</v>
      </c>
      <c r="D1150" s="71" t="s">
        <v>3976</v>
      </c>
      <c r="E1150" s="71"/>
      <c r="F1150" s="71"/>
      <c r="G1150" s="71"/>
      <c r="H1150" s="8" t="s">
        <v>3977</v>
      </c>
      <c r="I1150" s="14">
        <v>399</v>
      </c>
      <c r="J1150" s="8"/>
      <c r="K1150" s="6">
        <v>1</v>
      </c>
      <c r="L1150" s="10">
        <v>444.38</v>
      </c>
      <c r="M1150" s="11"/>
      <c r="N1150" s="8">
        <f t="shared" si="49"/>
        <v>0</v>
      </c>
      <c r="O1150" s="12">
        <f>0.074*M1150</f>
        <v>0</v>
      </c>
      <c r="P1150" s="13">
        <f>0.00238*M1150</f>
        <v>0</v>
      </c>
      <c r="Q1150" s="17" t="s">
        <v>37</v>
      </c>
      <c r="R1150" s="8" t="s">
        <v>3978</v>
      </c>
      <c r="S1150" s="8"/>
      <c r="T1150" s="7" t="str">
        <f>HYPERLINK("https://miland.ru/api/getInfo/image/2019a562-e0c4-11f0-a28c-00155d82e908")</f>
        <v>https://miland.ru/api/getInfo/image/2019a562-e0c4-11f0-a28c-00155d82e908</v>
      </c>
      <c r="U1150" s="7"/>
      <c r="V1150" s="7"/>
      <c r="W1150" s="7" t="s">
        <v>82</v>
      </c>
      <c r="X1150" s="7"/>
      <c r="Y1150" s="7" t="s">
        <v>41</v>
      </c>
      <c r="Z1150" s="7"/>
      <c r="AA1150" s="7" t="str">
        <f>HYPERLINK("https://miland.ru/api/getInfo/item/2019a562-e0c4-11f0-a28c-00155d82e908")</f>
        <v>https://miland.ru/api/getInfo/item/2019a562-e0c4-11f0-a28c-00155d82e908</v>
      </c>
      <c r="AB1150" s="7" t="s">
        <v>42</v>
      </c>
      <c r="AC1150" s="7"/>
      <c r="AD1150" s="7"/>
      <c r="AE1150" s="54"/>
    </row>
    <row r="1151" spans="2:31" s="1" customFormat="1" ht="96.3" customHeight="1" outlineLevel="7">
      <c r="B1151" s="6">
        <v>861</v>
      </c>
      <c r="C1151" s="7" t="s">
        <v>3979</v>
      </c>
      <c r="D1151" s="71" t="s">
        <v>3980</v>
      </c>
      <c r="E1151" s="71"/>
      <c r="F1151" s="71"/>
      <c r="G1151" s="71"/>
      <c r="H1151" s="8" t="s">
        <v>3981</v>
      </c>
      <c r="I1151" s="14">
        <v>398</v>
      </c>
      <c r="J1151" s="8"/>
      <c r="K1151" s="6">
        <v>1</v>
      </c>
      <c r="L1151" s="10">
        <v>444.38</v>
      </c>
      <c r="M1151" s="11"/>
      <c r="N1151" s="8">
        <f t="shared" si="49"/>
        <v>0</v>
      </c>
      <c r="O1151" s="12">
        <f>0.081*M1151</f>
        <v>0</v>
      </c>
      <c r="P1151" s="13">
        <f>0.00316*M1151</f>
        <v>0</v>
      </c>
      <c r="Q1151" s="17" t="s">
        <v>37</v>
      </c>
      <c r="R1151" s="8" t="s">
        <v>3982</v>
      </c>
      <c r="S1151" s="8"/>
      <c r="T1151" s="7" t="str">
        <f>HYPERLINK("https://miland.ru/api/getInfo/image/61c287dc-e0c4-11f0-a28c-00155d82e908")</f>
        <v>https://miland.ru/api/getInfo/image/61c287dc-e0c4-11f0-a28c-00155d82e908</v>
      </c>
      <c r="U1151" s="7"/>
      <c r="V1151" s="7"/>
      <c r="W1151" s="7" t="s">
        <v>82</v>
      </c>
      <c r="X1151" s="7"/>
      <c r="Y1151" s="7" t="s">
        <v>41</v>
      </c>
      <c r="Z1151" s="7"/>
      <c r="AA1151" s="7" t="str">
        <f>HYPERLINK("https://miland.ru/api/getInfo/item/61c287dc-e0c4-11f0-a28c-00155d82e908")</f>
        <v>https://miland.ru/api/getInfo/item/61c287dc-e0c4-11f0-a28c-00155d82e908</v>
      </c>
      <c r="AB1151" s="7" t="s">
        <v>42</v>
      </c>
      <c r="AC1151" s="7"/>
      <c r="AD1151" s="7"/>
      <c r="AE1151" s="54"/>
    </row>
    <row r="1152" spans="2:31" s="1" customFormat="1" ht="96.3" customHeight="1" outlineLevel="7">
      <c r="B1152" s="6">
        <v>862</v>
      </c>
      <c r="C1152" s="7" t="s">
        <v>3983</v>
      </c>
      <c r="D1152" s="71" t="s">
        <v>3984</v>
      </c>
      <c r="E1152" s="71"/>
      <c r="F1152" s="71"/>
      <c r="G1152" s="71"/>
      <c r="H1152" s="8" t="s">
        <v>3985</v>
      </c>
      <c r="I1152" s="14">
        <v>399</v>
      </c>
      <c r="J1152" s="8"/>
      <c r="K1152" s="6">
        <v>1</v>
      </c>
      <c r="L1152" s="10">
        <v>444.38</v>
      </c>
      <c r="M1152" s="11"/>
      <c r="N1152" s="8">
        <f t="shared" si="49"/>
        <v>0</v>
      </c>
      <c r="O1152" s="12">
        <f>0.091*M1152</f>
        <v>0</v>
      </c>
      <c r="P1152" s="16">
        <f>0.0024*M1152</f>
        <v>0</v>
      </c>
      <c r="Q1152" s="17" t="s">
        <v>37</v>
      </c>
      <c r="R1152" s="8" t="s">
        <v>3986</v>
      </c>
      <c r="S1152" s="8"/>
      <c r="T1152" s="7" t="str">
        <f>HYPERLINK("https://miland.ru/api/getInfo/image/553f1763-e0c3-11f0-a28c-00155d82e908")</f>
        <v>https://miland.ru/api/getInfo/image/553f1763-e0c3-11f0-a28c-00155d82e908</v>
      </c>
      <c r="U1152" s="7"/>
      <c r="V1152" s="7"/>
      <c r="W1152" s="7" t="s">
        <v>82</v>
      </c>
      <c r="X1152" s="7"/>
      <c r="Y1152" s="7" t="s">
        <v>41</v>
      </c>
      <c r="Z1152" s="7"/>
      <c r="AA1152" s="7" t="str">
        <f>HYPERLINK("https://miland.ru/api/getInfo/item/553f1763-e0c3-11f0-a28c-00155d82e908")</f>
        <v>https://miland.ru/api/getInfo/item/553f1763-e0c3-11f0-a28c-00155d82e908</v>
      </c>
      <c r="AB1152" s="7" t="s">
        <v>42</v>
      </c>
      <c r="AC1152" s="7"/>
      <c r="AD1152" s="7"/>
      <c r="AE1152" s="54"/>
    </row>
    <row r="1153" spans="2:31" s="1" customFormat="1" ht="96.3" customHeight="1" outlineLevel="7">
      <c r="B1153" s="6">
        <v>863</v>
      </c>
      <c r="C1153" s="7" t="s">
        <v>3987</v>
      </c>
      <c r="D1153" s="71" t="s">
        <v>3988</v>
      </c>
      <c r="E1153" s="71"/>
      <c r="F1153" s="71"/>
      <c r="G1153" s="71"/>
      <c r="H1153" s="8" t="s">
        <v>3989</v>
      </c>
      <c r="I1153" s="14">
        <v>438</v>
      </c>
      <c r="J1153" s="8"/>
      <c r="K1153" s="6">
        <v>1</v>
      </c>
      <c r="L1153" s="10">
        <v>444.38</v>
      </c>
      <c r="M1153" s="11"/>
      <c r="N1153" s="8">
        <f t="shared" si="49"/>
        <v>0</v>
      </c>
      <c r="O1153" s="12">
        <f>0.079*M1153</f>
        <v>0</v>
      </c>
      <c r="P1153" s="13">
        <f>0.00305*M1153</f>
        <v>0</v>
      </c>
      <c r="Q1153" s="17" t="s">
        <v>37</v>
      </c>
      <c r="R1153" s="8" t="s">
        <v>3990</v>
      </c>
      <c r="S1153" s="8"/>
      <c r="T1153" s="7" t="str">
        <f>HYPERLINK("https://miland.ru/api/getInfo/image/888289f5-e0c3-11f0-a28c-00155d82e908")</f>
        <v>https://miland.ru/api/getInfo/image/888289f5-e0c3-11f0-a28c-00155d82e908</v>
      </c>
      <c r="U1153" s="7"/>
      <c r="V1153" s="7"/>
      <c r="W1153" s="7" t="s">
        <v>82</v>
      </c>
      <c r="X1153" s="7"/>
      <c r="Y1153" s="7" t="s">
        <v>41</v>
      </c>
      <c r="Z1153" s="7"/>
      <c r="AA1153" s="7" t="str">
        <f>HYPERLINK("https://miland.ru/api/getInfo/item/888289f5-e0c3-11f0-a28c-00155d82e908")</f>
        <v>https://miland.ru/api/getInfo/item/888289f5-e0c3-11f0-a28c-00155d82e908</v>
      </c>
      <c r="AB1153" s="7" t="s">
        <v>42</v>
      </c>
      <c r="AC1153" s="7"/>
      <c r="AD1153" s="7"/>
      <c r="AE1153" s="54"/>
    </row>
    <row r="1154" spans="2:31" s="1" customFormat="1" ht="96.3" customHeight="1" outlineLevel="7">
      <c r="B1154" s="6">
        <v>864</v>
      </c>
      <c r="C1154" s="7" t="s">
        <v>3991</v>
      </c>
      <c r="D1154" s="71" t="s">
        <v>3992</v>
      </c>
      <c r="E1154" s="71"/>
      <c r="F1154" s="71"/>
      <c r="G1154" s="71"/>
      <c r="H1154" s="8" t="s">
        <v>3993</v>
      </c>
      <c r="I1154" s="14">
        <v>438</v>
      </c>
      <c r="J1154" s="8"/>
      <c r="K1154" s="6">
        <v>1</v>
      </c>
      <c r="L1154" s="10">
        <v>444.38</v>
      </c>
      <c r="M1154" s="11"/>
      <c r="N1154" s="8">
        <f t="shared" si="49"/>
        <v>0</v>
      </c>
      <c r="O1154" s="12">
        <f>0.092*M1154</f>
        <v>0</v>
      </c>
      <c r="P1154" s="13">
        <f>0.00247*M1154</f>
        <v>0</v>
      </c>
      <c r="Q1154" s="17" t="s">
        <v>37</v>
      </c>
      <c r="R1154" s="8" t="s">
        <v>3994</v>
      </c>
      <c r="S1154" s="8"/>
      <c r="T1154" s="7" t="str">
        <f>HYPERLINK("https://miland.ru/api/getInfo/image/42af01ac-e0c4-11f0-a28c-00155d82e908")</f>
        <v>https://miland.ru/api/getInfo/image/42af01ac-e0c4-11f0-a28c-00155d82e908</v>
      </c>
      <c r="U1154" s="7"/>
      <c r="V1154" s="7"/>
      <c r="W1154" s="7" t="s">
        <v>82</v>
      </c>
      <c r="X1154" s="7"/>
      <c r="Y1154" s="7" t="s">
        <v>41</v>
      </c>
      <c r="Z1154" s="7"/>
      <c r="AA1154" s="7" t="str">
        <f>HYPERLINK("https://miland.ru/api/getInfo/item/42af01ac-e0c4-11f0-a28c-00155d82e908")</f>
        <v>https://miland.ru/api/getInfo/item/42af01ac-e0c4-11f0-a28c-00155d82e908</v>
      </c>
      <c r="AB1154" s="7" t="s">
        <v>42</v>
      </c>
      <c r="AC1154" s="7"/>
      <c r="AD1154" s="7"/>
      <c r="AE1154" s="54"/>
    </row>
    <row r="1155" spans="2:31" s="1" customFormat="1" ht="96.3" customHeight="1" outlineLevel="7">
      <c r="B1155" s="6">
        <v>865</v>
      </c>
      <c r="C1155" s="7" t="s">
        <v>3995</v>
      </c>
      <c r="D1155" s="71" t="s">
        <v>3996</v>
      </c>
      <c r="E1155" s="71"/>
      <c r="F1155" s="71"/>
      <c r="G1155" s="71"/>
      <c r="H1155" s="8" t="s">
        <v>3997</v>
      </c>
      <c r="I1155" s="14">
        <v>371</v>
      </c>
      <c r="J1155" s="8"/>
      <c r="K1155" s="6">
        <v>1</v>
      </c>
      <c r="L1155" s="10">
        <v>444.38</v>
      </c>
      <c r="M1155" s="11"/>
      <c r="N1155" s="8">
        <f t="shared" si="49"/>
        <v>0</v>
      </c>
      <c r="O1155" s="12">
        <f>0.082*M1155</f>
        <v>0</v>
      </c>
      <c r="P1155" s="13">
        <f>0.00274*M1155</f>
        <v>0</v>
      </c>
      <c r="Q1155" s="17" t="s">
        <v>37</v>
      </c>
      <c r="R1155" s="8" t="s">
        <v>3998</v>
      </c>
      <c r="S1155" s="8"/>
      <c r="T1155" s="7" t="str">
        <f>HYPERLINK("https://miland.ru/api/getInfo/image/a4d6451f-e0c4-11f0-a28c-00155d82e908")</f>
        <v>https://miland.ru/api/getInfo/image/a4d6451f-e0c4-11f0-a28c-00155d82e908</v>
      </c>
      <c r="U1155" s="7"/>
      <c r="V1155" s="7"/>
      <c r="W1155" s="7" t="s">
        <v>82</v>
      </c>
      <c r="X1155" s="7"/>
      <c r="Y1155" s="7" t="s">
        <v>41</v>
      </c>
      <c r="Z1155" s="7"/>
      <c r="AA1155" s="7" t="str">
        <f>HYPERLINK("https://miland.ru/api/getInfo/item/a4d6451f-e0c4-11f0-a28c-00155d82e908")</f>
        <v>https://miland.ru/api/getInfo/item/a4d6451f-e0c4-11f0-a28c-00155d82e908</v>
      </c>
      <c r="AB1155" s="7" t="s">
        <v>42</v>
      </c>
      <c r="AC1155" s="7"/>
      <c r="AD1155" s="7"/>
      <c r="AE1155" s="54"/>
    </row>
    <row r="1156" spans="2:31" ht="12" customHeight="1" outlineLevel="6">
      <c r="B1156" s="70" t="s">
        <v>3999</v>
      </c>
      <c r="C1156" s="70"/>
      <c r="D1156" s="70"/>
      <c r="E1156" s="70"/>
      <c r="F1156" s="70"/>
      <c r="G1156" s="70"/>
    </row>
    <row r="1157" spans="2:31" ht="12" customHeight="1" outlineLevel="7">
      <c r="B1157" s="70" t="s">
        <v>3531</v>
      </c>
      <c r="C1157" s="70"/>
      <c r="D1157" s="70"/>
      <c r="E1157" s="70"/>
      <c r="F1157" s="70"/>
      <c r="G1157" s="70"/>
    </row>
    <row r="1158" spans="2:31" s="1" customFormat="1" ht="96.3" customHeight="1" outlineLevel="7">
      <c r="B1158" s="20">
        <v>866</v>
      </c>
      <c r="C1158" s="21" t="s">
        <v>4000</v>
      </c>
      <c r="D1158" s="72" t="s">
        <v>4001</v>
      </c>
      <c r="E1158" s="72"/>
      <c r="F1158" s="72"/>
      <c r="G1158" s="72"/>
      <c r="H1158" s="22" t="s">
        <v>4002</v>
      </c>
      <c r="I1158" s="27">
        <v>297</v>
      </c>
      <c r="J1158" s="22"/>
      <c r="K1158" s="20">
        <v>1</v>
      </c>
      <c r="L1158" s="32">
        <v>1076.8399999999999</v>
      </c>
      <c r="M1158" s="11"/>
      <c r="N1158" s="22">
        <f>L1158*M1158</f>
        <v>0</v>
      </c>
      <c r="O1158" s="25">
        <f>0.221*M1158</f>
        <v>0</v>
      </c>
      <c r="P1158" s="26">
        <f>0.00667*M1158</f>
        <v>0</v>
      </c>
      <c r="Q1158" s="30"/>
      <c r="R1158" s="22" t="s">
        <v>4003</v>
      </c>
      <c r="S1158" s="22"/>
      <c r="T1158" s="21" t="str">
        <f>HYPERLINK("https://miland.ru/api/getInfo/image/311c1e8e-dca4-11ef-a273-00155d82e908")</f>
        <v>https://miland.ru/api/getInfo/image/311c1e8e-dca4-11ef-a273-00155d82e908</v>
      </c>
      <c r="U1158" s="21"/>
      <c r="V1158" s="21" t="s">
        <v>710</v>
      </c>
      <c r="W1158" s="21" t="s">
        <v>82</v>
      </c>
      <c r="X1158" s="21"/>
      <c r="Y1158" s="21" t="s">
        <v>41</v>
      </c>
      <c r="Z1158" s="21"/>
      <c r="AA1158" s="21" t="str">
        <f>HYPERLINK("https://miland.ru/api/getInfo/item/311c1e8e-dca4-11ef-a273-00155d82e908")</f>
        <v>https://miland.ru/api/getInfo/item/311c1e8e-dca4-11ef-a273-00155d82e908</v>
      </c>
      <c r="AB1158" s="21" t="s">
        <v>42</v>
      </c>
      <c r="AC1158" s="21"/>
      <c r="AD1158" s="21"/>
    </row>
    <row r="1159" spans="2:31" s="1" customFormat="1" ht="96.3" customHeight="1" outlineLevel="7">
      <c r="B1159" s="20">
        <v>867</v>
      </c>
      <c r="C1159" s="21" t="s">
        <v>4004</v>
      </c>
      <c r="D1159" s="72" t="s">
        <v>4005</v>
      </c>
      <c r="E1159" s="72"/>
      <c r="F1159" s="72"/>
      <c r="G1159" s="72"/>
      <c r="H1159" s="22" t="s">
        <v>4006</v>
      </c>
      <c r="I1159" s="27">
        <v>268</v>
      </c>
      <c r="J1159" s="22"/>
      <c r="K1159" s="20">
        <v>1</v>
      </c>
      <c r="L1159" s="24">
        <v>687.66</v>
      </c>
      <c r="M1159" s="11"/>
      <c r="N1159" s="22">
        <f>L1159*M1159</f>
        <v>0</v>
      </c>
      <c r="O1159" s="25">
        <f>0.159*M1159</f>
        <v>0</v>
      </c>
      <c r="P1159" s="29">
        <f>0.0053*M1159</f>
        <v>0</v>
      </c>
      <c r="Q1159" s="30"/>
      <c r="R1159" s="22" t="s">
        <v>4007</v>
      </c>
      <c r="S1159" s="22"/>
      <c r="T1159" s="21" t="str">
        <f>HYPERLINK("https://miland.ru/api/getInfo/image/108a0f3d-dca5-11ef-a273-00155d82e908")</f>
        <v>https://miland.ru/api/getInfo/image/108a0f3d-dca5-11ef-a273-00155d82e908</v>
      </c>
      <c r="U1159" s="21"/>
      <c r="V1159" s="21" t="s">
        <v>710</v>
      </c>
      <c r="W1159" s="21" t="s">
        <v>82</v>
      </c>
      <c r="X1159" s="21"/>
      <c r="Y1159" s="21" t="s">
        <v>41</v>
      </c>
      <c r="Z1159" s="21"/>
      <c r="AA1159" s="21" t="str">
        <f>HYPERLINK("https://miland.ru/api/getInfo/item/108a0f3d-dca5-11ef-a273-00155d82e908")</f>
        <v>https://miland.ru/api/getInfo/item/108a0f3d-dca5-11ef-a273-00155d82e908</v>
      </c>
      <c r="AB1159" s="21" t="s">
        <v>42</v>
      </c>
      <c r="AC1159" s="21"/>
      <c r="AD1159" s="21"/>
    </row>
    <row r="1160" spans="2:31" s="1" customFormat="1" ht="96.3" customHeight="1" outlineLevel="7">
      <c r="B1160" s="20">
        <v>868</v>
      </c>
      <c r="C1160" s="21" t="s">
        <v>4008</v>
      </c>
      <c r="D1160" s="72" t="s">
        <v>4009</v>
      </c>
      <c r="E1160" s="72"/>
      <c r="F1160" s="72"/>
      <c r="G1160" s="72"/>
      <c r="H1160" s="22" t="s">
        <v>4010</v>
      </c>
      <c r="I1160" s="27">
        <v>185</v>
      </c>
      <c r="J1160" s="22"/>
      <c r="K1160" s="20">
        <v>1</v>
      </c>
      <c r="L1160" s="24">
        <v>877.66</v>
      </c>
      <c r="M1160" s="11"/>
      <c r="N1160" s="22">
        <f>L1160*M1160</f>
        <v>0</v>
      </c>
      <c r="O1160" s="25">
        <f>0.219*M1160</f>
        <v>0</v>
      </c>
      <c r="P1160" s="26">
        <f>0.00625*M1160</f>
        <v>0</v>
      </c>
      <c r="Q1160" s="30"/>
      <c r="R1160" s="22" t="s">
        <v>4011</v>
      </c>
      <c r="S1160" s="22" t="s">
        <v>435</v>
      </c>
      <c r="T1160" s="21" t="str">
        <f>HYPERLINK("https://miland.ru/api/getInfo/image/3a852bdd-dca5-11ef-a273-00155d82e908")</f>
        <v>https://miland.ru/api/getInfo/image/3a852bdd-dca5-11ef-a273-00155d82e908</v>
      </c>
      <c r="U1160" s="21"/>
      <c r="V1160" s="21" t="s">
        <v>710</v>
      </c>
      <c r="W1160" s="21" t="s">
        <v>82</v>
      </c>
      <c r="X1160" s="21"/>
      <c r="Y1160" s="21" t="s">
        <v>41</v>
      </c>
      <c r="Z1160" s="21"/>
      <c r="AA1160" s="21" t="str">
        <f>HYPERLINK("https://miland.ru/api/getInfo/item/3a852bdd-dca5-11ef-a273-00155d82e908")</f>
        <v>https://miland.ru/api/getInfo/item/3a852bdd-dca5-11ef-a273-00155d82e908</v>
      </c>
      <c r="AB1160" s="21" t="s">
        <v>42</v>
      </c>
      <c r="AC1160" s="21"/>
      <c r="AD1160" s="21"/>
    </row>
    <row r="1161" spans="2:31" ht="12" customHeight="1" outlineLevel="6">
      <c r="B1161" s="70" t="s">
        <v>4012</v>
      </c>
      <c r="C1161" s="70"/>
      <c r="D1161" s="70"/>
      <c r="E1161" s="70"/>
      <c r="F1161" s="70"/>
      <c r="G1161" s="70"/>
    </row>
    <row r="1162" spans="2:31" s="1" customFormat="1" ht="96.3" customHeight="1" outlineLevel="7">
      <c r="B1162" s="6">
        <v>869</v>
      </c>
      <c r="C1162" s="7" t="s">
        <v>4013</v>
      </c>
      <c r="D1162" s="71" t="s">
        <v>4014</v>
      </c>
      <c r="E1162" s="71"/>
      <c r="F1162" s="71"/>
      <c r="G1162" s="71"/>
      <c r="H1162" s="8" t="s">
        <v>4015</v>
      </c>
      <c r="I1162" s="14">
        <v>274</v>
      </c>
      <c r="J1162" s="8"/>
      <c r="K1162" s="6">
        <v>2</v>
      </c>
      <c r="L1162" s="10">
        <v>395.24</v>
      </c>
      <c r="M1162" s="11"/>
      <c r="N1162" s="8">
        <f t="shared" ref="N1162:N1186" si="50">L1162*M1162</f>
        <v>0</v>
      </c>
      <c r="O1162" s="12">
        <f>0.151*M1162</f>
        <v>0</v>
      </c>
      <c r="P1162" s="16">
        <f>0.0043*M1162</f>
        <v>0</v>
      </c>
      <c r="Q1162" s="17" t="s">
        <v>37</v>
      </c>
      <c r="R1162" s="8" t="s">
        <v>4016</v>
      </c>
      <c r="S1162" s="8"/>
      <c r="T1162" s="7" t="str">
        <f>HYPERLINK("https://miland.ru/api/getInfo/image/2b263bd4-317d-11f1-a292-00155d82e908")</f>
        <v>https://miland.ru/api/getInfo/image/2b263bd4-317d-11f1-a292-00155d82e908</v>
      </c>
      <c r="U1162" s="7"/>
      <c r="V1162" s="7"/>
      <c r="W1162" s="7"/>
      <c r="X1162" s="7"/>
      <c r="Y1162" s="7" t="s">
        <v>41</v>
      </c>
      <c r="Z1162" s="7"/>
      <c r="AA1162" s="7" t="str">
        <f>HYPERLINK("https://miland.ru/api/getInfo/item/2b263bd4-317d-11f1-a292-00155d82e908")</f>
        <v>https://miland.ru/api/getInfo/item/2b263bd4-317d-11f1-a292-00155d82e908</v>
      </c>
      <c r="AB1162" s="7" t="s">
        <v>50</v>
      </c>
      <c r="AC1162" s="7"/>
      <c r="AD1162" s="7"/>
      <c r="AE1162" s="54"/>
    </row>
    <row r="1163" spans="2:31" s="1" customFormat="1" ht="96.3" customHeight="1" outlineLevel="7">
      <c r="B1163" s="6">
        <v>870</v>
      </c>
      <c r="C1163" s="7" t="s">
        <v>4017</v>
      </c>
      <c r="D1163" s="71" t="s">
        <v>4018</v>
      </c>
      <c r="E1163" s="71"/>
      <c r="F1163" s="71"/>
      <c r="G1163" s="71"/>
      <c r="H1163" s="8" t="s">
        <v>4019</v>
      </c>
      <c r="I1163" s="14">
        <v>336</v>
      </c>
      <c r="J1163" s="8"/>
      <c r="K1163" s="6">
        <v>2</v>
      </c>
      <c r="L1163" s="10">
        <v>395.24</v>
      </c>
      <c r="M1163" s="11"/>
      <c r="N1163" s="8">
        <f t="shared" si="50"/>
        <v>0</v>
      </c>
      <c r="O1163" s="12">
        <f>0.167*M1163</f>
        <v>0</v>
      </c>
      <c r="P1163" s="13">
        <f>0.00417*M1163</f>
        <v>0</v>
      </c>
      <c r="Q1163" s="17" t="s">
        <v>37</v>
      </c>
      <c r="R1163" s="8" t="s">
        <v>4020</v>
      </c>
      <c r="S1163" s="8"/>
      <c r="T1163" s="7" t="str">
        <f>HYPERLINK("https://miland.ru/api/getInfo/image/d81b6f1e-317f-11f1-a292-00155d82e908")</f>
        <v>https://miland.ru/api/getInfo/image/d81b6f1e-317f-11f1-a292-00155d82e908</v>
      </c>
      <c r="U1163" s="7"/>
      <c r="V1163" s="7"/>
      <c r="W1163" s="7"/>
      <c r="X1163" s="7"/>
      <c r="Y1163" s="7" t="s">
        <v>41</v>
      </c>
      <c r="Z1163" s="7"/>
      <c r="AA1163" s="7" t="str">
        <f>HYPERLINK("https://miland.ru/api/getInfo/item/d81b6f1e-317f-11f1-a292-00155d82e908")</f>
        <v>https://miland.ru/api/getInfo/item/d81b6f1e-317f-11f1-a292-00155d82e908</v>
      </c>
      <c r="AB1163" s="7" t="s">
        <v>50</v>
      </c>
      <c r="AC1163" s="7"/>
      <c r="AD1163" s="7"/>
      <c r="AE1163" s="54"/>
    </row>
    <row r="1164" spans="2:31" s="1" customFormat="1" ht="96.3" customHeight="1" outlineLevel="7">
      <c r="B1164" s="20">
        <v>871</v>
      </c>
      <c r="C1164" s="21" t="s">
        <v>4021</v>
      </c>
      <c r="D1164" s="72" t="s">
        <v>4022</v>
      </c>
      <c r="E1164" s="72"/>
      <c r="F1164" s="72"/>
      <c r="G1164" s="72"/>
      <c r="H1164" s="22" t="s">
        <v>4023</v>
      </c>
      <c r="I1164" s="27">
        <v>6</v>
      </c>
      <c r="J1164" s="22"/>
      <c r="K1164" s="20">
        <v>2</v>
      </c>
      <c r="L1164" s="24">
        <v>342.65</v>
      </c>
      <c r="M1164" s="11"/>
      <c r="N1164" s="22">
        <f t="shared" si="50"/>
        <v>0</v>
      </c>
      <c r="O1164" s="25">
        <f>0.116*M1164</f>
        <v>0</v>
      </c>
      <c r="P1164" s="26">
        <f>0.00377*M1164</f>
        <v>0</v>
      </c>
      <c r="Q1164" s="30"/>
      <c r="R1164" s="22"/>
      <c r="S1164" s="22"/>
      <c r="T1164" s="21" t="str">
        <f>HYPERLINK("https://miland.ru/api/getInfo/image/3262e0eb-8b2f-11ec-a211-ac1f6b442185")</f>
        <v>https://miland.ru/api/getInfo/image/3262e0eb-8b2f-11ec-a211-ac1f6b442185</v>
      </c>
      <c r="U1164" s="21"/>
      <c r="V1164" s="21" t="s">
        <v>710</v>
      </c>
      <c r="W1164" s="21" t="s">
        <v>82</v>
      </c>
      <c r="X1164" s="21"/>
      <c r="Y1164" s="21" t="s">
        <v>41</v>
      </c>
      <c r="Z1164" s="21"/>
      <c r="AA1164" s="21" t="str">
        <f>HYPERLINK("https://miland.ru/api/getInfo/item/3262e0eb-8b2f-11ec-a211-ac1f6b442185")</f>
        <v>https://miland.ru/api/getInfo/item/3262e0eb-8b2f-11ec-a211-ac1f6b442185</v>
      </c>
      <c r="AB1164" s="21" t="s">
        <v>42</v>
      </c>
      <c r="AC1164" s="21" t="s">
        <v>4024</v>
      </c>
      <c r="AD1164" s="21" t="s">
        <v>4025</v>
      </c>
    </row>
    <row r="1165" spans="2:31" s="1" customFormat="1" ht="96.3" customHeight="1" outlineLevel="7">
      <c r="B1165" s="20">
        <v>872</v>
      </c>
      <c r="C1165" s="21" t="s">
        <v>4026</v>
      </c>
      <c r="D1165" s="72" t="s">
        <v>4027</v>
      </c>
      <c r="E1165" s="72"/>
      <c r="F1165" s="72"/>
      <c r="G1165" s="72"/>
      <c r="H1165" s="22" t="s">
        <v>4028</v>
      </c>
      <c r="I1165" s="27">
        <v>8</v>
      </c>
      <c r="J1165" s="22"/>
      <c r="K1165" s="20">
        <v>2</v>
      </c>
      <c r="L1165" s="24">
        <v>342.65</v>
      </c>
      <c r="M1165" s="11"/>
      <c r="N1165" s="22">
        <f t="shared" si="50"/>
        <v>0</v>
      </c>
      <c r="O1165" s="28">
        <f>0.11*M1165</f>
        <v>0</v>
      </c>
      <c r="P1165" s="26">
        <f>0.00338*M1165</f>
        <v>0</v>
      </c>
      <c r="Q1165" s="30"/>
      <c r="R1165" s="22" t="s">
        <v>4029</v>
      </c>
      <c r="S1165" s="22" t="s">
        <v>435</v>
      </c>
      <c r="T1165" s="21" t="str">
        <f>HYPERLINK("https://miland.ru/api/getInfo/image/e2a05107-8b30-11ec-a211-ac1f6b442185")</f>
        <v>https://miland.ru/api/getInfo/image/e2a05107-8b30-11ec-a211-ac1f6b442185</v>
      </c>
      <c r="U1165" s="21"/>
      <c r="V1165" s="21" t="s">
        <v>710</v>
      </c>
      <c r="W1165" s="21" t="s">
        <v>82</v>
      </c>
      <c r="X1165" s="21"/>
      <c r="Y1165" s="21" t="s">
        <v>41</v>
      </c>
      <c r="Z1165" s="21"/>
      <c r="AA1165" s="21" t="str">
        <f>HYPERLINK("https://miland.ru/api/getInfo/item/e2a05107-8b30-11ec-a211-ac1f6b442185")</f>
        <v>https://miland.ru/api/getInfo/item/e2a05107-8b30-11ec-a211-ac1f6b442185</v>
      </c>
      <c r="AB1165" s="21" t="s">
        <v>42</v>
      </c>
      <c r="AC1165" s="21" t="s">
        <v>4024</v>
      </c>
      <c r="AD1165" s="21"/>
    </row>
    <row r="1166" spans="2:31" s="1" customFormat="1" ht="96.3" customHeight="1" outlineLevel="7">
      <c r="B1166" s="6">
        <v>873</v>
      </c>
      <c r="C1166" s="7" t="s">
        <v>4030</v>
      </c>
      <c r="D1166" s="71" t="s">
        <v>4031</v>
      </c>
      <c r="E1166" s="71"/>
      <c r="F1166" s="71"/>
      <c r="G1166" s="71"/>
      <c r="H1166" s="8" t="s">
        <v>4032</v>
      </c>
      <c r="I1166" s="9" t="s">
        <v>36</v>
      </c>
      <c r="J1166" s="8"/>
      <c r="K1166" s="6">
        <v>2</v>
      </c>
      <c r="L1166" s="10">
        <v>395.24</v>
      </c>
      <c r="M1166" s="11"/>
      <c r="N1166" s="8">
        <f t="shared" si="50"/>
        <v>0</v>
      </c>
      <c r="O1166" s="12">
        <f>0.148*M1166</f>
        <v>0</v>
      </c>
      <c r="P1166" s="13">
        <f>0.00397*M1166</f>
        <v>0</v>
      </c>
      <c r="Q1166" s="17" t="s">
        <v>37</v>
      </c>
      <c r="R1166" s="8" t="s">
        <v>4033</v>
      </c>
      <c r="S1166" s="8"/>
      <c r="T1166" s="7" t="str">
        <f>HYPERLINK("https://miland.ru/api/getInfo/image/9a1cd1ba-317f-11f1-a292-00155d82e908")</f>
        <v>https://miland.ru/api/getInfo/image/9a1cd1ba-317f-11f1-a292-00155d82e908</v>
      </c>
      <c r="U1166" s="7"/>
      <c r="V1166" s="7"/>
      <c r="W1166" s="7"/>
      <c r="X1166" s="7"/>
      <c r="Y1166" s="7" t="s">
        <v>41</v>
      </c>
      <c r="Z1166" s="7"/>
      <c r="AA1166" s="7" t="str">
        <f>HYPERLINK("https://miland.ru/api/getInfo/item/9a1cd1ba-317f-11f1-a292-00155d82e908")</f>
        <v>https://miland.ru/api/getInfo/item/9a1cd1ba-317f-11f1-a292-00155d82e908</v>
      </c>
      <c r="AB1166" s="7" t="s">
        <v>50</v>
      </c>
      <c r="AC1166" s="7"/>
      <c r="AD1166" s="7"/>
      <c r="AE1166" s="54"/>
    </row>
    <row r="1167" spans="2:31" s="1" customFormat="1" ht="96.3" customHeight="1" outlineLevel="7">
      <c r="B1167" s="6">
        <v>874</v>
      </c>
      <c r="C1167" s="7" t="s">
        <v>4034</v>
      </c>
      <c r="D1167" s="71" t="s">
        <v>4035</v>
      </c>
      <c r="E1167" s="71"/>
      <c r="F1167" s="71"/>
      <c r="G1167" s="71"/>
      <c r="H1167" s="8" t="s">
        <v>4036</v>
      </c>
      <c r="I1167" s="9" t="s">
        <v>36</v>
      </c>
      <c r="J1167" s="8"/>
      <c r="K1167" s="6">
        <v>2</v>
      </c>
      <c r="L1167" s="10">
        <v>395.24</v>
      </c>
      <c r="M1167" s="11"/>
      <c r="N1167" s="8">
        <f t="shared" si="50"/>
        <v>0</v>
      </c>
      <c r="O1167" s="12">
        <f>0.149*M1167</f>
        <v>0</v>
      </c>
      <c r="P1167" s="13">
        <f>0.00428*M1167</f>
        <v>0</v>
      </c>
      <c r="Q1167" s="17" t="s">
        <v>37</v>
      </c>
      <c r="R1167" s="8" t="s">
        <v>4037</v>
      </c>
      <c r="S1167" s="8"/>
      <c r="T1167" s="7" t="str">
        <f>HYPERLINK("https://miland.ru/api/getInfo/image/c3eee945-317f-11f1-a292-00155d82e908")</f>
        <v>https://miland.ru/api/getInfo/image/c3eee945-317f-11f1-a292-00155d82e908</v>
      </c>
      <c r="U1167" s="7"/>
      <c r="V1167" s="7"/>
      <c r="W1167" s="7"/>
      <c r="X1167" s="7"/>
      <c r="Y1167" s="7" t="s">
        <v>41</v>
      </c>
      <c r="Z1167" s="7"/>
      <c r="AA1167" s="7" t="str">
        <f>HYPERLINK("https://miland.ru/api/getInfo/item/c3eee945-317f-11f1-a292-00155d82e908")</f>
        <v>https://miland.ru/api/getInfo/item/c3eee945-317f-11f1-a292-00155d82e908</v>
      </c>
      <c r="AB1167" s="7" t="s">
        <v>50</v>
      </c>
      <c r="AC1167" s="7"/>
      <c r="AD1167" s="7"/>
      <c r="AE1167" s="54"/>
    </row>
    <row r="1168" spans="2:31" s="1" customFormat="1" ht="96.3" customHeight="1" outlineLevel="7">
      <c r="B1168" s="6">
        <v>875</v>
      </c>
      <c r="C1168" s="7" t="s">
        <v>4038</v>
      </c>
      <c r="D1168" s="71" t="s">
        <v>4039</v>
      </c>
      <c r="E1168" s="71"/>
      <c r="F1168" s="71"/>
      <c r="G1168" s="71"/>
      <c r="H1168" s="8" t="s">
        <v>4040</v>
      </c>
      <c r="I1168" s="9" t="s">
        <v>36</v>
      </c>
      <c r="J1168" s="8"/>
      <c r="K1168" s="6">
        <v>2</v>
      </c>
      <c r="L1168" s="10">
        <v>395.24</v>
      </c>
      <c r="M1168" s="11"/>
      <c r="N1168" s="8">
        <f t="shared" si="50"/>
        <v>0</v>
      </c>
      <c r="O1168" s="12">
        <f>0.141*M1168</f>
        <v>0</v>
      </c>
      <c r="P1168" s="13">
        <f>0.00407*M1168</f>
        <v>0</v>
      </c>
      <c r="Q1168" s="17" t="s">
        <v>37</v>
      </c>
      <c r="R1168" s="8" t="s">
        <v>4041</v>
      </c>
      <c r="S1168" s="8"/>
      <c r="T1168" s="7" t="str">
        <f>HYPERLINK("https://miland.ru/api/getInfo/image/406012cc-317d-11f1-a292-00155d82e908")</f>
        <v>https://miland.ru/api/getInfo/image/406012cc-317d-11f1-a292-00155d82e908</v>
      </c>
      <c r="U1168" s="7"/>
      <c r="V1168" s="7"/>
      <c r="W1168" s="7"/>
      <c r="X1168" s="7"/>
      <c r="Y1168" s="7" t="s">
        <v>41</v>
      </c>
      <c r="Z1168" s="7"/>
      <c r="AA1168" s="7" t="str">
        <f>HYPERLINK("https://miland.ru/api/getInfo/item/406012cc-317d-11f1-a292-00155d82e908")</f>
        <v>https://miland.ru/api/getInfo/item/406012cc-317d-11f1-a292-00155d82e908</v>
      </c>
      <c r="AB1168" s="7" t="s">
        <v>50</v>
      </c>
      <c r="AC1168" s="7"/>
      <c r="AD1168" s="7"/>
      <c r="AE1168" s="54"/>
    </row>
    <row r="1169" spans="2:31" s="1" customFormat="1" ht="96.3" customHeight="1" outlineLevel="7">
      <c r="B1169" s="6">
        <v>876</v>
      </c>
      <c r="C1169" s="7" t="s">
        <v>4042</v>
      </c>
      <c r="D1169" s="71" t="s">
        <v>4043</v>
      </c>
      <c r="E1169" s="71"/>
      <c r="F1169" s="71"/>
      <c r="G1169" s="71"/>
      <c r="H1169" s="8" t="s">
        <v>4044</v>
      </c>
      <c r="I1169" s="14">
        <v>452</v>
      </c>
      <c r="J1169" s="8"/>
      <c r="K1169" s="6">
        <v>2</v>
      </c>
      <c r="L1169" s="10">
        <v>395.24</v>
      </c>
      <c r="M1169" s="11"/>
      <c r="N1169" s="8">
        <f t="shared" si="50"/>
        <v>0</v>
      </c>
      <c r="O1169" s="12">
        <f>0.149*M1169</f>
        <v>0</v>
      </c>
      <c r="P1169" s="16">
        <f>0.0044*M1169</f>
        <v>0</v>
      </c>
      <c r="Q1169" s="17" t="s">
        <v>37</v>
      </c>
      <c r="R1169" s="8" t="s">
        <v>4045</v>
      </c>
      <c r="S1169" s="8"/>
      <c r="T1169" s="7" t="str">
        <f>HYPERLINK("https://miland.ru/api/getInfo/image/ed824a7e-317f-11f1-a292-00155d82e908")</f>
        <v>https://miland.ru/api/getInfo/image/ed824a7e-317f-11f1-a292-00155d82e908</v>
      </c>
      <c r="U1169" s="7"/>
      <c r="V1169" s="7"/>
      <c r="W1169" s="7"/>
      <c r="X1169" s="7"/>
      <c r="Y1169" s="7" t="s">
        <v>41</v>
      </c>
      <c r="Z1169" s="7"/>
      <c r="AA1169" s="7" t="str">
        <f>HYPERLINK("https://miland.ru/api/getInfo/item/ed824a7e-317f-11f1-a292-00155d82e908")</f>
        <v>https://miland.ru/api/getInfo/item/ed824a7e-317f-11f1-a292-00155d82e908</v>
      </c>
      <c r="AB1169" s="7" t="s">
        <v>50</v>
      </c>
      <c r="AC1169" s="7"/>
      <c r="AD1169" s="7"/>
      <c r="AE1169" s="54"/>
    </row>
    <row r="1170" spans="2:31" s="1" customFormat="1" ht="96.3" customHeight="1" outlineLevel="7">
      <c r="B1170" s="6">
        <v>877</v>
      </c>
      <c r="C1170" s="7" t="s">
        <v>4046</v>
      </c>
      <c r="D1170" s="71" t="s">
        <v>4047</v>
      </c>
      <c r="E1170" s="71"/>
      <c r="F1170" s="71"/>
      <c r="G1170" s="71"/>
      <c r="H1170" s="8" t="s">
        <v>4048</v>
      </c>
      <c r="I1170" s="14">
        <v>290</v>
      </c>
      <c r="J1170" s="8"/>
      <c r="K1170" s="6">
        <v>2</v>
      </c>
      <c r="L1170" s="10">
        <v>395.24</v>
      </c>
      <c r="M1170" s="11"/>
      <c r="N1170" s="8">
        <f t="shared" si="50"/>
        <v>0</v>
      </c>
      <c r="O1170" s="12">
        <f>0.154*M1170</f>
        <v>0</v>
      </c>
      <c r="P1170" s="13">
        <f>0.00438*M1170</f>
        <v>0</v>
      </c>
      <c r="Q1170" s="17" t="s">
        <v>37</v>
      </c>
      <c r="R1170" s="8" t="s">
        <v>4049</v>
      </c>
      <c r="S1170" s="8"/>
      <c r="T1170" s="7" t="str">
        <f>HYPERLINK("https://miland.ru/api/getInfo/image/171fdb11-317d-11f1-a292-00155d82e908")</f>
        <v>https://miland.ru/api/getInfo/image/171fdb11-317d-11f1-a292-00155d82e908</v>
      </c>
      <c r="U1170" s="7"/>
      <c r="V1170" s="7"/>
      <c r="W1170" s="7"/>
      <c r="X1170" s="7"/>
      <c r="Y1170" s="7" t="s">
        <v>41</v>
      </c>
      <c r="Z1170" s="7"/>
      <c r="AA1170" s="7" t="str">
        <f>HYPERLINK("https://miland.ru/api/getInfo/item/171fdb11-317d-11f1-a292-00155d82e908")</f>
        <v>https://miland.ru/api/getInfo/item/171fdb11-317d-11f1-a292-00155d82e908</v>
      </c>
      <c r="AB1170" s="7" t="s">
        <v>50</v>
      </c>
      <c r="AC1170" s="7"/>
      <c r="AD1170" s="7"/>
      <c r="AE1170" s="54"/>
    </row>
    <row r="1171" spans="2:31" s="1" customFormat="1" ht="96.3" customHeight="1" outlineLevel="7">
      <c r="B1171" s="6">
        <v>878</v>
      </c>
      <c r="C1171" s="7" t="s">
        <v>4050</v>
      </c>
      <c r="D1171" s="71" t="s">
        <v>4051</v>
      </c>
      <c r="E1171" s="71"/>
      <c r="F1171" s="71"/>
      <c r="G1171" s="71"/>
      <c r="H1171" s="8" t="s">
        <v>4052</v>
      </c>
      <c r="I1171" s="9" t="s">
        <v>36</v>
      </c>
      <c r="J1171" s="8"/>
      <c r="K1171" s="6">
        <v>2</v>
      </c>
      <c r="L1171" s="10">
        <v>395.24</v>
      </c>
      <c r="M1171" s="11"/>
      <c r="N1171" s="8">
        <f t="shared" si="50"/>
        <v>0</v>
      </c>
      <c r="O1171" s="12">
        <f>0.157*M1171</f>
        <v>0</v>
      </c>
      <c r="P1171" s="13">
        <f>0.00425*M1171</f>
        <v>0</v>
      </c>
      <c r="Q1171" s="17" t="s">
        <v>37</v>
      </c>
      <c r="R1171" s="8" t="s">
        <v>4053</v>
      </c>
      <c r="S1171" s="8"/>
      <c r="T1171" s="7" t="str">
        <f>HYPERLINK("https://miland.ru/api/getInfo/image/ad795d1a-317f-11f1-a292-00155d82e908")</f>
        <v>https://miland.ru/api/getInfo/image/ad795d1a-317f-11f1-a292-00155d82e908</v>
      </c>
      <c r="U1171" s="7"/>
      <c r="V1171" s="7"/>
      <c r="W1171" s="7"/>
      <c r="X1171" s="7"/>
      <c r="Y1171" s="7" t="s">
        <v>41</v>
      </c>
      <c r="Z1171" s="7"/>
      <c r="AA1171" s="7" t="str">
        <f>HYPERLINK("https://miland.ru/api/getInfo/item/ad795d1a-317f-11f1-a292-00155d82e908")</f>
        <v>https://miland.ru/api/getInfo/item/ad795d1a-317f-11f1-a292-00155d82e908</v>
      </c>
      <c r="AB1171" s="7" t="s">
        <v>50</v>
      </c>
      <c r="AC1171" s="7"/>
      <c r="AD1171" s="7"/>
      <c r="AE1171" s="54"/>
    </row>
    <row r="1172" spans="2:31" s="1" customFormat="1" ht="96.3" customHeight="1" outlineLevel="7">
      <c r="B1172" s="20">
        <v>879</v>
      </c>
      <c r="C1172" s="21" t="s">
        <v>4054</v>
      </c>
      <c r="D1172" s="72" t="s">
        <v>4055</v>
      </c>
      <c r="E1172" s="72"/>
      <c r="F1172" s="72"/>
      <c r="G1172" s="72"/>
      <c r="H1172" s="22" t="s">
        <v>4056</v>
      </c>
      <c r="I1172" s="27">
        <v>14</v>
      </c>
      <c r="J1172" s="22"/>
      <c r="K1172" s="20">
        <v>2</v>
      </c>
      <c r="L1172" s="24">
        <v>342.65</v>
      </c>
      <c r="M1172" s="11"/>
      <c r="N1172" s="22">
        <f t="shared" si="50"/>
        <v>0</v>
      </c>
      <c r="O1172" s="25">
        <f>0.127*M1172</f>
        <v>0</v>
      </c>
      <c r="P1172" s="26">
        <f>0.00365*M1172</f>
        <v>0</v>
      </c>
      <c r="Q1172" s="30"/>
      <c r="R1172" s="22"/>
      <c r="S1172" s="22"/>
      <c r="T1172" s="21" t="str">
        <f>HYPERLINK("https://miland.ru/api/getInfo/image/7a003b3a-8b30-11ec-a211-ac1f6b442185")</f>
        <v>https://miland.ru/api/getInfo/image/7a003b3a-8b30-11ec-a211-ac1f6b442185</v>
      </c>
      <c r="U1172" s="21"/>
      <c r="V1172" s="21" t="s">
        <v>710</v>
      </c>
      <c r="W1172" s="21" t="s">
        <v>82</v>
      </c>
      <c r="X1172" s="21"/>
      <c r="Y1172" s="21" t="s">
        <v>41</v>
      </c>
      <c r="Z1172" s="21"/>
      <c r="AA1172" s="21" t="str">
        <f>HYPERLINK("https://miland.ru/api/getInfo/item/7a003b3a-8b30-11ec-a211-ac1f6b442185")</f>
        <v>https://miland.ru/api/getInfo/item/7a003b3a-8b30-11ec-a211-ac1f6b442185</v>
      </c>
      <c r="AB1172" s="21" t="s">
        <v>42</v>
      </c>
      <c r="AC1172" s="21" t="s">
        <v>4024</v>
      </c>
      <c r="AD1172" s="21" t="s">
        <v>4057</v>
      </c>
    </row>
    <row r="1173" spans="2:31" s="1" customFormat="1" ht="96.3" customHeight="1" outlineLevel="7">
      <c r="B1173" s="6">
        <v>880</v>
      </c>
      <c r="C1173" s="7" t="s">
        <v>4058</v>
      </c>
      <c r="D1173" s="71" t="s">
        <v>4059</v>
      </c>
      <c r="E1173" s="71"/>
      <c r="F1173" s="71"/>
      <c r="G1173" s="71"/>
      <c r="H1173" s="8" t="s">
        <v>4060</v>
      </c>
      <c r="I1173" s="14">
        <v>316</v>
      </c>
      <c r="J1173" s="8"/>
      <c r="K1173" s="6">
        <v>2</v>
      </c>
      <c r="L1173" s="10">
        <v>395.24</v>
      </c>
      <c r="M1173" s="11"/>
      <c r="N1173" s="8">
        <f t="shared" si="50"/>
        <v>0</v>
      </c>
      <c r="O1173" s="12">
        <f>0.155*M1173</f>
        <v>0</v>
      </c>
      <c r="P1173" s="13">
        <f>0.00422*M1173</f>
        <v>0</v>
      </c>
      <c r="Q1173" s="17" t="s">
        <v>37</v>
      </c>
      <c r="R1173" s="8" t="s">
        <v>4061</v>
      </c>
      <c r="S1173" s="8"/>
      <c r="T1173" s="7" t="str">
        <f>HYPERLINK("https://miland.ru/api/getInfo/image/efee11e4-317c-11f1-a292-00155d82e908")</f>
        <v>https://miland.ru/api/getInfo/image/efee11e4-317c-11f1-a292-00155d82e908</v>
      </c>
      <c r="U1173" s="7"/>
      <c r="V1173" s="7"/>
      <c r="W1173" s="7"/>
      <c r="X1173" s="7"/>
      <c r="Y1173" s="7" t="s">
        <v>41</v>
      </c>
      <c r="Z1173" s="7"/>
      <c r="AA1173" s="7" t="str">
        <f>HYPERLINK("https://miland.ru/api/getInfo/item/efee11e4-317c-11f1-a292-00155d82e908")</f>
        <v>https://miland.ru/api/getInfo/item/efee11e4-317c-11f1-a292-00155d82e908</v>
      </c>
      <c r="AB1173" s="7" t="s">
        <v>50</v>
      </c>
      <c r="AC1173" s="7"/>
      <c r="AD1173" s="7"/>
      <c r="AE1173" s="54"/>
    </row>
    <row r="1174" spans="2:31" s="1" customFormat="1" ht="96.3" customHeight="1" outlineLevel="7">
      <c r="B1174" s="6">
        <v>881</v>
      </c>
      <c r="C1174" s="7" t="s">
        <v>4062</v>
      </c>
      <c r="D1174" s="71" t="s">
        <v>4063</v>
      </c>
      <c r="E1174" s="71"/>
      <c r="F1174" s="71"/>
      <c r="G1174" s="71"/>
      <c r="H1174" s="8" t="s">
        <v>4064</v>
      </c>
      <c r="I1174" s="14">
        <v>313</v>
      </c>
      <c r="J1174" s="8"/>
      <c r="K1174" s="6">
        <v>1</v>
      </c>
      <c r="L1174" s="10">
        <v>810.32</v>
      </c>
      <c r="M1174" s="11"/>
      <c r="N1174" s="8">
        <f t="shared" si="50"/>
        <v>0</v>
      </c>
      <c r="O1174" s="12">
        <f>0.326*M1174</f>
        <v>0</v>
      </c>
      <c r="P1174" s="13">
        <f>0.00957*M1174</f>
        <v>0</v>
      </c>
      <c r="Q1174" s="17" t="s">
        <v>37</v>
      </c>
      <c r="R1174" s="8" t="s">
        <v>4065</v>
      </c>
      <c r="S1174" s="8"/>
      <c r="T1174" s="7" t="str">
        <f>HYPERLINK("https://miland.ru/api/getInfo/image/95c33ca6-317a-11f1-a292-00155d82e908")</f>
        <v>https://miland.ru/api/getInfo/image/95c33ca6-317a-11f1-a292-00155d82e908</v>
      </c>
      <c r="U1174" s="7"/>
      <c r="V1174" s="7"/>
      <c r="W1174" s="7"/>
      <c r="X1174" s="7"/>
      <c r="Y1174" s="7" t="s">
        <v>41</v>
      </c>
      <c r="Z1174" s="7"/>
      <c r="AA1174" s="7" t="str">
        <f>HYPERLINK("https://miland.ru/api/getInfo/item/95c33ca6-317a-11f1-a292-00155d82e908")</f>
        <v>https://miland.ru/api/getInfo/item/95c33ca6-317a-11f1-a292-00155d82e908</v>
      </c>
      <c r="AB1174" s="7" t="s">
        <v>50</v>
      </c>
      <c r="AC1174" s="7"/>
      <c r="AD1174" s="7"/>
      <c r="AE1174" s="54"/>
    </row>
    <row r="1175" spans="2:31" s="1" customFormat="1" ht="96.3" customHeight="1" outlineLevel="7">
      <c r="B1175" s="6">
        <v>882</v>
      </c>
      <c r="C1175" s="7" t="s">
        <v>4066</v>
      </c>
      <c r="D1175" s="71" t="s">
        <v>4067</v>
      </c>
      <c r="E1175" s="71"/>
      <c r="F1175" s="71"/>
      <c r="G1175" s="71"/>
      <c r="H1175" s="8" t="s">
        <v>4068</v>
      </c>
      <c r="I1175" s="14">
        <v>257</v>
      </c>
      <c r="J1175" s="8"/>
      <c r="K1175" s="6">
        <v>1</v>
      </c>
      <c r="L1175" s="10">
        <v>810.32</v>
      </c>
      <c r="M1175" s="11"/>
      <c r="N1175" s="8">
        <f t="shared" si="50"/>
        <v>0</v>
      </c>
      <c r="O1175" s="12">
        <f>0.356*M1175</f>
        <v>0</v>
      </c>
      <c r="P1175" s="13">
        <f>0.00962*M1175</f>
        <v>0</v>
      </c>
      <c r="Q1175" s="17" t="s">
        <v>37</v>
      </c>
      <c r="R1175" s="8" t="s">
        <v>4069</v>
      </c>
      <c r="S1175" s="8"/>
      <c r="T1175" s="7" t="str">
        <f>HYPERLINK("https://miland.ru/api/getInfo/image/e48b0290-317b-11f1-a292-00155d82e908")</f>
        <v>https://miland.ru/api/getInfo/image/e48b0290-317b-11f1-a292-00155d82e908</v>
      </c>
      <c r="U1175" s="7"/>
      <c r="V1175" s="7"/>
      <c r="W1175" s="7"/>
      <c r="X1175" s="7"/>
      <c r="Y1175" s="7" t="s">
        <v>41</v>
      </c>
      <c r="Z1175" s="7"/>
      <c r="AA1175" s="7" t="str">
        <f>HYPERLINK("https://miland.ru/api/getInfo/item/e48b0290-317b-11f1-a292-00155d82e908")</f>
        <v>https://miland.ru/api/getInfo/item/e48b0290-317b-11f1-a292-00155d82e908</v>
      </c>
      <c r="AB1175" s="7" t="s">
        <v>50</v>
      </c>
      <c r="AC1175" s="7"/>
      <c r="AD1175" s="7"/>
      <c r="AE1175" s="54"/>
    </row>
    <row r="1176" spans="2:31" s="1" customFormat="1" ht="96.3" customHeight="1" outlineLevel="7">
      <c r="B1176" s="6">
        <v>883</v>
      </c>
      <c r="C1176" s="7" t="s">
        <v>4070</v>
      </c>
      <c r="D1176" s="71" t="s">
        <v>4071</v>
      </c>
      <c r="E1176" s="71"/>
      <c r="F1176" s="71"/>
      <c r="G1176" s="71"/>
      <c r="H1176" s="8" t="s">
        <v>4072</v>
      </c>
      <c r="I1176" s="9" t="s">
        <v>36</v>
      </c>
      <c r="J1176" s="8"/>
      <c r="K1176" s="6">
        <v>1</v>
      </c>
      <c r="L1176" s="10">
        <v>810.32</v>
      </c>
      <c r="M1176" s="11"/>
      <c r="N1176" s="8">
        <f t="shared" si="50"/>
        <v>0</v>
      </c>
      <c r="O1176" s="18">
        <f>0.28*M1176</f>
        <v>0</v>
      </c>
      <c r="P1176" s="13">
        <f>0.00971*M1176</f>
        <v>0</v>
      </c>
      <c r="Q1176" s="17" t="s">
        <v>37</v>
      </c>
      <c r="R1176" s="8" t="s">
        <v>4073</v>
      </c>
      <c r="S1176" s="8"/>
      <c r="T1176" s="7" t="str">
        <f>HYPERLINK("https://miland.ru/api/getInfo/image/6e944e45-317c-11f1-a292-00155d82e908")</f>
        <v>https://miland.ru/api/getInfo/image/6e944e45-317c-11f1-a292-00155d82e908</v>
      </c>
      <c r="U1176" s="7"/>
      <c r="V1176" s="7"/>
      <c r="W1176" s="7"/>
      <c r="X1176" s="7"/>
      <c r="Y1176" s="7" t="s">
        <v>41</v>
      </c>
      <c r="Z1176" s="7"/>
      <c r="AA1176" s="7" t="str">
        <f>HYPERLINK("https://miland.ru/api/getInfo/item/6e944e45-317c-11f1-a292-00155d82e908")</f>
        <v>https://miland.ru/api/getInfo/item/6e944e45-317c-11f1-a292-00155d82e908</v>
      </c>
      <c r="AB1176" s="7" t="s">
        <v>50</v>
      </c>
      <c r="AC1176" s="7"/>
      <c r="AD1176" s="7"/>
      <c r="AE1176" s="54"/>
    </row>
    <row r="1177" spans="2:31" s="1" customFormat="1" ht="96.3" customHeight="1" outlineLevel="7">
      <c r="B1177" s="6">
        <v>884</v>
      </c>
      <c r="C1177" s="7" t="s">
        <v>4074</v>
      </c>
      <c r="D1177" s="71" t="s">
        <v>4075</v>
      </c>
      <c r="E1177" s="71"/>
      <c r="F1177" s="71"/>
      <c r="G1177" s="71"/>
      <c r="H1177" s="8" t="s">
        <v>4076</v>
      </c>
      <c r="I1177" s="9" t="s">
        <v>36</v>
      </c>
      <c r="J1177" s="8"/>
      <c r="K1177" s="6">
        <v>1</v>
      </c>
      <c r="L1177" s="10">
        <v>810.32</v>
      </c>
      <c r="M1177" s="11"/>
      <c r="N1177" s="8">
        <f t="shared" si="50"/>
        <v>0</v>
      </c>
      <c r="O1177" s="18">
        <f>0.36*M1177</f>
        <v>0</v>
      </c>
      <c r="P1177" s="13">
        <f>0.00961*M1177</f>
        <v>0</v>
      </c>
      <c r="Q1177" s="17" t="s">
        <v>37</v>
      </c>
      <c r="R1177" s="8" t="s">
        <v>4077</v>
      </c>
      <c r="S1177" s="8"/>
      <c r="T1177" s="7" t="str">
        <f>HYPERLINK("https://miland.ru/api/getInfo/image/36519769-317c-11f1-a292-00155d82e908")</f>
        <v>https://miland.ru/api/getInfo/image/36519769-317c-11f1-a292-00155d82e908</v>
      </c>
      <c r="U1177" s="7"/>
      <c r="V1177" s="7"/>
      <c r="W1177" s="7"/>
      <c r="X1177" s="7"/>
      <c r="Y1177" s="7" t="s">
        <v>41</v>
      </c>
      <c r="Z1177" s="7"/>
      <c r="AA1177" s="7" t="str">
        <f>HYPERLINK("https://miland.ru/api/getInfo/item/36519769-317c-11f1-a292-00155d82e908")</f>
        <v>https://miland.ru/api/getInfo/item/36519769-317c-11f1-a292-00155d82e908</v>
      </c>
      <c r="AB1177" s="7" t="s">
        <v>50</v>
      </c>
      <c r="AC1177" s="7"/>
      <c r="AD1177" s="7"/>
      <c r="AE1177" s="54"/>
    </row>
    <row r="1178" spans="2:31" s="1" customFormat="1" ht="96.3" customHeight="1" outlineLevel="7">
      <c r="B1178" s="6">
        <v>885</v>
      </c>
      <c r="C1178" s="7" t="s">
        <v>4078</v>
      </c>
      <c r="D1178" s="71" t="s">
        <v>4079</v>
      </c>
      <c r="E1178" s="71"/>
      <c r="F1178" s="71"/>
      <c r="G1178" s="71"/>
      <c r="H1178" s="8" t="s">
        <v>4080</v>
      </c>
      <c r="I1178" s="9" t="s">
        <v>36</v>
      </c>
      <c r="J1178" s="8"/>
      <c r="K1178" s="6">
        <v>1</v>
      </c>
      <c r="L1178" s="10">
        <v>810.32</v>
      </c>
      <c r="M1178" s="11"/>
      <c r="N1178" s="8">
        <f t="shared" si="50"/>
        <v>0</v>
      </c>
      <c r="O1178" s="12">
        <f>0.289*M1178</f>
        <v>0</v>
      </c>
      <c r="P1178" s="16">
        <f>0.0093*M1178</f>
        <v>0</v>
      </c>
      <c r="Q1178" s="17" t="s">
        <v>37</v>
      </c>
      <c r="R1178" s="8" t="s">
        <v>4081</v>
      </c>
      <c r="S1178" s="8"/>
      <c r="T1178" s="7" t="str">
        <f>HYPERLINK("https://miland.ru/api/getInfo/image/afcd2fb3-317c-11f1-a292-00155d82e908")</f>
        <v>https://miland.ru/api/getInfo/image/afcd2fb3-317c-11f1-a292-00155d82e908</v>
      </c>
      <c r="U1178" s="7"/>
      <c r="V1178" s="7"/>
      <c r="W1178" s="7"/>
      <c r="X1178" s="7"/>
      <c r="Y1178" s="7" t="s">
        <v>41</v>
      </c>
      <c r="Z1178" s="7"/>
      <c r="AA1178" s="7" t="str">
        <f>HYPERLINK("https://miland.ru/api/getInfo/item/afcd2fb3-317c-11f1-a292-00155d82e908")</f>
        <v>https://miland.ru/api/getInfo/item/afcd2fb3-317c-11f1-a292-00155d82e908</v>
      </c>
      <c r="AB1178" s="7" t="s">
        <v>50</v>
      </c>
      <c r="AC1178" s="7"/>
      <c r="AD1178" s="7"/>
      <c r="AE1178" s="54"/>
    </row>
    <row r="1179" spans="2:31" s="1" customFormat="1" ht="96.3" customHeight="1" outlineLevel="7">
      <c r="B1179" s="6">
        <v>886</v>
      </c>
      <c r="C1179" s="7" t="s">
        <v>4082</v>
      </c>
      <c r="D1179" s="71" t="s">
        <v>4083</v>
      </c>
      <c r="E1179" s="71"/>
      <c r="F1179" s="71"/>
      <c r="G1179" s="71"/>
      <c r="H1179" s="8" t="s">
        <v>4084</v>
      </c>
      <c r="I1179" s="14">
        <v>287</v>
      </c>
      <c r="J1179" s="8"/>
      <c r="K1179" s="6">
        <v>1</v>
      </c>
      <c r="L1179" s="10">
        <v>810.32</v>
      </c>
      <c r="M1179" s="11"/>
      <c r="N1179" s="8">
        <f t="shared" si="50"/>
        <v>0</v>
      </c>
      <c r="O1179" s="12">
        <f>0.294*M1179</f>
        <v>0</v>
      </c>
      <c r="P1179" s="13">
        <f>0.00953*M1179</f>
        <v>0</v>
      </c>
      <c r="Q1179" s="17" t="s">
        <v>37</v>
      </c>
      <c r="R1179" s="8" t="s">
        <v>4085</v>
      </c>
      <c r="S1179" s="8"/>
      <c r="T1179" s="7" t="str">
        <f>HYPERLINK("https://miland.ru/api/getInfo/image/9b316d1c-317c-11f1-a292-00155d82e908")</f>
        <v>https://miland.ru/api/getInfo/image/9b316d1c-317c-11f1-a292-00155d82e908</v>
      </c>
      <c r="U1179" s="7"/>
      <c r="V1179" s="7"/>
      <c r="W1179" s="7"/>
      <c r="X1179" s="7"/>
      <c r="Y1179" s="7" t="s">
        <v>41</v>
      </c>
      <c r="Z1179" s="7"/>
      <c r="AA1179" s="7" t="str">
        <f>HYPERLINK("https://miland.ru/api/getInfo/item/9b316d1c-317c-11f1-a292-00155d82e908")</f>
        <v>https://miland.ru/api/getInfo/item/9b316d1c-317c-11f1-a292-00155d82e908</v>
      </c>
      <c r="AB1179" s="7" t="s">
        <v>50</v>
      </c>
      <c r="AC1179" s="7"/>
      <c r="AD1179" s="7"/>
      <c r="AE1179" s="54"/>
    </row>
    <row r="1180" spans="2:31" s="1" customFormat="1" ht="96.3" customHeight="1" outlineLevel="7">
      <c r="B1180" s="20">
        <v>887</v>
      </c>
      <c r="C1180" s="21" t="s">
        <v>4086</v>
      </c>
      <c r="D1180" s="72" t="s">
        <v>4087</v>
      </c>
      <c r="E1180" s="72"/>
      <c r="F1180" s="72"/>
      <c r="G1180" s="72"/>
      <c r="H1180" s="22" t="s">
        <v>4088</v>
      </c>
      <c r="I1180" s="27">
        <v>12</v>
      </c>
      <c r="J1180" s="22"/>
      <c r="K1180" s="20">
        <v>1</v>
      </c>
      <c r="L1180" s="24">
        <v>670.05</v>
      </c>
      <c r="M1180" s="11"/>
      <c r="N1180" s="22">
        <f t="shared" si="50"/>
        <v>0</v>
      </c>
      <c r="O1180" s="25">
        <f>0.255*M1180</f>
        <v>0</v>
      </c>
      <c r="P1180" s="26">
        <f>0.00752*M1180</f>
        <v>0</v>
      </c>
      <c r="Q1180" s="30"/>
      <c r="R1180" s="22"/>
      <c r="S1180" s="22"/>
      <c r="T1180" s="21" t="str">
        <f>HYPERLINK("https://miland.ru/api/getInfo/image/047d64a8-5ac6-11e9-a222-ac1f6b442184")</f>
        <v>https://miland.ru/api/getInfo/image/047d64a8-5ac6-11e9-a222-ac1f6b442184</v>
      </c>
      <c r="U1180" s="21"/>
      <c r="V1180" s="21" t="s">
        <v>710</v>
      </c>
      <c r="W1180" s="21" t="s">
        <v>82</v>
      </c>
      <c r="X1180" s="21"/>
      <c r="Y1180" s="21" t="s">
        <v>41</v>
      </c>
      <c r="Z1180" s="21"/>
      <c r="AA1180" s="21" t="str">
        <f>HYPERLINK("https://miland.ru/api/getInfo/item/047d64a8-5ac6-11e9-a222-ac1f6b442184")</f>
        <v>https://miland.ru/api/getInfo/item/047d64a8-5ac6-11e9-a222-ac1f6b442184</v>
      </c>
      <c r="AB1180" s="21" t="s">
        <v>42</v>
      </c>
      <c r="AC1180" s="21" t="s">
        <v>4089</v>
      </c>
      <c r="AD1180" s="21" t="s">
        <v>4090</v>
      </c>
    </row>
    <row r="1181" spans="2:31" s="1" customFormat="1" ht="96.3" customHeight="1" outlineLevel="7">
      <c r="B1181" s="20">
        <v>888</v>
      </c>
      <c r="C1181" s="21" t="s">
        <v>4091</v>
      </c>
      <c r="D1181" s="72" t="s">
        <v>4092</v>
      </c>
      <c r="E1181" s="72"/>
      <c r="F1181" s="72"/>
      <c r="G1181" s="72"/>
      <c r="H1181" s="22" t="s">
        <v>4093</v>
      </c>
      <c r="I1181" s="27">
        <v>5</v>
      </c>
      <c r="J1181" s="22"/>
      <c r="K1181" s="20">
        <v>1</v>
      </c>
      <c r="L1181" s="24">
        <v>670.05</v>
      </c>
      <c r="M1181" s="11"/>
      <c r="N1181" s="22">
        <f t="shared" si="50"/>
        <v>0</v>
      </c>
      <c r="O1181" s="28">
        <f>0.26*M1181</f>
        <v>0</v>
      </c>
      <c r="P1181" s="26">
        <f>0.00792*M1181</f>
        <v>0</v>
      </c>
      <c r="Q1181" s="30"/>
      <c r="R1181" s="22"/>
      <c r="S1181" s="22"/>
      <c r="T1181" s="21" t="str">
        <f>HYPERLINK("https://miland.ru/api/getInfo/image/78ed9ecf-5ac5-11e9-a222-ac1f6b442184")</f>
        <v>https://miland.ru/api/getInfo/image/78ed9ecf-5ac5-11e9-a222-ac1f6b442184</v>
      </c>
      <c r="U1181" s="21"/>
      <c r="V1181" s="21" t="s">
        <v>710</v>
      </c>
      <c r="W1181" s="21" t="s">
        <v>82</v>
      </c>
      <c r="X1181" s="21"/>
      <c r="Y1181" s="21" t="s">
        <v>41</v>
      </c>
      <c r="Z1181" s="21"/>
      <c r="AA1181" s="21" t="str">
        <f>HYPERLINK("https://miland.ru/api/getInfo/item/78ed9ecf-5ac5-11e9-a222-ac1f6b442184")</f>
        <v>https://miland.ru/api/getInfo/item/78ed9ecf-5ac5-11e9-a222-ac1f6b442184</v>
      </c>
      <c r="AB1181" s="21" t="s">
        <v>42</v>
      </c>
      <c r="AC1181" s="21" t="s">
        <v>4089</v>
      </c>
      <c r="AD1181" s="21" t="s">
        <v>4094</v>
      </c>
    </row>
    <row r="1182" spans="2:31" s="1" customFormat="1" ht="96.3" customHeight="1" outlineLevel="7">
      <c r="B1182" s="6">
        <v>889</v>
      </c>
      <c r="C1182" s="7" t="s">
        <v>4095</v>
      </c>
      <c r="D1182" s="71" t="s">
        <v>4096</v>
      </c>
      <c r="E1182" s="71"/>
      <c r="F1182" s="71"/>
      <c r="G1182" s="71"/>
      <c r="H1182" s="8" t="s">
        <v>4097</v>
      </c>
      <c r="I1182" s="14">
        <v>307</v>
      </c>
      <c r="J1182" s="8"/>
      <c r="K1182" s="6">
        <v>1</v>
      </c>
      <c r="L1182" s="10">
        <v>810.32</v>
      </c>
      <c r="M1182" s="11"/>
      <c r="N1182" s="8">
        <f t="shared" si="50"/>
        <v>0</v>
      </c>
      <c r="O1182" s="12">
        <f>0.304*M1182</f>
        <v>0</v>
      </c>
      <c r="P1182" s="13">
        <f>0.00948*M1182</f>
        <v>0</v>
      </c>
      <c r="Q1182" s="17" t="s">
        <v>37</v>
      </c>
      <c r="R1182" s="8" t="s">
        <v>4098</v>
      </c>
      <c r="S1182" s="8"/>
      <c r="T1182" s="7" t="str">
        <f>HYPERLINK("https://miland.ru/api/getInfo/image/d06ed07d-317b-11f1-a292-00155d82e908")</f>
        <v>https://miland.ru/api/getInfo/image/d06ed07d-317b-11f1-a292-00155d82e908</v>
      </c>
      <c r="U1182" s="7"/>
      <c r="V1182" s="7"/>
      <c r="W1182" s="7"/>
      <c r="X1182" s="7"/>
      <c r="Y1182" s="7" t="s">
        <v>41</v>
      </c>
      <c r="Z1182" s="7"/>
      <c r="AA1182" s="7" t="str">
        <f>HYPERLINK("https://miland.ru/api/getInfo/item/d06ed07d-317b-11f1-a292-00155d82e908")</f>
        <v>https://miland.ru/api/getInfo/item/d06ed07d-317b-11f1-a292-00155d82e908</v>
      </c>
      <c r="AB1182" s="7" t="s">
        <v>50</v>
      </c>
      <c r="AC1182" s="7"/>
      <c r="AD1182" s="7"/>
      <c r="AE1182" s="54"/>
    </row>
    <row r="1183" spans="2:31" s="1" customFormat="1" ht="96.3" customHeight="1" outlineLevel="7">
      <c r="B1183" s="6">
        <v>890</v>
      </c>
      <c r="C1183" s="7" t="s">
        <v>4099</v>
      </c>
      <c r="D1183" s="71" t="s">
        <v>4100</v>
      </c>
      <c r="E1183" s="71"/>
      <c r="F1183" s="71"/>
      <c r="G1183" s="71"/>
      <c r="H1183" s="8" t="s">
        <v>4101</v>
      </c>
      <c r="I1183" s="9" t="s">
        <v>36</v>
      </c>
      <c r="J1183" s="8"/>
      <c r="K1183" s="6">
        <v>1</v>
      </c>
      <c r="L1183" s="10">
        <v>810.32</v>
      </c>
      <c r="M1183" s="11"/>
      <c r="N1183" s="8">
        <f t="shared" si="50"/>
        <v>0</v>
      </c>
      <c r="O1183" s="12">
        <f>0.284*M1183</f>
        <v>0</v>
      </c>
      <c r="P1183" s="13">
        <f>0.00922*M1183</f>
        <v>0</v>
      </c>
      <c r="Q1183" s="17" t="s">
        <v>37</v>
      </c>
      <c r="R1183" s="8" t="s">
        <v>4102</v>
      </c>
      <c r="S1183" s="8"/>
      <c r="T1183" s="7" t="str">
        <f>HYPERLINK("https://miland.ru/api/getInfo/image/f757f7c7-317b-11f1-a292-00155d82e908")</f>
        <v>https://miland.ru/api/getInfo/image/f757f7c7-317b-11f1-a292-00155d82e908</v>
      </c>
      <c r="U1183" s="7"/>
      <c r="V1183" s="7"/>
      <c r="W1183" s="7"/>
      <c r="X1183" s="7"/>
      <c r="Y1183" s="7" t="s">
        <v>41</v>
      </c>
      <c r="Z1183" s="7"/>
      <c r="AA1183" s="7" t="str">
        <f>HYPERLINK("https://miland.ru/api/getInfo/item/f757f7c7-317b-11f1-a292-00155d82e908")</f>
        <v>https://miland.ru/api/getInfo/item/f757f7c7-317b-11f1-a292-00155d82e908</v>
      </c>
      <c r="AB1183" s="7" t="s">
        <v>50</v>
      </c>
      <c r="AC1183" s="7"/>
      <c r="AD1183" s="7"/>
      <c r="AE1183" s="54"/>
    </row>
    <row r="1184" spans="2:31" s="1" customFormat="1" ht="96.3" customHeight="1" outlineLevel="7">
      <c r="B1184" s="6">
        <v>891</v>
      </c>
      <c r="C1184" s="7" t="s">
        <v>4103</v>
      </c>
      <c r="D1184" s="71" t="s">
        <v>4104</v>
      </c>
      <c r="E1184" s="71"/>
      <c r="F1184" s="71"/>
      <c r="G1184" s="71"/>
      <c r="H1184" s="8" t="s">
        <v>4105</v>
      </c>
      <c r="I1184" s="9" t="s">
        <v>36</v>
      </c>
      <c r="J1184" s="8"/>
      <c r="K1184" s="6">
        <v>1</v>
      </c>
      <c r="L1184" s="10">
        <v>810.32</v>
      </c>
      <c r="M1184" s="11"/>
      <c r="N1184" s="8">
        <f t="shared" si="50"/>
        <v>0</v>
      </c>
      <c r="O1184" s="12">
        <f>0.287*M1184</f>
        <v>0</v>
      </c>
      <c r="P1184" s="13">
        <f>0.00979*M1184</f>
        <v>0</v>
      </c>
      <c r="Q1184" s="17" t="s">
        <v>37</v>
      </c>
      <c r="R1184" s="8" t="s">
        <v>4106</v>
      </c>
      <c r="S1184" s="8"/>
      <c r="T1184" s="7" t="str">
        <f>HYPERLINK("https://miland.ru/api/getInfo/image/5f2d199b-317c-11f1-a292-00155d82e908")</f>
        <v>https://miland.ru/api/getInfo/image/5f2d199b-317c-11f1-a292-00155d82e908</v>
      </c>
      <c r="U1184" s="7"/>
      <c r="V1184" s="7"/>
      <c r="W1184" s="7"/>
      <c r="X1184" s="7"/>
      <c r="Y1184" s="7" t="s">
        <v>41</v>
      </c>
      <c r="Z1184" s="7"/>
      <c r="AA1184" s="7" t="str">
        <f>HYPERLINK("https://miland.ru/api/getInfo/item/5f2d199b-317c-11f1-a292-00155d82e908")</f>
        <v>https://miland.ru/api/getInfo/item/5f2d199b-317c-11f1-a292-00155d82e908</v>
      </c>
      <c r="AB1184" s="7" t="s">
        <v>50</v>
      </c>
      <c r="AC1184" s="7"/>
      <c r="AD1184" s="7"/>
      <c r="AE1184" s="54"/>
    </row>
    <row r="1185" spans="2:31" s="1" customFormat="1" ht="96.3" customHeight="1" outlineLevel="7">
      <c r="B1185" s="20">
        <v>892</v>
      </c>
      <c r="C1185" s="21" t="s">
        <v>4107</v>
      </c>
      <c r="D1185" s="72" t="s">
        <v>4108</v>
      </c>
      <c r="E1185" s="72"/>
      <c r="F1185" s="72"/>
      <c r="G1185" s="72"/>
      <c r="H1185" s="22" t="s">
        <v>4109</v>
      </c>
      <c r="I1185" s="27">
        <v>5</v>
      </c>
      <c r="J1185" s="22"/>
      <c r="K1185" s="20">
        <v>1</v>
      </c>
      <c r="L1185" s="32">
        <v>1239.43</v>
      </c>
      <c r="M1185" s="11"/>
      <c r="N1185" s="22">
        <f t="shared" si="50"/>
        <v>0</v>
      </c>
      <c r="O1185" s="25">
        <f>0.411*M1185</f>
        <v>0</v>
      </c>
      <c r="P1185" s="26">
        <f>0.01645*M1185</f>
        <v>0</v>
      </c>
      <c r="Q1185" s="30"/>
      <c r="R1185" s="22" t="s">
        <v>4110</v>
      </c>
      <c r="S1185" s="22" t="s">
        <v>435</v>
      </c>
      <c r="T1185" s="21" t="str">
        <f>HYPERLINK("https://miland.ru/api/getInfo/image/a7dd2e7b-63ea-11ed-a22a-00155d82e902")</f>
        <v>https://miland.ru/api/getInfo/image/a7dd2e7b-63ea-11ed-a22a-00155d82e902</v>
      </c>
      <c r="U1185" s="21"/>
      <c r="V1185" s="21" t="s">
        <v>710</v>
      </c>
      <c r="W1185" s="21" t="s">
        <v>82</v>
      </c>
      <c r="X1185" s="21"/>
      <c r="Y1185" s="21" t="s">
        <v>41</v>
      </c>
      <c r="Z1185" s="21"/>
      <c r="AA1185" s="21" t="str">
        <f>HYPERLINK("https://miland.ru/api/getInfo/item/a7dd2e7b-63ea-11ed-a22a-00155d82e902")</f>
        <v>https://miland.ru/api/getInfo/item/a7dd2e7b-63ea-11ed-a22a-00155d82e902</v>
      </c>
      <c r="AB1185" s="21" t="s">
        <v>42</v>
      </c>
      <c r="AC1185" s="21" t="s">
        <v>4111</v>
      </c>
      <c r="AD1185" s="21"/>
    </row>
    <row r="1186" spans="2:31" s="1" customFormat="1" ht="96.3" customHeight="1" outlineLevel="7">
      <c r="B1186" s="20">
        <v>893</v>
      </c>
      <c r="C1186" s="21" t="s">
        <v>4112</v>
      </c>
      <c r="D1186" s="72" t="s">
        <v>4113</v>
      </c>
      <c r="E1186" s="72"/>
      <c r="F1186" s="72"/>
      <c r="G1186" s="72"/>
      <c r="H1186" s="22" t="s">
        <v>4114</v>
      </c>
      <c r="I1186" s="27">
        <v>8</v>
      </c>
      <c r="J1186" s="22"/>
      <c r="K1186" s="20">
        <v>1</v>
      </c>
      <c r="L1186" s="32">
        <v>1239.43</v>
      </c>
      <c r="M1186" s="11"/>
      <c r="N1186" s="22">
        <f t="shared" si="50"/>
        <v>0</v>
      </c>
      <c r="O1186" s="25">
        <f>0.402*M1186</f>
        <v>0</v>
      </c>
      <c r="P1186" s="26">
        <f>0.01594*M1186</f>
        <v>0</v>
      </c>
      <c r="Q1186" s="30"/>
      <c r="R1186" s="22" t="s">
        <v>4115</v>
      </c>
      <c r="S1186" s="22" t="s">
        <v>435</v>
      </c>
      <c r="T1186" s="21" t="str">
        <f>HYPERLINK("https://miland.ru/api/getInfo/image/45ad6d1e-63eb-11ed-a22a-00155d82e902")</f>
        <v>https://miland.ru/api/getInfo/image/45ad6d1e-63eb-11ed-a22a-00155d82e902</v>
      </c>
      <c r="U1186" s="21"/>
      <c r="V1186" s="21" t="s">
        <v>710</v>
      </c>
      <c r="W1186" s="21" t="s">
        <v>82</v>
      </c>
      <c r="X1186" s="21"/>
      <c r="Y1186" s="21" t="s">
        <v>41</v>
      </c>
      <c r="Z1186" s="21"/>
      <c r="AA1186" s="21" t="str">
        <f>HYPERLINK("https://miland.ru/api/getInfo/item/45ad6d1e-63eb-11ed-a22a-00155d82e902")</f>
        <v>https://miland.ru/api/getInfo/item/45ad6d1e-63eb-11ed-a22a-00155d82e902</v>
      </c>
      <c r="AB1186" s="21" t="s">
        <v>42</v>
      </c>
      <c r="AC1186" s="21" t="s">
        <v>4111</v>
      </c>
      <c r="AD1186" s="21"/>
    </row>
    <row r="1187" spans="2:31" ht="12" customHeight="1" outlineLevel="6">
      <c r="B1187" s="70" t="s">
        <v>4116</v>
      </c>
      <c r="C1187" s="70"/>
      <c r="D1187" s="70"/>
      <c r="E1187" s="70"/>
      <c r="F1187" s="70"/>
      <c r="G1187" s="70"/>
    </row>
    <row r="1188" spans="2:31" s="1" customFormat="1" ht="96.3" customHeight="1" outlineLevel="7">
      <c r="B1188" s="20">
        <v>894</v>
      </c>
      <c r="C1188" s="21" t="s">
        <v>4117</v>
      </c>
      <c r="D1188" s="72" t="s">
        <v>4118</v>
      </c>
      <c r="E1188" s="72"/>
      <c r="F1188" s="72"/>
      <c r="G1188" s="72"/>
      <c r="H1188" s="22" t="s">
        <v>4119</v>
      </c>
      <c r="I1188" s="27">
        <v>8</v>
      </c>
      <c r="J1188" s="22"/>
      <c r="K1188" s="20">
        <v>1</v>
      </c>
      <c r="L1188" s="24">
        <v>562.6</v>
      </c>
      <c r="M1188" s="11"/>
      <c r="N1188" s="22">
        <f t="shared" ref="N1188:N1194" si="51">L1188*M1188</f>
        <v>0</v>
      </c>
      <c r="O1188" s="25">
        <f>0.197*M1188</f>
        <v>0</v>
      </c>
      <c r="P1188" s="26">
        <f>0.00281*M1188</f>
        <v>0</v>
      </c>
      <c r="Q1188" s="30"/>
      <c r="R1188" s="22" t="s">
        <v>4120</v>
      </c>
      <c r="S1188" s="22"/>
      <c r="T1188" s="21" t="str">
        <f>HYPERLINK("https://miland.ru/api/getInfo/image/35e4ba60-dcb4-11ef-a273-00155d82e908")</f>
        <v>https://miland.ru/api/getInfo/image/35e4ba60-dcb4-11ef-a273-00155d82e908</v>
      </c>
      <c r="U1188" s="21"/>
      <c r="V1188" s="21" t="s">
        <v>710</v>
      </c>
      <c r="W1188" s="21" t="s">
        <v>82</v>
      </c>
      <c r="X1188" s="21"/>
      <c r="Y1188" s="21" t="s">
        <v>41</v>
      </c>
      <c r="Z1188" s="21"/>
      <c r="AA1188" s="21" t="str">
        <f>HYPERLINK("https://miland.ru/api/getInfo/item/35e4ba60-dcb4-11ef-a273-00155d82e908")</f>
        <v>https://miland.ru/api/getInfo/item/35e4ba60-dcb4-11ef-a273-00155d82e908</v>
      </c>
      <c r="AB1188" s="21" t="s">
        <v>42</v>
      </c>
      <c r="AC1188" s="21"/>
      <c r="AD1188" s="21"/>
    </row>
    <row r="1189" spans="2:31" s="1" customFormat="1" ht="96.3" customHeight="1" outlineLevel="7">
      <c r="B1189" s="20">
        <v>895</v>
      </c>
      <c r="C1189" s="21" t="s">
        <v>4121</v>
      </c>
      <c r="D1189" s="72" t="s">
        <v>4122</v>
      </c>
      <c r="E1189" s="72"/>
      <c r="F1189" s="72"/>
      <c r="G1189" s="72"/>
      <c r="H1189" s="22" t="s">
        <v>4123</v>
      </c>
      <c r="I1189" s="27">
        <v>286</v>
      </c>
      <c r="J1189" s="22"/>
      <c r="K1189" s="20">
        <v>1</v>
      </c>
      <c r="L1189" s="32">
        <v>1010.65</v>
      </c>
      <c r="M1189" s="11"/>
      <c r="N1189" s="22">
        <f t="shared" si="51"/>
        <v>0</v>
      </c>
      <c r="O1189" s="25">
        <f>0.273*M1189</f>
        <v>0</v>
      </c>
      <c r="P1189" s="26">
        <f>0.00393*M1189</f>
        <v>0</v>
      </c>
      <c r="Q1189" s="30"/>
      <c r="R1189" s="22" t="s">
        <v>4124</v>
      </c>
      <c r="S1189" s="22"/>
      <c r="T1189" s="21" t="str">
        <f>HYPERLINK("https://miland.ru/api/getInfo/image/5deef075-60fb-11ed-a229-00155d82e902")</f>
        <v>https://miland.ru/api/getInfo/image/5deef075-60fb-11ed-a229-00155d82e902</v>
      </c>
      <c r="U1189" s="21"/>
      <c r="V1189" s="21" t="s">
        <v>710</v>
      </c>
      <c r="W1189" s="21" t="s">
        <v>82</v>
      </c>
      <c r="X1189" s="21"/>
      <c r="Y1189" s="21" t="s">
        <v>41</v>
      </c>
      <c r="Z1189" s="21"/>
      <c r="AA1189" s="21" t="str">
        <f>HYPERLINK("https://miland.ru/api/getInfo/item/5deef075-60fb-11ed-a229-00155d82e902")</f>
        <v>https://miland.ru/api/getInfo/item/5deef075-60fb-11ed-a229-00155d82e902</v>
      </c>
      <c r="AB1189" s="21" t="s">
        <v>42</v>
      </c>
      <c r="AC1189" s="21" t="s">
        <v>4125</v>
      </c>
      <c r="AD1189" s="21"/>
    </row>
    <row r="1190" spans="2:31" s="1" customFormat="1" ht="96.3" customHeight="1" outlineLevel="7">
      <c r="B1190" s="20">
        <v>896</v>
      </c>
      <c r="C1190" s="21" t="s">
        <v>4126</v>
      </c>
      <c r="D1190" s="72" t="s">
        <v>4127</v>
      </c>
      <c r="E1190" s="72"/>
      <c r="F1190" s="72"/>
      <c r="G1190" s="72"/>
      <c r="H1190" s="22" t="s">
        <v>4128</v>
      </c>
      <c r="I1190" s="23" t="s">
        <v>36</v>
      </c>
      <c r="J1190" s="22"/>
      <c r="K1190" s="20">
        <v>1</v>
      </c>
      <c r="L1190" s="24">
        <v>965.46</v>
      </c>
      <c r="M1190" s="11"/>
      <c r="N1190" s="22">
        <f t="shared" si="51"/>
        <v>0</v>
      </c>
      <c r="O1190" s="28">
        <f>0.27*M1190</f>
        <v>0</v>
      </c>
      <c r="P1190" s="26">
        <f>0.00423*M1190</f>
        <v>0</v>
      </c>
      <c r="Q1190" s="30"/>
      <c r="R1190" s="22" t="s">
        <v>4129</v>
      </c>
      <c r="S1190" s="22"/>
      <c r="T1190" s="21" t="str">
        <f>HYPERLINK("https://miland.ru/api/getInfo/image/0bc29b53-60ff-11ed-a229-00155d82e902")</f>
        <v>https://miland.ru/api/getInfo/image/0bc29b53-60ff-11ed-a229-00155d82e902</v>
      </c>
      <c r="U1190" s="21"/>
      <c r="V1190" s="21" t="s">
        <v>710</v>
      </c>
      <c r="W1190" s="21" t="s">
        <v>82</v>
      </c>
      <c r="X1190" s="21"/>
      <c r="Y1190" s="21" t="s">
        <v>41</v>
      </c>
      <c r="Z1190" s="21"/>
      <c r="AA1190" s="21" t="str">
        <f>HYPERLINK("https://miland.ru/api/getInfo/item/0bc29b53-60ff-11ed-a229-00155d82e902")</f>
        <v>https://miland.ru/api/getInfo/item/0bc29b53-60ff-11ed-a229-00155d82e902</v>
      </c>
      <c r="AB1190" s="21" t="s">
        <v>42</v>
      </c>
      <c r="AC1190" s="21" t="s">
        <v>4130</v>
      </c>
      <c r="AD1190" s="21"/>
    </row>
    <row r="1191" spans="2:31" s="1" customFormat="1" ht="96.3" customHeight="1" outlineLevel="7">
      <c r="B1191" s="20">
        <v>897</v>
      </c>
      <c r="C1191" s="21" t="s">
        <v>4131</v>
      </c>
      <c r="D1191" s="72" t="s">
        <v>4132</v>
      </c>
      <c r="E1191" s="72"/>
      <c r="F1191" s="72"/>
      <c r="G1191" s="72"/>
      <c r="H1191" s="22" t="s">
        <v>4133</v>
      </c>
      <c r="I1191" s="27">
        <v>339</v>
      </c>
      <c r="J1191" s="22"/>
      <c r="K1191" s="20">
        <v>1</v>
      </c>
      <c r="L1191" s="24">
        <v>965.46</v>
      </c>
      <c r="M1191" s="11"/>
      <c r="N1191" s="22">
        <f t="shared" si="51"/>
        <v>0</v>
      </c>
      <c r="O1191" s="25">
        <f>0.295*M1191</f>
        <v>0</v>
      </c>
      <c r="P1191" s="26">
        <f>0.00378*M1191</f>
        <v>0</v>
      </c>
      <c r="Q1191" s="30"/>
      <c r="R1191" s="22" t="s">
        <v>4134</v>
      </c>
      <c r="S1191" s="22"/>
      <c r="T1191" s="21" t="str">
        <f>HYPERLINK("https://miland.ru/api/getInfo/image/9c775c65-60fe-11ed-a229-00155d82e902")</f>
        <v>https://miland.ru/api/getInfo/image/9c775c65-60fe-11ed-a229-00155d82e902</v>
      </c>
      <c r="U1191" s="21"/>
      <c r="V1191" s="21" t="s">
        <v>710</v>
      </c>
      <c r="W1191" s="21" t="s">
        <v>82</v>
      </c>
      <c r="X1191" s="21"/>
      <c r="Y1191" s="21" t="s">
        <v>41</v>
      </c>
      <c r="Z1191" s="21"/>
      <c r="AA1191" s="21" t="str">
        <f>HYPERLINK("https://miland.ru/api/getInfo/item/9c775c65-60fe-11ed-a229-00155d82e902")</f>
        <v>https://miland.ru/api/getInfo/item/9c775c65-60fe-11ed-a229-00155d82e902</v>
      </c>
      <c r="AB1191" s="21" t="s">
        <v>42</v>
      </c>
      <c r="AC1191" s="21" t="s">
        <v>4130</v>
      </c>
      <c r="AD1191" s="21"/>
    </row>
    <row r="1192" spans="2:31" s="1" customFormat="1" ht="96.3" customHeight="1" outlineLevel="7">
      <c r="B1192" s="20">
        <v>898</v>
      </c>
      <c r="C1192" s="21" t="s">
        <v>4135</v>
      </c>
      <c r="D1192" s="72" t="s">
        <v>4136</v>
      </c>
      <c r="E1192" s="72"/>
      <c r="F1192" s="72"/>
      <c r="G1192" s="72"/>
      <c r="H1192" s="22" t="s">
        <v>4137</v>
      </c>
      <c r="I1192" s="23" t="s">
        <v>36</v>
      </c>
      <c r="J1192" s="22"/>
      <c r="K1192" s="20">
        <v>1</v>
      </c>
      <c r="L1192" s="24">
        <v>990.66</v>
      </c>
      <c r="M1192" s="11"/>
      <c r="N1192" s="22">
        <f t="shared" si="51"/>
        <v>0</v>
      </c>
      <c r="O1192" s="25">
        <f>0.335*M1192</f>
        <v>0</v>
      </c>
      <c r="P1192" s="26">
        <f>0.00625*M1192</f>
        <v>0</v>
      </c>
      <c r="Q1192" s="30"/>
      <c r="R1192" s="22" t="s">
        <v>4138</v>
      </c>
      <c r="S1192" s="22"/>
      <c r="T1192" s="21" t="str">
        <f>HYPERLINK("https://miland.ru/api/getInfo/image/f1100cde-9728-11ed-a22d-00155d82e902")</f>
        <v>https://miland.ru/api/getInfo/image/f1100cde-9728-11ed-a22d-00155d82e902</v>
      </c>
      <c r="U1192" s="21"/>
      <c r="V1192" s="21" t="s">
        <v>710</v>
      </c>
      <c r="W1192" s="21" t="s">
        <v>82</v>
      </c>
      <c r="X1192" s="21"/>
      <c r="Y1192" s="21" t="s">
        <v>41</v>
      </c>
      <c r="Z1192" s="21"/>
      <c r="AA1192" s="21" t="str">
        <f>HYPERLINK("https://miland.ru/api/getInfo/item/f1100cde-9728-11ed-a22d-00155d82e902")</f>
        <v>https://miland.ru/api/getInfo/item/f1100cde-9728-11ed-a22d-00155d82e902</v>
      </c>
      <c r="AB1192" s="21" t="s">
        <v>42</v>
      </c>
      <c r="AC1192" s="21"/>
      <c r="AD1192" s="21"/>
    </row>
    <row r="1193" spans="2:31" s="1" customFormat="1" ht="96.3" customHeight="1" outlineLevel="7">
      <c r="B1193" s="20">
        <v>899</v>
      </c>
      <c r="C1193" s="21" t="s">
        <v>4139</v>
      </c>
      <c r="D1193" s="72" t="s">
        <v>4140</v>
      </c>
      <c r="E1193" s="72"/>
      <c r="F1193" s="72"/>
      <c r="G1193" s="72"/>
      <c r="H1193" s="22" t="s">
        <v>4141</v>
      </c>
      <c r="I1193" s="23" t="s">
        <v>36</v>
      </c>
      <c r="J1193" s="22"/>
      <c r="K1193" s="20">
        <v>1</v>
      </c>
      <c r="L1193" s="24">
        <v>990.66</v>
      </c>
      <c r="M1193" s="11"/>
      <c r="N1193" s="22">
        <f t="shared" si="51"/>
        <v>0</v>
      </c>
      <c r="O1193" s="25">
        <f>0.302*M1193</f>
        <v>0</v>
      </c>
      <c r="P1193" s="26">
        <f>0.00637*M1193</f>
        <v>0</v>
      </c>
      <c r="Q1193" s="30"/>
      <c r="R1193" s="22" t="s">
        <v>4142</v>
      </c>
      <c r="S1193" s="22"/>
      <c r="T1193" s="21" t="str">
        <f>HYPERLINK("https://miland.ru/api/getInfo/image/b4e602e4-9728-11ed-a22d-00155d82e902")</f>
        <v>https://miland.ru/api/getInfo/image/b4e602e4-9728-11ed-a22d-00155d82e902</v>
      </c>
      <c r="U1193" s="21"/>
      <c r="V1193" s="21" t="s">
        <v>710</v>
      </c>
      <c r="W1193" s="21" t="s">
        <v>82</v>
      </c>
      <c r="X1193" s="21"/>
      <c r="Y1193" s="21" t="s">
        <v>41</v>
      </c>
      <c r="Z1193" s="21"/>
      <c r="AA1193" s="21" t="str">
        <f>HYPERLINK("https://miland.ru/api/getInfo/item/b4e602e4-9728-11ed-a22d-00155d82e902")</f>
        <v>https://miland.ru/api/getInfo/item/b4e602e4-9728-11ed-a22d-00155d82e902</v>
      </c>
      <c r="AB1193" s="21" t="s">
        <v>42</v>
      </c>
      <c r="AC1193" s="21"/>
      <c r="AD1193" s="21"/>
    </row>
    <row r="1194" spans="2:31" s="1" customFormat="1" ht="96.3" customHeight="1" outlineLevel="7">
      <c r="B1194" s="20">
        <v>900</v>
      </c>
      <c r="C1194" s="21" t="s">
        <v>4143</v>
      </c>
      <c r="D1194" s="72" t="s">
        <v>4144</v>
      </c>
      <c r="E1194" s="72"/>
      <c r="F1194" s="72"/>
      <c r="G1194" s="72"/>
      <c r="H1194" s="22" t="s">
        <v>4145</v>
      </c>
      <c r="I1194" s="27">
        <v>206</v>
      </c>
      <c r="J1194" s="22"/>
      <c r="K1194" s="20">
        <v>1</v>
      </c>
      <c r="L1194" s="32">
        <v>1027.97</v>
      </c>
      <c r="M1194" s="11"/>
      <c r="N1194" s="22">
        <f t="shared" si="51"/>
        <v>0</v>
      </c>
      <c r="O1194" s="25">
        <f>0.337*M1194</f>
        <v>0</v>
      </c>
      <c r="P1194" s="26">
        <f>0.00674*M1194</f>
        <v>0</v>
      </c>
      <c r="Q1194" s="30"/>
      <c r="R1194" s="22" t="s">
        <v>4146</v>
      </c>
      <c r="S1194" s="22"/>
      <c r="T1194" s="21" t="str">
        <f>HYPERLINK("https://miland.ru/api/getInfo/image/7bedc57e-9728-11ed-a22d-00155d82e902")</f>
        <v>https://miland.ru/api/getInfo/image/7bedc57e-9728-11ed-a22d-00155d82e902</v>
      </c>
      <c r="U1194" s="21"/>
      <c r="V1194" s="21" t="s">
        <v>710</v>
      </c>
      <c r="W1194" s="21" t="s">
        <v>82</v>
      </c>
      <c r="X1194" s="21"/>
      <c r="Y1194" s="21" t="s">
        <v>41</v>
      </c>
      <c r="Z1194" s="21"/>
      <c r="AA1194" s="21" t="str">
        <f>HYPERLINK("https://miland.ru/api/getInfo/item/7bedc57e-9728-11ed-a22d-00155d82e902")</f>
        <v>https://miland.ru/api/getInfo/item/7bedc57e-9728-11ed-a22d-00155d82e902</v>
      </c>
      <c r="AB1194" s="21" t="s">
        <v>42</v>
      </c>
      <c r="AC1194" s="21"/>
      <c r="AD1194" s="21"/>
    </row>
    <row r="1195" spans="2:31" ht="12" customHeight="1" outlineLevel="6">
      <c r="B1195" s="70" t="s">
        <v>4147</v>
      </c>
      <c r="C1195" s="70"/>
      <c r="D1195" s="70"/>
      <c r="E1195" s="70"/>
      <c r="F1195" s="70"/>
      <c r="G1195" s="70"/>
    </row>
    <row r="1196" spans="2:31" s="1" customFormat="1" ht="96.3" customHeight="1" outlineLevel="7">
      <c r="B1196" s="6">
        <v>901</v>
      </c>
      <c r="C1196" s="7" t="s">
        <v>4148</v>
      </c>
      <c r="D1196" s="71" t="s">
        <v>4149</v>
      </c>
      <c r="E1196" s="71"/>
      <c r="F1196" s="71"/>
      <c r="G1196" s="71"/>
      <c r="H1196" s="8" t="s">
        <v>4150</v>
      </c>
      <c r="I1196" s="14">
        <v>214</v>
      </c>
      <c r="J1196" s="8"/>
      <c r="K1196" s="6">
        <v>4</v>
      </c>
      <c r="L1196" s="10">
        <v>147.09</v>
      </c>
      <c r="M1196" s="11"/>
      <c r="N1196" s="8">
        <f>L1196*M1196</f>
        <v>0</v>
      </c>
      <c r="O1196" s="12">
        <f>0.124*M1196</f>
        <v>0</v>
      </c>
      <c r="P1196" s="13">
        <f>0.00438*M1196</f>
        <v>0</v>
      </c>
      <c r="Q1196" s="17" t="s">
        <v>37</v>
      </c>
      <c r="R1196" s="8" t="s">
        <v>4151</v>
      </c>
      <c r="S1196" s="8"/>
      <c r="T1196" s="7" t="str">
        <f>HYPERLINK("https://miland.ru/api/getInfo/image/ca331c7d-3185-11f1-a292-00155d82e908")</f>
        <v>https://miland.ru/api/getInfo/image/ca331c7d-3185-11f1-a292-00155d82e908</v>
      </c>
      <c r="U1196" s="7"/>
      <c r="V1196" s="7"/>
      <c r="W1196" s="7"/>
      <c r="X1196" s="7"/>
      <c r="Y1196" s="7" t="s">
        <v>41</v>
      </c>
      <c r="Z1196" s="7"/>
      <c r="AA1196" s="7" t="str">
        <f>HYPERLINK("https://miland.ru/api/getInfo/item/ca331c7d-3185-11f1-a292-00155d82e908")</f>
        <v>https://miland.ru/api/getInfo/item/ca331c7d-3185-11f1-a292-00155d82e908</v>
      </c>
      <c r="AB1196" s="7" t="s">
        <v>50</v>
      </c>
      <c r="AC1196" s="7"/>
      <c r="AD1196" s="7"/>
      <c r="AE1196" s="54"/>
    </row>
    <row r="1197" spans="2:31" s="1" customFormat="1" ht="96.3" customHeight="1" outlineLevel="7">
      <c r="B1197" s="6">
        <v>902</v>
      </c>
      <c r="C1197" s="7" t="s">
        <v>4152</v>
      </c>
      <c r="D1197" s="71" t="s">
        <v>4153</v>
      </c>
      <c r="E1197" s="71"/>
      <c r="F1197" s="71"/>
      <c r="G1197" s="71"/>
      <c r="H1197" s="8" t="s">
        <v>4154</v>
      </c>
      <c r="I1197" s="14">
        <v>324</v>
      </c>
      <c r="J1197" s="8"/>
      <c r="K1197" s="6">
        <v>4</v>
      </c>
      <c r="L1197" s="10">
        <v>147.09</v>
      </c>
      <c r="M1197" s="11"/>
      <c r="N1197" s="8">
        <f>L1197*M1197</f>
        <v>0</v>
      </c>
      <c r="O1197" s="18">
        <f>0.11*M1197</f>
        <v>0</v>
      </c>
      <c r="P1197" s="16">
        <f>0.0041*M1197</f>
        <v>0</v>
      </c>
      <c r="Q1197" s="17" t="s">
        <v>37</v>
      </c>
      <c r="R1197" s="8" t="s">
        <v>4155</v>
      </c>
      <c r="S1197" s="8"/>
      <c r="T1197" s="7" t="str">
        <f>HYPERLINK("https://miland.ru/api/getInfo/image/29fbc4ca-3180-11f1-a292-00155d82e908")</f>
        <v>https://miland.ru/api/getInfo/image/29fbc4ca-3180-11f1-a292-00155d82e908</v>
      </c>
      <c r="U1197" s="7"/>
      <c r="V1197" s="7"/>
      <c r="W1197" s="7"/>
      <c r="X1197" s="7"/>
      <c r="Y1197" s="7" t="s">
        <v>41</v>
      </c>
      <c r="Z1197" s="7"/>
      <c r="AA1197" s="7" t="str">
        <f>HYPERLINK("https://miland.ru/api/getInfo/item/29fbc4ca-3180-11f1-a292-00155d82e908")</f>
        <v>https://miland.ru/api/getInfo/item/29fbc4ca-3180-11f1-a292-00155d82e908</v>
      </c>
      <c r="AB1197" s="7" t="s">
        <v>50</v>
      </c>
      <c r="AC1197" s="7"/>
      <c r="AD1197" s="7"/>
      <c r="AE1197" s="54"/>
    </row>
    <row r="1198" spans="2:31" s="1" customFormat="1" ht="96.3" customHeight="1" outlineLevel="7">
      <c r="B1198" s="6">
        <v>903</v>
      </c>
      <c r="C1198" s="7" t="s">
        <v>4156</v>
      </c>
      <c r="D1198" s="71" t="s">
        <v>4157</v>
      </c>
      <c r="E1198" s="71"/>
      <c r="F1198" s="71"/>
      <c r="G1198" s="71"/>
      <c r="H1198" s="8" t="s">
        <v>4158</v>
      </c>
      <c r="I1198" s="14">
        <v>276</v>
      </c>
      <c r="J1198" s="8"/>
      <c r="K1198" s="6">
        <v>4</v>
      </c>
      <c r="L1198" s="10">
        <v>147.09</v>
      </c>
      <c r="M1198" s="11"/>
      <c r="N1198" s="8">
        <f>L1198*M1198</f>
        <v>0</v>
      </c>
      <c r="O1198" s="12">
        <f>0.121*M1198</f>
        <v>0</v>
      </c>
      <c r="P1198" s="13">
        <f>0.00425*M1198</f>
        <v>0</v>
      </c>
      <c r="Q1198" s="17" t="s">
        <v>37</v>
      </c>
      <c r="R1198" s="8" t="s">
        <v>4159</v>
      </c>
      <c r="S1198" s="8"/>
      <c r="T1198" s="7" t="str">
        <f>HYPERLINK("https://miland.ru/api/getInfo/image/42e779ba-3180-11f1-a292-00155d82e908")</f>
        <v>https://miland.ru/api/getInfo/image/42e779ba-3180-11f1-a292-00155d82e908</v>
      </c>
      <c r="U1198" s="7"/>
      <c r="V1198" s="7"/>
      <c r="W1198" s="7"/>
      <c r="X1198" s="7"/>
      <c r="Y1198" s="7" t="s">
        <v>41</v>
      </c>
      <c r="Z1198" s="7"/>
      <c r="AA1198" s="7" t="str">
        <f>HYPERLINK("https://miland.ru/api/getInfo/item/42e779ba-3180-11f1-a292-00155d82e908")</f>
        <v>https://miland.ru/api/getInfo/item/42e779ba-3180-11f1-a292-00155d82e908</v>
      </c>
      <c r="AB1198" s="7" t="s">
        <v>50</v>
      </c>
      <c r="AC1198" s="7"/>
      <c r="AD1198" s="7"/>
      <c r="AE1198" s="54"/>
    </row>
    <row r="1199" spans="2:31" ht="12" customHeight="1" outlineLevel="5">
      <c r="B1199" s="70" t="s">
        <v>4160</v>
      </c>
      <c r="C1199" s="70"/>
      <c r="D1199" s="70"/>
      <c r="E1199" s="70"/>
      <c r="F1199" s="70"/>
      <c r="G1199" s="70"/>
    </row>
    <row r="1200" spans="2:31" s="1" customFormat="1" ht="96.3" customHeight="1" outlineLevel="6">
      <c r="B1200" s="20">
        <v>904</v>
      </c>
      <c r="C1200" s="21" t="s">
        <v>4161</v>
      </c>
      <c r="D1200" s="72" t="s">
        <v>4162</v>
      </c>
      <c r="E1200" s="72"/>
      <c r="F1200" s="72"/>
      <c r="G1200" s="72"/>
      <c r="H1200" s="22" t="s">
        <v>4163</v>
      </c>
      <c r="I1200" s="27">
        <v>232</v>
      </c>
      <c r="J1200" s="22"/>
      <c r="K1200" s="20">
        <v>2</v>
      </c>
      <c r="L1200" s="24">
        <v>394.55</v>
      </c>
      <c r="M1200" s="11"/>
      <c r="N1200" s="22">
        <f t="shared" ref="N1200:N1208" si="52">L1200*M1200</f>
        <v>0</v>
      </c>
      <c r="O1200" s="25">
        <f>0.134*M1200</f>
        <v>0</v>
      </c>
      <c r="P1200" s="26">
        <f>0.00197*M1200</f>
        <v>0</v>
      </c>
      <c r="Q1200" s="30"/>
      <c r="R1200" s="22" t="s">
        <v>4164</v>
      </c>
      <c r="S1200" s="22" t="s">
        <v>435</v>
      </c>
      <c r="T1200" s="21" t="str">
        <f>HYPERLINK("https://miland.ru/api/getInfo/image/419d4c32-0b7e-11ef-a25d-00155d82e908")</f>
        <v>https://miland.ru/api/getInfo/image/419d4c32-0b7e-11ef-a25d-00155d82e908</v>
      </c>
      <c r="U1200" s="21"/>
      <c r="V1200" s="21" t="s">
        <v>710</v>
      </c>
      <c r="W1200" s="21" t="s">
        <v>82</v>
      </c>
      <c r="X1200" s="21"/>
      <c r="Y1200" s="21" t="s">
        <v>41</v>
      </c>
      <c r="Z1200" s="21"/>
      <c r="AA1200" s="21" t="str">
        <f>HYPERLINK("https://miland.ru/api/getInfo/item/419d4c32-0b7e-11ef-a25d-00155d82e908")</f>
        <v>https://miland.ru/api/getInfo/item/419d4c32-0b7e-11ef-a25d-00155d82e908</v>
      </c>
      <c r="AB1200" s="21" t="s">
        <v>42</v>
      </c>
      <c r="AC1200" s="21" t="s">
        <v>4165</v>
      </c>
      <c r="AD1200" s="21"/>
    </row>
    <row r="1201" spans="2:31" s="1" customFormat="1" ht="96.3" customHeight="1" outlineLevel="6">
      <c r="B1201" s="20">
        <v>905</v>
      </c>
      <c r="C1201" s="21" t="s">
        <v>4166</v>
      </c>
      <c r="D1201" s="72" t="s">
        <v>4167</v>
      </c>
      <c r="E1201" s="72"/>
      <c r="F1201" s="72"/>
      <c r="G1201" s="72"/>
      <c r="H1201" s="22" t="s">
        <v>4168</v>
      </c>
      <c r="I1201" s="23" t="s">
        <v>36</v>
      </c>
      <c r="J1201" s="22"/>
      <c r="K1201" s="20">
        <v>1</v>
      </c>
      <c r="L1201" s="24">
        <v>499.38</v>
      </c>
      <c r="M1201" s="11"/>
      <c r="N1201" s="22">
        <f t="shared" si="52"/>
        <v>0</v>
      </c>
      <c r="O1201" s="25">
        <f>0.101*M1201</f>
        <v>0</v>
      </c>
      <c r="P1201" s="26">
        <f>0.00169*M1201</f>
        <v>0</v>
      </c>
      <c r="Q1201" s="30"/>
      <c r="R1201" s="22" t="s">
        <v>4169</v>
      </c>
      <c r="S1201" s="22"/>
      <c r="T1201" s="21" t="str">
        <f>HYPERLINK("https://miland.ru/api/getInfo/image/8b0b1c05-81fa-11ed-a22a-00155d82e902")</f>
        <v>https://miland.ru/api/getInfo/image/8b0b1c05-81fa-11ed-a22a-00155d82e902</v>
      </c>
      <c r="U1201" s="21"/>
      <c r="V1201" s="21" t="s">
        <v>710</v>
      </c>
      <c r="W1201" s="21" t="s">
        <v>82</v>
      </c>
      <c r="X1201" s="21"/>
      <c r="Y1201" s="21" t="s">
        <v>41</v>
      </c>
      <c r="Z1201" s="21"/>
      <c r="AA1201" s="21" t="str">
        <f>HYPERLINK("https://miland.ru/api/getInfo/item/8b0b1c05-81fa-11ed-a22a-00155d82e902")</f>
        <v>https://miland.ru/api/getInfo/item/8b0b1c05-81fa-11ed-a22a-00155d82e902</v>
      </c>
      <c r="AB1201" s="21" t="s">
        <v>42</v>
      </c>
      <c r="AC1201" s="21" t="s">
        <v>1600</v>
      </c>
      <c r="AD1201" s="21"/>
    </row>
    <row r="1202" spans="2:31" s="1" customFormat="1" ht="96.3" customHeight="1" outlineLevel="6">
      <c r="B1202" s="20">
        <v>906</v>
      </c>
      <c r="C1202" s="21" t="s">
        <v>4170</v>
      </c>
      <c r="D1202" s="72" t="s">
        <v>4171</v>
      </c>
      <c r="E1202" s="72"/>
      <c r="F1202" s="72"/>
      <c r="G1202" s="72"/>
      <c r="H1202" s="22" t="s">
        <v>4172</v>
      </c>
      <c r="I1202" s="23" t="s">
        <v>36</v>
      </c>
      <c r="J1202" s="22"/>
      <c r="K1202" s="20">
        <v>1</v>
      </c>
      <c r="L1202" s="24">
        <v>451.82</v>
      </c>
      <c r="M1202" s="11"/>
      <c r="N1202" s="22">
        <f t="shared" si="52"/>
        <v>0</v>
      </c>
      <c r="O1202" s="25">
        <f>0.111*M1202</f>
        <v>0</v>
      </c>
      <c r="P1202" s="26">
        <f>0.00188*M1202</f>
        <v>0</v>
      </c>
      <c r="Q1202" s="30"/>
      <c r="R1202" s="22" t="s">
        <v>4173</v>
      </c>
      <c r="S1202" s="22"/>
      <c r="T1202" s="21" t="str">
        <f>HYPERLINK("https://miland.ru/api/getInfo/image/352fc731-81fb-11ed-a22a-00155d82e902")</f>
        <v>https://miland.ru/api/getInfo/image/352fc731-81fb-11ed-a22a-00155d82e902</v>
      </c>
      <c r="U1202" s="21"/>
      <c r="V1202" s="21" t="s">
        <v>710</v>
      </c>
      <c r="W1202" s="21" t="s">
        <v>82</v>
      </c>
      <c r="X1202" s="21"/>
      <c r="Y1202" s="21" t="s">
        <v>41</v>
      </c>
      <c r="Z1202" s="21"/>
      <c r="AA1202" s="21" t="str">
        <f>HYPERLINK("https://miland.ru/api/getInfo/item/352fc731-81fb-11ed-a22a-00155d82e902")</f>
        <v>https://miland.ru/api/getInfo/item/352fc731-81fb-11ed-a22a-00155d82e902</v>
      </c>
      <c r="AB1202" s="21" t="s">
        <v>42</v>
      </c>
      <c r="AC1202" s="21" t="s">
        <v>1600</v>
      </c>
      <c r="AD1202" s="21"/>
    </row>
    <row r="1203" spans="2:31" s="1" customFormat="1" ht="96.3" customHeight="1" outlineLevel="6">
      <c r="B1203" s="20">
        <v>907</v>
      </c>
      <c r="C1203" s="21" t="s">
        <v>4174</v>
      </c>
      <c r="D1203" s="72" t="s">
        <v>4175</v>
      </c>
      <c r="E1203" s="72"/>
      <c r="F1203" s="72"/>
      <c r="G1203" s="72"/>
      <c r="H1203" s="22" t="s">
        <v>4176</v>
      </c>
      <c r="I1203" s="23" t="s">
        <v>36</v>
      </c>
      <c r="J1203" s="22"/>
      <c r="K1203" s="20">
        <v>1</v>
      </c>
      <c r="L1203" s="24">
        <v>523.16</v>
      </c>
      <c r="M1203" s="11"/>
      <c r="N1203" s="22">
        <f t="shared" si="52"/>
        <v>0</v>
      </c>
      <c r="O1203" s="25">
        <f>0.113*M1203</f>
        <v>0</v>
      </c>
      <c r="P1203" s="26">
        <f>0.00168*M1203</f>
        <v>0</v>
      </c>
      <c r="Q1203" s="30"/>
      <c r="R1203" s="22" t="s">
        <v>4177</v>
      </c>
      <c r="S1203" s="22"/>
      <c r="T1203" s="21" t="str">
        <f>HYPERLINK("https://miland.ru/api/getInfo/image/e38e9045-81fa-11ed-a22a-00155d82e902")</f>
        <v>https://miland.ru/api/getInfo/image/e38e9045-81fa-11ed-a22a-00155d82e902</v>
      </c>
      <c r="U1203" s="21"/>
      <c r="V1203" s="21" t="s">
        <v>710</v>
      </c>
      <c r="W1203" s="21" t="s">
        <v>82</v>
      </c>
      <c r="X1203" s="21"/>
      <c r="Y1203" s="21" t="s">
        <v>41</v>
      </c>
      <c r="Z1203" s="21"/>
      <c r="AA1203" s="21" t="str">
        <f>HYPERLINK("https://miland.ru/api/getInfo/item/e38e9045-81fa-11ed-a22a-00155d82e902")</f>
        <v>https://miland.ru/api/getInfo/item/e38e9045-81fa-11ed-a22a-00155d82e902</v>
      </c>
      <c r="AB1203" s="21" t="s">
        <v>42</v>
      </c>
      <c r="AC1203" s="21" t="s">
        <v>1600</v>
      </c>
      <c r="AD1203" s="21"/>
    </row>
    <row r="1204" spans="2:31" s="1" customFormat="1" ht="96.3" customHeight="1" outlineLevel="6">
      <c r="B1204" s="20">
        <v>908</v>
      </c>
      <c r="C1204" s="21" t="s">
        <v>4178</v>
      </c>
      <c r="D1204" s="72" t="s">
        <v>4179</v>
      </c>
      <c r="E1204" s="72"/>
      <c r="F1204" s="72"/>
      <c r="G1204" s="72"/>
      <c r="H1204" s="22" t="s">
        <v>4180</v>
      </c>
      <c r="I1204" s="27">
        <v>295</v>
      </c>
      <c r="J1204" s="22"/>
      <c r="K1204" s="20">
        <v>3</v>
      </c>
      <c r="L1204" s="24">
        <v>262.87</v>
      </c>
      <c r="M1204" s="11"/>
      <c r="N1204" s="22">
        <f t="shared" si="52"/>
        <v>0</v>
      </c>
      <c r="O1204" s="25">
        <f>0.099*M1204</f>
        <v>0</v>
      </c>
      <c r="P1204" s="26">
        <f>0.00227*M1204</f>
        <v>0</v>
      </c>
      <c r="Q1204" s="30"/>
      <c r="R1204" s="22" t="s">
        <v>4181</v>
      </c>
      <c r="S1204" s="22"/>
      <c r="T1204" s="21" t="str">
        <f>HYPERLINK("https://miland.ru/api/getInfo/image/e7043602-8a62-11ec-a211-ac1f6b442185")</f>
        <v>https://miland.ru/api/getInfo/image/e7043602-8a62-11ec-a211-ac1f6b442185</v>
      </c>
      <c r="U1204" s="21"/>
      <c r="V1204" s="21" t="s">
        <v>710</v>
      </c>
      <c r="W1204" s="21" t="s">
        <v>82</v>
      </c>
      <c r="X1204" s="21"/>
      <c r="Y1204" s="21" t="s">
        <v>41</v>
      </c>
      <c r="Z1204" s="21"/>
      <c r="AA1204" s="21" t="str">
        <f>HYPERLINK("https://miland.ru/api/getInfo/item/e7043602-8a62-11ec-a211-ac1f6b442185")</f>
        <v>https://miland.ru/api/getInfo/item/e7043602-8a62-11ec-a211-ac1f6b442185</v>
      </c>
      <c r="AB1204" s="21" t="s">
        <v>42</v>
      </c>
      <c r="AC1204" s="21" t="s">
        <v>3901</v>
      </c>
      <c r="AD1204" s="21"/>
    </row>
    <row r="1205" spans="2:31" s="1" customFormat="1" ht="96.3" customHeight="1" outlineLevel="6">
      <c r="B1205" s="37">
        <v>909</v>
      </c>
      <c r="C1205" s="38" t="s">
        <v>4182</v>
      </c>
      <c r="D1205" s="74" t="s">
        <v>4183</v>
      </c>
      <c r="E1205" s="74"/>
      <c r="F1205" s="74"/>
      <c r="G1205" s="74"/>
      <c r="H1205" s="39" t="s">
        <v>4184</v>
      </c>
      <c r="I1205" s="44">
        <v>9</v>
      </c>
      <c r="J1205" s="39"/>
      <c r="K1205" s="37">
        <v>1</v>
      </c>
      <c r="L1205" s="41">
        <v>274.95999999999998</v>
      </c>
      <c r="M1205" s="11"/>
      <c r="N1205" s="39">
        <f t="shared" si="52"/>
        <v>0</v>
      </c>
      <c r="O1205" s="45">
        <f>0.11*M1205</f>
        <v>0</v>
      </c>
      <c r="P1205" s="46">
        <f>0.00154*M1205</f>
        <v>0</v>
      </c>
      <c r="Q1205" s="51"/>
      <c r="R1205" s="39" t="s">
        <v>4185</v>
      </c>
      <c r="S1205" s="39" t="s">
        <v>435</v>
      </c>
      <c r="T1205" s="38" t="str">
        <f>HYPERLINK("https://miland.ru/api/getInfo/image/0d31e505-8b3a-11ec-a211-ac1f6b442185")</f>
        <v>https://miland.ru/api/getInfo/image/0d31e505-8b3a-11ec-a211-ac1f6b442185</v>
      </c>
      <c r="U1205" s="38"/>
      <c r="V1205" s="38" t="s">
        <v>710</v>
      </c>
      <c r="W1205" s="38" t="s">
        <v>82</v>
      </c>
      <c r="X1205" s="38"/>
      <c r="Y1205" s="38" t="s">
        <v>41</v>
      </c>
      <c r="Z1205" s="38"/>
      <c r="AA1205" s="38" t="str">
        <f>HYPERLINK("https://miland.ru/api/getInfo/item/0d31e505-8b3a-11ec-a211-ac1f6b442185")</f>
        <v>https://miland.ru/api/getInfo/item/0d31e505-8b3a-11ec-a211-ac1f6b442185</v>
      </c>
      <c r="AB1205" s="38" t="s">
        <v>42</v>
      </c>
      <c r="AC1205" s="38" t="s">
        <v>4186</v>
      </c>
      <c r="AD1205" s="38"/>
      <c r="AE1205" s="53" t="s">
        <v>1306</v>
      </c>
    </row>
    <row r="1206" spans="2:31" s="1" customFormat="1" ht="96.3" customHeight="1" outlineLevel="6">
      <c r="B1206" s="20">
        <v>910</v>
      </c>
      <c r="C1206" s="21" t="s">
        <v>4187</v>
      </c>
      <c r="D1206" s="72" t="s">
        <v>4188</v>
      </c>
      <c r="E1206" s="72"/>
      <c r="F1206" s="72"/>
      <c r="G1206" s="72"/>
      <c r="H1206" s="22" t="s">
        <v>4189</v>
      </c>
      <c r="I1206" s="23" t="s">
        <v>36</v>
      </c>
      <c r="J1206" s="22"/>
      <c r="K1206" s="20">
        <v>4</v>
      </c>
      <c r="L1206" s="24">
        <v>155.33000000000001</v>
      </c>
      <c r="M1206" s="11"/>
      <c r="N1206" s="22">
        <f t="shared" si="52"/>
        <v>0</v>
      </c>
      <c r="O1206" s="25">
        <f>0.046*M1206</f>
        <v>0</v>
      </c>
      <c r="P1206" s="26">
        <f>0.00117*M1206</f>
        <v>0</v>
      </c>
      <c r="Q1206" s="30"/>
      <c r="R1206" s="22" t="s">
        <v>4190</v>
      </c>
      <c r="S1206" s="22"/>
      <c r="T1206" s="21" t="str">
        <f>HYPERLINK("https://miland.ru/api/getInfo/image/e32645fa-9723-11ed-a22d-00155d82e902")</f>
        <v>https://miland.ru/api/getInfo/image/e32645fa-9723-11ed-a22d-00155d82e902</v>
      </c>
      <c r="U1206" s="21"/>
      <c r="V1206" s="21" t="s">
        <v>710</v>
      </c>
      <c r="W1206" s="21" t="s">
        <v>82</v>
      </c>
      <c r="X1206" s="21"/>
      <c r="Y1206" s="21" t="s">
        <v>41</v>
      </c>
      <c r="Z1206" s="21"/>
      <c r="AA1206" s="21" t="str">
        <f>HYPERLINK("https://miland.ru/api/getInfo/item/e32645fa-9723-11ed-a22d-00155d82e902")</f>
        <v>https://miland.ru/api/getInfo/item/e32645fa-9723-11ed-a22d-00155d82e902</v>
      </c>
      <c r="AB1206" s="21" t="s">
        <v>42</v>
      </c>
      <c r="AC1206" s="21" t="s">
        <v>1600</v>
      </c>
      <c r="AD1206" s="21"/>
    </row>
    <row r="1207" spans="2:31" s="1" customFormat="1" ht="96.3" customHeight="1" outlineLevel="6">
      <c r="B1207" s="20">
        <v>911</v>
      </c>
      <c r="C1207" s="21" t="s">
        <v>4191</v>
      </c>
      <c r="D1207" s="72" t="s">
        <v>4192</v>
      </c>
      <c r="E1207" s="72"/>
      <c r="F1207" s="72"/>
      <c r="G1207" s="72"/>
      <c r="H1207" s="22" t="s">
        <v>4193</v>
      </c>
      <c r="I1207" s="23" t="s">
        <v>36</v>
      </c>
      <c r="J1207" s="22"/>
      <c r="K1207" s="20">
        <v>4</v>
      </c>
      <c r="L1207" s="24">
        <v>172.32</v>
      </c>
      <c r="M1207" s="11"/>
      <c r="N1207" s="22">
        <f t="shared" si="52"/>
        <v>0</v>
      </c>
      <c r="O1207" s="25">
        <f>0.051*M1207</f>
        <v>0</v>
      </c>
      <c r="P1207" s="26">
        <f>0.00075*M1207</f>
        <v>0</v>
      </c>
      <c r="Q1207" s="30"/>
      <c r="R1207" s="22" t="s">
        <v>4194</v>
      </c>
      <c r="S1207" s="22"/>
      <c r="T1207" s="21" t="str">
        <f>HYPERLINK("https://miland.ru/api/getInfo/image/21e01045-9725-11ed-a22d-00155d82e902")</f>
        <v>https://miland.ru/api/getInfo/image/21e01045-9725-11ed-a22d-00155d82e902</v>
      </c>
      <c r="U1207" s="21"/>
      <c r="V1207" s="21" t="s">
        <v>710</v>
      </c>
      <c r="W1207" s="21" t="s">
        <v>82</v>
      </c>
      <c r="X1207" s="21"/>
      <c r="Y1207" s="21" t="s">
        <v>41</v>
      </c>
      <c r="Z1207" s="21"/>
      <c r="AA1207" s="21" t="str">
        <f>HYPERLINK("https://miland.ru/api/getInfo/item/21e01045-9725-11ed-a22d-00155d82e902")</f>
        <v>https://miland.ru/api/getInfo/item/21e01045-9725-11ed-a22d-00155d82e902</v>
      </c>
      <c r="AB1207" s="21" t="s">
        <v>42</v>
      </c>
      <c r="AC1207" s="21" t="s">
        <v>1600</v>
      </c>
      <c r="AD1207" s="21"/>
    </row>
    <row r="1208" spans="2:31" s="1" customFormat="1" ht="96.3" customHeight="1" outlineLevel="6">
      <c r="B1208" s="20">
        <v>912</v>
      </c>
      <c r="C1208" s="21" t="s">
        <v>4195</v>
      </c>
      <c r="D1208" s="72" t="s">
        <v>4196</v>
      </c>
      <c r="E1208" s="72"/>
      <c r="F1208" s="72"/>
      <c r="G1208" s="72"/>
      <c r="H1208" s="22" t="s">
        <v>4197</v>
      </c>
      <c r="I1208" s="23" t="s">
        <v>36</v>
      </c>
      <c r="J1208" s="22"/>
      <c r="K1208" s="20">
        <v>5</v>
      </c>
      <c r="L1208" s="24">
        <v>138.34</v>
      </c>
      <c r="M1208" s="11"/>
      <c r="N1208" s="22">
        <f t="shared" si="52"/>
        <v>0</v>
      </c>
      <c r="O1208" s="25">
        <f>0.038*M1208</f>
        <v>0</v>
      </c>
      <c r="P1208" s="26">
        <f>0.00054*M1208</f>
        <v>0</v>
      </c>
      <c r="Q1208" s="30"/>
      <c r="R1208" s="22" t="s">
        <v>4198</v>
      </c>
      <c r="S1208" s="22"/>
      <c r="T1208" s="21" t="str">
        <f>HYPERLINK("https://miland.ru/api/getInfo/image/9eca6c30-9723-11ed-a22d-00155d82e902")</f>
        <v>https://miland.ru/api/getInfo/image/9eca6c30-9723-11ed-a22d-00155d82e902</v>
      </c>
      <c r="U1208" s="21"/>
      <c r="V1208" s="21" t="s">
        <v>710</v>
      </c>
      <c r="W1208" s="21" t="s">
        <v>82</v>
      </c>
      <c r="X1208" s="21"/>
      <c r="Y1208" s="21" t="s">
        <v>41</v>
      </c>
      <c r="Z1208" s="21"/>
      <c r="AA1208" s="21" t="str">
        <f>HYPERLINK("https://miland.ru/api/getInfo/item/9eca6c30-9723-11ed-a22d-00155d82e902")</f>
        <v>https://miland.ru/api/getInfo/item/9eca6c30-9723-11ed-a22d-00155d82e902</v>
      </c>
      <c r="AB1208" s="21" t="s">
        <v>42</v>
      </c>
      <c r="AC1208" s="21" t="s">
        <v>1600</v>
      </c>
      <c r="AD1208" s="21"/>
    </row>
    <row r="1209" spans="2:31" ht="12" customHeight="1" outlineLevel="5">
      <c r="B1209" s="70" t="s">
        <v>4199</v>
      </c>
      <c r="C1209" s="70"/>
      <c r="D1209" s="70"/>
      <c r="E1209" s="70"/>
      <c r="F1209" s="70"/>
      <c r="G1209" s="70"/>
    </row>
    <row r="1210" spans="2:31" ht="12" customHeight="1" outlineLevel="6">
      <c r="B1210" s="70" t="s">
        <v>4200</v>
      </c>
      <c r="C1210" s="70"/>
      <c r="D1210" s="70"/>
      <c r="E1210" s="70"/>
      <c r="F1210" s="70"/>
      <c r="G1210" s="70"/>
    </row>
    <row r="1211" spans="2:31" s="1" customFormat="1" ht="96.3" customHeight="1" outlineLevel="7">
      <c r="B1211" s="34">
        <v>913</v>
      </c>
      <c r="C1211" s="35" t="s">
        <v>4201</v>
      </c>
      <c r="D1211" s="73" t="s">
        <v>4202</v>
      </c>
      <c r="E1211" s="73"/>
      <c r="F1211" s="73"/>
      <c r="G1211" s="73"/>
      <c r="H1211" s="36" t="s">
        <v>4203</v>
      </c>
      <c r="I1211" s="40">
        <v>35</v>
      </c>
      <c r="J1211" s="36"/>
      <c r="K1211" s="34">
        <v>2</v>
      </c>
      <c r="L1211" s="41">
        <v>158.66666666666666</v>
      </c>
      <c r="M1211" s="11"/>
      <c r="N1211" s="36">
        <f>L1211*M1211</f>
        <v>0</v>
      </c>
      <c r="O1211" s="42">
        <f>0.059*M1211</f>
        <v>0</v>
      </c>
      <c r="P1211" s="43">
        <f>0.00181*M1211</f>
        <v>0</v>
      </c>
      <c r="Q1211" s="50"/>
      <c r="R1211" s="36" t="s">
        <v>4204</v>
      </c>
      <c r="S1211" s="36" t="s">
        <v>435</v>
      </c>
      <c r="T1211" s="35" t="str">
        <f>HYPERLINK("https://miland.ru/api/getInfo/image/32f8c505-a9ea-11ec-a211-ac1f6b442185")</f>
        <v>https://miland.ru/api/getInfo/image/32f8c505-a9ea-11ec-a211-ac1f6b442185</v>
      </c>
      <c r="U1211" s="35"/>
      <c r="V1211" s="35"/>
      <c r="W1211" s="35"/>
      <c r="X1211" s="35"/>
      <c r="Y1211" s="35"/>
      <c r="Z1211" s="35"/>
      <c r="AA1211" s="35" t="str">
        <f>HYPERLINK("https://miland.ru/api/getInfo/item/32f8c505-a9ea-11ec-a211-ac1f6b442185")</f>
        <v>https://miland.ru/api/getInfo/item/32f8c505-a9ea-11ec-a211-ac1f6b442185</v>
      </c>
      <c r="AB1211" s="35" t="s">
        <v>42</v>
      </c>
      <c r="AC1211" s="35" t="s">
        <v>4205</v>
      </c>
      <c r="AD1211" s="35"/>
      <c r="AE1211" s="52" t="s">
        <v>1251</v>
      </c>
    </row>
    <row r="1212" spans="2:31" s="1" customFormat="1" ht="96.3" customHeight="1" outlineLevel="7">
      <c r="B1212" s="6">
        <v>914</v>
      </c>
      <c r="C1212" s="7" t="s">
        <v>4206</v>
      </c>
      <c r="D1212" s="71" t="s">
        <v>4207</v>
      </c>
      <c r="E1212" s="71"/>
      <c r="F1212" s="71"/>
      <c r="G1212" s="71"/>
      <c r="H1212" s="8" t="s">
        <v>4208</v>
      </c>
      <c r="I1212" s="9" t="s">
        <v>36</v>
      </c>
      <c r="J1212" s="8"/>
      <c r="K1212" s="6">
        <v>1</v>
      </c>
      <c r="L1212" s="15">
        <v>1293.53</v>
      </c>
      <c r="M1212" s="11"/>
      <c r="N1212" s="8">
        <f>L1212*M1212</f>
        <v>0</v>
      </c>
      <c r="O1212" s="12">
        <f>0.396*M1212</f>
        <v>0</v>
      </c>
      <c r="P1212" s="13">
        <f>0.00957*M1212</f>
        <v>0</v>
      </c>
      <c r="Q1212" s="17" t="s">
        <v>37</v>
      </c>
      <c r="R1212" s="8" t="s">
        <v>4209</v>
      </c>
      <c r="S1212" s="8"/>
      <c r="T1212" s="7" t="str">
        <f>HYPERLINK("https://miland.ru/api/getInfo/image/fc27bb5f-2777-11f1-a291-00155d82e908")</f>
        <v>https://miland.ru/api/getInfo/image/fc27bb5f-2777-11f1-a291-00155d82e908</v>
      </c>
      <c r="U1212" s="7"/>
      <c r="V1212" s="7"/>
      <c r="W1212" s="7" t="s">
        <v>82</v>
      </c>
      <c r="X1212" s="7"/>
      <c r="Y1212" s="7" t="s">
        <v>41</v>
      </c>
      <c r="Z1212" s="7"/>
      <c r="AA1212" s="7" t="str">
        <f>HYPERLINK("https://miland.ru/api/getInfo/item/fc27bb5f-2777-11f1-a291-00155d82e908")</f>
        <v>https://miland.ru/api/getInfo/item/fc27bb5f-2777-11f1-a291-00155d82e908</v>
      </c>
      <c r="AB1212" s="7" t="s">
        <v>42</v>
      </c>
      <c r="AC1212" s="7"/>
      <c r="AD1212" s="7"/>
      <c r="AE1212" s="54"/>
    </row>
    <row r="1213" spans="2:31" s="1" customFormat="1" ht="96.3" customHeight="1" outlineLevel="7">
      <c r="B1213" s="6">
        <v>915</v>
      </c>
      <c r="C1213" s="7" t="s">
        <v>4210</v>
      </c>
      <c r="D1213" s="71" t="s">
        <v>4211</v>
      </c>
      <c r="E1213" s="71"/>
      <c r="F1213" s="71"/>
      <c r="G1213" s="71"/>
      <c r="H1213" s="8" t="s">
        <v>4212</v>
      </c>
      <c r="I1213" s="9" t="s">
        <v>36</v>
      </c>
      <c r="J1213" s="8"/>
      <c r="K1213" s="6">
        <v>1</v>
      </c>
      <c r="L1213" s="15">
        <v>1293.53</v>
      </c>
      <c r="M1213" s="11"/>
      <c r="N1213" s="8">
        <f>L1213*M1213</f>
        <v>0</v>
      </c>
      <c r="O1213" s="12">
        <f>0.398*M1213</f>
        <v>0</v>
      </c>
      <c r="P1213" s="13">
        <f>0.00861*M1213</f>
        <v>0</v>
      </c>
      <c r="Q1213" s="17" t="s">
        <v>37</v>
      </c>
      <c r="R1213" s="8" t="s">
        <v>4213</v>
      </c>
      <c r="S1213" s="8"/>
      <c r="T1213" s="7" t="str">
        <f>HYPERLINK("https://miland.ru/api/getInfo/image/599e2018-2778-11f1-a291-00155d82e908")</f>
        <v>https://miland.ru/api/getInfo/image/599e2018-2778-11f1-a291-00155d82e908</v>
      </c>
      <c r="U1213" s="7"/>
      <c r="V1213" s="7"/>
      <c r="W1213" s="7" t="s">
        <v>82</v>
      </c>
      <c r="X1213" s="7"/>
      <c r="Y1213" s="7" t="s">
        <v>41</v>
      </c>
      <c r="Z1213" s="7"/>
      <c r="AA1213" s="7" t="str">
        <f>HYPERLINK("https://miland.ru/api/getInfo/item/599e2018-2778-11f1-a291-00155d82e908")</f>
        <v>https://miland.ru/api/getInfo/item/599e2018-2778-11f1-a291-00155d82e908</v>
      </c>
      <c r="AB1213" s="7" t="s">
        <v>42</v>
      </c>
      <c r="AC1213" s="7"/>
      <c r="AD1213" s="7"/>
      <c r="AE1213" s="54"/>
    </row>
    <row r="1214" spans="2:31" s="1" customFormat="1" ht="96.3" customHeight="1" outlineLevel="7">
      <c r="B1214" s="6">
        <v>916</v>
      </c>
      <c r="C1214" s="7" t="s">
        <v>4214</v>
      </c>
      <c r="D1214" s="71" t="s">
        <v>4215</v>
      </c>
      <c r="E1214" s="71"/>
      <c r="F1214" s="71"/>
      <c r="G1214" s="71"/>
      <c r="H1214" s="8" t="s">
        <v>4216</v>
      </c>
      <c r="I1214" s="9" t="s">
        <v>36</v>
      </c>
      <c r="J1214" s="8"/>
      <c r="K1214" s="6">
        <v>1</v>
      </c>
      <c r="L1214" s="15">
        <v>1293.53</v>
      </c>
      <c r="M1214" s="11"/>
      <c r="N1214" s="8">
        <f>L1214*M1214</f>
        <v>0</v>
      </c>
      <c r="O1214" s="12">
        <f>0.397*M1214</f>
        <v>0</v>
      </c>
      <c r="P1214" s="13">
        <f>0.00741*M1214</f>
        <v>0</v>
      </c>
      <c r="Q1214" s="17" t="s">
        <v>37</v>
      </c>
      <c r="R1214" s="8" t="s">
        <v>4217</v>
      </c>
      <c r="S1214" s="8"/>
      <c r="T1214" s="7" t="str">
        <f>HYPERLINK("https://miland.ru/api/getInfo/image/74e72399-2778-11f1-a291-00155d82e908")</f>
        <v>https://miland.ru/api/getInfo/image/74e72399-2778-11f1-a291-00155d82e908</v>
      </c>
      <c r="U1214" s="7"/>
      <c r="V1214" s="7"/>
      <c r="W1214" s="7" t="s">
        <v>82</v>
      </c>
      <c r="X1214" s="7"/>
      <c r="Y1214" s="7" t="s">
        <v>41</v>
      </c>
      <c r="Z1214" s="7"/>
      <c r="AA1214" s="7" t="str">
        <f>HYPERLINK("https://miland.ru/api/getInfo/item/74e72399-2778-11f1-a291-00155d82e908")</f>
        <v>https://miland.ru/api/getInfo/item/74e72399-2778-11f1-a291-00155d82e908</v>
      </c>
      <c r="AB1214" s="7" t="s">
        <v>42</v>
      </c>
      <c r="AC1214" s="7"/>
      <c r="AD1214" s="7"/>
      <c r="AE1214" s="54"/>
    </row>
    <row r="1215" spans="2:31" ht="12" customHeight="1" outlineLevel="6">
      <c r="B1215" s="70" t="s">
        <v>4218</v>
      </c>
      <c r="C1215" s="70"/>
      <c r="D1215" s="70"/>
      <c r="E1215" s="70"/>
      <c r="F1215" s="70"/>
      <c r="G1215" s="70"/>
    </row>
    <row r="1216" spans="2:31" s="1" customFormat="1" ht="96.3" customHeight="1" outlineLevel="7">
      <c r="B1216" s="34">
        <v>917</v>
      </c>
      <c r="C1216" s="35" t="s">
        <v>4219</v>
      </c>
      <c r="D1216" s="73" t="s">
        <v>4220</v>
      </c>
      <c r="E1216" s="73"/>
      <c r="F1216" s="73"/>
      <c r="G1216" s="73"/>
      <c r="H1216" s="36" t="s">
        <v>4221</v>
      </c>
      <c r="I1216" s="40">
        <v>29</v>
      </c>
      <c r="J1216" s="36"/>
      <c r="K1216" s="34">
        <v>5</v>
      </c>
      <c r="L1216" s="41">
        <v>60</v>
      </c>
      <c r="M1216" s="11"/>
      <c r="N1216" s="36">
        <f>L1216*M1216</f>
        <v>0</v>
      </c>
      <c r="O1216" s="42">
        <f>0.022*M1216</f>
        <v>0</v>
      </c>
      <c r="P1216" s="43">
        <f>0.00021*M1216</f>
        <v>0</v>
      </c>
      <c r="Q1216" s="50"/>
      <c r="R1216" s="36" t="s">
        <v>4222</v>
      </c>
      <c r="S1216" s="36" t="s">
        <v>435</v>
      </c>
      <c r="T1216" s="35" t="str">
        <f>HYPERLINK("https://miland.ru/api/getInfo/image/2be74d78-a9e4-11ec-a211-ac1f6b442185")</f>
        <v>https://miland.ru/api/getInfo/image/2be74d78-a9e4-11ec-a211-ac1f6b442185</v>
      </c>
      <c r="U1216" s="35"/>
      <c r="V1216" s="35"/>
      <c r="W1216" s="35"/>
      <c r="X1216" s="35"/>
      <c r="Y1216" s="35"/>
      <c r="Z1216" s="35"/>
      <c r="AA1216" s="35" t="str">
        <f>HYPERLINK("https://miland.ru/api/getInfo/item/2be74d78-a9e4-11ec-a211-ac1f6b442185")</f>
        <v>https://miland.ru/api/getInfo/item/2be74d78-a9e4-11ec-a211-ac1f6b442185</v>
      </c>
      <c r="AB1216" s="35" t="s">
        <v>42</v>
      </c>
      <c r="AC1216" s="35" t="s">
        <v>4223</v>
      </c>
      <c r="AD1216" s="35"/>
      <c r="AE1216" s="52" t="s">
        <v>1251</v>
      </c>
    </row>
    <row r="1217" spans="2:30" ht="12" customHeight="1" outlineLevel="4">
      <c r="B1217" s="70" t="s">
        <v>4224</v>
      </c>
      <c r="C1217" s="70"/>
      <c r="D1217" s="70"/>
      <c r="E1217" s="70"/>
      <c r="F1217" s="70"/>
      <c r="G1217" s="70"/>
    </row>
    <row r="1218" spans="2:30" ht="12" customHeight="1" outlineLevel="5">
      <c r="B1218" s="70" t="s">
        <v>4225</v>
      </c>
      <c r="C1218" s="70"/>
      <c r="D1218" s="70"/>
      <c r="E1218" s="70"/>
      <c r="F1218" s="70"/>
      <c r="G1218" s="70"/>
    </row>
    <row r="1219" spans="2:30" ht="12" customHeight="1" outlineLevel="6">
      <c r="B1219" s="70" t="s">
        <v>4226</v>
      </c>
      <c r="C1219" s="70"/>
      <c r="D1219" s="70"/>
      <c r="E1219" s="70"/>
      <c r="F1219" s="70"/>
      <c r="G1219" s="70"/>
    </row>
    <row r="1220" spans="2:30" s="1" customFormat="1" ht="96.3" customHeight="1" outlineLevel="7">
      <c r="B1220" s="20">
        <v>918</v>
      </c>
      <c r="C1220" s="21" t="s">
        <v>4227</v>
      </c>
      <c r="D1220" s="72" t="s">
        <v>4228</v>
      </c>
      <c r="E1220" s="72"/>
      <c r="F1220" s="72"/>
      <c r="G1220" s="72"/>
      <c r="H1220" s="22" t="s">
        <v>4229</v>
      </c>
      <c r="I1220" s="23" t="s">
        <v>36</v>
      </c>
      <c r="J1220" s="22"/>
      <c r="K1220" s="20">
        <v>1</v>
      </c>
      <c r="L1220" s="32">
        <v>1463.94</v>
      </c>
      <c r="M1220" s="11"/>
      <c r="N1220" s="22">
        <f>L1220*M1220</f>
        <v>0</v>
      </c>
      <c r="O1220" s="25">
        <f>0.807*M1220</f>
        <v>0</v>
      </c>
      <c r="P1220" s="26">
        <f>0.00862*M1220</f>
        <v>0</v>
      </c>
      <c r="Q1220" s="30"/>
      <c r="R1220" s="22" t="s">
        <v>4230</v>
      </c>
      <c r="S1220" s="22"/>
      <c r="T1220" s="21" t="str">
        <f>HYPERLINK("https://miland.ru/api/getInfo/image/e535b07d-325b-11f0-a27c-00155d82e908")</f>
        <v>https://miland.ru/api/getInfo/image/e535b07d-325b-11f0-a27c-00155d82e908</v>
      </c>
      <c r="U1220" s="21"/>
      <c r="V1220" s="21"/>
      <c r="W1220" s="21" t="s">
        <v>4231</v>
      </c>
      <c r="X1220" s="21" t="s">
        <v>172</v>
      </c>
      <c r="Y1220" s="21" t="s">
        <v>477</v>
      </c>
      <c r="Z1220" s="21" t="s">
        <v>4232</v>
      </c>
      <c r="AA1220" s="21" t="str">
        <f>HYPERLINK("https://miland.ru/api/getInfo/item/e535b07d-325b-11f0-a27c-00155d82e908")</f>
        <v>https://miland.ru/api/getInfo/item/e535b07d-325b-11f0-a27c-00155d82e908</v>
      </c>
      <c r="AB1220" s="21" t="s">
        <v>42</v>
      </c>
      <c r="AC1220" s="21"/>
      <c r="AD1220" s="21"/>
    </row>
    <row r="1221" spans="2:30" s="1" customFormat="1" ht="96.3" customHeight="1" outlineLevel="7">
      <c r="B1221" s="20">
        <v>919</v>
      </c>
      <c r="C1221" s="21" t="s">
        <v>4233</v>
      </c>
      <c r="D1221" s="72" t="s">
        <v>4234</v>
      </c>
      <c r="E1221" s="72"/>
      <c r="F1221" s="72"/>
      <c r="G1221" s="72"/>
      <c r="H1221" s="22" t="s">
        <v>4235</v>
      </c>
      <c r="I1221" s="23" t="s">
        <v>36</v>
      </c>
      <c r="J1221" s="22"/>
      <c r="K1221" s="20">
        <v>1</v>
      </c>
      <c r="L1221" s="32">
        <v>2166.39</v>
      </c>
      <c r="M1221" s="11"/>
      <c r="N1221" s="22">
        <f>L1221*M1221</f>
        <v>0</v>
      </c>
      <c r="O1221" s="25">
        <f>1.574*M1221</f>
        <v>0</v>
      </c>
      <c r="P1221" s="26">
        <f>0.01406*M1221</f>
        <v>0</v>
      </c>
      <c r="Q1221" s="30"/>
      <c r="R1221" s="22" t="s">
        <v>4236</v>
      </c>
      <c r="S1221" s="22"/>
      <c r="T1221" s="21" t="str">
        <f>HYPERLINK("https://miland.ru/api/getInfo/image/487f43c4-325c-11f0-a27c-00155d82e908")</f>
        <v>https://miland.ru/api/getInfo/image/487f43c4-325c-11f0-a27c-00155d82e908</v>
      </c>
      <c r="U1221" s="21"/>
      <c r="V1221" s="21"/>
      <c r="W1221" s="21" t="s">
        <v>82</v>
      </c>
      <c r="X1221" s="21"/>
      <c r="Y1221" s="21" t="s">
        <v>41</v>
      </c>
      <c r="Z1221" s="21"/>
      <c r="AA1221" s="21" t="str">
        <f>HYPERLINK("https://miland.ru/api/getInfo/item/487f43c4-325c-11f0-a27c-00155d82e908")</f>
        <v>https://miland.ru/api/getInfo/item/487f43c4-325c-11f0-a27c-00155d82e908</v>
      </c>
      <c r="AB1221" s="21" t="s">
        <v>42</v>
      </c>
      <c r="AC1221" s="21"/>
      <c r="AD1221" s="21"/>
    </row>
    <row r="1222" spans="2:30" ht="12" customHeight="1" outlineLevel="6">
      <c r="B1222" s="70" t="s">
        <v>4237</v>
      </c>
      <c r="C1222" s="70"/>
      <c r="D1222" s="70"/>
      <c r="E1222" s="70"/>
      <c r="F1222" s="70"/>
      <c r="G1222" s="70"/>
    </row>
    <row r="1223" spans="2:30" s="1" customFormat="1" ht="96.3" customHeight="1" outlineLevel="7">
      <c r="B1223" s="20">
        <v>920</v>
      </c>
      <c r="C1223" s="21" t="s">
        <v>4238</v>
      </c>
      <c r="D1223" s="72" t="s">
        <v>4239</v>
      </c>
      <c r="E1223" s="72"/>
      <c r="F1223" s="72"/>
      <c r="G1223" s="72"/>
      <c r="H1223" s="22" t="s">
        <v>4240</v>
      </c>
      <c r="I1223" s="23" t="s">
        <v>36</v>
      </c>
      <c r="J1223" s="22"/>
      <c r="K1223" s="20">
        <v>1</v>
      </c>
      <c r="L1223" s="24">
        <v>685.92</v>
      </c>
      <c r="M1223" s="11"/>
      <c r="N1223" s="22">
        <f>L1223*M1223</f>
        <v>0</v>
      </c>
      <c r="O1223" s="28">
        <f>0.39*M1223</f>
        <v>0</v>
      </c>
      <c r="P1223" s="26">
        <f>0.00412*M1223</f>
        <v>0</v>
      </c>
      <c r="Q1223" s="30"/>
      <c r="R1223" s="22" t="s">
        <v>4241</v>
      </c>
      <c r="S1223" s="22" t="s">
        <v>435</v>
      </c>
      <c r="T1223" s="21" t="str">
        <f>HYPERLINK("https://miland.ru/api/getInfo/image/50b8094b-e201-11ee-a25a-00155d82e908")</f>
        <v>https://miland.ru/api/getInfo/image/50b8094b-e201-11ee-a25a-00155d82e908</v>
      </c>
      <c r="U1223" s="21"/>
      <c r="V1223" s="21"/>
      <c r="W1223" s="21" t="s">
        <v>4231</v>
      </c>
      <c r="X1223" s="21" t="s">
        <v>172</v>
      </c>
      <c r="Y1223" s="21" t="s">
        <v>477</v>
      </c>
      <c r="Z1223" s="21" t="s">
        <v>4242</v>
      </c>
      <c r="AA1223" s="21" t="str">
        <f>HYPERLINK("https://miland.ru/api/getInfo/item/50b8094b-e201-11ee-a25a-00155d82e908")</f>
        <v>https://miland.ru/api/getInfo/item/50b8094b-e201-11ee-a25a-00155d82e908</v>
      </c>
      <c r="AB1223" s="21" t="s">
        <v>42</v>
      </c>
      <c r="AC1223" s="21"/>
      <c r="AD1223" s="21"/>
    </row>
    <row r="1224" spans="2:30" s="1" customFormat="1" ht="96.3" customHeight="1" outlineLevel="7">
      <c r="B1224" s="20">
        <v>921</v>
      </c>
      <c r="C1224" s="21" t="s">
        <v>4243</v>
      </c>
      <c r="D1224" s="72" t="s">
        <v>4244</v>
      </c>
      <c r="E1224" s="72"/>
      <c r="F1224" s="72"/>
      <c r="G1224" s="72"/>
      <c r="H1224" s="22" t="s">
        <v>4245</v>
      </c>
      <c r="I1224" s="23" t="s">
        <v>36</v>
      </c>
      <c r="J1224" s="22"/>
      <c r="K1224" s="20">
        <v>1</v>
      </c>
      <c r="L1224" s="32">
        <v>1102.99</v>
      </c>
      <c r="M1224" s="11"/>
      <c r="N1224" s="22">
        <f>L1224*M1224</f>
        <v>0</v>
      </c>
      <c r="O1224" s="25">
        <f>0.812*M1224</f>
        <v>0</v>
      </c>
      <c r="P1224" s="29">
        <f>0.0094*M1224</f>
        <v>0</v>
      </c>
      <c r="Q1224" s="30"/>
      <c r="R1224" s="22" t="s">
        <v>4246</v>
      </c>
      <c r="S1224" s="22"/>
      <c r="T1224" s="21" t="str">
        <f>HYPERLINK("https://miland.ru/api/getInfo/image/21e7209d-e209-11ee-a25a-00155d82e908")</f>
        <v>https://miland.ru/api/getInfo/image/21e7209d-e209-11ee-a25a-00155d82e908</v>
      </c>
      <c r="U1224" s="21"/>
      <c r="V1224" s="21"/>
      <c r="W1224" s="21" t="s">
        <v>4231</v>
      </c>
      <c r="X1224" s="21" t="s">
        <v>172</v>
      </c>
      <c r="Y1224" s="21" t="s">
        <v>477</v>
      </c>
      <c r="Z1224" s="21" t="s">
        <v>4247</v>
      </c>
      <c r="AA1224" s="21" t="str">
        <f>HYPERLINK("https://miland.ru/api/getInfo/item/21e7209d-e209-11ee-a25a-00155d82e908")</f>
        <v>https://miland.ru/api/getInfo/item/21e7209d-e209-11ee-a25a-00155d82e908</v>
      </c>
      <c r="AB1224" s="21" t="s">
        <v>42</v>
      </c>
      <c r="AC1224" s="21"/>
      <c r="AD1224" s="21"/>
    </row>
    <row r="1225" spans="2:30" s="1" customFormat="1" ht="96.3" customHeight="1" outlineLevel="7">
      <c r="B1225" s="20">
        <v>922</v>
      </c>
      <c r="C1225" s="21" t="s">
        <v>4248</v>
      </c>
      <c r="D1225" s="72" t="s">
        <v>4249</v>
      </c>
      <c r="E1225" s="72"/>
      <c r="F1225" s="72"/>
      <c r="G1225" s="72"/>
      <c r="H1225" s="22" t="s">
        <v>4250</v>
      </c>
      <c r="I1225" s="27">
        <v>278</v>
      </c>
      <c r="J1225" s="22"/>
      <c r="K1225" s="20">
        <v>1</v>
      </c>
      <c r="L1225" s="32">
        <v>1271.03</v>
      </c>
      <c r="M1225" s="11"/>
      <c r="N1225" s="22">
        <f>L1225*M1225</f>
        <v>0</v>
      </c>
      <c r="O1225" s="25">
        <f>0.808*M1225</f>
        <v>0</v>
      </c>
      <c r="P1225" s="26">
        <f>0.00941*M1225</f>
        <v>0</v>
      </c>
      <c r="Q1225" s="30"/>
      <c r="R1225" s="22" t="s">
        <v>4251</v>
      </c>
      <c r="S1225" s="22"/>
      <c r="T1225" s="21" t="str">
        <f>HYPERLINK("https://miland.ru/api/getInfo/image/e5286e6d-e209-11ee-a25a-00155d82e908")</f>
        <v>https://miland.ru/api/getInfo/image/e5286e6d-e209-11ee-a25a-00155d82e908</v>
      </c>
      <c r="U1225" s="21"/>
      <c r="V1225" s="21"/>
      <c r="W1225" s="21" t="s">
        <v>4231</v>
      </c>
      <c r="X1225" s="21" t="s">
        <v>172</v>
      </c>
      <c r="Y1225" s="21" t="s">
        <v>477</v>
      </c>
      <c r="Z1225" s="21" t="s">
        <v>4252</v>
      </c>
      <c r="AA1225" s="21" t="str">
        <f>HYPERLINK("https://miland.ru/api/getInfo/item/e5286e6d-e209-11ee-a25a-00155d82e908")</f>
        <v>https://miland.ru/api/getInfo/item/e5286e6d-e209-11ee-a25a-00155d82e908</v>
      </c>
      <c r="AB1225" s="21" t="s">
        <v>42</v>
      </c>
      <c r="AC1225" s="21"/>
      <c r="AD1225" s="21"/>
    </row>
    <row r="1226" spans="2:30" s="1" customFormat="1" ht="96.3" customHeight="1" outlineLevel="7">
      <c r="B1226" s="20">
        <v>923</v>
      </c>
      <c r="C1226" s="21" t="s">
        <v>4253</v>
      </c>
      <c r="D1226" s="72" t="s">
        <v>4254</v>
      </c>
      <c r="E1226" s="72"/>
      <c r="F1226" s="72"/>
      <c r="G1226" s="72"/>
      <c r="H1226" s="22" t="s">
        <v>4255</v>
      </c>
      <c r="I1226" s="23" t="s">
        <v>36</v>
      </c>
      <c r="J1226" s="22"/>
      <c r="K1226" s="20">
        <v>1</v>
      </c>
      <c r="L1226" s="32">
        <v>1098.69</v>
      </c>
      <c r="M1226" s="11"/>
      <c r="N1226" s="22">
        <f>L1226*M1226</f>
        <v>0</v>
      </c>
      <c r="O1226" s="25">
        <f>0.761*M1226</f>
        <v>0</v>
      </c>
      <c r="P1226" s="26">
        <f>0.00912*M1226</f>
        <v>0</v>
      </c>
      <c r="Q1226" s="30"/>
      <c r="R1226" s="22" t="s">
        <v>4256</v>
      </c>
      <c r="S1226" s="22"/>
      <c r="T1226" s="21" t="str">
        <f>HYPERLINK("https://miland.ru/api/getInfo/image/d106b9d7-e208-11ee-a25a-00155d82e908")</f>
        <v>https://miland.ru/api/getInfo/image/d106b9d7-e208-11ee-a25a-00155d82e908</v>
      </c>
      <c r="U1226" s="21"/>
      <c r="V1226" s="21"/>
      <c r="W1226" s="21" t="s">
        <v>4231</v>
      </c>
      <c r="X1226" s="21" t="s">
        <v>172</v>
      </c>
      <c r="Y1226" s="21" t="s">
        <v>477</v>
      </c>
      <c r="Z1226" s="21" t="s">
        <v>4257</v>
      </c>
      <c r="AA1226" s="21" t="str">
        <f>HYPERLINK("https://miland.ru/api/getInfo/item/d106b9d7-e208-11ee-a25a-00155d82e908")</f>
        <v>https://miland.ru/api/getInfo/item/d106b9d7-e208-11ee-a25a-00155d82e908</v>
      </c>
      <c r="AB1226" s="21" t="s">
        <v>42</v>
      </c>
      <c r="AC1226" s="21"/>
      <c r="AD1226" s="21"/>
    </row>
    <row r="1227" spans="2:30" s="1" customFormat="1" ht="96.3" customHeight="1" outlineLevel="7">
      <c r="B1227" s="20">
        <v>924</v>
      </c>
      <c r="C1227" s="21" t="s">
        <v>4258</v>
      </c>
      <c r="D1227" s="72" t="s">
        <v>4259</v>
      </c>
      <c r="E1227" s="72"/>
      <c r="F1227" s="72"/>
      <c r="G1227" s="72"/>
      <c r="H1227" s="22" t="s">
        <v>4260</v>
      </c>
      <c r="I1227" s="27">
        <v>126</v>
      </c>
      <c r="J1227" s="22"/>
      <c r="K1227" s="20">
        <v>1</v>
      </c>
      <c r="L1227" s="32">
        <v>2326.63</v>
      </c>
      <c r="M1227" s="11"/>
      <c r="N1227" s="22">
        <f>L1227*M1227</f>
        <v>0</v>
      </c>
      <c r="O1227" s="25">
        <f>1.422*M1227</f>
        <v>0</v>
      </c>
      <c r="P1227" s="26">
        <f>0.01897*M1227</f>
        <v>0</v>
      </c>
      <c r="Q1227" s="30"/>
      <c r="R1227" s="22" t="s">
        <v>4261</v>
      </c>
      <c r="S1227" s="22" t="s">
        <v>435</v>
      </c>
      <c r="T1227" s="21" t="str">
        <f>HYPERLINK("https://miland.ru/api/getInfo/image/abb662ad-e209-11ee-a25a-00155d82e908")</f>
        <v>https://miland.ru/api/getInfo/image/abb662ad-e209-11ee-a25a-00155d82e908</v>
      </c>
      <c r="U1227" s="21"/>
      <c r="V1227" s="21"/>
      <c r="W1227" s="21" t="s">
        <v>4231</v>
      </c>
      <c r="X1227" s="21" t="s">
        <v>172</v>
      </c>
      <c r="Y1227" s="21" t="s">
        <v>477</v>
      </c>
      <c r="Z1227" s="21" t="s">
        <v>4262</v>
      </c>
      <c r="AA1227" s="21" t="str">
        <f>HYPERLINK("https://miland.ru/api/getInfo/item/abb662ad-e209-11ee-a25a-00155d82e908")</f>
        <v>https://miland.ru/api/getInfo/item/abb662ad-e209-11ee-a25a-00155d82e908</v>
      </c>
      <c r="AB1227" s="21" t="s">
        <v>42</v>
      </c>
      <c r="AC1227" s="21"/>
      <c r="AD1227" s="21"/>
    </row>
    <row r="1228" spans="2:30" ht="12" customHeight="1" outlineLevel="4">
      <c r="B1228" s="70" t="s">
        <v>4263</v>
      </c>
      <c r="C1228" s="70"/>
      <c r="D1228" s="70"/>
      <c r="E1228" s="70"/>
      <c r="F1228" s="70"/>
      <c r="G1228" s="70"/>
    </row>
    <row r="1229" spans="2:30" ht="12" customHeight="1" outlineLevel="5">
      <c r="B1229" s="70" t="s">
        <v>4264</v>
      </c>
      <c r="C1229" s="70"/>
      <c r="D1229" s="70"/>
      <c r="E1229" s="70"/>
      <c r="F1229" s="70"/>
      <c r="G1229" s="70"/>
    </row>
    <row r="1230" spans="2:30" s="1" customFormat="1" ht="96.3" customHeight="1" outlineLevel="6">
      <c r="B1230" s="20">
        <v>925</v>
      </c>
      <c r="C1230" s="21" t="s">
        <v>4265</v>
      </c>
      <c r="D1230" s="72" t="s">
        <v>4266</v>
      </c>
      <c r="E1230" s="72"/>
      <c r="F1230" s="72"/>
      <c r="G1230" s="72"/>
      <c r="H1230" s="22" t="s">
        <v>4267</v>
      </c>
      <c r="I1230" s="23" t="s">
        <v>36</v>
      </c>
      <c r="J1230" s="22"/>
      <c r="K1230" s="20">
        <v>1</v>
      </c>
      <c r="L1230" s="32">
        <v>1254.22</v>
      </c>
      <c r="M1230" s="11"/>
      <c r="N1230" s="22">
        <f>L1230*M1230</f>
        <v>0</v>
      </c>
      <c r="O1230" s="25">
        <f>0.369*M1230</f>
        <v>0</v>
      </c>
      <c r="P1230" s="26">
        <f>0.00481*M1230</f>
        <v>0</v>
      </c>
      <c r="Q1230" s="30"/>
      <c r="R1230" s="22" t="s">
        <v>4268</v>
      </c>
      <c r="S1230" s="22" t="s">
        <v>435</v>
      </c>
      <c r="T1230" s="21" t="str">
        <f>HYPERLINK("https://miland.ru/api/getInfo/image/28766726-e202-11ee-a25a-00155d82e908")</f>
        <v>https://miland.ru/api/getInfo/image/28766726-e202-11ee-a25a-00155d82e908</v>
      </c>
      <c r="U1230" s="21"/>
      <c r="V1230" s="21" t="s">
        <v>878</v>
      </c>
      <c r="W1230" s="21" t="s">
        <v>879</v>
      </c>
      <c r="X1230" s="21" t="s">
        <v>172</v>
      </c>
      <c r="Y1230" s="21" t="s">
        <v>173</v>
      </c>
      <c r="Z1230" s="21" t="s">
        <v>4269</v>
      </c>
      <c r="AA1230" s="21" t="str">
        <f>HYPERLINK("https://miland.ru/api/getInfo/item/28766726-e202-11ee-a25a-00155d82e908")</f>
        <v>https://miland.ru/api/getInfo/item/28766726-e202-11ee-a25a-00155d82e908</v>
      </c>
      <c r="AB1230" s="21" t="s">
        <v>42</v>
      </c>
      <c r="AC1230" s="21"/>
      <c r="AD1230" s="21"/>
    </row>
    <row r="1231" spans="2:30" s="1" customFormat="1" ht="96.3" customHeight="1" outlineLevel="6">
      <c r="B1231" s="20">
        <v>926</v>
      </c>
      <c r="C1231" s="21" t="s">
        <v>4270</v>
      </c>
      <c r="D1231" s="72" t="s">
        <v>4271</v>
      </c>
      <c r="E1231" s="72"/>
      <c r="F1231" s="72"/>
      <c r="G1231" s="72"/>
      <c r="H1231" s="22" t="s">
        <v>4272</v>
      </c>
      <c r="I1231" s="23" t="s">
        <v>36</v>
      </c>
      <c r="J1231" s="22"/>
      <c r="K1231" s="20">
        <v>1</v>
      </c>
      <c r="L1231" s="32">
        <v>1298.3900000000001</v>
      </c>
      <c r="M1231" s="11"/>
      <c r="N1231" s="22">
        <f>L1231*M1231</f>
        <v>0</v>
      </c>
      <c r="O1231" s="25">
        <f>0.365*M1231</f>
        <v>0</v>
      </c>
      <c r="P1231" s="26">
        <f>0.00464*M1231</f>
        <v>0</v>
      </c>
      <c r="Q1231" s="30"/>
      <c r="R1231" s="22" t="s">
        <v>4273</v>
      </c>
      <c r="S1231" s="22"/>
      <c r="T1231" s="21" t="str">
        <f>HYPERLINK("https://miland.ru/api/getInfo/image/d4021dbc-e203-11ee-a25a-00155d82e908")</f>
        <v>https://miland.ru/api/getInfo/image/d4021dbc-e203-11ee-a25a-00155d82e908</v>
      </c>
      <c r="U1231" s="21"/>
      <c r="V1231" s="21" t="s">
        <v>878</v>
      </c>
      <c r="W1231" s="21" t="s">
        <v>879</v>
      </c>
      <c r="X1231" s="21" t="s">
        <v>172</v>
      </c>
      <c r="Y1231" s="21" t="s">
        <v>173</v>
      </c>
      <c r="Z1231" s="21" t="s">
        <v>4274</v>
      </c>
      <c r="AA1231" s="21" t="str">
        <f>HYPERLINK("https://miland.ru/api/getInfo/item/d4021dbc-e203-11ee-a25a-00155d82e908")</f>
        <v>https://miland.ru/api/getInfo/item/d4021dbc-e203-11ee-a25a-00155d82e908</v>
      </c>
      <c r="AB1231" s="21" t="s">
        <v>42</v>
      </c>
      <c r="AC1231" s="21"/>
      <c r="AD1231" s="21"/>
    </row>
    <row r="1232" spans="2:30" s="1" customFormat="1" ht="96.3" customHeight="1" outlineLevel="6">
      <c r="B1232" s="20">
        <v>927</v>
      </c>
      <c r="C1232" s="21" t="s">
        <v>4275</v>
      </c>
      <c r="D1232" s="72" t="s">
        <v>4276</v>
      </c>
      <c r="E1232" s="72"/>
      <c r="F1232" s="72"/>
      <c r="G1232" s="72"/>
      <c r="H1232" s="22" t="s">
        <v>4277</v>
      </c>
      <c r="I1232" s="27">
        <v>377</v>
      </c>
      <c r="J1232" s="22"/>
      <c r="K1232" s="20">
        <v>1</v>
      </c>
      <c r="L1232" s="32">
        <v>2561.44</v>
      </c>
      <c r="M1232" s="11"/>
      <c r="N1232" s="22">
        <f>L1232*M1232</f>
        <v>0</v>
      </c>
      <c r="O1232" s="25">
        <f>1.358*M1232</f>
        <v>0</v>
      </c>
      <c r="P1232" s="26">
        <f>0.02581*M1232</f>
        <v>0</v>
      </c>
      <c r="Q1232" s="30"/>
      <c r="R1232" s="22" t="s">
        <v>4278</v>
      </c>
      <c r="S1232" s="22"/>
      <c r="T1232" s="21" t="str">
        <f>HYPERLINK("https://miland.ru/api/getInfo/image/15b6c3bf-e204-11ee-a25a-00155d82e908")</f>
        <v>https://miland.ru/api/getInfo/image/15b6c3bf-e204-11ee-a25a-00155d82e908</v>
      </c>
      <c r="U1232" s="21"/>
      <c r="V1232" s="21" t="s">
        <v>878</v>
      </c>
      <c r="W1232" s="21" t="s">
        <v>82</v>
      </c>
      <c r="X1232" s="21" t="s">
        <v>307</v>
      </c>
      <c r="Y1232" s="21" t="s">
        <v>41</v>
      </c>
      <c r="Z1232" s="21"/>
      <c r="AA1232" s="21" t="str">
        <f>HYPERLINK("https://miland.ru/api/getInfo/item/15b6c3bf-e204-11ee-a25a-00155d82e908")</f>
        <v>https://miland.ru/api/getInfo/item/15b6c3bf-e204-11ee-a25a-00155d82e908</v>
      </c>
      <c r="AB1232" s="21" t="s">
        <v>42</v>
      </c>
      <c r="AC1232" s="21"/>
      <c r="AD1232" s="21"/>
    </row>
    <row r="1233" spans="2:31" s="1" customFormat="1" ht="96.3" customHeight="1" outlineLevel="6">
      <c r="B1233" s="20">
        <v>928</v>
      </c>
      <c r="C1233" s="21" t="s">
        <v>4279</v>
      </c>
      <c r="D1233" s="72" t="s">
        <v>4280</v>
      </c>
      <c r="E1233" s="72"/>
      <c r="F1233" s="72"/>
      <c r="G1233" s="72"/>
      <c r="H1233" s="22" t="s">
        <v>4281</v>
      </c>
      <c r="I1233" s="27">
        <v>16</v>
      </c>
      <c r="J1233" s="22"/>
      <c r="K1233" s="20">
        <v>1</v>
      </c>
      <c r="L1233" s="32">
        <v>1943.16</v>
      </c>
      <c r="M1233" s="11"/>
      <c r="N1233" s="22">
        <f>L1233*M1233</f>
        <v>0</v>
      </c>
      <c r="O1233" s="28">
        <f>0.68*M1233</f>
        <v>0</v>
      </c>
      <c r="P1233" s="26">
        <f>0.01062*M1233</f>
        <v>0</v>
      </c>
      <c r="Q1233" s="30"/>
      <c r="R1233" s="22" t="s">
        <v>4282</v>
      </c>
      <c r="S1233" s="22" t="s">
        <v>435</v>
      </c>
      <c r="T1233" s="21" t="str">
        <f>HYPERLINK("https://miland.ru/api/getInfo/image/64d0b1d1-e208-11ee-a25a-00155d82e908")</f>
        <v>https://miland.ru/api/getInfo/image/64d0b1d1-e208-11ee-a25a-00155d82e908</v>
      </c>
      <c r="U1233" s="21"/>
      <c r="V1233" s="21" t="s">
        <v>878</v>
      </c>
      <c r="W1233" s="21" t="s">
        <v>82</v>
      </c>
      <c r="X1233" s="21" t="s">
        <v>307</v>
      </c>
      <c r="Y1233" s="21" t="s">
        <v>41</v>
      </c>
      <c r="Z1233" s="21"/>
      <c r="AA1233" s="21" t="str">
        <f>HYPERLINK("https://miland.ru/api/getInfo/item/64d0b1d1-e208-11ee-a25a-00155d82e908")</f>
        <v>https://miland.ru/api/getInfo/item/64d0b1d1-e208-11ee-a25a-00155d82e908</v>
      </c>
      <c r="AB1233" s="21" t="s">
        <v>42</v>
      </c>
      <c r="AC1233" s="21"/>
      <c r="AD1233" s="21"/>
    </row>
    <row r="1234" spans="2:31" ht="12" customHeight="1" outlineLevel="5">
      <c r="B1234" s="70" t="s">
        <v>4283</v>
      </c>
      <c r="C1234" s="70"/>
      <c r="D1234" s="70"/>
      <c r="E1234" s="70"/>
      <c r="F1234" s="70"/>
      <c r="G1234" s="70"/>
    </row>
    <row r="1235" spans="2:31" s="1" customFormat="1" ht="96.3" customHeight="1" outlineLevel="6">
      <c r="B1235" s="34">
        <v>929</v>
      </c>
      <c r="C1235" s="35" t="s">
        <v>4284</v>
      </c>
      <c r="D1235" s="73" t="s">
        <v>4285</v>
      </c>
      <c r="E1235" s="73"/>
      <c r="F1235" s="73"/>
      <c r="G1235" s="73"/>
      <c r="H1235" s="36" t="s">
        <v>4286</v>
      </c>
      <c r="I1235" s="40">
        <v>71</v>
      </c>
      <c r="J1235" s="36"/>
      <c r="K1235" s="34">
        <v>1</v>
      </c>
      <c r="L1235" s="41">
        <v>85.626666666666665</v>
      </c>
      <c r="M1235" s="11"/>
      <c r="N1235" s="36">
        <f t="shared" ref="N1235:N1244" si="53">L1235*M1235</f>
        <v>0</v>
      </c>
      <c r="O1235" s="47">
        <f>0.12*M1235</f>
        <v>0</v>
      </c>
      <c r="P1235" s="43">
        <f>0.00365*M1235</f>
        <v>0</v>
      </c>
      <c r="Q1235" s="50"/>
      <c r="R1235" s="36" t="s">
        <v>4287</v>
      </c>
      <c r="S1235" s="36" t="s">
        <v>435</v>
      </c>
      <c r="T1235" s="35" t="str">
        <f>HYPERLINK("https://miland.ru/api/getInfo/image/1203f7b2-4a1e-11e9-a221-ac1f6b442184")</f>
        <v>https://miland.ru/api/getInfo/image/1203f7b2-4a1e-11e9-a221-ac1f6b442184</v>
      </c>
      <c r="U1235" s="35"/>
      <c r="V1235" s="35" t="s">
        <v>878</v>
      </c>
      <c r="W1235" s="35" t="s">
        <v>879</v>
      </c>
      <c r="X1235" s="35"/>
      <c r="Y1235" s="35" t="s">
        <v>41</v>
      </c>
      <c r="Z1235" s="35"/>
      <c r="AA1235" s="35" t="str">
        <f>HYPERLINK("https://miland.ru/api/getInfo/item/1203f7b2-4a1e-11e9-a221-ac1f6b442184")</f>
        <v>https://miland.ru/api/getInfo/item/1203f7b2-4a1e-11e9-a221-ac1f6b442184</v>
      </c>
      <c r="AB1235" s="35" t="s">
        <v>42</v>
      </c>
      <c r="AC1235" s="35"/>
      <c r="AD1235" s="35"/>
      <c r="AE1235" s="52" t="s">
        <v>1251</v>
      </c>
    </row>
    <row r="1236" spans="2:31" s="1" customFormat="1" ht="96.3" customHeight="1" outlineLevel="6">
      <c r="B1236" s="20">
        <v>930</v>
      </c>
      <c r="C1236" s="21" t="s">
        <v>4288</v>
      </c>
      <c r="D1236" s="72" t="s">
        <v>4289</v>
      </c>
      <c r="E1236" s="72"/>
      <c r="F1236" s="72"/>
      <c r="G1236" s="72"/>
      <c r="H1236" s="22" t="s">
        <v>4290</v>
      </c>
      <c r="I1236" s="27">
        <v>9</v>
      </c>
      <c r="J1236" s="22"/>
      <c r="K1236" s="20">
        <v>1</v>
      </c>
      <c r="L1236" s="24">
        <v>545.79</v>
      </c>
      <c r="M1236" s="11"/>
      <c r="N1236" s="22">
        <f t="shared" si="53"/>
        <v>0</v>
      </c>
      <c r="O1236" s="25">
        <f>0.137*M1236</f>
        <v>0</v>
      </c>
      <c r="P1236" s="29">
        <f>0.0016*M1236</f>
        <v>0</v>
      </c>
      <c r="Q1236" s="30"/>
      <c r="R1236" s="22" t="s">
        <v>4291</v>
      </c>
      <c r="S1236" s="22" t="s">
        <v>435</v>
      </c>
      <c r="T1236" s="21" t="str">
        <f>HYPERLINK("https://miland.ru/api/getInfo/image/b7246507-8065-11ed-a22a-00155d82e902")</f>
        <v>https://miland.ru/api/getInfo/image/b7246507-8065-11ed-a22a-00155d82e902</v>
      </c>
      <c r="U1236" s="21"/>
      <c r="V1236" s="21" t="s">
        <v>878</v>
      </c>
      <c r="W1236" s="21" t="s">
        <v>879</v>
      </c>
      <c r="X1236" s="21"/>
      <c r="Y1236" s="21" t="s">
        <v>41</v>
      </c>
      <c r="Z1236" s="21"/>
      <c r="AA1236" s="21" t="str">
        <f>HYPERLINK("https://miland.ru/api/getInfo/item/b7246507-8065-11ed-a22a-00155d82e902")</f>
        <v>https://miland.ru/api/getInfo/item/b7246507-8065-11ed-a22a-00155d82e902</v>
      </c>
      <c r="AB1236" s="21" t="s">
        <v>42</v>
      </c>
      <c r="AC1236" s="21" t="s">
        <v>4292</v>
      </c>
      <c r="AD1236" s="21"/>
    </row>
    <row r="1237" spans="2:31" s="1" customFormat="1" ht="96.3" customHeight="1" outlineLevel="6">
      <c r="B1237" s="20">
        <v>931</v>
      </c>
      <c r="C1237" s="21" t="s">
        <v>4293</v>
      </c>
      <c r="D1237" s="72" t="s">
        <v>4294</v>
      </c>
      <c r="E1237" s="72"/>
      <c r="F1237" s="72"/>
      <c r="G1237" s="72"/>
      <c r="H1237" s="22" t="s">
        <v>4295</v>
      </c>
      <c r="I1237" s="27">
        <v>206</v>
      </c>
      <c r="J1237" s="22"/>
      <c r="K1237" s="20">
        <v>4</v>
      </c>
      <c r="L1237" s="24">
        <v>174.75</v>
      </c>
      <c r="M1237" s="11"/>
      <c r="N1237" s="22">
        <f t="shared" si="53"/>
        <v>0</v>
      </c>
      <c r="O1237" s="25">
        <f>0.039*M1237</f>
        <v>0</v>
      </c>
      <c r="P1237" s="26">
        <f>0.00147*M1237</f>
        <v>0</v>
      </c>
      <c r="Q1237" s="30"/>
      <c r="R1237" s="22" t="s">
        <v>4296</v>
      </c>
      <c r="S1237" s="22"/>
      <c r="T1237" s="21" t="str">
        <f>HYPERLINK("https://miland.ru/api/getInfo/image/f836dbf2-88d4-11ec-a211-ac1f6b442185")</f>
        <v>https://miland.ru/api/getInfo/image/f836dbf2-88d4-11ec-a211-ac1f6b442185</v>
      </c>
      <c r="U1237" s="21"/>
      <c r="V1237" s="21" t="s">
        <v>878</v>
      </c>
      <c r="W1237" s="21" t="s">
        <v>879</v>
      </c>
      <c r="X1237" s="21" t="s">
        <v>172</v>
      </c>
      <c r="Y1237" s="21" t="s">
        <v>173</v>
      </c>
      <c r="Z1237" s="21" t="s">
        <v>4297</v>
      </c>
      <c r="AA1237" s="21" t="str">
        <f>HYPERLINK("https://miland.ru/api/getInfo/item/f836dbf2-88d4-11ec-a211-ac1f6b442185")</f>
        <v>https://miland.ru/api/getInfo/item/f836dbf2-88d4-11ec-a211-ac1f6b442185</v>
      </c>
      <c r="AB1237" s="21" t="s">
        <v>42</v>
      </c>
      <c r="AC1237" s="21" t="s">
        <v>4298</v>
      </c>
      <c r="AD1237" s="21"/>
    </row>
    <row r="1238" spans="2:31" s="1" customFormat="1" ht="96.3" customHeight="1" outlineLevel="6">
      <c r="B1238" s="20">
        <v>932</v>
      </c>
      <c r="C1238" s="21" t="s">
        <v>4299</v>
      </c>
      <c r="D1238" s="72" t="s">
        <v>4300</v>
      </c>
      <c r="E1238" s="72"/>
      <c r="F1238" s="72"/>
      <c r="G1238" s="72"/>
      <c r="H1238" s="22" t="s">
        <v>4301</v>
      </c>
      <c r="I1238" s="23" t="s">
        <v>36</v>
      </c>
      <c r="J1238" s="22"/>
      <c r="K1238" s="20">
        <v>3</v>
      </c>
      <c r="L1238" s="24">
        <v>231.48</v>
      </c>
      <c r="M1238" s="11"/>
      <c r="N1238" s="22">
        <f t="shared" si="53"/>
        <v>0</v>
      </c>
      <c r="O1238" s="25">
        <f>0.074*M1238</f>
        <v>0</v>
      </c>
      <c r="P1238" s="29">
        <f>0.0016*M1238</f>
        <v>0</v>
      </c>
      <c r="Q1238" s="30"/>
      <c r="R1238" s="22" t="s">
        <v>4302</v>
      </c>
      <c r="S1238" s="22"/>
      <c r="T1238" s="21" t="str">
        <f>HYPERLINK("https://miland.ru/api/getInfo/image/979bd13f-88d5-11ec-a211-ac1f6b442185")</f>
        <v>https://miland.ru/api/getInfo/image/979bd13f-88d5-11ec-a211-ac1f6b442185</v>
      </c>
      <c r="U1238" s="21"/>
      <c r="V1238" s="21" t="s">
        <v>878</v>
      </c>
      <c r="W1238" s="21" t="s">
        <v>879</v>
      </c>
      <c r="X1238" s="21" t="s">
        <v>172</v>
      </c>
      <c r="Y1238" s="21" t="s">
        <v>173</v>
      </c>
      <c r="Z1238" s="21" t="s">
        <v>4303</v>
      </c>
      <c r="AA1238" s="21" t="str">
        <f>HYPERLINK("https://miland.ru/api/getInfo/item/979bd13f-88d5-11ec-a211-ac1f6b442185")</f>
        <v>https://miland.ru/api/getInfo/item/979bd13f-88d5-11ec-a211-ac1f6b442185</v>
      </c>
      <c r="AB1238" s="21" t="s">
        <v>42</v>
      </c>
      <c r="AC1238" s="21" t="s">
        <v>4304</v>
      </c>
      <c r="AD1238" s="21"/>
    </row>
    <row r="1239" spans="2:31" s="1" customFormat="1" ht="96.3" customHeight="1" outlineLevel="6">
      <c r="B1239" s="20">
        <v>933</v>
      </c>
      <c r="C1239" s="21" t="s">
        <v>4305</v>
      </c>
      <c r="D1239" s="72" t="s">
        <v>4306</v>
      </c>
      <c r="E1239" s="72"/>
      <c r="F1239" s="72"/>
      <c r="G1239" s="72"/>
      <c r="H1239" s="22" t="s">
        <v>4307</v>
      </c>
      <c r="I1239" s="23" t="s">
        <v>36</v>
      </c>
      <c r="J1239" s="22"/>
      <c r="K1239" s="20">
        <v>2</v>
      </c>
      <c r="L1239" s="24">
        <v>389.82</v>
      </c>
      <c r="M1239" s="11"/>
      <c r="N1239" s="22">
        <f t="shared" si="53"/>
        <v>0</v>
      </c>
      <c r="O1239" s="25">
        <f>7.645*M1239</f>
        <v>0</v>
      </c>
      <c r="P1239" s="29">
        <f>0.0865*M1239</f>
        <v>0</v>
      </c>
      <c r="Q1239" s="30"/>
      <c r="R1239" s="22" t="s">
        <v>4308</v>
      </c>
      <c r="S1239" s="22"/>
      <c r="T1239" s="21" t="str">
        <f>HYPERLINK("https://miland.ru/api/getInfo/image/01c574e8-88d6-11ec-a211-ac1f6b442185")</f>
        <v>https://miland.ru/api/getInfo/image/01c574e8-88d6-11ec-a211-ac1f6b442185</v>
      </c>
      <c r="U1239" s="21"/>
      <c r="V1239" s="21" t="s">
        <v>878</v>
      </c>
      <c r="W1239" s="21" t="s">
        <v>879</v>
      </c>
      <c r="X1239" s="21" t="s">
        <v>172</v>
      </c>
      <c r="Y1239" s="21" t="s">
        <v>173</v>
      </c>
      <c r="Z1239" s="21" t="s">
        <v>4309</v>
      </c>
      <c r="AA1239" s="21" t="str">
        <f>HYPERLINK("https://miland.ru/api/getInfo/item/01c574e8-88d6-11ec-a211-ac1f6b442185")</f>
        <v>https://miland.ru/api/getInfo/item/01c574e8-88d6-11ec-a211-ac1f6b442185</v>
      </c>
      <c r="AB1239" s="21" t="s">
        <v>42</v>
      </c>
      <c r="AC1239" s="21" t="s">
        <v>4310</v>
      </c>
      <c r="AD1239" s="21"/>
    </row>
    <row r="1240" spans="2:31" s="1" customFormat="1" ht="96.3" customHeight="1" outlineLevel="6">
      <c r="B1240" s="20">
        <v>934</v>
      </c>
      <c r="C1240" s="21" t="s">
        <v>4311</v>
      </c>
      <c r="D1240" s="72" t="s">
        <v>4312</v>
      </c>
      <c r="E1240" s="72"/>
      <c r="F1240" s="72"/>
      <c r="G1240" s="72"/>
      <c r="H1240" s="22" t="s">
        <v>4313</v>
      </c>
      <c r="I1240" s="27">
        <v>430</v>
      </c>
      <c r="J1240" s="22"/>
      <c r="K1240" s="20">
        <v>2</v>
      </c>
      <c r="L1240" s="24">
        <v>302.45</v>
      </c>
      <c r="M1240" s="11"/>
      <c r="N1240" s="22">
        <f t="shared" si="53"/>
        <v>0</v>
      </c>
      <c r="O1240" s="25">
        <f>0.072*M1240</f>
        <v>0</v>
      </c>
      <c r="P1240" s="26">
        <f>0.00129*M1240</f>
        <v>0</v>
      </c>
      <c r="Q1240" s="30"/>
      <c r="R1240" s="22" t="s">
        <v>4314</v>
      </c>
      <c r="S1240" s="22"/>
      <c r="T1240" s="21" t="str">
        <f>HYPERLINK("https://miland.ru/api/getInfo/image/666de74f-88d6-11ec-a211-ac1f6b442185")</f>
        <v>https://miland.ru/api/getInfo/image/666de74f-88d6-11ec-a211-ac1f6b442185</v>
      </c>
      <c r="U1240" s="21"/>
      <c r="V1240" s="21" t="s">
        <v>878</v>
      </c>
      <c r="W1240" s="21" t="s">
        <v>879</v>
      </c>
      <c r="X1240" s="21" t="s">
        <v>172</v>
      </c>
      <c r="Y1240" s="21" t="s">
        <v>477</v>
      </c>
      <c r="Z1240" s="21" t="s">
        <v>4315</v>
      </c>
      <c r="AA1240" s="21" t="str">
        <f>HYPERLINK("https://miland.ru/api/getInfo/item/666de74f-88d6-11ec-a211-ac1f6b442185")</f>
        <v>https://miland.ru/api/getInfo/item/666de74f-88d6-11ec-a211-ac1f6b442185</v>
      </c>
      <c r="AB1240" s="21" t="s">
        <v>42</v>
      </c>
      <c r="AC1240" s="21" t="s">
        <v>4298</v>
      </c>
      <c r="AD1240" s="21"/>
    </row>
    <row r="1241" spans="2:31" s="1" customFormat="1" ht="96.3" customHeight="1" outlineLevel="6">
      <c r="B1241" s="20">
        <v>935</v>
      </c>
      <c r="C1241" s="21" t="s">
        <v>4316</v>
      </c>
      <c r="D1241" s="72" t="s">
        <v>4317</v>
      </c>
      <c r="E1241" s="72"/>
      <c r="F1241" s="72"/>
      <c r="G1241" s="72"/>
      <c r="H1241" s="22" t="s">
        <v>4318</v>
      </c>
      <c r="I1241" s="23" t="s">
        <v>36</v>
      </c>
      <c r="J1241" s="22"/>
      <c r="K1241" s="20">
        <v>4</v>
      </c>
      <c r="L1241" s="24">
        <v>174.75</v>
      </c>
      <c r="M1241" s="11"/>
      <c r="N1241" s="22">
        <f t="shared" si="53"/>
        <v>0</v>
      </c>
      <c r="O1241" s="25">
        <f>4.927*M1241</f>
        <v>0</v>
      </c>
      <c r="P1241" s="26">
        <f>0.04841*M1241</f>
        <v>0</v>
      </c>
      <c r="Q1241" s="30"/>
      <c r="R1241" s="22" t="s">
        <v>4319</v>
      </c>
      <c r="S1241" s="22"/>
      <c r="T1241" s="21" t="str">
        <f>HYPERLINK("https://miland.ru/api/getInfo/image/b989d861-88d7-11ec-a211-ac1f6b442185")</f>
        <v>https://miland.ru/api/getInfo/image/b989d861-88d7-11ec-a211-ac1f6b442185</v>
      </c>
      <c r="U1241" s="21"/>
      <c r="V1241" s="21" t="s">
        <v>878</v>
      </c>
      <c r="W1241" s="21" t="s">
        <v>879</v>
      </c>
      <c r="X1241" s="21" t="s">
        <v>172</v>
      </c>
      <c r="Y1241" s="21" t="s">
        <v>173</v>
      </c>
      <c r="Z1241" s="21" t="s">
        <v>4320</v>
      </c>
      <c r="AA1241" s="21" t="str">
        <f>HYPERLINK("https://miland.ru/api/getInfo/item/b989d861-88d7-11ec-a211-ac1f6b442185")</f>
        <v>https://miland.ru/api/getInfo/item/b989d861-88d7-11ec-a211-ac1f6b442185</v>
      </c>
      <c r="AB1241" s="21" t="s">
        <v>42</v>
      </c>
      <c r="AC1241" s="21" t="s">
        <v>4298</v>
      </c>
      <c r="AD1241" s="21"/>
    </row>
    <row r="1242" spans="2:31" s="1" customFormat="1" ht="96.3" customHeight="1" outlineLevel="6">
      <c r="B1242" s="20">
        <v>936</v>
      </c>
      <c r="C1242" s="21" t="s">
        <v>4321</v>
      </c>
      <c r="D1242" s="72" t="s">
        <v>4322</v>
      </c>
      <c r="E1242" s="72"/>
      <c r="F1242" s="72"/>
      <c r="G1242" s="72"/>
      <c r="H1242" s="22" t="s">
        <v>4323</v>
      </c>
      <c r="I1242" s="23" t="s">
        <v>36</v>
      </c>
      <c r="J1242" s="22"/>
      <c r="K1242" s="20">
        <v>3</v>
      </c>
      <c r="L1242" s="24">
        <v>231.48</v>
      </c>
      <c r="M1242" s="11"/>
      <c r="N1242" s="22">
        <f t="shared" si="53"/>
        <v>0</v>
      </c>
      <c r="O1242" s="25">
        <f>0.095*M1242</f>
        <v>0</v>
      </c>
      <c r="P1242" s="26">
        <f>0.00156*M1242</f>
        <v>0</v>
      </c>
      <c r="Q1242" s="30"/>
      <c r="R1242" s="22" t="s">
        <v>4324</v>
      </c>
      <c r="S1242" s="22"/>
      <c r="T1242" s="21" t="str">
        <f>HYPERLINK("https://miland.ru/api/getInfo/image/219962df-88d8-11ec-a211-ac1f6b442185")</f>
        <v>https://miland.ru/api/getInfo/image/219962df-88d8-11ec-a211-ac1f6b442185</v>
      </c>
      <c r="U1242" s="21"/>
      <c r="V1242" s="21" t="s">
        <v>878</v>
      </c>
      <c r="W1242" s="21" t="s">
        <v>879</v>
      </c>
      <c r="X1242" s="21" t="s">
        <v>172</v>
      </c>
      <c r="Y1242" s="21" t="s">
        <v>173</v>
      </c>
      <c r="Z1242" s="21" t="s">
        <v>4325</v>
      </c>
      <c r="AA1242" s="21" t="str">
        <f>HYPERLINK("https://miland.ru/api/getInfo/item/219962df-88d8-11ec-a211-ac1f6b442185")</f>
        <v>https://miland.ru/api/getInfo/item/219962df-88d8-11ec-a211-ac1f6b442185</v>
      </c>
      <c r="AB1242" s="21" t="s">
        <v>42</v>
      </c>
      <c r="AC1242" s="21" t="s">
        <v>4304</v>
      </c>
      <c r="AD1242" s="21"/>
    </row>
    <row r="1243" spans="2:31" s="1" customFormat="1" ht="96.3" customHeight="1" outlineLevel="6">
      <c r="B1243" s="20">
        <v>937</v>
      </c>
      <c r="C1243" s="21" t="s">
        <v>4326</v>
      </c>
      <c r="D1243" s="72" t="s">
        <v>4327</v>
      </c>
      <c r="E1243" s="72"/>
      <c r="F1243" s="72"/>
      <c r="G1243" s="72"/>
      <c r="H1243" s="22" t="s">
        <v>4328</v>
      </c>
      <c r="I1243" s="23" t="s">
        <v>36</v>
      </c>
      <c r="J1243" s="22"/>
      <c r="K1243" s="20">
        <v>2</v>
      </c>
      <c r="L1243" s="24">
        <v>389.82</v>
      </c>
      <c r="M1243" s="11"/>
      <c r="N1243" s="22">
        <f t="shared" si="53"/>
        <v>0</v>
      </c>
      <c r="O1243" s="25">
        <f>0.202*M1243</f>
        <v>0</v>
      </c>
      <c r="P1243" s="26">
        <f>0.00247*M1243</f>
        <v>0</v>
      </c>
      <c r="Q1243" s="30"/>
      <c r="R1243" s="22" t="s">
        <v>4329</v>
      </c>
      <c r="S1243" s="22"/>
      <c r="T1243" s="21" t="str">
        <f>HYPERLINK("https://miland.ru/api/getInfo/image/8beb9102-88d8-11ec-a211-ac1f6b442185")</f>
        <v>https://miland.ru/api/getInfo/image/8beb9102-88d8-11ec-a211-ac1f6b442185</v>
      </c>
      <c r="U1243" s="21"/>
      <c r="V1243" s="21" t="s">
        <v>878</v>
      </c>
      <c r="W1243" s="21" t="s">
        <v>879</v>
      </c>
      <c r="X1243" s="21" t="s">
        <v>172</v>
      </c>
      <c r="Y1243" s="21" t="s">
        <v>173</v>
      </c>
      <c r="Z1243" s="21" t="s">
        <v>4330</v>
      </c>
      <c r="AA1243" s="21" t="str">
        <f>HYPERLINK("https://miland.ru/api/getInfo/item/8beb9102-88d8-11ec-a211-ac1f6b442185")</f>
        <v>https://miland.ru/api/getInfo/item/8beb9102-88d8-11ec-a211-ac1f6b442185</v>
      </c>
      <c r="AB1243" s="21" t="s">
        <v>42</v>
      </c>
      <c r="AC1243" s="21" t="s">
        <v>4310</v>
      </c>
      <c r="AD1243" s="21"/>
    </row>
    <row r="1244" spans="2:31" s="1" customFormat="1" ht="96.3" customHeight="1" outlineLevel="6">
      <c r="B1244" s="20">
        <v>938</v>
      </c>
      <c r="C1244" s="21" t="s">
        <v>4331</v>
      </c>
      <c r="D1244" s="72" t="s">
        <v>4332</v>
      </c>
      <c r="E1244" s="72"/>
      <c r="F1244" s="72"/>
      <c r="G1244" s="72"/>
      <c r="H1244" s="22" t="s">
        <v>4333</v>
      </c>
      <c r="I1244" s="27">
        <v>104</v>
      </c>
      <c r="J1244" s="22"/>
      <c r="K1244" s="20">
        <v>4</v>
      </c>
      <c r="L1244" s="24">
        <v>101.41</v>
      </c>
      <c r="M1244" s="11"/>
      <c r="N1244" s="22">
        <f t="shared" si="53"/>
        <v>0</v>
      </c>
      <c r="O1244" s="25">
        <f>0.032*M1244</f>
        <v>0</v>
      </c>
      <c r="P1244" s="26">
        <f>0.00129*M1244</f>
        <v>0</v>
      </c>
      <c r="Q1244" s="30"/>
      <c r="R1244" s="22" t="s">
        <v>4334</v>
      </c>
      <c r="S1244" s="22" t="s">
        <v>435</v>
      </c>
      <c r="T1244" s="21" t="str">
        <f>HYPERLINK("https://miland.ru/api/getInfo/image/bc0a0d8d-04ff-11ee-a23b-00155d82e902")</f>
        <v>https://miland.ru/api/getInfo/image/bc0a0d8d-04ff-11ee-a23b-00155d82e902</v>
      </c>
      <c r="U1244" s="21"/>
      <c r="V1244" s="21" t="s">
        <v>878</v>
      </c>
      <c r="W1244" s="21" t="s">
        <v>879</v>
      </c>
      <c r="X1244" s="21" t="s">
        <v>172</v>
      </c>
      <c r="Y1244" s="21" t="s">
        <v>173</v>
      </c>
      <c r="Z1244" s="21" t="s">
        <v>4335</v>
      </c>
      <c r="AA1244" s="21" t="str">
        <f>HYPERLINK("https://miland.ru/api/getInfo/item/bc0a0d8d-04ff-11ee-a23b-00155d82e902")</f>
        <v>https://miland.ru/api/getInfo/item/bc0a0d8d-04ff-11ee-a23b-00155d82e902</v>
      </c>
      <c r="AB1244" s="21" t="s">
        <v>42</v>
      </c>
      <c r="AC1244" s="21"/>
      <c r="AD1244" s="21"/>
    </row>
    <row r="1245" spans="2:31" ht="12" customHeight="1" outlineLevel="5">
      <c r="B1245" s="70" t="s">
        <v>1363</v>
      </c>
      <c r="C1245" s="70"/>
      <c r="D1245" s="70"/>
      <c r="E1245" s="70"/>
      <c r="F1245" s="70"/>
      <c r="G1245" s="70"/>
    </row>
    <row r="1246" spans="2:31" s="1" customFormat="1" ht="96.3" customHeight="1" outlineLevel="6">
      <c r="B1246" s="20">
        <v>939</v>
      </c>
      <c r="C1246" s="21" t="s">
        <v>4336</v>
      </c>
      <c r="D1246" s="72" t="s">
        <v>4337</v>
      </c>
      <c r="E1246" s="72"/>
      <c r="F1246" s="72"/>
      <c r="G1246" s="72"/>
      <c r="H1246" s="22" t="s">
        <v>4338</v>
      </c>
      <c r="I1246" s="27">
        <v>39</v>
      </c>
      <c r="J1246" s="22"/>
      <c r="K1246" s="20">
        <v>4</v>
      </c>
      <c r="L1246" s="24">
        <v>145.88999999999999</v>
      </c>
      <c r="M1246" s="11"/>
      <c r="N1246" s="22">
        <f>L1246*M1246</f>
        <v>0</v>
      </c>
      <c r="O1246" s="28">
        <f>0.04*M1246</f>
        <v>0</v>
      </c>
      <c r="P1246" s="26">
        <f>0.00139*M1246</f>
        <v>0</v>
      </c>
      <c r="Q1246" s="30"/>
      <c r="R1246" s="22" t="s">
        <v>4339</v>
      </c>
      <c r="S1246" s="22"/>
      <c r="T1246" s="21" t="str">
        <f>HYPERLINK("https://miland.ru/api/getInfo/image/354239bd-5298-11e8-b825-5cf3fc4a2490")</f>
        <v>https://miland.ru/api/getInfo/image/354239bd-5298-11e8-b825-5cf3fc4a2490</v>
      </c>
      <c r="U1246" s="21"/>
      <c r="V1246" s="21" t="s">
        <v>710</v>
      </c>
      <c r="W1246" s="21" t="s">
        <v>82</v>
      </c>
      <c r="X1246" s="21"/>
      <c r="Y1246" s="21" t="s">
        <v>41</v>
      </c>
      <c r="Z1246" s="21"/>
      <c r="AA1246" s="21" t="str">
        <f>HYPERLINK("https://miland.ru/api/getInfo/item/354239bd-5298-11e8-b825-5cf3fc4a2490")</f>
        <v>https://miland.ru/api/getInfo/item/354239bd-5298-11e8-b825-5cf3fc4a2490</v>
      </c>
      <c r="AB1246" s="21" t="s">
        <v>42</v>
      </c>
      <c r="AC1246" s="21" t="s">
        <v>4340</v>
      </c>
      <c r="AD1246" s="21"/>
    </row>
    <row r="1247" spans="2:31" ht="12" customHeight="1" outlineLevel="4">
      <c r="B1247" s="70" t="s">
        <v>4341</v>
      </c>
      <c r="C1247" s="70"/>
      <c r="D1247" s="70"/>
      <c r="E1247" s="70"/>
      <c r="F1247" s="70"/>
      <c r="G1247" s="70"/>
    </row>
    <row r="1248" spans="2:31" s="1" customFormat="1" ht="96.3" customHeight="1" outlineLevel="5">
      <c r="B1248" s="34">
        <v>940</v>
      </c>
      <c r="C1248" s="35" t="s">
        <v>4342</v>
      </c>
      <c r="D1248" s="73" t="s">
        <v>4343</v>
      </c>
      <c r="E1248" s="73"/>
      <c r="F1248" s="73"/>
      <c r="G1248" s="73"/>
      <c r="H1248" s="36" t="s">
        <v>4344</v>
      </c>
      <c r="I1248" s="40">
        <v>142</v>
      </c>
      <c r="J1248" s="36"/>
      <c r="K1248" s="34">
        <v>20</v>
      </c>
      <c r="L1248" s="41">
        <v>11.146666666666667</v>
      </c>
      <c r="M1248" s="11"/>
      <c r="N1248" s="36">
        <f t="shared" ref="N1248:N1253" si="54">L1248*M1248</f>
        <v>0</v>
      </c>
      <c r="O1248" s="42">
        <f>0.004*M1248</f>
        <v>0</v>
      </c>
      <c r="P1248" s="55">
        <f>0.0001*M1248</f>
        <v>0</v>
      </c>
      <c r="Q1248" s="50"/>
      <c r="R1248" s="36" t="s">
        <v>4345</v>
      </c>
      <c r="S1248" s="36" t="s">
        <v>435</v>
      </c>
      <c r="T1248" s="35" t="str">
        <f>HYPERLINK("https://miland.ru/api/getInfo/image/c69a2bbc-8fa4-11ea-a247-ac1f6b442184")</f>
        <v>https://miland.ru/api/getInfo/image/c69a2bbc-8fa4-11ea-a247-ac1f6b442184</v>
      </c>
      <c r="U1248" s="35"/>
      <c r="V1248" s="35"/>
      <c r="W1248" s="35"/>
      <c r="X1248" s="35"/>
      <c r="Y1248" s="35"/>
      <c r="Z1248" s="35"/>
      <c r="AA1248" s="35" t="str">
        <f>HYPERLINK("https://miland.ru/api/getInfo/item/c69a2bbc-8fa4-11ea-a247-ac1f6b442184")</f>
        <v>https://miland.ru/api/getInfo/item/c69a2bbc-8fa4-11ea-a247-ac1f6b442184</v>
      </c>
      <c r="AB1248" s="35" t="s">
        <v>42</v>
      </c>
      <c r="AC1248" s="35"/>
      <c r="AD1248" s="35"/>
      <c r="AE1248" s="52" t="s">
        <v>1251</v>
      </c>
    </row>
    <row r="1249" spans="2:30" s="1" customFormat="1" ht="96.3" customHeight="1" outlineLevel="5">
      <c r="B1249" s="20">
        <v>941</v>
      </c>
      <c r="C1249" s="21" t="s">
        <v>4346</v>
      </c>
      <c r="D1249" s="72" t="s">
        <v>4347</v>
      </c>
      <c r="E1249" s="72"/>
      <c r="F1249" s="72"/>
      <c r="G1249" s="72"/>
      <c r="H1249" s="22" t="s">
        <v>4348</v>
      </c>
      <c r="I1249" s="23" t="s">
        <v>36</v>
      </c>
      <c r="J1249" s="22"/>
      <c r="K1249" s="20">
        <v>10</v>
      </c>
      <c r="L1249" s="24">
        <v>76.75</v>
      </c>
      <c r="M1249" s="11"/>
      <c r="N1249" s="22">
        <f t="shared" si="54"/>
        <v>0</v>
      </c>
      <c r="O1249" s="25">
        <f>0.007*M1249</f>
        <v>0</v>
      </c>
      <c r="P1249" s="26">
        <f>0.00015*M1249</f>
        <v>0</v>
      </c>
      <c r="Q1249" s="30"/>
      <c r="R1249" s="22" t="s">
        <v>4349</v>
      </c>
      <c r="S1249" s="22" t="s">
        <v>435</v>
      </c>
      <c r="T1249" s="21" t="str">
        <f>HYPERLINK("https://miland.ru/api/getInfo/image/42895343-88bf-11ec-a211-ac1f6b442185")</f>
        <v>https://miland.ru/api/getInfo/image/42895343-88bf-11ec-a211-ac1f6b442185</v>
      </c>
      <c r="U1249" s="21"/>
      <c r="V1249" s="21" t="s">
        <v>710</v>
      </c>
      <c r="W1249" s="21" t="s">
        <v>82</v>
      </c>
      <c r="X1249" s="21"/>
      <c r="Y1249" s="21" t="s">
        <v>41</v>
      </c>
      <c r="Z1249" s="21"/>
      <c r="AA1249" s="21" t="str">
        <f>HYPERLINK("https://miland.ru/api/getInfo/item/42895343-88bf-11ec-a211-ac1f6b442185")</f>
        <v>https://miland.ru/api/getInfo/item/42895343-88bf-11ec-a211-ac1f6b442185</v>
      </c>
      <c r="AB1249" s="21" t="s">
        <v>42</v>
      </c>
      <c r="AC1249" s="21" t="s">
        <v>4350</v>
      </c>
      <c r="AD1249" s="21"/>
    </row>
    <row r="1250" spans="2:30" s="1" customFormat="1" ht="96.3" customHeight="1" outlineLevel="5">
      <c r="B1250" s="20">
        <v>942</v>
      </c>
      <c r="C1250" s="21" t="s">
        <v>4351</v>
      </c>
      <c r="D1250" s="72" t="s">
        <v>4352</v>
      </c>
      <c r="E1250" s="72"/>
      <c r="F1250" s="72"/>
      <c r="G1250" s="72"/>
      <c r="H1250" s="22" t="s">
        <v>4353</v>
      </c>
      <c r="I1250" s="23" t="s">
        <v>36</v>
      </c>
      <c r="J1250" s="22"/>
      <c r="K1250" s="20">
        <v>10</v>
      </c>
      <c r="L1250" s="24">
        <v>76.75</v>
      </c>
      <c r="M1250" s="11"/>
      <c r="N1250" s="22">
        <f t="shared" si="54"/>
        <v>0</v>
      </c>
      <c r="O1250" s="25">
        <f>0.006*M1250</f>
        <v>0</v>
      </c>
      <c r="P1250" s="26">
        <f>0.00015*M1250</f>
        <v>0</v>
      </c>
      <c r="Q1250" s="30"/>
      <c r="R1250" s="22" t="s">
        <v>4354</v>
      </c>
      <c r="S1250" s="22" t="s">
        <v>435</v>
      </c>
      <c r="T1250" s="21" t="str">
        <f>HYPERLINK("https://miland.ru/api/getInfo/image/f472d7dc-88bd-11ec-a211-ac1f6b442185")</f>
        <v>https://miland.ru/api/getInfo/image/f472d7dc-88bd-11ec-a211-ac1f6b442185</v>
      </c>
      <c r="U1250" s="21"/>
      <c r="V1250" s="21" t="s">
        <v>710</v>
      </c>
      <c r="W1250" s="21" t="s">
        <v>82</v>
      </c>
      <c r="X1250" s="21"/>
      <c r="Y1250" s="21" t="s">
        <v>41</v>
      </c>
      <c r="Z1250" s="21"/>
      <c r="AA1250" s="21" t="str">
        <f>HYPERLINK("https://miland.ru/api/getInfo/item/f472d7dc-88bd-11ec-a211-ac1f6b442185")</f>
        <v>https://miland.ru/api/getInfo/item/f472d7dc-88bd-11ec-a211-ac1f6b442185</v>
      </c>
      <c r="AB1250" s="21" t="s">
        <v>42</v>
      </c>
      <c r="AC1250" s="21" t="s">
        <v>4350</v>
      </c>
      <c r="AD1250" s="21"/>
    </row>
    <row r="1251" spans="2:30" s="1" customFormat="1" ht="96.3" customHeight="1" outlineLevel="5">
      <c r="B1251" s="20">
        <v>943</v>
      </c>
      <c r="C1251" s="21" t="s">
        <v>4355</v>
      </c>
      <c r="D1251" s="72" t="s">
        <v>4356</v>
      </c>
      <c r="E1251" s="72"/>
      <c r="F1251" s="72"/>
      <c r="G1251" s="72"/>
      <c r="H1251" s="22" t="s">
        <v>4357</v>
      </c>
      <c r="I1251" s="23" t="s">
        <v>36</v>
      </c>
      <c r="J1251" s="22"/>
      <c r="K1251" s="20">
        <v>10</v>
      </c>
      <c r="L1251" s="24">
        <v>76.75</v>
      </c>
      <c r="M1251" s="11"/>
      <c r="N1251" s="22">
        <f t="shared" si="54"/>
        <v>0</v>
      </c>
      <c r="O1251" s="25">
        <f>0.017*M1251</f>
        <v>0</v>
      </c>
      <c r="P1251" s="29">
        <f>0.0006*M1251</f>
        <v>0</v>
      </c>
      <c r="Q1251" s="30"/>
      <c r="R1251" s="22" t="s">
        <v>4358</v>
      </c>
      <c r="S1251" s="22" t="s">
        <v>435</v>
      </c>
      <c r="T1251" s="21" t="str">
        <f>HYPERLINK("https://miland.ru/api/getInfo/image/a273f8ff-88bf-11ec-a211-ac1f6b442185")</f>
        <v>https://miland.ru/api/getInfo/image/a273f8ff-88bf-11ec-a211-ac1f6b442185</v>
      </c>
      <c r="U1251" s="21"/>
      <c r="V1251" s="21" t="s">
        <v>710</v>
      </c>
      <c r="W1251" s="21" t="s">
        <v>82</v>
      </c>
      <c r="X1251" s="21"/>
      <c r="Y1251" s="21" t="s">
        <v>41</v>
      </c>
      <c r="Z1251" s="21"/>
      <c r="AA1251" s="21" t="str">
        <f>HYPERLINK("https://miland.ru/api/getInfo/item/a273f8ff-88bf-11ec-a211-ac1f6b442185")</f>
        <v>https://miland.ru/api/getInfo/item/a273f8ff-88bf-11ec-a211-ac1f6b442185</v>
      </c>
      <c r="AB1251" s="21" t="s">
        <v>42</v>
      </c>
      <c r="AC1251" s="21" t="s">
        <v>4350</v>
      </c>
      <c r="AD1251" s="21"/>
    </row>
    <row r="1252" spans="2:30" s="1" customFormat="1" ht="96.3" customHeight="1" outlineLevel="5">
      <c r="B1252" s="20">
        <v>944</v>
      </c>
      <c r="C1252" s="21" t="s">
        <v>4359</v>
      </c>
      <c r="D1252" s="72" t="s">
        <v>4360</v>
      </c>
      <c r="E1252" s="72"/>
      <c r="F1252" s="72"/>
      <c r="G1252" s="72"/>
      <c r="H1252" s="22" t="s">
        <v>4361</v>
      </c>
      <c r="I1252" s="23" t="s">
        <v>36</v>
      </c>
      <c r="J1252" s="22"/>
      <c r="K1252" s="20">
        <v>10</v>
      </c>
      <c r="L1252" s="24">
        <v>76.75</v>
      </c>
      <c r="M1252" s="11"/>
      <c r="N1252" s="22">
        <f t="shared" si="54"/>
        <v>0</v>
      </c>
      <c r="O1252" s="25">
        <f>0.007*M1252</f>
        <v>0</v>
      </c>
      <c r="P1252" s="26">
        <f>0.00015*M1252</f>
        <v>0</v>
      </c>
      <c r="Q1252" s="30"/>
      <c r="R1252" s="22" t="s">
        <v>4362</v>
      </c>
      <c r="S1252" s="22" t="s">
        <v>435</v>
      </c>
      <c r="T1252" s="21" t="str">
        <f>HYPERLINK("https://miland.ru/api/getInfo/image/5da45cce-88be-11ec-a211-ac1f6b442185")</f>
        <v>https://miland.ru/api/getInfo/image/5da45cce-88be-11ec-a211-ac1f6b442185</v>
      </c>
      <c r="U1252" s="21"/>
      <c r="V1252" s="21" t="s">
        <v>710</v>
      </c>
      <c r="W1252" s="21" t="s">
        <v>82</v>
      </c>
      <c r="X1252" s="21"/>
      <c r="Y1252" s="21" t="s">
        <v>41</v>
      </c>
      <c r="Z1252" s="21"/>
      <c r="AA1252" s="21" t="str">
        <f>HYPERLINK("https://miland.ru/api/getInfo/item/5da45cce-88be-11ec-a211-ac1f6b442185")</f>
        <v>https://miland.ru/api/getInfo/item/5da45cce-88be-11ec-a211-ac1f6b442185</v>
      </c>
      <c r="AB1252" s="21" t="s">
        <v>42</v>
      </c>
      <c r="AC1252" s="21" t="s">
        <v>4350</v>
      </c>
      <c r="AD1252" s="21"/>
    </row>
    <row r="1253" spans="2:30" s="1" customFormat="1" ht="96.3" customHeight="1" outlineLevel="5">
      <c r="B1253" s="20">
        <v>945</v>
      </c>
      <c r="C1253" s="21" t="s">
        <v>4363</v>
      </c>
      <c r="D1253" s="72" t="s">
        <v>4364</v>
      </c>
      <c r="E1253" s="72"/>
      <c r="F1253" s="72"/>
      <c r="G1253" s="72"/>
      <c r="H1253" s="22" t="s">
        <v>4365</v>
      </c>
      <c r="I1253" s="23" t="s">
        <v>36</v>
      </c>
      <c r="J1253" s="22"/>
      <c r="K1253" s="20">
        <v>10</v>
      </c>
      <c r="L1253" s="24">
        <v>76.75</v>
      </c>
      <c r="M1253" s="11"/>
      <c r="N1253" s="22">
        <f t="shared" si="54"/>
        <v>0</v>
      </c>
      <c r="O1253" s="25">
        <f>0.007*M1253</f>
        <v>0</v>
      </c>
      <c r="P1253" s="26">
        <f>0.00015*M1253</f>
        <v>0</v>
      </c>
      <c r="Q1253" s="30"/>
      <c r="R1253" s="22" t="s">
        <v>4366</v>
      </c>
      <c r="S1253" s="22" t="s">
        <v>435</v>
      </c>
      <c r="T1253" s="21" t="str">
        <f>HYPERLINK("https://miland.ru/api/getInfo/image/3b54ef0d-88bb-11ec-a211-ac1f6b442185")</f>
        <v>https://miland.ru/api/getInfo/image/3b54ef0d-88bb-11ec-a211-ac1f6b442185</v>
      </c>
      <c r="U1253" s="21"/>
      <c r="V1253" s="21" t="s">
        <v>710</v>
      </c>
      <c r="W1253" s="21" t="s">
        <v>82</v>
      </c>
      <c r="X1253" s="21"/>
      <c r="Y1253" s="21" t="s">
        <v>41</v>
      </c>
      <c r="Z1253" s="21"/>
      <c r="AA1253" s="21" t="str">
        <f>HYPERLINK("https://miland.ru/api/getInfo/item/3b54ef0d-88bb-11ec-a211-ac1f6b442185")</f>
        <v>https://miland.ru/api/getInfo/item/3b54ef0d-88bb-11ec-a211-ac1f6b442185</v>
      </c>
      <c r="AB1253" s="21" t="s">
        <v>42</v>
      </c>
      <c r="AC1253" s="21" t="s">
        <v>4350</v>
      </c>
      <c r="AD1253" s="21"/>
    </row>
    <row r="1254" spans="2:30" ht="12" customHeight="1" outlineLevel="4">
      <c r="B1254" s="70" t="s">
        <v>4367</v>
      </c>
      <c r="C1254" s="70"/>
      <c r="D1254" s="70"/>
      <c r="E1254" s="70"/>
      <c r="F1254" s="70"/>
      <c r="G1254" s="70"/>
    </row>
    <row r="1255" spans="2:30" s="1" customFormat="1" ht="96.3" customHeight="1" outlineLevel="5">
      <c r="B1255" s="20">
        <v>946</v>
      </c>
      <c r="C1255" s="21" t="s">
        <v>4368</v>
      </c>
      <c r="D1255" s="72" t="s">
        <v>4369</v>
      </c>
      <c r="E1255" s="72"/>
      <c r="F1255" s="72"/>
      <c r="G1255" s="72"/>
      <c r="H1255" s="22" t="s">
        <v>4370</v>
      </c>
      <c r="I1255" s="27">
        <v>229</v>
      </c>
      <c r="J1255" s="22"/>
      <c r="K1255" s="20">
        <v>10</v>
      </c>
      <c r="L1255" s="24">
        <v>88.17</v>
      </c>
      <c r="M1255" s="11"/>
      <c r="N1255" s="22">
        <f t="shared" ref="N1255:N1270" si="55">L1255*M1255</f>
        <v>0</v>
      </c>
      <c r="O1255" s="25">
        <f>0.026*M1255</f>
        <v>0</v>
      </c>
      <c r="P1255" s="26">
        <f>0.00095*M1255</f>
        <v>0</v>
      </c>
      <c r="Q1255" s="30"/>
      <c r="R1255" s="22" t="s">
        <v>4371</v>
      </c>
      <c r="S1255" s="22"/>
      <c r="T1255" s="21" t="str">
        <f>HYPERLINK("https://miland.ru/api/getInfo/image/d80cf4d8-88a7-11ec-a211-ac1f6b442185")</f>
        <v>https://miland.ru/api/getInfo/image/d80cf4d8-88a7-11ec-a211-ac1f6b442185</v>
      </c>
      <c r="U1255" s="21"/>
      <c r="V1255" s="21" t="s">
        <v>710</v>
      </c>
      <c r="W1255" s="21" t="s">
        <v>82</v>
      </c>
      <c r="X1255" s="21"/>
      <c r="Y1255" s="21" t="s">
        <v>41</v>
      </c>
      <c r="Z1255" s="21"/>
      <c r="AA1255" s="21" t="str">
        <f>HYPERLINK("https://miland.ru/api/getInfo/item/d80cf4d8-88a7-11ec-a211-ac1f6b442185")</f>
        <v>https://miland.ru/api/getInfo/item/d80cf4d8-88a7-11ec-a211-ac1f6b442185</v>
      </c>
      <c r="AB1255" s="21" t="s">
        <v>42</v>
      </c>
      <c r="AC1255" s="21" t="s">
        <v>4372</v>
      </c>
      <c r="AD1255" s="21"/>
    </row>
    <row r="1256" spans="2:30" s="1" customFormat="1" ht="96.3" customHeight="1" outlineLevel="5">
      <c r="B1256" s="20">
        <v>947</v>
      </c>
      <c r="C1256" s="21" t="s">
        <v>4373</v>
      </c>
      <c r="D1256" s="72" t="s">
        <v>4374</v>
      </c>
      <c r="E1256" s="72"/>
      <c r="F1256" s="72"/>
      <c r="G1256" s="72"/>
      <c r="H1256" s="22" t="s">
        <v>4375</v>
      </c>
      <c r="I1256" s="23" t="s">
        <v>36</v>
      </c>
      <c r="J1256" s="22"/>
      <c r="K1256" s="20">
        <v>10</v>
      </c>
      <c r="L1256" s="24">
        <v>88.17</v>
      </c>
      <c r="M1256" s="11"/>
      <c r="N1256" s="22">
        <f t="shared" si="55"/>
        <v>0</v>
      </c>
      <c r="O1256" s="25">
        <f>0.036*M1256</f>
        <v>0</v>
      </c>
      <c r="P1256" s="26">
        <f>0.00071*M1256</f>
        <v>0</v>
      </c>
      <c r="Q1256" s="30"/>
      <c r="R1256" s="22" t="s">
        <v>4376</v>
      </c>
      <c r="S1256" s="22" t="s">
        <v>435</v>
      </c>
      <c r="T1256" s="21" t="str">
        <f>HYPERLINK("https://miland.ru/api/getInfo/image/cc1f5d16-880b-11ec-a211-ac1f6b442185")</f>
        <v>https://miland.ru/api/getInfo/image/cc1f5d16-880b-11ec-a211-ac1f6b442185</v>
      </c>
      <c r="U1256" s="21"/>
      <c r="V1256" s="21" t="s">
        <v>710</v>
      </c>
      <c r="W1256" s="21" t="s">
        <v>82</v>
      </c>
      <c r="X1256" s="21"/>
      <c r="Y1256" s="21" t="s">
        <v>41</v>
      </c>
      <c r="Z1256" s="21"/>
      <c r="AA1256" s="21" t="str">
        <f>HYPERLINK("https://miland.ru/api/getInfo/item/cc1f5d16-880b-11ec-a211-ac1f6b442185")</f>
        <v>https://miland.ru/api/getInfo/item/cc1f5d16-880b-11ec-a211-ac1f6b442185</v>
      </c>
      <c r="AB1256" s="21" t="s">
        <v>42</v>
      </c>
      <c r="AC1256" s="21" t="s">
        <v>4372</v>
      </c>
      <c r="AD1256" s="21"/>
    </row>
    <row r="1257" spans="2:30" s="1" customFormat="1" ht="96.3" customHeight="1" outlineLevel="5">
      <c r="B1257" s="20">
        <v>948</v>
      </c>
      <c r="C1257" s="21" t="s">
        <v>4377</v>
      </c>
      <c r="D1257" s="72" t="s">
        <v>4378</v>
      </c>
      <c r="E1257" s="72"/>
      <c r="F1257" s="72"/>
      <c r="G1257" s="72"/>
      <c r="H1257" s="22" t="s">
        <v>4379</v>
      </c>
      <c r="I1257" s="27">
        <v>121</v>
      </c>
      <c r="J1257" s="22"/>
      <c r="K1257" s="20">
        <v>5</v>
      </c>
      <c r="L1257" s="24">
        <v>145.78</v>
      </c>
      <c r="M1257" s="11"/>
      <c r="N1257" s="22">
        <f t="shared" si="55"/>
        <v>0</v>
      </c>
      <c r="O1257" s="25">
        <f>0.057*M1257</f>
        <v>0</v>
      </c>
      <c r="P1257" s="26">
        <f>0.00102*M1257</f>
        <v>0</v>
      </c>
      <c r="Q1257" s="30"/>
      <c r="R1257" s="22" t="s">
        <v>4380</v>
      </c>
      <c r="S1257" s="22"/>
      <c r="T1257" s="21" t="str">
        <f>HYPERLINK("https://miland.ru/api/getInfo/image/4c511101-88af-11ec-a211-ac1f6b442185")</f>
        <v>https://miland.ru/api/getInfo/image/4c511101-88af-11ec-a211-ac1f6b442185</v>
      </c>
      <c r="U1257" s="21"/>
      <c r="V1257" s="21" t="s">
        <v>710</v>
      </c>
      <c r="W1257" s="21" t="s">
        <v>82</v>
      </c>
      <c r="X1257" s="21"/>
      <c r="Y1257" s="21" t="s">
        <v>41</v>
      </c>
      <c r="Z1257" s="21"/>
      <c r="AA1257" s="21" t="str">
        <f>HYPERLINK("https://miland.ru/api/getInfo/item/4c511101-88af-11ec-a211-ac1f6b442185")</f>
        <v>https://miland.ru/api/getInfo/item/4c511101-88af-11ec-a211-ac1f6b442185</v>
      </c>
      <c r="AB1257" s="21" t="s">
        <v>42</v>
      </c>
      <c r="AC1257" s="21" t="s">
        <v>4381</v>
      </c>
      <c r="AD1257" s="21"/>
    </row>
    <row r="1258" spans="2:30" s="1" customFormat="1" ht="96.3" customHeight="1" outlineLevel="5">
      <c r="B1258" s="20">
        <v>949</v>
      </c>
      <c r="C1258" s="21" t="s">
        <v>4382</v>
      </c>
      <c r="D1258" s="72" t="s">
        <v>4383</v>
      </c>
      <c r="E1258" s="72"/>
      <c r="F1258" s="72"/>
      <c r="G1258" s="72"/>
      <c r="H1258" s="22" t="s">
        <v>4384</v>
      </c>
      <c r="I1258" s="23" t="s">
        <v>36</v>
      </c>
      <c r="J1258" s="22"/>
      <c r="K1258" s="20">
        <v>10</v>
      </c>
      <c r="L1258" s="24">
        <v>63.29</v>
      </c>
      <c r="M1258" s="11"/>
      <c r="N1258" s="22">
        <f t="shared" si="55"/>
        <v>0</v>
      </c>
      <c r="O1258" s="28">
        <f>0.03*M1258</f>
        <v>0</v>
      </c>
      <c r="P1258" s="26">
        <f>0.00094*M1258</f>
        <v>0</v>
      </c>
      <c r="Q1258" s="30"/>
      <c r="R1258" s="22" t="s">
        <v>4385</v>
      </c>
      <c r="S1258" s="22"/>
      <c r="T1258" s="21" t="str">
        <f>HYPERLINK("https://miland.ru/api/getInfo/image/b71f728b-8824-11ec-a211-ac1f6b442185")</f>
        <v>https://miland.ru/api/getInfo/image/b71f728b-8824-11ec-a211-ac1f6b442185</v>
      </c>
      <c r="U1258" s="21"/>
      <c r="V1258" s="21" t="s">
        <v>710</v>
      </c>
      <c r="W1258" s="21" t="s">
        <v>82</v>
      </c>
      <c r="X1258" s="21"/>
      <c r="Y1258" s="21" t="s">
        <v>41</v>
      </c>
      <c r="Z1258" s="21"/>
      <c r="AA1258" s="21" t="str">
        <f>HYPERLINK("https://miland.ru/api/getInfo/item/b71f728b-8824-11ec-a211-ac1f6b442185")</f>
        <v>https://miland.ru/api/getInfo/item/b71f728b-8824-11ec-a211-ac1f6b442185</v>
      </c>
      <c r="AB1258" s="21" t="s">
        <v>42</v>
      </c>
      <c r="AC1258" s="21" t="s">
        <v>4386</v>
      </c>
      <c r="AD1258" s="21"/>
    </row>
    <row r="1259" spans="2:30" s="1" customFormat="1" ht="96.3" customHeight="1" outlineLevel="5">
      <c r="B1259" s="20">
        <v>950</v>
      </c>
      <c r="C1259" s="21" t="s">
        <v>4387</v>
      </c>
      <c r="D1259" s="72" t="s">
        <v>4388</v>
      </c>
      <c r="E1259" s="72"/>
      <c r="F1259" s="72"/>
      <c r="G1259" s="72"/>
      <c r="H1259" s="22" t="s">
        <v>4389</v>
      </c>
      <c r="I1259" s="23" t="s">
        <v>36</v>
      </c>
      <c r="J1259" s="22"/>
      <c r="K1259" s="20">
        <v>5</v>
      </c>
      <c r="L1259" s="24">
        <v>117.9</v>
      </c>
      <c r="M1259" s="11"/>
      <c r="N1259" s="22">
        <f t="shared" si="55"/>
        <v>0</v>
      </c>
      <c r="O1259" s="25">
        <f>0.041*M1259</f>
        <v>0</v>
      </c>
      <c r="P1259" s="26">
        <f>0.00084*M1259</f>
        <v>0</v>
      </c>
      <c r="Q1259" s="30"/>
      <c r="R1259" s="22" t="s">
        <v>4390</v>
      </c>
      <c r="S1259" s="22"/>
      <c r="T1259" s="21" t="str">
        <f>HYPERLINK("https://miland.ru/api/getInfo/image/7852d3ba-8811-11ec-a211-ac1f6b442185")</f>
        <v>https://miland.ru/api/getInfo/image/7852d3ba-8811-11ec-a211-ac1f6b442185</v>
      </c>
      <c r="U1259" s="21"/>
      <c r="V1259" s="21" t="s">
        <v>710</v>
      </c>
      <c r="W1259" s="21" t="s">
        <v>82</v>
      </c>
      <c r="X1259" s="21"/>
      <c r="Y1259" s="21" t="s">
        <v>41</v>
      </c>
      <c r="Z1259" s="21"/>
      <c r="AA1259" s="21" t="str">
        <f>HYPERLINK("https://miland.ru/api/getInfo/item/7852d3ba-8811-11ec-a211-ac1f6b442185")</f>
        <v>https://miland.ru/api/getInfo/item/7852d3ba-8811-11ec-a211-ac1f6b442185</v>
      </c>
      <c r="AB1259" s="21" t="s">
        <v>42</v>
      </c>
      <c r="AC1259" s="21" t="s">
        <v>4381</v>
      </c>
      <c r="AD1259" s="21"/>
    </row>
    <row r="1260" spans="2:30" s="1" customFormat="1" ht="96.3" customHeight="1" outlineLevel="5">
      <c r="B1260" s="20">
        <v>951</v>
      </c>
      <c r="C1260" s="21" t="s">
        <v>4387</v>
      </c>
      <c r="D1260" s="72" t="s">
        <v>4388</v>
      </c>
      <c r="E1260" s="72"/>
      <c r="F1260" s="72"/>
      <c r="G1260" s="72"/>
      <c r="H1260" s="22" t="s">
        <v>4389</v>
      </c>
      <c r="I1260" s="23" t="s">
        <v>36</v>
      </c>
      <c r="J1260" s="22"/>
      <c r="K1260" s="20">
        <v>5</v>
      </c>
      <c r="L1260" s="24">
        <v>117.9</v>
      </c>
      <c r="M1260" s="11"/>
      <c r="N1260" s="22">
        <f t="shared" si="55"/>
        <v>0</v>
      </c>
      <c r="O1260" s="25">
        <f>0.041*M1260</f>
        <v>0</v>
      </c>
      <c r="P1260" s="26">
        <f>0.00084*M1260</f>
        <v>0</v>
      </c>
      <c r="Q1260" s="30"/>
      <c r="R1260" s="22" t="s">
        <v>4390</v>
      </c>
      <c r="S1260" s="22"/>
      <c r="T1260" s="21" t="str">
        <f>HYPERLINK("https://miland.ru/api/getInfo/image/7852d3ba-8811-11ec-a211-ac1f6b442185")</f>
        <v>https://miland.ru/api/getInfo/image/7852d3ba-8811-11ec-a211-ac1f6b442185</v>
      </c>
      <c r="U1260" s="21"/>
      <c r="V1260" s="21" t="s">
        <v>710</v>
      </c>
      <c r="W1260" s="21" t="s">
        <v>82</v>
      </c>
      <c r="X1260" s="21"/>
      <c r="Y1260" s="21" t="s">
        <v>41</v>
      </c>
      <c r="Z1260" s="21"/>
      <c r="AA1260" s="21" t="str">
        <f>HYPERLINK("https://miland.ru/api/getInfo/item/7852d3ba-8811-11ec-a211-ac1f6b442185")</f>
        <v>https://miland.ru/api/getInfo/item/7852d3ba-8811-11ec-a211-ac1f6b442185</v>
      </c>
      <c r="AB1260" s="21" t="s">
        <v>42</v>
      </c>
      <c r="AC1260" s="21" t="s">
        <v>4381</v>
      </c>
      <c r="AD1260" s="21"/>
    </row>
    <row r="1261" spans="2:30" s="1" customFormat="1" ht="96.3" customHeight="1" outlineLevel="5">
      <c r="B1261" s="20">
        <v>952</v>
      </c>
      <c r="C1261" s="21" t="s">
        <v>4391</v>
      </c>
      <c r="D1261" s="72" t="s">
        <v>4392</v>
      </c>
      <c r="E1261" s="72"/>
      <c r="F1261" s="72"/>
      <c r="G1261" s="72"/>
      <c r="H1261" s="22" t="s">
        <v>4393</v>
      </c>
      <c r="I1261" s="23" t="s">
        <v>36</v>
      </c>
      <c r="J1261" s="22"/>
      <c r="K1261" s="20">
        <v>7</v>
      </c>
      <c r="L1261" s="24">
        <v>88.17</v>
      </c>
      <c r="M1261" s="11"/>
      <c r="N1261" s="22">
        <f t="shared" si="55"/>
        <v>0</v>
      </c>
      <c r="O1261" s="25">
        <f>0.032*M1261</f>
        <v>0</v>
      </c>
      <c r="P1261" s="26">
        <f>0.00095*M1261</f>
        <v>0</v>
      </c>
      <c r="Q1261" s="30"/>
      <c r="R1261" s="22" t="s">
        <v>4394</v>
      </c>
      <c r="S1261" s="22"/>
      <c r="T1261" s="21" t="str">
        <f>HYPERLINK("https://miland.ru/api/getInfo/image/09abe590-8811-11ec-a211-ac1f6b442185")</f>
        <v>https://miland.ru/api/getInfo/image/09abe590-8811-11ec-a211-ac1f6b442185</v>
      </c>
      <c r="U1261" s="21"/>
      <c r="V1261" s="21" t="s">
        <v>710</v>
      </c>
      <c r="W1261" s="21" t="s">
        <v>82</v>
      </c>
      <c r="X1261" s="21"/>
      <c r="Y1261" s="21" t="s">
        <v>41</v>
      </c>
      <c r="Z1261" s="21"/>
      <c r="AA1261" s="21" t="str">
        <f>HYPERLINK("https://miland.ru/api/getInfo/item/09abe590-8811-11ec-a211-ac1f6b442185")</f>
        <v>https://miland.ru/api/getInfo/item/09abe590-8811-11ec-a211-ac1f6b442185</v>
      </c>
      <c r="AB1261" s="21" t="s">
        <v>42</v>
      </c>
      <c r="AC1261" s="21" t="s">
        <v>4372</v>
      </c>
      <c r="AD1261" s="21"/>
    </row>
    <row r="1262" spans="2:30" s="1" customFormat="1" ht="96.3" customHeight="1" outlineLevel="5">
      <c r="B1262" s="20">
        <v>953</v>
      </c>
      <c r="C1262" s="21" t="s">
        <v>4395</v>
      </c>
      <c r="D1262" s="72" t="s">
        <v>4396</v>
      </c>
      <c r="E1262" s="72"/>
      <c r="F1262" s="72"/>
      <c r="G1262" s="72"/>
      <c r="H1262" s="22" t="s">
        <v>4397</v>
      </c>
      <c r="I1262" s="27">
        <v>5</v>
      </c>
      <c r="J1262" s="22"/>
      <c r="K1262" s="20">
        <v>5</v>
      </c>
      <c r="L1262" s="24">
        <v>107.17</v>
      </c>
      <c r="M1262" s="11"/>
      <c r="N1262" s="22">
        <f t="shared" si="55"/>
        <v>0</v>
      </c>
      <c r="O1262" s="25">
        <f>0.036*M1262</f>
        <v>0</v>
      </c>
      <c r="P1262" s="29">
        <f>0.0015*M1262</f>
        <v>0</v>
      </c>
      <c r="Q1262" s="30"/>
      <c r="R1262" s="22" t="s">
        <v>4398</v>
      </c>
      <c r="S1262" s="22" t="s">
        <v>435</v>
      </c>
      <c r="T1262" s="21" t="str">
        <f>HYPERLINK("https://miland.ru/api/getInfo/image/6aae8674-88a6-11ec-a211-ac1f6b442185")</f>
        <v>https://miland.ru/api/getInfo/image/6aae8674-88a6-11ec-a211-ac1f6b442185</v>
      </c>
      <c r="U1262" s="21"/>
      <c r="V1262" s="21" t="s">
        <v>710</v>
      </c>
      <c r="W1262" s="21" t="s">
        <v>82</v>
      </c>
      <c r="X1262" s="21"/>
      <c r="Y1262" s="21" t="s">
        <v>41</v>
      </c>
      <c r="Z1262" s="21"/>
      <c r="AA1262" s="21" t="str">
        <f>HYPERLINK("https://miland.ru/api/getInfo/item/6aae8674-88a6-11ec-a211-ac1f6b442185")</f>
        <v>https://miland.ru/api/getInfo/item/6aae8674-88a6-11ec-a211-ac1f6b442185</v>
      </c>
      <c r="AB1262" s="21" t="s">
        <v>42</v>
      </c>
      <c r="AC1262" s="21" t="s">
        <v>4381</v>
      </c>
      <c r="AD1262" s="21"/>
    </row>
    <row r="1263" spans="2:30" s="1" customFormat="1" ht="96.3" customHeight="1" outlineLevel="5">
      <c r="B1263" s="20">
        <v>954</v>
      </c>
      <c r="C1263" s="21" t="s">
        <v>4399</v>
      </c>
      <c r="D1263" s="72" t="s">
        <v>4400</v>
      </c>
      <c r="E1263" s="72"/>
      <c r="F1263" s="72"/>
      <c r="G1263" s="72"/>
      <c r="H1263" s="22" t="s">
        <v>4401</v>
      </c>
      <c r="I1263" s="27">
        <v>5</v>
      </c>
      <c r="J1263" s="22"/>
      <c r="K1263" s="20">
        <v>5</v>
      </c>
      <c r="L1263" s="24">
        <v>60.82</v>
      </c>
      <c r="M1263" s="11"/>
      <c r="N1263" s="22">
        <f t="shared" si="55"/>
        <v>0</v>
      </c>
      <c r="O1263" s="25">
        <f>0.027*M1263</f>
        <v>0</v>
      </c>
      <c r="P1263" s="29">
        <f>0.0008*M1263</f>
        <v>0</v>
      </c>
      <c r="Q1263" s="30"/>
      <c r="R1263" s="22" t="s">
        <v>4402</v>
      </c>
      <c r="S1263" s="22" t="s">
        <v>435</v>
      </c>
      <c r="T1263" s="21" t="str">
        <f>HYPERLINK("https://miland.ru/api/getInfo/image/d8b1f1d7-88a5-11ec-a211-ac1f6b442185")</f>
        <v>https://miland.ru/api/getInfo/image/d8b1f1d7-88a5-11ec-a211-ac1f6b442185</v>
      </c>
      <c r="U1263" s="21"/>
      <c r="V1263" s="21" t="s">
        <v>710</v>
      </c>
      <c r="W1263" s="21" t="s">
        <v>82</v>
      </c>
      <c r="X1263" s="21"/>
      <c r="Y1263" s="21" t="s">
        <v>41</v>
      </c>
      <c r="Z1263" s="21"/>
      <c r="AA1263" s="21" t="str">
        <f>HYPERLINK("https://miland.ru/api/getInfo/item/d8b1f1d7-88a5-11ec-a211-ac1f6b442185")</f>
        <v>https://miland.ru/api/getInfo/item/d8b1f1d7-88a5-11ec-a211-ac1f6b442185</v>
      </c>
      <c r="AB1263" s="21" t="s">
        <v>42</v>
      </c>
      <c r="AC1263" s="21" t="s">
        <v>4372</v>
      </c>
      <c r="AD1263" s="21"/>
    </row>
    <row r="1264" spans="2:30" s="1" customFormat="1" ht="96.3" customHeight="1" outlineLevel="5">
      <c r="B1264" s="20">
        <v>955</v>
      </c>
      <c r="C1264" s="21" t="s">
        <v>4403</v>
      </c>
      <c r="D1264" s="72" t="s">
        <v>4404</v>
      </c>
      <c r="E1264" s="72"/>
      <c r="F1264" s="72"/>
      <c r="G1264" s="72"/>
      <c r="H1264" s="22" t="s">
        <v>4405</v>
      </c>
      <c r="I1264" s="27">
        <v>6</v>
      </c>
      <c r="J1264" s="22"/>
      <c r="K1264" s="20">
        <v>6</v>
      </c>
      <c r="L1264" s="24">
        <v>50.02</v>
      </c>
      <c r="M1264" s="11"/>
      <c r="N1264" s="22">
        <f t="shared" si="55"/>
        <v>0</v>
      </c>
      <c r="O1264" s="25">
        <f>0.016*M1264</f>
        <v>0</v>
      </c>
      <c r="P1264" s="26">
        <f>0.00052*M1264</f>
        <v>0</v>
      </c>
      <c r="Q1264" s="30"/>
      <c r="R1264" s="22" t="s">
        <v>4406</v>
      </c>
      <c r="S1264" s="22" t="s">
        <v>435</v>
      </c>
      <c r="T1264" s="21" t="str">
        <f>HYPERLINK("https://miland.ru/api/getInfo/image/5a532383-0122-11ee-a23a-00155d82e902")</f>
        <v>https://miland.ru/api/getInfo/image/5a532383-0122-11ee-a23a-00155d82e902</v>
      </c>
      <c r="U1264" s="21"/>
      <c r="V1264" s="21" t="s">
        <v>710</v>
      </c>
      <c r="W1264" s="21" t="s">
        <v>82</v>
      </c>
      <c r="X1264" s="21"/>
      <c r="Y1264" s="21" t="s">
        <v>41</v>
      </c>
      <c r="Z1264" s="21"/>
      <c r="AA1264" s="21" t="str">
        <f>HYPERLINK("https://miland.ru/api/getInfo/item/5a532383-0122-11ee-a23a-00155d82e902")</f>
        <v>https://miland.ru/api/getInfo/item/5a532383-0122-11ee-a23a-00155d82e902</v>
      </c>
      <c r="AB1264" s="21" t="s">
        <v>42</v>
      </c>
      <c r="AC1264" s="21"/>
      <c r="AD1264" s="21"/>
    </row>
    <row r="1265" spans="2:30" s="1" customFormat="1" ht="96.3" customHeight="1" outlineLevel="5">
      <c r="B1265" s="20">
        <v>956</v>
      </c>
      <c r="C1265" s="21" t="s">
        <v>4407</v>
      </c>
      <c r="D1265" s="72" t="s">
        <v>4408</v>
      </c>
      <c r="E1265" s="72"/>
      <c r="F1265" s="72"/>
      <c r="G1265" s="72"/>
      <c r="H1265" s="22" t="s">
        <v>4409</v>
      </c>
      <c r="I1265" s="23" t="s">
        <v>36</v>
      </c>
      <c r="J1265" s="22"/>
      <c r="K1265" s="20">
        <v>5</v>
      </c>
      <c r="L1265" s="24">
        <v>107.17</v>
      </c>
      <c r="M1265" s="11"/>
      <c r="N1265" s="22">
        <f t="shared" si="55"/>
        <v>0</v>
      </c>
      <c r="O1265" s="25">
        <f>0.044*M1265</f>
        <v>0</v>
      </c>
      <c r="P1265" s="26">
        <f>0.00082*M1265</f>
        <v>0</v>
      </c>
      <c r="Q1265" s="30"/>
      <c r="R1265" s="22" t="s">
        <v>4410</v>
      </c>
      <c r="S1265" s="22" t="s">
        <v>435</v>
      </c>
      <c r="T1265" s="21" t="str">
        <f>HYPERLINK("https://miland.ru/api/getInfo/image/738046fb-88a8-11ec-a211-ac1f6b442185")</f>
        <v>https://miland.ru/api/getInfo/image/738046fb-88a8-11ec-a211-ac1f6b442185</v>
      </c>
      <c r="U1265" s="21"/>
      <c r="V1265" s="21" t="s">
        <v>710</v>
      </c>
      <c r="W1265" s="21" t="s">
        <v>82</v>
      </c>
      <c r="X1265" s="21"/>
      <c r="Y1265" s="21" t="s">
        <v>41</v>
      </c>
      <c r="Z1265" s="21"/>
      <c r="AA1265" s="21" t="str">
        <f>HYPERLINK("https://miland.ru/api/getInfo/item/738046fb-88a8-11ec-a211-ac1f6b442185")</f>
        <v>https://miland.ru/api/getInfo/item/738046fb-88a8-11ec-a211-ac1f6b442185</v>
      </c>
      <c r="AB1265" s="21" t="s">
        <v>42</v>
      </c>
      <c r="AC1265" s="21" t="s">
        <v>4381</v>
      </c>
      <c r="AD1265" s="21"/>
    </row>
    <row r="1266" spans="2:30" s="1" customFormat="1" ht="96.3" customHeight="1" outlineLevel="5">
      <c r="B1266" s="20">
        <v>957</v>
      </c>
      <c r="C1266" s="21" t="s">
        <v>4407</v>
      </c>
      <c r="D1266" s="72" t="s">
        <v>4408</v>
      </c>
      <c r="E1266" s="72"/>
      <c r="F1266" s="72"/>
      <c r="G1266" s="72"/>
      <c r="H1266" s="22" t="s">
        <v>4409</v>
      </c>
      <c r="I1266" s="23" t="s">
        <v>36</v>
      </c>
      <c r="J1266" s="22"/>
      <c r="K1266" s="20">
        <v>5</v>
      </c>
      <c r="L1266" s="24">
        <v>107.17</v>
      </c>
      <c r="M1266" s="11"/>
      <c r="N1266" s="22">
        <f t="shared" si="55"/>
        <v>0</v>
      </c>
      <c r="O1266" s="25">
        <f>0.044*M1266</f>
        <v>0</v>
      </c>
      <c r="P1266" s="26">
        <f>0.00082*M1266</f>
        <v>0</v>
      </c>
      <c r="Q1266" s="30"/>
      <c r="R1266" s="22" t="s">
        <v>4410</v>
      </c>
      <c r="S1266" s="22" t="s">
        <v>435</v>
      </c>
      <c r="T1266" s="21" t="str">
        <f>HYPERLINK("https://miland.ru/api/getInfo/image/738046fb-88a8-11ec-a211-ac1f6b442185")</f>
        <v>https://miland.ru/api/getInfo/image/738046fb-88a8-11ec-a211-ac1f6b442185</v>
      </c>
      <c r="U1266" s="21"/>
      <c r="V1266" s="21" t="s">
        <v>710</v>
      </c>
      <c r="W1266" s="21" t="s">
        <v>82</v>
      </c>
      <c r="X1266" s="21"/>
      <c r="Y1266" s="21" t="s">
        <v>41</v>
      </c>
      <c r="Z1266" s="21"/>
      <c r="AA1266" s="21" t="str">
        <f>HYPERLINK("https://miland.ru/api/getInfo/item/738046fb-88a8-11ec-a211-ac1f6b442185")</f>
        <v>https://miland.ru/api/getInfo/item/738046fb-88a8-11ec-a211-ac1f6b442185</v>
      </c>
      <c r="AB1266" s="21" t="s">
        <v>42</v>
      </c>
      <c r="AC1266" s="21" t="s">
        <v>4381</v>
      </c>
      <c r="AD1266" s="21"/>
    </row>
    <row r="1267" spans="2:30" s="1" customFormat="1" ht="96.3" customHeight="1" outlineLevel="5">
      <c r="B1267" s="20">
        <v>958</v>
      </c>
      <c r="C1267" s="21" t="s">
        <v>4411</v>
      </c>
      <c r="D1267" s="72" t="s">
        <v>4412</v>
      </c>
      <c r="E1267" s="72"/>
      <c r="F1267" s="72"/>
      <c r="G1267" s="72"/>
      <c r="H1267" s="22" t="s">
        <v>4413</v>
      </c>
      <c r="I1267" s="23" t="s">
        <v>36</v>
      </c>
      <c r="J1267" s="22"/>
      <c r="K1267" s="20">
        <v>10</v>
      </c>
      <c r="L1267" s="24">
        <v>58.4</v>
      </c>
      <c r="M1267" s="11"/>
      <c r="N1267" s="22">
        <f t="shared" si="55"/>
        <v>0</v>
      </c>
      <c r="O1267" s="25">
        <f>0.013*M1267</f>
        <v>0</v>
      </c>
      <c r="P1267" s="26">
        <f>0.00034*M1267</f>
        <v>0</v>
      </c>
      <c r="Q1267" s="30"/>
      <c r="R1267" s="22" t="s">
        <v>4414</v>
      </c>
      <c r="S1267" s="22"/>
      <c r="T1267" s="21" t="str">
        <f>HYPERLINK("https://miland.ru/api/getInfo/image/5614e24e-88a9-11ec-a211-ac1f6b442185")</f>
        <v>https://miland.ru/api/getInfo/image/5614e24e-88a9-11ec-a211-ac1f6b442185</v>
      </c>
      <c r="U1267" s="21"/>
      <c r="V1267" s="21" t="s">
        <v>710</v>
      </c>
      <c r="W1267" s="21" t="s">
        <v>82</v>
      </c>
      <c r="X1267" s="21"/>
      <c r="Y1267" s="21" t="s">
        <v>41</v>
      </c>
      <c r="Z1267" s="21"/>
      <c r="AA1267" s="21" t="str">
        <f>HYPERLINK("https://miland.ru/api/getInfo/item/5614e24e-88a9-11ec-a211-ac1f6b442185")</f>
        <v>https://miland.ru/api/getInfo/item/5614e24e-88a9-11ec-a211-ac1f6b442185</v>
      </c>
      <c r="AB1267" s="21" t="s">
        <v>42</v>
      </c>
      <c r="AC1267" s="21" t="s">
        <v>4415</v>
      </c>
      <c r="AD1267" s="21"/>
    </row>
    <row r="1268" spans="2:30" s="1" customFormat="1" ht="96.3" customHeight="1" outlineLevel="5">
      <c r="B1268" s="20">
        <v>959</v>
      </c>
      <c r="C1268" s="21" t="s">
        <v>4416</v>
      </c>
      <c r="D1268" s="72" t="s">
        <v>4417</v>
      </c>
      <c r="E1268" s="72"/>
      <c r="F1268" s="72"/>
      <c r="G1268" s="72"/>
      <c r="H1268" s="22" t="s">
        <v>4418</v>
      </c>
      <c r="I1268" s="27">
        <v>5</v>
      </c>
      <c r="J1268" s="22"/>
      <c r="K1268" s="20">
        <v>5</v>
      </c>
      <c r="L1268" s="24">
        <v>63.29</v>
      </c>
      <c r="M1268" s="11"/>
      <c r="N1268" s="22">
        <f t="shared" si="55"/>
        <v>0</v>
      </c>
      <c r="O1268" s="25">
        <f>0.019*M1268</f>
        <v>0</v>
      </c>
      <c r="P1268" s="26">
        <f>0.00062*M1268</f>
        <v>0</v>
      </c>
      <c r="Q1268" s="30"/>
      <c r="R1268" s="22" t="s">
        <v>4419</v>
      </c>
      <c r="S1268" s="22"/>
      <c r="T1268" s="21" t="str">
        <f>HYPERLINK("https://miland.ru/api/getInfo/image/c0414e15-88a9-11ec-a211-ac1f6b442185")</f>
        <v>https://miland.ru/api/getInfo/image/c0414e15-88a9-11ec-a211-ac1f6b442185</v>
      </c>
      <c r="U1268" s="21"/>
      <c r="V1268" s="21" t="s">
        <v>710</v>
      </c>
      <c r="W1268" s="21" t="s">
        <v>82</v>
      </c>
      <c r="X1268" s="21"/>
      <c r="Y1268" s="21" t="s">
        <v>41</v>
      </c>
      <c r="Z1268" s="21"/>
      <c r="AA1268" s="21" t="str">
        <f>HYPERLINK("https://miland.ru/api/getInfo/item/c0414e15-88a9-11ec-a211-ac1f6b442185")</f>
        <v>https://miland.ru/api/getInfo/item/c0414e15-88a9-11ec-a211-ac1f6b442185</v>
      </c>
      <c r="AB1268" s="21" t="s">
        <v>42</v>
      </c>
      <c r="AC1268" s="21" t="s">
        <v>4386</v>
      </c>
      <c r="AD1268" s="21"/>
    </row>
    <row r="1269" spans="2:30" s="1" customFormat="1" ht="96.3" customHeight="1" outlineLevel="5">
      <c r="B1269" s="20">
        <v>960</v>
      </c>
      <c r="C1269" s="21" t="s">
        <v>4420</v>
      </c>
      <c r="D1269" s="72" t="s">
        <v>4421</v>
      </c>
      <c r="E1269" s="72"/>
      <c r="F1269" s="72"/>
      <c r="G1269" s="72"/>
      <c r="H1269" s="22" t="s">
        <v>4422</v>
      </c>
      <c r="I1269" s="23" t="s">
        <v>36</v>
      </c>
      <c r="J1269" s="22"/>
      <c r="K1269" s="20">
        <v>10</v>
      </c>
      <c r="L1269" s="24">
        <v>63.29</v>
      </c>
      <c r="M1269" s="11"/>
      <c r="N1269" s="22">
        <f t="shared" si="55"/>
        <v>0</v>
      </c>
      <c r="O1269" s="25">
        <f>0.021*M1269</f>
        <v>0</v>
      </c>
      <c r="P1269" s="26">
        <f>0.00081*M1269</f>
        <v>0</v>
      </c>
      <c r="Q1269" s="30"/>
      <c r="R1269" s="22" t="s">
        <v>4423</v>
      </c>
      <c r="S1269" s="22" t="s">
        <v>435</v>
      </c>
      <c r="T1269" s="21" t="str">
        <f>HYPERLINK("https://miland.ru/api/getInfo/image/d6a0e2c7-88ab-11ec-a211-ac1f6b442185")</f>
        <v>https://miland.ru/api/getInfo/image/d6a0e2c7-88ab-11ec-a211-ac1f6b442185</v>
      </c>
      <c r="U1269" s="21"/>
      <c r="V1269" s="21" t="s">
        <v>710</v>
      </c>
      <c r="W1269" s="21" t="s">
        <v>82</v>
      </c>
      <c r="X1269" s="21"/>
      <c r="Y1269" s="21" t="s">
        <v>41</v>
      </c>
      <c r="Z1269" s="21"/>
      <c r="AA1269" s="21" t="str">
        <f>HYPERLINK("https://miland.ru/api/getInfo/item/d6a0e2c7-88ab-11ec-a211-ac1f6b442185")</f>
        <v>https://miland.ru/api/getInfo/item/d6a0e2c7-88ab-11ec-a211-ac1f6b442185</v>
      </c>
      <c r="AB1269" s="21" t="s">
        <v>42</v>
      </c>
      <c r="AC1269" s="21" t="s">
        <v>4386</v>
      </c>
      <c r="AD1269" s="21"/>
    </row>
    <row r="1270" spans="2:30" s="1" customFormat="1" ht="96.3" customHeight="1" outlineLevel="5">
      <c r="B1270" s="20">
        <v>961</v>
      </c>
      <c r="C1270" s="21" t="s">
        <v>4424</v>
      </c>
      <c r="D1270" s="72" t="s">
        <v>4425</v>
      </c>
      <c r="E1270" s="72"/>
      <c r="F1270" s="72"/>
      <c r="G1270" s="72"/>
      <c r="H1270" s="22" t="s">
        <v>4426</v>
      </c>
      <c r="I1270" s="23" t="s">
        <v>36</v>
      </c>
      <c r="J1270" s="22"/>
      <c r="K1270" s="20">
        <v>10</v>
      </c>
      <c r="L1270" s="24">
        <v>88.17</v>
      </c>
      <c r="M1270" s="11"/>
      <c r="N1270" s="22">
        <f t="shared" si="55"/>
        <v>0</v>
      </c>
      <c r="O1270" s="25">
        <f>0.027*M1270</f>
        <v>0</v>
      </c>
      <c r="P1270" s="26">
        <f>0.00096*M1270</f>
        <v>0</v>
      </c>
      <c r="Q1270" s="30"/>
      <c r="R1270" s="22" t="s">
        <v>4427</v>
      </c>
      <c r="S1270" s="22"/>
      <c r="T1270" s="21" t="str">
        <f>HYPERLINK("https://miland.ru/api/getInfo/image/0c097719-88ad-11ec-a211-ac1f6b442185")</f>
        <v>https://miland.ru/api/getInfo/image/0c097719-88ad-11ec-a211-ac1f6b442185</v>
      </c>
      <c r="U1270" s="21"/>
      <c r="V1270" s="21" t="s">
        <v>710</v>
      </c>
      <c r="W1270" s="21" t="s">
        <v>82</v>
      </c>
      <c r="X1270" s="21"/>
      <c r="Y1270" s="21" t="s">
        <v>41</v>
      </c>
      <c r="Z1270" s="21"/>
      <c r="AA1270" s="21" t="str">
        <f>HYPERLINK("https://miland.ru/api/getInfo/item/0c097719-88ad-11ec-a211-ac1f6b442185")</f>
        <v>https://miland.ru/api/getInfo/item/0c097719-88ad-11ec-a211-ac1f6b442185</v>
      </c>
      <c r="AB1270" s="21" t="s">
        <v>42</v>
      </c>
      <c r="AC1270" s="21" t="s">
        <v>4372</v>
      </c>
      <c r="AD1270" s="21"/>
    </row>
    <row r="1271" spans="2:30" ht="12" customHeight="1" outlineLevel="4">
      <c r="B1271" s="70" t="s">
        <v>4428</v>
      </c>
      <c r="C1271" s="70"/>
      <c r="D1271" s="70"/>
      <c r="E1271" s="70"/>
      <c r="F1271" s="70"/>
      <c r="G1271" s="70"/>
    </row>
    <row r="1272" spans="2:30" ht="12" customHeight="1" outlineLevel="5">
      <c r="B1272" s="70" t="s">
        <v>4429</v>
      </c>
      <c r="C1272" s="70"/>
      <c r="D1272" s="70"/>
      <c r="E1272" s="70"/>
      <c r="F1272" s="70"/>
      <c r="G1272" s="70"/>
    </row>
    <row r="1273" spans="2:30" s="1" customFormat="1" ht="96.3" customHeight="1" outlineLevel="6">
      <c r="B1273" s="20">
        <v>962</v>
      </c>
      <c r="C1273" s="21" t="s">
        <v>4430</v>
      </c>
      <c r="D1273" s="72" t="s">
        <v>4431</v>
      </c>
      <c r="E1273" s="72"/>
      <c r="F1273" s="72"/>
      <c r="G1273" s="72"/>
      <c r="H1273" s="22" t="s">
        <v>4432</v>
      </c>
      <c r="I1273" s="23" t="s">
        <v>36</v>
      </c>
      <c r="J1273" s="22"/>
      <c r="K1273" s="20">
        <v>4</v>
      </c>
      <c r="L1273" s="24">
        <v>185.15</v>
      </c>
      <c r="M1273" s="11"/>
      <c r="N1273" s="22">
        <f t="shared" ref="N1273:N1296" si="56">L1273*M1273</f>
        <v>0</v>
      </c>
      <c r="O1273" s="25">
        <f>0.158*M1273</f>
        <v>0</v>
      </c>
      <c r="P1273" s="26">
        <f>0.00098*M1273</f>
        <v>0</v>
      </c>
      <c r="Q1273" s="30"/>
      <c r="R1273" s="22" t="s">
        <v>4433</v>
      </c>
      <c r="S1273" s="22"/>
      <c r="T1273" s="21" t="str">
        <f>HYPERLINK("https://miland.ru/api/getInfo/image/257f8211-5f7b-11e9-a224-ac1f6b442184")</f>
        <v>https://miland.ru/api/getInfo/image/257f8211-5f7b-11e9-a224-ac1f6b442184</v>
      </c>
      <c r="U1273" s="21"/>
      <c r="V1273" s="21" t="s">
        <v>710</v>
      </c>
      <c r="W1273" s="21" t="s">
        <v>82</v>
      </c>
      <c r="X1273" s="21"/>
      <c r="Y1273" s="21" t="s">
        <v>41</v>
      </c>
      <c r="Z1273" s="21"/>
      <c r="AA1273" s="21" t="str">
        <f>HYPERLINK("https://miland.ru/api/getInfo/item/257f8211-5f7b-11e9-a224-ac1f6b442184")</f>
        <v>https://miland.ru/api/getInfo/item/257f8211-5f7b-11e9-a224-ac1f6b442184</v>
      </c>
      <c r="AB1273" s="21" t="s">
        <v>42</v>
      </c>
      <c r="AC1273" s="21" t="s">
        <v>4434</v>
      </c>
      <c r="AD1273" s="21"/>
    </row>
    <row r="1274" spans="2:30" s="1" customFormat="1" ht="96.3" customHeight="1" outlineLevel="6">
      <c r="B1274" s="20">
        <v>963</v>
      </c>
      <c r="C1274" s="21" t="s">
        <v>4435</v>
      </c>
      <c r="D1274" s="72" t="s">
        <v>4436</v>
      </c>
      <c r="E1274" s="72"/>
      <c r="F1274" s="72"/>
      <c r="G1274" s="72"/>
      <c r="H1274" s="22" t="s">
        <v>4437</v>
      </c>
      <c r="I1274" s="27">
        <v>5</v>
      </c>
      <c r="J1274" s="22"/>
      <c r="K1274" s="20">
        <v>3</v>
      </c>
      <c r="L1274" s="24">
        <v>185.15</v>
      </c>
      <c r="M1274" s="11"/>
      <c r="N1274" s="22">
        <f t="shared" si="56"/>
        <v>0</v>
      </c>
      <c r="O1274" s="25">
        <f>0.153*M1274</f>
        <v>0</v>
      </c>
      <c r="P1274" s="26">
        <f>0.00102*M1274</f>
        <v>0</v>
      </c>
      <c r="Q1274" s="30"/>
      <c r="R1274" s="22" t="s">
        <v>4438</v>
      </c>
      <c r="S1274" s="22"/>
      <c r="T1274" s="21" t="str">
        <f>HYPERLINK("https://miland.ru/api/getInfo/image/57da7a87-5f7b-11e9-a224-ac1f6b442184")</f>
        <v>https://miland.ru/api/getInfo/image/57da7a87-5f7b-11e9-a224-ac1f6b442184</v>
      </c>
      <c r="U1274" s="21"/>
      <c r="V1274" s="21" t="s">
        <v>710</v>
      </c>
      <c r="W1274" s="21" t="s">
        <v>82</v>
      </c>
      <c r="X1274" s="21"/>
      <c r="Y1274" s="21" t="s">
        <v>41</v>
      </c>
      <c r="Z1274" s="21"/>
      <c r="AA1274" s="21" t="str">
        <f>HYPERLINK("https://miland.ru/api/getInfo/item/57da7a87-5f7b-11e9-a224-ac1f6b442184")</f>
        <v>https://miland.ru/api/getInfo/item/57da7a87-5f7b-11e9-a224-ac1f6b442184</v>
      </c>
      <c r="AB1274" s="21" t="s">
        <v>42</v>
      </c>
      <c r="AC1274" s="21" t="s">
        <v>4434</v>
      </c>
      <c r="AD1274" s="21"/>
    </row>
    <row r="1275" spans="2:30" s="1" customFormat="1" ht="96.3" customHeight="1" outlineLevel="6">
      <c r="B1275" s="20">
        <v>964</v>
      </c>
      <c r="C1275" s="21" t="s">
        <v>4439</v>
      </c>
      <c r="D1275" s="72" t="s">
        <v>4440</v>
      </c>
      <c r="E1275" s="72"/>
      <c r="F1275" s="72"/>
      <c r="G1275" s="72"/>
      <c r="H1275" s="22" t="s">
        <v>4441</v>
      </c>
      <c r="I1275" s="23" t="s">
        <v>36</v>
      </c>
      <c r="J1275" s="22"/>
      <c r="K1275" s="20">
        <v>4</v>
      </c>
      <c r="L1275" s="24">
        <v>185.15</v>
      </c>
      <c r="M1275" s="11"/>
      <c r="N1275" s="22">
        <f t="shared" si="56"/>
        <v>0</v>
      </c>
      <c r="O1275" s="25">
        <f>16.445*M1275</f>
        <v>0</v>
      </c>
      <c r="P1275" s="26">
        <f>0.03953*M1275</f>
        <v>0</v>
      </c>
      <c r="Q1275" s="30"/>
      <c r="R1275" s="22" t="s">
        <v>4442</v>
      </c>
      <c r="S1275" s="22"/>
      <c r="T1275" s="21" t="str">
        <f>HYPERLINK("https://miland.ru/api/getInfo/image/39f56f72-5f7a-11e9-a224-ac1f6b442184")</f>
        <v>https://miland.ru/api/getInfo/image/39f56f72-5f7a-11e9-a224-ac1f6b442184</v>
      </c>
      <c r="U1275" s="21"/>
      <c r="V1275" s="21" t="s">
        <v>710</v>
      </c>
      <c r="W1275" s="21" t="s">
        <v>82</v>
      </c>
      <c r="X1275" s="21"/>
      <c r="Y1275" s="21" t="s">
        <v>41</v>
      </c>
      <c r="Z1275" s="21"/>
      <c r="AA1275" s="21" t="str">
        <f>HYPERLINK("https://miland.ru/api/getInfo/item/39f56f72-5f7a-11e9-a224-ac1f6b442184")</f>
        <v>https://miland.ru/api/getInfo/item/39f56f72-5f7a-11e9-a224-ac1f6b442184</v>
      </c>
      <c r="AB1275" s="21" t="s">
        <v>42</v>
      </c>
      <c r="AC1275" s="21" t="s">
        <v>4434</v>
      </c>
      <c r="AD1275" s="21"/>
    </row>
    <row r="1276" spans="2:30" s="1" customFormat="1" ht="96.3" customHeight="1" outlineLevel="6">
      <c r="B1276" s="20">
        <v>965</v>
      </c>
      <c r="C1276" s="21" t="s">
        <v>4443</v>
      </c>
      <c r="D1276" s="72" t="s">
        <v>4444</v>
      </c>
      <c r="E1276" s="72"/>
      <c r="F1276" s="72"/>
      <c r="G1276" s="72"/>
      <c r="H1276" s="22" t="s">
        <v>4445</v>
      </c>
      <c r="I1276" s="23" t="s">
        <v>36</v>
      </c>
      <c r="J1276" s="22"/>
      <c r="K1276" s="20">
        <v>4</v>
      </c>
      <c r="L1276" s="24">
        <v>159.83000000000001</v>
      </c>
      <c r="M1276" s="11"/>
      <c r="N1276" s="22">
        <f t="shared" si="56"/>
        <v>0</v>
      </c>
      <c r="O1276" s="25">
        <f>0.179*M1276</f>
        <v>0</v>
      </c>
      <c r="P1276" s="29">
        <f>0.0009*M1276</f>
        <v>0</v>
      </c>
      <c r="Q1276" s="30"/>
      <c r="R1276" s="22" t="s">
        <v>4446</v>
      </c>
      <c r="S1276" s="22" t="s">
        <v>435</v>
      </c>
      <c r="T1276" s="21" t="str">
        <f>HYPERLINK("https://miland.ru/api/getInfo/image/fdd1350d-5f7a-11e9-a224-ac1f6b442184")</f>
        <v>https://miland.ru/api/getInfo/image/fdd1350d-5f7a-11e9-a224-ac1f6b442184</v>
      </c>
      <c r="U1276" s="21"/>
      <c r="V1276" s="21" t="s">
        <v>710</v>
      </c>
      <c r="W1276" s="21" t="s">
        <v>82</v>
      </c>
      <c r="X1276" s="21"/>
      <c r="Y1276" s="21" t="s">
        <v>41</v>
      </c>
      <c r="Z1276" s="21"/>
      <c r="AA1276" s="21" t="str">
        <f>HYPERLINK("https://miland.ru/api/getInfo/item/fdd1350d-5f7a-11e9-a224-ac1f6b442184")</f>
        <v>https://miland.ru/api/getInfo/item/fdd1350d-5f7a-11e9-a224-ac1f6b442184</v>
      </c>
      <c r="AB1276" s="21" t="s">
        <v>42</v>
      </c>
      <c r="AC1276" s="21" t="s">
        <v>4434</v>
      </c>
      <c r="AD1276" s="21"/>
    </row>
    <row r="1277" spans="2:30" s="1" customFormat="1" ht="96.3" customHeight="1" outlineLevel="6">
      <c r="B1277" s="20">
        <v>966</v>
      </c>
      <c r="C1277" s="21" t="s">
        <v>4447</v>
      </c>
      <c r="D1277" s="72" t="s">
        <v>4448</v>
      </c>
      <c r="E1277" s="72"/>
      <c r="F1277" s="72"/>
      <c r="G1277" s="72"/>
      <c r="H1277" s="22" t="s">
        <v>4449</v>
      </c>
      <c r="I1277" s="23" t="s">
        <v>36</v>
      </c>
      <c r="J1277" s="22"/>
      <c r="K1277" s="20">
        <v>3</v>
      </c>
      <c r="L1277" s="24">
        <v>185.15</v>
      </c>
      <c r="M1277" s="11"/>
      <c r="N1277" s="22">
        <f t="shared" si="56"/>
        <v>0</v>
      </c>
      <c r="O1277" s="25">
        <f>0.151*M1277</f>
        <v>0</v>
      </c>
      <c r="P1277" s="26">
        <f>0.00067*M1277</f>
        <v>0</v>
      </c>
      <c r="Q1277" s="30"/>
      <c r="R1277" s="22" t="s">
        <v>4450</v>
      </c>
      <c r="S1277" s="22"/>
      <c r="T1277" s="21" t="str">
        <f>HYPERLINK("https://miland.ru/api/getInfo/image/e67e6413-8b3f-11ec-a211-ac1f6b442185")</f>
        <v>https://miland.ru/api/getInfo/image/e67e6413-8b3f-11ec-a211-ac1f6b442185</v>
      </c>
      <c r="U1277" s="21"/>
      <c r="V1277" s="21" t="s">
        <v>710</v>
      </c>
      <c r="W1277" s="21" t="s">
        <v>82</v>
      </c>
      <c r="X1277" s="21"/>
      <c r="Y1277" s="21" t="s">
        <v>41</v>
      </c>
      <c r="Z1277" s="21"/>
      <c r="AA1277" s="21" t="str">
        <f>HYPERLINK("https://miland.ru/api/getInfo/item/e67e6413-8b3f-11ec-a211-ac1f6b442185")</f>
        <v>https://miland.ru/api/getInfo/item/e67e6413-8b3f-11ec-a211-ac1f6b442185</v>
      </c>
      <c r="AB1277" s="21" t="s">
        <v>42</v>
      </c>
      <c r="AC1277" s="21" t="s">
        <v>4434</v>
      </c>
      <c r="AD1277" s="21"/>
    </row>
    <row r="1278" spans="2:30" s="1" customFormat="1" ht="96.3" customHeight="1" outlineLevel="6">
      <c r="B1278" s="20">
        <v>967</v>
      </c>
      <c r="C1278" s="21" t="s">
        <v>4451</v>
      </c>
      <c r="D1278" s="72" t="s">
        <v>4452</v>
      </c>
      <c r="E1278" s="72"/>
      <c r="F1278" s="72"/>
      <c r="G1278" s="72"/>
      <c r="H1278" s="22" t="s">
        <v>4453</v>
      </c>
      <c r="I1278" s="23" t="s">
        <v>36</v>
      </c>
      <c r="J1278" s="22"/>
      <c r="K1278" s="20">
        <v>6</v>
      </c>
      <c r="L1278" s="24">
        <v>91.37</v>
      </c>
      <c r="M1278" s="11"/>
      <c r="N1278" s="22">
        <f t="shared" si="56"/>
        <v>0</v>
      </c>
      <c r="O1278" s="33">
        <f>0.1*M1278</f>
        <v>0</v>
      </c>
      <c r="P1278" s="26">
        <f>0.00055*M1278</f>
        <v>0</v>
      </c>
      <c r="Q1278" s="30"/>
      <c r="R1278" s="22" t="s">
        <v>4454</v>
      </c>
      <c r="S1278" s="22" t="s">
        <v>435</v>
      </c>
      <c r="T1278" s="21" t="str">
        <f>HYPERLINK("https://miland.ru/api/getInfo/image/457ebcbf-5f79-11e9-a224-ac1f6b442184")</f>
        <v>https://miland.ru/api/getInfo/image/457ebcbf-5f79-11e9-a224-ac1f6b442184</v>
      </c>
      <c r="U1278" s="21"/>
      <c r="V1278" s="21" t="s">
        <v>710</v>
      </c>
      <c r="W1278" s="21" t="s">
        <v>82</v>
      </c>
      <c r="X1278" s="21"/>
      <c r="Y1278" s="21" t="s">
        <v>41</v>
      </c>
      <c r="Z1278" s="21"/>
      <c r="AA1278" s="21" t="str">
        <f>HYPERLINK("https://miland.ru/api/getInfo/item/457ebcbf-5f79-11e9-a224-ac1f6b442184")</f>
        <v>https://miland.ru/api/getInfo/item/457ebcbf-5f79-11e9-a224-ac1f6b442184</v>
      </c>
      <c r="AB1278" s="21" t="s">
        <v>42</v>
      </c>
      <c r="AC1278" s="21" t="s">
        <v>4434</v>
      </c>
      <c r="AD1278" s="21"/>
    </row>
    <row r="1279" spans="2:30" s="1" customFormat="1" ht="96.3" customHeight="1" outlineLevel="6">
      <c r="B1279" s="20">
        <v>968</v>
      </c>
      <c r="C1279" s="21" t="s">
        <v>4455</v>
      </c>
      <c r="D1279" s="72" t="s">
        <v>4456</v>
      </c>
      <c r="E1279" s="72"/>
      <c r="F1279" s="72"/>
      <c r="G1279" s="72"/>
      <c r="H1279" s="22" t="s">
        <v>4457</v>
      </c>
      <c r="I1279" s="23" t="s">
        <v>36</v>
      </c>
      <c r="J1279" s="22"/>
      <c r="K1279" s="20">
        <v>6</v>
      </c>
      <c r="L1279" s="24">
        <v>93.61</v>
      </c>
      <c r="M1279" s="11"/>
      <c r="N1279" s="22">
        <f t="shared" si="56"/>
        <v>0</v>
      </c>
      <c r="O1279" s="28">
        <f>0.08*M1279</f>
        <v>0</v>
      </c>
      <c r="P1279" s="26">
        <f>0.00105*M1279</f>
        <v>0</v>
      </c>
      <c r="Q1279" s="30"/>
      <c r="R1279" s="22" t="s">
        <v>4458</v>
      </c>
      <c r="S1279" s="22"/>
      <c r="T1279" s="21" t="str">
        <f>HYPERLINK("https://miland.ru/api/getInfo/image/e6232d51-5f79-11e9-a224-ac1f6b442184")</f>
        <v>https://miland.ru/api/getInfo/image/e6232d51-5f79-11e9-a224-ac1f6b442184</v>
      </c>
      <c r="U1279" s="21"/>
      <c r="V1279" s="21" t="s">
        <v>710</v>
      </c>
      <c r="W1279" s="21" t="s">
        <v>82</v>
      </c>
      <c r="X1279" s="21"/>
      <c r="Y1279" s="21" t="s">
        <v>41</v>
      </c>
      <c r="Z1279" s="21"/>
      <c r="AA1279" s="21" t="str">
        <f>HYPERLINK("https://miland.ru/api/getInfo/item/e6232d51-5f79-11e9-a224-ac1f6b442184")</f>
        <v>https://miland.ru/api/getInfo/item/e6232d51-5f79-11e9-a224-ac1f6b442184</v>
      </c>
      <c r="AB1279" s="21" t="s">
        <v>42</v>
      </c>
      <c r="AC1279" s="21" t="s">
        <v>4434</v>
      </c>
      <c r="AD1279" s="21"/>
    </row>
    <row r="1280" spans="2:30" s="1" customFormat="1" ht="96.3" customHeight="1" outlineLevel="6">
      <c r="B1280" s="20">
        <v>969</v>
      </c>
      <c r="C1280" s="21" t="s">
        <v>4459</v>
      </c>
      <c r="D1280" s="72" t="s">
        <v>4460</v>
      </c>
      <c r="E1280" s="72"/>
      <c r="F1280" s="72"/>
      <c r="G1280" s="72"/>
      <c r="H1280" s="22" t="s">
        <v>4461</v>
      </c>
      <c r="I1280" s="23" t="s">
        <v>36</v>
      </c>
      <c r="J1280" s="22"/>
      <c r="K1280" s="20">
        <v>6</v>
      </c>
      <c r="L1280" s="24">
        <v>93.61</v>
      </c>
      <c r="M1280" s="11"/>
      <c r="N1280" s="22">
        <f t="shared" si="56"/>
        <v>0</v>
      </c>
      <c r="O1280" s="25">
        <f>0.085*M1280</f>
        <v>0</v>
      </c>
      <c r="P1280" s="26">
        <f>0.00065*M1280</f>
        <v>0</v>
      </c>
      <c r="Q1280" s="30"/>
      <c r="R1280" s="22" t="s">
        <v>4462</v>
      </c>
      <c r="S1280" s="22"/>
      <c r="T1280" s="21" t="str">
        <f>HYPERLINK("https://miland.ru/api/getInfo/image/f11b0f3f-5f78-11e9-a224-ac1f6b442184")</f>
        <v>https://miland.ru/api/getInfo/image/f11b0f3f-5f78-11e9-a224-ac1f6b442184</v>
      </c>
      <c r="U1280" s="21"/>
      <c r="V1280" s="21" t="s">
        <v>710</v>
      </c>
      <c r="W1280" s="21" t="s">
        <v>82</v>
      </c>
      <c r="X1280" s="21"/>
      <c r="Y1280" s="21" t="s">
        <v>41</v>
      </c>
      <c r="Z1280" s="21"/>
      <c r="AA1280" s="21" t="str">
        <f>HYPERLINK("https://miland.ru/api/getInfo/item/f11b0f3f-5f78-11e9-a224-ac1f6b442184")</f>
        <v>https://miland.ru/api/getInfo/item/f11b0f3f-5f78-11e9-a224-ac1f6b442184</v>
      </c>
      <c r="AB1280" s="21" t="s">
        <v>42</v>
      </c>
      <c r="AC1280" s="21" t="s">
        <v>4434</v>
      </c>
      <c r="AD1280" s="21"/>
    </row>
    <row r="1281" spans="2:30" s="1" customFormat="1" ht="96.3" customHeight="1" outlineLevel="6">
      <c r="B1281" s="20">
        <v>970</v>
      </c>
      <c r="C1281" s="21" t="s">
        <v>4463</v>
      </c>
      <c r="D1281" s="72" t="s">
        <v>4464</v>
      </c>
      <c r="E1281" s="72"/>
      <c r="F1281" s="72"/>
      <c r="G1281" s="72"/>
      <c r="H1281" s="22" t="s">
        <v>4465</v>
      </c>
      <c r="I1281" s="23" t="s">
        <v>36</v>
      </c>
      <c r="J1281" s="22"/>
      <c r="K1281" s="20">
        <v>6</v>
      </c>
      <c r="L1281" s="24">
        <v>93.61</v>
      </c>
      <c r="M1281" s="11"/>
      <c r="N1281" s="22">
        <f t="shared" si="56"/>
        <v>0</v>
      </c>
      <c r="O1281" s="25">
        <f>0.084*M1281</f>
        <v>0</v>
      </c>
      <c r="P1281" s="26">
        <f>0.00114*M1281</f>
        <v>0</v>
      </c>
      <c r="Q1281" s="30"/>
      <c r="R1281" s="22" t="s">
        <v>4466</v>
      </c>
      <c r="S1281" s="22"/>
      <c r="T1281" s="21" t="str">
        <f>HYPERLINK("https://miland.ru/api/getInfo/image/a9f00c0a-5f78-11e9-a224-ac1f6b442184")</f>
        <v>https://miland.ru/api/getInfo/image/a9f00c0a-5f78-11e9-a224-ac1f6b442184</v>
      </c>
      <c r="U1281" s="21"/>
      <c r="V1281" s="21" t="s">
        <v>710</v>
      </c>
      <c r="W1281" s="21" t="s">
        <v>82</v>
      </c>
      <c r="X1281" s="21"/>
      <c r="Y1281" s="21" t="s">
        <v>41</v>
      </c>
      <c r="Z1281" s="21"/>
      <c r="AA1281" s="21" t="str">
        <f>HYPERLINK("https://miland.ru/api/getInfo/item/a9f00c0a-5f78-11e9-a224-ac1f6b442184")</f>
        <v>https://miland.ru/api/getInfo/item/a9f00c0a-5f78-11e9-a224-ac1f6b442184</v>
      </c>
      <c r="AB1281" s="21" t="s">
        <v>42</v>
      </c>
      <c r="AC1281" s="21" t="s">
        <v>4434</v>
      </c>
      <c r="AD1281" s="21"/>
    </row>
    <row r="1282" spans="2:30" s="1" customFormat="1" ht="96.3" customHeight="1" outlineLevel="6">
      <c r="B1282" s="20">
        <v>971</v>
      </c>
      <c r="C1282" s="21" t="s">
        <v>4467</v>
      </c>
      <c r="D1282" s="72" t="s">
        <v>4468</v>
      </c>
      <c r="E1282" s="72"/>
      <c r="F1282" s="72"/>
      <c r="G1282" s="72"/>
      <c r="H1282" s="22" t="s">
        <v>4469</v>
      </c>
      <c r="I1282" s="23" t="s">
        <v>36</v>
      </c>
      <c r="J1282" s="22"/>
      <c r="K1282" s="20">
        <v>6</v>
      </c>
      <c r="L1282" s="24">
        <v>93.61</v>
      </c>
      <c r="M1282" s="11"/>
      <c r="N1282" s="22">
        <f t="shared" si="56"/>
        <v>0</v>
      </c>
      <c r="O1282" s="25">
        <f>0.079*M1282</f>
        <v>0</v>
      </c>
      <c r="P1282" s="26">
        <f>0.00085*M1282</f>
        <v>0</v>
      </c>
      <c r="Q1282" s="30"/>
      <c r="R1282" s="22" t="s">
        <v>4470</v>
      </c>
      <c r="S1282" s="22"/>
      <c r="T1282" s="21" t="str">
        <f>HYPERLINK("https://miland.ru/api/getInfo/image/bc49ba41-5f79-11e9-a224-ac1f6b442184")</f>
        <v>https://miland.ru/api/getInfo/image/bc49ba41-5f79-11e9-a224-ac1f6b442184</v>
      </c>
      <c r="U1282" s="21"/>
      <c r="V1282" s="21" t="s">
        <v>710</v>
      </c>
      <c r="W1282" s="21" t="s">
        <v>82</v>
      </c>
      <c r="X1282" s="21"/>
      <c r="Y1282" s="21" t="s">
        <v>41</v>
      </c>
      <c r="Z1282" s="21"/>
      <c r="AA1282" s="21" t="str">
        <f>HYPERLINK("https://miland.ru/api/getInfo/item/bc49ba41-5f79-11e9-a224-ac1f6b442184")</f>
        <v>https://miland.ru/api/getInfo/item/bc49ba41-5f79-11e9-a224-ac1f6b442184</v>
      </c>
      <c r="AB1282" s="21" t="s">
        <v>42</v>
      </c>
      <c r="AC1282" s="21" t="s">
        <v>4434</v>
      </c>
      <c r="AD1282" s="21"/>
    </row>
    <row r="1283" spans="2:30" s="1" customFormat="1" ht="96.3" customHeight="1" outlineLevel="6">
      <c r="B1283" s="20">
        <v>972</v>
      </c>
      <c r="C1283" s="21" t="s">
        <v>4471</v>
      </c>
      <c r="D1283" s="72" t="s">
        <v>4472</v>
      </c>
      <c r="E1283" s="72"/>
      <c r="F1283" s="72"/>
      <c r="G1283" s="72"/>
      <c r="H1283" s="22" t="s">
        <v>4473</v>
      </c>
      <c r="I1283" s="23" t="s">
        <v>36</v>
      </c>
      <c r="J1283" s="22"/>
      <c r="K1283" s="20">
        <v>6</v>
      </c>
      <c r="L1283" s="24">
        <v>102.31</v>
      </c>
      <c r="M1283" s="11"/>
      <c r="N1283" s="22">
        <f t="shared" si="56"/>
        <v>0</v>
      </c>
      <c r="O1283" s="25">
        <f>0.085*M1283</f>
        <v>0</v>
      </c>
      <c r="P1283" s="26">
        <f>0.00075*M1283</f>
        <v>0</v>
      </c>
      <c r="Q1283" s="30"/>
      <c r="R1283" s="22" t="s">
        <v>4474</v>
      </c>
      <c r="S1283" s="22"/>
      <c r="T1283" s="21" t="str">
        <f>HYPERLINK("https://miland.ru/api/getInfo/image/9eee6634-5f79-11e9-a224-ac1f6b442184")</f>
        <v>https://miland.ru/api/getInfo/image/9eee6634-5f79-11e9-a224-ac1f6b442184</v>
      </c>
      <c r="U1283" s="21"/>
      <c r="V1283" s="21" t="s">
        <v>710</v>
      </c>
      <c r="W1283" s="21" t="s">
        <v>82</v>
      </c>
      <c r="X1283" s="21"/>
      <c r="Y1283" s="21" t="s">
        <v>41</v>
      </c>
      <c r="Z1283" s="21"/>
      <c r="AA1283" s="21" t="str">
        <f>HYPERLINK("https://miland.ru/api/getInfo/item/9eee6634-5f79-11e9-a224-ac1f6b442184")</f>
        <v>https://miland.ru/api/getInfo/item/9eee6634-5f79-11e9-a224-ac1f6b442184</v>
      </c>
      <c r="AB1283" s="21" t="s">
        <v>42</v>
      </c>
      <c r="AC1283" s="21" t="s">
        <v>4434</v>
      </c>
      <c r="AD1283" s="21"/>
    </row>
    <row r="1284" spans="2:30" s="1" customFormat="1" ht="96.3" customHeight="1" outlineLevel="6">
      <c r="B1284" s="20">
        <v>973</v>
      </c>
      <c r="C1284" s="21" t="s">
        <v>4475</v>
      </c>
      <c r="D1284" s="72" t="s">
        <v>4476</v>
      </c>
      <c r="E1284" s="72"/>
      <c r="F1284" s="72"/>
      <c r="G1284" s="72"/>
      <c r="H1284" s="22" t="s">
        <v>4477</v>
      </c>
      <c r="I1284" s="23" t="s">
        <v>36</v>
      </c>
      <c r="J1284" s="22"/>
      <c r="K1284" s="20">
        <v>12</v>
      </c>
      <c r="L1284" s="24">
        <v>49.34</v>
      </c>
      <c r="M1284" s="11"/>
      <c r="N1284" s="22">
        <f t="shared" si="56"/>
        <v>0</v>
      </c>
      <c r="O1284" s="25">
        <f>0.024*M1284</f>
        <v>0</v>
      </c>
      <c r="P1284" s="26">
        <f>0.00003*M1284</f>
        <v>0</v>
      </c>
      <c r="Q1284" s="30"/>
      <c r="R1284" s="22" t="s">
        <v>4478</v>
      </c>
      <c r="S1284" s="22"/>
      <c r="T1284" s="21" t="str">
        <f>HYPERLINK("https://miland.ru/api/getInfo/image/7cc9308a-8b41-11ec-a211-ac1f6b442185")</f>
        <v>https://miland.ru/api/getInfo/image/7cc9308a-8b41-11ec-a211-ac1f6b442185</v>
      </c>
      <c r="U1284" s="21"/>
      <c r="V1284" s="21" t="s">
        <v>710</v>
      </c>
      <c r="W1284" s="21" t="s">
        <v>82</v>
      </c>
      <c r="X1284" s="21"/>
      <c r="Y1284" s="21" t="s">
        <v>41</v>
      </c>
      <c r="Z1284" s="21"/>
      <c r="AA1284" s="21" t="str">
        <f>HYPERLINK("https://miland.ru/api/getInfo/item/7cc9308a-8b41-11ec-a211-ac1f6b442185")</f>
        <v>https://miland.ru/api/getInfo/item/7cc9308a-8b41-11ec-a211-ac1f6b442185</v>
      </c>
      <c r="AB1284" s="21" t="s">
        <v>42</v>
      </c>
      <c r="AC1284" s="21" t="s">
        <v>4479</v>
      </c>
      <c r="AD1284" s="21"/>
    </row>
    <row r="1285" spans="2:30" s="1" customFormat="1" ht="96.3" customHeight="1" outlineLevel="6">
      <c r="B1285" s="20">
        <v>974</v>
      </c>
      <c r="C1285" s="21" t="s">
        <v>4480</v>
      </c>
      <c r="D1285" s="72" t="s">
        <v>4481</v>
      </c>
      <c r="E1285" s="72"/>
      <c r="F1285" s="72"/>
      <c r="G1285" s="72"/>
      <c r="H1285" s="22" t="s">
        <v>4482</v>
      </c>
      <c r="I1285" s="23" t="s">
        <v>36</v>
      </c>
      <c r="J1285" s="22"/>
      <c r="K1285" s="20">
        <v>6</v>
      </c>
      <c r="L1285" s="24">
        <v>109.64</v>
      </c>
      <c r="M1285" s="11"/>
      <c r="N1285" s="22">
        <f t="shared" si="56"/>
        <v>0</v>
      </c>
      <c r="O1285" s="25">
        <f>0.038*M1285</f>
        <v>0</v>
      </c>
      <c r="P1285" s="26">
        <f>0.00045*M1285</f>
        <v>0</v>
      </c>
      <c r="Q1285" s="30"/>
      <c r="R1285" s="22" t="s">
        <v>4483</v>
      </c>
      <c r="S1285" s="22"/>
      <c r="T1285" s="21" t="str">
        <f>HYPERLINK("https://miland.ru/api/getInfo/image/b06c91c1-8b40-11ec-a211-ac1f6b442185")</f>
        <v>https://miland.ru/api/getInfo/image/b06c91c1-8b40-11ec-a211-ac1f6b442185</v>
      </c>
      <c r="U1285" s="21"/>
      <c r="V1285" s="21" t="s">
        <v>710</v>
      </c>
      <c r="W1285" s="21" t="s">
        <v>82</v>
      </c>
      <c r="X1285" s="21"/>
      <c r="Y1285" s="21" t="s">
        <v>41</v>
      </c>
      <c r="Z1285" s="21"/>
      <c r="AA1285" s="21" t="str">
        <f>HYPERLINK("https://miland.ru/api/getInfo/item/b06c91c1-8b40-11ec-a211-ac1f6b442185")</f>
        <v>https://miland.ru/api/getInfo/item/b06c91c1-8b40-11ec-a211-ac1f6b442185</v>
      </c>
      <c r="AB1285" s="21" t="s">
        <v>42</v>
      </c>
      <c r="AC1285" s="21" t="s">
        <v>4479</v>
      </c>
      <c r="AD1285" s="21"/>
    </row>
    <row r="1286" spans="2:30" s="1" customFormat="1" ht="96.3" customHeight="1" outlineLevel="6">
      <c r="B1286" s="20">
        <v>975</v>
      </c>
      <c r="C1286" s="21" t="s">
        <v>4484</v>
      </c>
      <c r="D1286" s="72" t="s">
        <v>4485</v>
      </c>
      <c r="E1286" s="72"/>
      <c r="F1286" s="72"/>
      <c r="G1286" s="72"/>
      <c r="H1286" s="22" t="s">
        <v>4486</v>
      </c>
      <c r="I1286" s="23" t="s">
        <v>36</v>
      </c>
      <c r="J1286" s="22"/>
      <c r="K1286" s="20">
        <v>12</v>
      </c>
      <c r="L1286" s="24">
        <v>49.34</v>
      </c>
      <c r="M1286" s="11"/>
      <c r="N1286" s="22">
        <f t="shared" si="56"/>
        <v>0</v>
      </c>
      <c r="O1286" s="25">
        <f>0.031*M1286</f>
        <v>0</v>
      </c>
      <c r="P1286" s="26">
        <f>0.00018*M1286</f>
        <v>0</v>
      </c>
      <c r="Q1286" s="30"/>
      <c r="R1286" s="22" t="s">
        <v>4487</v>
      </c>
      <c r="S1286" s="22"/>
      <c r="T1286" s="21" t="str">
        <f>HYPERLINK("https://miland.ru/api/getInfo/image/1983df0c-8b41-11ec-a211-ac1f6b442185")</f>
        <v>https://miland.ru/api/getInfo/image/1983df0c-8b41-11ec-a211-ac1f6b442185</v>
      </c>
      <c r="U1286" s="21"/>
      <c r="V1286" s="21" t="s">
        <v>710</v>
      </c>
      <c r="W1286" s="21" t="s">
        <v>82</v>
      </c>
      <c r="X1286" s="21"/>
      <c r="Y1286" s="21" t="s">
        <v>41</v>
      </c>
      <c r="Z1286" s="21"/>
      <c r="AA1286" s="21" t="str">
        <f>HYPERLINK("https://miland.ru/api/getInfo/item/1983df0c-8b41-11ec-a211-ac1f6b442185")</f>
        <v>https://miland.ru/api/getInfo/item/1983df0c-8b41-11ec-a211-ac1f6b442185</v>
      </c>
      <c r="AB1286" s="21" t="s">
        <v>42</v>
      </c>
      <c r="AC1286" s="21" t="s">
        <v>4479</v>
      </c>
      <c r="AD1286" s="21"/>
    </row>
    <row r="1287" spans="2:30" s="1" customFormat="1" ht="96.3" customHeight="1" outlineLevel="6">
      <c r="B1287" s="20">
        <v>976</v>
      </c>
      <c r="C1287" s="21" t="s">
        <v>4488</v>
      </c>
      <c r="D1287" s="72" t="s">
        <v>4489</v>
      </c>
      <c r="E1287" s="72"/>
      <c r="F1287" s="72"/>
      <c r="G1287" s="72"/>
      <c r="H1287" s="22" t="s">
        <v>4490</v>
      </c>
      <c r="I1287" s="23" t="s">
        <v>36</v>
      </c>
      <c r="J1287" s="22"/>
      <c r="K1287" s="20">
        <v>5</v>
      </c>
      <c r="L1287" s="24">
        <v>132.43</v>
      </c>
      <c r="M1287" s="11"/>
      <c r="N1287" s="22">
        <f t="shared" si="56"/>
        <v>0</v>
      </c>
      <c r="O1287" s="25">
        <f>0.063*M1287</f>
        <v>0</v>
      </c>
      <c r="P1287" s="26">
        <f>0.00032*M1287</f>
        <v>0</v>
      </c>
      <c r="Q1287" s="30"/>
      <c r="R1287" s="22" t="s">
        <v>4491</v>
      </c>
      <c r="S1287" s="22"/>
      <c r="T1287" s="21" t="str">
        <f>HYPERLINK("https://miland.ru/api/getInfo/image/c0a17934-23d0-11e6-b4ab-5cf3fc4a2490")</f>
        <v>https://miland.ru/api/getInfo/image/c0a17934-23d0-11e6-b4ab-5cf3fc4a2490</v>
      </c>
      <c r="U1287" s="21"/>
      <c r="V1287" s="21" t="s">
        <v>710</v>
      </c>
      <c r="W1287" s="21" t="s">
        <v>82</v>
      </c>
      <c r="X1287" s="21"/>
      <c r="Y1287" s="21" t="s">
        <v>41</v>
      </c>
      <c r="Z1287" s="21"/>
      <c r="AA1287" s="21" t="str">
        <f>HYPERLINK("https://miland.ru/api/getInfo/item/c0a17934-23d0-11e6-b4ab-5cf3fc4a2490")</f>
        <v>https://miland.ru/api/getInfo/item/c0a17934-23d0-11e6-b4ab-5cf3fc4a2490</v>
      </c>
      <c r="AB1287" s="21" t="s">
        <v>42</v>
      </c>
      <c r="AC1287" s="21" t="s">
        <v>4492</v>
      </c>
      <c r="AD1287" s="21"/>
    </row>
    <row r="1288" spans="2:30" s="1" customFormat="1" ht="96.3" customHeight="1" outlineLevel="6">
      <c r="B1288" s="20">
        <v>977</v>
      </c>
      <c r="C1288" s="21" t="s">
        <v>4493</v>
      </c>
      <c r="D1288" s="72" t="s">
        <v>4494</v>
      </c>
      <c r="E1288" s="72"/>
      <c r="F1288" s="72"/>
      <c r="G1288" s="72"/>
      <c r="H1288" s="22" t="s">
        <v>4495</v>
      </c>
      <c r="I1288" s="23" t="s">
        <v>36</v>
      </c>
      <c r="J1288" s="22"/>
      <c r="K1288" s="20">
        <v>6</v>
      </c>
      <c r="L1288" s="24">
        <v>102.5</v>
      </c>
      <c r="M1288" s="11"/>
      <c r="N1288" s="22">
        <f t="shared" si="56"/>
        <v>0</v>
      </c>
      <c r="O1288" s="25">
        <f>0.043*M1288</f>
        <v>0</v>
      </c>
      <c r="P1288" s="29">
        <f>0.0001*M1288</f>
        <v>0</v>
      </c>
      <c r="Q1288" s="30"/>
      <c r="R1288" s="22" t="s">
        <v>4496</v>
      </c>
      <c r="S1288" s="22"/>
      <c r="T1288" s="21" t="str">
        <f>HYPERLINK("https://miland.ru/api/getInfo/image/496f1e93-23cf-11e6-b4ab-5cf3fc4a2490")</f>
        <v>https://miland.ru/api/getInfo/image/496f1e93-23cf-11e6-b4ab-5cf3fc4a2490</v>
      </c>
      <c r="U1288" s="21"/>
      <c r="V1288" s="21" t="s">
        <v>710</v>
      </c>
      <c r="W1288" s="21" t="s">
        <v>82</v>
      </c>
      <c r="X1288" s="21"/>
      <c r="Y1288" s="21" t="s">
        <v>41</v>
      </c>
      <c r="Z1288" s="21"/>
      <c r="AA1288" s="21" t="str">
        <f>HYPERLINK("https://miland.ru/api/getInfo/item/496f1e93-23cf-11e6-b4ab-5cf3fc4a2490")</f>
        <v>https://miland.ru/api/getInfo/item/496f1e93-23cf-11e6-b4ab-5cf3fc4a2490</v>
      </c>
      <c r="AB1288" s="21" t="s">
        <v>42</v>
      </c>
      <c r="AC1288" s="21" t="s">
        <v>4492</v>
      </c>
      <c r="AD1288" s="21"/>
    </row>
    <row r="1289" spans="2:30" s="1" customFormat="1" ht="96.3" customHeight="1" outlineLevel="6">
      <c r="B1289" s="20">
        <v>978</v>
      </c>
      <c r="C1289" s="21" t="s">
        <v>4497</v>
      </c>
      <c r="D1289" s="72" t="s">
        <v>4498</v>
      </c>
      <c r="E1289" s="72"/>
      <c r="F1289" s="72"/>
      <c r="G1289" s="72"/>
      <c r="H1289" s="22" t="s">
        <v>4499</v>
      </c>
      <c r="I1289" s="23" t="s">
        <v>36</v>
      </c>
      <c r="J1289" s="22"/>
      <c r="K1289" s="20">
        <v>6</v>
      </c>
      <c r="L1289" s="24">
        <v>97.38</v>
      </c>
      <c r="M1289" s="11"/>
      <c r="N1289" s="22">
        <f t="shared" si="56"/>
        <v>0</v>
      </c>
      <c r="O1289" s="25">
        <f>0.037*M1289</f>
        <v>0</v>
      </c>
      <c r="P1289" s="29">
        <f>0.0006*M1289</f>
        <v>0</v>
      </c>
      <c r="Q1289" s="30"/>
      <c r="R1289" s="22" t="s">
        <v>4500</v>
      </c>
      <c r="S1289" s="22"/>
      <c r="T1289" s="21" t="str">
        <f>HYPERLINK("https://miland.ru/api/getInfo/image/010bee33-23cf-11e6-b4ab-5cf3fc4a2490")</f>
        <v>https://miland.ru/api/getInfo/image/010bee33-23cf-11e6-b4ab-5cf3fc4a2490</v>
      </c>
      <c r="U1289" s="21"/>
      <c r="V1289" s="21" t="s">
        <v>710</v>
      </c>
      <c r="W1289" s="21" t="s">
        <v>82</v>
      </c>
      <c r="X1289" s="21"/>
      <c r="Y1289" s="21" t="s">
        <v>41</v>
      </c>
      <c r="Z1289" s="21"/>
      <c r="AA1289" s="21" t="str">
        <f>HYPERLINK("https://miland.ru/api/getInfo/item/010bee33-23cf-11e6-b4ab-5cf3fc4a2490")</f>
        <v>https://miland.ru/api/getInfo/item/010bee33-23cf-11e6-b4ab-5cf3fc4a2490</v>
      </c>
      <c r="AB1289" s="21" t="s">
        <v>42</v>
      </c>
      <c r="AC1289" s="21" t="s">
        <v>4492</v>
      </c>
      <c r="AD1289" s="21"/>
    </row>
    <row r="1290" spans="2:30" s="1" customFormat="1" ht="96.3" customHeight="1" outlineLevel="6">
      <c r="B1290" s="20">
        <v>979</v>
      </c>
      <c r="C1290" s="21" t="s">
        <v>4501</v>
      </c>
      <c r="D1290" s="72" t="s">
        <v>4502</v>
      </c>
      <c r="E1290" s="72"/>
      <c r="F1290" s="72"/>
      <c r="G1290" s="72"/>
      <c r="H1290" s="22" t="s">
        <v>4503</v>
      </c>
      <c r="I1290" s="23" t="s">
        <v>36</v>
      </c>
      <c r="J1290" s="22"/>
      <c r="K1290" s="20">
        <v>12</v>
      </c>
      <c r="L1290" s="24">
        <v>53.77</v>
      </c>
      <c r="M1290" s="11"/>
      <c r="N1290" s="22">
        <f t="shared" si="56"/>
        <v>0</v>
      </c>
      <c r="O1290" s="25">
        <f>0.038*M1290</f>
        <v>0</v>
      </c>
      <c r="P1290" s="26">
        <f>0.00012*M1290</f>
        <v>0</v>
      </c>
      <c r="Q1290" s="30"/>
      <c r="R1290" s="22" t="s">
        <v>4504</v>
      </c>
      <c r="S1290" s="22"/>
      <c r="T1290" s="21" t="str">
        <f>HYPERLINK("https://miland.ru/api/getInfo/image/7a441313-23cd-11e6-b4ab-5cf3fc4a2490")</f>
        <v>https://miland.ru/api/getInfo/image/7a441313-23cd-11e6-b4ab-5cf3fc4a2490</v>
      </c>
      <c r="U1290" s="21"/>
      <c r="V1290" s="21" t="s">
        <v>710</v>
      </c>
      <c r="W1290" s="21" t="s">
        <v>82</v>
      </c>
      <c r="X1290" s="21"/>
      <c r="Y1290" s="21" t="s">
        <v>41</v>
      </c>
      <c r="Z1290" s="21"/>
      <c r="AA1290" s="21" t="str">
        <f>HYPERLINK("https://miland.ru/api/getInfo/item/7a441313-23cd-11e6-b4ab-5cf3fc4a2490")</f>
        <v>https://miland.ru/api/getInfo/item/7a441313-23cd-11e6-b4ab-5cf3fc4a2490</v>
      </c>
      <c r="AB1290" s="21" t="s">
        <v>42</v>
      </c>
      <c r="AC1290" s="21" t="s">
        <v>4492</v>
      </c>
      <c r="AD1290" s="21"/>
    </row>
    <row r="1291" spans="2:30" s="1" customFormat="1" ht="96.3" customHeight="1" outlineLevel="6">
      <c r="B1291" s="20">
        <v>980</v>
      </c>
      <c r="C1291" s="21" t="s">
        <v>4505</v>
      </c>
      <c r="D1291" s="72" t="s">
        <v>4506</v>
      </c>
      <c r="E1291" s="72"/>
      <c r="F1291" s="72"/>
      <c r="G1291" s="72"/>
      <c r="H1291" s="22" t="s">
        <v>4507</v>
      </c>
      <c r="I1291" s="23" t="s">
        <v>36</v>
      </c>
      <c r="J1291" s="22"/>
      <c r="K1291" s="20">
        <v>6</v>
      </c>
      <c r="L1291" s="24">
        <v>109.64</v>
      </c>
      <c r="M1291" s="11"/>
      <c r="N1291" s="22">
        <f t="shared" si="56"/>
        <v>0</v>
      </c>
      <c r="O1291" s="25">
        <f>0.038*M1291</f>
        <v>0</v>
      </c>
      <c r="P1291" s="26">
        <f>0.00009*M1291</f>
        <v>0</v>
      </c>
      <c r="Q1291" s="30"/>
      <c r="R1291" s="22" t="s">
        <v>4508</v>
      </c>
      <c r="S1291" s="22"/>
      <c r="T1291" s="21" t="str">
        <f>HYPERLINK("https://miland.ru/api/getInfo/image/a1cdca13-23ce-11e6-b4ab-5cf3fc4a2490")</f>
        <v>https://miland.ru/api/getInfo/image/a1cdca13-23ce-11e6-b4ab-5cf3fc4a2490</v>
      </c>
      <c r="U1291" s="21"/>
      <c r="V1291" s="21" t="s">
        <v>710</v>
      </c>
      <c r="W1291" s="21" t="s">
        <v>82</v>
      </c>
      <c r="X1291" s="21"/>
      <c r="Y1291" s="21" t="s">
        <v>41</v>
      </c>
      <c r="Z1291" s="21"/>
      <c r="AA1291" s="21" t="str">
        <f>HYPERLINK("https://miland.ru/api/getInfo/item/a1cdca13-23ce-11e6-b4ab-5cf3fc4a2490")</f>
        <v>https://miland.ru/api/getInfo/item/a1cdca13-23ce-11e6-b4ab-5cf3fc4a2490</v>
      </c>
      <c r="AB1291" s="21" t="s">
        <v>42</v>
      </c>
      <c r="AC1291" s="21" t="s">
        <v>4492</v>
      </c>
      <c r="AD1291" s="21"/>
    </row>
    <row r="1292" spans="2:30" s="1" customFormat="1" ht="96.3" customHeight="1" outlineLevel="6">
      <c r="B1292" s="20">
        <v>981</v>
      </c>
      <c r="C1292" s="21" t="s">
        <v>4509</v>
      </c>
      <c r="D1292" s="72" t="s">
        <v>4510</v>
      </c>
      <c r="E1292" s="72"/>
      <c r="F1292" s="72"/>
      <c r="G1292" s="72"/>
      <c r="H1292" s="22" t="s">
        <v>4511</v>
      </c>
      <c r="I1292" s="23" t="s">
        <v>36</v>
      </c>
      <c r="J1292" s="22"/>
      <c r="K1292" s="20">
        <v>12</v>
      </c>
      <c r="L1292" s="24">
        <v>49.34</v>
      </c>
      <c r="M1292" s="11"/>
      <c r="N1292" s="22">
        <f t="shared" si="56"/>
        <v>0</v>
      </c>
      <c r="O1292" s="25">
        <f>0.024*M1292</f>
        <v>0</v>
      </c>
      <c r="P1292" s="26">
        <f>0.00014*M1292</f>
        <v>0</v>
      </c>
      <c r="Q1292" s="30"/>
      <c r="R1292" s="22" t="s">
        <v>4512</v>
      </c>
      <c r="S1292" s="22"/>
      <c r="T1292" s="21" t="str">
        <f>HYPERLINK("https://miland.ru/api/getInfo/image/b39dd393-23cc-11e6-b4ab-5cf3fc4a2490")</f>
        <v>https://miland.ru/api/getInfo/image/b39dd393-23cc-11e6-b4ab-5cf3fc4a2490</v>
      </c>
      <c r="U1292" s="21"/>
      <c r="V1292" s="21" t="s">
        <v>710</v>
      </c>
      <c r="W1292" s="21" t="s">
        <v>82</v>
      </c>
      <c r="X1292" s="21"/>
      <c r="Y1292" s="21" t="s">
        <v>41</v>
      </c>
      <c r="Z1292" s="21"/>
      <c r="AA1292" s="21" t="str">
        <f>HYPERLINK("https://miland.ru/api/getInfo/item/b39dd393-23cc-11e6-b4ab-5cf3fc4a2490")</f>
        <v>https://miland.ru/api/getInfo/item/b39dd393-23cc-11e6-b4ab-5cf3fc4a2490</v>
      </c>
      <c r="AB1292" s="21" t="s">
        <v>42</v>
      </c>
      <c r="AC1292" s="21" t="s">
        <v>4492</v>
      </c>
      <c r="AD1292" s="21"/>
    </row>
    <row r="1293" spans="2:30" s="1" customFormat="1" ht="96.3" customHeight="1" outlineLevel="6">
      <c r="B1293" s="20">
        <v>982</v>
      </c>
      <c r="C1293" s="21" t="s">
        <v>4513</v>
      </c>
      <c r="D1293" s="72" t="s">
        <v>4514</v>
      </c>
      <c r="E1293" s="72"/>
      <c r="F1293" s="72"/>
      <c r="G1293" s="72"/>
      <c r="H1293" s="22" t="s">
        <v>4515</v>
      </c>
      <c r="I1293" s="23" t="s">
        <v>36</v>
      </c>
      <c r="J1293" s="22"/>
      <c r="K1293" s="20">
        <v>6</v>
      </c>
      <c r="L1293" s="24">
        <v>102.5</v>
      </c>
      <c r="M1293" s="11"/>
      <c r="N1293" s="22">
        <f t="shared" si="56"/>
        <v>0</v>
      </c>
      <c r="O1293" s="25">
        <f>0.043*M1293</f>
        <v>0</v>
      </c>
      <c r="P1293" s="26">
        <f>0.00081*M1293</f>
        <v>0</v>
      </c>
      <c r="Q1293" s="30"/>
      <c r="R1293" s="22" t="s">
        <v>4516</v>
      </c>
      <c r="S1293" s="22"/>
      <c r="T1293" s="21" t="str">
        <f>HYPERLINK("https://miland.ru/api/getInfo/image/757fb2b3-23cf-11e6-b4ab-5cf3fc4a2490")</f>
        <v>https://miland.ru/api/getInfo/image/757fb2b3-23cf-11e6-b4ab-5cf3fc4a2490</v>
      </c>
      <c r="U1293" s="21"/>
      <c r="V1293" s="21" t="s">
        <v>710</v>
      </c>
      <c r="W1293" s="21" t="s">
        <v>82</v>
      </c>
      <c r="X1293" s="21"/>
      <c r="Y1293" s="21" t="s">
        <v>41</v>
      </c>
      <c r="Z1293" s="21"/>
      <c r="AA1293" s="21" t="str">
        <f>HYPERLINK("https://miland.ru/api/getInfo/item/757fb2b3-23cf-11e6-b4ab-5cf3fc4a2490")</f>
        <v>https://miland.ru/api/getInfo/item/757fb2b3-23cf-11e6-b4ab-5cf3fc4a2490</v>
      </c>
      <c r="AB1293" s="21" t="s">
        <v>42</v>
      </c>
      <c r="AC1293" s="21" t="s">
        <v>4492</v>
      </c>
      <c r="AD1293" s="21"/>
    </row>
    <row r="1294" spans="2:30" s="1" customFormat="1" ht="96.3" customHeight="1" outlineLevel="6">
      <c r="B1294" s="20">
        <v>983</v>
      </c>
      <c r="C1294" s="21" t="s">
        <v>4517</v>
      </c>
      <c r="D1294" s="72" t="s">
        <v>4518</v>
      </c>
      <c r="E1294" s="72"/>
      <c r="F1294" s="72"/>
      <c r="G1294" s="72"/>
      <c r="H1294" s="22" t="s">
        <v>4519</v>
      </c>
      <c r="I1294" s="23" t="s">
        <v>36</v>
      </c>
      <c r="J1294" s="22"/>
      <c r="K1294" s="20">
        <v>12</v>
      </c>
      <c r="L1294" s="24">
        <v>49.34</v>
      </c>
      <c r="M1294" s="11"/>
      <c r="N1294" s="22">
        <f t="shared" si="56"/>
        <v>0</v>
      </c>
      <c r="O1294" s="25">
        <f>0.038*M1294</f>
        <v>0</v>
      </c>
      <c r="P1294" s="26">
        <f>0.00041*M1294</f>
        <v>0</v>
      </c>
      <c r="Q1294" s="30"/>
      <c r="R1294" s="22" t="s">
        <v>4520</v>
      </c>
      <c r="S1294" s="22"/>
      <c r="T1294" s="21" t="str">
        <f>HYPERLINK("https://miland.ru/api/getInfo/image/b148baf3-23cd-11e6-b4ab-5cf3fc4a2490")</f>
        <v>https://miland.ru/api/getInfo/image/b148baf3-23cd-11e6-b4ab-5cf3fc4a2490</v>
      </c>
      <c r="U1294" s="21"/>
      <c r="V1294" s="21" t="s">
        <v>710</v>
      </c>
      <c r="W1294" s="21" t="s">
        <v>82</v>
      </c>
      <c r="X1294" s="21"/>
      <c r="Y1294" s="21" t="s">
        <v>41</v>
      </c>
      <c r="Z1294" s="21"/>
      <c r="AA1294" s="21" t="str">
        <f>HYPERLINK("https://miland.ru/api/getInfo/item/b148baf3-23cd-11e6-b4ab-5cf3fc4a2490")</f>
        <v>https://miland.ru/api/getInfo/item/b148baf3-23cd-11e6-b4ab-5cf3fc4a2490</v>
      </c>
      <c r="AB1294" s="21" t="s">
        <v>42</v>
      </c>
      <c r="AC1294" s="21" t="s">
        <v>4492</v>
      </c>
      <c r="AD1294" s="21"/>
    </row>
    <row r="1295" spans="2:30" s="1" customFormat="1" ht="96.3" customHeight="1" outlineLevel="6">
      <c r="B1295" s="20">
        <v>984</v>
      </c>
      <c r="C1295" s="21" t="s">
        <v>4521</v>
      </c>
      <c r="D1295" s="72" t="s">
        <v>4522</v>
      </c>
      <c r="E1295" s="72"/>
      <c r="F1295" s="72"/>
      <c r="G1295" s="72"/>
      <c r="H1295" s="22" t="s">
        <v>4523</v>
      </c>
      <c r="I1295" s="23" t="s">
        <v>36</v>
      </c>
      <c r="J1295" s="22"/>
      <c r="K1295" s="20">
        <v>5</v>
      </c>
      <c r="L1295" s="24">
        <v>132.43</v>
      </c>
      <c r="M1295" s="11"/>
      <c r="N1295" s="22">
        <f t="shared" si="56"/>
        <v>0</v>
      </c>
      <c r="O1295" s="25">
        <f>0.059*M1295</f>
        <v>0</v>
      </c>
      <c r="P1295" s="29">
        <f>0.0002*M1295</f>
        <v>0</v>
      </c>
      <c r="Q1295" s="30"/>
      <c r="R1295" s="22" t="s">
        <v>4524</v>
      </c>
      <c r="S1295" s="22"/>
      <c r="T1295" s="21" t="str">
        <f>HYPERLINK("https://miland.ru/api/getInfo/image/dff4f194-23d0-11e6-b4ab-5cf3fc4a2490")</f>
        <v>https://miland.ru/api/getInfo/image/dff4f194-23d0-11e6-b4ab-5cf3fc4a2490</v>
      </c>
      <c r="U1295" s="21"/>
      <c r="V1295" s="21" t="s">
        <v>710</v>
      </c>
      <c r="W1295" s="21" t="s">
        <v>82</v>
      </c>
      <c r="X1295" s="21"/>
      <c r="Y1295" s="21" t="s">
        <v>41</v>
      </c>
      <c r="Z1295" s="21"/>
      <c r="AA1295" s="21" t="str">
        <f>HYPERLINK("https://miland.ru/api/getInfo/item/dff4f194-23d0-11e6-b4ab-5cf3fc4a2490")</f>
        <v>https://miland.ru/api/getInfo/item/dff4f194-23d0-11e6-b4ab-5cf3fc4a2490</v>
      </c>
      <c r="AB1295" s="21" t="s">
        <v>42</v>
      </c>
      <c r="AC1295" s="21" t="s">
        <v>4492</v>
      </c>
      <c r="AD1295" s="21"/>
    </row>
    <row r="1296" spans="2:30" s="1" customFormat="1" ht="96.3" customHeight="1" outlineLevel="6">
      <c r="B1296" s="20">
        <v>985</v>
      </c>
      <c r="C1296" s="21" t="s">
        <v>4525</v>
      </c>
      <c r="D1296" s="72" t="s">
        <v>4526</v>
      </c>
      <c r="E1296" s="72"/>
      <c r="F1296" s="72"/>
      <c r="G1296" s="72"/>
      <c r="H1296" s="22" t="s">
        <v>4527</v>
      </c>
      <c r="I1296" s="23" t="s">
        <v>36</v>
      </c>
      <c r="J1296" s="22"/>
      <c r="K1296" s="20">
        <v>6</v>
      </c>
      <c r="L1296" s="24">
        <v>102.5</v>
      </c>
      <c r="M1296" s="11"/>
      <c r="N1296" s="22">
        <f t="shared" si="56"/>
        <v>0</v>
      </c>
      <c r="O1296" s="25">
        <f>0.048*M1296</f>
        <v>0</v>
      </c>
      <c r="P1296" s="26">
        <f>0.00025*M1296</f>
        <v>0</v>
      </c>
      <c r="Q1296" s="30"/>
      <c r="R1296" s="22" t="s">
        <v>4528</v>
      </c>
      <c r="S1296" s="22"/>
      <c r="T1296" s="21" t="str">
        <f>HYPERLINK("https://miland.ru/api/getInfo/image/ac7d3673-23cf-11e6-b4ab-5cf3fc4a2490")</f>
        <v>https://miland.ru/api/getInfo/image/ac7d3673-23cf-11e6-b4ab-5cf3fc4a2490</v>
      </c>
      <c r="U1296" s="21"/>
      <c r="V1296" s="21" t="s">
        <v>710</v>
      </c>
      <c r="W1296" s="21" t="s">
        <v>82</v>
      </c>
      <c r="X1296" s="21"/>
      <c r="Y1296" s="21" t="s">
        <v>41</v>
      </c>
      <c r="Z1296" s="21"/>
      <c r="AA1296" s="21" t="str">
        <f>HYPERLINK("https://miland.ru/api/getInfo/item/ac7d3673-23cf-11e6-b4ab-5cf3fc4a2490")</f>
        <v>https://miland.ru/api/getInfo/item/ac7d3673-23cf-11e6-b4ab-5cf3fc4a2490</v>
      </c>
      <c r="AB1296" s="21" t="s">
        <v>42</v>
      </c>
      <c r="AC1296" s="21" t="s">
        <v>4492</v>
      </c>
      <c r="AD1296" s="21"/>
    </row>
    <row r="1297" spans="2:30" ht="12" customHeight="1" outlineLevel="5">
      <c r="B1297" s="70" t="s">
        <v>4529</v>
      </c>
      <c r="C1297" s="70"/>
      <c r="D1297" s="70"/>
      <c r="E1297" s="70"/>
      <c r="F1297" s="70"/>
      <c r="G1297" s="70"/>
    </row>
    <row r="1298" spans="2:30" s="1" customFormat="1" ht="96.3" customHeight="1" outlineLevel="6">
      <c r="B1298" s="20">
        <v>986</v>
      </c>
      <c r="C1298" s="21" t="s">
        <v>4530</v>
      </c>
      <c r="D1298" s="72" t="s">
        <v>4531</v>
      </c>
      <c r="E1298" s="72"/>
      <c r="F1298" s="72"/>
      <c r="G1298" s="72"/>
      <c r="H1298" s="22" t="s">
        <v>4532</v>
      </c>
      <c r="I1298" s="23" t="s">
        <v>36</v>
      </c>
      <c r="J1298" s="22"/>
      <c r="K1298" s="20">
        <v>2</v>
      </c>
      <c r="L1298" s="24">
        <v>269.89</v>
      </c>
      <c r="M1298" s="11"/>
      <c r="N1298" s="22">
        <f t="shared" ref="N1298:N1320" si="57">L1298*M1298</f>
        <v>0</v>
      </c>
      <c r="O1298" s="25">
        <f>0.053*M1298</f>
        <v>0</v>
      </c>
      <c r="P1298" s="26">
        <f>0.00032*M1298</f>
        <v>0</v>
      </c>
      <c r="Q1298" s="30"/>
      <c r="R1298" s="22" t="s">
        <v>4533</v>
      </c>
      <c r="S1298" s="22"/>
      <c r="T1298" s="21" t="str">
        <f>HYPERLINK("https://miland.ru/api/getInfo/image/46547ae1-9589-11ed-a22d-00155d82e902")</f>
        <v>https://miland.ru/api/getInfo/image/46547ae1-9589-11ed-a22d-00155d82e902</v>
      </c>
      <c r="U1298" s="21"/>
      <c r="V1298" s="21" t="s">
        <v>710</v>
      </c>
      <c r="W1298" s="21" t="s">
        <v>82</v>
      </c>
      <c r="X1298" s="21"/>
      <c r="Y1298" s="21" t="s">
        <v>41</v>
      </c>
      <c r="Z1298" s="21"/>
      <c r="AA1298" s="21" t="str">
        <f>HYPERLINK("https://miland.ru/api/getInfo/item/46547ae1-9589-11ed-a22d-00155d82e902")</f>
        <v>https://miland.ru/api/getInfo/item/46547ae1-9589-11ed-a22d-00155d82e902</v>
      </c>
      <c r="AB1298" s="21" t="s">
        <v>42</v>
      </c>
      <c r="AC1298" s="21"/>
      <c r="AD1298" s="21"/>
    </row>
    <row r="1299" spans="2:30" s="1" customFormat="1" ht="96.3" customHeight="1" outlineLevel="6">
      <c r="B1299" s="20">
        <v>987</v>
      </c>
      <c r="C1299" s="21" t="s">
        <v>4534</v>
      </c>
      <c r="D1299" s="72" t="s">
        <v>4535</v>
      </c>
      <c r="E1299" s="72"/>
      <c r="F1299" s="72"/>
      <c r="G1299" s="72"/>
      <c r="H1299" s="22" t="s">
        <v>4536</v>
      </c>
      <c r="I1299" s="23" t="s">
        <v>36</v>
      </c>
      <c r="J1299" s="22"/>
      <c r="K1299" s="20">
        <v>3</v>
      </c>
      <c r="L1299" s="24">
        <v>212.34</v>
      </c>
      <c r="M1299" s="11"/>
      <c r="N1299" s="22">
        <f t="shared" si="57"/>
        <v>0</v>
      </c>
      <c r="O1299" s="25">
        <f>0.173*M1299</f>
        <v>0</v>
      </c>
      <c r="P1299" s="29">
        <f>0.0006*M1299</f>
        <v>0</v>
      </c>
      <c r="Q1299" s="30"/>
      <c r="R1299" s="22" t="s">
        <v>4537</v>
      </c>
      <c r="S1299" s="22"/>
      <c r="T1299" s="21" t="str">
        <f>HYPERLINK("https://miland.ru/api/getInfo/image/c2683523-9580-11ed-a22d-00155d82e902")</f>
        <v>https://miland.ru/api/getInfo/image/c2683523-9580-11ed-a22d-00155d82e902</v>
      </c>
      <c r="U1299" s="21"/>
      <c r="V1299" s="21" t="s">
        <v>710</v>
      </c>
      <c r="W1299" s="21" t="s">
        <v>82</v>
      </c>
      <c r="X1299" s="21"/>
      <c r="Y1299" s="21" t="s">
        <v>41</v>
      </c>
      <c r="Z1299" s="21"/>
      <c r="AA1299" s="21" t="str">
        <f>HYPERLINK("https://miland.ru/api/getInfo/item/c2683523-9580-11ed-a22d-00155d82e902")</f>
        <v>https://miland.ru/api/getInfo/item/c2683523-9580-11ed-a22d-00155d82e902</v>
      </c>
      <c r="AB1299" s="21" t="s">
        <v>42</v>
      </c>
      <c r="AC1299" s="21"/>
      <c r="AD1299" s="21"/>
    </row>
    <row r="1300" spans="2:30" s="1" customFormat="1" ht="96.3" customHeight="1" outlineLevel="6">
      <c r="B1300" s="20">
        <v>988</v>
      </c>
      <c r="C1300" s="21" t="s">
        <v>4538</v>
      </c>
      <c r="D1300" s="72" t="s">
        <v>4539</v>
      </c>
      <c r="E1300" s="72"/>
      <c r="F1300" s="72"/>
      <c r="G1300" s="72"/>
      <c r="H1300" s="22" t="s">
        <v>4540</v>
      </c>
      <c r="I1300" s="23" t="s">
        <v>36</v>
      </c>
      <c r="J1300" s="22"/>
      <c r="K1300" s="20">
        <v>1</v>
      </c>
      <c r="L1300" s="24">
        <v>486.66</v>
      </c>
      <c r="M1300" s="11"/>
      <c r="N1300" s="22">
        <f t="shared" si="57"/>
        <v>0</v>
      </c>
      <c r="O1300" s="25">
        <f>0.446*M1300</f>
        <v>0</v>
      </c>
      <c r="P1300" s="26">
        <f>0.00132*M1300</f>
        <v>0</v>
      </c>
      <c r="Q1300" s="30"/>
      <c r="R1300" s="22" t="s">
        <v>4541</v>
      </c>
      <c r="S1300" s="22"/>
      <c r="T1300" s="21" t="str">
        <f>HYPERLINK("https://miland.ru/api/getInfo/image/9209de2b-9585-11ed-a22d-00155d82e902")</f>
        <v>https://miland.ru/api/getInfo/image/9209de2b-9585-11ed-a22d-00155d82e902</v>
      </c>
      <c r="U1300" s="21"/>
      <c r="V1300" s="21" t="s">
        <v>710</v>
      </c>
      <c r="W1300" s="21" t="s">
        <v>82</v>
      </c>
      <c r="X1300" s="21"/>
      <c r="Y1300" s="21" t="s">
        <v>41</v>
      </c>
      <c r="Z1300" s="21"/>
      <c r="AA1300" s="21" t="str">
        <f>HYPERLINK("https://miland.ru/api/getInfo/item/9209de2b-9585-11ed-a22d-00155d82e902")</f>
        <v>https://miland.ru/api/getInfo/item/9209de2b-9585-11ed-a22d-00155d82e902</v>
      </c>
      <c r="AB1300" s="21" t="s">
        <v>42</v>
      </c>
      <c r="AC1300" s="21"/>
      <c r="AD1300" s="21"/>
    </row>
    <row r="1301" spans="2:30" s="1" customFormat="1" ht="96.3" customHeight="1" outlineLevel="6">
      <c r="B1301" s="20">
        <v>989</v>
      </c>
      <c r="C1301" s="21" t="s">
        <v>4542</v>
      </c>
      <c r="D1301" s="72" t="s">
        <v>4543</v>
      </c>
      <c r="E1301" s="72"/>
      <c r="F1301" s="72"/>
      <c r="G1301" s="72"/>
      <c r="H1301" s="22" t="s">
        <v>4544</v>
      </c>
      <c r="I1301" s="23" t="s">
        <v>36</v>
      </c>
      <c r="J1301" s="22"/>
      <c r="K1301" s="20">
        <v>2</v>
      </c>
      <c r="L1301" s="24">
        <v>269.89</v>
      </c>
      <c r="M1301" s="11"/>
      <c r="N1301" s="22">
        <f t="shared" si="57"/>
        <v>0</v>
      </c>
      <c r="O1301" s="25">
        <f>0.051*M1301</f>
        <v>0</v>
      </c>
      <c r="P1301" s="26">
        <f>0.00038*M1301</f>
        <v>0</v>
      </c>
      <c r="Q1301" s="30"/>
      <c r="R1301" s="22" t="s">
        <v>4545</v>
      </c>
      <c r="S1301" s="22"/>
      <c r="T1301" s="21" t="str">
        <f>HYPERLINK("https://miland.ru/api/getInfo/image/7d144972-9588-11ed-a22d-00155d82e902")</f>
        <v>https://miland.ru/api/getInfo/image/7d144972-9588-11ed-a22d-00155d82e902</v>
      </c>
      <c r="U1301" s="21"/>
      <c r="V1301" s="21" t="s">
        <v>710</v>
      </c>
      <c r="W1301" s="21" t="s">
        <v>82</v>
      </c>
      <c r="X1301" s="21"/>
      <c r="Y1301" s="21" t="s">
        <v>41</v>
      </c>
      <c r="Z1301" s="21"/>
      <c r="AA1301" s="21" t="str">
        <f>HYPERLINK("https://miland.ru/api/getInfo/item/7d144972-9588-11ed-a22d-00155d82e902")</f>
        <v>https://miland.ru/api/getInfo/item/7d144972-9588-11ed-a22d-00155d82e902</v>
      </c>
      <c r="AB1301" s="21" t="s">
        <v>42</v>
      </c>
      <c r="AC1301" s="21"/>
      <c r="AD1301" s="21"/>
    </row>
    <row r="1302" spans="2:30" s="1" customFormat="1" ht="96.3" customHeight="1" outlineLevel="6">
      <c r="B1302" s="20">
        <v>990</v>
      </c>
      <c r="C1302" s="21" t="s">
        <v>4546</v>
      </c>
      <c r="D1302" s="72" t="s">
        <v>4547</v>
      </c>
      <c r="E1302" s="72"/>
      <c r="F1302" s="72"/>
      <c r="G1302" s="72"/>
      <c r="H1302" s="22" t="s">
        <v>4548</v>
      </c>
      <c r="I1302" s="23" t="s">
        <v>36</v>
      </c>
      <c r="J1302" s="22"/>
      <c r="K1302" s="20">
        <v>5</v>
      </c>
      <c r="L1302" s="24">
        <v>136.99</v>
      </c>
      <c r="M1302" s="11"/>
      <c r="N1302" s="22">
        <f t="shared" si="57"/>
        <v>0</v>
      </c>
      <c r="O1302" s="25">
        <f>0.107*M1302</f>
        <v>0</v>
      </c>
      <c r="P1302" s="26">
        <f>0.00007*M1302</f>
        <v>0</v>
      </c>
      <c r="Q1302" s="30"/>
      <c r="R1302" s="22" t="s">
        <v>4549</v>
      </c>
      <c r="S1302" s="22"/>
      <c r="T1302" s="21" t="str">
        <f>HYPERLINK("https://miland.ru/api/getInfo/image/32fa755f-957d-11ed-a22d-00155d82e902")</f>
        <v>https://miland.ru/api/getInfo/image/32fa755f-957d-11ed-a22d-00155d82e902</v>
      </c>
      <c r="U1302" s="21"/>
      <c r="V1302" s="21" t="s">
        <v>710</v>
      </c>
      <c r="W1302" s="21" t="s">
        <v>82</v>
      </c>
      <c r="X1302" s="21"/>
      <c r="Y1302" s="21" t="s">
        <v>41</v>
      </c>
      <c r="Z1302" s="21"/>
      <c r="AA1302" s="21" t="str">
        <f>HYPERLINK("https://miland.ru/api/getInfo/item/32fa755f-957d-11ed-a22d-00155d82e902")</f>
        <v>https://miland.ru/api/getInfo/item/32fa755f-957d-11ed-a22d-00155d82e902</v>
      </c>
      <c r="AB1302" s="21" t="s">
        <v>42</v>
      </c>
      <c r="AC1302" s="21"/>
      <c r="AD1302" s="21"/>
    </row>
    <row r="1303" spans="2:30" s="1" customFormat="1" ht="96.3" customHeight="1" outlineLevel="6">
      <c r="B1303" s="20">
        <v>991</v>
      </c>
      <c r="C1303" s="21" t="s">
        <v>4550</v>
      </c>
      <c r="D1303" s="72" t="s">
        <v>4551</v>
      </c>
      <c r="E1303" s="72"/>
      <c r="F1303" s="72"/>
      <c r="G1303" s="72"/>
      <c r="H1303" s="22" t="s">
        <v>4552</v>
      </c>
      <c r="I1303" s="23" t="s">
        <v>36</v>
      </c>
      <c r="J1303" s="22"/>
      <c r="K1303" s="20">
        <v>2</v>
      </c>
      <c r="L1303" s="24">
        <v>333.35</v>
      </c>
      <c r="M1303" s="11"/>
      <c r="N1303" s="22">
        <f t="shared" si="57"/>
        <v>0</v>
      </c>
      <c r="O1303" s="25">
        <f>0.268*M1303</f>
        <v>0</v>
      </c>
      <c r="P1303" s="26">
        <f>0.00083*M1303</f>
        <v>0</v>
      </c>
      <c r="Q1303" s="30"/>
      <c r="R1303" s="22" t="s">
        <v>4553</v>
      </c>
      <c r="S1303" s="22"/>
      <c r="T1303" s="21" t="str">
        <f>HYPERLINK("https://miland.ru/api/getInfo/image/ebe21114-9578-11ed-a22d-00155d82e902")</f>
        <v>https://miland.ru/api/getInfo/image/ebe21114-9578-11ed-a22d-00155d82e902</v>
      </c>
      <c r="U1303" s="21"/>
      <c r="V1303" s="21" t="s">
        <v>710</v>
      </c>
      <c r="W1303" s="21" t="s">
        <v>82</v>
      </c>
      <c r="X1303" s="21"/>
      <c r="Y1303" s="21" t="s">
        <v>41</v>
      </c>
      <c r="Z1303" s="21"/>
      <c r="AA1303" s="21" t="str">
        <f>HYPERLINK("https://miland.ru/api/getInfo/item/ebe21114-9578-11ed-a22d-00155d82e902")</f>
        <v>https://miland.ru/api/getInfo/item/ebe21114-9578-11ed-a22d-00155d82e902</v>
      </c>
      <c r="AB1303" s="21" t="s">
        <v>42</v>
      </c>
      <c r="AC1303" s="21"/>
      <c r="AD1303" s="21"/>
    </row>
    <row r="1304" spans="2:30" s="1" customFormat="1" ht="96.3" customHeight="1" outlineLevel="6">
      <c r="B1304" s="20">
        <v>992</v>
      </c>
      <c r="C1304" s="21" t="s">
        <v>4554</v>
      </c>
      <c r="D1304" s="72" t="s">
        <v>4555</v>
      </c>
      <c r="E1304" s="72"/>
      <c r="F1304" s="72"/>
      <c r="G1304" s="72"/>
      <c r="H1304" s="22" t="s">
        <v>4556</v>
      </c>
      <c r="I1304" s="23" t="s">
        <v>36</v>
      </c>
      <c r="J1304" s="22"/>
      <c r="K1304" s="20">
        <v>2</v>
      </c>
      <c r="L1304" s="24">
        <v>333.35</v>
      </c>
      <c r="M1304" s="11"/>
      <c r="N1304" s="22">
        <f t="shared" si="57"/>
        <v>0</v>
      </c>
      <c r="O1304" s="25">
        <f>0.312*M1304</f>
        <v>0</v>
      </c>
      <c r="P1304" s="26">
        <f>0.00089*M1304</f>
        <v>0</v>
      </c>
      <c r="Q1304" s="30"/>
      <c r="R1304" s="22" t="s">
        <v>4557</v>
      </c>
      <c r="S1304" s="22"/>
      <c r="T1304" s="21" t="str">
        <f>HYPERLINK("https://miland.ru/api/getInfo/image/8084a744-9583-11ed-a22d-00155d82e902")</f>
        <v>https://miland.ru/api/getInfo/image/8084a744-9583-11ed-a22d-00155d82e902</v>
      </c>
      <c r="U1304" s="21"/>
      <c r="V1304" s="21" t="s">
        <v>710</v>
      </c>
      <c r="W1304" s="21" t="s">
        <v>82</v>
      </c>
      <c r="X1304" s="21"/>
      <c r="Y1304" s="21" t="s">
        <v>41</v>
      </c>
      <c r="Z1304" s="21"/>
      <c r="AA1304" s="21" t="str">
        <f>HYPERLINK("https://miland.ru/api/getInfo/item/8084a744-9583-11ed-a22d-00155d82e902")</f>
        <v>https://miland.ru/api/getInfo/item/8084a744-9583-11ed-a22d-00155d82e902</v>
      </c>
      <c r="AB1304" s="21" t="s">
        <v>42</v>
      </c>
      <c r="AC1304" s="21"/>
      <c r="AD1304" s="21"/>
    </row>
    <row r="1305" spans="2:30" s="1" customFormat="1" ht="96.3" customHeight="1" outlineLevel="6">
      <c r="B1305" s="20">
        <v>993</v>
      </c>
      <c r="C1305" s="21" t="s">
        <v>4558</v>
      </c>
      <c r="D1305" s="72" t="s">
        <v>4559</v>
      </c>
      <c r="E1305" s="72"/>
      <c r="F1305" s="72"/>
      <c r="G1305" s="72"/>
      <c r="H1305" s="22" t="s">
        <v>4560</v>
      </c>
      <c r="I1305" s="23" t="s">
        <v>36</v>
      </c>
      <c r="J1305" s="22"/>
      <c r="K1305" s="20">
        <v>2</v>
      </c>
      <c r="L1305" s="24">
        <v>333.35</v>
      </c>
      <c r="M1305" s="11"/>
      <c r="N1305" s="22">
        <f t="shared" si="57"/>
        <v>0</v>
      </c>
      <c r="O1305" s="25">
        <f>0.266*M1305</f>
        <v>0</v>
      </c>
      <c r="P1305" s="26">
        <f>0.00075*M1305</f>
        <v>0</v>
      </c>
      <c r="Q1305" s="30"/>
      <c r="R1305" s="22" t="s">
        <v>4561</v>
      </c>
      <c r="S1305" s="22"/>
      <c r="T1305" s="21" t="str">
        <f>HYPERLINK("https://miland.ru/api/getInfo/image/24ca64fc-957a-11ed-a22d-00155d82e902")</f>
        <v>https://miland.ru/api/getInfo/image/24ca64fc-957a-11ed-a22d-00155d82e902</v>
      </c>
      <c r="U1305" s="21"/>
      <c r="V1305" s="21" t="s">
        <v>710</v>
      </c>
      <c r="W1305" s="21" t="s">
        <v>82</v>
      </c>
      <c r="X1305" s="21"/>
      <c r="Y1305" s="21" t="s">
        <v>41</v>
      </c>
      <c r="Z1305" s="21"/>
      <c r="AA1305" s="21" t="str">
        <f>HYPERLINK("https://miland.ru/api/getInfo/item/24ca64fc-957a-11ed-a22d-00155d82e902")</f>
        <v>https://miland.ru/api/getInfo/item/24ca64fc-957a-11ed-a22d-00155d82e902</v>
      </c>
      <c r="AB1305" s="21" t="s">
        <v>42</v>
      </c>
      <c r="AC1305" s="21"/>
      <c r="AD1305" s="21"/>
    </row>
    <row r="1306" spans="2:30" s="1" customFormat="1" ht="96.3" customHeight="1" outlineLevel="6">
      <c r="B1306" s="20">
        <v>994</v>
      </c>
      <c r="C1306" s="21" t="s">
        <v>4562</v>
      </c>
      <c r="D1306" s="72" t="s">
        <v>4563</v>
      </c>
      <c r="E1306" s="72"/>
      <c r="F1306" s="72"/>
      <c r="G1306" s="72"/>
      <c r="H1306" s="22" t="s">
        <v>4564</v>
      </c>
      <c r="I1306" s="23" t="s">
        <v>36</v>
      </c>
      <c r="J1306" s="22"/>
      <c r="K1306" s="20">
        <v>1</v>
      </c>
      <c r="L1306" s="24">
        <v>486.66</v>
      </c>
      <c r="M1306" s="11"/>
      <c r="N1306" s="22">
        <f t="shared" si="57"/>
        <v>0</v>
      </c>
      <c r="O1306" s="25">
        <f>0.408*M1306</f>
        <v>0</v>
      </c>
      <c r="P1306" s="26">
        <f>0.00106*M1306</f>
        <v>0</v>
      </c>
      <c r="Q1306" s="30"/>
      <c r="R1306" s="22" t="s">
        <v>4565</v>
      </c>
      <c r="S1306" s="22"/>
      <c r="T1306" s="21" t="str">
        <f>HYPERLINK("https://miland.ru/api/getInfo/image/32891e8f-9586-11ed-a22d-00155d82e902")</f>
        <v>https://miland.ru/api/getInfo/image/32891e8f-9586-11ed-a22d-00155d82e902</v>
      </c>
      <c r="U1306" s="21"/>
      <c r="V1306" s="21" t="s">
        <v>710</v>
      </c>
      <c r="W1306" s="21" t="s">
        <v>82</v>
      </c>
      <c r="X1306" s="21"/>
      <c r="Y1306" s="21" t="s">
        <v>41</v>
      </c>
      <c r="Z1306" s="21"/>
      <c r="AA1306" s="21" t="str">
        <f>HYPERLINK("https://miland.ru/api/getInfo/item/32891e8f-9586-11ed-a22d-00155d82e902")</f>
        <v>https://miland.ru/api/getInfo/item/32891e8f-9586-11ed-a22d-00155d82e902</v>
      </c>
      <c r="AB1306" s="21" t="s">
        <v>42</v>
      </c>
      <c r="AC1306" s="21"/>
      <c r="AD1306" s="21"/>
    </row>
    <row r="1307" spans="2:30" s="1" customFormat="1" ht="96.3" customHeight="1" outlineLevel="6">
      <c r="B1307" s="20">
        <v>995</v>
      </c>
      <c r="C1307" s="21" t="s">
        <v>4566</v>
      </c>
      <c r="D1307" s="72" t="s">
        <v>4567</v>
      </c>
      <c r="E1307" s="72"/>
      <c r="F1307" s="72"/>
      <c r="G1307" s="72"/>
      <c r="H1307" s="22" t="s">
        <v>4568</v>
      </c>
      <c r="I1307" s="23" t="s">
        <v>36</v>
      </c>
      <c r="J1307" s="22"/>
      <c r="K1307" s="20">
        <v>4</v>
      </c>
      <c r="L1307" s="24">
        <v>136.99</v>
      </c>
      <c r="M1307" s="11"/>
      <c r="N1307" s="22">
        <f t="shared" si="57"/>
        <v>0</v>
      </c>
      <c r="O1307" s="25">
        <f>0.094*M1307</f>
        <v>0</v>
      </c>
      <c r="P1307" s="26">
        <f>0.00035*M1307</f>
        <v>0</v>
      </c>
      <c r="Q1307" s="30"/>
      <c r="R1307" s="22" t="s">
        <v>4569</v>
      </c>
      <c r="S1307" s="22"/>
      <c r="T1307" s="21" t="str">
        <f>HYPERLINK("https://miland.ru/api/getInfo/image/e48bc4f7-957d-11ed-a22d-00155d82e902")</f>
        <v>https://miland.ru/api/getInfo/image/e48bc4f7-957d-11ed-a22d-00155d82e902</v>
      </c>
      <c r="U1307" s="21"/>
      <c r="V1307" s="21" t="s">
        <v>710</v>
      </c>
      <c r="W1307" s="21" t="s">
        <v>82</v>
      </c>
      <c r="X1307" s="21"/>
      <c r="Y1307" s="21" t="s">
        <v>41</v>
      </c>
      <c r="Z1307" s="21"/>
      <c r="AA1307" s="21" t="str">
        <f>HYPERLINK("https://miland.ru/api/getInfo/item/e48bc4f7-957d-11ed-a22d-00155d82e902")</f>
        <v>https://miland.ru/api/getInfo/item/e48bc4f7-957d-11ed-a22d-00155d82e902</v>
      </c>
      <c r="AB1307" s="21" t="s">
        <v>42</v>
      </c>
      <c r="AC1307" s="21"/>
      <c r="AD1307" s="21"/>
    </row>
    <row r="1308" spans="2:30" s="1" customFormat="1" ht="96.3" customHeight="1" outlineLevel="6">
      <c r="B1308" s="20">
        <v>996</v>
      </c>
      <c r="C1308" s="21" t="s">
        <v>4570</v>
      </c>
      <c r="D1308" s="72" t="s">
        <v>4571</v>
      </c>
      <c r="E1308" s="72"/>
      <c r="F1308" s="72"/>
      <c r="G1308" s="72"/>
      <c r="H1308" s="22" t="s">
        <v>4572</v>
      </c>
      <c r="I1308" s="23" t="s">
        <v>36</v>
      </c>
      <c r="J1308" s="22"/>
      <c r="K1308" s="20">
        <v>3</v>
      </c>
      <c r="L1308" s="24">
        <v>212.34</v>
      </c>
      <c r="M1308" s="11"/>
      <c r="N1308" s="22">
        <f t="shared" si="57"/>
        <v>0</v>
      </c>
      <c r="O1308" s="25">
        <f>0.172*M1308</f>
        <v>0</v>
      </c>
      <c r="P1308" s="26">
        <f>0.00051*M1308</f>
        <v>0</v>
      </c>
      <c r="Q1308" s="30"/>
      <c r="R1308" s="22" t="s">
        <v>4573</v>
      </c>
      <c r="S1308" s="22"/>
      <c r="T1308" s="21" t="str">
        <f>HYPERLINK("https://miland.ru/api/getInfo/image/55a8cf56-9581-11ed-a22d-00155d82e902")</f>
        <v>https://miland.ru/api/getInfo/image/55a8cf56-9581-11ed-a22d-00155d82e902</v>
      </c>
      <c r="U1308" s="21"/>
      <c r="V1308" s="21" t="s">
        <v>710</v>
      </c>
      <c r="W1308" s="21" t="s">
        <v>82</v>
      </c>
      <c r="X1308" s="21"/>
      <c r="Y1308" s="21" t="s">
        <v>41</v>
      </c>
      <c r="Z1308" s="21"/>
      <c r="AA1308" s="21" t="str">
        <f>HYPERLINK("https://miland.ru/api/getInfo/item/55a8cf56-9581-11ed-a22d-00155d82e902")</f>
        <v>https://miland.ru/api/getInfo/item/55a8cf56-9581-11ed-a22d-00155d82e902</v>
      </c>
      <c r="AB1308" s="21" t="s">
        <v>42</v>
      </c>
      <c r="AC1308" s="21"/>
      <c r="AD1308" s="21"/>
    </row>
    <row r="1309" spans="2:30" s="1" customFormat="1" ht="96.3" customHeight="1" outlineLevel="6">
      <c r="B1309" s="20">
        <v>997</v>
      </c>
      <c r="C1309" s="21" t="s">
        <v>4574</v>
      </c>
      <c r="D1309" s="72" t="s">
        <v>4575</v>
      </c>
      <c r="E1309" s="72"/>
      <c r="F1309" s="72"/>
      <c r="G1309" s="72"/>
      <c r="H1309" s="22" t="s">
        <v>4576</v>
      </c>
      <c r="I1309" s="23" t="s">
        <v>36</v>
      </c>
      <c r="J1309" s="22"/>
      <c r="K1309" s="20">
        <v>2</v>
      </c>
      <c r="L1309" s="24">
        <v>333.35</v>
      </c>
      <c r="M1309" s="11"/>
      <c r="N1309" s="22">
        <f t="shared" si="57"/>
        <v>0</v>
      </c>
      <c r="O1309" s="25">
        <f>0.316*M1309</f>
        <v>0</v>
      </c>
      <c r="P1309" s="26">
        <f>0.00131*M1309</f>
        <v>0</v>
      </c>
      <c r="Q1309" s="30"/>
      <c r="R1309" s="22" t="s">
        <v>4577</v>
      </c>
      <c r="S1309" s="22"/>
      <c r="T1309" s="21" t="str">
        <f>HYPERLINK("https://miland.ru/api/getInfo/image/16a925fc-9584-11ed-a22d-00155d82e902")</f>
        <v>https://miland.ru/api/getInfo/image/16a925fc-9584-11ed-a22d-00155d82e902</v>
      </c>
      <c r="U1309" s="21"/>
      <c r="V1309" s="21" t="s">
        <v>710</v>
      </c>
      <c r="W1309" s="21" t="s">
        <v>82</v>
      </c>
      <c r="X1309" s="21"/>
      <c r="Y1309" s="21" t="s">
        <v>41</v>
      </c>
      <c r="Z1309" s="21"/>
      <c r="AA1309" s="21" t="str">
        <f>HYPERLINK("https://miland.ru/api/getInfo/item/16a925fc-9584-11ed-a22d-00155d82e902")</f>
        <v>https://miland.ru/api/getInfo/item/16a925fc-9584-11ed-a22d-00155d82e902</v>
      </c>
      <c r="AB1309" s="21" t="s">
        <v>42</v>
      </c>
      <c r="AC1309" s="21"/>
      <c r="AD1309" s="21"/>
    </row>
    <row r="1310" spans="2:30" s="1" customFormat="1" ht="96.3" customHeight="1" outlineLevel="6">
      <c r="B1310" s="20">
        <v>998</v>
      </c>
      <c r="C1310" s="21" t="s">
        <v>4578</v>
      </c>
      <c r="D1310" s="72" t="s">
        <v>4579</v>
      </c>
      <c r="E1310" s="72"/>
      <c r="F1310" s="72"/>
      <c r="G1310" s="72"/>
      <c r="H1310" s="22" t="s">
        <v>4580</v>
      </c>
      <c r="I1310" s="23" t="s">
        <v>36</v>
      </c>
      <c r="J1310" s="22"/>
      <c r="K1310" s="20">
        <v>1</v>
      </c>
      <c r="L1310" s="24">
        <v>486.66</v>
      </c>
      <c r="M1310" s="11"/>
      <c r="N1310" s="22">
        <f t="shared" si="57"/>
        <v>0</v>
      </c>
      <c r="O1310" s="25">
        <f>0.444*M1310</f>
        <v>0</v>
      </c>
      <c r="P1310" s="26">
        <f>0.00111*M1310</f>
        <v>0</v>
      </c>
      <c r="Q1310" s="30"/>
      <c r="R1310" s="22" t="s">
        <v>4581</v>
      </c>
      <c r="S1310" s="22"/>
      <c r="T1310" s="21" t="str">
        <f>HYPERLINK("https://miland.ru/api/getInfo/image/3c9dbca3-9587-11ed-a22d-00155d82e902")</f>
        <v>https://miland.ru/api/getInfo/image/3c9dbca3-9587-11ed-a22d-00155d82e902</v>
      </c>
      <c r="U1310" s="21"/>
      <c r="V1310" s="21" t="s">
        <v>710</v>
      </c>
      <c r="W1310" s="21" t="s">
        <v>82</v>
      </c>
      <c r="X1310" s="21"/>
      <c r="Y1310" s="21" t="s">
        <v>41</v>
      </c>
      <c r="Z1310" s="21"/>
      <c r="AA1310" s="21" t="str">
        <f>HYPERLINK("https://miland.ru/api/getInfo/item/3c9dbca3-9587-11ed-a22d-00155d82e902")</f>
        <v>https://miland.ru/api/getInfo/item/3c9dbca3-9587-11ed-a22d-00155d82e902</v>
      </c>
      <c r="AB1310" s="21" t="s">
        <v>42</v>
      </c>
      <c r="AC1310" s="21"/>
      <c r="AD1310" s="21"/>
    </row>
    <row r="1311" spans="2:30" s="1" customFormat="1" ht="96.3" customHeight="1" outlineLevel="6">
      <c r="B1311" s="20">
        <v>999</v>
      </c>
      <c r="C1311" s="21" t="s">
        <v>4582</v>
      </c>
      <c r="D1311" s="72" t="s">
        <v>4583</v>
      </c>
      <c r="E1311" s="72"/>
      <c r="F1311" s="72"/>
      <c r="G1311" s="72"/>
      <c r="H1311" s="22" t="s">
        <v>4584</v>
      </c>
      <c r="I1311" s="23" t="s">
        <v>36</v>
      </c>
      <c r="J1311" s="22"/>
      <c r="K1311" s="20">
        <v>2</v>
      </c>
      <c r="L1311" s="24">
        <v>269.89</v>
      </c>
      <c r="M1311" s="11"/>
      <c r="N1311" s="22">
        <f t="shared" si="57"/>
        <v>0</v>
      </c>
      <c r="O1311" s="25">
        <f>0.055*M1311</f>
        <v>0</v>
      </c>
      <c r="P1311" s="26">
        <f>0.00034*M1311</f>
        <v>0</v>
      </c>
      <c r="Q1311" s="30"/>
      <c r="R1311" s="22" t="s">
        <v>4585</v>
      </c>
      <c r="S1311" s="22"/>
      <c r="T1311" s="21" t="str">
        <f>HYPERLINK("https://miland.ru/api/getInfo/image/ea791b88-9588-11ed-a22d-00155d82e902")</f>
        <v>https://miland.ru/api/getInfo/image/ea791b88-9588-11ed-a22d-00155d82e902</v>
      </c>
      <c r="U1311" s="21"/>
      <c r="V1311" s="21" t="s">
        <v>710</v>
      </c>
      <c r="W1311" s="21" t="s">
        <v>82</v>
      </c>
      <c r="X1311" s="21"/>
      <c r="Y1311" s="21" t="s">
        <v>41</v>
      </c>
      <c r="Z1311" s="21"/>
      <c r="AA1311" s="21" t="str">
        <f>HYPERLINK("https://miland.ru/api/getInfo/item/ea791b88-9588-11ed-a22d-00155d82e902")</f>
        <v>https://miland.ru/api/getInfo/item/ea791b88-9588-11ed-a22d-00155d82e902</v>
      </c>
      <c r="AB1311" s="21" t="s">
        <v>42</v>
      </c>
      <c r="AC1311" s="21"/>
      <c r="AD1311" s="21"/>
    </row>
    <row r="1312" spans="2:30" s="1" customFormat="1" ht="96.3" customHeight="1" outlineLevel="6">
      <c r="B1312" s="57">
        <v>1000</v>
      </c>
      <c r="C1312" s="21" t="s">
        <v>4586</v>
      </c>
      <c r="D1312" s="72" t="s">
        <v>4587</v>
      </c>
      <c r="E1312" s="72"/>
      <c r="F1312" s="72"/>
      <c r="G1312" s="72"/>
      <c r="H1312" s="22" t="s">
        <v>4588</v>
      </c>
      <c r="I1312" s="23" t="s">
        <v>36</v>
      </c>
      <c r="J1312" s="22"/>
      <c r="K1312" s="20">
        <v>4</v>
      </c>
      <c r="L1312" s="24">
        <v>136.99</v>
      </c>
      <c r="M1312" s="11"/>
      <c r="N1312" s="22">
        <f t="shared" si="57"/>
        <v>0</v>
      </c>
      <c r="O1312" s="33">
        <f>0.1*M1312</f>
        <v>0</v>
      </c>
      <c r="P1312" s="26">
        <f>0.00046*M1312</f>
        <v>0</v>
      </c>
      <c r="Q1312" s="30"/>
      <c r="R1312" s="22" t="s">
        <v>4589</v>
      </c>
      <c r="S1312" s="22"/>
      <c r="T1312" s="21" t="str">
        <f>HYPERLINK("https://miland.ru/api/getInfo/image/3536c6f7-957f-11ed-a22d-00155d82e902")</f>
        <v>https://miland.ru/api/getInfo/image/3536c6f7-957f-11ed-a22d-00155d82e902</v>
      </c>
      <c r="U1312" s="21"/>
      <c r="V1312" s="21" t="s">
        <v>710</v>
      </c>
      <c r="W1312" s="21" t="s">
        <v>82</v>
      </c>
      <c r="X1312" s="21"/>
      <c r="Y1312" s="21" t="s">
        <v>41</v>
      </c>
      <c r="Z1312" s="21"/>
      <c r="AA1312" s="21" t="str">
        <f>HYPERLINK("https://miland.ru/api/getInfo/item/3536c6f7-957f-11ed-a22d-00155d82e902")</f>
        <v>https://miland.ru/api/getInfo/item/3536c6f7-957f-11ed-a22d-00155d82e902</v>
      </c>
      <c r="AB1312" s="21" t="s">
        <v>42</v>
      </c>
      <c r="AC1312" s="21"/>
      <c r="AD1312" s="21"/>
    </row>
    <row r="1313" spans="2:30" s="1" customFormat="1" ht="96.3" customHeight="1" outlineLevel="6">
      <c r="B1313" s="57">
        <v>1001</v>
      </c>
      <c r="C1313" s="21" t="s">
        <v>4590</v>
      </c>
      <c r="D1313" s="72" t="s">
        <v>4591</v>
      </c>
      <c r="E1313" s="72"/>
      <c r="F1313" s="72"/>
      <c r="G1313" s="72"/>
      <c r="H1313" s="22" t="s">
        <v>4592</v>
      </c>
      <c r="I1313" s="23" t="s">
        <v>36</v>
      </c>
      <c r="J1313" s="22"/>
      <c r="K1313" s="20">
        <v>3</v>
      </c>
      <c r="L1313" s="24">
        <v>212.34</v>
      </c>
      <c r="M1313" s="11"/>
      <c r="N1313" s="22">
        <f t="shared" si="57"/>
        <v>0</v>
      </c>
      <c r="O1313" s="25">
        <f>0.179*M1313</f>
        <v>0</v>
      </c>
      <c r="P1313" s="26">
        <f>0.00053*M1313</f>
        <v>0</v>
      </c>
      <c r="Q1313" s="30"/>
      <c r="R1313" s="22" t="s">
        <v>4593</v>
      </c>
      <c r="S1313" s="22"/>
      <c r="T1313" s="21" t="str">
        <f>HYPERLINK("https://miland.ru/api/getInfo/image/ef3521af-9581-11ed-a22d-00155d82e902")</f>
        <v>https://miland.ru/api/getInfo/image/ef3521af-9581-11ed-a22d-00155d82e902</v>
      </c>
      <c r="U1313" s="21"/>
      <c r="V1313" s="21" t="s">
        <v>710</v>
      </c>
      <c r="W1313" s="21" t="s">
        <v>82</v>
      </c>
      <c r="X1313" s="21"/>
      <c r="Y1313" s="21" t="s">
        <v>41</v>
      </c>
      <c r="Z1313" s="21"/>
      <c r="AA1313" s="21" t="str">
        <f>HYPERLINK("https://miland.ru/api/getInfo/item/ef3521af-9581-11ed-a22d-00155d82e902")</f>
        <v>https://miland.ru/api/getInfo/item/ef3521af-9581-11ed-a22d-00155d82e902</v>
      </c>
      <c r="AB1313" s="21" t="s">
        <v>42</v>
      </c>
      <c r="AC1313" s="21"/>
      <c r="AD1313" s="21"/>
    </row>
    <row r="1314" spans="2:30" s="1" customFormat="1" ht="96.3" customHeight="1" outlineLevel="6">
      <c r="B1314" s="57">
        <v>1002</v>
      </c>
      <c r="C1314" s="21" t="s">
        <v>4594</v>
      </c>
      <c r="D1314" s="72" t="s">
        <v>4595</v>
      </c>
      <c r="E1314" s="72"/>
      <c r="F1314" s="72"/>
      <c r="G1314" s="72"/>
      <c r="H1314" s="22" t="s">
        <v>4596</v>
      </c>
      <c r="I1314" s="23" t="s">
        <v>36</v>
      </c>
      <c r="J1314" s="22"/>
      <c r="K1314" s="20">
        <v>2</v>
      </c>
      <c r="L1314" s="24">
        <v>333.35</v>
      </c>
      <c r="M1314" s="11"/>
      <c r="N1314" s="22">
        <f t="shared" si="57"/>
        <v>0</v>
      </c>
      <c r="O1314" s="25">
        <f>0.299*M1314</f>
        <v>0</v>
      </c>
      <c r="P1314" s="26">
        <f>0.00101*M1314</f>
        <v>0</v>
      </c>
      <c r="Q1314" s="30"/>
      <c r="R1314" s="22" t="s">
        <v>4597</v>
      </c>
      <c r="S1314" s="22"/>
      <c r="T1314" s="21" t="str">
        <f>HYPERLINK("https://miland.ru/api/getInfo/image/9c6fd07b-9584-11ed-a22d-00155d82e902")</f>
        <v>https://miland.ru/api/getInfo/image/9c6fd07b-9584-11ed-a22d-00155d82e902</v>
      </c>
      <c r="U1314" s="21"/>
      <c r="V1314" s="21" t="s">
        <v>710</v>
      </c>
      <c r="W1314" s="21" t="s">
        <v>82</v>
      </c>
      <c r="X1314" s="21"/>
      <c r="Y1314" s="21" t="s">
        <v>41</v>
      </c>
      <c r="Z1314" s="21"/>
      <c r="AA1314" s="21" t="str">
        <f>HYPERLINK("https://miland.ru/api/getInfo/item/9c6fd07b-9584-11ed-a22d-00155d82e902")</f>
        <v>https://miland.ru/api/getInfo/item/9c6fd07b-9584-11ed-a22d-00155d82e902</v>
      </c>
      <c r="AB1314" s="21" t="s">
        <v>42</v>
      </c>
      <c r="AC1314" s="21"/>
      <c r="AD1314" s="21"/>
    </row>
    <row r="1315" spans="2:30" s="1" customFormat="1" ht="96.3" customHeight="1" outlineLevel="6">
      <c r="B1315" s="57">
        <v>1003</v>
      </c>
      <c r="C1315" s="21" t="s">
        <v>4598</v>
      </c>
      <c r="D1315" s="72" t="s">
        <v>4599</v>
      </c>
      <c r="E1315" s="72"/>
      <c r="F1315" s="72"/>
      <c r="G1315" s="72"/>
      <c r="H1315" s="22" t="s">
        <v>4600</v>
      </c>
      <c r="I1315" s="23" t="s">
        <v>36</v>
      </c>
      <c r="J1315" s="22"/>
      <c r="K1315" s="20">
        <v>2</v>
      </c>
      <c r="L1315" s="24">
        <v>333.35</v>
      </c>
      <c r="M1315" s="11"/>
      <c r="N1315" s="22">
        <f t="shared" si="57"/>
        <v>0</v>
      </c>
      <c r="O1315" s="28">
        <f>0.26*M1315</f>
        <v>0</v>
      </c>
      <c r="P1315" s="26">
        <f>0.00089*M1315</f>
        <v>0</v>
      </c>
      <c r="Q1315" s="30"/>
      <c r="R1315" s="22" t="s">
        <v>4601</v>
      </c>
      <c r="S1315" s="22"/>
      <c r="T1315" s="21" t="str">
        <f>HYPERLINK("https://miland.ru/api/getInfo/image/33fbf192-957b-11ed-a22d-00155d82e902")</f>
        <v>https://miland.ru/api/getInfo/image/33fbf192-957b-11ed-a22d-00155d82e902</v>
      </c>
      <c r="U1315" s="21"/>
      <c r="V1315" s="21" t="s">
        <v>710</v>
      </c>
      <c r="W1315" s="21" t="s">
        <v>82</v>
      </c>
      <c r="X1315" s="21"/>
      <c r="Y1315" s="21" t="s">
        <v>41</v>
      </c>
      <c r="Z1315" s="21"/>
      <c r="AA1315" s="21" t="str">
        <f>HYPERLINK("https://miland.ru/api/getInfo/item/33fbf192-957b-11ed-a22d-00155d82e902")</f>
        <v>https://miland.ru/api/getInfo/item/33fbf192-957b-11ed-a22d-00155d82e902</v>
      </c>
      <c r="AB1315" s="21" t="s">
        <v>42</v>
      </c>
      <c r="AC1315" s="21"/>
      <c r="AD1315" s="21"/>
    </row>
    <row r="1316" spans="2:30" s="1" customFormat="1" ht="96.3" customHeight="1" outlineLevel="6">
      <c r="B1316" s="57">
        <v>1004</v>
      </c>
      <c r="C1316" s="21" t="s">
        <v>4602</v>
      </c>
      <c r="D1316" s="72" t="s">
        <v>4603</v>
      </c>
      <c r="E1316" s="72"/>
      <c r="F1316" s="72"/>
      <c r="G1316" s="72"/>
      <c r="H1316" s="22" t="s">
        <v>4604</v>
      </c>
      <c r="I1316" s="27">
        <v>59</v>
      </c>
      <c r="J1316" s="22"/>
      <c r="K1316" s="20">
        <v>1</v>
      </c>
      <c r="L1316" s="24">
        <v>486.66</v>
      </c>
      <c r="M1316" s="11"/>
      <c r="N1316" s="22">
        <f t="shared" si="57"/>
        <v>0</v>
      </c>
      <c r="O1316" s="25">
        <f>0.474*M1316</f>
        <v>0</v>
      </c>
      <c r="P1316" s="26">
        <f>0.00146*M1316</f>
        <v>0</v>
      </c>
      <c r="Q1316" s="30"/>
      <c r="R1316" s="22" t="s">
        <v>4605</v>
      </c>
      <c r="S1316" s="22" t="s">
        <v>435</v>
      </c>
      <c r="T1316" s="21" t="str">
        <f>HYPERLINK("https://miland.ru/api/getInfo/image/b604004a-9587-11ed-a22d-00155d82e902")</f>
        <v>https://miland.ru/api/getInfo/image/b604004a-9587-11ed-a22d-00155d82e902</v>
      </c>
      <c r="U1316" s="21"/>
      <c r="V1316" s="21" t="s">
        <v>710</v>
      </c>
      <c r="W1316" s="21" t="s">
        <v>82</v>
      </c>
      <c r="X1316" s="21"/>
      <c r="Y1316" s="21" t="s">
        <v>41</v>
      </c>
      <c r="Z1316" s="21"/>
      <c r="AA1316" s="21" t="str">
        <f>HYPERLINK("https://miland.ru/api/getInfo/item/b604004a-9587-11ed-a22d-00155d82e902")</f>
        <v>https://miland.ru/api/getInfo/item/b604004a-9587-11ed-a22d-00155d82e902</v>
      </c>
      <c r="AB1316" s="21" t="s">
        <v>42</v>
      </c>
      <c r="AC1316" s="21"/>
      <c r="AD1316" s="21"/>
    </row>
    <row r="1317" spans="2:30" s="1" customFormat="1" ht="96.3" customHeight="1" outlineLevel="6">
      <c r="B1317" s="57">
        <v>1005</v>
      </c>
      <c r="C1317" s="21" t="s">
        <v>4606</v>
      </c>
      <c r="D1317" s="72" t="s">
        <v>4607</v>
      </c>
      <c r="E1317" s="72"/>
      <c r="F1317" s="72"/>
      <c r="G1317" s="72"/>
      <c r="H1317" s="22" t="s">
        <v>4608</v>
      </c>
      <c r="I1317" s="23" t="s">
        <v>36</v>
      </c>
      <c r="J1317" s="22"/>
      <c r="K1317" s="20">
        <v>4</v>
      </c>
      <c r="L1317" s="24">
        <v>136.99</v>
      </c>
      <c r="M1317" s="11"/>
      <c r="N1317" s="22">
        <f t="shared" si="57"/>
        <v>0</v>
      </c>
      <c r="O1317" s="25">
        <f>0.109*M1317</f>
        <v>0</v>
      </c>
      <c r="P1317" s="29">
        <f>0.0005*M1317</f>
        <v>0</v>
      </c>
      <c r="Q1317" s="30"/>
      <c r="R1317" s="22" t="s">
        <v>4609</v>
      </c>
      <c r="S1317" s="22"/>
      <c r="T1317" s="21" t="str">
        <f>HYPERLINK("https://miland.ru/api/getInfo/image/34dd1df2-9580-11ed-a22d-00155d82e902")</f>
        <v>https://miland.ru/api/getInfo/image/34dd1df2-9580-11ed-a22d-00155d82e902</v>
      </c>
      <c r="U1317" s="21"/>
      <c r="V1317" s="21" t="s">
        <v>710</v>
      </c>
      <c r="W1317" s="21" t="s">
        <v>82</v>
      </c>
      <c r="X1317" s="21"/>
      <c r="Y1317" s="21" t="s">
        <v>41</v>
      </c>
      <c r="Z1317" s="21"/>
      <c r="AA1317" s="21" t="str">
        <f>HYPERLINK("https://miland.ru/api/getInfo/item/34dd1df2-9580-11ed-a22d-00155d82e902")</f>
        <v>https://miland.ru/api/getInfo/item/34dd1df2-9580-11ed-a22d-00155d82e902</v>
      </c>
      <c r="AB1317" s="21" t="s">
        <v>42</v>
      </c>
      <c r="AC1317" s="21"/>
      <c r="AD1317" s="21"/>
    </row>
    <row r="1318" spans="2:30" s="1" customFormat="1" ht="96.3" customHeight="1" outlineLevel="6">
      <c r="B1318" s="57">
        <v>1006</v>
      </c>
      <c r="C1318" s="21" t="s">
        <v>4610</v>
      </c>
      <c r="D1318" s="72" t="s">
        <v>4611</v>
      </c>
      <c r="E1318" s="72"/>
      <c r="F1318" s="72"/>
      <c r="G1318" s="72"/>
      <c r="H1318" s="22" t="s">
        <v>4612</v>
      </c>
      <c r="I1318" s="23" t="s">
        <v>36</v>
      </c>
      <c r="J1318" s="22"/>
      <c r="K1318" s="20">
        <v>3</v>
      </c>
      <c r="L1318" s="24">
        <v>212.34</v>
      </c>
      <c r="M1318" s="11"/>
      <c r="N1318" s="22">
        <f t="shared" si="57"/>
        <v>0</v>
      </c>
      <c r="O1318" s="25">
        <f>0.191*M1318</f>
        <v>0</v>
      </c>
      <c r="P1318" s="26">
        <f>0.00054*M1318</f>
        <v>0</v>
      </c>
      <c r="Q1318" s="30"/>
      <c r="R1318" s="22" t="s">
        <v>4613</v>
      </c>
      <c r="S1318" s="22"/>
      <c r="T1318" s="21" t="str">
        <f>HYPERLINK("https://miland.ru/api/getInfo/image/702feec3-9582-11ed-a22d-00155d82e902")</f>
        <v>https://miland.ru/api/getInfo/image/702feec3-9582-11ed-a22d-00155d82e902</v>
      </c>
      <c r="U1318" s="21"/>
      <c r="V1318" s="21" t="s">
        <v>710</v>
      </c>
      <c r="W1318" s="21" t="s">
        <v>82</v>
      </c>
      <c r="X1318" s="21"/>
      <c r="Y1318" s="21" t="s">
        <v>41</v>
      </c>
      <c r="Z1318" s="21"/>
      <c r="AA1318" s="21" t="str">
        <f>HYPERLINK("https://miland.ru/api/getInfo/item/702feec3-9582-11ed-a22d-00155d82e902")</f>
        <v>https://miland.ru/api/getInfo/item/702feec3-9582-11ed-a22d-00155d82e902</v>
      </c>
      <c r="AB1318" s="21" t="s">
        <v>42</v>
      </c>
      <c r="AC1318" s="21"/>
      <c r="AD1318" s="21"/>
    </row>
    <row r="1319" spans="2:30" s="1" customFormat="1" ht="96.3" customHeight="1" outlineLevel="6">
      <c r="B1319" s="57">
        <v>1007</v>
      </c>
      <c r="C1319" s="21" t="s">
        <v>4614</v>
      </c>
      <c r="D1319" s="72" t="s">
        <v>4615</v>
      </c>
      <c r="E1319" s="72"/>
      <c r="F1319" s="72"/>
      <c r="G1319" s="72"/>
      <c r="H1319" s="22" t="s">
        <v>4616</v>
      </c>
      <c r="I1319" s="23" t="s">
        <v>36</v>
      </c>
      <c r="J1319" s="22"/>
      <c r="K1319" s="20">
        <v>2</v>
      </c>
      <c r="L1319" s="24">
        <v>333.35</v>
      </c>
      <c r="M1319" s="11"/>
      <c r="N1319" s="22">
        <f t="shared" si="57"/>
        <v>0</v>
      </c>
      <c r="O1319" s="25">
        <f>0.322*M1319</f>
        <v>0</v>
      </c>
      <c r="P1319" s="26">
        <f>0.00094*M1319</f>
        <v>0</v>
      </c>
      <c r="Q1319" s="30"/>
      <c r="R1319" s="22" t="s">
        <v>4617</v>
      </c>
      <c r="S1319" s="22"/>
      <c r="T1319" s="21" t="str">
        <f>HYPERLINK("https://miland.ru/api/getInfo/image/3bd027d8-957c-11ed-a22d-00155d82e902")</f>
        <v>https://miland.ru/api/getInfo/image/3bd027d8-957c-11ed-a22d-00155d82e902</v>
      </c>
      <c r="U1319" s="21"/>
      <c r="V1319" s="21" t="s">
        <v>710</v>
      </c>
      <c r="W1319" s="21" t="s">
        <v>82</v>
      </c>
      <c r="X1319" s="21"/>
      <c r="Y1319" s="21" t="s">
        <v>41</v>
      </c>
      <c r="Z1319" s="21"/>
      <c r="AA1319" s="21" t="str">
        <f>HYPERLINK("https://miland.ru/api/getInfo/item/3bd027d8-957c-11ed-a22d-00155d82e902")</f>
        <v>https://miland.ru/api/getInfo/item/3bd027d8-957c-11ed-a22d-00155d82e902</v>
      </c>
      <c r="AB1319" s="21" t="s">
        <v>42</v>
      </c>
      <c r="AC1319" s="21"/>
      <c r="AD1319" s="21"/>
    </row>
    <row r="1320" spans="2:30" s="1" customFormat="1" ht="96.3" customHeight="1" outlineLevel="6">
      <c r="B1320" s="57">
        <v>1008</v>
      </c>
      <c r="C1320" s="21" t="s">
        <v>4618</v>
      </c>
      <c r="D1320" s="72" t="s">
        <v>4619</v>
      </c>
      <c r="E1320" s="72"/>
      <c r="F1320" s="72"/>
      <c r="G1320" s="72"/>
      <c r="H1320" s="22" t="s">
        <v>4620</v>
      </c>
      <c r="I1320" s="23" t="s">
        <v>36</v>
      </c>
      <c r="J1320" s="22"/>
      <c r="K1320" s="20">
        <v>2</v>
      </c>
      <c r="L1320" s="24">
        <v>333.35</v>
      </c>
      <c r="M1320" s="11"/>
      <c r="N1320" s="22">
        <f t="shared" si="57"/>
        <v>0</v>
      </c>
      <c r="O1320" s="25">
        <f>0.326*M1320</f>
        <v>0</v>
      </c>
      <c r="P1320" s="26">
        <f>0.00079*M1320</f>
        <v>0</v>
      </c>
      <c r="Q1320" s="30"/>
      <c r="R1320" s="22" t="s">
        <v>4621</v>
      </c>
      <c r="S1320" s="22"/>
      <c r="T1320" s="21" t="str">
        <f>HYPERLINK("https://miland.ru/api/getInfo/image/f915e28b-9584-11ed-a22d-00155d82e902")</f>
        <v>https://miland.ru/api/getInfo/image/f915e28b-9584-11ed-a22d-00155d82e902</v>
      </c>
      <c r="U1320" s="21"/>
      <c r="V1320" s="21" t="s">
        <v>710</v>
      </c>
      <c r="W1320" s="21" t="s">
        <v>82</v>
      </c>
      <c r="X1320" s="21"/>
      <c r="Y1320" s="21" t="s">
        <v>41</v>
      </c>
      <c r="Z1320" s="21"/>
      <c r="AA1320" s="21" t="str">
        <f>HYPERLINK("https://miland.ru/api/getInfo/item/f915e28b-9584-11ed-a22d-00155d82e902")</f>
        <v>https://miland.ru/api/getInfo/item/f915e28b-9584-11ed-a22d-00155d82e902</v>
      </c>
      <c r="AB1320" s="21" t="s">
        <v>42</v>
      </c>
      <c r="AC1320" s="21"/>
      <c r="AD1320" s="21"/>
    </row>
    <row r="1321" spans="2:30" ht="12" customHeight="1" outlineLevel="4">
      <c r="B1321" s="70" t="s">
        <v>4622</v>
      </c>
      <c r="C1321" s="70"/>
      <c r="D1321" s="70"/>
      <c r="E1321" s="70"/>
      <c r="F1321" s="70"/>
      <c r="G1321" s="70"/>
    </row>
    <row r="1322" spans="2:30" s="1" customFormat="1" ht="96.3" customHeight="1" outlineLevel="5">
      <c r="B1322" s="57">
        <v>1009</v>
      </c>
      <c r="C1322" s="21" t="s">
        <v>4623</v>
      </c>
      <c r="D1322" s="72" t="s">
        <v>4624</v>
      </c>
      <c r="E1322" s="72"/>
      <c r="F1322" s="72"/>
      <c r="G1322" s="72"/>
      <c r="H1322" s="22" t="s">
        <v>4625</v>
      </c>
      <c r="I1322" s="23" t="s">
        <v>36</v>
      </c>
      <c r="J1322" s="22"/>
      <c r="K1322" s="20">
        <v>10</v>
      </c>
      <c r="L1322" s="24">
        <v>85.3</v>
      </c>
      <c r="M1322" s="11"/>
      <c r="N1322" s="22">
        <f>L1322*M1322</f>
        <v>0</v>
      </c>
      <c r="O1322" s="25">
        <f>0.026*M1322</f>
        <v>0</v>
      </c>
      <c r="P1322" s="26">
        <f>0.00026*M1322</f>
        <v>0</v>
      </c>
      <c r="Q1322" s="30"/>
      <c r="R1322" s="22" t="s">
        <v>4626</v>
      </c>
      <c r="S1322" s="22"/>
      <c r="T1322" s="21" t="str">
        <f>HYPERLINK("https://miland.ru/api/getInfo/image/6ff9afe3-b8d9-11ed-a230-00155d82e902")</f>
        <v>https://miland.ru/api/getInfo/image/6ff9afe3-b8d9-11ed-a230-00155d82e902</v>
      </c>
      <c r="U1322" s="21"/>
      <c r="V1322" s="21" t="s">
        <v>4627</v>
      </c>
      <c r="W1322" s="21" t="s">
        <v>4628</v>
      </c>
      <c r="X1322" s="21"/>
      <c r="Y1322" s="21" t="s">
        <v>41</v>
      </c>
      <c r="Z1322" s="21"/>
      <c r="AA1322" s="21" t="str">
        <f>HYPERLINK("https://miland.ru/api/getInfo/item/6ff9afe3-b8d9-11ed-a230-00155d82e902")</f>
        <v>https://miland.ru/api/getInfo/item/6ff9afe3-b8d9-11ed-a230-00155d82e902</v>
      </c>
      <c r="AB1322" s="21" t="s">
        <v>42</v>
      </c>
      <c r="AC1322" s="21"/>
      <c r="AD1322" s="21"/>
    </row>
    <row r="1323" spans="2:30" ht="12" customHeight="1" outlineLevel="4">
      <c r="B1323" s="70" t="s">
        <v>4629</v>
      </c>
      <c r="C1323" s="70"/>
      <c r="D1323" s="70"/>
      <c r="E1323" s="70"/>
      <c r="F1323" s="70"/>
      <c r="G1323" s="70"/>
    </row>
    <row r="1324" spans="2:30" ht="12" customHeight="1" outlineLevel="5">
      <c r="B1324" s="70" t="s">
        <v>4630</v>
      </c>
      <c r="C1324" s="70"/>
      <c r="D1324" s="70"/>
      <c r="E1324" s="70"/>
      <c r="F1324" s="70"/>
      <c r="G1324" s="70"/>
    </row>
    <row r="1325" spans="2:30" s="1" customFormat="1" ht="96.3" customHeight="1" outlineLevel="6">
      <c r="B1325" s="57">
        <v>1010</v>
      </c>
      <c r="C1325" s="21" t="s">
        <v>4631</v>
      </c>
      <c r="D1325" s="72" t="s">
        <v>4632</v>
      </c>
      <c r="E1325" s="72"/>
      <c r="F1325" s="72"/>
      <c r="G1325" s="72"/>
      <c r="H1325" s="22" t="s">
        <v>4633</v>
      </c>
      <c r="I1325" s="27">
        <v>254</v>
      </c>
      <c r="J1325" s="22"/>
      <c r="K1325" s="20">
        <v>3</v>
      </c>
      <c r="L1325" s="24">
        <v>182.45</v>
      </c>
      <c r="M1325" s="11"/>
      <c r="N1325" s="22">
        <f>L1325*M1325</f>
        <v>0</v>
      </c>
      <c r="O1325" s="28">
        <f>0.05*M1325</f>
        <v>0</v>
      </c>
      <c r="P1325" s="26">
        <f>0.00248*M1325</f>
        <v>0</v>
      </c>
      <c r="Q1325" s="30"/>
      <c r="R1325" s="22" t="s">
        <v>4634</v>
      </c>
      <c r="S1325" s="22" t="s">
        <v>435</v>
      </c>
      <c r="T1325" s="21" t="str">
        <f>HYPERLINK("https://miland.ru/api/getInfo/image/a41d1992-9901-11eb-a201-ac1f6b442185")</f>
        <v>https://miland.ru/api/getInfo/image/a41d1992-9901-11eb-a201-ac1f6b442185</v>
      </c>
      <c r="U1325" s="21"/>
      <c r="V1325" s="21" t="s">
        <v>710</v>
      </c>
      <c r="W1325" s="21" t="s">
        <v>82</v>
      </c>
      <c r="X1325" s="21"/>
      <c r="Y1325" s="21" t="s">
        <v>41</v>
      </c>
      <c r="Z1325" s="21"/>
      <c r="AA1325" s="21" t="str">
        <f>HYPERLINK("https://miland.ru/api/getInfo/item/a41d1992-9901-11eb-a201-ac1f6b442185")</f>
        <v>https://miland.ru/api/getInfo/item/a41d1992-9901-11eb-a201-ac1f6b442185</v>
      </c>
      <c r="AB1325" s="21" t="s">
        <v>42</v>
      </c>
      <c r="AC1325" s="21" t="s">
        <v>4635</v>
      </c>
      <c r="AD1325" s="21"/>
    </row>
    <row r="1326" spans="2:30" s="1" customFormat="1" ht="96.3" customHeight="1" outlineLevel="6">
      <c r="B1326" s="57">
        <v>1011</v>
      </c>
      <c r="C1326" s="21" t="s">
        <v>4636</v>
      </c>
      <c r="D1326" s="72" t="s">
        <v>4637</v>
      </c>
      <c r="E1326" s="72"/>
      <c r="F1326" s="72"/>
      <c r="G1326" s="72"/>
      <c r="H1326" s="22" t="s">
        <v>4638</v>
      </c>
      <c r="I1326" s="27">
        <v>387</v>
      </c>
      <c r="J1326" s="22"/>
      <c r="K1326" s="20">
        <v>5</v>
      </c>
      <c r="L1326" s="24">
        <v>129.05000000000001</v>
      </c>
      <c r="M1326" s="11"/>
      <c r="N1326" s="22">
        <f>L1326*M1326</f>
        <v>0</v>
      </c>
      <c r="O1326" s="25">
        <f>0.024*M1326</f>
        <v>0</v>
      </c>
      <c r="P1326" s="29">
        <f>0.0001*M1326</f>
        <v>0</v>
      </c>
      <c r="Q1326" s="30"/>
      <c r="R1326" s="22" t="s">
        <v>4639</v>
      </c>
      <c r="S1326" s="22" t="s">
        <v>435</v>
      </c>
      <c r="T1326" s="21" t="str">
        <f>HYPERLINK("https://miland.ru/api/getInfo/image/22124ef1-9901-11eb-a201-ac1f6b442185")</f>
        <v>https://miland.ru/api/getInfo/image/22124ef1-9901-11eb-a201-ac1f6b442185</v>
      </c>
      <c r="U1326" s="21"/>
      <c r="V1326" s="21" t="s">
        <v>710</v>
      </c>
      <c r="W1326" s="21" t="s">
        <v>82</v>
      </c>
      <c r="X1326" s="21"/>
      <c r="Y1326" s="21" t="s">
        <v>41</v>
      </c>
      <c r="Z1326" s="21"/>
      <c r="AA1326" s="21" t="str">
        <f>HYPERLINK("https://miland.ru/api/getInfo/item/22124ef1-9901-11eb-a201-ac1f6b442185")</f>
        <v>https://miland.ru/api/getInfo/item/22124ef1-9901-11eb-a201-ac1f6b442185</v>
      </c>
      <c r="AB1326" s="21" t="s">
        <v>42</v>
      </c>
      <c r="AC1326" s="21" t="s">
        <v>4640</v>
      </c>
      <c r="AD1326" s="21"/>
    </row>
    <row r="1327" spans="2:30" s="1" customFormat="1" ht="96.3" customHeight="1" outlineLevel="6">
      <c r="B1327" s="57">
        <v>1012</v>
      </c>
      <c r="C1327" s="21" t="s">
        <v>4641</v>
      </c>
      <c r="D1327" s="72" t="s">
        <v>4642</v>
      </c>
      <c r="E1327" s="72"/>
      <c r="F1327" s="72"/>
      <c r="G1327" s="72"/>
      <c r="H1327" s="22" t="s">
        <v>4643</v>
      </c>
      <c r="I1327" s="23" t="s">
        <v>36</v>
      </c>
      <c r="J1327" s="22"/>
      <c r="K1327" s="20">
        <v>3</v>
      </c>
      <c r="L1327" s="24">
        <v>262.56</v>
      </c>
      <c r="M1327" s="11"/>
      <c r="N1327" s="22">
        <f>L1327*M1327</f>
        <v>0</v>
      </c>
      <c r="O1327" s="28">
        <f>0.07*M1327</f>
        <v>0</v>
      </c>
      <c r="P1327" s="26">
        <f>0.00588*M1327</f>
        <v>0</v>
      </c>
      <c r="Q1327" s="30"/>
      <c r="R1327" s="22" t="s">
        <v>4644</v>
      </c>
      <c r="S1327" s="22" t="s">
        <v>435</v>
      </c>
      <c r="T1327" s="21" t="str">
        <f>HYPERLINK("https://miland.ru/api/getInfo/image/28774029-9900-11eb-a201-ac1f6b442185")</f>
        <v>https://miland.ru/api/getInfo/image/28774029-9900-11eb-a201-ac1f6b442185</v>
      </c>
      <c r="U1327" s="21"/>
      <c r="V1327" s="21" t="s">
        <v>710</v>
      </c>
      <c r="W1327" s="21" t="s">
        <v>82</v>
      </c>
      <c r="X1327" s="21"/>
      <c r="Y1327" s="21" t="s">
        <v>41</v>
      </c>
      <c r="Z1327" s="21"/>
      <c r="AA1327" s="21" t="str">
        <f>HYPERLINK("https://miland.ru/api/getInfo/item/28774029-9900-11eb-a201-ac1f6b442185")</f>
        <v>https://miland.ru/api/getInfo/item/28774029-9900-11eb-a201-ac1f6b442185</v>
      </c>
      <c r="AB1327" s="21" t="s">
        <v>42</v>
      </c>
      <c r="AC1327" s="21" t="s">
        <v>4645</v>
      </c>
      <c r="AD1327" s="21"/>
    </row>
    <row r="1328" spans="2:30" s="1" customFormat="1" ht="96.3" customHeight="1" outlineLevel="6">
      <c r="B1328" s="57">
        <v>1013</v>
      </c>
      <c r="C1328" s="21" t="s">
        <v>4646</v>
      </c>
      <c r="D1328" s="72" t="s">
        <v>4647</v>
      </c>
      <c r="E1328" s="72"/>
      <c r="F1328" s="72"/>
      <c r="G1328" s="72"/>
      <c r="H1328" s="22" t="s">
        <v>4648</v>
      </c>
      <c r="I1328" s="27">
        <v>12</v>
      </c>
      <c r="J1328" s="22"/>
      <c r="K1328" s="20">
        <v>12</v>
      </c>
      <c r="L1328" s="24">
        <v>77.010000000000005</v>
      </c>
      <c r="M1328" s="11"/>
      <c r="N1328" s="22">
        <f>L1328*M1328</f>
        <v>0</v>
      </c>
      <c r="O1328" s="28">
        <f>0.01*M1328</f>
        <v>0</v>
      </c>
      <c r="P1328" s="26">
        <f>0.00024*M1328</f>
        <v>0</v>
      </c>
      <c r="Q1328" s="30"/>
      <c r="R1328" s="22" t="s">
        <v>4649</v>
      </c>
      <c r="S1328" s="22" t="s">
        <v>435</v>
      </c>
      <c r="T1328" s="21" t="str">
        <f>HYPERLINK("https://miland.ru/api/getInfo/image/d9989798-9902-11eb-a201-ac1f6b442185")</f>
        <v>https://miland.ru/api/getInfo/image/d9989798-9902-11eb-a201-ac1f6b442185</v>
      </c>
      <c r="U1328" s="21"/>
      <c r="V1328" s="21" t="s">
        <v>710</v>
      </c>
      <c r="W1328" s="21" t="s">
        <v>82</v>
      </c>
      <c r="X1328" s="21"/>
      <c r="Y1328" s="21" t="s">
        <v>41</v>
      </c>
      <c r="Z1328" s="21"/>
      <c r="AA1328" s="21" t="str">
        <f>HYPERLINK("https://miland.ru/api/getInfo/item/d9989798-9902-11eb-a201-ac1f6b442185")</f>
        <v>https://miland.ru/api/getInfo/item/d9989798-9902-11eb-a201-ac1f6b442185</v>
      </c>
      <c r="AB1328" s="21" t="s">
        <v>42</v>
      </c>
      <c r="AC1328" s="21" t="s">
        <v>4650</v>
      </c>
      <c r="AD1328" s="21"/>
    </row>
    <row r="1329" spans="2:30" s="1" customFormat="1" ht="96.3" customHeight="1" outlineLevel="6">
      <c r="B1329" s="57">
        <v>1014</v>
      </c>
      <c r="C1329" s="21" t="s">
        <v>4651</v>
      </c>
      <c r="D1329" s="72" t="s">
        <v>4652</v>
      </c>
      <c r="E1329" s="72"/>
      <c r="F1329" s="72"/>
      <c r="G1329" s="72"/>
      <c r="H1329" s="22" t="s">
        <v>4653</v>
      </c>
      <c r="I1329" s="27">
        <v>348</v>
      </c>
      <c r="J1329" s="22"/>
      <c r="K1329" s="20">
        <v>6</v>
      </c>
      <c r="L1329" s="24">
        <v>93.46</v>
      </c>
      <c r="M1329" s="11"/>
      <c r="N1329" s="22">
        <f>L1329*M1329</f>
        <v>0</v>
      </c>
      <c r="O1329" s="28">
        <f>0.01*M1329</f>
        <v>0</v>
      </c>
      <c r="P1329" s="26">
        <f>0.00102*M1329</f>
        <v>0</v>
      </c>
      <c r="Q1329" s="30"/>
      <c r="R1329" s="22" t="s">
        <v>4654</v>
      </c>
      <c r="S1329" s="22" t="s">
        <v>435</v>
      </c>
      <c r="T1329" s="21" t="str">
        <f>HYPERLINK("https://miland.ru/api/getInfo/image/afc530d6-9902-11eb-a201-ac1f6b442185")</f>
        <v>https://miland.ru/api/getInfo/image/afc530d6-9902-11eb-a201-ac1f6b442185</v>
      </c>
      <c r="U1329" s="21"/>
      <c r="V1329" s="21" t="s">
        <v>710</v>
      </c>
      <c r="W1329" s="21" t="s">
        <v>82</v>
      </c>
      <c r="X1329" s="21"/>
      <c r="Y1329" s="21" t="s">
        <v>41</v>
      </c>
      <c r="Z1329" s="21"/>
      <c r="AA1329" s="21" t="str">
        <f>HYPERLINK("https://miland.ru/api/getInfo/item/afc530d6-9902-11eb-a201-ac1f6b442185")</f>
        <v>https://miland.ru/api/getInfo/item/afc530d6-9902-11eb-a201-ac1f6b442185</v>
      </c>
      <c r="AB1329" s="21" t="s">
        <v>42</v>
      </c>
      <c r="AC1329" s="21" t="s">
        <v>4655</v>
      </c>
      <c r="AD1329" s="21"/>
    </row>
    <row r="1330" spans="2:30" ht="12" customHeight="1" outlineLevel="5">
      <c r="B1330" s="70" t="s">
        <v>4656</v>
      </c>
      <c r="C1330" s="70"/>
      <c r="D1330" s="70"/>
      <c r="E1330" s="70"/>
      <c r="F1330" s="70"/>
      <c r="G1330" s="70"/>
    </row>
    <row r="1331" spans="2:30" s="1" customFormat="1" ht="96.3" customHeight="1" outlineLevel="6">
      <c r="B1331" s="57">
        <v>1015</v>
      </c>
      <c r="C1331" s="21" t="s">
        <v>4657</v>
      </c>
      <c r="D1331" s="72" t="s">
        <v>4658</v>
      </c>
      <c r="E1331" s="72"/>
      <c r="F1331" s="72"/>
      <c r="G1331" s="72"/>
      <c r="H1331" s="22" t="s">
        <v>4659</v>
      </c>
      <c r="I1331" s="27">
        <v>195</v>
      </c>
      <c r="J1331" s="22"/>
      <c r="K1331" s="20">
        <v>5</v>
      </c>
      <c r="L1331" s="24">
        <v>119.6</v>
      </c>
      <c r="M1331" s="11"/>
      <c r="N1331" s="22">
        <f t="shared" ref="N1331:N1340" si="58">L1331*M1331</f>
        <v>0</v>
      </c>
      <c r="O1331" s="25">
        <f>0.026*M1331</f>
        <v>0</v>
      </c>
      <c r="P1331" s="26">
        <f>0.00071*M1331</f>
        <v>0</v>
      </c>
      <c r="Q1331" s="30"/>
      <c r="R1331" s="22" t="s">
        <v>4660</v>
      </c>
      <c r="S1331" s="22" t="s">
        <v>435</v>
      </c>
      <c r="T1331" s="21" t="str">
        <f>HYPERLINK("https://miland.ru/api/getInfo/image/8eaa87c7-7182-11ed-a22a-00155d82e902")</f>
        <v>https://miland.ru/api/getInfo/image/8eaa87c7-7182-11ed-a22a-00155d82e902</v>
      </c>
      <c r="U1331" s="21"/>
      <c r="V1331" s="21" t="s">
        <v>710</v>
      </c>
      <c r="W1331" s="21" t="s">
        <v>82</v>
      </c>
      <c r="X1331" s="21"/>
      <c r="Y1331" s="21" t="s">
        <v>41</v>
      </c>
      <c r="Z1331" s="21"/>
      <c r="AA1331" s="21" t="str">
        <f>HYPERLINK("https://miland.ru/api/getInfo/item/8eaa87c7-7182-11ed-a22a-00155d82e902")</f>
        <v>https://miland.ru/api/getInfo/item/8eaa87c7-7182-11ed-a22a-00155d82e902</v>
      </c>
      <c r="AB1331" s="21" t="s">
        <v>42</v>
      </c>
      <c r="AC1331" s="21" t="s">
        <v>4661</v>
      </c>
      <c r="AD1331" s="21"/>
    </row>
    <row r="1332" spans="2:30" s="1" customFormat="1" ht="96.3" customHeight="1" outlineLevel="6">
      <c r="B1332" s="57">
        <v>1016</v>
      </c>
      <c r="C1332" s="21" t="s">
        <v>4662</v>
      </c>
      <c r="D1332" s="72" t="s">
        <v>4663</v>
      </c>
      <c r="E1332" s="72"/>
      <c r="F1332" s="72"/>
      <c r="G1332" s="72"/>
      <c r="H1332" s="22" t="s">
        <v>4664</v>
      </c>
      <c r="I1332" s="27">
        <v>391</v>
      </c>
      <c r="J1332" s="22"/>
      <c r="K1332" s="20">
        <v>5</v>
      </c>
      <c r="L1332" s="24">
        <v>119.6</v>
      </c>
      <c r="M1332" s="11"/>
      <c r="N1332" s="22">
        <f t="shared" si="58"/>
        <v>0</v>
      </c>
      <c r="O1332" s="25">
        <f>0.025*M1332</f>
        <v>0</v>
      </c>
      <c r="P1332" s="26">
        <f>0.00053*M1332</f>
        <v>0</v>
      </c>
      <c r="Q1332" s="30"/>
      <c r="R1332" s="22" t="s">
        <v>4665</v>
      </c>
      <c r="S1332" s="22"/>
      <c r="T1332" s="21" t="str">
        <f>HYPERLINK("https://miland.ru/api/getInfo/image/23271f69-7182-11ed-a22a-00155d82e902")</f>
        <v>https://miland.ru/api/getInfo/image/23271f69-7182-11ed-a22a-00155d82e902</v>
      </c>
      <c r="U1332" s="21"/>
      <c r="V1332" s="21" t="s">
        <v>710</v>
      </c>
      <c r="W1332" s="21" t="s">
        <v>82</v>
      </c>
      <c r="X1332" s="21"/>
      <c r="Y1332" s="21" t="s">
        <v>41</v>
      </c>
      <c r="Z1332" s="21"/>
      <c r="AA1332" s="21" t="str">
        <f>HYPERLINK("https://miland.ru/api/getInfo/item/23271f69-7182-11ed-a22a-00155d82e902")</f>
        <v>https://miland.ru/api/getInfo/item/23271f69-7182-11ed-a22a-00155d82e902</v>
      </c>
      <c r="AB1332" s="21" t="s">
        <v>42</v>
      </c>
      <c r="AC1332" s="21" t="s">
        <v>4661</v>
      </c>
      <c r="AD1332" s="21"/>
    </row>
    <row r="1333" spans="2:30" s="1" customFormat="1" ht="96.3" customHeight="1" outlineLevel="6">
      <c r="B1333" s="57">
        <v>1017</v>
      </c>
      <c r="C1333" s="21" t="s">
        <v>4666</v>
      </c>
      <c r="D1333" s="72" t="s">
        <v>4667</v>
      </c>
      <c r="E1333" s="72"/>
      <c r="F1333" s="72"/>
      <c r="G1333" s="72"/>
      <c r="H1333" s="22" t="s">
        <v>4668</v>
      </c>
      <c r="I1333" s="23" t="s">
        <v>36</v>
      </c>
      <c r="J1333" s="22"/>
      <c r="K1333" s="20">
        <v>4</v>
      </c>
      <c r="L1333" s="24">
        <v>137.21</v>
      </c>
      <c r="M1333" s="11"/>
      <c r="N1333" s="22">
        <f t="shared" si="58"/>
        <v>0</v>
      </c>
      <c r="O1333" s="25">
        <f>0.022*M1333</f>
        <v>0</v>
      </c>
      <c r="P1333" s="26">
        <f>0.00059*M1333</f>
        <v>0</v>
      </c>
      <c r="Q1333" s="30"/>
      <c r="R1333" s="22" t="s">
        <v>4669</v>
      </c>
      <c r="S1333" s="22" t="s">
        <v>435</v>
      </c>
      <c r="T1333" s="21" t="str">
        <f>HYPERLINK("https://miland.ru/api/getInfo/image/b4932b23-7181-11ed-a22a-00155d82e902")</f>
        <v>https://miland.ru/api/getInfo/image/b4932b23-7181-11ed-a22a-00155d82e902</v>
      </c>
      <c r="U1333" s="21"/>
      <c r="V1333" s="21" t="s">
        <v>710</v>
      </c>
      <c r="W1333" s="21" t="s">
        <v>82</v>
      </c>
      <c r="X1333" s="21"/>
      <c r="Y1333" s="21" t="s">
        <v>41</v>
      </c>
      <c r="Z1333" s="21"/>
      <c r="AA1333" s="21" t="str">
        <f>HYPERLINK("https://miland.ru/api/getInfo/item/b4932b23-7181-11ed-a22a-00155d82e902")</f>
        <v>https://miland.ru/api/getInfo/item/b4932b23-7181-11ed-a22a-00155d82e902</v>
      </c>
      <c r="AB1333" s="21" t="s">
        <v>42</v>
      </c>
      <c r="AC1333" s="21" t="s">
        <v>4670</v>
      </c>
      <c r="AD1333" s="21"/>
    </row>
    <row r="1334" spans="2:30" s="1" customFormat="1" ht="96.3" customHeight="1" outlineLevel="6">
      <c r="B1334" s="57">
        <v>1018</v>
      </c>
      <c r="C1334" s="21" t="s">
        <v>4671</v>
      </c>
      <c r="D1334" s="72" t="s">
        <v>4672</v>
      </c>
      <c r="E1334" s="72"/>
      <c r="F1334" s="72"/>
      <c r="G1334" s="72"/>
      <c r="H1334" s="22" t="s">
        <v>4673</v>
      </c>
      <c r="I1334" s="27">
        <v>481</v>
      </c>
      <c r="J1334" s="22"/>
      <c r="K1334" s="20">
        <v>4</v>
      </c>
      <c r="L1334" s="24">
        <v>137.21</v>
      </c>
      <c r="M1334" s="11"/>
      <c r="N1334" s="22">
        <f t="shared" si="58"/>
        <v>0</v>
      </c>
      <c r="O1334" s="25">
        <f>0.021*M1334</f>
        <v>0</v>
      </c>
      <c r="P1334" s="26">
        <f>0.00037*M1334</f>
        <v>0</v>
      </c>
      <c r="Q1334" s="30"/>
      <c r="R1334" s="22" t="s">
        <v>4674</v>
      </c>
      <c r="S1334" s="22"/>
      <c r="T1334" s="21" t="str">
        <f>HYPERLINK("https://miland.ru/api/getInfo/image/2277144e-7181-11ed-a22a-00155d82e902")</f>
        <v>https://miland.ru/api/getInfo/image/2277144e-7181-11ed-a22a-00155d82e902</v>
      </c>
      <c r="U1334" s="21"/>
      <c r="V1334" s="21" t="s">
        <v>710</v>
      </c>
      <c r="W1334" s="21" t="s">
        <v>82</v>
      </c>
      <c r="X1334" s="21"/>
      <c r="Y1334" s="21" t="s">
        <v>41</v>
      </c>
      <c r="Z1334" s="21"/>
      <c r="AA1334" s="21" t="str">
        <f>HYPERLINK("https://miland.ru/api/getInfo/item/2277144e-7181-11ed-a22a-00155d82e902")</f>
        <v>https://miland.ru/api/getInfo/item/2277144e-7181-11ed-a22a-00155d82e902</v>
      </c>
      <c r="AB1334" s="21" t="s">
        <v>42</v>
      </c>
      <c r="AC1334" s="21" t="s">
        <v>4670</v>
      </c>
      <c r="AD1334" s="21"/>
    </row>
    <row r="1335" spans="2:30" s="1" customFormat="1" ht="96.3" customHeight="1" outlineLevel="6">
      <c r="B1335" s="57">
        <v>1019</v>
      </c>
      <c r="C1335" s="21" t="s">
        <v>4675</v>
      </c>
      <c r="D1335" s="72" t="s">
        <v>4676</v>
      </c>
      <c r="E1335" s="72"/>
      <c r="F1335" s="72"/>
      <c r="G1335" s="72"/>
      <c r="H1335" s="22" t="s">
        <v>4677</v>
      </c>
      <c r="I1335" s="27">
        <v>6</v>
      </c>
      <c r="J1335" s="22"/>
      <c r="K1335" s="20">
        <v>1</v>
      </c>
      <c r="L1335" s="24">
        <v>119.6</v>
      </c>
      <c r="M1335" s="11"/>
      <c r="N1335" s="22">
        <f t="shared" si="58"/>
        <v>0</v>
      </c>
      <c r="O1335" s="22">
        <v>0</v>
      </c>
      <c r="P1335" s="22">
        <v>0</v>
      </c>
      <c r="Q1335" s="30"/>
      <c r="R1335" s="22" t="s">
        <v>4678</v>
      </c>
      <c r="S1335" s="22"/>
      <c r="T1335" s="21"/>
      <c r="U1335" s="21"/>
      <c r="V1335" s="21"/>
      <c r="W1335" s="21"/>
      <c r="X1335" s="21"/>
      <c r="Y1335" s="21"/>
      <c r="Z1335" s="21"/>
      <c r="AA1335" s="21"/>
      <c r="AB1335" s="21" t="s">
        <v>42</v>
      </c>
      <c r="AC1335" s="21"/>
      <c r="AD1335" s="21"/>
    </row>
    <row r="1336" spans="2:30" s="1" customFormat="1" ht="96.3" customHeight="1" outlineLevel="6">
      <c r="B1336" s="57">
        <v>1020</v>
      </c>
      <c r="C1336" s="21" t="s">
        <v>4679</v>
      </c>
      <c r="D1336" s="72" t="s">
        <v>4680</v>
      </c>
      <c r="E1336" s="72"/>
      <c r="F1336" s="72"/>
      <c r="G1336" s="72"/>
      <c r="H1336" s="22" t="s">
        <v>4681</v>
      </c>
      <c r="I1336" s="27">
        <v>426</v>
      </c>
      <c r="J1336" s="22"/>
      <c r="K1336" s="20">
        <v>1</v>
      </c>
      <c r="L1336" s="24">
        <v>119.6</v>
      </c>
      <c r="M1336" s="11"/>
      <c r="N1336" s="22">
        <f t="shared" si="58"/>
        <v>0</v>
      </c>
      <c r="O1336" s="22">
        <v>0</v>
      </c>
      <c r="P1336" s="22">
        <v>0</v>
      </c>
      <c r="Q1336" s="30"/>
      <c r="R1336" s="22" t="s">
        <v>4682</v>
      </c>
      <c r="S1336" s="22"/>
      <c r="T1336" s="21"/>
      <c r="U1336" s="21"/>
      <c r="V1336" s="21"/>
      <c r="W1336" s="21"/>
      <c r="X1336" s="21"/>
      <c r="Y1336" s="21"/>
      <c r="Z1336" s="21"/>
      <c r="AA1336" s="21"/>
      <c r="AB1336" s="21" t="s">
        <v>42</v>
      </c>
      <c r="AC1336" s="21"/>
      <c r="AD1336" s="21"/>
    </row>
    <row r="1337" spans="2:30" s="1" customFormat="1" ht="96.3" customHeight="1" outlineLevel="6">
      <c r="B1337" s="57">
        <v>1021</v>
      </c>
      <c r="C1337" s="21" t="s">
        <v>4683</v>
      </c>
      <c r="D1337" s="72" t="s">
        <v>4684</v>
      </c>
      <c r="E1337" s="72"/>
      <c r="F1337" s="72"/>
      <c r="G1337" s="72"/>
      <c r="H1337" s="22" t="s">
        <v>4685</v>
      </c>
      <c r="I1337" s="27">
        <v>499</v>
      </c>
      <c r="J1337" s="22"/>
      <c r="K1337" s="20">
        <v>1</v>
      </c>
      <c r="L1337" s="24">
        <v>137.21</v>
      </c>
      <c r="M1337" s="11"/>
      <c r="N1337" s="22">
        <f t="shared" si="58"/>
        <v>0</v>
      </c>
      <c r="O1337" s="22">
        <v>0</v>
      </c>
      <c r="P1337" s="22">
        <v>0</v>
      </c>
      <c r="Q1337" s="30"/>
      <c r="R1337" s="22" t="s">
        <v>4686</v>
      </c>
      <c r="S1337" s="22"/>
      <c r="T1337" s="21"/>
      <c r="U1337" s="21"/>
      <c r="V1337" s="21"/>
      <c r="W1337" s="21"/>
      <c r="X1337" s="21"/>
      <c r="Y1337" s="21"/>
      <c r="Z1337" s="21"/>
      <c r="AA1337" s="21"/>
      <c r="AB1337" s="21" t="s">
        <v>42</v>
      </c>
      <c r="AC1337" s="21"/>
      <c r="AD1337" s="21"/>
    </row>
    <row r="1338" spans="2:30" s="1" customFormat="1" ht="96.3" customHeight="1" outlineLevel="6">
      <c r="B1338" s="57">
        <v>1022</v>
      </c>
      <c r="C1338" s="21" t="s">
        <v>4687</v>
      </c>
      <c r="D1338" s="72" t="s">
        <v>4688</v>
      </c>
      <c r="E1338" s="72"/>
      <c r="F1338" s="72"/>
      <c r="G1338" s="72"/>
      <c r="H1338" s="22" t="s">
        <v>4689</v>
      </c>
      <c r="I1338" s="23" t="s">
        <v>36</v>
      </c>
      <c r="J1338" s="22"/>
      <c r="K1338" s="20">
        <v>10</v>
      </c>
      <c r="L1338" s="24">
        <v>78.83</v>
      </c>
      <c r="M1338" s="11"/>
      <c r="N1338" s="22">
        <f t="shared" si="58"/>
        <v>0</v>
      </c>
      <c r="O1338" s="25">
        <f>15.449*M1338</f>
        <v>0</v>
      </c>
      <c r="P1338" s="26">
        <f>0.00031*M1338</f>
        <v>0</v>
      </c>
      <c r="Q1338" s="30"/>
      <c r="R1338" s="22" t="s">
        <v>4690</v>
      </c>
      <c r="S1338" s="22"/>
      <c r="T1338" s="21" t="str">
        <f>HYPERLINK("https://miland.ru/api/getInfo/image/b253681a-717e-11ed-a22a-00155d82e902")</f>
        <v>https://miland.ru/api/getInfo/image/b253681a-717e-11ed-a22a-00155d82e902</v>
      </c>
      <c r="U1338" s="21"/>
      <c r="V1338" s="21" t="s">
        <v>710</v>
      </c>
      <c r="W1338" s="21" t="s">
        <v>82</v>
      </c>
      <c r="X1338" s="21"/>
      <c r="Y1338" s="21" t="s">
        <v>41</v>
      </c>
      <c r="Z1338" s="21"/>
      <c r="AA1338" s="21" t="str">
        <f>HYPERLINK("https://miland.ru/api/getInfo/item/b253681a-717e-11ed-a22a-00155d82e902")</f>
        <v>https://miland.ru/api/getInfo/item/b253681a-717e-11ed-a22a-00155d82e902</v>
      </c>
      <c r="AB1338" s="21" t="s">
        <v>42</v>
      </c>
      <c r="AC1338" s="21" t="s">
        <v>4691</v>
      </c>
      <c r="AD1338" s="21"/>
    </row>
    <row r="1339" spans="2:30" s="1" customFormat="1" ht="96.3" customHeight="1" outlineLevel="6">
      <c r="B1339" s="57">
        <v>1023</v>
      </c>
      <c r="C1339" s="21" t="s">
        <v>4692</v>
      </c>
      <c r="D1339" s="72" t="s">
        <v>4693</v>
      </c>
      <c r="E1339" s="72"/>
      <c r="F1339" s="72"/>
      <c r="G1339" s="72"/>
      <c r="H1339" s="22" t="s">
        <v>4694</v>
      </c>
      <c r="I1339" s="23" t="s">
        <v>36</v>
      </c>
      <c r="J1339" s="22"/>
      <c r="K1339" s="20">
        <v>6</v>
      </c>
      <c r="L1339" s="24">
        <v>98.38</v>
      </c>
      <c r="M1339" s="11"/>
      <c r="N1339" s="22">
        <f t="shared" si="58"/>
        <v>0</v>
      </c>
      <c r="O1339" s="25">
        <f>0.026*M1339</f>
        <v>0</v>
      </c>
      <c r="P1339" s="26">
        <f>0.02839*M1339</f>
        <v>0</v>
      </c>
      <c r="Q1339" s="30"/>
      <c r="R1339" s="22" t="s">
        <v>4695</v>
      </c>
      <c r="S1339" s="22"/>
      <c r="T1339" s="21" t="str">
        <f>HYPERLINK("https://miland.ru/api/getInfo/image/b763f3d6-7180-11ed-a22a-00155d82e902")</f>
        <v>https://miland.ru/api/getInfo/image/b763f3d6-7180-11ed-a22a-00155d82e902</v>
      </c>
      <c r="U1339" s="21"/>
      <c r="V1339" s="21" t="s">
        <v>710</v>
      </c>
      <c r="W1339" s="21" t="s">
        <v>82</v>
      </c>
      <c r="X1339" s="21"/>
      <c r="Y1339" s="21" t="s">
        <v>41</v>
      </c>
      <c r="Z1339" s="21"/>
      <c r="AA1339" s="21" t="str">
        <f>HYPERLINK("https://miland.ru/api/getInfo/item/b763f3d6-7180-11ed-a22a-00155d82e902")</f>
        <v>https://miland.ru/api/getInfo/item/b763f3d6-7180-11ed-a22a-00155d82e902</v>
      </c>
      <c r="AB1339" s="21" t="s">
        <v>42</v>
      </c>
      <c r="AC1339" s="21" t="s">
        <v>4696</v>
      </c>
      <c r="AD1339" s="21"/>
    </row>
    <row r="1340" spans="2:30" s="1" customFormat="1" ht="96.3" customHeight="1" outlineLevel="6">
      <c r="B1340" s="57">
        <v>1024</v>
      </c>
      <c r="C1340" s="21" t="s">
        <v>4697</v>
      </c>
      <c r="D1340" s="72" t="s">
        <v>4698</v>
      </c>
      <c r="E1340" s="72"/>
      <c r="F1340" s="72"/>
      <c r="G1340" s="72"/>
      <c r="H1340" s="22" t="s">
        <v>4699</v>
      </c>
      <c r="I1340" s="27">
        <v>11</v>
      </c>
      <c r="J1340" s="22"/>
      <c r="K1340" s="20">
        <v>10</v>
      </c>
      <c r="L1340" s="24">
        <v>64.53</v>
      </c>
      <c r="M1340" s="11"/>
      <c r="N1340" s="22">
        <f t="shared" si="58"/>
        <v>0</v>
      </c>
      <c r="O1340" s="25">
        <f>0.018*M1340</f>
        <v>0</v>
      </c>
      <c r="P1340" s="26">
        <f>0.00043*M1340</f>
        <v>0</v>
      </c>
      <c r="Q1340" s="30"/>
      <c r="R1340" s="22" t="s">
        <v>4700</v>
      </c>
      <c r="S1340" s="22" t="s">
        <v>435</v>
      </c>
      <c r="T1340" s="21" t="str">
        <f>HYPERLINK("https://miland.ru/api/getInfo/image/63f1d1d4-9903-11eb-a201-ac1f6b442185")</f>
        <v>https://miland.ru/api/getInfo/image/63f1d1d4-9903-11eb-a201-ac1f6b442185</v>
      </c>
      <c r="U1340" s="21"/>
      <c r="V1340" s="21" t="s">
        <v>710</v>
      </c>
      <c r="W1340" s="21" t="s">
        <v>82</v>
      </c>
      <c r="X1340" s="21"/>
      <c r="Y1340" s="21" t="s">
        <v>41</v>
      </c>
      <c r="Z1340" s="21"/>
      <c r="AA1340" s="21" t="str">
        <f>HYPERLINK("https://miland.ru/api/getInfo/item/63f1d1d4-9903-11eb-a201-ac1f6b442185")</f>
        <v>https://miland.ru/api/getInfo/item/63f1d1d4-9903-11eb-a201-ac1f6b442185</v>
      </c>
      <c r="AB1340" s="21" t="s">
        <v>42</v>
      </c>
      <c r="AC1340" s="21" t="s">
        <v>4650</v>
      </c>
      <c r="AD1340" s="21"/>
    </row>
    <row r="1341" spans="2:30" ht="12" customHeight="1" outlineLevel="4">
      <c r="B1341" s="70" t="s">
        <v>4701</v>
      </c>
      <c r="C1341" s="70"/>
      <c r="D1341" s="70"/>
      <c r="E1341" s="70"/>
      <c r="F1341" s="70"/>
      <c r="G1341" s="70"/>
    </row>
    <row r="1342" spans="2:30" s="1" customFormat="1" ht="96.3" customHeight="1" outlineLevel="5">
      <c r="B1342" s="57">
        <v>1025</v>
      </c>
      <c r="C1342" s="21" t="s">
        <v>4702</v>
      </c>
      <c r="D1342" s="72" t="s">
        <v>4703</v>
      </c>
      <c r="E1342" s="72"/>
      <c r="F1342" s="72"/>
      <c r="G1342" s="72"/>
      <c r="H1342" s="22" t="s">
        <v>4704</v>
      </c>
      <c r="I1342" s="23" t="s">
        <v>36</v>
      </c>
      <c r="J1342" s="22"/>
      <c r="K1342" s="20">
        <v>5</v>
      </c>
      <c r="L1342" s="24">
        <v>151.54</v>
      </c>
      <c r="M1342" s="11"/>
      <c r="N1342" s="22">
        <f t="shared" ref="N1342:N1356" si="59">L1342*M1342</f>
        <v>0</v>
      </c>
      <c r="O1342" s="25">
        <f>0.048*M1342</f>
        <v>0</v>
      </c>
      <c r="P1342" s="26">
        <f>0.00034*M1342</f>
        <v>0</v>
      </c>
      <c r="Q1342" s="30"/>
      <c r="R1342" s="22" t="s">
        <v>4705</v>
      </c>
      <c r="S1342" s="22"/>
      <c r="T1342" s="21" t="str">
        <f>HYPERLINK("https://miland.ru/api/getInfo/image/544313c8-f8a2-11ee-a25d-00155d82e908")</f>
        <v>https://miland.ru/api/getInfo/image/544313c8-f8a2-11ee-a25d-00155d82e908</v>
      </c>
      <c r="U1342" s="21"/>
      <c r="V1342" s="21" t="s">
        <v>4706</v>
      </c>
      <c r="W1342" s="21" t="s">
        <v>4707</v>
      </c>
      <c r="X1342" s="21"/>
      <c r="Y1342" s="21" t="s">
        <v>41</v>
      </c>
      <c r="Z1342" s="21"/>
      <c r="AA1342" s="21" t="str">
        <f>HYPERLINK("https://miland.ru/api/getInfo/item/544313c8-f8a2-11ee-a25d-00155d82e908")</f>
        <v>https://miland.ru/api/getInfo/item/544313c8-f8a2-11ee-a25d-00155d82e908</v>
      </c>
      <c r="AB1342" s="21" t="s">
        <v>42</v>
      </c>
      <c r="AC1342" s="21" t="s">
        <v>4708</v>
      </c>
      <c r="AD1342" s="21"/>
    </row>
    <row r="1343" spans="2:30" s="1" customFormat="1" ht="96.3" customHeight="1" outlineLevel="5">
      <c r="B1343" s="57">
        <v>1026</v>
      </c>
      <c r="C1343" s="21" t="s">
        <v>4709</v>
      </c>
      <c r="D1343" s="72" t="s">
        <v>4710</v>
      </c>
      <c r="E1343" s="72"/>
      <c r="F1343" s="72"/>
      <c r="G1343" s="72"/>
      <c r="H1343" s="22" t="s">
        <v>4711</v>
      </c>
      <c r="I1343" s="23" t="s">
        <v>36</v>
      </c>
      <c r="J1343" s="22"/>
      <c r="K1343" s="20">
        <v>5</v>
      </c>
      <c r="L1343" s="24">
        <v>151.54</v>
      </c>
      <c r="M1343" s="11"/>
      <c r="N1343" s="22">
        <f t="shared" si="59"/>
        <v>0</v>
      </c>
      <c r="O1343" s="25">
        <f>0.051*M1343</f>
        <v>0</v>
      </c>
      <c r="P1343" s="26">
        <f>0.00035*M1343</f>
        <v>0</v>
      </c>
      <c r="Q1343" s="30"/>
      <c r="R1343" s="22" t="s">
        <v>4712</v>
      </c>
      <c r="S1343" s="22"/>
      <c r="T1343" s="21" t="str">
        <f>HYPERLINK("https://miland.ru/api/getInfo/image/41d97b55-f8a2-11ee-a25d-00155d82e908")</f>
        <v>https://miland.ru/api/getInfo/image/41d97b55-f8a2-11ee-a25d-00155d82e908</v>
      </c>
      <c r="U1343" s="21"/>
      <c r="V1343" s="21" t="s">
        <v>4706</v>
      </c>
      <c r="W1343" s="21" t="s">
        <v>4707</v>
      </c>
      <c r="X1343" s="21"/>
      <c r="Y1343" s="21" t="s">
        <v>41</v>
      </c>
      <c r="Z1343" s="21"/>
      <c r="AA1343" s="21" t="str">
        <f>HYPERLINK("https://miland.ru/api/getInfo/item/41d97b55-f8a2-11ee-a25d-00155d82e908")</f>
        <v>https://miland.ru/api/getInfo/item/41d97b55-f8a2-11ee-a25d-00155d82e908</v>
      </c>
      <c r="AB1343" s="21" t="s">
        <v>42</v>
      </c>
      <c r="AC1343" s="21" t="s">
        <v>4708</v>
      </c>
      <c r="AD1343" s="21"/>
    </row>
    <row r="1344" spans="2:30" s="1" customFormat="1" ht="96.3" customHeight="1" outlineLevel="5">
      <c r="B1344" s="57">
        <v>1027</v>
      </c>
      <c r="C1344" s="21" t="s">
        <v>4713</v>
      </c>
      <c r="D1344" s="72" t="s">
        <v>4714</v>
      </c>
      <c r="E1344" s="72"/>
      <c r="F1344" s="72"/>
      <c r="G1344" s="72"/>
      <c r="H1344" s="22" t="s">
        <v>4715</v>
      </c>
      <c r="I1344" s="23" t="s">
        <v>36</v>
      </c>
      <c r="J1344" s="22"/>
      <c r="K1344" s="20">
        <v>10</v>
      </c>
      <c r="L1344" s="24">
        <v>59.14</v>
      </c>
      <c r="M1344" s="11"/>
      <c r="N1344" s="22">
        <f t="shared" si="59"/>
        <v>0</v>
      </c>
      <c r="O1344" s="25">
        <f>0.041*M1344</f>
        <v>0</v>
      </c>
      <c r="P1344" s="26">
        <f>0.00027*M1344</f>
        <v>0</v>
      </c>
      <c r="Q1344" s="30"/>
      <c r="R1344" s="22" t="s">
        <v>4716</v>
      </c>
      <c r="S1344" s="22"/>
      <c r="T1344" s="21" t="str">
        <f>HYPERLINK("https://miland.ru/api/getInfo/image/368357ff-c701-11ed-a230-00155d82e902")</f>
        <v>https://miland.ru/api/getInfo/image/368357ff-c701-11ed-a230-00155d82e902</v>
      </c>
      <c r="U1344" s="21"/>
      <c r="V1344" s="21" t="s">
        <v>4706</v>
      </c>
      <c r="W1344" s="21" t="s">
        <v>4707</v>
      </c>
      <c r="X1344" s="21"/>
      <c r="Y1344" s="21" t="s">
        <v>41</v>
      </c>
      <c r="Z1344" s="21"/>
      <c r="AA1344" s="21" t="str">
        <f>HYPERLINK("https://miland.ru/api/getInfo/item/368357ff-c701-11ed-a230-00155d82e902")</f>
        <v>https://miland.ru/api/getInfo/item/368357ff-c701-11ed-a230-00155d82e902</v>
      </c>
      <c r="AB1344" s="21" t="s">
        <v>42</v>
      </c>
      <c r="AC1344" s="21"/>
      <c r="AD1344" s="21"/>
    </row>
    <row r="1345" spans="2:30" s="1" customFormat="1" ht="96.3" customHeight="1" outlineLevel="5">
      <c r="B1345" s="57">
        <v>1028</v>
      </c>
      <c r="C1345" s="21" t="s">
        <v>4717</v>
      </c>
      <c r="D1345" s="72" t="s">
        <v>4718</v>
      </c>
      <c r="E1345" s="72"/>
      <c r="F1345" s="72"/>
      <c r="G1345" s="72"/>
      <c r="H1345" s="22" t="s">
        <v>4719</v>
      </c>
      <c r="I1345" s="23" t="s">
        <v>36</v>
      </c>
      <c r="J1345" s="22"/>
      <c r="K1345" s="20">
        <v>10</v>
      </c>
      <c r="L1345" s="24">
        <v>59.14</v>
      </c>
      <c r="M1345" s="11"/>
      <c r="N1345" s="22">
        <f t="shared" si="59"/>
        <v>0</v>
      </c>
      <c r="O1345" s="25">
        <f>0.026*M1345</f>
        <v>0</v>
      </c>
      <c r="P1345" s="26">
        <f>0.00022*M1345</f>
        <v>0</v>
      </c>
      <c r="Q1345" s="30"/>
      <c r="R1345" s="22" t="s">
        <v>4720</v>
      </c>
      <c r="S1345" s="22"/>
      <c r="T1345" s="21" t="str">
        <f>HYPERLINK("https://miland.ru/api/getInfo/image/fe384d9e-c6ff-11ed-a230-00155d82e902")</f>
        <v>https://miland.ru/api/getInfo/image/fe384d9e-c6ff-11ed-a230-00155d82e902</v>
      </c>
      <c r="U1345" s="21"/>
      <c r="V1345" s="21" t="s">
        <v>4706</v>
      </c>
      <c r="W1345" s="21" t="s">
        <v>4707</v>
      </c>
      <c r="X1345" s="21"/>
      <c r="Y1345" s="21" t="s">
        <v>41</v>
      </c>
      <c r="Z1345" s="21"/>
      <c r="AA1345" s="21" t="str">
        <f>HYPERLINK("https://miland.ru/api/getInfo/item/fe384d9e-c6ff-11ed-a230-00155d82e902")</f>
        <v>https://miland.ru/api/getInfo/item/fe384d9e-c6ff-11ed-a230-00155d82e902</v>
      </c>
      <c r="AB1345" s="21" t="s">
        <v>42</v>
      </c>
      <c r="AC1345" s="21"/>
      <c r="AD1345" s="21"/>
    </row>
    <row r="1346" spans="2:30" s="1" customFormat="1" ht="96.3" customHeight="1" outlineLevel="5">
      <c r="B1346" s="57">
        <v>1029</v>
      </c>
      <c r="C1346" s="21" t="s">
        <v>4721</v>
      </c>
      <c r="D1346" s="72" t="s">
        <v>4722</v>
      </c>
      <c r="E1346" s="72"/>
      <c r="F1346" s="72"/>
      <c r="G1346" s="72"/>
      <c r="H1346" s="22" t="s">
        <v>4723</v>
      </c>
      <c r="I1346" s="23" t="s">
        <v>36</v>
      </c>
      <c r="J1346" s="22"/>
      <c r="K1346" s="20">
        <v>10</v>
      </c>
      <c r="L1346" s="24">
        <v>59.14</v>
      </c>
      <c r="M1346" s="11"/>
      <c r="N1346" s="22">
        <f t="shared" si="59"/>
        <v>0</v>
      </c>
      <c r="O1346" s="28">
        <f>0.02*M1346</f>
        <v>0</v>
      </c>
      <c r="P1346" s="29">
        <f>0.0002*M1346</f>
        <v>0</v>
      </c>
      <c r="Q1346" s="30"/>
      <c r="R1346" s="22" t="s">
        <v>4724</v>
      </c>
      <c r="S1346" s="22"/>
      <c r="T1346" s="21" t="str">
        <f>HYPERLINK("https://miland.ru/api/getInfo/image/33d16a3f-c700-11ed-a230-00155d82e902")</f>
        <v>https://miland.ru/api/getInfo/image/33d16a3f-c700-11ed-a230-00155d82e902</v>
      </c>
      <c r="U1346" s="21"/>
      <c r="V1346" s="21" t="s">
        <v>4706</v>
      </c>
      <c r="W1346" s="21" t="s">
        <v>4707</v>
      </c>
      <c r="X1346" s="21"/>
      <c r="Y1346" s="21" t="s">
        <v>41</v>
      </c>
      <c r="Z1346" s="21"/>
      <c r="AA1346" s="21" t="str">
        <f>HYPERLINK("https://miland.ru/api/getInfo/item/33d16a3f-c700-11ed-a230-00155d82e902")</f>
        <v>https://miland.ru/api/getInfo/item/33d16a3f-c700-11ed-a230-00155d82e902</v>
      </c>
      <c r="AB1346" s="21" t="s">
        <v>42</v>
      </c>
      <c r="AC1346" s="21"/>
      <c r="AD1346" s="21"/>
    </row>
    <row r="1347" spans="2:30" s="1" customFormat="1" ht="96.3" customHeight="1" outlineLevel="5">
      <c r="B1347" s="57">
        <v>1030</v>
      </c>
      <c r="C1347" s="21" t="s">
        <v>4725</v>
      </c>
      <c r="D1347" s="72" t="s">
        <v>4726</v>
      </c>
      <c r="E1347" s="72"/>
      <c r="F1347" s="72"/>
      <c r="G1347" s="72"/>
      <c r="H1347" s="22" t="s">
        <v>4727</v>
      </c>
      <c r="I1347" s="23" t="s">
        <v>36</v>
      </c>
      <c r="J1347" s="22"/>
      <c r="K1347" s="20">
        <v>10</v>
      </c>
      <c r="L1347" s="24">
        <v>59.14</v>
      </c>
      <c r="M1347" s="11"/>
      <c r="N1347" s="22">
        <f t="shared" si="59"/>
        <v>0</v>
      </c>
      <c r="O1347" s="25">
        <f>0.022*M1347</f>
        <v>0</v>
      </c>
      <c r="P1347" s="26">
        <f>0.00023*M1347</f>
        <v>0</v>
      </c>
      <c r="Q1347" s="30"/>
      <c r="R1347" s="22" t="s">
        <v>4728</v>
      </c>
      <c r="S1347" s="22"/>
      <c r="T1347" s="21" t="str">
        <f>HYPERLINK("https://miland.ru/api/getInfo/image/2dffc063-c6fe-11ed-a230-00155d82e902")</f>
        <v>https://miland.ru/api/getInfo/image/2dffc063-c6fe-11ed-a230-00155d82e902</v>
      </c>
      <c r="U1347" s="21"/>
      <c r="V1347" s="21" t="s">
        <v>4706</v>
      </c>
      <c r="W1347" s="21" t="s">
        <v>4707</v>
      </c>
      <c r="X1347" s="21"/>
      <c r="Y1347" s="21" t="s">
        <v>41</v>
      </c>
      <c r="Z1347" s="21"/>
      <c r="AA1347" s="21" t="str">
        <f>HYPERLINK("https://miland.ru/api/getInfo/item/2dffc063-c6fe-11ed-a230-00155d82e902")</f>
        <v>https://miland.ru/api/getInfo/item/2dffc063-c6fe-11ed-a230-00155d82e902</v>
      </c>
      <c r="AB1347" s="21" t="s">
        <v>42</v>
      </c>
      <c r="AC1347" s="21"/>
      <c r="AD1347" s="21"/>
    </row>
    <row r="1348" spans="2:30" s="1" customFormat="1" ht="96.3" customHeight="1" outlineLevel="5">
      <c r="B1348" s="57">
        <v>1031</v>
      </c>
      <c r="C1348" s="21" t="s">
        <v>4729</v>
      </c>
      <c r="D1348" s="72" t="s">
        <v>4730</v>
      </c>
      <c r="E1348" s="72"/>
      <c r="F1348" s="72"/>
      <c r="G1348" s="72"/>
      <c r="H1348" s="22" t="s">
        <v>4731</v>
      </c>
      <c r="I1348" s="23" t="s">
        <v>36</v>
      </c>
      <c r="J1348" s="22"/>
      <c r="K1348" s="20">
        <v>6</v>
      </c>
      <c r="L1348" s="24">
        <v>96.78</v>
      </c>
      <c r="M1348" s="11"/>
      <c r="N1348" s="22">
        <f t="shared" si="59"/>
        <v>0</v>
      </c>
      <c r="O1348" s="25">
        <f>0.034*M1348</f>
        <v>0</v>
      </c>
      <c r="P1348" s="26">
        <f>0.00028*M1348</f>
        <v>0</v>
      </c>
      <c r="Q1348" s="30"/>
      <c r="R1348" s="22" t="s">
        <v>4732</v>
      </c>
      <c r="S1348" s="22"/>
      <c r="T1348" s="21" t="str">
        <f>HYPERLINK("https://miland.ru/api/getInfo/image/a41bb3fe-c700-11ed-a230-00155d82e902")</f>
        <v>https://miland.ru/api/getInfo/image/a41bb3fe-c700-11ed-a230-00155d82e902</v>
      </c>
      <c r="U1348" s="21"/>
      <c r="V1348" s="21" t="s">
        <v>4706</v>
      </c>
      <c r="W1348" s="21" t="s">
        <v>4707</v>
      </c>
      <c r="X1348" s="21"/>
      <c r="Y1348" s="21" t="s">
        <v>41</v>
      </c>
      <c r="Z1348" s="21"/>
      <c r="AA1348" s="21" t="str">
        <f>HYPERLINK("https://miland.ru/api/getInfo/item/a41bb3fe-c700-11ed-a230-00155d82e902")</f>
        <v>https://miland.ru/api/getInfo/item/a41bb3fe-c700-11ed-a230-00155d82e902</v>
      </c>
      <c r="AB1348" s="21" t="s">
        <v>42</v>
      </c>
      <c r="AC1348" s="21"/>
      <c r="AD1348" s="21"/>
    </row>
    <row r="1349" spans="2:30" s="1" customFormat="1" ht="96.3" customHeight="1" outlineLevel="5">
      <c r="B1349" s="57">
        <v>1032</v>
      </c>
      <c r="C1349" s="21" t="s">
        <v>4733</v>
      </c>
      <c r="D1349" s="72" t="s">
        <v>4734</v>
      </c>
      <c r="E1349" s="72"/>
      <c r="F1349" s="72"/>
      <c r="G1349" s="72"/>
      <c r="H1349" s="22" t="s">
        <v>4735</v>
      </c>
      <c r="I1349" s="23" t="s">
        <v>36</v>
      </c>
      <c r="J1349" s="22"/>
      <c r="K1349" s="20">
        <v>6</v>
      </c>
      <c r="L1349" s="24">
        <v>96.78</v>
      </c>
      <c r="M1349" s="11"/>
      <c r="N1349" s="22">
        <f t="shared" si="59"/>
        <v>0</v>
      </c>
      <c r="O1349" s="25">
        <f>0.035*M1349</f>
        <v>0</v>
      </c>
      <c r="P1349" s="26">
        <f>0.00024*M1349</f>
        <v>0</v>
      </c>
      <c r="Q1349" s="30"/>
      <c r="R1349" s="22" t="s">
        <v>4736</v>
      </c>
      <c r="S1349" s="22"/>
      <c r="T1349" s="21" t="str">
        <f>HYPERLINK("https://miland.ru/api/getInfo/image/cb133606-c700-11ed-a230-00155d82e902")</f>
        <v>https://miland.ru/api/getInfo/image/cb133606-c700-11ed-a230-00155d82e902</v>
      </c>
      <c r="U1349" s="21"/>
      <c r="V1349" s="21" t="s">
        <v>4706</v>
      </c>
      <c r="W1349" s="21" t="s">
        <v>4707</v>
      </c>
      <c r="X1349" s="21"/>
      <c r="Y1349" s="21" t="s">
        <v>41</v>
      </c>
      <c r="Z1349" s="21"/>
      <c r="AA1349" s="21" t="str">
        <f>HYPERLINK("https://miland.ru/api/getInfo/item/cb133606-c700-11ed-a230-00155d82e902")</f>
        <v>https://miland.ru/api/getInfo/item/cb133606-c700-11ed-a230-00155d82e902</v>
      </c>
      <c r="AB1349" s="21" t="s">
        <v>42</v>
      </c>
      <c r="AC1349" s="21"/>
      <c r="AD1349" s="21"/>
    </row>
    <row r="1350" spans="2:30" s="1" customFormat="1" ht="96.3" customHeight="1" outlineLevel="5">
      <c r="B1350" s="57">
        <v>1033</v>
      </c>
      <c r="C1350" s="21" t="s">
        <v>4737</v>
      </c>
      <c r="D1350" s="72" t="s">
        <v>4738</v>
      </c>
      <c r="E1350" s="72"/>
      <c r="F1350" s="72"/>
      <c r="G1350" s="72"/>
      <c r="H1350" s="22" t="s">
        <v>4739</v>
      </c>
      <c r="I1350" s="23" t="s">
        <v>36</v>
      </c>
      <c r="J1350" s="22"/>
      <c r="K1350" s="20">
        <v>6</v>
      </c>
      <c r="L1350" s="24">
        <v>96.78</v>
      </c>
      <c r="M1350" s="11"/>
      <c r="N1350" s="22">
        <f t="shared" si="59"/>
        <v>0</v>
      </c>
      <c r="O1350" s="25">
        <f>0.042*M1350</f>
        <v>0</v>
      </c>
      <c r="P1350" s="26">
        <f>0.00029*M1350</f>
        <v>0</v>
      </c>
      <c r="Q1350" s="30"/>
      <c r="R1350" s="22" t="s">
        <v>4740</v>
      </c>
      <c r="S1350" s="22"/>
      <c r="T1350" s="21" t="str">
        <f>HYPERLINK("https://miland.ru/api/getInfo/image/70073ea9-c700-11ed-a230-00155d82e902")</f>
        <v>https://miland.ru/api/getInfo/image/70073ea9-c700-11ed-a230-00155d82e902</v>
      </c>
      <c r="U1350" s="21"/>
      <c r="V1350" s="21" t="s">
        <v>4706</v>
      </c>
      <c r="W1350" s="21" t="s">
        <v>4707</v>
      </c>
      <c r="X1350" s="21"/>
      <c r="Y1350" s="21" t="s">
        <v>41</v>
      </c>
      <c r="Z1350" s="21"/>
      <c r="AA1350" s="21" t="str">
        <f>HYPERLINK("https://miland.ru/api/getInfo/item/70073ea9-c700-11ed-a230-00155d82e902")</f>
        <v>https://miland.ru/api/getInfo/item/70073ea9-c700-11ed-a230-00155d82e902</v>
      </c>
      <c r="AB1350" s="21" t="s">
        <v>42</v>
      </c>
      <c r="AC1350" s="21"/>
      <c r="AD1350" s="21"/>
    </row>
    <row r="1351" spans="2:30" s="1" customFormat="1" ht="96.3" customHeight="1" outlineLevel="5">
      <c r="B1351" s="57">
        <v>1034</v>
      </c>
      <c r="C1351" s="21" t="s">
        <v>4741</v>
      </c>
      <c r="D1351" s="72" t="s">
        <v>4742</v>
      </c>
      <c r="E1351" s="72"/>
      <c r="F1351" s="72"/>
      <c r="G1351" s="72"/>
      <c r="H1351" s="22" t="s">
        <v>4743</v>
      </c>
      <c r="I1351" s="23" t="s">
        <v>36</v>
      </c>
      <c r="J1351" s="22"/>
      <c r="K1351" s="20">
        <v>10</v>
      </c>
      <c r="L1351" s="24">
        <v>89.97</v>
      </c>
      <c r="M1351" s="11"/>
      <c r="N1351" s="22">
        <f t="shared" si="59"/>
        <v>0</v>
      </c>
      <c r="O1351" s="25">
        <f>0.029*M1351</f>
        <v>0</v>
      </c>
      <c r="P1351" s="26">
        <f>0.00026*M1351</f>
        <v>0</v>
      </c>
      <c r="Q1351" s="30"/>
      <c r="R1351" s="22" t="s">
        <v>4744</v>
      </c>
      <c r="S1351" s="22"/>
      <c r="T1351" s="21" t="str">
        <f>HYPERLINK("https://miland.ru/api/getInfo/image/ac744466-f8a1-11ee-a25d-00155d82e908")</f>
        <v>https://miland.ru/api/getInfo/image/ac744466-f8a1-11ee-a25d-00155d82e908</v>
      </c>
      <c r="U1351" s="21"/>
      <c r="V1351" s="21" t="s">
        <v>4706</v>
      </c>
      <c r="W1351" s="21" t="s">
        <v>4707</v>
      </c>
      <c r="X1351" s="21"/>
      <c r="Y1351" s="21" t="s">
        <v>41</v>
      </c>
      <c r="Z1351" s="21"/>
      <c r="AA1351" s="21" t="str">
        <f>HYPERLINK("https://miland.ru/api/getInfo/item/ac744466-f8a1-11ee-a25d-00155d82e908")</f>
        <v>https://miland.ru/api/getInfo/item/ac744466-f8a1-11ee-a25d-00155d82e908</v>
      </c>
      <c r="AB1351" s="21" t="s">
        <v>42</v>
      </c>
      <c r="AC1351" s="21" t="s">
        <v>4708</v>
      </c>
      <c r="AD1351" s="21"/>
    </row>
    <row r="1352" spans="2:30" s="1" customFormat="1" ht="96.3" customHeight="1" outlineLevel="5">
      <c r="B1352" s="57">
        <v>1035</v>
      </c>
      <c r="C1352" s="21" t="s">
        <v>4745</v>
      </c>
      <c r="D1352" s="72" t="s">
        <v>4746</v>
      </c>
      <c r="E1352" s="72"/>
      <c r="F1352" s="72"/>
      <c r="G1352" s="72"/>
      <c r="H1352" s="22" t="s">
        <v>4747</v>
      </c>
      <c r="I1352" s="23" t="s">
        <v>36</v>
      </c>
      <c r="J1352" s="22"/>
      <c r="K1352" s="20">
        <v>10</v>
      </c>
      <c r="L1352" s="24">
        <v>89.97</v>
      </c>
      <c r="M1352" s="11"/>
      <c r="N1352" s="22">
        <f t="shared" si="59"/>
        <v>0</v>
      </c>
      <c r="O1352" s="28">
        <f>0.03*M1352</f>
        <v>0</v>
      </c>
      <c r="P1352" s="26">
        <f>0.00027*M1352</f>
        <v>0</v>
      </c>
      <c r="Q1352" s="30"/>
      <c r="R1352" s="22" t="s">
        <v>4748</v>
      </c>
      <c r="S1352" s="22"/>
      <c r="T1352" s="21" t="str">
        <f>HYPERLINK("https://miland.ru/api/getInfo/image/bdd5374d-f8a1-11ee-a25d-00155d82e908")</f>
        <v>https://miland.ru/api/getInfo/image/bdd5374d-f8a1-11ee-a25d-00155d82e908</v>
      </c>
      <c r="U1352" s="21"/>
      <c r="V1352" s="21" t="s">
        <v>4706</v>
      </c>
      <c r="W1352" s="21" t="s">
        <v>4707</v>
      </c>
      <c r="X1352" s="21"/>
      <c r="Y1352" s="21" t="s">
        <v>41</v>
      </c>
      <c r="Z1352" s="21"/>
      <c r="AA1352" s="21" t="str">
        <f>HYPERLINK("https://miland.ru/api/getInfo/item/bdd5374d-f8a1-11ee-a25d-00155d82e908")</f>
        <v>https://miland.ru/api/getInfo/item/bdd5374d-f8a1-11ee-a25d-00155d82e908</v>
      </c>
      <c r="AB1352" s="21" t="s">
        <v>42</v>
      </c>
      <c r="AC1352" s="21" t="s">
        <v>4708</v>
      </c>
      <c r="AD1352" s="21"/>
    </row>
    <row r="1353" spans="2:30" s="1" customFormat="1" ht="96.3" customHeight="1" outlineLevel="5">
      <c r="B1353" s="57">
        <v>1036</v>
      </c>
      <c r="C1353" s="21" t="s">
        <v>4749</v>
      </c>
      <c r="D1353" s="72" t="s">
        <v>4750</v>
      </c>
      <c r="E1353" s="72"/>
      <c r="F1353" s="72"/>
      <c r="G1353" s="72"/>
      <c r="H1353" s="22" t="s">
        <v>4751</v>
      </c>
      <c r="I1353" s="23" t="s">
        <v>36</v>
      </c>
      <c r="J1353" s="22"/>
      <c r="K1353" s="20">
        <v>10</v>
      </c>
      <c r="L1353" s="24">
        <v>89.97</v>
      </c>
      <c r="M1353" s="11"/>
      <c r="N1353" s="22">
        <f t="shared" si="59"/>
        <v>0</v>
      </c>
      <c r="O1353" s="25">
        <f>0.029*M1353</f>
        <v>0</v>
      </c>
      <c r="P1353" s="26">
        <f>0.00026*M1353</f>
        <v>0</v>
      </c>
      <c r="Q1353" s="30"/>
      <c r="R1353" s="22" t="s">
        <v>4752</v>
      </c>
      <c r="S1353" s="22"/>
      <c r="T1353" s="21" t="str">
        <f>HYPERLINK("https://miland.ru/api/getInfo/image/59f4e141-f8a1-11ee-a25d-00155d82e908")</f>
        <v>https://miland.ru/api/getInfo/image/59f4e141-f8a1-11ee-a25d-00155d82e908</v>
      </c>
      <c r="U1353" s="21"/>
      <c r="V1353" s="21" t="s">
        <v>4706</v>
      </c>
      <c r="W1353" s="21" t="s">
        <v>4707</v>
      </c>
      <c r="X1353" s="21"/>
      <c r="Y1353" s="21" t="s">
        <v>41</v>
      </c>
      <c r="Z1353" s="21"/>
      <c r="AA1353" s="21" t="str">
        <f>HYPERLINK("https://miland.ru/api/getInfo/item/59f4e141-f8a1-11ee-a25d-00155d82e908")</f>
        <v>https://miland.ru/api/getInfo/item/59f4e141-f8a1-11ee-a25d-00155d82e908</v>
      </c>
      <c r="AB1353" s="21" t="s">
        <v>42</v>
      </c>
      <c r="AC1353" s="21" t="s">
        <v>4708</v>
      </c>
      <c r="AD1353" s="21"/>
    </row>
    <row r="1354" spans="2:30" s="1" customFormat="1" ht="96.3" customHeight="1" outlineLevel="5">
      <c r="B1354" s="57">
        <v>1037</v>
      </c>
      <c r="C1354" s="21" t="s">
        <v>4753</v>
      </c>
      <c r="D1354" s="72" t="s">
        <v>4754</v>
      </c>
      <c r="E1354" s="72"/>
      <c r="F1354" s="72"/>
      <c r="G1354" s="72"/>
      <c r="H1354" s="22" t="s">
        <v>4755</v>
      </c>
      <c r="I1354" s="23" t="s">
        <v>36</v>
      </c>
      <c r="J1354" s="22"/>
      <c r="K1354" s="20">
        <v>6</v>
      </c>
      <c r="L1354" s="24">
        <v>137.51</v>
      </c>
      <c r="M1354" s="11"/>
      <c r="N1354" s="22">
        <f t="shared" si="59"/>
        <v>0</v>
      </c>
      <c r="O1354" s="25">
        <f>0.035*M1354</f>
        <v>0</v>
      </c>
      <c r="P1354" s="26">
        <f>0.00031*M1354</f>
        <v>0</v>
      </c>
      <c r="Q1354" s="30"/>
      <c r="R1354" s="22" t="s">
        <v>4756</v>
      </c>
      <c r="S1354" s="22"/>
      <c r="T1354" s="21" t="str">
        <f>HYPERLINK("https://miland.ru/api/getInfo/image/052c5299-f8a2-11ee-a25d-00155d82e908")</f>
        <v>https://miland.ru/api/getInfo/image/052c5299-f8a2-11ee-a25d-00155d82e908</v>
      </c>
      <c r="U1354" s="21"/>
      <c r="V1354" s="21" t="s">
        <v>4706</v>
      </c>
      <c r="W1354" s="21" t="s">
        <v>4707</v>
      </c>
      <c r="X1354" s="21"/>
      <c r="Y1354" s="21" t="s">
        <v>41</v>
      </c>
      <c r="Z1354" s="21"/>
      <c r="AA1354" s="21" t="str">
        <f>HYPERLINK("https://miland.ru/api/getInfo/item/052c5299-f8a2-11ee-a25d-00155d82e908")</f>
        <v>https://miland.ru/api/getInfo/item/052c5299-f8a2-11ee-a25d-00155d82e908</v>
      </c>
      <c r="AB1354" s="21" t="s">
        <v>42</v>
      </c>
      <c r="AC1354" s="21" t="s">
        <v>4708</v>
      </c>
      <c r="AD1354" s="21"/>
    </row>
    <row r="1355" spans="2:30" s="1" customFormat="1" ht="96.3" customHeight="1" outlineLevel="5">
      <c r="B1355" s="57">
        <v>1038</v>
      </c>
      <c r="C1355" s="21" t="s">
        <v>4757</v>
      </c>
      <c r="D1355" s="72" t="s">
        <v>4758</v>
      </c>
      <c r="E1355" s="72"/>
      <c r="F1355" s="72"/>
      <c r="G1355" s="72"/>
      <c r="H1355" s="22" t="s">
        <v>4759</v>
      </c>
      <c r="I1355" s="23" t="s">
        <v>36</v>
      </c>
      <c r="J1355" s="22"/>
      <c r="K1355" s="20">
        <v>5</v>
      </c>
      <c r="L1355" s="24">
        <v>137.51</v>
      </c>
      <c r="M1355" s="11"/>
      <c r="N1355" s="22">
        <f t="shared" si="59"/>
        <v>0</v>
      </c>
      <c r="O1355" s="25">
        <f>0.042*M1355</f>
        <v>0</v>
      </c>
      <c r="P1355" s="26">
        <f>0.00026*M1355</f>
        <v>0</v>
      </c>
      <c r="Q1355" s="30"/>
      <c r="R1355" s="22" t="s">
        <v>4760</v>
      </c>
      <c r="S1355" s="22"/>
      <c r="T1355" s="21" t="str">
        <f>HYPERLINK("https://miland.ru/api/getInfo/image/1c478d7f-f8a2-11ee-a25d-00155d82e908")</f>
        <v>https://miland.ru/api/getInfo/image/1c478d7f-f8a2-11ee-a25d-00155d82e908</v>
      </c>
      <c r="U1355" s="21"/>
      <c r="V1355" s="21" t="s">
        <v>4706</v>
      </c>
      <c r="W1355" s="21" t="s">
        <v>4707</v>
      </c>
      <c r="X1355" s="21"/>
      <c r="Y1355" s="21" t="s">
        <v>41</v>
      </c>
      <c r="Z1355" s="21"/>
      <c r="AA1355" s="21" t="str">
        <f>HYPERLINK("https://miland.ru/api/getInfo/item/1c478d7f-f8a2-11ee-a25d-00155d82e908")</f>
        <v>https://miland.ru/api/getInfo/item/1c478d7f-f8a2-11ee-a25d-00155d82e908</v>
      </c>
      <c r="AB1355" s="21" t="s">
        <v>42</v>
      </c>
      <c r="AC1355" s="21" t="s">
        <v>4708</v>
      </c>
      <c r="AD1355" s="21"/>
    </row>
    <row r="1356" spans="2:30" s="1" customFormat="1" ht="96.3" customHeight="1" outlineLevel="5">
      <c r="B1356" s="57">
        <v>1039</v>
      </c>
      <c r="C1356" s="21" t="s">
        <v>4761</v>
      </c>
      <c r="D1356" s="72" t="s">
        <v>4762</v>
      </c>
      <c r="E1356" s="72"/>
      <c r="F1356" s="72"/>
      <c r="G1356" s="72"/>
      <c r="H1356" s="22" t="s">
        <v>4763</v>
      </c>
      <c r="I1356" s="23" t="s">
        <v>36</v>
      </c>
      <c r="J1356" s="22"/>
      <c r="K1356" s="20">
        <v>6</v>
      </c>
      <c r="L1356" s="24">
        <v>137.51</v>
      </c>
      <c r="M1356" s="11"/>
      <c r="N1356" s="22">
        <f t="shared" si="59"/>
        <v>0</v>
      </c>
      <c r="O1356" s="25">
        <f>0.043*M1356</f>
        <v>0</v>
      </c>
      <c r="P1356" s="26">
        <f>0.00027*M1356</f>
        <v>0</v>
      </c>
      <c r="Q1356" s="30"/>
      <c r="R1356" s="22" t="s">
        <v>4764</v>
      </c>
      <c r="S1356" s="22"/>
      <c r="T1356" s="21" t="str">
        <f>HYPERLINK("https://miland.ru/api/getInfo/image/e0d2b738-f8a1-11ee-a25d-00155d82e908")</f>
        <v>https://miland.ru/api/getInfo/image/e0d2b738-f8a1-11ee-a25d-00155d82e908</v>
      </c>
      <c r="U1356" s="21"/>
      <c r="V1356" s="21" t="s">
        <v>4706</v>
      </c>
      <c r="W1356" s="21" t="s">
        <v>4707</v>
      </c>
      <c r="X1356" s="21"/>
      <c r="Y1356" s="21" t="s">
        <v>41</v>
      </c>
      <c r="Z1356" s="21"/>
      <c r="AA1356" s="21" t="str">
        <f>HYPERLINK("https://miland.ru/api/getInfo/item/e0d2b738-f8a1-11ee-a25d-00155d82e908")</f>
        <v>https://miland.ru/api/getInfo/item/e0d2b738-f8a1-11ee-a25d-00155d82e908</v>
      </c>
      <c r="AB1356" s="21" t="s">
        <v>42</v>
      </c>
      <c r="AC1356" s="21" t="s">
        <v>4708</v>
      </c>
      <c r="AD1356" s="21"/>
    </row>
    <row r="1357" spans="2:30" ht="12" customHeight="1" outlineLevel="3">
      <c r="B1357" s="70" t="s">
        <v>4765</v>
      </c>
      <c r="C1357" s="70"/>
      <c r="D1357" s="70"/>
      <c r="E1357" s="70"/>
      <c r="F1357" s="70"/>
      <c r="G1357" s="70"/>
    </row>
    <row r="1358" spans="2:30" ht="12" customHeight="1" outlineLevel="4">
      <c r="B1358" s="70" t="s">
        <v>4766</v>
      </c>
      <c r="C1358" s="70"/>
      <c r="D1358" s="70"/>
      <c r="E1358" s="70"/>
      <c r="F1358" s="70"/>
      <c r="G1358" s="70"/>
    </row>
    <row r="1359" spans="2:30" ht="12" customHeight="1" outlineLevel="5">
      <c r="B1359" s="70" t="s">
        <v>4767</v>
      </c>
      <c r="C1359" s="70"/>
      <c r="D1359" s="70"/>
      <c r="E1359" s="70"/>
      <c r="F1359" s="70"/>
      <c r="G1359" s="70"/>
    </row>
    <row r="1360" spans="2:30" s="1" customFormat="1" ht="96.3" customHeight="1" outlineLevel="6">
      <c r="B1360" s="57">
        <v>1040</v>
      </c>
      <c r="C1360" s="21" t="s">
        <v>4768</v>
      </c>
      <c r="D1360" s="72" t="s">
        <v>4769</v>
      </c>
      <c r="E1360" s="72"/>
      <c r="F1360" s="72"/>
      <c r="G1360" s="72"/>
      <c r="H1360" s="22" t="s">
        <v>4770</v>
      </c>
      <c r="I1360" s="27">
        <v>182</v>
      </c>
      <c r="J1360" s="22"/>
      <c r="K1360" s="20">
        <v>1</v>
      </c>
      <c r="L1360" s="24">
        <v>703.56</v>
      </c>
      <c r="M1360" s="11"/>
      <c r="N1360" s="22">
        <f t="shared" ref="N1360:N1370" si="60">L1360*M1360</f>
        <v>0</v>
      </c>
      <c r="O1360" s="25">
        <f>0.143*M1360</f>
        <v>0</v>
      </c>
      <c r="P1360" s="29">
        <f>0.0083*M1360</f>
        <v>0</v>
      </c>
      <c r="Q1360" s="30"/>
      <c r="R1360" s="22" t="s">
        <v>4771</v>
      </c>
      <c r="S1360" s="22"/>
      <c r="T1360" s="21" t="str">
        <f>HYPERLINK("https://miland.ru/api/getInfo/image/b17bc4d5-bc3e-11ee-a25a-00155d82e908")</f>
        <v>https://miland.ru/api/getInfo/image/b17bc4d5-bc3e-11ee-a25a-00155d82e908</v>
      </c>
      <c r="U1360" s="21"/>
      <c r="V1360" s="21" t="s">
        <v>710</v>
      </c>
      <c r="W1360" s="21" t="s">
        <v>82</v>
      </c>
      <c r="X1360" s="21"/>
      <c r="Y1360" s="21" t="s">
        <v>41</v>
      </c>
      <c r="Z1360" s="21"/>
      <c r="AA1360" s="21" t="str">
        <f>HYPERLINK("https://miland.ru/api/getInfo/item/b17bc4d5-bc3e-11ee-a25a-00155d82e908")</f>
        <v>https://miland.ru/api/getInfo/item/b17bc4d5-bc3e-11ee-a25a-00155d82e908</v>
      </c>
      <c r="AB1360" s="21" t="s">
        <v>42</v>
      </c>
      <c r="AC1360" s="21" t="s">
        <v>4772</v>
      </c>
      <c r="AD1360" s="21"/>
    </row>
    <row r="1361" spans="2:31" s="1" customFormat="1" ht="96.3" customHeight="1" outlineLevel="6">
      <c r="B1361" s="58">
        <v>1041</v>
      </c>
      <c r="C1361" s="7" t="s">
        <v>4773</v>
      </c>
      <c r="D1361" s="71" t="s">
        <v>4774</v>
      </c>
      <c r="E1361" s="71"/>
      <c r="F1361" s="71"/>
      <c r="G1361" s="71"/>
      <c r="H1361" s="8" t="s">
        <v>4775</v>
      </c>
      <c r="I1361" s="9" t="s">
        <v>36</v>
      </c>
      <c r="J1361" s="8"/>
      <c r="K1361" s="6">
        <v>5</v>
      </c>
      <c r="L1361" s="10">
        <v>123.04</v>
      </c>
      <c r="M1361" s="11"/>
      <c r="N1361" s="8">
        <f t="shared" si="60"/>
        <v>0</v>
      </c>
      <c r="O1361" s="12">
        <f>0.031*M1361</f>
        <v>0</v>
      </c>
      <c r="P1361" s="13">
        <f>0.00128*M1361</f>
        <v>0</v>
      </c>
      <c r="Q1361" s="17" t="s">
        <v>37</v>
      </c>
      <c r="R1361" s="8" t="s">
        <v>4776</v>
      </c>
      <c r="S1361" s="8"/>
      <c r="T1361" s="7" t="str">
        <f>HYPERLINK("https://miland.ru/api/getInfo/image/870c6706-2f54-11f1-a292-00155d82e908")</f>
        <v>https://miland.ru/api/getInfo/image/870c6706-2f54-11f1-a292-00155d82e908</v>
      </c>
      <c r="U1361" s="7"/>
      <c r="V1361" s="7"/>
      <c r="W1361" s="7" t="s">
        <v>82</v>
      </c>
      <c r="X1361" s="7"/>
      <c r="Y1361" s="7" t="s">
        <v>41</v>
      </c>
      <c r="Z1361" s="7"/>
      <c r="AA1361" s="7" t="str">
        <f>HYPERLINK("https://miland.ru/api/getInfo/item/870c6706-2f54-11f1-a292-00155d82e908")</f>
        <v>https://miland.ru/api/getInfo/item/870c6706-2f54-11f1-a292-00155d82e908</v>
      </c>
      <c r="AB1361" s="7" t="s">
        <v>42</v>
      </c>
      <c r="AC1361" s="7"/>
      <c r="AD1361" s="7"/>
      <c r="AE1361" s="54"/>
    </row>
    <row r="1362" spans="2:31" s="1" customFormat="1" ht="96.3" customHeight="1" outlineLevel="6">
      <c r="B1362" s="57">
        <v>1042</v>
      </c>
      <c r="C1362" s="21" t="s">
        <v>4777</v>
      </c>
      <c r="D1362" s="72" t="s">
        <v>4778</v>
      </c>
      <c r="E1362" s="72"/>
      <c r="F1362" s="72"/>
      <c r="G1362" s="72"/>
      <c r="H1362" s="22" t="s">
        <v>4779</v>
      </c>
      <c r="I1362" s="27">
        <v>250</v>
      </c>
      <c r="J1362" s="22"/>
      <c r="K1362" s="20">
        <v>1</v>
      </c>
      <c r="L1362" s="24">
        <v>773.92</v>
      </c>
      <c r="M1362" s="11"/>
      <c r="N1362" s="22">
        <f t="shared" si="60"/>
        <v>0</v>
      </c>
      <c r="O1362" s="25">
        <f>0.171*M1362</f>
        <v>0</v>
      </c>
      <c r="P1362" s="26">
        <f>0.00753*M1362</f>
        <v>0</v>
      </c>
      <c r="Q1362" s="30"/>
      <c r="R1362" s="22" t="s">
        <v>4780</v>
      </c>
      <c r="S1362" s="22" t="s">
        <v>435</v>
      </c>
      <c r="T1362" s="21" t="str">
        <f>HYPERLINK("https://miland.ru/api/getInfo/image/9423b0f7-963b-11ed-a22d-00155d82e902")</f>
        <v>https://miland.ru/api/getInfo/image/9423b0f7-963b-11ed-a22d-00155d82e902</v>
      </c>
      <c r="U1362" s="21"/>
      <c r="V1362" s="21" t="s">
        <v>710</v>
      </c>
      <c r="W1362" s="21" t="s">
        <v>82</v>
      </c>
      <c r="X1362" s="21"/>
      <c r="Y1362" s="21" t="s">
        <v>41</v>
      </c>
      <c r="Z1362" s="21"/>
      <c r="AA1362" s="21" t="str">
        <f>HYPERLINK("https://miland.ru/api/getInfo/item/9423b0f7-963b-11ed-a22d-00155d82e902")</f>
        <v>https://miland.ru/api/getInfo/item/9423b0f7-963b-11ed-a22d-00155d82e902</v>
      </c>
      <c r="AB1362" s="21" t="s">
        <v>42</v>
      </c>
      <c r="AC1362" s="21"/>
      <c r="AD1362" s="21"/>
    </row>
    <row r="1363" spans="2:31" s="1" customFormat="1" ht="96.3" customHeight="1" outlineLevel="6">
      <c r="B1363" s="57">
        <v>1043</v>
      </c>
      <c r="C1363" s="21" t="s">
        <v>4781</v>
      </c>
      <c r="D1363" s="72" t="s">
        <v>4782</v>
      </c>
      <c r="E1363" s="72"/>
      <c r="F1363" s="72"/>
      <c r="G1363" s="72"/>
      <c r="H1363" s="22" t="s">
        <v>4783</v>
      </c>
      <c r="I1363" s="27">
        <v>90</v>
      </c>
      <c r="J1363" s="22"/>
      <c r="K1363" s="20">
        <v>1</v>
      </c>
      <c r="L1363" s="24">
        <v>829.19</v>
      </c>
      <c r="M1363" s="11"/>
      <c r="N1363" s="22">
        <f t="shared" si="60"/>
        <v>0</v>
      </c>
      <c r="O1363" s="25">
        <f>0.248*M1363</f>
        <v>0</v>
      </c>
      <c r="P1363" s="26">
        <f>0.00457*M1363</f>
        <v>0</v>
      </c>
      <c r="Q1363" s="30"/>
      <c r="R1363" s="22" t="s">
        <v>4784</v>
      </c>
      <c r="S1363" s="22" t="s">
        <v>435</v>
      </c>
      <c r="T1363" s="21" t="str">
        <f>HYPERLINK("https://miland.ru/api/getInfo/image/3b490bf2-963c-11ed-a22d-00155d82e902")</f>
        <v>https://miland.ru/api/getInfo/image/3b490bf2-963c-11ed-a22d-00155d82e902</v>
      </c>
      <c r="U1363" s="21"/>
      <c r="V1363" s="21" t="s">
        <v>710</v>
      </c>
      <c r="W1363" s="21" t="s">
        <v>82</v>
      </c>
      <c r="X1363" s="21"/>
      <c r="Y1363" s="21" t="s">
        <v>41</v>
      </c>
      <c r="Z1363" s="21"/>
      <c r="AA1363" s="21" t="str">
        <f>HYPERLINK("https://miland.ru/api/getInfo/item/3b490bf2-963c-11ed-a22d-00155d82e902")</f>
        <v>https://miland.ru/api/getInfo/item/3b490bf2-963c-11ed-a22d-00155d82e902</v>
      </c>
      <c r="AB1363" s="21" t="s">
        <v>42</v>
      </c>
      <c r="AC1363" s="21"/>
      <c r="AD1363" s="21"/>
    </row>
    <row r="1364" spans="2:31" s="1" customFormat="1" ht="96.3" customHeight="1" outlineLevel="6">
      <c r="B1364" s="57">
        <v>1044</v>
      </c>
      <c r="C1364" s="21" t="s">
        <v>4785</v>
      </c>
      <c r="D1364" s="72" t="s">
        <v>4786</v>
      </c>
      <c r="E1364" s="72"/>
      <c r="F1364" s="72"/>
      <c r="G1364" s="72"/>
      <c r="H1364" s="22" t="s">
        <v>4787</v>
      </c>
      <c r="I1364" s="27">
        <v>10</v>
      </c>
      <c r="J1364" s="22"/>
      <c r="K1364" s="20">
        <v>1</v>
      </c>
      <c r="L1364" s="24">
        <v>444.78</v>
      </c>
      <c r="M1364" s="11"/>
      <c r="N1364" s="22">
        <f t="shared" si="60"/>
        <v>0</v>
      </c>
      <c r="O1364" s="25">
        <f>0.166*M1364</f>
        <v>0</v>
      </c>
      <c r="P1364" s="26">
        <f>0.00205*M1364</f>
        <v>0</v>
      </c>
      <c r="Q1364" s="30"/>
      <c r="R1364" s="22" t="s">
        <v>4788</v>
      </c>
      <c r="S1364" s="22" t="s">
        <v>435</v>
      </c>
      <c r="T1364" s="21" t="str">
        <f>HYPERLINK("https://miland.ru/api/getInfo/image/996f395d-20df-11f0-a279-00155d82e908")</f>
        <v>https://miland.ru/api/getInfo/image/996f395d-20df-11f0-a279-00155d82e908</v>
      </c>
      <c r="U1364" s="21"/>
      <c r="V1364" s="21" t="s">
        <v>710</v>
      </c>
      <c r="W1364" s="21" t="s">
        <v>82</v>
      </c>
      <c r="X1364" s="21"/>
      <c r="Y1364" s="21" t="s">
        <v>41</v>
      </c>
      <c r="Z1364" s="21"/>
      <c r="AA1364" s="21" t="str">
        <f>HYPERLINK("https://miland.ru/api/getInfo/item/996f395d-20df-11f0-a279-00155d82e908")</f>
        <v>https://miland.ru/api/getInfo/item/996f395d-20df-11f0-a279-00155d82e908</v>
      </c>
      <c r="AB1364" s="21" t="s">
        <v>42</v>
      </c>
      <c r="AC1364" s="21"/>
      <c r="AD1364" s="21"/>
    </row>
    <row r="1365" spans="2:31" s="1" customFormat="1" ht="96.3" customHeight="1" outlineLevel="6">
      <c r="B1365" s="57">
        <v>1045</v>
      </c>
      <c r="C1365" s="21" t="s">
        <v>4789</v>
      </c>
      <c r="D1365" s="72" t="s">
        <v>4790</v>
      </c>
      <c r="E1365" s="72"/>
      <c r="F1365" s="72"/>
      <c r="G1365" s="72"/>
      <c r="H1365" s="22" t="s">
        <v>4791</v>
      </c>
      <c r="I1365" s="27">
        <v>12</v>
      </c>
      <c r="J1365" s="22"/>
      <c r="K1365" s="20">
        <v>1</v>
      </c>
      <c r="L1365" s="24">
        <v>691.88</v>
      </c>
      <c r="M1365" s="11"/>
      <c r="N1365" s="22">
        <f t="shared" si="60"/>
        <v>0</v>
      </c>
      <c r="O1365" s="25">
        <f>0.264*M1365</f>
        <v>0</v>
      </c>
      <c r="P1365" s="26">
        <f>0.00213*M1365</f>
        <v>0</v>
      </c>
      <c r="Q1365" s="30"/>
      <c r="R1365" s="22" t="s">
        <v>4792</v>
      </c>
      <c r="S1365" s="22"/>
      <c r="T1365" s="21" t="str">
        <f>HYPERLINK("https://miland.ru/api/getInfo/image/16be695a-20dc-11f0-a279-00155d82e908")</f>
        <v>https://miland.ru/api/getInfo/image/16be695a-20dc-11f0-a279-00155d82e908</v>
      </c>
      <c r="U1365" s="21"/>
      <c r="V1365" s="21" t="s">
        <v>710</v>
      </c>
      <c r="W1365" s="21" t="s">
        <v>82</v>
      </c>
      <c r="X1365" s="21"/>
      <c r="Y1365" s="21" t="s">
        <v>41</v>
      </c>
      <c r="Z1365" s="21"/>
      <c r="AA1365" s="21" t="str">
        <f>HYPERLINK("https://miland.ru/api/getInfo/item/16be695a-20dc-11f0-a279-00155d82e908")</f>
        <v>https://miland.ru/api/getInfo/item/16be695a-20dc-11f0-a279-00155d82e908</v>
      </c>
      <c r="AB1365" s="21" t="s">
        <v>42</v>
      </c>
      <c r="AC1365" s="21"/>
      <c r="AD1365" s="21"/>
    </row>
    <row r="1366" spans="2:31" s="1" customFormat="1" ht="96.3" customHeight="1" outlineLevel="6">
      <c r="B1366" s="57">
        <v>1046</v>
      </c>
      <c r="C1366" s="21" t="s">
        <v>4793</v>
      </c>
      <c r="D1366" s="72" t="s">
        <v>4794</v>
      </c>
      <c r="E1366" s="72"/>
      <c r="F1366" s="72"/>
      <c r="G1366" s="72"/>
      <c r="H1366" s="22" t="s">
        <v>4795</v>
      </c>
      <c r="I1366" s="27">
        <v>70</v>
      </c>
      <c r="J1366" s="22"/>
      <c r="K1366" s="20">
        <v>1</v>
      </c>
      <c r="L1366" s="32">
        <v>1433.17</v>
      </c>
      <c r="M1366" s="11"/>
      <c r="N1366" s="22">
        <f t="shared" si="60"/>
        <v>0</v>
      </c>
      <c r="O1366" s="25">
        <f>0.525*M1366</f>
        <v>0</v>
      </c>
      <c r="P1366" s="26">
        <f>0.01295*M1366</f>
        <v>0</v>
      </c>
      <c r="Q1366" s="30"/>
      <c r="R1366" s="22" t="s">
        <v>4796</v>
      </c>
      <c r="S1366" s="22"/>
      <c r="T1366" s="21" t="str">
        <f>HYPERLINK("https://miland.ru/api/getInfo/image/fb99589d-20dd-11f0-a279-00155d82e908")</f>
        <v>https://miland.ru/api/getInfo/image/fb99589d-20dd-11f0-a279-00155d82e908</v>
      </c>
      <c r="U1366" s="21"/>
      <c r="V1366" s="21" t="s">
        <v>710</v>
      </c>
      <c r="W1366" s="21" t="s">
        <v>82</v>
      </c>
      <c r="X1366" s="21"/>
      <c r="Y1366" s="21" t="s">
        <v>41</v>
      </c>
      <c r="Z1366" s="21"/>
      <c r="AA1366" s="21" t="str">
        <f>HYPERLINK("https://miland.ru/api/getInfo/item/fb99589d-20dd-11f0-a279-00155d82e908")</f>
        <v>https://miland.ru/api/getInfo/item/fb99589d-20dd-11f0-a279-00155d82e908</v>
      </c>
      <c r="AB1366" s="21" t="s">
        <v>42</v>
      </c>
      <c r="AC1366" s="21"/>
      <c r="AD1366" s="21"/>
    </row>
    <row r="1367" spans="2:31" s="1" customFormat="1" ht="96.3" customHeight="1" outlineLevel="6">
      <c r="B1367" s="57">
        <v>1047</v>
      </c>
      <c r="C1367" s="21" t="s">
        <v>4797</v>
      </c>
      <c r="D1367" s="72" t="s">
        <v>4798</v>
      </c>
      <c r="E1367" s="72"/>
      <c r="F1367" s="72"/>
      <c r="G1367" s="72"/>
      <c r="H1367" s="22" t="s">
        <v>4799</v>
      </c>
      <c r="I1367" s="27">
        <v>37</v>
      </c>
      <c r="J1367" s="22"/>
      <c r="K1367" s="20">
        <v>1</v>
      </c>
      <c r="L1367" s="24">
        <v>829.19</v>
      </c>
      <c r="M1367" s="11"/>
      <c r="N1367" s="22">
        <f t="shared" si="60"/>
        <v>0</v>
      </c>
      <c r="O1367" s="25">
        <f>0.211*M1367</f>
        <v>0</v>
      </c>
      <c r="P1367" s="26">
        <f>0.00806*M1367</f>
        <v>0</v>
      </c>
      <c r="Q1367" s="30"/>
      <c r="R1367" s="22" t="s">
        <v>4800</v>
      </c>
      <c r="S1367" s="22" t="s">
        <v>435</v>
      </c>
      <c r="T1367" s="21" t="str">
        <f>HYPERLINK("https://miland.ru/api/getInfo/image/fc883321-963b-11ed-a22d-00155d82e902")</f>
        <v>https://miland.ru/api/getInfo/image/fc883321-963b-11ed-a22d-00155d82e902</v>
      </c>
      <c r="U1367" s="21"/>
      <c r="V1367" s="21" t="s">
        <v>710</v>
      </c>
      <c r="W1367" s="21" t="s">
        <v>82</v>
      </c>
      <c r="X1367" s="21"/>
      <c r="Y1367" s="21" t="s">
        <v>41</v>
      </c>
      <c r="Z1367" s="21"/>
      <c r="AA1367" s="21" t="str">
        <f>HYPERLINK("https://miland.ru/api/getInfo/item/fc883321-963b-11ed-a22d-00155d82e902")</f>
        <v>https://miland.ru/api/getInfo/item/fc883321-963b-11ed-a22d-00155d82e902</v>
      </c>
      <c r="AB1367" s="21" t="s">
        <v>42</v>
      </c>
      <c r="AC1367" s="21"/>
      <c r="AD1367" s="21"/>
    </row>
    <row r="1368" spans="2:31" s="1" customFormat="1" ht="96.3" customHeight="1" outlineLevel="6">
      <c r="B1368" s="57">
        <v>1048</v>
      </c>
      <c r="C1368" s="21" t="s">
        <v>4801</v>
      </c>
      <c r="D1368" s="72" t="s">
        <v>4802</v>
      </c>
      <c r="E1368" s="72"/>
      <c r="F1368" s="72"/>
      <c r="G1368" s="72"/>
      <c r="H1368" s="22" t="s">
        <v>4803</v>
      </c>
      <c r="I1368" s="23" t="s">
        <v>36</v>
      </c>
      <c r="J1368" s="22"/>
      <c r="K1368" s="20">
        <v>2</v>
      </c>
      <c r="L1368" s="24">
        <v>278.8</v>
      </c>
      <c r="M1368" s="11"/>
      <c r="N1368" s="22">
        <f t="shared" si="60"/>
        <v>0</v>
      </c>
      <c r="O1368" s="25">
        <f>0.062*M1368</f>
        <v>0</v>
      </c>
      <c r="P1368" s="26">
        <f>0.00151*M1368</f>
        <v>0</v>
      </c>
      <c r="Q1368" s="30"/>
      <c r="R1368" s="22" t="s">
        <v>4804</v>
      </c>
      <c r="S1368" s="22"/>
      <c r="T1368" s="21" t="str">
        <f>HYPERLINK("https://miland.ru/api/getInfo/image/9b416d04-8a69-11ec-a211-ac1f6b442185")</f>
        <v>https://miland.ru/api/getInfo/image/9b416d04-8a69-11ec-a211-ac1f6b442185</v>
      </c>
      <c r="U1368" s="21"/>
      <c r="V1368" s="21" t="s">
        <v>710</v>
      </c>
      <c r="W1368" s="21" t="s">
        <v>82</v>
      </c>
      <c r="X1368" s="21"/>
      <c r="Y1368" s="21" t="s">
        <v>41</v>
      </c>
      <c r="Z1368" s="21"/>
      <c r="AA1368" s="21" t="str">
        <f>HYPERLINK("https://miland.ru/api/getInfo/item/9b416d04-8a69-11ec-a211-ac1f6b442185")</f>
        <v>https://miland.ru/api/getInfo/item/9b416d04-8a69-11ec-a211-ac1f6b442185</v>
      </c>
      <c r="AB1368" s="21" t="s">
        <v>42</v>
      </c>
      <c r="AC1368" s="21" t="s">
        <v>4805</v>
      </c>
      <c r="AD1368" s="21"/>
    </row>
    <row r="1369" spans="2:31" s="1" customFormat="1" ht="96.3" customHeight="1" outlineLevel="6">
      <c r="B1369" s="57">
        <v>1049</v>
      </c>
      <c r="C1369" s="21" t="s">
        <v>4806</v>
      </c>
      <c r="D1369" s="72" t="s">
        <v>4807</v>
      </c>
      <c r="E1369" s="72"/>
      <c r="F1369" s="72"/>
      <c r="G1369" s="72"/>
      <c r="H1369" s="22" t="s">
        <v>4808</v>
      </c>
      <c r="I1369" s="23" t="s">
        <v>36</v>
      </c>
      <c r="J1369" s="22"/>
      <c r="K1369" s="20">
        <v>2</v>
      </c>
      <c r="L1369" s="24">
        <v>278.8</v>
      </c>
      <c r="M1369" s="11"/>
      <c r="N1369" s="22">
        <f t="shared" si="60"/>
        <v>0</v>
      </c>
      <c r="O1369" s="25">
        <f>0.061*M1369</f>
        <v>0</v>
      </c>
      <c r="P1369" s="26">
        <f>0.00226*M1369</f>
        <v>0</v>
      </c>
      <c r="Q1369" s="30"/>
      <c r="R1369" s="22" t="s">
        <v>4809</v>
      </c>
      <c r="S1369" s="22"/>
      <c r="T1369" s="21" t="str">
        <f>HYPERLINK("https://miland.ru/api/getInfo/image/220ecf5c-8a6a-11ec-a211-ac1f6b442185")</f>
        <v>https://miland.ru/api/getInfo/image/220ecf5c-8a6a-11ec-a211-ac1f6b442185</v>
      </c>
      <c r="U1369" s="21"/>
      <c r="V1369" s="21" t="s">
        <v>710</v>
      </c>
      <c r="W1369" s="21" t="s">
        <v>82</v>
      </c>
      <c r="X1369" s="21"/>
      <c r="Y1369" s="21" t="s">
        <v>41</v>
      </c>
      <c r="Z1369" s="21"/>
      <c r="AA1369" s="21" t="str">
        <f>HYPERLINK("https://miland.ru/api/getInfo/item/220ecf5c-8a6a-11ec-a211-ac1f6b442185")</f>
        <v>https://miland.ru/api/getInfo/item/220ecf5c-8a6a-11ec-a211-ac1f6b442185</v>
      </c>
      <c r="AB1369" s="21" t="s">
        <v>42</v>
      </c>
      <c r="AC1369" s="21" t="s">
        <v>4805</v>
      </c>
      <c r="AD1369" s="21"/>
    </row>
    <row r="1370" spans="2:31" s="1" customFormat="1" ht="96.3" customHeight="1" outlineLevel="6">
      <c r="B1370" s="57">
        <v>1050</v>
      </c>
      <c r="C1370" s="21" t="s">
        <v>4810</v>
      </c>
      <c r="D1370" s="72" t="s">
        <v>4811</v>
      </c>
      <c r="E1370" s="72"/>
      <c r="F1370" s="72"/>
      <c r="G1370" s="72"/>
      <c r="H1370" s="22" t="s">
        <v>4812</v>
      </c>
      <c r="I1370" s="27">
        <v>76</v>
      </c>
      <c r="J1370" s="22"/>
      <c r="K1370" s="20">
        <v>3</v>
      </c>
      <c r="L1370" s="24">
        <v>207.57</v>
      </c>
      <c r="M1370" s="11"/>
      <c r="N1370" s="22">
        <f t="shared" si="60"/>
        <v>0</v>
      </c>
      <c r="O1370" s="28">
        <f>0.07*M1370</f>
        <v>0</v>
      </c>
      <c r="P1370" s="26">
        <f>0.00499*M1370</f>
        <v>0</v>
      </c>
      <c r="Q1370" s="30"/>
      <c r="R1370" s="22" t="s">
        <v>4813</v>
      </c>
      <c r="S1370" s="22" t="s">
        <v>435</v>
      </c>
      <c r="T1370" s="21" t="str">
        <f>HYPERLINK("https://miland.ru/api/getInfo/image/8115c4d8-5295-11e8-b825-5cf3fc4a2490")</f>
        <v>https://miland.ru/api/getInfo/image/8115c4d8-5295-11e8-b825-5cf3fc4a2490</v>
      </c>
      <c r="U1370" s="21"/>
      <c r="V1370" s="21" t="s">
        <v>710</v>
      </c>
      <c r="W1370" s="21" t="s">
        <v>82</v>
      </c>
      <c r="X1370" s="21"/>
      <c r="Y1370" s="21" t="s">
        <v>41</v>
      </c>
      <c r="Z1370" s="21"/>
      <c r="AA1370" s="21" t="str">
        <f>HYPERLINK("https://miland.ru/api/getInfo/item/8115c4d8-5295-11e8-b825-5cf3fc4a2490")</f>
        <v>https://miland.ru/api/getInfo/item/8115c4d8-5295-11e8-b825-5cf3fc4a2490</v>
      </c>
      <c r="AB1370" s="21" t="s">
        <v>42</v>
      </c>
      <c r="AC1370" s="21" t="s">
        <v>4340</v>
      </c>
      <c r="AD1370" s="21"/>
    </row>
    <row r="1371" spans="2:31" ht="12" customHeight="1" outlineLevel="5">
      <c r="B1371" s="70" t="s">
        <v>4814</v>
      </c>
      <c r="C1371" s="70"/>
      <c r="D1371" s="70"/>
      <c r="E1371" s="70"/>
      <c r="F1371" s="70"/>
      <c r="G1371" s="70"/>
    </row>
    <row r="1372" spans="2:31" s="1" customFormat="1" ht="96.3" customHeight="1" outlineLevel="6">
      <c r="B1372" s="57">
        <v>1051</v>
      </c>
      <c r="C1372" s="21" t="s">
        <v>4815</v>
      </c>
      <c r="D1372" s="72" t="s">
        <v>4816</v>
      </c>
      <c r="E1372" s="72"/>
      <c r="F1372" s="72"/>
      <c r="G1372" s="72"/>
      <c r="H1372" s="22" t="s">
        <v>4817</v>
      </c>
      <c r="I1372" s="27">
        <v>296</v>
      </c>
      <c r="J1372" s="22"/>
      <c r="K1372" s="20">
        <v>2</v>
      </c>
      <c r="L1372" s="24">
        <v>335.56</v>
      </c>
      <c r="M1372" s="11"/>
      <c r="N1372" s="22">
        <f>L1372*M1372</f>
        <v>0</v>
      </c>
      <c r="O1372" s="25">
        <f>0.064*M1372</f>
        <v>0</v>
      </c>
      <c r="P1372" s="26">
        <f>0.00403*M1372</f>
        <v>0</v>
      </c>
      <c r="Q1372" s="30"/>
      <c r="R1372" s="22" t="s">
        <v>4818</v>
      </c>
      <c r="S1372" s="22" t="s">
        <v>435</v>
      </c>
      <c r="T1372" s="21" t="str">
        <f>HYPERLINK("https://miland.ru/api/getInfo/image/a742c401-b6cc-11ee-a25a-00155d82e908")</f>
        <v>https://miland.ru/api/getInfo/image/a742c401-b6cc-11ee-a25a-00155d82e908</v>
      </c>
      <c r="U1372" s="21"/>
      <c r="V1372" s="21" t="s">
        <v>710</v>
      </c>
      <c r="W1372" s="21" t="s">
        <v>82</v>
      </c>
      <c r="X1372" s="21"/>
      <c r="Y1372" s="21" t="s">
        <v>41</v>
      </c>
      <c r="Z1372" s="21"/>
      <c r="AA1372" s="21" t="str">
        <f>HYPERLINK("https://miland.ru/api/getInfo/item/a742c401-b6cc-11ee-a25a-00155d82e908")</f>
        <v>https://miland.ru/api/getInfo/item/a742c401-b6cc-11ee-a25a-00155d82e908</v>
      </c>
      <c r="AB1372" s="21" t="s">
        <v>42</v>
      </c>
      <c r="AC1372" s="21" t="s">
        <v>4819</v>
      </c>
      <c r="AD1372" s="21"/>
    </row>
    <row r="1373" spans="2:31" s="1" customFormat="1" ht="96.3" customHeight="1" outlineLevel="6">
      <c r="B1373" s="57">
        <v>1052</v>
      </c>
      <c r="C1373" s="21" t="s">
        <v>4820</v>
      </c>
      <c r="D1373" s="72" t="s">
        <v>4821</v>
      </c>
      <c r="E1373" s="72"/>
      <c r="F1373" s="72"/>
      <c r="G1373" s="72"/>
      <c r="H1373" s="22" t="s">
        <v>4822</v>
      </c>
      <c r="I1373" s="23" t="s">
        <v>36</v>
      </c>
      <c r="J1373" s="22"/>
      <c r="K1373" s="20">
        <v>1</v>
      </c>
      <c r="L1373" s="24">
        <v>859.35</v>
      </c>
      <c r="M1373" s="11"/>
      <c r="N1373" s="22">
        <f>L1373*M1373</f>
        <v>0</v>
      </c>
      <c r="O1373" s="25">
        <f>0.205*M1373</f>
        <v>0</v>
      </c>
      <c r="P1373" s="26">
        <f>0.00398*M1373</f>
        <v>0</v>
      </c>
      <c r="Q1373" s="30"/>
      <c r="R1373" s="22" t="s">
        <v>4823</v>
      </c>
      <c r="S1373" s="22" t="s">
        <v>435</v>
      </c>
      <c r="T1373" s="21" t="str">
        <f>HYPERLINK("https://miland.ru/api/getInfo/image/1ca87031-963a-11ed-a22d-00155d82e902")</f>
        <v>https://miland.ru/api/getInfo/image/1ca87031-963a-11ed-a22d-00155d82e902</v>
      </c>
      <c r="U1373" s="21"/>
      <c r="V1373" s="21" t="s">
        <v>710</v>
      </c>
      <c r="W1373" s="21" t="s">
        <v>82</v>
      </c>
      <c r="X1373" s="21"/>
      <c r="Y1373" s="21" t="s">
        <v>41</v>
      </c>
      <c r="Z1373" s="21"/>
      <c r="AA1373" s="21" t="str">
        <f>HYPERLINK("https://miland.ru/api/getInfo/item/1ca87031-963a-11ed-a22d-00155d82e902")</f>
        <v>https://miland.ru/api/getInfo/item/1ca87031-963a-11ed-a22d-00155d82e902</v>
      </c>
      <c r="AB1373" s="21" t="s">
        <v>42</v>
      </c>
      <c r="AC1373" s="21"/>
      <c r="AD1373" s="21"/>
    </row>
    <row r="1374" spans="2:31" s="1" customFormat="1" ht="96.3" customHeight="1" outlineLevel="6">
      <c r="B1374" s="57">
        <v>1053</v>
      </c>
      <c r="C1374" s="21" t="s">
        <v>4824</v>
      </c>
      <c r="D1374" s="72" t="s">
        <v>4825</v>
      </c>
      <c r="E1374" s="72"/>
      <c r="F1374" s="72"/>
      <c r="G1374" s="72"/>
      <c r="H1374" s="22" t="s">
        <v>4826</v>
      </c>
      <c r="I1374" s="27">
        <v>203</v>
      </c>
      <c r="J1374" s="22"/>
      <c r="K1374" s="20">
        <v>2</v>
      </c>
      <c r="L1374" s="24">
        <v>354.67</v>
      </c>
      <c r="M1374" s="11"/>
      <c r="N1374" s="22">
        <f>L1374*M1374</f>
        <v>0</v>
      </c>
      <c r="O1374" s="28">
        <f>0.08*M1374</f>
        <v>0</v>
      </c>
      <c r="P1374" s="26">
        <f>0.00536*M1374</f>
        <v>0</v>
      </c>
      <c r="Q1374" s="30"/>
      <c r="R1374" s="22" t="s">
        <v>4827</v>
      </c>
      <c r="S1374" s="22" t="s">
        <v>435</v>
      </c>
      <c r="T1374" s="21" t="str">
        <f>HYPERLINK("https://miland.ru/api/getInfo/image/5794112c-9639-11ed-a22d-00155d82e902")</f>
        <v>https://miland.ru/api/getInfo/image/5794112c-9639-11ed-a22d-00155d82e902</v>
      </c>
      <c r="U1374" s="21"/>
      <c r="V1374" s="21" t="s">
        <v>710</v>
      </c>
      <c r="W1374" s="21" t="s">
        <v>82</v>
      </c>
      <c r="X1374" s="21"/>
      <c r="Y1374" s="21" t="s">
        <v>41</v>
      </c>
      <c r="Z1374" s="21"/>
      <c r="AA1374" s="21" t="str">
        <f>HYPERLINK("https://miland.ru/api/getInfo/item/5794112c-9639-11ed-a22d-00155d82e902")</f>
        <v>https://miland.ru/api/getInfo/item/5794112c-9639-11ed-a22d-00155d82e902</v>
      </c>
      <c r="AB1374" s="21" t="s">
        <v>42</v>
      </c>
      <c r="AC1374" s="21"/>
      <c r="AD1374" s="21"/>
    </row>
    <row r="1375" spans="2:31" s="1" customFormat="1" ht="96.3" customHeight="1" outlineLevel="6">
      <c r="B1375" s="57">
        <v>1054</v>
      </c>
      <c r="C1375" s="21" t="s">
        <v>4828</v>
      </c>
      <c r="D1375" s="72" t="s">
        <v>4829</v>
      </c>
      <c r="E1375" s="72"/>
      <c r="F1375" s="72"/>
      <c r="G1375" s="72"/>
      <c r="H1375" s="22" t="s">
        <v>4830</v>
      </c>
      <c r="I1375" s="27">
        <v>6</v>
      </c>
      <c r="J1375" s="22"/>
      <c r="K1375" s="20">
        <v>2</v>
      </c>
      <c r="L1375" s="24">
        <v>292.98</v>
      </c>
      <c r="M1375" s="11"/>
      <c r="N1375" s="22">
        <f>L1375*M1375</f>
        <v>0</v>
      </c>
      <c r="O1375" s="25">
        <f>0.028*M1375</f>
        <v>0</v>
      </c>
      <c r="P1375" s="26">
        <f>0.00076*M1375</f>
        <v>0</v>
      </c>
      <c r="Q1375" s="30"/>
      <c r="R1375" s="22" t="s">
        <v>4831</v>
      </c>
      <c r="S1375" s="22" t="s">
        <v>435</v>
      </c>
      <c r="T1375" s="21" t="str">
        <f>HYPERLINK("https://miland.ru/api/getInfo/image/bcf1e0df-9639-11ed-a22d-00155d82e902")</f>
        <v>https://miland.ru/api/getInfo/image/bcf1e0df-9639-11ed-a22d-00155d82e902</v>
      </c>
      <c r="U1375" s="21"/>
      <c r="V1375" s="21" t="s">
        <v>710</v>
      </c>
      <c r="W1375" s="21" t="s">
        <v>82</v>
      </c>
      <c r="X1375" s="21"/>
      <c r="Y1375" s="21" t="s">
        <v>41</v>
      </c>
      <c r="Z1375" s="21"/>
      <c r="AA1375" s="21" t="str">
        <f>HYPERLINK("https://miland.ru/api/getInfo/item/bcf1e0df-9639-11ed-a22d-00155d82e902")</f>
        <v>https://miland.ru/api/getInfo/item/bcf1e0df-9639-11ed-a22d-00155d82e902</v>
      </c>
      <c r="AB1375" s="21" t="s">
        <v>42</v>
      </c>
      <c r="AC1375" s="21"/>
      <c r="AD1375" s="21"/>
    </row>
    <row r="1376" spans="2:31" s="1" customFormat="1" ht="96.3" customHeight="1" outlineLevel="6">
      <c r="B1376" s="57">
        <v>1055</v>
      </c>
      <c r="C1376" s="21" t="s">
        <v>4832</v>
      </c>
      <c r="D1376" s="72" t="s">
        <v>4833</v>
      </c>
      <c r="E1376" s="72"/>
      <c r="F1376" s="72"/>
      <c r="G1376" s="72"/>
      <c r="H1376" s="22" t="s">
        <v>4834</v>
      </c>
      <c r="I1376" s="27">
        <v>12</v>
      </c>
      <c r="J1376" s="22"/>
      <c r="K1376" s="20">
        <v>1</v>
      </c>
      <c r="L1376" s="24">
        <v>988.4</v>
      </c>
      <c r="M1376" s="11"/>
      <c r="N1376" s="22">
        <f>L1376*M1376</f>
        <v>0</v>
      </c>
      <c r="O1376" s="25">
        <f>0.198*M1376</f>
        <v>0</v>
      </c>
      <c r="P1376" s="26">
        <f>0.00983*M1376</f>
        <v>0</v>
      </c>
      <c r="Q1376" s="30"/>
      <c r="R1376" s="22" t="s">
        <v>4835</v>
      </c>
      <c r="S1376" s="22" t="s">
        <v>435</v>
      </c>
      <c r="T1376" s="21" t="str">
        <f>HYPERLINK("https://miland.ru/api/getInfo/image/0e60b9a6-20db-11f0-a279-00155d82e908")</f>
        <v>https://miland.ru/api/getInfo/image/0e60b9a6-20db-11f0-a279-00155d82e908</v>
      </c>
      <c r="U1376" s="21"/>
      <c r="V1376" s="21" t="s">
        <v>710</v>
      </c>
      <c r="W1376" s="21" t="s">
        <v>82</v>
      </c>
      <c r="X1376" s="21"/>
      <c r="Y1376" s="21" t="s">
        <v>41</v>
      </c>
      <c r="Z1376" s="21"/>
      <c r="AA1376" s="21" t="str">
        <f>HYPERLINK("https://miland.ru/api/getInfo/item/0e60b9a6-20db-11f0-a279-00155d82e908")</f>
        <v>https://miland.ru/api/getInfo/item/0e60b9a6-20db-11f0-a279-00155d82e908</v>
      </c>
      <c r="AB1376" s="21" t="s">
        <v>42</v>
      </c>
      <c r="AC1376" s="21"/>
      <c r="AD1376" s="21"/>
    </row>
    <row r="1377" spans="2:31" ht="12" customHeight="1" outlineLevel="4">
      <c r="B1377" s="70" t="s">
        <v>4836</v>
      </c>
      <c r="C1377" s="70"/>
      <c r="D1377" s="70"/>
      <c r="E1377" s="70"/>
      <c r="F1377" s="70"/>
      <c r="G1377" s="70"/>
    </row>
    <row r="1378" spans="2:31" s="1" customFormat="1" ht="96.3" customHeight="1" outlineLevel="5">
      <c r="B1378" s="57">
        <v>1056</v>
      </c>
      <c r="C1378" s="21" t="s">
        <v>4837</v>
      </c>
      <c r="D1378" s="72" t="s">
        <v>4838</v>
      </c>
      <c r="E1378" s="72"/>
      <c r="F1378" s="72"/>
      <c r="G1378" s="72"/>
      <c r="H1378" s="22" t="s">
        <v>4839</v>
      </c>
      <c r="I1378" s="27">
        <v>68</v>
      </c>
      <c r="J1378" s="22"/>
      <c r="K1378" s="20">
        <v>1</v>
      </c>
      <c r="L1378" s="24">
        <v>647.97</v>
      </c>
      <c r="M1378" s="11"/>
      <c r="N1378" s="22">
        <f>L1378*M1378</f>
        <v>0</v>
      </c>
      <c r="O1378" s="25">
        <f>0.159*M1378</f>
        <v>0</v>
      </c>
      <c r="P1378" s="26">
        <f>0.00069*M1378</f>
        <v>0</v>
      </c>
      <c r="Q1378" s="30"/>
      <c r="R1378" s="22" t="s">
        <v>4840</v>
      </c>
      <c r="S1378" s="22"/>
      <c r="T1378" s="21" t="str">
        <f>HYPERLINK("https://miland.ru/api/getInfo/image/ea8b93cb-f194-11ee-a25b-00155d82e908")</f>
        <v>https://miland.ru/api/getInfo/image/ea8b93cb-f194-11ee-a25b-00155d82e908</v>
      </c>
      <c r="U1378" s="21"/>
      <c r="V1378" s="21" t="s">
        <v>208</v>
      </c>
      <c r="W1378" s="21" t="s">
        <v>82</v>
      </c>
      <c r="X1378" s="21"/>
      <c r="Y1378" s="21" t="s">
        <v>41</v>
      </c>
      <c r="Z1378" s="21"/>
      <c r="AA1378" s="21" t="str">
        <f>HYPERLINK("https://miland.ru/api/getInfo/item/ea8b93cb-f194-11ee-a25b-00155d82e908")</f>
        <v>https://miland.ru/api/getInfo/item/ea8b93cb-f194-11ee-a25b-00155d82e908</v>
      </c>
      <c r="AB1378" s="21" t="s">
        <v>42</v>
      </c>
      <c r="AC1378" s="21" t="s">
        <v>4841</v>
      </c>
      <c r="AD1378" s="21"/>
    </row>
    <row r="1379" spans="2:31" s="1" customFormat="1" ht="96.3" customHeight="1" outlineLevel="5">
      <c r="B1379" s="57">
        <v>1057</v>
      </c>
      <c r="C1379" s="21" t="s">
        <v>4842</v>
      </c>
      <c r="D1379" s="72" t="s">
        <v>4843</v>
      </c>
      <c r="E1379" s="72"/>
      <c r="F1379" s="72"/>
      <c r="G1379" s="72"/>
      <c r="H1379" s="22" t="s">
        <v>4844</v>
      </c>
      <c r="I1379" s="27">
        <v>38</v>
      </c>
      <c r="J1379" s="22"/>
      <c r="K1379" s="20">
        <v>1</v>
      </c>
      <c r="L1379" s="24">
        <v>957.87</v>
      </c>
      <c r="M1379" s="11"/>
      <c r="N1379" s="22">
        <f>L1379*M1379</f>
        <v>0</v>
      </c>
      <c r="O1379" s="25">
        <f>0.215*M1379</f>
        <v>0</v>
      </c>
      <c r="P1379" s="26">
        <f>0.00345*M1379</f>
        <v>0</v>
      </c>
      <c r="Q1379" s="30"/>
      <c r="R1379" s="22" t="s">
        <v>4845</v>
      </c>
      <c r="S1379" s="22"/>
      <c r="T1379" s="21" t="str">
        <f>HYPERLINK("https://miland.ru/api/getInfo/image/2f6938da-f193-11ee-a25b-00155d82e908")</f>
        <v>https://miland.ru/api/getInfo/image/2f6938da-f193-11ee-a25b-00155d82e908</v>
      </c>
      <c r="U1379" s="21"/>
      <c r="V1379" s="21" t="s">
        <v>208</v>
      </c>
      <c r="W1379" s="21" t="s">
        <v>82</v>
      </c>
      <c r="X1379" s="21"/>
      <c r="Y1379" s="21" t="s">
        <v>41</v>
      </c>
      <c r="Z1379" s="21"/>
      <c r="AA1379" s="21" t="str">
        <f>HYPERLINK("https://miland.ru/api/getInfo/item/2f6938da-f193-11ee-a25b-00155d82e908")</f>
        <v>https://miland.ru/api/getInfo/item/2f6938da-f193-11ee-a25b-00155d82e908</v>
      </c>
      <c r="AB1379" s="21" t="s">
        <v>42</v>
      </c>
      <c r="AC1379" s="21" t="s">
        <v>4846</v>
      </c>
      <c r="AD1379" s="21"/>
    </row>
    <row r="1380" spans="2:31" s="1" customFormat="1" ht="96.3" customHeight="1" outlineLevel="5">
      <c r="B1380" s="57">
        <v>1058</v>
      </c>
      <c r="C1380" s="21" t="s">
        <v>4847</v>
      </c>
      <c r="D1380" s="72" t="s">
        <v>4848</v>
      </c>
      <c r="E1380" s="72"/>
      <c r="F1380" s="72"/>
      <c r="G1380" s="72"/>
      <c r="H1380" s="22" t="s">
        <v>4849</v>
      </c>
      <c r="I1380" s="27">
        <v>94</v>
      </c>
      <c r="J1380" s="22"/>
      <c r="K1380" s="20">
        <v>1</v>
      </c>
      <c r="L1380" s="32">
        <v>1014.23</v>
      </c>
      <c r="M1380" s="11"/>
      <c r="N1380" s="22">
        <f>L1380*M1380</f>
        <v>0</v>
      </c>
      <c r="O1380" s="25">
        <f>0.303*M1380</f>
        <v>0</v>
      </c>
      <c r="P1380" s="26">
        <f>0.00248*M1380</f>
        <v>0</v>
      </c>
      <c r="Q1380" s="30"/>
      <c r="R1380" s="22" t="s">
        <v>4850</v>
      </c>
      <c r="S1380" s="22" t="s">
        <v>435</v>
      </c>
      <c r="T1380" s="21" t="str">
        <f>HYPERLINK("https://miland.ru/api/getInfo/image/86df31fa-f193-11ee-a25b-00155d82e908")</f>
        <v>https://miland.ru/api/getInfo/image/86df31fa-f193-11ee-a25b-00155d82e908</v>
      </c>
      <c r="U1380" s="21"/>
      <c r="V1380" s="21" t="s">
        <v>208</v>
      </c>
      <c r="W1380" s="21" t="s">
        <v>82</v>
      </c>
      <c r="X1380" s="21"/>
      <c r="Y1380" s="21" t="s">
        <v>41</v>
      </c>
      <c r="Z1380" s="21"/>
      <c r="AA1380" s="21" t="str">
        <f>HYPERLINK("https://miland.ru/api/getInfo/item/86df31fa-f193-11ee-a25b-00155d82e908")</f>
        <v>https://miland.ru/api/getInfo/item/86df31fa-f193-11ee-a25b-00155d82e908</v>
      </c>
      <c r="AB1380" s="21" t="s">
        <v>42</v>
      </c>
      <c r="AC1380" s="21" t="s">
        <v>4851</v>
      </c>
      <c r="AD1380" s="21"/>
    </row>
    <row r="1381" spans="2:31" ht="12" customHeight="1" outlineLevel="4">
      <c r="B1381" s="70" t="s">
        <v>4852</v>
      </c>
      <c r="C1381" s="70"/>
      <c r="D1381" s="70"/>
      <c r="E1381" s="70"/>
      <c r="F1381" s="70"/>
      <c r="G1381" s="70"/>
    </row>
    <row r="1382" spans="2:31" s="1" customFormat="1" ht="96.3" customHeight="1" outlineLevel="5">
      <c r="B1382" s="57">
        <v>1059</v>
      </c>
      <c r="C1382" s="21" t="s">
        <v>4853</v>
      </c>
      <c r="D1382" s="72" t="s">
        <v>4854</v>
      </c>
      <c r="E1382" s="72"/>
      <c r="F1382" s="72"/>
      <c r="G1382" s="72"/>
      <c r="H1382" s="22" t="s">
        <v>4855</v>
      </c>
      <c r="I1382" s="27">
        <v>308</v>
      </c>
      <c r="J1382" s="22"/>
      <c r="K1382" s="20">
        <v>2</v>
      </c>
      <c r="L1382" s="24">
        <v>268.45999999999998</v>
      </c>
      <c r="M1382" s="11"/>
      <c r="N1382" s="22">
        <f>L1382*M1382</f>
        <v>0</v>
      </c>
      <c r="O1382" s="25">
        <f>0.059*M1382</f>
        <v>0</v>
      </c>
      <c r="P1382" s="26">
        <f>0.00051*M1382</f>
        <v>0</v>
      </c>
      <c r="Q1382" s="30"/>
      <c r="R1382" s="22" t="s">
        <v>4856</v>
      </c>
      <c r="S1382" s="22" t="s">
        <v>435</v>
      </c>
      <c r="T1382" s="21" t="str">
        <f>HYPERLINK("https://miland.ru/api/getInfo/image/8896399f-0acc-11f0-a279-00155d82e908")</f>
        <v>https://miland.ru/api/getInfo/image/8896399f-0acc-11f0-a279-00155d82e908</v>
      </c>
      <c r="U1382" s="21"/>
      <c r="V1382" s="21" t="s">
        <v>208</v>
      </c>
      <c r="W1382" s="21" t="s">
        <v>82</v>
      </c>
      <c r="X1382" s="21"/>
      <c r="Y1382" s="21" t="s">
        <v>41</v>
      </c>
      <c r="Z1382" s="21"/>
      <c r="AA1382" s="21" t="str">
        <f>HYPERLINK("https://miland.ru/api/getInfo/item/8896399f-0acc-11f0-a279-00155d82e908")</f>
        <v>https://miland.ru/api/getInfo/item/8896399f-0acc-11f0-a279-00155d82e908</v>
      </c>
      <c r="AB1382" s="21" t="s">
        <v>42</v>
      </c>
      <c r="AC1382" s="21"/>
      <c r="AD1382" s="21"/>
    </row>
    <row r="1383" spans="2:31" s="1" customFormat="1" ht="96.3" customHeight="1" outlineLevel="5">
      <c r="B1383" s="57">
        <v>1060</v>
      </c>
      <c r="C1383" s="21" t="s">
        <v>4857</v>
      </c>
      <c r="D1383" s="72" t="s">
        <v>4858</v>
      </c>
      <c r="E1383" s="72"/>
      <c r="F1383" s="72"/>
      <c r="G1383" s="72"/>
      <c r="H1383" s="22" t="s">
        <v>4859</v>
      </c>
      <c r="I1383" s="27">
        <v>96</v>
      </c>
      <c r="J1383" s="22"/>
      <c r="K1383" s="20">
        <v>3</v>
      </c>
      <c r="L1383" s="24">
        <v>239.55</v>
      </c>
      <c r="M1383" s="11"/>
      <c r="N1383" s="22">
        <f>L1383*M1383</f>
        <v>0</v>
      </c>
      <c r="O1383" s="25">
        <f>0.019*M1383</f>
        <v>0</v>
      </c>
      <c r="P1383" s="26">
        <f>0.00098*M1383</f>
        <v>0</v>
      </c>
      <c r="Q1383" s="30"/>
      <c r="R1383" s="22" t="s">
        <v>4860</v>
      </c>
      <c r="S1383" s="22" t="s">
        <v>435</v>
      </c>
      <c r="T1383" s="21" t="str">
        <f>HYPERLINK("https://miland.ru/api/getInfo/image/1369b320-0acd-11f0-a279-00155d82e908")</f>
        <v>https://miland.ru/api/getInfo/image/1369b320-0acd-11f0-a279-00155d82e908</v>
      </c>
      <c r="U1383" s="21"/>
      <c r="V1383" s="21" t="s">
        <v>208</v>
      </c>
      <c r="W1383" s="21" t="s">
        <v>82</v>
      </c>
      <c r="X1383" s="21"/>
      <c r="Y1383" s="21" t="s">
        <v>41</v>
      </c>
      <c r="Z1383" s="21"/>
      <c r="AA1383" s="21" t="str">
        <f>HYPERLINK("https://miland.ru/api/getInfo/item/1369b320-0acd-11f0-a279-00155d82e908")</f>
        <v>https://miland.ru/api/getInfo/item/1369b320-0acd-11f0-a279-00155d82e908</v>
      </c>
      <c r="AB1383" s="21" t="s">
        <v>42</v>
      </c>
      <c r="AC1383" s="21"/>
      <c r="AD1383" s="21"/>
    </row>
    <row r="1384" spans="2:31" s="1" customFormat="1" ht="96.3" customHeight="1" outlineLevel="5">
      <c r="B1384" s="57">
        <v>1061</v>
      </c>
      <c r="C1384" s="21" t="s">
        <v>4861</v>
      </c>
      <c r="D1384" s="72" t="s">
        <v>4862</v>
      </c>
      <c r="E1384" s="72"/>
      <c r="F1384" s="72"/>
      <c r="G1384" s="72"/>
      <c r="H1384" s="22" t="s">
        <v>4863</v>
      </c>
      <c r="I1384" s="27">
        <v>412</v>
      </c>
      <c r="J1384" s="22"/>
      <c r="K1384" s="20">
        <v>3</v>
      </c>
      <c r="L1384" s="24">
        <v>264.33</v>
      </c>
      <c r="M1384" s="11"/>
      <c r="N1384" s="22">
        <f>L1384*M1384</f>
        <v>0</v>
      </c>
      <c r="O1384" s="25">
        <f>0.048*M1384</f>
        <v>0</v>
      </c>
      <c r="P1384" s="26">
        <f>0.00124*M1384</f>
        <v>0</v>
      </c>
      <c r="Q1384" s="30"/>
      <c r="R1384" s="22" t="s">
        <v>4864</v>
      </c>
      <c r="S1384" s="22" t="s">
        <v>435</v>
      </c>
      <c r="T1384" s="21" t="str">
        <f>HYPERLINK("https://miland.ru/api/getInfo/image/675aa326-0acd-11f0-a279-00155d82e908")</f>
        <v>https://miland.ru/api/getInfo/image/675aa326-0acd-11f0-a279-00155d82e908</v>
      </c>
      <c r="U1384" s="21"/>
      <c r="V1384" s="21" t="s">
        <v>208</v>
      </c>
      <c r="W1384" s="21" t="s">
        <v>82</v>
      </c>
      <c r="X1384" s="21"/>
      <c r="Y1384" s="21" t="s">
        <v>41</v>
      </c>
      <c r="Z1384" s="21"/>
      <c r="AA1384" s="21" t="str">
        <f>HYPERLINK("https://miland.ru/api/getInfo/item/675aa326-0acd-11f0-a279-00155d82e908")</f>
        <v>https://miland.ru/api/getInfo/item/675aa326-0acd-11f0-a279-00155d82e908</v>
      </c>
      <c r="AB1384" s="21" t="s">
        <v>42</v>
      </c>
      <c r="AC1384" s="21"/>
      <c r="AD1384" s="21"/>
    </row>
    <row r="1385" spans="2:31" ht="12" customHeight="1" outlineLevel="4">
      <c r="B1385" s="70" t="s">
        <v>4865</v>
      </c>
      <c r="C1385" s="70"/>
      <c r="D1385" s="70"/>
      <c r="E1385" s="70"/>
      <c r="F1385" s="70"/>
      <c r="G1385" s="70"/>
    </row>
    <row r="1386" spans="2:31" s="1" customFormat="1" ht="96.3" customHeight="1" outlineLevel="5">
      <c r="B1386" s="57">
        <v>1062</v>
      </c>
      <c r="C1386" s="21" t="s">
        <v>4866</v>
      </c>
      <c r="D1386" s="72" t="s">
        <v>4867</v>
      </c>
      <c r="E1386" s="72"/>
      <c r="F1386" s="72"/>
      <c r="G1386" s="72"/>
      <c r="H1386" s="22" t="s">
        <v>4868</v>
      </c>
      <c r="I1386" s="27">
        <v>451</v>
      </c>
      <c r="J1386" s="22"/>
      <c r="K1386" s="20">
        <v>1</v>
      </c>
      <c r="L1386" s="32">
        <v>3284.29</v>
      </c>
      <c r="M1386" s="11"/>
      <c r="N1386" s="22">
        <f t="shared" ref="N1386:N1393" si="61">L1386*M1386</f>
        <v>0</v>
      </c>
      <c r="O1386" s="33">
        <f>4.7*M1386</f>
        <v>0</v>
      </c>
      <c r="P1386" s="26">
        <f>0.03069*M1386</f>
        <v>0</v>
      </c>
      <c r="Q1386" s="30"/>
      <c r="R1386" s="22" t="s">
        <v>4869</v>
      </c>
      <c r="S1386" s="22" t="s">
        <v>435</v>
      </c>
      <c r="T1386" s="21" t="str">
        <f>HYPERLINK("https://miland.ru/api/getInfo/image/fd53d209-ed29-11ef-a274-00155d82e908")</f>
        <v>https://miland.ru/api/getInfo/image/fd53d209-ed29-11ef-a274-00155d82e908</v>
      </c>
      <c r="U1386" s="21"/>
      <c r="V1386" s="21"/>
      <c r="W1386" s="21" t="s">
        <v>82</v>
      </c>
      <c r="X1386" s="21"/>
      <c r="Y1386" s="21" t="s">
        <v>41</v>
      </c>
      <c r="Z1386" s="21"/>
      <c r="AA1386" s="21" t="str">
        <f>HYPERLINK("https://miland.ru/api/getInfo/item/fd53d209-ed29-11ef-a274-00155d82e908")</f>
        <v>https://miland.ru/api/getInfo/item/fd53d209-ed29-11ef-a274-00155d82e908</v>
      </c>
      <c r="AB1386" s="21" t="s">
        <v>42</v>
      </c>
      <c r="AC1386" s="21"/>
      <c r="AD1386" s="21"/>
    </row>
    <row r="1387" spans="2:31" s="1" customFormat="1" ht="96.3" customHeight="1" outlineLevel="5">
      <c r="B1387" s="57">
        <v>1063</v>
      </c>
      <c r="C1387" s="21" t="s">
        <v>4870</v>
      </c>
      <c r="D1387" s="72" t="s">
        <v>4871</v>
      </c>
      <c r="E1387" s="72"/>
      <c r="F1387" s="72"/>
      <c r="G1387" s="72"/>
      <c r="H1387" s="22" t="s">
        <v>4872</v>
      </c>
      <c r="I1387" s="27">
        <v>19</v>
      </c>
      <c r="J1387" s="22"/>
      <c r="K1387" s="20">
        <v>1</v>
      </c>
      <c r="L1387" s="32">
        <v>2202.86</v>
      </c>
      <c r="M1387" s="11"/>
      <c r="N1387" s="22">
        <f t="shared" si="61"/>
        <v>0</v>
      </c>
      <c r="O1387" s="28">
        <f>1.46*M1387</f>
        <v>0</v>
      </c>
      <c r="P1387" s="26">
        <f>0.02851*M1387</f>
        <v>0</v>
      </c>
      <c r="Q1387" s="30"/>
      <c r="R1387" s="22"/>
      <c r="S1387" s="22" t="s">
        <v>435</v>
      </c>
      <c r="T1387" s="21" t="str">
        <f>HYPERLINK("https://miland.ru/api/getInfo/image/9df598dd-096c-11ec-a20e-ac1f6b442185")</f>
        <v>https://miland.ru/api/getInfo/image/9df598dd-096c-11ec-a20e-ac1f6b442185</v>
      </c>
      <c r="U1387" s="21"/>
      <c r="V1387" s="21"/>
      <c r="W1387" s="21" t="s">
        <v>82</v>
      </c>
      <c r="X1387" s="21"/>
      <c r="Y1387" s="21" t="s">
        <v>41</v>
      </c>
      <c r="Z1387" s="21"/>
      <c r="AA1387" s="21" t="str">
        <f>HYPERLINK("https://miland.ru/api/getInfo/item/9df598dd-096c-11ec-a20e-ac1f6b442185")</f>
        <v>https://miland.ru/api/getInfo/item/9df598dd-096c-11ec-a20e-ac1f6b442185</v>
      </c>
      <c r="AB1387" s="21" t="s">
        <v>42</v>
      </c>
      <c r="AC1387" s="21"/>
      <c r="AD1387" s="21"/>
    </row>
    <row r="1388" spans="2:31" s="1" customFormat="1" ht="96.3" customHeight="1" outlineLevel="5">
      <c r="B1388" s="59">
        <v>1064</v>
      </c>
      <c r="C1388" s="35" t="s">
        <v>4873</v>
      </c>
      <c r="D1388" s="73" t="s">
        <v>4874</v>
      </c>
      <c r="E1388" s="73"/>
      <c r="F1388" s="73"/>
      <c r="G1388" s="73"/>
      <c r="H1388" s="36" t="s">
        <v>4875</v>
      </c>
      <c r="I1388" s="40">
        <v>7</v>
      </c>
      <c r="J1388" s="36"/>
      <c r="K1388" s="34">
        <v>1</v>
      </c>
      <c r="L1388" s="41">
        <v>2324.1066666666666</v>
      </c>
      <c r="M1388" s="11"/>
      <c r="N1388" s="36">
        <f t="shared" si="61"/>
        <v>0</v>
      </c>
      <c r="O1388" s="47">
        <f>3.88*M1388</f>
        <v>0</v>
      </c>
      <c r="P1388" s="55">
        <f>0.0385*M1388</f>
        <v>0</v>
      </c>
      <c r="Q1388" s="50"/>
      <c r="R1388" s="36"/>
      <c r="S1388" s="36" t="s">
        <v>435</v>
      </c>
      <c r="T1388" s="35" t="str">
        <f>HYPERLINK("https://miland.ru/api/getInfo/image/5e142733-8e4b-11ec-a211-ac1f6b442185")</f>
        <v>https://miland.ru/api/getInfo/image/5e142733-8e4b-11ec-a211-ac1f6b442185</v>
      </c>
      <c r="U1388" s="35"/>
      <c r="V1388" s="35" t="s">
        <v>4876</v>
      </c>
      <c r="W1388" s="35" t="s">
        <v>82</v>
      </c>
      <c r="X1388" s="35"/>
      <c r="Y1388" s="35" t="s">
        <v>41</v>
      </c>
      <c r="Z1388" s="35"/>
      <c r="AA1388" s="35" t="str">
        <f>HYPERLINK("https://miland.ru/api/getInfo/item/5e142733-8e4b-11ec-a211-ac1f6b442185")</f>
        <v>https://miland.ru/api/getInfo/item/5e142733-8e4b-11ec-a211-ac1f6b442185</v>
      </c>
      <c r="AB1388" s="35" t="s">
        <v>42</v>
      </c>
      <c r="AC1388" s="35" t="s">
        <v>4877</v>
      </c>
      <c r="AD1388" s="35"/>
      <c r="AE1388" s="52" t="s">
        <v>1251</v>
      </c>
    </row>
    <row r="1389" spans="2:31" s="1" customFormat="1" ht="96.3" customHeight="1" outlineLevel="5">
      <c r="B1389" s="59">
        <v>1065</v>
      </c>
      <c r="C1389" s="35" t="s">
        <v>4878</v>
      </c>
      <c r="D1389" s="73" t="s">
        <v>4879</v>
      </c>
      <c r="E1389" s="73"/>
      <c r="F1389" s="73"/>
      <c r="G1389" s="73"/>
      <c r="H1389" s="36" t="s">
        <v>4880</v>
      </c>
      <c r="I1389" s="40">
        <v>9</v>
      </c>
      <c r="J1389" s="36"/>
      <c r="K1389" s="34">
        <v>1</v>
      </c>
      <c r="L1389" s="41">
        <v>3363.1200000000003</v>
      </c>
      <c r="M1389" s="11"/>
      <c r="N1389" s="36">
        <f t="shared" si="61"/>
        <v>0</v>
      </c>
      <c r="O1389" s="47">
        <f>5.36*M1389</f>
        <v>0</v>
      </c>
      <c r="P1389" s="43">
        <f>0.04807*M1389</f>
        <v>0</v>
      </c>
      <c r="Q1389" s="50"/>
      <c r="R1389" s="36"/>
      <c r="S1389" s="36" t="s">
        <v>435</v>
      </c>
      <c r="T1389" s="35" t="str">
        <f>HYPERLINK("https://miland.ru/api/getInfo/image/e0caf3d3-8e4b-11ec-a211-ac1f6b442185")</f>
        <v>https://miland.ru/api/getInfo/image/e0caf3d3-8e4b-11ec-a211-ac1f6b442185</v>
      </c>
      <c r="U1389" s="35"/>
      <c r="V1389" s="35"/>
      <c r="W1389" s="35"/>
      <c r="X1389" s="35"/>
      <c r="Y1389" s="35"/>
      <c r="Z1389" s="35"/>
      <c r="AA1389" s="35" t="str">
        <f>HYPERLINK("https://miland.ru/api/getInfo/item/e0caf3d3-8e4b-11ec-a211-ac1f6b442185")</f>
        <v>https://miland.ru/api/getInfo/item/e0caf3d3-8e4b-11ec-a211-ac1f6b442185</v>
      </c>
      <c r="AB1389" s="35" t="s">
        <v>42</v>
      </c>
      <c r="AC1389" s="35" t="s">
        <v>4881</v>
      </c>
      <c r="AD1389" s="35"/>
      <c r="AE1389" s="52" t="s">
        <v>1251</v>
      </c>
    </row>
    <row r="1390" spans="2:31" s="1" customFormat="1" ht="96.3" customHeight="1" outlineLevel="5">
      <c r="B1390" s="57">
        <v>1066</v>
      </c>
      <c r="C1390" s="21" t="s">
        <v>4882</v>
      </c>
      <c r="D1390" s="72" t="s">
        <v>4883</v>
      </c>
      <c r="E1390" s="72"/>
      <c r="F1390" s="72"/>
      <c r="G1390" s="72"/>
      <c r="H1390" s="22" t="s">
        <v>4884</v>
      </c>
      <c r="I1390" s="27">
        <v>10</v>
      </c>
      <c r="J1390" s="22"/>
      <c r="K1390" s="20">
        <v>1</v>
      </c>
      <c r="L1390" s="32">
        <v>3120.7</v>
      </c>
      <c r="M1390" s="11"/>
      <c r="N1390" s="22">
        <f t="shared" si="61"/>
        <v>0</v>
      </c>
      <c r="O1390" s="28">
        <f>3.32*M1390</f>
        <v>0</v>
      </c>
      <c r="P1390" s="26">
        <f>0.03062*M1390</f>
        <v>0</v>
      </c>
      <c r="Q1390" s="30"/>
      <c r="R1390" s="22" t="s">
        <v>4885</v>
      </c>
      <c r="S1390" s="22" t="s">
        <v>435</v>
      </c>
      <c r="T1390" s="21" t="str">
        <f>HYPERLINK("https://miland.ru/api/getInfo/image/079988c7-8e35-11ec-a211-ac1f6b442185")</f>
        <v>https://miland.ru/api/getInfo/image/079988c7-8e35-11ec-a211-ac1f6b442185</v>
      </c>
      <c r="U1390" s="21"/>
      <c r="V1390" s="21"/>
      <c r="W1390" s="21"/>
      <c r="X1390" s="21"/>
      <c r="Y1390" s="21"/>
      <c r="Z1390" s="21"/>
      <c r="AA1390" s="21" t="str">
        <f>HYPERLINK("https://miland.ru/api/getInfo/item/079988c7-8e35-11ec-a211-ac1f6b442185")</f>
        <v>https://miland.ru/api/getInfo/item/079988c7-8e35-11ec-a211-ac1f6b442185</v>
      </c>
      <c r="AB1390" s="21" t="s">
        <v>42</v>
      </c>
      <c r="AC1390" s="21" t="s">
        <v>4886</v>
      </c>
      <c r="AD1390" s="21"/>
    </row>
    <row r="1391" spans="2:31" s="1" customFormat="1" ht="96.3" customHeight="1" outlineLevel="5">
      <c r="B1391" s="57">
        <v>1067</v>
      </c>
      <c r="C1391" s="21" t="s">
        <v>4887</v>
      </c>
      <c r="D1391" s="72" t="s">
        <v>4888</v>
      </c>
      <c r="E1391" s="72"/>
      <c r="F1391" s="72"/>
      <c r="G1391" s="72"/>
      <c r="H1391" s="22" t="s">
        <v>4889</v>
      </c>
      <c r="I1391" s="27">
        <v>6</v>
      </c>
      <c r="J1391" s="22"/>
      <c r="K1391" s="20">
        <v>1</v>
      </c>
      <c r="L1391" s="32">
        <v>3766.36</v>
      </c>
      <c r="M1391" s="11"/>
      <c r="N1391" s="22">
        <f t="shared" si="61"/>
        <v>0</v>
      </c>
      <c r="O1391" s="28">
        <f>4.48*M1391</f>
        <v>0</v>
      </c>
      <c r="P1391" s="26">
        <f>0.04104*M1391</f>
        <v>0</v>
      </c>
      <c r="Q1391" s="30"/>
      <c r="R1391" s="22"/>
      <c r="S1391" s="22" t="s">
        <v>435</v>
      </c>
      <c r="T1391" s="21" t="str">
        <f>HYPERLINK("https://miland.ru/api/getInfo/image/8ce735ec-8e35-11ec-a211-ac1f6b442185")</f>
        <v>https://miland.ru/api/getInfo/image/8ce735ec-8e35-11ec-a211-ac1f6b442185</v>
      </c>
      <c r="U1391" s="21"/>
      <c r="V1391" s="21"/>
      <c r="W1391" s="21" t="s">
        <v>82</v>
      </c>
      <c r="X1391" s="21"/>
      <c r="Y1391" s="21" t="s">
        <v>41</v>
      </c>
      <c r="Z1391" s="21"/>
      <c r="AA1391" s="21" t="str">
        <f>HYPERLINK("https://miland.ru/api/getInfo/item/8ce735ec-8e35-11ec-a211-ac1f6b442185")</f>
        <v>https://miland.ru/api/getInfo/item/8ce735ec-8e35-11ec-a211-ac1f6b442185</v>
      </c>
      <c r="AB1391" s="21" t="s">
        <v>42</v>
      </c>
      <c r="AC1391" s="21" t="s">
        <v>4890</v>
      </c>
      <c r="AD1391" s="21"/>
    </row>
    <row r="1392" spans="2:31" s="1" customFormat="1" ht="96.3" customHeight="1" outlineLevel="5">
      <c r="B1392" s="57">
        <v>1068</v>
      </c>
      <c r="C1392" s="21" t="s">
        <v>4891</v>
      </c>
      <c r="D1392" s="72" t="s">
        <v>4892</v>
      </c>
      <c r="E1392" s="72"/>
      <c r="F1392" s="72"/>
      <c r="G1392" s="72"/>
      <c r="H1392" s="22" t="s">
        <v>4893</v>
      </c>
      <c r="I1392" s="27">
        <v>8</v>
      </c>
      <c r="J1392" s="22"/>
      <c r="K1392" s="20">
        <v>1</v>
      </c>
      <c r="L1392" s="32">
        <v>4683.1899999999996</v>
      </c>
      <c r="M1392" s="11"/>
      <c r="N1392" s="22">
        <f t="shared" si="61"/>
        <v>0</v>
      </c>
      <c r="O1392" s="28">
        <f>4.56*M1392</f>
        <v>0</v>
      </c>
      <c r="P1392" s="25">
        <f>0.044*M1392</f>
        <v>0</v>
      </c>
      <c r="Q1392" s="30"/>
      <c r="R1392" s="22" t="s">
        <v>4894</v>
      </c>
      <c r="S1392" s="22" t="s">
        <v>435</v>
      </c>
      <c r="T1392" s="21" t="str">
        <f>HYPERLINK("https://miland.ru/api/getInfo/image/09b6a868-8e53-11ec-a211-ac1f6b442185")</f>
        <v>https://miland.ru/api/getInfo/image/09b6a868-8e53-11ec-a211-ac1f6b442185</v>
      </c>
      <c r="U1392" s="21"/>
      <c r="V1392" s="21"/>
      <c r="W1392" s="21"/>
      <c r="X1392" s="21"/>
      <c r="Y1392" s="21"/>
      <c r="Z1392" s="21"/>
      <c r="AA1392" s="21" t="str">
        <f>HYPERLINK("https://miland.ru/api/getInfo/item/09b6a868-8e53-11ec-a211-ac1f6b442185")</f>
        <v>https://miland.ru/api/getInfo/item/09b6a868-8e53-11ec-a211-ac1f6b442185</v>
      </c>
      <c r="AB1392" s="21" t="s">
        <v>42</v>
      </c>
      <c r="AC1392" s="21" t="s">
        <v>4895</v>
      </c>
      <c r="AD1392" s="21"/>
    </row>
    <row r="1393" spans="2:31" s="1" customFormat="1" ht="96.3" customHeight="1" outlineLevel="5">
      <c r="B1393" s="57">
        <v>1069</v>
      </c>
      <c r="C1393" s="21" t="s">
        <v>4896</v>
      </c>
      <c r="D1393" s="72" t="s">
        <v>4897</v>
      </c>
      <c r="E1393" s="72"/>
      <c r="F1393" s="72"/>
      <c r="G1393" s="72"/>
      <c r="H1393" s="22" t="s">
        <v>4898</v>
      </c>
      <c r="I1393" s="27">
        <v>11</v>
      </c>
      <c r="J1393" s="22"/>
      <c r="K1393" s="20">
        <v>1</v>
      </c>
      <c r="L1393" s="32">
        <v>4139.83</v>
      </c>
      <c r="M1393" s="11"/>
      <c r="N1393" s="22">
        <f t="shared" si="61"/>
        <v>0</v>
      </c>
      <c r="O1393" s="33">
        <f>5.6*M1393</f>
        <v>0</v>
      </c>
      <c r="P1393" s="26">
        <f>0.05966*M1393</f>
        <v>0</v>
      </c>
      <c r="Q1393" s="30"/>
      <c r="R1393" s="22"/>
      <c r="S1393" s="22" t="s">
        <v>435</v>
      </c>
      <c r="T1393" s="21" t="str">
        <f>HYPERLINK("https://miland.ru/api/getInfo/image/90ca5e69-565b-11eb-a26d-ac1f6b442184")</f>
        <v>https://miland.ru/api/getInfo/image/90ca5e69-565b-11eb-a26d-ac1f6b442184</v>
      </c>
      <c r="U1393" s="21"/>
      <c r="V1393" s="21"/>
      <c r="W1393" s="21" t="s">
        <v>4899</v>
      </c>
      <c r="X1393" s="21"/>
      <c r="Y1393" s="21" t="s">
        <v>41</v>
      </c>
      <c r="Z1393" s="21"/>
      <c r="AA1393" s="21" t="str">
        <f>HYPERLINK("https://miland.ru/api/getInfo/item/90ca5e69-565b-11eb-a26d-ac1f6b442184")</f>
        <v>https://miland.ru/api/getInfo/item/90ca5e69-565b-11eb-a26d-ac1f6b442184</v>
      </c>
      <c r="AB1393" s="21" t="s">
        <v>42</v>
      </c>
      <c r="AC1393" s="21"/>
      <c r="AD1393" s="21"/>
    </row>
    <row r="1394" spans="2:31" ht="12" customHeight="1" outlineLevel="4">
      <c r="B1394" s="70" t="s">
        <v>4900</v>
      </c>
      <c r="C1394" s="70"/>
      <c r="D1394" s="70"/>
      <c r="E1394" s="70"/>
      <c r="F1394" s="70"/>
      <c r="G1394" s="70"/>
    </row>
    <row r="1395" spans="2:31" s="1" customFormat="1" ht="96.3" customHeight="1" outlineLevel="5">
      <c r="B1395" s="57">
        <v>1070</v>
      </c>
      <c r="C1395" s="21" t="s">
        <v>4901</v>
      </c>
      <c r="D1395" s="72" t="s">
        <v>4902</v>
      </c>
      <c r="E1395" s="72"/>
      <c r="F1395" s="72"/>
      <c r="G1395" s="72"/>
      <c r="H1395" s="22" t="s">
        <v>4903</v>
      </c>
      <c r="I1395" s="27">
        <v>366</v>
      </c>
      <c r="J1395" s="22"/>
      <c r="K1395" s="20">
        <v>1</v>
      </c>
      <c r="L1395" s="24">
        <v>714.12</v>
      </c>
      <c r="M1395" s="11"/>
      <c r="N1395" s="22">
        <f>L1395*M1395</f>
        <v>0</v>
      </c>
      <c r="O1395" s="25">
        <f>0.092*M1395</f>
        <v>0</v>
      </c>
      <c r="P1395" s="26">
        <f>0.00262*M1395</f>
        <v>0</v>
      </c>
      <c r="Q1395" s="30"/>
      <c r="R1395" s="22" t="s">
        <v>4904</v>
      </c>
      <c r="S1395" s="22" t="s">
        <v>435</v>
      </c>
      <c r="T1395" s="21" t="str">
        <f>HYPERLINK("https://miland.ru/api/getInfo/image/3e1a86d4-be95-11ee-a25a-00155d82e908")</f>
        <v>https://miland.ru/api/getInfo/image/3e1a86d4-be95-11ee-a25a-00155d82e908</v>
      </c>
      <c r="U1395" s="21"/>
      <c r="V1395" s="21" t="s">
        <v>4905</v>
      </c>
      <c r="W1395" s="21" t="s">
        <v>4906</v>
      </c>
      <c r="X1395" s="21"/>
      <c r="Y1395" s="21" t="s">
        <v>41</v>
      </c>
      <c r="Z1395" s="21"/>
      <c r="AA1395" s="21" t="str">
        <f>HYPERLINK("https://miland.ru/api/getInfo/item/3e1a86d4-be95-11ee-a25a-00155d82e908")</f>
        <v>https://miland.ru/api/getInfo/item/3e1a86d4-be95-11ee-a25a-00155d82e908</v>
      </c>
      <c r="AB1395" s="21" t="s">
        <v>42</v>
      </c>
      <c r="AC1395" s="21" t="s">
        <v>4907</v>
      </c>
      <c r="AD1395" s="21"/>
    </row>
    <row r="1396" spans="2:31" s="1" customFormat="1" ht="96.3" customHeight="1" outlineLevel="5">
      <c r="B1396" s="57">
        <v>1071</v>
      </c>
      <c r="C1396" s="21" t="s">
        <v>4908</v>
      </c>
      <c r="D1396" s="72" t="s">
        <v>4909</v>
      </c>
      <c r="E1396" s="72"/>
      <c r="F1396" s="72"/>
      <c r="G1396" s="72"/>
      <c r="H1396" s="22" t="s">
        <v>4910</v>
      </c>
      <c r="I1396" s="27">
        <v>68</v>
      </c>
      <c r="J1396" s="22"/>
      <c r="K1396" s="20">
        <v>1</v>
      </c>
      <c r="L1396" s="24">
        <v>771.97</v>
      </c>
      <c r="M1396" s="11"/>
      <c r="N1396" s="22">
        <f>L1396*M1396</f>
        <v>0</v>
      </c>
      <c r="O1396" s="28">
        <f>0.14*M1396</f>
        <v>0</v>
      </c>
      <c r="P1396" s="29">
        <f>0.0024*M1396</f>
        <v>0</v>
      </c>
      <c r="Q1396" s="30"/>
      <c r="R1396" s="22" t="s">
        <v>4911</v>
      </c>
      <c r="S1396" s="22" t="s">
        <v>435</v>
      </c>
      <c r="T1396" s="21" t="str">
        <f>HYPERLINK("https://miland.ru/api/getInfo/image/8939b94f-be95-11ee-a25a-00155d82e908")</f>
        <v>https://miland.ru/api/getInfo/image/8939b94f-be95-11ee-a25a-00155d82e908</v>
      </c>
      <c r="U1396" s="21"/>
      <c r="V1396" s="21" t="s">
        <v>4905</v>
      </c>
      <c r="W1396" s="21" t="s">
        <v>4906</v>
      </c>
      <c r="X1396" s="21"/>
      <c r="Y1396" s="21" t="s">
        <v>41</v>
      </c>
      <c r="Z1396" s="21"/>
      <c r="AA1396" s="21" t="str">
        <f>HYPERLINK("https://miland.ru/api/getInfo/item/8939b94f-be95-11ee-a25a-00155d82e908")</f>
        <v>https://miland.ru/api/getInfo/item/8939b94f-be95-11ee-a25a-00155d82e908</v>
      </c>
      <c r="AB1396" s="21" t="s">
        <v>42</v>
      </c>
      <c r="AC1396" s="21" t="s">
        <v>4912</v>
      </c>
      <c r="AD1396" s="21"/>
    </row>
    <row r="1397" spans="2:31" s="1" customFormat="1" ht="96.3" customHeight="1" outlineLevel="5">
      <c r="B1397" s="57">
        <v>1072</v>
      </c>
      <c r="C1397" s="21" t="s">
        <v>4913</v>
      </c>
      <c r="D1397" s="72" t="s">
        <v>4914</v>
      </c>
      <c r="E1397" s="72"/>
      <c r="F1397" s="72"/>
      <c r="G1397" s="72"/>
      <c r="H1397" s="22" t="s">
        <v>4915</v>
      </c>
      <c r="I1397" s="27">
        <v>238</v>
      </c>
      <c r="J1397" s="22"/>
      <c r="K1397" s="20">
        <v>2</v>
      </c>
      <c r="L1397" s="24">
        <v>271.35000000000002</v>
      </c>
      <c r="M1397" s="11"/>
      <c r="N1397" s="22">
        <f>L1397*M1397</f>
        <v>0</v>
      </c>
      <c r="O1397" s="25">
        <f>0.084*M1397</f>
        <v>0</v>
      </c>
      <c r="P1397" s="26">
        <f>0.00722*M1397</f>
        <v>0</v>
      </c>
      <c r="Q1397" s="30"/>
      <c r="R1397" s="22" t="s">
        <v>4916</v>
      </c>
      <c r="S1397" s="22" t="s">
        <v>435</v>
      </c>
      <c r="T1397" s="21" t="str">
        <f>HYPERLINK("https://miland.ru/api/getInfo/image/197ba3e7-7141-11ed-a22a-00155d82e902")</f>
        <v>https://miland.ru/api/getInfo/image/197ba3e7-7141-11ed-a22a-00155d82e902</v>
      </c>
      <c r="U1397" s="21"/>
      <c r="V1397" s="21" t="s">
        <v>4905</v>
      </c>
      <c r="W1397" s="21" t="s">
        <v>4906</v>
      </c>
      <c r="X1397" s="21"/>
      <c r="Y1397" s="21" t="s">
        <v>41</v>
      </c>
      <c r="Z1397" s="21"/>
      <c r="AA1397" s="21" t="str">
        <f>HYPERLINK("https://miland.ru/api/getInfo/item/197ba3e7-7141-11ed-a22a-00155d82e902")</f>
        <v>https://miland.ru/api/getInfo/item/197ba3e7-7141-11ed-a22a-00155d82e902</v>
      </c>
      <c r="AB1397" s="21" t="s">
        <v>42</v>
      </c>
      <c r="AC1397" s="21" t="s">
        <v>4917</v>
      </c>
      <c r="AD1397" s="21"/>
    </row>
    <row r="1398" spans="2:31" s="1" customFormat="1" ht="96.3" customHeight="1" outlineLevel="5">
      <c r="B1398" s="58">
        <v>1073</v>
      </c>
      <c r="C1398" s="7" t="s">
        <v>4918</v>
      </c>
      <c r="D1398" s="71" t="s">
        <v>4919</v>
      </c>
      <c r="E1398" s="71"/>
      <c r="F1398" s="71"/>
      <c r="G1398" s="71"/>
      <c r="H1398" s="8" t="s">
        <v>4920</v>
      </c>
      <c r="I1398" s="9" t="s">
        <v>36</v>
      </c>
      <c r="J1398" s="8"/>
      <c r="K1398" s="6">
        <v>1</v>
      </c>
      <c r="L1398" s="10">
        <v>749.44</v>
      </c>
      <c r="M1398" s="11"/>
      <c r="N1398" s="8">
        <f>L1398*M1398</f>
        <v>0</v>
      </c>
      <c r="O1398" s="12">
        <f>0.213*M1398</f>
        <v>0</v>
      </c>
      <c r="P1398" s="13">
        <f>0.00306*M1398</f>
        <v>0</v>
      </c>
      <c r="Q1398" s="17" t="s">
        <v>37</v>
      </c>
      <c r="R1398" s="8" t="s">
        <v>4921</v>
      </c>
      <c r="S1398" s="8"/>
      <c r="T1398" s="7" t="str">
        <f>HYPERLINK("https://miland.ru/api/getInfo/image/900054d0-58fd-11f1-a295-00155d82e908")</f>
        <v>https://miland.ru/api/getInfo/image/900054d0-58fd-11f1-a295-00155d82e908</v>
      </c>
      <c r="U1398" s="7"/>
      <c r="V1398" s="7" t="s">
        <v>4905</v>
      </c>
      <c r="W1398" s="7" t="s">
        <v>4906</v>
      </c>
      <c r="X1398" s="7"/>
      <c r="Y1398" s="7" t="s">
        <v>41</v>
      </c>
      <c r="Z1398" s="7"/>
      <c r="AA1398" s="7" t="str">
        <f>HYPERLINK("https://miland.ru/api/getInfo/item/900054d0-58fd-11f1-a295-00155d82e908")</f>
        <v>https://miland.ru/api/getInfo/item/900054d0-58fd-11f1-a295-00155d82e908</v>
      </c>
      <c r="AB1398" s="7" t="s">
        <v>50</v>
      </c>
      <c r="AC1398" s="7"/>
      <c r="AD1398" s="7"/>
      <c r="AE1398" s="54"/>
    </row>
    <row r="1399" spans="2:31" s="1" customFormat="1" ht="96.3" customHeight="1" outlineLevel="5">
      <c r="B1399" s="58">
        <v>1074</v>
      </c>
      <c r="C1399" s="7" t="s">
        <v>4922</v>
      </c>
      <c r="D1399" s="71" t="s">
        <v>4923</v>
      </c>
      <c r="E1399" s="71"/>
      <c r="F1399" s="71"/>
      <c r="G1399" s="71"/>
      <c r="H1399" s="8" t="s">
        <v>4924</v>
      </c>
      <c r="I1399" s="14">
        <v>317</v>
      </c>
      <c r="J1399" s="8"/>
      <c r="K1399" s="6">
        <v>1</v>
      </c>
      <c r="L1399" s="15">
        <v>1045.8599999999999</v>
      </c>
      <c r="M1399" s="11"/>
      <c r="N1399" s="8">
        <f>L1399*M1399</f>
        <v>0</v>
      </c>
      <c r="O1399" s="12">
        <f>0.216*M1399</f>
        <v>0</v>
      </c>
      <c r="P1399" s="13">
        <f>0.00377*M1399</f>
        <v>0</v>
      </c>
      <c r="Q1399" s="17" t="s">
        <v>37</v>
      </c>
      <c r="R1399" s="8" t="s">
        <v>4925</v>
      </c>
      <c r="S1399" s="8"/>
      <c r="T1399" s="7" t="str">
        <f>HYPERLINK("https://miland.ru/api/getInfo/image/bbaea159-58fd-11f1-a295-00155d82e908")</f>
        <v>https://miland.ru/api/getInfo/image/bbaea159-58fd-11f1-a295-00155d82e908</v>
      </c>
      <c r="U1399" s="7"/>
      <c r="V1399" s="7" t="s">
        <v>4905</v>
      </c>
      <c r="W1399" s="7" t="s">
        <v>4906</v>
      </c>
      <c r="X1399" s="7"/>
      <c r="Y1399" s="7" t="s">
        <v>41</v>
      </c>
      <c r="Z1399" s="7"/>
      <c r="AA1399" s="7" t="str">
        <f>HYPERLINK("https://miland.ru/api/getInfo/item/bbaea159-58fd-11f1-a295-00155d82e908")</f>
        <v>https://miland.ru/api/getInfo/item/bbaea159-58fd-11f1-a295-00155d82e908</v>
      </c>
      <c r="AB1399" s="7" t="s">
        <v>50</v>
      </c>
      <c r="AC1399" s="7"/>
      <c r="AD1399" s="7"/>
      <c r="AE1399" s="54"/>
    </row>
    <row r="1400" spans="2:31" ht="12" customHeight="1" outlineLevel="4">
      <c r="B1400" s="70" t="s">
        <v>4926</v>
      </c>
      <c r="C1400" s="70"/>
      <c r="D1400" s="70"/>
      <c r="E1400" s="70"/>
      <c r="F1400" s="70"/>
      <c r="G1400" s="70"/>
    </row>
    <row r="1401" spans="2:31" s="1" customFormat="1" ht="96.3" customHeight="1" outlineLevel="5">
      <c r="B1401" s="58">
        <v>1075</v>
      </c>
      <c r="C1401" s="7" t="s">
        <v>4927</v>
      </c>
      <c r="D1401" s="71" t="s">
        <v>4928</v>
      </c>
      <c r="E1401" s="71"/>
      <c r="F1401" s="71"/>
      <c r="G1401" s="71"/>
      <c r="H1401" s="8" t="s">
        <v>4929</v>
      </c>
      <c r="I1401" s="9" t="s">
        <v>36</v>
      </c>
      <c r="J1401" s="8"/>
      <c r="K1401" s="6">
        <v>1</v>
      </c>
      <c r="L1401" s="10">
        <v>630.13</v>
      </c>
      <c r="M1401" s="11"/>
      <c r="N1401" s="8">
        <f>L1401*M1401</f>
        <v>0</v>
      </c>
      <c r="O1401" s="12">
        <f>0.242*M1401</f>
        <v>0</v>
      </c>
      <c r="P1401" s="13">
        <f>0.00255*M1401</f>
        <v>0</v>
      </c>
      <c r="Q1401" s="17" t="s">
        <v>37</v>
      </c>
      <c r="R1401" s="8" t="s">
        <v>4930</v>
      </c>
      <c r="S1401" s="8"/>
      <c r="T1401" s="7" t="str">
        <f>HYPERLINK("https://miland.ru/api/getInfo/image/f59727fb-58fd-11f1-a295-00155d82e908")</f>
        <v>https://miland.ru/api/getInfo/image/f59727fb-58fd-11f1-a295-00155d82e908</v>
      </c>
      <c r="U1401" s="7"/>
      <c r="V1401" s="7" t="s">
        <v>208</v>
      </c>
      <c r="W1401" s="7" t="s">
        <v>82</v>
      </c>
      <c r="X1401" s="7"/>
      <c r="Y1401" s="7" t="s">
        <v>41</v>
      </c>
      <c r="Z1401" s="7"/>
      <c r="AA1401" s="7" t="str">
        <f>HYPERLINK("https://miland.ru/api/getInfo/item/f59727fb-58fd-11f1-a295-00155d82e908")</f>
        <v>https://miland.ru/api/getInfo/item/f59727fb-58fd-11f1-a295-00155d82e908</v>
      </c>
      <c r="AB1401" s="7" t="s">
        <v>50</v>
      </c>
      <c r="AC1401" s="7"/>
      <c r="AD1401" s="7"/>
      <c r="AE1401" s="54"/>
    </row>
    <row r="1402" spans="2:31" ht="12" customHeight="1" outlineLevel="3">
      <c r="B1402" s="70" t="s">
        <v>4931</v>
      </c>
      <c r="C1402" s="70"/>
      <c r="D1402" s="70"/>
      <c r="E1402" s="70"/>
      <c r="F1402" s="70"/>
      <c r="G1402" s="70"/>
    </row>
    <row r="1403" spans="2:31" ht="12" customHeight="1" outlineLevel="4">
      <c r="B1403" s="70" t="s">
        <v>4932</v>
      </c>
      <c r="C1403" s="70"/>
      <c r="D1403" s="70"/>
      <c r="E1403" s="70"/>
      <c r="F1403" s="70"/>
      <c r="G1403" s="70"/>
    </row>
    <row r="1404" spans="2:31" ht="12" customHeight="1" outlineLevel="5">
      <c r="B1404" s="70" t="s">
        <v>4933</v>
      </c>
      <c r="C1404" s="70"/>
      <c r="D1404" s="70"/>
      <c r="E1404" s="70"/>
      <c r="F1404" s="70"/>
      <c r="G1404" s="70"/>
    </row>
    <row r="1405" spans="2:31" ht="12" customHeight="1" outlineLevel="6">
      <c r="B1405" s="70" t="s">
        <v>4934</v>
      </c>
      <c r="C1405" s="70"/>
      <c r="D1405" s="70"/>
      <c r="E1405" s="70"/>
      <c r="F1405" s="70"/>
      <c r="G1405" s="70"/>
    </row>
    <row r="1406" spans="2:31" s="1" customFormat="1" ht="96.3" customHeight="1" outlineLevel="7">
      <c r="B1406" s="57">
        <v>1076</v>
      </c>
      <c r="C1406" s="21" t="s">
        <v>4935</v>
      </c>
      <c r="D1406" s="72" t="s">
        <v>4936</v>
      </c>
      <c r="E1406" s="72"/>
      <c r="F1406" s="72"/>
      <c r="G1406" s="72"/>
      <c r="H1406" s="22" t="s">
        <v>4937</v>
      </c>
      <c r="I1406" s="27">
        <v>317</v>
      </c>
      <c r="J1406" s="22"/>
      <c r="K1406" s="20">
        <v>1</v>
      </c>
      <c r="L1406" s="32">
        <v>1887.37</v>
      </c>
      <c r="M1406" s="11"/>
      <c r="N1406" s="22">
        <f t="shared" ref="N1406:N1414" si="62">L1406*M1406</f>
        <v>0</v>
      </c>
      <c r="O1406" s="28">
        <f>0.46*M1406</f>
        <v>0</v>
      </c>
      <c r="P1406" s="26">
        <f>0.00557*M1406</f>
        <v>0</v>
      </c>
      <c r="Q1406" s="30"/>
      <c r="R1406" s="22" t="s">
        <v>4938</v>
      </c>
      <c r="S1406" s="22"/>
      <c r="T1406" s="21" t="str">
        <f>HYPERLINK("https://miland.ru/api/getInfo/image/1eb65e08-bf60-11ee-a25a-00155d82e908")</f>
        <v>https://miland.ru/api/getInfo/image/1eb65e08-bf60-11ee-a25a-00155d82e908</v>
      </c>
      <c r="U1406" s="21"/>
      <c r="V1406" s="21" t="s">
        <v>208</v>
      </c>
      <c r="W1406" s="21" t="s">
        <v>82</v>
      </c>
      <c r="X1406" s="21"/>
      <c r="Y1406" s="21" t="s">
        <v>41</v>
      </c>
      <c r="Z1406" s="21"/>
      <c r="AA1406" s="21" t="str">
        <f>HYPERLINK("https://miland.ru/api/getInfo/item/1eb65e08-bf60-11ee-a25a-00155d82e908")</f>
        <v>https://miland.ru/api/getInfo/item/1eb65e08-bf60-11ee-a25a-00155d82e908</v>
      </c>
      <c r="AB1406" s="21" t="s">
        <v>42</v>
      </c>
      <c r="AC1406" s="21" t="s">
        <v>4934</v>
      </c>
      <c r="AD1406" s="21"/>
    </row>
    <row r="1407" spans="2:31" s="1" customFormat="1" ht="96.3" customHeight="1" outlineLevel="7">
      <c r="B1407" s="58">
        <v>1077</v>
      </c>
      <c r="C1407" s="7" t="s">
        <v>4939</v>
      </c>
      <c r="D1407" s="71" t="s">
        <v>4940</v>
      </c>
      <c r="E1407" s="71"/>
      <c r="F1407" s="71"/>
      <c r="G1407" s="71"/>
      <c r="H1407" s="8" t="s">
        <v>4941</v>
      </c>
      <c r="I1407" s="14">
        <v>285</v>
      </c>
      <c r="J1407" s="8"/>
      <c r="K1407" s="6">
        <v>1</v>
      </c>
      <c r="L1407" s="15">
        <v>1883.14</v>
      </c>
      <c r="M1407" s="11"/>
      <c r="N1407" s="8">
        <f t="shared" si="62"/>
        <v>0</v>
      </c>
      <c r="O1407" s="12">
        <f>0.444*M1407</f>
        <v>0</v>
      </c>
      <c r="P1407" s="13">
        <f>0.00545*M1407</f>
        <v>0</v>
      </c>
      <c r="Q1407" s="17" t="s">
        <v>37</v>
      </c>
      <c r="R1407" s="8" t="s">
        <v>4942</v>
      </c>
      <c r="S1407" s="8"/>
      <c r="T1407" s="7" t="str">
        <f>HYPERLINK("https://miland.ru/api/getInfo/image/06454380-2f3c-11f1-a292-00155d82e908")</f>
        <v>https://miland.ru/api/getInfo/image/06454380-2f3c-11f1-a292-00155d82e908</v>
      </c>
      <c r="U1407" s="7"/>
      <c r="V1407" s="7"/>
      <c r="W1407" s="7" t="s">
        <v>82</v>
      </c>
      <c r="X1407" s="7"/>
      <c r="Y1407" s="7" t="s">
        <v>41</v>
      </c>
      <c r="Z1407" s="7"/>
      <c r="AA1407" s="7" t="str">
        <f>HYPERLINK("https://miland.ru/api/getInfo/item/06454380-2f3c-11f1-a292-00155d82e908")</f>
        <v>https://miland.ru/api/getInfo/item/06454380-2f3c-11f1-a292-00155d82e908</v>
      </c>
      <c r="AB1407" s="7" t="s">
        <v>42</v>
      </c>
      <c r="AC1407" s="7"/>
      <c r="AD1407" s="7"/>
      <c r="AE1407" s="54"/>
    </row>
    <row r="1408" spans="2:31" s="1" customFormat="1" ht="96.3" customHeight="1" outlineLevel="7">
      <c r="B1408" s="57">
        <v>1078</v>
      </c>
      <c r="C1408" s="21" t="s">
        <v>4943</v>
      </c>
      <c r="D1408" s="72" t="s">
        <v>4944</v>
      </c>
      <c r="E1408" s="72"/>
      <c r="F1408" s="72"/>
      <c r="G1408" s="72"/>
      <c r="H1408" s="22" t="s">
        <v>4945</v>
      </c>
      <c r="I1408" s="27">
        <v>380</v>
      </c>
      <c r="J1408" s="22"/>
      <c r="K1408" s="20">
        <v>1</v>
      </c>
      <c r="L1408" s="32">
        <v>1836.14</v>
      </c>
      <c r="M1408" s="11"/>
      <c r="N1408" s="22">
        <f t="shared" si="62"/>
        <v>0</v>
      </c>
      <c r="O1408" s="25">
        <f>0.464*M1408</f>
        <v>0</v>
      </c>
      <c r="P1408" s="26">
        <f>0.00575*M1408</f>
        <v>0</v>
      </c>
      <c r="Q1408" s="30"/>
      <c r="R1408" s="22" t="s">
        <v>4946</v>
      </c>
      <c r="S1408" s="22"/>
      <c r="T1408" s="21" t="str">
        <f>HYPERLINK("https://miland.ru/api/getInfo/image/b9e8f380-bf60-11ee-a25a-00155d82e908")</f>
        <v>https://miland.ru/api/getInfo/image/b9e8f380-bf60-11ee-a25a-00155d82e908</v>
      </c>
      <c r="U1408" s="21"/>
      <c r="V1408" s="21" t="s">
        <v>208</v>
      </c>
      <c r="W1408" s="21" t="s">
        <v>82</v>
      </c>
      <c r="X1408" s="21"/>
      <c r="Y1408" s="21" t="s">
        <v>41</v>
      </c>
      <c r="Z1408" s="21"/>
      <c r="AA1408" s="21" t="str">
        <f>HYPERLINK("https://miland.ru/api/getInfo/item/b9e8f380-bf60-11ee-a25a-00155d82e908")</f>
        <v>https://miland.ru/api/getInfo/item/b9e8f380-bf60-11ee-a25a-00155d82e908</v>
      </c>
      <c r="AB1408" s="21" t="s">
        <v>42</v>
      </c>
      <c r="AC1408" s="21" t="s">
        <v>4934</v>
      </c>
      <c r="AD1408" s="21"/>
    </row>
    <row r="1409" spans="2:31" s="1" customFormat="1" ht="96.3" customHeight="1" outlineLevel="7">
      <c r="B1409" s="57">
        <v>1079</v>
      </c>
      <c r="C1409" s="21" t="s">
        <v>4947</v>
      </c>
      <c r="D1409" s="72" t="s">
        <v>4948</v>
      </c>
      <c r="E1409" s="72"/>
      <c r="F1409" s="72"/>
      <c r="G1409" s="72"/>
      <c r="H1409" s="22" t="s">
        <v>4949</v>
      </c>
      <c r="I1409" s="23" t="s">
        <v>36</v>
      </c>
      <c r="J1409" s="22"/>
      <c r="K1409" s="20">
        <v>1</v>
      </c>
      <c r="L1409" s="32">
        <v>1784.08</v>
      </c>
      <c r="M1409" s="11"/>
      <c r="N1409" s="22">
        <f t="shared" si="62"/>
        <v>0</v>
      </c>
      <c r="O1409" s="28">
        <f>0.52*M1409</f>
        <v>0</v>
      </c>
      <c r="P1409" s="26">
        <f>0.01029*M1409</f>
        <v>0</v>
      </c>
      <c r="Q1409" s="30"/>
      <c r="R1409" s="22" t="s">
        <v>4950</v>
      </c>
      <c r="S1409" s="22"/>
      <c r="T1409" s="21" t="str">
        <f>HYPERLINK("https://miland.ru/api/getInfo/image/b4fde417-8b0c-11ec-a211-ac1f6b442185")</f>
        <v>https://miland.ru/api/getInfo/image/b4fde417-8b0c-11ec-a211-ac1f6b442185</v>
      </c>
      <c r="U1409" s="21"/>
      <c r="V1409" s="21" t="s">
        <v>208</v>
      </c>
      <c r="W1409" s="21" t="s">
        <v>82</v>
      </c>
      <c r="X1409" s="21"/>
      <c r="Y1409" s="21" t="s">
        <v>41</v>
      </c>
      <c r="Z1409" s="21"/>
      <c r="AA1409" s="21" t="str">
        <f>HYPERLINK("https://miland.ru/api/getInfo/item/b4fde417-8b0c-11ec-a211-ac1f6b442185")</f>
        <v>https://miland.ru/api/getInfo/item/b4fde417-8b0c-11ec-a211-ac1f6b442185</v>
      </c>
      <c r="AB1409" s="21" t="s">
        <v>42</v>
      </c>
      <c r="AC1409" s="21" t="s">
        <v>4934</v>
      </c>
      <c r="AD1409" s="21"/>
    </row>
    <row r="1410" spans="2:31" s="1" customFormat="1" ht="96.3" customHeight="1" outlineLevel="7">
      <c r="B1410" s="58">
        <v>1080</v>
      </c>
      <c r="C1410" s="7" t="s">
        <v>4951</v>
      </c>
      <c r="D1410" s="71" t="s">
        <v>4952</v>
      </c>
      <c r="E1410" s="71"/>
      <c r="F1410" s="71"/>
      <c r="G1410" s="71"/>
      <c r="H1410" s="8" t="s">
        <v>4953</v>
      </c>
      <c r="I1410" s="14">
        <v>440</v>
      </c>
      <c r="J1410" s="8"/>
      <c r="K1410" s="6">
        <v>1</v>
      </c>
      <c r="L1410" s="15">
        <v>1883.14</v>
      </c>
      <c r="M1410" s="11"/>
      <c r="N1410" s="8">
        <f t="shared" si="62"/>
        <v>0</v>
      </c>
      <c r="O1410" s="12">
        <f>0.442*M1410</f>
        <v>0</v>
      </c>
      <c r="P1410" s="13">
        <f>0.00537*M1410</f>
        <v>0</v>
      </c>
      <c r="Q1410" s="17" t="s">
        <v>37</v>
      </c>
      <c r="R1410" s="8" t="s">
        <v>4954</v>
      </c>
      <c r="S1410" s="8"/>
      <c r="T1410" s="7" t="str">
        <f>HYPERLINK("https://miland.ru/api/getInfo/image/9fa68434-2f3c-11f1-a292-00155d82e908")</f>
        <v>https://miland.ru/api/getInfo/image/9fa68434-2f3c-11f1-a292-00155d82e908</v>
      </c>
      <c r="U1410" s="7"/>
      <c r="V1410" s="7"/>
      <c r="W1410" s="7" t="s">
        <v>82</v>
      </c>
      <c r="X1410" s="7"/>
      <c r="Y1410" s="7" t="s">
        <v>41</v>
      </c>
      <c r="Z1410" s="7"/>
      <c r="AA1410" s="7" t="str">
        <f>HYPERLINK("https://miland.ru/api/getInfo/item/9fa68434-2f3c-11f1-a292-00155d82e908")</f>
        <v>https://miland.ru/api/getInfo/item/9fa68434-2f3c-11f1-a292-00155d82e908</v>
      </c>
      <c r="AB1410" s="7" t="s">
        <v>42</v>
      </c>
      <c r="AC1410" s="7"/>
      <c r="AD1410" s="7"/>
      <c r="AE1410" s="54"/>
    </row>
    <row r="1411" spans="2:31" s="1" customFormat="1" ht="96.3" customHeight="1" outlineLevel="7">
      <c r="B1411" s="57">
        <v>1081</v>
      </c>
      <c r="C1411" s="21" t="s">
        <v>4955</v>
      </c>
      <c r="D1411" s="72" t="s">
        <v>4956</v>
      </c>
      <c r="E1411" s="72"/>
      <c r="F1411" s="72"/>
      <c r="G1411" s="72"/>
      <c r="H1411" s="22" t="s">
        <v>4957</v>
      </c>
      <c r="I1411" s="27">
        <v>339</v>
      </c>
      <c r="J1411" s="22"/>
      <c r="K1411" s="20">
        <v>1</v>
      </c>
      <c r="L1411" s="32">
        <v>2150.86</v>
      </c>
      <c r="M1411" s="11"/>
      <c r="N1411" s="22">
        <f t="shared" si="62"/>
        <v>0</v>
      </c>
      <c r="O1411" s="25">
        <f>0.481*M1411</f>
        <v>0</v>
      </c>
      <c r="P1411" s="26">
        <f>0.00605*M1411</f>
        <v>0</v>
      </c>
      <c r="Q1411" s="30"/>
      <c r="R1411" s="22" t="s">
        <v>4958</v>
      </c>
      <c r="S1411" s="22" t="s">
        <v>435</v>
      </c>
      <c r="T1411" s="21" t="str">
        <f>HYPERLINK("https://miland.ru/api/getInfo/image/95eb3835-bf5f-11ee-a25a-00155d82e908")</f>
        <v>https://miland.ru/api/getInfo/image/95eb3835-bf5f-11ee-a25a-00155d82e908</v>
      </c>
      <c r="U1411" s="21"/>
      <c r="V1411" s="21" t="s">
        <v>208</v>
      </c>
      <c r="W1411" s="21" t="s">
        <v>82</v>
      </c>
      <c r="X1411" s="21"/>
      <c r="Y1411" s="21" t="s">
        <v>41</v>
      </c>
      <c r="Z1411" s="21"/>
      <c r="AA1411" s="21" t="str">
        <f>HYPERLINK("https://miland.ru/api/getInfo/item/95eb3835-bf5f-11ee-a25a-00155d82e908")</f>
        <v>https://miland.ru/api/getInfo/item/95eb3835-bf5f-11ee-a25a-00155d82e908</v>
      </c>
      <c r="AB1411" s="21" t="s">
        <v>42</v>
      </c>
      <c r="AC1411" s="21" t="s">
        <v>4934</v>
      </c>
      <c r="AD1411" s="21"/>
    </row>
    <row r="1412" spans="2:31" s="1" customFormat="1" ht="96.3" customHeight="1" outlineLevel="7">
      <c r="B1412" s="57">
        <v>1082</v>
      </c>
      <c r="C1412" s="21" t="s">
        <v>4959</v>
      </c>
      <c r="D1412" s="72" t="s">
        <v>4960</v>
      </c>
      <c r="E1412" s="72"/>
      <c r="F1412" s="72"/>
      <c r="G1412" s="72"/>
      <c r="H1412" s="22" t="s">
        <v>4961</v>
      </c>
      <c r="I1412" s="23" t="s">
        <v>36</v>
      </c>
      <c r="J1412" s="22"/>
      <c r="K1412" s="20">
        <v>1</v>
      </c>
      <c r="L1412" s="32">
        <v>1783.67</v>
      </c>
      <c r="M1412" s="11"/>
      <c r="N1412" s="22">
        <f t="shared" si="62"/>
        <v>0</v>
      </c>
      <c r="O1412" s="25">
        <f>0.271*M1412</f>
        <v>0</v>
      </c>
      <c r="P1412" s="26">
        <f>0.00529*M1412</f>
        <v>0</v>
      </c>
      <c r="Q1412" s="30"/>
      <c r="R1412" s="22" t="s">
        <v>4962</v>
      </c>
      <c r="S1412" s="22"/>
      <c r="T1412" s="21" t="str">
        <f>HYPERLINK("https://miland.ru/api/getInfo/image/88091cf3-8b0a-11ec-a211-ac1f6b442185")</f>
        <v>https://miland.ru/api/getInfo/image/88091cf3-8b0a-11ec-a211-ac1f6b442185</v>
      </c>
      <c r="U1412" s="21"/>
      <c r="V1412" s="21" t="s">
        <v>208</v>
      </c>
      <c r="W1412" s="21" t="s">
        <v>82</v>
      </c>
      <c r="X1412" s="21"/>
      <c r="Y1412" s="21" t="s">
        <v>41</v>
      </c>
      <c r="Z1412" s="21"/>
      <c r="AA1412" s="21" t="str">
        <f>HYPERLINK("https://miland.ru/api/getInfo/item/88091cf3-8b0a-11ec-a211-ac1f6b442185")</f>
        <v>https://miland.ru/api/getInfo/item/88091cf3-8b0a-11ec-a211-ac1f6b442185</v>
      </c>
      <c r="AB1412" s="21" t="s">
        <v>42</v>
      </c>
      <c r="AC1412" s="21" t="s">
        <v>4934</v>
      </c>
      <c r="AD1412" s="21"/>
    </row>
    <row r="1413" spans="2:31" s="1" customFormat="1" ht="96.3" customHeight="1" outlineLevel="7">
      <c r="B1413" s="57">
        <v>1083</v>
      </c>
      <c r="C1413" s="21" t="s">
        <v>4963</v>
      </c>
      <c r="D1413" s="72" t="s">
        <v>4964</v>
      </c>
      <c r="E1413" s="72"/>
      <c r="F1413" s="72"/>
      <c r="G1413" s="72"/>
      <c r="H1413" s="22" t="s">
        <v>4965</v>
      </c>
      <c r="I1413" s="27">
        <v>463</v>
      </c>
      <c r="J1413" s="22"/>
      <c r="K1413" s="20">
        <v>1</v>
      </c>
      <c r="L1413" s="32">
        <v>1832.83</v>
      </c>
      <c r="M1413" s="11"/>
      <c r="N1413" s="22">
        <f t="shared" si="62"/>
        <v>0</v>
      </c>
      <c r="O1413" s="25">
        <f>0.454*M1413</f>
        <v>0</v>
      </c>
      <c r="P1413" s="26">
        <f>0.00495*M1413</f>
        <v>0</v>
      </c>
      <c r="Q1413" s="30"/>
      <c r="R1413" s="22" t="s">
        <v>4966</v>
      </c>
      <c r="S1413" s="22" t="s">
        <v>435</v>
      </c>
      <c r="T1413" s="21" t="str">
        <f>HYPERLINK("https://miland.ru/api/getInfo/image/06530a21-8b0c-11ec-a211-ac1f6b442185")</f>
        <v>https://miland.ru/api/getInfo/image/06530a21-8b0c-11ec-a211-ac1f6b442185</v>
      </c>
      <c r="U1413" s="21"/>
      <c r="V1413" s="21" t="s">
        <v>208</v>
      </c>
      <c r="W1413" s="21" t="s">
        <v>82</v>
      </c>
      <c r="X1413" s="21"/>
      <c r="Y1413" s="21" t="s">
        <v>41</v>
      </c>
      <c r="Z1413" s="21"/>
      <c r="AA1413" s="21" t="str">
        <f>HYPERLINK("https://miland.ru/api/getInfo/item/06530a21-8b0c-11ec-a211-ac1f6b442185")</f>
        <v>https://miland.ru/api/getInfo/item/06530a21-8b0c-11ec-a211-ac1f6b442185</v>
      </c>
      <c r="AB1413" s="21" t="s">
        <v>42</v>
      </c>
      <c r="AC1413" s="21" t="s">
        <v>4934</v>
      </c>
      <c r="AD1413" s="21"/>
    </row>
    <row r="1414" spans="2:31" s="1" customFormat="1" ht="96.3" customHeight="1" outlineLevel="7">
      <c r="B1414" s="57">
        <v>1084</v>
      </c>
      <c r="C1414" s="21" t="s">
        <v>4967</v>
      </c>
      <c r="D1414" s="72" t="s">
        <v>4968</v>
      </c>
      <c r="E1414" s="72"/>
      <c r="F1414" s="72"/>
      <c r="G1414" s="72"/>
      <c r="H1414" s="22" t="s">
        <v>4969</v>
      </c>
      <c r="I1414" s="23" t="s">
        <v>36</v>
      </c>
      <c r="J1414" s="22"/>
      <c r="K1414" s="20">
        <v>1</v>
      </c>
      <c r="L1414" s="32">
        <v>1883.14</v>
      </c>
      <c r="M1414" s="11"/>
      <c r="N1414" s="22">
        <f t="shared" si="62"/>
        <v>0</v>
      </c>
      <c r="O1414" s="25">
        <f>0.493*M1414</f>
        <v>0</v>
      </c>
      <c r="P1414" s="26">
        <f>0.00593*M1414</f>
        <v>0</v>
      </c>
      <c r="Q1414" s="30"/>
      <c r="R1414" s="22" t="s">
        <v>4970</v>
      </c>
      <c r="S1414" s="22" t="s">
        <v>435</v>
      </c>
      <c r="T1414" s="21" t="str">
        <f>HYPERLINK("https://miland.ru/api/getInfo/image/059741e3-bf5f-11ee-a25a-00155d82e908")</f>
        <v>https://miland.ru/api/getInfo/image/059741e3-bf5f-11ee-a25a-00155d82e908</v>
      </c>
      <c r="U1414" s="21"/>
      <c r="V1414" s="21" t="s">
        <v>208</v>
      </c>
      <c r="W1414" s="21" t="s">
        <v>82</v>
      </c>
      <c r="X1414" s="21"/>
      <c r="Y1414" s="21" t="s">
        <v>41</v>
      </c>
      <c r="Z1414" s="21"/>
      <c r="AA1414" s="21" t="str">
        <f>HYPERLINK("https://miland.ru/api/getInfo/item/059741e3-bf5f-11ee-a25a-00155d82e908")</f>
        <v>https://miland.ru/api/getInfo/item/059741e3-bf5f-11ee-a25a-00155d82e908</v>
      </c>
      <c r="AB1414" s="21" t="s">
        <v>42</v>
      </c>
      <c r="AC1414" s="21" t="s">
        <v>4934</v>
      </c>
      <c r="AD1414" s="21"/>
    </row>
    <row r="1415" spans="2:31" ht="12" customHeight="1" outlineLevel="6">
      <c r="B1415" s="70" t="s">
        <v>4772</v>
      </c>
      <c r="C1415" s="70"/>
      <c r="D1415" s="70"/>
      <c r="E1415" s="70"/>
      <c r="F1415" s="70"/>
      <c r="G1415" s="70"/>
    </row>
    <row r="1416" spans="2:31" s="1" customFormat="1" ht="96.3" customHeight="1" outlineLevel="7">
      <c r="B1416" s="57">
        <v>1085</v>
      </c>
      <c r="C1416" s="21" t="s">
        <v>4971</v>
      </c>
      <c r="D1416" s="72" t="s">
        <v>4972</v>
      </c>
      <c r="E1416" s="72"/>
      <c r="F1416" s="72"/>
      <c r="G1416" s="72"/>
      <c r="H1416" s="22" t="s">
        <v>4973</v>
      </c>
      <c r="I1416" s="27">
        <v>208</v>
      </c>
      <c r="J1416" s="22"/>
      <c r="K1416" s="20">
        <v>1</v>
      </c>
      <c r="L1416" s="32">
        <v>2525.54</v>
      </c>
      <c r="M1416" s="11"/>
      <c r="N1416" s="22">
        <f t="shared" ref="N1416:N1424" si="63">L1416*M1416</f>
        <v>0</v>
      </c>
      <c r="O1416" s="25">
        <f>0.582*M1416</f>
        <v>0</v>
      </c>
      <c r="P1416" s="26">
        <f>0.01083*M1416</f>
        <v>0</v>
      </c>
      <c r="Q1416" s="30"/>
      <c r="R1416" s="22" t="s">
        <v>4974</v>
      </c>
      <c r="S1416" s="22"/>
      <c r="T1416" s="21" t="str">
        <f>HYPERLINK("https://miland.ru/api/getInfo/image/54dc33e4-bf60-11ee-a25a-00155d82e908")</f>
        <v>https://miland.ru/api/getInfo/image/54dc33e4-bf60-11ee-a25a-00155d82e908</v>
      </c>
      <c r="U1416" s="21"/>
      <c r="V1416" s="21" t="s">
        <v>208</v>
      </c>
      <c r="W1416" s="21" t="s">
        <v>82</v>
      </c>
      <c r="X1416" s="21"/>
      <c r="Y1416" s="21" t="s">
        <v>41</v>
      </c>
      <c r="Z1416" s="21"/>
      <c r="AA1416" s="21" t="str">
        <f>HYPERLINK("https://miland.ru/api/getInfo/item/54dc33e4-bf60-11ee-a25a-00155d82e908")</f>
        <v>https://miland.ru/api/getInfo/item/54dc33e4-bf60-11ee-a25a-00155d82e908</v>
      </c>
      <c r="AB1416" s="21" t="s">
        <v>42</v>
      </c>
      <c r="AC1416" s="21" t="s">
        <v>4772</v>
      </c>
      <c r="AD1416" s="21"/>
    </row>
    <row r="1417" spans="2:31" s="1" customFormat="1" ht="96.3" customHeight="1" outlineLevel="7">
      <c r="B1417" s="58">
        <v>1086</v>
      </c>
      <c r="C1417" s="7" t="s">
        <v>4975</v>
      </c>
      <c r="D1417" s="71" t="s">
        <v>4976</v>
      </c>
      <c r="E1417" s="71"/>
      <c r="F1417" s="71"/>
      <c r="G1417" s="71"/>
      <c r="H1417" s="8" t="s">
        <v>4977</v>
      </c>
      <c r="I1417" s="14">
        <v>482</v>
      </c>
      <c r="J1417" s="8"/>
      <c r="K1417" s="6">
        <v>1</v>
      </c>
      <c r="L1417" s="15">
        <v>2477.38</v>
      </c>
      <c r="M1417" s="11"/>
      <c r="N1417" s="8">
        <f t="shared" si="63"/>
        <v>0</v>
      </c>
      <c r="O1417" s="12">
        <f>0.582*M1417</f>
        <v>0</v>
      </c>
      <c r="P1417" s="13">
        <f>0.01052*M1417</f>
        <v>0</v>
      </c>
      <c r="Q1417" s="17" t="s">
        <v>37</v>
      </c>
      <c r="R1417" s="8" t="s">
        <v>4978</v>
      </c>
      <c r="S1417" s="8"/>
      <c r="T1417" s="7" t="str">
        <f>HYPERLINK("https://miland.ru/api/getInfo/image/6c998bf7-2f3d-11f1-a292-00155d82e908")</f>
        <v>https://miland.ru/api/getInfo/image/6c998bf7-2f3d-11f1-a292-00155d82e908</v>
      </c>
      <c r="U1417" s="7"/>
      <c r="V1417" s="7"/>
      <c r="W1417" s="7" t="s">
        <v>82</v>
      </c>
      <c r="X1417" s="7"/>
      <c r="Y1417" s="7" t="s">
        <v>41</v>
      </c>
      <c r="Z1417" s="7"/>
      <c r="AA1417" s="7" t="str">
        <f>HYPERLINK("https://miland.ru/api/getInfo/item/6c998bf7-2f3d-11f1-a292-00155d82e908")</f>
        <v>https://miland.ru/api/getInfo/item/6c998bf7-2f3d-11f1-a292-00155d82e908</v>
      </c>
      <c r="AB1417" s="7" t="s">
        <v>42</v>
      </c>
      <c r="AC1417" s="7"/>
      <c r="AD1417" s="7"/>
      <c r="AE1417" s="54"/>
    </row>
    <row r="1418" spans="2:31" s="1" customFormat="1" ht="96.3" customHeight="1" outlineLevel="7">
      <c r="B1418" s="57">
        <v>1087</v>
      </c>
      <c r="C1418" s="21" t="s">
        <v>4979</v>
      </c>
      <c r="D1418" s="72" t="s">
        <v>4980</v>
      </c>
      <c r="E1418" s="72"/>
      <c r="F1418" s="72"/>
      <c r="G1418" s="72"/>
      <c r="H1418" s="22" t="s">
        <v>4981</v>
      </c>
      <c r="I1418" s="27">
        <v>42</v>
      </c>
      <c r="J1418" s="22"/>
      <c r="K1418" s="20">
        <v>1</v>
      </c>
      <c r="L1418" s="32">
        <v>2477.38</v>
      </c>
      <c r="M1418" s="11"/>
      <c r="N1418" s="22">
        <f t="shared" si="63"/>
        <v>0</v>
      </c>
      <c r="O1418" s="25">
        <f>0.567*M1418</f>
        <v>0</v>
      </c>
      <c r="P1418" s="26">
        <f>0.01064*M1418</f>
        <v>0</v>
      </c>
      <c r="Q1418" s="30"/>
      <c r="R1418" s="22" t="s">
        <v>4982</v>
      </c>
      <c r="S1418" s="22"/>
      <c r="T1418" s="21" t="str">
        <f>HYPERLINK("https://miland.ru/api/getInfo/image/d778742f-bf60-11ee-a25a-00155d82e908")</f>
        <v>https://miland.ru/api/getInfo/image/d778742f-bf60-11ee-a25a-00155d82e908</v>
      </c>
      <c r="U1418" s="21"/>
      <c r="V1418" s="21" t="s">
        <v>208</v>
      </c>
      <c r="W1418" s="21" t="s">
        <v>82</v>
      </c>
      <c r="X1418" s="21"/>
      <c r="Y1418" s="21" t="s">
        <v>41</v>
      </c>
      <c r="Z1418" s="21"/>
      <c r="AA1418" s="21" t="str">
        <f>HYPERLINK("https://miland.ru/api/getInfo/item/d778742f-bf60-11ee-a25a-00155d82e908")</f>
        <v>https://miland.ru/api/getInfo/item/d778742f-bf60-11ee-a25a-00155d82e908</v>
      </c>
      <c r="AB1418" s="21" t="s">
        <v>42</v>
      </c>
      <c r="AC1418" s="21" t="s">
        <v>4772</v>
      </c>
      <c r="AD1418" s="21"/>
    </row>
    <row r="1419" spans="2:31" s="1" customFormat="1" ht="96.3" customHeight="1" outlineLevel="7">
      <c r="B1419" s="57">
        <v>1088</v>
      </c>
      <c r="C1419" s="21" t="s">
        <v>4983</v>
      </c>
      <c r="D1419" s="72" t="s">
        <v>4984</v>
      </c>
      <c r="E1419" s="72"/>
      <c r="F1419" s="72"/>
      <c r="G1419" s="72"/>
      <c r="H1419" s="22" t="s">
        <v>4985</v>
      </c>
      <c r="I1419" s="23" t="s">
        <v>36</v>
      </c>
      <c r="J1419" s="22"/>
      <c r="K1419" s="20">
        <v>1</v>
      </c>
      <c r="L1419" s="32">
        <v>2402.14</v>
      </c>
      <c r="M1419" s="11"/>
      <c r="N1419" s="22">
        <f t="shared" si="63"/>
        <v>0</v>
      </c>
      <c r="O1419" s="25">
        <f>0.561*M1419</f>
        <v>0</v>
      </c>
      <c r="P1419" s="26">
        <f>0.01029*M1419</f>
        <v>0</v>
      </c>
      <c r="Q1419" s="30"/>
      <c r="R1419" s="22" t="s">
        <v>4986</v>
      </c>
      <c r="S1419" s="22"/>
      <c r="T1419" s="21" t="str">
        <f>HYPERLINK("https://miland.ru/api/getInfo/image/5cf6d392-8b0c-11ec-a211-ac1f6b442185")</f>
        <v>https://miland.ru/api/getInfo/image/5cf6d392-8b0c-11ec-a211-ac1f6b442185</v>
      </c>
      <c r="U1419" s="21"/>
      <c r="V1419" s="21" t="s">
        <v>208</v>
      </c>
      <c r="W1419" s="21" t="s">
        <v>82</v>
      </c>
      <c r="X1419" s="21"/>
      <c r="Y1419" s="21" t="s">
        <v>41</v>
      </c>
      <c r="Z1419" s="21"/>
      <c r="AA1419" s="21" t="str">
        <f>HYPERLINK("https://miland.ru/api/getInfo/item/5cf6d392-8b0c-11ec-a211-ac1f6b442185")</f>
        <v>https://miland.ru/api/getInfo/item/5cf6d392-8b0c-11ec-a211-ac1f6b442185</v>
      </c>
      <c r="AB1419" s="21" t="s">
        <v>42</v>
      </c>
      <c r="AC1419" s="21" t="s">
        <v>4772</v>
      </c>
      <c r="AD1419" s="21"/>
    </row>
    <row r="1420" spans="2:31" s="1" customFormat="1" ht="96.3" customHeight="1" outlineLevel="7">
      <c r="B1420" s="58">
        <v>1089</v>
      </c>
      <c r="C1420" s="7" t="s">
        <v>4987</v>
      </c>
      <c r="D1420" s="71" t="s">
        <v>4988</v>
      </c>
      <c r="E1420" s="71"/>
      <c r="F1420" s="71"/>
      <c r="G1420" s="71"/>
      <c r="H1420" s="8" t="s">
        <v>4989</v>
      </c>
      <c r="I1420" s="14">
        <v>493</v>
      </c>
      <c r="J1420" s="8"/>
      <c r="K1420" s="6">
        <v>1</v>
      </c>
      <c r="L1420" s="15">
        <v>2477.38</v>
      </c>
      <c r="M1420" s="11"/>
      <c r="N1420" s="8">
        <f t="shared" si="63"/>
        <v>0</v>
      </c>
      <c r="O1420" s="12">
        <f>0.569*M1420</f>
        <v>0</v>
      </c>
      <c r="P1420" s="13">
        <f>0.01077*M1420</f>
        <v>0</v>
      </c>
      <c r="Q1420" s="17" t="s">
        <v>37</v>
      </c>
      <c r="R1420" s="8" t="s">
        <v>4990</v>
      </c>
      <c r="S1420" s="8"/>
      <c r="T1420" s="7" t="str">
        <f>HYPERLINK("https://miland.ru/api/getInfo/image/1fabffb7-2f3d-11f1-a292-00155d82e908")</f>
        <v>https://miland.ru/api/getInfo/image/1fabffb7-2f3d-11f1-a292-00155d82e908</v>
      </c>
      <c r="U1420" s="7"/>
      <c r="V1420" s="7"/>
      <c r="W1420" s="7" t="s">
        <v>82</v>
      </c>
      <c r="X1420" s="7"/>
      <c r="Y1420" s="7" t="s">
        <v>41</v>
      </c>
      <c r="Z1420" s="7"/>
      <c r="AA1420" s="7" t="str">
        <f>HYPERLINK("https://miland.ru/api/getInfo/item/1fabffb7-2f3d-11f1-a292-00155d82e908")</f>
        <v>https://miland.ru/api/getInfo/item/1fabffb7-2f3d-11f1-a292-00155d82e908</v>
      </c>
      <c r="AB1420" s="7" t="s">
        <v>42</v>
      </c>
      <c r="AC1420" s="7"/>
      <c r="AD1420" s="7"/>
      <c r="AE1420" s="54"/>
    </row>
    <row r="1421" spans="2:31" s="1" customFormat="1" ht="96.3" customHeight="1" outlineLevel="7">
      <c r="B1421" s="57">
        <v>1090</v>
      </c>
      <c r="C1421" s="21" t="s">
        <v>4991</v>
      </c>
      <c r="D1421" s="72" t="s">
        <v>4992</v>
      </c>
      <c r="E1421" s="72"/>
      <c r="F1421" s="72"/>
      <c r="G1421" s="72"/>
      <c r="H1421" s="22" t="s">
        <v>4993</v>
      </c>
      <c r="I1421" s="23" t="s">
        <v>36</v>
      </c>
      <c r="J1421" s="22"/>
      <c r="K1421" s="20">
        <v>1</v>
      </c>
      <c r="L1421" s="32">
        <v>3050.91</v>
      </c>
      <c r="M1421" s="11"/>
      <c r="N1421" s="22">
        <f t="shared" si="63"/>
        <v>0</v>
      </c>
      <c r="O1421" s="28">
        <f>0.58*M1421</f>
        <v>0</v>
      </c>
      <c r="P1421" s="29">
        <f>0.0106*M1421</f>
        <v>0</v>
      </c>
      <c r="Q1421" s="30"/>
      <c r="R1421" s="22" t="s">
        <v>4994</v>
      </c>
      <c r="S1421" s="22" t="s">
        <v>435</v>
      </c>
      <c r="T1421" s="21" t="str">
        <f>HYPERLINK("https://miland.ru/api/getInfo/image/c5f9b2c4-bf5f-11ee-a25a-00155d82e908")</f>
        <v>https://miland.ru/api/getInfo/image/c5f9b2c4-bf5f-11ee-a25a-00155d82e908</v>
      </c>
      <c r="U1421" s="21"/>
      <c r="V1421" s="21" t="s">
        <v>208</v>
      </c>
      <c r="W1421" s="21" t="s">
        <v>82</v>
      </c>
      <c r="X1421" s="21"/>
      <c r="Y1421" s="21" t="s">
        <v>41</v>
      </c>
      <c r="Z1421" s="21"/>
      <c r="AA1421" s="21" t="str">
        <f>HYPERLINK("https://miland.ru/api/getInfo/item/c5f9b2c4-bf5f-11ee-a25a-00155d82e908")</f>
        <v>https://miland.ru/api/getInfo/item/c5f9b2c4-bf5f-11ee-a25a-00155d82e908</v>
      </c>
      <c r="AB1421" s="21" t="s">
        <v>42</v>
      </c>
      <c r="AC1421" s="21" t="s">
        <v>4772</v>
      </c>
      <c r="AD1421" s="21"/>
    </row>
    <row r="1422" spans="2:31" s="1" customFormat="1" ht="96.3" customHeight="1" outlineLevel="7">
      <c r="B1422" s="57">
        <v>1091</v>
      </c>
      <c r="C1422" s="21" t="s">
        <v>4995</v>
      </c>
      <c r="D1422" s="72" t="s">
        <v>4996</v>
      </c>
      <c r="E1422" s="72"/>
      <c r="F1422" s="72"/>
      <c r="G1422" s="72"/>
      <c r="H1422" s="22" t="s">
        <v>4997</v>
      </c>
      <c r="I1422" s="23" t="s">
        <v>36</v>
      </c>
      <c r="J1422" s="22"/>
      <c r="K1422" s="20">
        <v>1</v>
      </c>
      <c r="L1422" s="32">
        <v>2401.87</v>
      </c>
      <c r="M1422" s="11"/>
      <c r="N1422" s="22">
        <f t="shared" si="63"/>
        <v>0</v>
      </c>
      <c r="O1422" s="28">
        <f>0.55*M1422</f>
        <v>0</v>
      </c>
      <c r="P1422" s="29">
        <f>0.0111*M1422</f>
        <v>0</v>
      </c>
      <c r="Q1422" s="30"/>
      <c r="R1422" s="22" t="s">
        <v>4998</v>
      </c>
      <c r="S1422" s="22"/>
      <c r="T1422" s="21" t="str">
        <f>HYPERLINK("https://miland.ru/api/getInfo/image/1b841828-4439-11eb-a25e-ac1f6b442184")</f>
        <v>https://miland.ru/api/getInfo/image/1b841828-4439-11eb-a25e-ac1f6b442184</v>
      </c>
      <c r="U1422" s="21"/>
      <c r="V1422" s="21" t="s">
        <v>208</v>
      </c>
      <c r="W1422" s="21" t="s">
        <v>82</v>
      </c>
      <c r="X1422" s="21"/>
      <c r="Y1422" s="21" t="s">
        <v>41</v>
      </c>
      <c r="Z1422" s="21"/>
      <c r="AA1422" s="21" t="str">
        <f>HYPERLINK("https://miland.ru/api/getInfo/item/1b841828-4439-11eb-a25e-ac1f6b442184")</f>
        <v>https://miland.ru/api/getInfo/item/1b841828-4439-11eb-a25e-ac1f6b442184</v>
      </c>
      <c r="AB1422" s="21" t="s">
        <v>42</v>
      </c>
      <c r="AC1422" s="21" t="s">
        <v>4772</v>
      </c>
      <c r="AD1422" s="21"/>
    </row>
    <row r="1423" spans="2:31" s="1" customFormat="1" ht="96.3" customHeight="1" outlineLevel="7">
      <c r="B1423" s="57">
        <v>1092</v>
      </c>
      <c r="C1423" s="21" t="s">
        <v>4999</v>
      </c>
      <c r="D1423" s="72" t="s">
        <v>5000</v>
      </c>
      <c r="E1423" s="72"/>
      <c r="F1423" s="72"/>
      <c r="G1423" s="72"/>
      <c r="H1423" s="22" t="s">
        <v>5001</v>
      </c>
      <c r="I1423" s="23" t="s">
        <v>36</v>
      </c>
      <c r="J1423" s="22"/>
      <c r="K1423" s="20">
        <v>1</v>
      </c>
      <c r="L1423" s="32">
        <v>2473.89</v>
      </c>
      <c r="M1423" s="11"/>
      <c r="N1423" s="22">
        <f t="shared" si="63"/>
        <v>0</v>
      </c>
      <c r="O1423" s="28">
        <f>0.54*M1423</f>
        <v>0</v>
      </c>
      <c r="P1423" s="26">
        <f>0.00971*M1423</f>
        <v>0</v>
      </c>
      <c r="Q1423" s="30"/>
      <c r="R1423" s="22" t="s">
        <v>5002</v>
      </c>
      <c r="S1423" s="22"/>
      <c r="T1423" s="21" t="str">
        <f>HYPERLINK("https://miland.ru/api/getInfo/image/ae38b646-8b0b-11ec-a211-ac1f6b442185")</f>
        <v>https://miland.ru/api/getInfo/image/ae38b646-8b0b-11ec-a211-ac1f6b442185</v>
      </c>
      <c r="U1423" s="21"/>
      <c r="V1423" s="21" t="s">
        <v>208</v>
      </c>
      <c r="W1423" s="21" t="s">
        <v>82</v>
      </c>
      <c r="X1423" s="21"/>
      <c r="Y1423" s="21" t="s">
        <v>41</v>
      </c>
      <c r="Z1423" s="21"/>
      <c r="AA1423" s="21" t="str">
        <f>HYPERLINK("https://miland.ru/api/getInfo/item/ae38b646-8b0b-11ec-a211-ac1f6b442185")</f>
        <v>https://miland.ru/api/getInfo/item/ae38b646-8b0b-11ec-a211-ac1f6b442185</v>
      </c>
      <c r="AB1423" s="21" t="s">
        <v>42</v>
      </c>
      <c r="AC1423" s="21" t="s">
        <v>4772</v>
      </c>
      <c r="AD1423" s="21"/>
    </row>
    <row r="1424" spans="2:31" s="1" customFormat="1" ht="96.3" customHeight="1" outlineLevel="7">
      <c r="B1424" s="57">
        <v>1093</v>
      </c>
      <c r="C1424" s="21" t="s">
        <v>5003</v>
      </c>
      <c r="D1424" s="72" t="s">
        <v>5004</v>
      </c>
      <c r="E1424" s="72"/>
      <c r="F1424" s="72"/>
      <c r="G1424" s="72"/>
      <c r="H1424" s="22" t="s">
        <v>5005</v>
      </c>
      <c r="I1424" s="23" t="s">
        <v>36</v>
      </c>
      <c r="J1424" s="22"/>
      <c r="K1424" s="20">
        <v>1</v>
      </c>
      <c r="L1424" s="32">
        <v>2524.63</v>
      </c>
      <c r="M1424" s="11"/>
      <c r="N1424" s="22">
        <f t="shared" si="63"/>
        <v>0</v>
      </c>
      <c r="O1424" s="25">
        <f>0.633*M1424</f>
        <v>0</v>
      </c>
      <c r="P1424" s="26">
        <f>0.01094*M1424</f>
        <v>0</v>
      </c>
      <c r="Q1424" s="30"/>
      <c r="R1424" s="22" t="s">
        <v>5006</v>
      </c>
      <c r="S1424" s="22" t="s">
        <v>435</v>
      </c>
      <c r="T1424" s="21" t="str">
        <f>HYPERLINK("https://miland.ru/api/getInfo/image/378e7e7d-bf5f-11ee-a25a-00155d82e908")</f>
        <v>https://miland.ru/api/getInfo/image/378e7e7d-bf5f-11ee-a25a-00155d82e908</v>
      </c>
      <c r="U1424" s="21"/>
      <c r="V1424" s="21" t="s">
        <v>208</v>
      </c>
      <c r="W1424" s="21" t="s">
        <v>82</v>
      </c>
      <c r="X1424" s="21"/>
      <c r="Y1424" s="21" t="s">
        <v>41</v>
      </c>
      <c r="Z1424" s="21"/>
      <c r="AA1424" s="21" t="str">
        <f>HYPERLINK("https://miland.ru/api/getInfo/item/378e7e7d-bf5f-11ee-a25a-00155d82e908")</f>
        <v>https://miland.ru/api/getInfo/item/378e7e7d-bf5f-11ee-a25a-00155d82e908</v>
      </c>
      <c r="AB1424" s="21" t="s">
        <v>42</v>
      </c>
      <c r="AC1424" s="21" t="s">
        <v>4772</v>
      </c>
      <c r="AD1424" s="21"/>
    </row>
    <row r="1425" spans="2:31" ht="12" customHeight="1" outlineLevel="5">
      <c r="B1425" s="70" t="s">
        <v>5007</v>
      </c>
      <c r="C1425" s="70"/>
      <c r="D1425" s="70"/>
      <c r="E1425" s="70"/>
      <c r="F1425" s="70"/>
      <c r="G1425" s="70"/>
    </row>
    <row r="1426" spans="2:31" ht="12" customHeight="1" outlineLevel="6">
      <c r="B1426" s="70" t="s">
        <v>4934</v>
      </c>
      <c r="C1426" s="70"/>
      <c r="D1426" s="70"/>
      <c r="E1426" s="70"/>
      <c r="F1426" s="70"/>
      <c r="G1426" s="70"/>
    </row>
    <row r="1427" spans="2:31" s="1" customFormat="1" ht="96.3" customHeight="1" outlineLevel="7">
      <c r="B1427" s="58">
        <v>1094</v>
      </c>
      <c r="C1427" s="7" t="s">
        <v>5008</v>
      </c>
      <c r="D1427" s="71" t="s">
        <v>5009</v>
      </c>
      <c r="E1427" s="71"/>
      <c r="F1427" s="71"/>
      <c r="G1427" s="71"/>
      <c r="H1427" s="8" t="s">
        <v>5010</v>
      </c>
      <c r="I1427" s="9" t="s">
        <v>36</v>
      </c>
      <c r="J1427" s="8"/>
      <c r="K1427" s="6">
        <v>1</v>
      </c>
      <c r="L1427" s="15">
        <v>1883.14</v>
      </c>
      <c r="M1427" s="11"/>
      <c r="N1427" s="8">
        <f t="shared" ref="N1427:N1434" si="64">L1427*M1427</f>
        <v>0</v>
      </c>
      <c r="O1427" s="12">
        <f>0.446*M1427</f>
        <v>0</v>
      </c>
      <c r="P1427" s="13">
        <f>0.00542*M1427</f>
        <v>0</v>
      </c>
      <c r="Q1427" s="17" t="s">
        <v>37</v>
      </c>
      <c r="R1427" s="8" t="s">
        <v>5011</v>
      </c>
      <c r="S1427" s="8"/>
      <c r="T1427" s="7" t="str">
        <f>HYPERLINK("https://miland.ru/api/getInfo/image/124f4bff-2f3f-11f1-a292-00155d82e908")</f>
        <v>https://miland.ru/api/getInfo/image/124f4bff-2f3f-11f1-a292-00155d82e908</v>
      </c>
      <c r="U1427" s="7"/>
      <c r="V1427" s="7"/>
      <c r="W1427" s="7" t="s">
        <v>82</v>
      </c>
      <c r="X1427" s="7"/>
      <c r="Y1427" s="7" t="s">
        <v>41</v>
      </c>
      <c r="Z1427" s="7"/>
      <c r="AA1427" s="7" t="str">
        <f>HYPERLINK("https://miland.ru/api/getInfo/item/124f4bff-2f3f-11f1-a292-00155d82e908")</f>
        <v>https://miland.ru/api/getInfo/item/124f4bff-2f3f-11f1-a292-00155d82e908</v>
      </c>
      <c r="AB1427" s="7" t="s">
        <v>42</v>
      </c>
      <c r="AC1427" s="7"/>
      <c r="AD1427" s="7"/>
      <c r="AE1427" s="54"/>
    </row>
    <row r="1428" spans="2:31" s="1" customFormat="1" ht="96.3" customHeight="1" outlineLevel="7">
      <c r="B1428" s="57">
        <v>1095</v>
      </c>
      <c r="C1428" s="21" t="s">
        <v>5012</v>
      </c>
      <c r="D1428" s="72" t="s">
        <v>5013</v>
      </c>
      <c r="E1428" s="72"/>
      <c r="F1428" s="72"/>
      <c r="G1428" s="72"/>
      <c r="H1428" s="22" t="s">
        <v>5014</v>
      </c>
      <c r="I1428" s="27">
        <v>5</v>
      </c>
      <c r="J1428" s="22"/>
      <c r="K1428" s="20">
        <v>1</v>
      </c>
      <c r="L1428" s="32">
        <v>1983.8</v>
      </c>
      <c r="M1428" s="11"/>
      <c r="N1428" s="22">
        <f t="shared" si="64"/>
        <v>0</v>
      </c>
      <c r="O1428" s="25">
        <f>0.418*M1428</f>
        <v>0</v>
      </c>
      <c r="P1428" s="26">
        <f>0.00583*M1428</f>
        <v>0</v>
      </c>
      <c r="Q1428" s="30"/>
      <c r="R1428" s="22" t="s">
        <v>5015</v>
      </c>
      <c r="S1428" s="22" t="s">
        <v>435</v>
      </c>
      <c r="T1428" s="21" t="str">
        <f>HYPERLINK("https://miland.ru/api/getInfo/image/0ba4b379-bf61-11ee-a25a-00155d82e908")</f>
        <v>https://miland.ru/api/getInfo/image/0ba4b379-bf61-11ee-a25a-00155d82e908</v>
      </c>
      <c r="U1428" s="21"/>
      <c r="V1428" s="21" t="s">
        <v>208</v>
      </c>
      <c r="W1428" s="21" t="s">
        <v>82</v>
      </c>
      <c r="X1428" s="21"/>
      <c r="Y1428" s="21" t="s">
        <v>41</v>
      </c>
      <c r="Z1428" s="21"/>
      <c r="AA1428" s="21" t="str">
        <f>HYPERLINK("https://miland.ru/api/getInfo/item/0ba4b379-bf61-11ee-a25a-00155d82e908")</f>
        <v>https://miland.ru/api/getInfo/item/0ba4b379-bf61-11ee-a25a-00155d82e908</v>
      </c>
      <c r="AB1428" s="21" t="s">
        <v>42</v>
      </c>
      <c r="AC1428" s="21" t="s">
        <v>4934</v>
      </c>
      <c r="AD1428" s="21"/>
    </row>
    <row r="1429" spans="2:31" s="1" customFormat="1" ht="96.3" customHeight="1" outlineLevel="7">
      <c r="B1429" s="57">
        <v>1096</v>
      </c>
      <c r="C1429" s="21" t="s">
        <v>5016</v>
      </c>
      <c r="D1429" s="72" t="s">
        <v>5017</v>
      </c>
      <c r="E1429" s="72"/>
      <c r="F1429" s="72"/>
      <c r="G1429" s="72"/>
      <c r="H1429" s="22" t="s">
        <v>5018</v>
      </c>
      <c r="I1429" s="27">
        <v>111</v>
      </c>
      <c r="J1429" s="22"/>
      <c r="K1429" s="20">
        <v>1</v>
      </c>
      <c r="L1429" s="32">
        <v>1983.8</v>
      </c>
      <c r="M1429" s="11"/>
      <c r="N1429" s="22">
        <f t="shared" si="64"/>
        <v>0</v>
      </c>
      <c r="O1429" s="28">
        <f>0.42*M1429</f>
        <v>0</v>
      </c>
      <c r="P1429" s="26">
        <f>0.00584*M1429</f>
        <v>0</v>
      </c>
      <c r="Q1429" s="30"/>
      <c r="R1429" s="22" t="s">
        <v>5019</v>
      </c>
      <c r="S1429" s="22" t="s">
        <v>435</v>
      </c>
      <c r="T1429" s="21" t="str">
        <f>HYPERLINK("https://miland.ru/api/getInfo/image/49108152-bf61-11ee-a25a-00155d82e908")</f>
        <v>https://miland.ru/api/getInfo/image/49108152-bf61-11ee-a25a-00155d82e908</v>
      </c>
      <c r="U1429" s="21"/>
      <c r="V1429" s="21" t="s">
        <v>208</v>
      </c>
      <c r="W1429" s="21" t="s">
        <v>82</v>
      </c>
      <c r="X1429" s="21"/>
      <c r="Y1429" s="21" t="s">
        <v>41</v>
      </c>
      <c r="Z1429" s="21"/>
      <c r="AA1429" s="21" t="str">
        <f>HYPERLINK("https://miland.ru/api/getInfo/item/49108152-bf61-11ee-a25a-00155d82e908")</f>
        <v>https://miland.ru/api/getInfo/item/49108152-bf61-11ee-a25a-00155d82e908</v>
      </c>
      <c r="AB1429" s="21" t="s">
        <v>42</v>
      </c>
      <c r="AC1429" s="21" t="s">
        <v>4934</v>
      </c>
      <c r="AD1429" s="21"/>
    </row>
    <row r="1430" spans="2:31" s="1" customFormat="1" ht="96.3" customHeight="1" outlineLevel="7">
      <c r="B1430" s="57">
        <v>1097</v>
      </c>
      <c r="C1430" s="21" t="s">
        <v>5020</v>
      </c>
      <c r="D1430" s="72" t="s">
        <v>5021</v>
      </c>
      <c r="E1430" s="72"/>
      <c r="F1430" s="72"/>
      <c r="G1430" s="72"/>
      <c r="H1430" s="22" t="s">
        <v>5022</v>
      </c>
      <c r="I1430" s="27">
        <v>491</v>
      </c>
      <c r="J1430" s="22"/>
      <c r="K1430" s="20">
        <v>1</v>
      </c>
      <c r="L1430" s="32">
        <v>1810.22</v>
      </c>
      <c r="M1430" s="11"/>
      <c r="N1430" s="22">
        <f t="shared" si="64"/>
        <v>0</v>
      </c>
      <c r="O1430" s="25">
        <f>0.436*M1430</f>
        <v>0</v>
      </c>
      <c r="P1430" s="26">
        <f>0.00512*M1430</f>
        <v>0</v>
      </c>
      <c r="Q1430" s="30"/>
      <c r="R1430" s="22" t="s">
        <v>5023</v>
      </c>
      <c r="S1430" s="22" t="s">
        <v>435</v>
      </c>
      <c r="T1430" s="21" t="str">
        <f>HYPERLINK("https://miland.ru/api/getInfo/image/254e5cfc-8b0a-11ec-a211-ac1f6b442185")</f>
        <v>https://miland.ru/api/getInfo/image/254e5cfc-8b0a-11ec-a211-ac1f6b442185</v>
      </c>
      <c r="U1430" s="21"/>
      <c r="V1430" s="21" t="s">
        <v>208</v>
      </c>
      <c r="W1430" s="21" t="s">
        <v>82</v>
      </c>
      <c r="X1430" s="21"/>
      <c r="Y1430" s="21" t="s">
        <v>41</v>
      </c>
      <c r="Z1430" s="21"/>
      <c r="AA1430" s="21" t="str">
        <f>HYPERLINK("https://miland.ru/api/getInfo/item/254e5cfc-8b0a-11ec-a211-ac1f6b442185")</f>
        <v>https://miland.ru/api/getInfo/item/254e5cfc-8b0a-11ec-a211-ac1f6b442185</v>
      </c>
      <c r="AB1430" s="21" t="s">
        <v>42</v>
      </c>
      <c r="AC1430" s="21" t="s">
        <v>4934</v>
      </c>
      <c r="AD1430" s="21"/>
    </row>
    <row r="1431" spans="2:31" s="1" customFormat="1" ht="96.3" customHeight="1" outlineLevel="7">
      <c r="B1431" s="57">
        <v>1098</v>
      </c>
      <c r="C1431" s="21" t="s">
        <v>5024</v>
      </c>
      <c r="D1431" s="72" t="s">
        <v>5025</v>
      </c>
      <c r="E1431" s="72"/>
      <c r="F1431" s="72"/>
      <c r="G1431" s="72"/>
      <c r="H1431" s="22" t="s">
        <v>5026</v>
      </c>
      <c r="I1431" s="27">
        <v>346</v>
      </c>
      <c r="J1431" s="22"/>
      <c r="K1431" s="20">
        <v>1</v>
      </c>
      <c r="L1431" s="32">
        <v>2414.59</v>
      </c>
      <c r="M1431" s="11"/>
      <c r="N1431" s="22">
        <f t="shared" si="64"/>
        <v>0</v>
      </c>
      <c r="O1431" s="25">
        <f>0.476*M1431</f>
        <v>0</v>
      </c>
      <c r="P1431" s="26">
        <f>0.00539*M1431</f>
        <v>0</v>
      </c>
      <c r="Q1431" s="30"/>
      <c r="R1431" s="22" t="s">
        <v>5027</v>
      </c>
      <c r="S1431" s="22" t="s">
        <v>435</v>
      </c>
      <c r="T1431" s="21" t="str">
        <f>HYPERLINK("https://miland.ru/api/getInfo/image/19e20cdd-97cd-11ed-a22d-00155d82e902")</f>
        <v>https://miland.ru/api/getInfo/image/19e20cdd-97cd-11ed-a22d-00155d82e902</v>
      </c>
      <c r="U1431" s="21"/>
      <c r="V1431" s="21" t="s">
        <v>208</v>
      </c>
      <c r="W1431" s="21" t="s">
        <v>82</v>
      </c>
      <c r="X1431" s="21"/>
      <c r="Y1431" s="21" t="s">
        <v>41</v>
      </c>
      <c r="Z1431" s="21"/>
      <c r="AA1431" s="21" t="str">
        <f>HYPERLINK("https://miland.ru/api/getInfo/item/19e20cdd-97cd-11ed-a22d-00155d82e902")</f>
        <v>https://miland.ru/api/getInfo/item/19e20cdd-97cd-11ed-a22d-00155d82e902</v>
      </c>
      <c r="AB1431" s="21" t="s">
        <v>42</v>
      </c>
      <c r="AC1431" s="21"/>
      <c r="AD1431" s="21"/>
    </row>
    <row r="1432" spans="2:31" s="1" customFormat="1" ht="96.3" customHeight="1" outlineLevel="7">
      <c r="B1432" s="57">
        <v>1099</v>
      </c>
      <c r="C1432" s="21" t="s">
        <v>5028</v>
      </c>
      <c r="D1432" s="72" t="s">
        <v>5029</v>
      </c>
      <c r="E1432" s="72"/>
      <c r="F1432" s="72"/>
      <c r="G1432" s="72"/>
      <c r="H1432" s="22" t="s">
        <v>5030</v>
      </c>
      <c r="I1432" s="23" t="s">
        <v>36</v>
      </c>
      <c r="J1432" s="22"/>
      <c r="K1432" s="20">
        <v>1</v>
      </c>
      <c r="L1432" s="32">
        <v>1879.89</v>
      </c>
      <c r="M1432" s="11"/>
      <c r="N1432" s="22">
        <f t="shared" si="64"/>
        <v>0</v>
      </c>
      <c r="O1432" s="25">
        <f>0.447*M1432</f>
        <v>0</v>
      </c>
      <c r="P1432" s="26">
        <f>0.00556*M1432</f>
        <v>0</v>
      </c>
      <c r="Q1432" s="30"/>
      <c r="R1432" s="22" t="s">
        <v>5031</v>
      </c>
      <c r="S1432" s="22"/>
      <c r="T1432" s="21" t="str">
        <f>HYPERLINK("https://miland.ru/api/getInfo/image/41359317-8b0b-11ec-a211-ac1f6b442185")</f>
        <v>https://miland.ru/api/getInfo/image/41359317-8b0b-11ec-a211-ac1f6b442185</v>
      </c>
      <c r="U1432" s="21"/>
      <c r="V1432" s="21" t="s">
        <v>208</v>
      </c>
      <c r="W1432" s="21" t="s">
        <v>82</v>
      </c>
      <c r="X1432" s="21"/>
      <c r="Y1432" s="21" t="s">
        <v>41</v>
      </c>
      <c r="Z1432" s="21"/>
      <c r="AA1432" s="21" t="str">
        <f>HYPERLINK("https://miland.ru/api/getInfo/item/41359317-8b0b-11ec-a211-ac1f6b442185")</f>
        <v>https://miland.ru/api/getInfo/item/41359317-8b0b-11ec-a211-ac1f6b442185</v>
      </c>
      <c r="AB1432" s="21" t="s">
        <v>42</v>
      </c>
      <c r="AC1432" s="21" t="s">
        <v>4934</v>
      </c>
      <c r="AD1432" s="21"/>
    </row>
    <row r="1433" spans="2:31" s="1" customFormat="1" ht="96.3" customHeight="1" outlineLevel="7">
      <c r="B1433" s="57">
        <v>1100</v>
      </c>
      <c r="C1433" s="21" t="s">
        <v>5032</v>
      </c>
      <c r="D1433" s="72" t="s">
        <v>5033</v>
      </c>
      <c r="E1433" s="72"/>
      <c r="F1433" s="72"/>
      <c r="G1433" s="72"/>
      <c r="H1433" s="22" t="s">
        <v>5034</v>
      </c>
      <c r="I1433" s="23" t="s">
        <v>36</v>
      </c>
      <c r="J1433" s="22"/>
      <c r="K1433" s="20">
        <v>1</v>
      </c>
      <c r="L1433" s="32">
        <v>1759.93</v>
      </c>
      <c r="M1433" s="11"/>
      <c r="N1433" s="22">
        <f t="shared" si="64"/>
        <v>0</v>
      </c>
      <c r="O1433" s="25">
        <f>0.443*M1433</f>
        <v>0</v>
      </c>
      <c r="P1433" s="26">
        <f>0.00564*M1433</f>
        <v>0</v>
      </c>
      <c r="Q1433" s="30"/>
      <c r="R1433" s="22" t="s">
        <v>5035</v>
      </c>
      <c r="S1433" s="22"/>
      <c r="T1433" s="21" t="str">
        <f>HYPERLINK("https://miland.ru/api/getInfo/image/cfba66d2-8b09-11ec-a211-ac1f6b442185")</f>
        <v>https://miland.ru/api/getInfo/image/cfba66d2-8b09-11ec-a211-ac1f6b442185</v>
      </c>
      <c r="U1433" s="21"/>
      <c r="V1433" s="21" t="s">
        <v>208</v>
      </c>
      <c r="W1433" s="21" t="s">
        <v>82</v>
      </c>
      <c r="X1433" s="21"/>
      <c r="Y1433" s="21" t="s">
        <v>41</v>
      </c>
      <c r="Z1433" s="21"/>
      <c r="AA1433" s="21" t="str">
        <f>HYPERLINK("https://miland.ru/api/getInfo/item/cfba66d2-8b09-11ec-a211-ac1f6b442185")</f>
        <v>https://miland.ru/api/getInfo/item/cfba66d2-8b09-11ec-a211-ac1f6b442185</v>
      </c>
      <c r="AB1433" s="21" t="s">
        <v>42</v>
      </c>
      <c r="AC1433" s="21" t="s">
        <v>4934</v>
      </c>
      <c r="AD1433" s="21"/>
    </row>
    <row r="1434" spans="2:31" s="1" customFormat="1" ht="96.3" customHeight="1" outlineLevel="7">
      <c r="B1434" s="57">
        <v>1101</v>
      </c>
      <c r="C1434" s="21" t="s">
        <v>5036</v>
      </c>
      <c r="D1434" s="72" t="s">
        <v>5037</v>
      </c>
      <c r="E1434" s="72"/>
      <c r="F1434" s="72"/>
      <c r="G1434" s="72"/>
      <c r="H1434" s="22" t="s">
        <v>5038</v>
      </c>
      <c r="I1434" s="27">
        <v>10</v>
      </c>
      <c r="J1434" s="22"/>
      <c r="K1434" s="20">
        <v>1</v>
      </c>
      <c r="L1434" s="32">
        <v>1983.8</v>
      </c>
      <c r="M1434" s="11"/>
      <c r="N1434" s="22">
        <f t="shared" si="64"/>
        <v>0</v>
      </c>
      <c r="O1434" s="25">
        <f>0.432*M1434</f>
        <v>0</v>
      </c>
      <c r="P1434" s="26">
        <f>0.00477*M1434</f>
        <v>0</v>
      </c>
      <c r="Q1434" s="30"/>
      <c r="R1434" s="22" t="s">
        <v>5039</v>
      </c>
      <c r="S1434" s="22" t="s">
        <v>435</v>
      </c>
      <c r="T1434" s="21" t="str">
        <f>HYPERLINK("https://miland.ru/api/getInfo/image/72133f3f-8b09-11ec-a211-ac1f6b442185")</f>
        <v>https://miland.ru/api/getInfo/image/72133f3f-8b09-11ec-a211-ac1f6b442185</v>
      </c>
      <c r="U1434" s="21"/>
      <c r="V1434" s="21" t="s">
        <v>208</v>
      </c>
      <c r="W1434" s="21" t="s">
        <v>82</v>
      </c>
      <c r="X1434" s="21"/>
      <c r="Y1434" s="21" t="s">
        <v>41</v>
      </c>
      <c r="Z1434" s="21"/>
      <c r="AA1434" s="21" t="str">
        <f>HYPERLINK("https://miland.ru/api/getInfo/item/72133f3f-8b09-11ec-a211-ac1f6b442185")</f>
        <v>https://miland.ru/api/getInfo/item/72133f3f-8b09-11ec-a211-ac1f6b442185</v>
      </c>
      <c r="AB1434" s="21" t="s">
        <v>42</v>
      </c>
      <c r="AC1434" s="21" t="s">
        <v>4934</v>
      </c>
      <c r="AD1434" s="21"/>
    </row>
    <row r="1435" spans="2:31" ht="12" customHeight="1" outlineLevel="6">
      <c r="B1435" s="70" t="s">
        <v>4772</v>
      </c>
      <c r="C1435" s="70"/>
      <c r="D1435" s="70"/>
      <c r="E1435" s="70"/>
      <c r="F1435" s="70"/>
      <c r="G1435" s="70"/>
    </row>
    <row r="1436" spans="2:31" s="1" customFormat="1" ht="96.3" customHeight="1" outlineLevel="7">
      <c r="B1436" s="58">
        <v>1102</v>
      </c>
      <c r="C1436" s="7" t="s">
        <v>5040</v>
      </c>
      <c r="D1436" s="71" t="s">
        <v>5041</v>
      </c>
      <c r="E1436" s="71"/>
      <c r="F1436" s="71"/>
      <c r="G1436" s="71"/>
      <c r="H1436" s="8" t="s">
        <v>5042</v>
      </c>
      <c r="I1436" s="9" t="s">
        <v>36</v>
      </c>
      <c r="J1436" s="8"/>
      <c r="K1436" s="6">
        <v>1</v>
      </c>
      <c r="L1436" s="15">
        <v>2472.9699999999998</v>
      </c>
      <c r="M1436" s="11"/>
      <c r="N1436" s="8">
        <f t="shared" ref="N1436:N1444" si="65">L1436*M1436</f>
        <v>0</v>
      </c>
      <c r="O1436" s="12">
        <f>0.646*M1436</f>
        <v>0</v>
      </c>
      <c r="P1436" s="16">
        <f>0.0106*M1436</f>
        <v>0</v>
      </c>
      <c r="Q1436" s="17" t="s">
        <v>37</v>
      </c>
      <c r="R1436" s="8" t="s">
        <v>5043</v>
      </c>
      <c r="S1436" s="8"/>
      <c r="T1436" s="7" t="str">
        <f>HYPERLINK("https://miland.ru/api/getInfo/image/b909b08b-2f3f-11f1-a292-00155d82e908")</f>
        <v>https://miland.ru/api/getInfo/image/b909b08b-2f3f-11f1-a292-00155d82e908</v>
      </c>
      <c r="U1436" s="7"/>
      <c r="V1436" s="7"/>
      <c r="W1436" s="7" t="s">
        <v>82</v>
      </c>
      <c r="X1436" s="7"/>
      <c r="Y1436" s="7" t="s">
        <v>41</v>
      </c>
      <c r="Z1436" s="7"/>
      <c r="AA1436" s="7" t="str">
        <f>HYPERLINK("https://miland.ru/api/getInfo/item/b909b08b-2f3f-11f1-a292-00155d82e908")</f>
        <v>https://miland.ru/api/getInfo/item/b909b08b-2f3f-11f1-a292-00155d82e908</v>
      </c>
      <c r="AB1436" s="7" t="s">
        <v>42</v>
      </c>
      <c r="AC1436" s="7"/>
      <c r="AD1436" s="7"/>
      <c r="AE1436" s="54"/>
    </row>
    <row r="1437" spans="2:31" s="1" customFormat="1" ht="96.3" customHeight="1" outlineLevel="7">
      <c r="B1437" s="58">
        <v>1103</v>
      </c>
      <c r="C1437" s="7" t="s">
        <v>5044</v>
      </c>
      <c r="D1437" s="71" t="s">
        <v>5045</v>
      </c>
      <c r="E1437" s="71"/>
      <c r="F1437" s="71"/>
      <c r="G1437" s="71"/>
      <c r="H1437" s="8" t="s">
        <v>5046</v>
      </c>
      <c r="I1437" s="9" t="s">
        <v>36</v>
      </c>
      <c r="J1437" s="8"/>
      <c r="K1437" s="6">
        <v>1</v>
      </c>
      <c r="L1437" s="15">
        <v>2472.9699999999998</v>
      </c>
      <c r="M1437" s="11"/>
      <c r="N1437" s="8">
        <f t="shared" si="65"/>
        <v>0</v>
      </c>
      <c r="O1437" s="12">
        <f>0.671*M1437</f>
        <v>0</v>
      </c>
      <c r="P1437" s="13">
        <f>0.01073*M1437</f>
        <v>0</v>
      </c>
      <c r="Q1437" s="17" t="s">
        <v>37</v>
      </c>
      <c r="R1437" s="8" t="s">
        <v>5047</v>
      </c>
      <c r="S1437" s="8"/>
      <c r="T1437" s="7" t="str">
        <f>HYPERLINK("https://miland.ru/api/getInfo/image/2645f933-2f40-11f1-a292-00155d82e908")</f>
        <v>https://miland.ru/api/getInfo/image/2645f933-2f40-11f1-a292-00155d82e908</v>
      </c>
      <c r="U1437" s="7"/>
      <c r="V1437" s="7"/>
      <c r="W1437" s="7" t="s">
        <v>82</v>
      </c>
      <c r="X1437" s="7"/>
      <c r="Y1437" s="7" t="s">
        <v>41</v>
      </c>
      <c r="Z1437" s="7"/>
      <c r="AA1437" s="7" t="str">
        <f>HYPERLINK("https://miland.ru/api/getInfo/item/2645f933-2f40-11f1-a292-00155d82e908")</f>
        <v>https://miland.ru/api/getInfo/item/2645f933-2f40-11f1-a292-00155d82e908</v>
      </c>
      <c r="AB1437" s="7" t="s">
        <v>42</v>
      </c>
      <c r="AC1437" s="7"/>
      <c r="AD1437" s="7"/>
      <c r="AE1437" s="54"/>
    </row>
    <row r="1438" spans="2:31" s="1" customFormat="1" ht="96.3" customHeight="1" outlineLevel="7">
      <c r="B1438" s="57">
        <v>1104</v>
      </c>
      <c r="C1438" s="21" t="s">
        <v>5048</v>
      </c>
      <c r="D1438" s="72" t="s">
        <v>5049</v>
      </c>
      <c r="E1438" s="72"/>
      <c r="F1438" s="72"/>
      <c r="G1438" s="72"/>
      <c r="H1438" s="22" t="s">
        <v>5050</v>
      </c>
      <c r="I1438" s="27">
        <v>85</v>
      </c>
      <c r="J1438" s="22"/>
      <c r="K1438" s="20">
        <v>1</v>
      </c>
      <c r="L1438" s="32">
        <v>2436.14</v>
      </c>
      <c r="M1438" s="11"/>
      <c r="N1438" s="22">
        <f t="shared" si="65"/>
        <v>0</v>
      </c>
      <c r="O1438" s="28">
        <f>0.61*M1438</f>
        <v>0</v>
      </c>
      <c r="P1438" s="26">
        <f>0.00971*M1438</f>
        <v>0</v>
      </c>
      <c r="Q1438" s="30"/>
      <c r="R1438" s="22" t="s">
        <v>5051</v>
      </c>
      <c r="S1438" s="22" t="s">
        <v>435</v>
      </c>
      <c r="T1438" s="21" t="str">
        <f>HYPERLINK("https://miland.ru/api/getInfo/image/be030039-4438-11eb-a25e-ac1f6b442184")</f>
        <v>https://miland.ru/api/getInfo/image/be030039-4438-11eb-a25e-ac1f6b442184</v>
      </c>
      <c r="U1438" s="21"/>
      <c r="V1438" s="21" t="s">
        <v>208</v>
      </c>
      <c r="W1438" s="21" t="s">
        <v>82</v>
      </c>
      <c r="X1438" s="21"/>
      <c r="Y1438" s="21" t="s">
        <v>41</v>
      </c>
      <c r="Z1438" s="21"/>
      <c r="AA1438" s="21" t="str">
        <f>HYPERLINK("https://miland.ru/api/getInfo/item/be030039-4438-11eb-a25e-ac1f6b442184")</f>
        <v>https://miland.ru/api/getInfo/item/be030039-4438-11eb-a25e-ac1f6b442184</v>
      </c>
      <c r="AB1438" s="21" t="s">
        <v>42</v>
      </c>
      <c r="AC1438" s="21" t="s">
        <v>4772</v>
      </c>
      <c r="AD1438" s="21"/>
    </row>
    <row r="1439" spans="2:31" s="1" customFormat="1" ht="96.3" customHeight="1" outlineLevel="7">
      <c r="B1439" s="57">
        <v>1105</v>
      </c>
      <c r="C1439" s="21" t="s">
        <v>5052</v>
      </c>
      <c r="D1439" s="72" t="s">
        <v>5053</v>
      </c>
      <c r="E1439" s="72"/>
      <c r="F1439" s="72"/>
      <c r="G1439" s="72"/>
      <c r="H1439" s="22" t="s">
        <v>5054</v>
      </c>
      <c r="I1439" s="27">
        <v>71</v>
      </c>
      <c r="J1439" s="22"/>
      <c r="K1439" s="20">
        <v>1</v>
      </c>
      <c r="L1439" s="32">
        <v>2472.9699999999998</v>
      </c>
      <c r="M1439" s="11"/>
      <c r="N1439" s="22">
        <f t="shared" si="65"/>
        <v>0</v>
      </c>
      <c r="O1439" s="25">
        <f>0.622*M1439</f>
        <v>0</v>
      </c>
      <c r="P1439" s="26">
        <f>0.01091*M1439</f>
        <v>0</v>
      </c>
      <c r="Q1439" s="30"/>
      <c r="R1439" s="22" t="s">
        <v>5055</v>
      </c>
      <c r="S1439" s="22" t="s">
        <v>435</v>
      </c>
      <c r="T1439" s="21" t="str">
        <f>HYPERLINK("https://miland.ru/api/getInfo/image/2c6f789c-bf61-11ee-a25a-00155d82e908")</f>
        <v>https://miland.ru/api/getInfo/image/2c6f789c-bf61-11ee-a25a-00155d82e908</v>
      </c>
      <c r="U1439" s="21"/>
      <c r="V1439" s="21" t="s">
        <v>208</v>
      </c>
      <c r="W1439" s="21" t="s">
        <v>82</v>
      </c>
      <c r="X1439" s="21"/>
      <c r="Y1439" s="21" t="s">
        <v>41</v>
      </c>
      <c r="Z1439" s="21"/>
      <c r="AA1439" s="21" t="str">
        <f>HYPERLINK("https://miland.ru/api/getInfo/item/2c6f789c-bf61-11ee-a25a-00155d82e908")</f>
        <v>https://miland.ru/api/getInfo/item/2c6f789c-bf61-11ee-a25a-00155d82e908</v>
      </c>
      <c r="AB1439" s="21" t="s">
        <v>42</v>
      </c>
      <c r="AC1439" s="21" t="s">
        <v>4772</v>
      </c>
      <c r="AD1439" s="21"/>
    </row>
    <row r="1440" spans="2:31" s="1" customFormat="1" ht="96.3" customHeight="1" outlineLevel="7">
      <c r="B1440" s="57">
        <v>1106</v>
      </c>
      <c r="C1440" s="21" t="s">
        <v>5056</v>
      </c>
      <c r="D1440" s="72" t="s">
        <v>5057</v>
      </c>
      <c r="E1440" s="72"/>
      <c r="F1440" s="72"/>
      <c r="G1440" s="72"/>
      <c r="H1440" s="22" t="s">
        <v>5058</v>
      </c>
      <c r="I1440" s="27">
        <v>36</v>
      </c>
      <c r="J1440" s="22"/>
      <c r="K1440" s="20">
        <v>1</v>
      </c>
      <c r="L1440" s="32">
        <v>2472.9699999999998</v>
      </c>
      <c r="M1440" s="11"/>
      <c r="N1440" s="22">
        <f t="shared" si="65"/>
        <v>0</v>
      </c>
      <c r="O1440" s="25">
        <f>0.624*M1440</f>
        <v>0</v>
      </c>
      <c r="P1440" s="26">
        <f>0.01066*M1440</f>
        <v>0</v>
      </c>
      <c r="Q1440" s="30"/>
      <c r="R1440" s="22" t="s">
        <v>5059</v>
      </c>
      <c r="S1440" s="22" t="s">
        <v>435</v>
      </c>
      <c r="T1440" s="21" t="str">
        <f>HYPERLINK("https://miland.ru/api/getInfo/image/6bd97f04-bf61-11ee-a25a-00155d82e908")</f>
        <v>https://miland.ru/api/getInfo/image/6bd97f04-bf61-11ee-a25a-00155d82e908</v>
      </c>
      <c r="U1440" s="21"/>
      <c r="V1440" s="21" t="s">
        <v>208</v>
      </c>
      <c r="W1440" s="21" t="s">
        <v>82</v>
      </c>
      <c r="X1440" s="21"/>
      <c r="Y1440" s="21" t="s">
        <v>41</v>
      </c>
      <c r="Z1440" s="21"/>
      <c r="AA1440" s="21" t="str">
        <f>HYPERLINK("https://miland.ru/api/getInfo/item/6bd97f04-bf61-11ee-a25a-00155d82e908")</f>
        <v>https://miland.ru/api/getInfo/item/6bd97f04-bf61-11ee-a25a-00155d82e908</v>
      </c>
      <c r="AB1440" s="21" t="s">
        <v>42</v>
      </c>
      <c r="AC1440" s="21" t="s">
        <v>4772</v>
      </c>
      <c r="AD1440" s="21"/>
    </row>
    <row r="1441" spans="2:31" s="1" customFormat="1" ht="96.3" customHeight="1" outlineLevel="7">
      <c r="B1441" s="57">
        <v>1107</v>
      </c>
      <c r="C1441" s="21" t="s">
        <v>5060</v>
      </c>
      <c r="D1441" s="72" t="s">
        <v>5061</v>
      </c>
      <c r="E1441" s="72"/>
      <c r="F1441" s="72"/>
      <c r="G1441" s="72"/>
      <c r="H1441" s="22" t="s">
        <v>5062</v>
      </c>
      <c r="I1441" s="23" t="s">
        <v>36</v>
      </c>
      <c r="J1441" s="22"/>
      <c r="K1441" s="20">
        <v>1</v>
      </c>
      <c r="L1441" s="32">
        <v>3236.03</v>
      </c>
      <c r="M1441" s="11"/>
      <c r="N1441" s="22">
        <f t="shared" si="65"/>
        <v>0</v>
      </c>
      <c r="O1441" s="25">
        <f>0.715*M1441</f>
        <v>0</v>
      </c>
      <c r="P1441" s="26">
        <f>0.01064*M1441</f>
        <v>0</v>
      </c>
      <c r="Q1441" s="30"/>
      <c r="R1441" s="22" t="s">
        <v>5063</v>
      </c>
      <c r="S1441" s="22" t="s">
        <v>435</v>
      </c>
      <c r="T1441" s="21" t="str">
        <f>HYPERLINK("https://miland.ru/api/getInfo/image/5d24f892-97cd-11ed-a22d-00155d82e902")</f>
        <v>https://miland.ru/api/getInfo/image/5d24f892-97cd-11ed-a22d-00155d82e902</v>
      </c>
      <c r="U1441" s="21"/>
      <c r="V1441" s="21" t="s">
        <v>208</v>
      </c>
      <c r="W1441" s="21" t="s">
        <v>82</v>
      </c>
      <c r="X1441" s="21"/>
      <c r="Y1441" s="21" t="s">
        <v>41</v>
      </c>
      <c r="Z1441" s="21"/>
      <c r="AA1441" s="21" t="str">
        <f>HYPERLINK("https://miland.ru/api/getInfo/item/5d24f892-97cd-11ed-a22d-00155d82e902")</f>
        <v>https://miland.ru/api/getInfo/item/5d24f892-97cd-11ed-a22d-00155d82e902</v>
      </c>
      <c r="AB1441" s="21" t="s">
        <v>42</v>
      </c>
      <c r="AC1441" s="21"/>
      <c r="AD1441" s="21"/>
    </row>
    <row r="1442" spans="2:31" s="1" customFormat="1" ht="96.3" customHeight="1" outlineLevel="7">
      <c r="B1442" s="57">
        <v>1108</v>
      </c>
      <c r="C1442" s="21" t="s">
        <v>5064</v>
      </c>
      <c r="D1442" s="72" t="s">
        <v>5065</v>
      </c>
      <c r="E1442" s="72"/>
      <c r="F1442" s="72"/>
      <c r="G1442" s="72"/>
      <c r="H1442" s="22" t="s">
        <v>5066</v>
      </c>
      <c r="I1442" s="23" t="s">
        <v>36</v>
      </c>
      <c r="J1442" s="22"/>
      <c r="K1442" s="20">
        <v>1</v>
      </c>
      <c r="L1442" s="32">
        <v>2472.9699999999998</v>
      </c>
      <c r="M1442" s="11"/>
      <c r="N1442" s="22">
        <f t="shared" si="65"/>
        <v>0</v>
      </c>
      <c r="O1442" s="25">
        <f>0.677*M1442</f>
        <v>0</v>
      </c>
      <c r="P1442" s="26">
        <f>0.01067*M1442</f>
        <v>0</v>
      </c>
      <c r="Q1442" s="30"/>
      <c r="R1442" s="22" t="s">
        <v>5067</v>
      </c>
      <c r="S1442" s="22"/>
      <c r="T1442" s="21" t="str">
        <f>HYPERLINK("https://miland.ru/api/getInfo/image/ea0c4322-8b0a-11ec-a211-ac1f6b442185")</f>
        <v>https://miland.ru/api/getInfo/image/ea0c4322-8b0a-11ec-a211-ac1f6b442185</v>
      </c>
      <c r="U1442" s="21"/>
      <c r="V1442" s="21" t="s">
        <v>208</v>
      </c>
      <c r="W1442" s="21" t="s">
        <v>82</v>
      </c>
      <c r="X1442" s="21"/>
      <c r="Y1442" s="21" t="s">
        <v>41</v>
      </c>
      <c r="Z1442" s="21"/>
      <c r="AA1442" s="21" t="str">
        <f>HYPERLINK("https://miland.ru/api/getInfo/item/ea0c4322-8b0a-11ec-a211-ac1f6b442185")</f>
        <v>https://miland.ru/api/getInfo/item/ea0c4322-8b0a-11ec-a211-ac1f6b442185</v>
      </c>
      <c r="AB1442" s="21" t="s">
        <v>42</v>
      </c>
      <c r="AC1442" s="21" t="s">
        <v>4772</v>
      </c>
      <c r="AD1442" s="21"/>
    </row>
    <row r="1443" spans="2:31" s="1" customFormat="1" ht="96.3" customHeight="1" outlineLevel="7">
      <c r="B1443" s="57">
        <v>1109</v>
      </c>
      <c r="C1443" s="21" t="s">
        <v>5068</v>
      </c>
      <c r="D1443" s="72" t="s">
        <v>5069</v>
      </c>
      <c r="E1443" s="72"/>
      <c r="F1443" s="72"/>
      <c r="G1443" s="72"/>
      <c r="H1443" s="22" t="s">
        <v>5070</v>
      </c>
      <c r="I1443" s="23" t="s">
        <v>36</v>
      </c>
      <c r="J1443" s="22"/>
      <c r="K1443" s="20">
        <v>1</v>
      </c>
      <c r="L1443" s="32">
        <v>2401.5</v>
      </c>
      <c r="M1443" s="11"/>
      <c r="N1443" s="22">
        <f t="shared" si="65"/>
        <v>0</v>
      </c>
      <c r="O1443" s="28">
        <f>0.61*M1443</f>
        <v>0</v>
      </c>
      <c r="P1443" s="26">
        <f>0.00971*M1443</f>
        <v>0</v>
      </c>
      <c r="Q1443" s="30"/>
      <c r="R1443" s="22" t="s">
        <v>5071</v>
      </c>
      <c r="S1443" s="22"/>
      <c r="T1443" s="21" t="str">
        <f>HYPERLINK("https://miland.ru/api/getInfo/image/60a5acfb-4438-11eb-a25e-ac1f6b442184")</f>
        <v>https://miland.ru/api/getInfo/image/60a5acfb-4438-11eb-a25e-ac1f6b442184</v>
      </c>
      <c r="U1443" s="21"/>
      <c r="V1443" s="21" t="s">
        <v>208</v>
      </c>
      <c r="W1443" s="21" t="s">
        <v>82</v>
      </c>
      <c r="X1443" s="21"/>
      <c r="Y1443" s="21" t="s">
        <v>41</v>
      </c>
      <c r="Z1443" s="21"/>
      <c r="AA1443" s="21" t="str">
        <f>HYPERLINK("https://miland.ru/api/getInfo/item/60a5acfb-4438-11eb-a25e-ac1f6b442184")</f>
        <v>https://miland.ru/api/getInfo/item/60a5acfb-4438-11eb-a25e-ac1f6b442184</v>
      </c>
      <c r="AB1443" s="21" t="s">
        <v>42</v>
      </c>
      <c r="AC1443" s="21" t="s">
        <v>4772</v>
      </c>
      <c r="AD1443" s="21"/>
    </row>
    <row r="1444" spans="2:31" s="1" customFormat="1" ht="96.3" customHeight="1" outlineLevel="7">
      <c r="B1444" s="57">
        <v>1110</v>
      </c>
      <c r="C1444" s="21" t="s">
        <v>5072</v>
      </c>
      <c r="D1444" s="72" t="s">
        <v>5073</v>
      </c>
      <c r="E1444" s="72"/>
      <c r="F1444" s="72"/>
      <c r="G1444" s="72"/>
      <c r="H1444" s="22" t="s">
        <v>5074</v>
      </c>
      <c r="I1444" s="27">
        <v>87</v>
      </c>
      <c r="J1444" s="22"/>
      <c r="K1444" s="20">
        <v>1</v>
      </c>
      <c r="L1444" s="32">
        <v>2472.9699999999998</v>
      </c>
      <c r="M1444" s="11"/>
      <c r="N1444" s="22">
        <f t="shared" si="65"/>
        <v>0</v>
      </c>
      <c r="O1444" s="28">
        <f>0.61*M1444</f>
        <v>0</v>
      </c>
      <c r="P1444" s="26">
        <f>0.00971*M1444</f>
        <v>0</v>
      </c>
      <c r="Q1444" s="30"/>
      <c r="R1444" s="22" t="s">
        <v>5075</v>
      </c>
      <c r="S1444" s="22"/>
      <c r="T1444" s="21" t="str">
        <f>HYPERLINK("https://miland.ru/api/getInfo/image/e821cafd-4437-11eb-a25e-ac1f6b442184")</f>
        <v>https://miland.ru/api/getInfo/image/e821cafd-4437-11eb-a25e-ac1f6b442184</v>
      </c>
      <c r="U1444" s="21"/>
      <c r="V1444" s="21" t="s">
        <v>208</v>
      </c>
      <c r="W1444" s="21" t="s">
        <v>82</v>
      </c>
      <c r="X1444" s="21"/>
      <c r="Y1444" s="21" t="s">
        <v>41</v>
      </c>
      <c r="Z1444" s="21"/>
      <c r="AA1444" s="21" t="str">
        <f>HYPERLINK("https://miland.ru/api/getInfo/item/e821cafd-4437-11eb-a25e-ac1f6b442184")</f>
        <v>https://miland.ru/api/getInfo/item/e821cafd-4437-11eb-a25e-ac1f6b442184</v>
      </c>
      <c r="AB1444" s="21" t="s">
        <v>42</v>
      </c>
      <c r="AC1444" s="21" t="s">
        <v>4772</v>
      </c>
      <c r="AD1444" s="21"/>
    </row>
    <row r="1445" spans="2:31" ht="12" customHeight="1" outlineLevel="6">
      <c r="B1445" s="70" t="s">
        <v>4917</v>
      </c>
      <c r="C1445" s="70"/>
      <c r="D1445" s="70"/>
      <c r="E1445" s="70"/>
      <c r="F1445" s="70"/>
      <c r="G1445" s="70"/>
    </row>
    <row r="1446" spans="2:31" s="1" customFormat="1" ht="96.3" customHeight="1" outlineLevel="7">
      <c r="B1446" s="57">
        <v>1111</v>
      </c>
      <c r="C1446" s="21" t="s">
        <v>5076</v>
      </c>
      <c r="D1446" s="72" t="s">
        <v>5077</v>
      </c>
      <c r="E1446" s="72"/>
      <c r="F1446" s="72"/>
      <c r="G1446" s="72"/>
      <c r="H1446" s="22" t="s">
        <v>5078</v>
      </c>
      <c r="I1446" s="27">
        <v>206</v>
      </c>
      <c r="J1446" s="22"/>
      <c r="K1446" s="20">
        <v>1</v>
      </c>
      <c r="L1446" s="32">
        <v>10212.66</v>
      </c>
      <c r="M1446" s="11"/>
      <c r="N1446" s="22">
        <f>L1446*M1446</f>
        <v>0</v>
      </c>
      <c r="O1446" s="25">
        <f>3.763*M1446</f>
        <v>0</v>
      </c>
      <c r="P1446" s="26">
        <f>0.10249*M1446</f>
        <v>0</v>
      </c>
      <c r="Q1446" s="30"/>
      <c r="R1446" s="22" t="s">
        <v>5079</v>
      </c>
      <c r="S1446" s="22"/>
      <c r="T1446" s="21" t="str">
        <f>HYPERLINK("https://miland.ru/api/getInfo/image/7360e678-bf62-11ee-a25a-00155d82e908")</f>
        <v>https://miland.ru/api/getInfo/image/7360e678-bf62-11ee-a25a-00155d82e908</v>
      </c>
      <c r="U1446" s="21"/>
      <c r="V1446" s="21" t="s">
        <v>208</v>
      </c>
      <c r="W1446" s="21" t="s">
        <v>82</v>
      </c>
      <c r="X1446" s="21"/>
      <c r="Y1446" s="21" t="s">
        <v>41</v>
      </c>
      <c r="Z1446" s="21"/>
      <c r="AA1446" s="21" t="str">
        <f>HYPERLINK("https://miland.ru/api/getInfo/item/7360e678-bf62-11ee-a25a-00155d82e908")</f>
        <v>https://miland.ru/api/getInfo/item/7360e678-bf62-11ee-a25a-00155d82e908</v>
      </c>
      <c r="AB1446" s="21" t="s">
        <v>42</v>
      </c>
      <c r="AC1446" s="21" t="s">
        <v>4917</v>
      </c>
      <c r="AD1446" s="21"/>
    </row>
    <row r="1447" spans="2:31" ht="12" customHeight="1" outlineLevel="5">
      <c r="B1447" s="70" t="s">
        <v>5080</v>
      </c>
      <c r="C1447" s="70"/>
      <c r="D1447" s="70"/>
      <c r="E1447" s="70"/>
      <c r="F1447" s="70"/>
      <c r="G1447" s="70"/>
    </row>
    <row r="1448" spans="2:31" s="1" customFormat="1" ht="96.3" customHeight="1" outlineLevel="6">
      <c r="B1448" s="58">
        <v>1112</v>
      </c>
      <c r="C1448" s="7" t="s">
        <v>5081</v>
      </c>
      <c r="D1448" s="71" t="s">
        <v>5082</v>
      </c>
      <c r="E1448" s="71"/>
      <c r="F1448" s="71"/>
      <c r="G1448" s="71"/>
      <c r="H1448" s="8" t="s">
        <v>5083</v>
      </c>
      <c r="I1448" s="14">
        <v>250</v>
      </c>
      <c r="J1448" s="8"/>
      <c r="K1448" s="6">
        <v>1</v>
      </c>
      <c r="L1448" s="15">
        <v>3828</v>
      </c>
      <c r="M1448" s="11"/>
      <c r="N1448" s="8">
        <f>L1448*M1448</f>
        <v>0</v>
      </c>
      <c r="O1448" s="12">
        <f>0.902*M1448</f>
        <v>0</v>
      </c>
      <c r="P1448" s="13">
        <f>0.01315*M1448</f>
        <v>0</v>
      </c>
      <c r="Q1448" s="17" t="s">
        <v>37</v>
      </c>
      <c r="R1448" s="8" t="s">
        <v>5084</v>
      </c>
      <c r="S1448" s="8"/>
      <c r="T1448" s="7" t="str">
        <f>HYPERLINK("https://miland.ru/api/getInfo/image/f6889a90-2f40-11f1-a292-00155d82e908")</f>
        <v>https://miland.ru/api/getInfo/image/f6889a90-2f40-11f1-a292-00155d82e908</v>
      </c>
      <c r="U1448" s="7"/>
      <c r="V1448" s="7"/>
      <c r="W1448" s="7" t="s">
        <v>82</v>
      </c>
      <c r="X1448" s="7"/>
      <c r="Y1448" s="7" t="s">
        <v>41</v>
      </c>
      <c r="Z1448" s="7"/>
      <c r="AA1448" s="7" t="str">
        <f>HYPERLINK("https://miland.ru/api/getInfo/item/f6889a90-2f40-11f1-a292-00155d82e908")</f>
        <v>https://miland.ru/api/getInfo/item/f6889a90-2f40-11f1-a292-00155d82e908</v>
      </c>
      <c r="AB1448" s="7" t="s">
        <v>42</v>
      </c>
      <c r="AC1448" s="7"/>
      <c r="AD1448" s="7"/>
      <c r="AE1448" s="54"/>
    </row>
    <row r="1449" spans="2:31" ht="12" customHeight="1" outlineLevel="5">
      <c r="B1449" s="70" t="s">
        <v>5085</v>
      </c>
      <c r="C1449" s="70"/>
      <c r="D1449" s="70"/>
      <c r="E1449" s="70"/>
      <c r="F1449" s="70"/>
      <c r="G1449" s="70"/>
    </row>
    <row r="1450" spans="2:31" s="1" customFormat="1" ht="96.3" customHeight="1" outlineLevel="6">
      <c r="B1450" s="57">
        <v>1113</v>
      </c>
      <c r="C1450" s="21" t="s">
        <v>5086</v>
      </c>
      <c r="D1450" s="72" t="s">
        <v>5087</v>
      </c>
      <c r="E1450" s="72"/>
      <c r="F1450" s="72"/>
      <c r="G1450" s="72"/>
      <c r="H1450" s="22" t="s">
        <v>5088</v>
      </c>
      <c r="I1450" s="27">
        <v>39</v>
      </c>
      <c r="J1450" s="22"/>
      <c r="K1450" s="20">
        <v>1</v>
      </c>
      <c r="L1450" s="32">
        <v>2173.38</v>
      </c>
      <c r="M1450" s="11"/>
      <c r="N1450" s="22">
        <f>L1450*M1450</f>
        <v>0</v>
      </c>
      <c r="O1450" s="25">
        <f>0.612*M1450</f>
        <v>0</v>
      </c>
      <c r="P1450" s="29">
        <f>0.0122*M1450</f>
        <v>0</v>
      </c>
      <c r="Q1450" s="30"/>
      <c r="R1450" s="22" t="s">
        <v>5089</v>
      </c>
      <c r="S1450" s="22"/>
      <c r="T1450" s="21" t="str">
        <f>HYPERLINK("https://miland.ru/api/getInfo/image/cabbe50b-f898-11ee-a25d-00155d82e908")</f>
        <v>https://miland.ru/api/getInfo/image/cabbe50b-f898-11ee-a25d-00155d82e908</v>
      </c>
      <c r="U1450" s="21"/>
      <c r="V1450" s="21" t="s">
        <v>208</v>
      </c>
      <c r="W1450" s="21" t="s">
        <v>82</v>
      </c>
      <c r="X1450" s="21"/>
      <c r="Y1450" s="21" t="s">
        <v>41</v>
      </c>
      <c r="Z1450" s="21"/>
      <c r="AA1450" s="21" t="str">
        <f>HYPERLINK("https://miland.ru/api/getInfo/item/cabbe50b-f898-11ee-a25d-00155d82e908")</f>
        <v>https://miland.ru/api/getInfo/item/cabbe50b-f898-11ee-a25d-00155d82e908</v>
      </c>
      <c r="AB1450" s="21" t="s">
        <v>42</v>
      </c>
      <c r="AC1450" s="21" t="s">
        <v>5090</v>
      </c>
      <c r="AD1450" s="21"/>
    </row>
    <row r="1451" spans="2:31" ht="12" customHeight="1" outlineLevel="4">
      <c r="B1451" s="70" t="s">
        <v>5091</v>
      </c>
      <c r="C1451" s="70"/>
      <c r="D1451" s="70"/>
      <c r="E1451" s="70"/>
      <c r="F1451" s="70"/>
      <c r="G1451" s="70"/>
    </row>
    <row r="1452" spans="2:31" ht="12" customHeight="1" outlineLevel="5">
      <c r="B1452" s="70" t="s">
        <v>4933</v>
      </c>
      <c r="C1452" s="70"/>
      <c r="D1452" s="70"/>
      <c r="E1452" s="70"/>
      <c r="F1452" s="70"/>
      <c r="G1452" s="70"/>
    </row>
    <row r="1453" spans="2:31" ht="12" customHeight="1" outlineLevel="6">
      <c r="B1453" s="70" t="s">
        <v>5092</v>
      </c>
      <c r="C1453" s="70"/>
      <c r="D1453" s="70"/>
      <c r="E1453" s="70"/>
      <c r="F1453" s="70"/>
      <c r="G1453" s="70"/>
    </row>
    <row r="1454" spans="2:31" s="1" customFormat="1" ht="96.3" customHeight="1" outlineLevel="7">
      <c r="B1454" s="57">
        <v>1114</v>
      </c>
      <c r="C1454" s="21" t="s">
        <v>5093</v>
      </c>
      <c r="D1454" s="72" t="s">
        <v>5094</v>
      </c>
      <c r="E1454" s="72"/>
      <c r="F1454" s="72"/>
      <c r="G1454" s="72"/>
      <c r="H1454" s="22" t="s">
        <v>5095</v>
      </c>
      <c r="I1454" s="27">
        <v>84</v>
      </c>
      <c r="J1454" s="22"/>
      <c r="K1454" s="20">
        <v>1</v>
      </c>
      <c r="L1454" s="32">
        <v>1870.83</v>
      </c>
      <c r="M1454" s="11"/>
      <c r="N1454" s="22">
        <f>L1454*M1454</f>
        <v>0</v>
      </c>
      <c r="O1454" s="25">
        <f>0.228*M1454</f>
        <v>0</v>
      </c>
      <c r="P1454" s="26">
        <f>0.00453*M1454</f>
        <v>0</v>
      </c>
      <c r="Q1454" s="30"/>
      <c r="R1454" s="22" t="s">
        <v>5096</v>
      </c>
      <c r="S1454" s="22" t="s">
        <v>435</v>
      </c>
      <c r="T1454" s="21" t="str">
        <f>HYPERLINK("https://miland.ru/api/getInfo/image/d2a724e9-b925-11ee-a25a-00155d82e908")</f>
        <v>https://miland.ru/api/getInfo/image/d2a724e9-b925-11ee-a25a-00155d82e908</v>
      </c>
      <c r="U1454" s="21"/>
      <c r="V1454" s="21"/>
      <c r="W1454" s="21" t="s">
        <v>82</v>
      </c>
      <c r="X1454" s="21"/>
      <c r="Y1454" s="21"/>
      <c r="Z1454" s="21"/>
      <c r="AA1454" s="21" t="str">
        <f>HYPERLINK("https://miland.ru/api/getInfo/item/d2a724e9-b925-11ee-a25a-00155d82e908")</f>
        <v>https://miland.ru/api/getInfo/item/d2a724e9-b925-11ee-a25a-00155d82e908</v>
      </c>
      <c r="AB1454" s="21" t="s">
        <v>42</v>
      </c>
      <c r="AC1454" s="21" t="s">
        <v>4934</v>
      </c>
      <c r="AD1454" s="21"/>
    </row>
    <row r="1455" spans="2:31" s="1" customFormat="1" ht="96.3" customHeight="1" outlineLevel="7">
      <c r="B1455" s="57">
        <v>1115</v>
      </c>
      <c r="C1455" s="21" t="s">
        <v>5097</v>
      </c>
      <c r="D1455" s="72" t="s">
        <v>5098</v>
      </c>
      <c r="E1455" s="72"/>
      <c r="F1455" s="72"/>
      <c r="G1455" s="72"/>
      <c r="H1455" s="22" t="s">
        <v>5099</v>
      </c>
      <c r="I1455" s="27">
        <v>71</v>
      </c>
      <c r="J1455" s="22"/>
      <c r="K1455" s="20">
        <v>1</v>
      </c>
      <c r="L1455" s="32">
        <v>1870.83</v>
      </c>
      <c r="M1455" s="11"/>
      <c r="N1455" s="22">
        <f>L1455*M1455</f>
        <v>0</v>
      </c>
      <c r="O1455" s="33">
        <f>0.3*M1455</f>
        <v>0</v>
      </c>
      <c r="P1455" s="29">
        <f>0.0053*M1455</f>
        <v>0</v>
      </c>
      <c r="Q1455" s="30"/>
      <c r="R1455" s="22" t="s">
        <v>5100</v>
      </c>
      <c r="S1455" s="22" t="s">
        <v>435</v>
      </c>
      <c r="T1455" s="21" t="str">
        <f>HYPERLINK("https://miland.ru/api/getInfo/image/9285711a-b925-11ee-a25a-00155d82e908")</f>
        <v>https://miland.ru/api/getInfo/image/9285711a-b925-11ee-a25a-00155d82e908</v>
      </c>
      <c r="U1455" s="21"/>
      <c r="V1455" s="21"/>
      <c r="W1455" s="21"/>
      <c r="X1455" s="21"/>
      <c r="Y1455" s="21"/>
      <c r="Z1455" s="21"/>
      <c r="AA1455" s="21" t="str">
        <f>HYPERLINK("https://miland.ru/api/getInfo/item/9285711a-b925-11ee-a25a-00155d82e908")</f>
        <v>https://miland.ru/api/getInfo/item/9285711a-b925-11ee-a25a-00155d82e908</v>
      </c>
      <c r="AB1455" s="21" t="s">
        <v>42</v>
      </c>
      <c r="AC1455" s="21" t="s">
        <v>4934</v>
      </c>
      <c r="AD1455" s="21"/>
    </row>
    <row r="1456" spans="2:31" s="1" customFormat="1" ht="96.3" customHeight="1" outlineLevel="7">
      <c r="B1456" s="57">
        <v>1116</v>
      </c>
      <c r="C1456" s="21" t="s">
        <v>5101</v>
      </c>
      <c r="D1456" s="72" t="s">
        <v>5102</v>
      </c>
      <c r="E1456" s="72"/>
      <c r="F1456" s="72"/>
      <c r="G1456" s="72"/>
      <c r="H1456" s="22" t="s">
        <v>5103</v>
      </c>
      <c r="I1456" s="23" t="s">
        <v>36</v>
      </c>
      <c r="J1456" s="22"/>
      <c r="K1456" s="20">
        <v>1</v>
      </c>
      <c r="L1456" s="32">
        <v>1870.83</v>
      </c>
      <c r="M1456" s="11"/>
      <c r="N1456" s="22">
        <f>L1456*M1456</f>
        <v>0</v>
      </c>
      <c r="O1456" s="28">
        <f>0.25*M1456</f>
        <v>0</v>
      </c>
      <c r="P1456" s="29">
        <f>0.0046*M1456</f>
        <v>0</v>
      </c>
      <c r="Q1456" s="30"/>
      <c r="R1456" s="22" t="s">
        <v>5104</v>
      </c>
      <c r="S1456" s="22"/>
      <c r="T1456" s="21" t="str">
        <f>HYPERLINK("https://miland.ru/api/getInfo/image/195acd7d-97d2-11ed-a22d-00155d82e902")</f>
        <v>https://miland.ru/api/getInfo/image/195acd7d-97d2-11ed-a22d-00155d82e902</v>
      </c>
      <c r="U1456" s="21"/>
      <c r="V1456" s="21" t="s">
        <v>208</v>
      </c>
      <c r="W1456" s="21" t="s">
        <v>82</v>
      </c>
      <c r="X1456" s="21"/>
      <c r="Y1456" s="21" t="s">
        <v>41</v>
      </c>
      <c r="Z1456" s="21"/>
      <c r="AA1456" s="21" t="str">
        <f>HYPERLINK("https://miland.ru/api/getInfo/item/195acd7d-97d2-11ed-a22d-00155d82e902")</f>
        <v>https://miland.ru/api/getInfo/item/195acd7d-97d2-11ed-a22d-00155d82e902</v>
      </c>
      <c r="AB1456" s="21" t="s">
        <v>42</v>
      </c>
      <c r="AC1456" s="21"/>
      <c r="AD1456" s="21"/>
    </row>
    <row r="1457" spans="2:30" ht="12" customHeight="1" outlineLevel="6">
      <c r="B1457" s="70" t="s">
        <v>5105</v>
      </c>
      <c r="C1457" s="70"/>
      <c r="D1457" s="70"/>
      <c r="E1457" s="70"/>
      <c r="F1457" s="70"/>
      <c r="G1457" s="70"/>
    </row>
    <row r="1458" spans="2:30" s="1" customFormat="1" ht="96.3" customHeight="1" outlineLevel="7">
      <c r="B1458" s="57">
        <v>1117</v>
      </c>
      <c r="C1458" s="21" t="s">
        <v>5106</v>
      </c>
      <c r="D1458" s="72" t="s">
        <v>5107</v>
      </c>
      <c r="E1458" s="72"/>
      <c r="F1458" s="72"/>
      <c r="G1458" s="72"/>
      <c r="H1458" s="22" t="s">
        <v>5108</v>
      </c>
      <c r="I1458" s="27">
        <v>327</v>
      </c>
      <c r="J1458" s="22"/>
      <c r="K1458" s="20">
        <v>1</v>
      </c>
      <c r="L1458" s="32">
        <v>2380.5</v>
      </c>
      <c r="M1458" s="11"/>
      <c r="N1458" s="22">
        <f>L1458*M1458</f>
        <v>0</v>
      </c>
      <c r="O1458" s="33">
        <f>0.4*M1458</f>
        <v>0</v>
      </c>
      <c r="P1458" s="26">
        <f>0.00859*M1458</f>
        <v>0</v>
      </c>
      <c r="Q1458" s="30"/>
      <c r="R1458" s="22" t="s">
        <v>5109</v>
      </c>
      <c r="S1458" s="22"/>
      <c r="T1458" s="21" t="str">
        <f>HYPERLINK("https://miland.ru/api/getInfo/image/b4d39265-97d1-11ed-a22d-00155d82e902")</f>
        <v>https://miland.ru/api/getInfo/image/b4d39265-97d1-11ed-a22d-00155d82e902</v>
      </c>
      <c r="U1458" s="21"/>
      <c r="V1458" s="21"/>
      <c r="W1458" s="21" t="s">
        <v>82</v>
      </c>
      <c r="X1458" s="21"/>
      <c r="Y1458" s="21"/>
      <c r="Z1458" s="21"/>
      <c r="AA1458" s="21" t="str">
        <f>HYPERLINK("https://miland.ru/api/getInfo/item/b4d39265-97d1-11ed-a22d-00155d82e902")</f>
        <v>https://miland.ru/api/getInfo/item/b4d39265-97d1-11ed-a22d-00155d82e902</v>
      </c>
      <c r="AB1458" s="21" t="s">
        <v>42</v>
      </c>
      <c r="AC1458" s="21"/>
      <c r="AD1458" s="21"/>
    </row>
    <row r="1459" spans="2:30" s="1" customFormat="1" ht="96.3" customHeight="1" outlineLevel="7">
      <c r="B1459" s="57">
        <v>1118</v>
      </c>
      <c r="C1459" s="21" t="s">
        <v>5110</v>
      </c>
      <c r="D1459" s="72" t="s">
        <v>5111</v>
      </c>
      <c r="E1459" s="72"/>
      <c r="F1459" s="72"/>
      <c r="G1459" s="72"/>
      <c r="H1459" s="22" t="s">
        <v>5112</v>
      </c>
      <c r="I1459" s="27">
        <v>77</v>
      </c>
      <c r="J1459" s="22"/>
      <c r="K1459" s="20">
        <v>1</v>
      </c>
      <c r="L1459" s="32">
        <v>2380.5</v>
      </c>
      <c r="M1459" s="11"/>
      <c r="N1459" s="22">
        <f>L1459*M1459</f>
        <v>0</v>
      </c>
      <c r="O1459" s="25">
        <f>0.406*M1459</f>
        <v>0</v>
      </c>
      <c r="P1459" s="26">
        <f>0.00886*M1459</f>
        <v>0</v>
      </c>
      <c r="Q1459" s="30"/>
      <c r="R1459" s="22" t="s">
        <v>5113</v>
      </c>
      <c r="S1459" s="22" t="s">
        <v>435</v>
      </c>
      <c r="T1459" s="21" t="str">
        <f>HYPERLINK("https://miland.ru/api/getInfo/image/2063be8f-b926-11ee-a25a-00155d82e908")</f>
        <v>https://miland.ru/api/getInfo/image/2063be8f-b926-11ee-a25a-00155d82e908</v>
      </c>
      <c r="U1459" s="21"/>
      <c r="V1459" s="21"/>
      <c r="W1459" s="21" t="s">
        <v>82</v>
      </c>
      <c r="X1459" s="21"/>
      <c r="Y1459" s="21"/>
      <c r="Z1459" s="21"/>
      <c r="AA1459" s="21" t="str">
        <f>HYPERLINK("https://miland.ru/api/getInfo/item/2063be8f-b926-11ee-a25a-00155d82e908")</f>
        <v>https://miland.ru/api/getInfo/item/2063be8f-b926-11ee-a25a-00155d82e908</v>
      </c>
      <c r="AB1459" s="21" t="s">
        <v>42</v>
      </c>
      <c r="AC1459" s="21" t="s">
        <v>4772</v>
      </c>
      <c r="AD1459" s="21"/>
    </row>
    <row r="1460" spans="2:30" s="1" customFormat="1" ht="96.3" customHeight="1" outlineLevel="7">
      <c r="B1460" s="57">
        <v>1119</v>
      </c>
      <c r="C1460" s="21" t="s">
        <v>5114</v>
      </c>
      <c r="D1460" s="72" t="s">
        <v>5115</v>
      </c>
      <c r="E1460" s="72"/>
      <c r="F1460" s="72"/>
      <c r="G1460" s="72"/>
      <c r="H1460" s="22" t="s">
        <v>5116</v>
      </c>
      <c r="I1460" s="27">
        <v>276</v>
      </c>
      <c r="J1460" s="22"/>
      <c r="K1460" s="20">
        <v>1</v>
      </c>
      <c r="L1460" s="32">
        <v>2380.5</v>
      </c>
      <c r="M1460" s="11"/>
      <c r="N1460" s="22">
        <f>L1460*M1460</f>
        <v>0</v>
      </c>
      <c r="O1460" s="25">
        <f>0.313*M1460</f>
        <v>0</v>
      </c>
      <c r="P1460" s="26">
        <f>0.00872*M1460</f>
        <v>0</v>
      </c>
      <c r="Q1460" s="30"/>
      <c r="R1460" s="22" t="s">
        <v>5117</v>
      </c>
      <c r="S1460" s="22" t="s">
        <v>435</v>
      </c>
      <c r="T1460" s="21" t="str">
        <f>HYPERLINK("https://miland.ru/api/getInfo/image/4470318f-97d2-11ed-a22d-00155d82e902")</f>
        <v>https://miland.ru/api/getInfo/image/4470318f-97d2-11ed-a22d-00155d82e902</v>
      </c>
      <c r="U1460" s="21"/>
      <c r="V1460" s="21"/>
      <c r="W1460" s="21" t="s">
        <v>82</v>
      </c>
      <c r="X1460" s="21"/>
      <c r="Y1460" s="21"/>
      <c r="Z1460" s="21"/>
      <c r="AA1460" s="21" t="str">
        <f>HYPERLINK("https://miland.ru/api/getInfo/item/4470318f-97d2-11ed-a22d-00155d82e902")</f>
        <v>https://miland.ru/api/getInfo/item/4470318f-97d2-11ed-a22d-00155d82e902</v>
      </c>
      <c r="AB1460" s="21" t="s">
        <v>42</v>
      </c>
      <c r="AC1460" s="21"/>
      <c r="AD1460" s="21"/>
    </row>
    <row r="1461" spans="2:30" ht="12" customHeight="1" outlineLevel="6">
      <c r="B1461" s="70" t="s">
        <v>5118</v>
      </c>
      <c r="C1461" s="70"/>
      <c r="D1461" s="70"/>
      <c r="E1461" s="70"/>
      <c r="F1461" s="70"/>
      <c r="G1461" s="70"/>
    </row>
    <row r="1462" spans="2:30" s="1" customFormat="1" ht="96.3" customHeight="1" outlineLevel="7">
      <c r="B1462" s="57">
        <v>1120</v>
      </c>
      <c r="C1462" s="21" t="s">
        <v>5119</v>
      </c>
      <c r="D1462" s="72" t="s">
        <v>5120</v>
      </c>
      <c r="E1462" s="72"/>
      <c r="F1462" s="72"/>
      <c r="G1462" s="72"/>
      <c r="H1462" s="22" t="s">
        <v>5121</v>
      </c>
      <c r="I1462" s="27">
        <v>373</v>
      </c>
      <c r="J1462" s="22"/>
      <c r="K1462" s="20">
        <v>1</v>
      </c>
      <c r="L1462" s="32">
        <v>3752.65</v>
      </c>
      <c r="M1462" s="11"/>
      <c r="N1462" s="22">
        <f>L1462*M1462</f>
        <v>0</v>
      </c>
      <c r="O1462" s="28">
        <f>0.85*M1462</f>
        <v>0</v>
      </c>
      <c r="P1462" s="26">
        <f>0.00878*M1462</f>
        <v>0</v>
      </c>
      <c r="Q1462" s="30"/>
      <c r="R1462" s="22" t="s">
        <v>5122</v>
      </c>
      <c r="S1462" s="22"/>
      <c r="T1462" s="21" t="str">
        <f>HYPERLINK("https://miland.ru/api/getInfo/image/6f672234-b926-11ee-a25a-00155d82e908")</f>
        <v>https://miland.ru/api/getInfo/image/6f672234-b926-11ee-a25a-00155d82e908</v>
      </c>
      <c r="U1462" s="21"/>
      <c r="V1462" s="21"/>
      <c r="W1462" s="21" t="s">
        <v>82</v>
      </c>
      <c r="X1462" s="21"/>
      <c r="Y1462" s="21"/>
      <c r="Z1462" s="21"/>
      <c r="AA1462" s="21" t="str">
        <f>HYPERLINK("https://miland.ru/api/getInfo/item/6f672234-b926-11ee-a25a-00155d82e908")</f>
        <v>https://miland.ru/api/getInfo/item/6f672234-b926-11ee-a25a-00155d82e908</v>
      </c>
      <c r="AB1462" s="21" t="s">
        <v>42</v>
      </c>
      <c r="AC1462" s="21" t="s">
        <v>5123</v>
      </c>
      <c r="AD1462" s="21"/>
    </row>
    <row r="1463" spans="2:30" s="1" customFormat="1" ht="96.3" customHeight="1" outlineLevel="7">
      <c r="B1463" s="57">
        <v>1121</v>
      </c>
      <c r="C1463" s="21" t="s">
        <v>5124</v>
      </c>
      <c r="D1463" s="72" t="s">
        <v>5125</v>
      </c>
      <c r="E1463" s="72"/>
      <c r="F1463" s="72"/>
      <c r="G1463" s="72"/>
      <c r="H1463" s="22" t="s">
        <v>5126</v>
      </c>
      <c r="I1463" s="23" t="s">
        <v>36</v>
      </c>
      <c r="J1463" s="22"/>
      <c r="K1463" s="20">
        <v>1</v>
      </c>
      <c r="L1463" s="32">
        <v>3752.65</v>
      </c>
      <c r="M1463" s="11"/>
      <c r="N1463" s="22">
        <f>L1463*M1463</f>
        <v>0</v>
      </c>
      <c r="O1463" s="25">
        <f>0.778*M1463</f>
        <v>0</v>
      </c>
      <c r="P1463" s="26">
        <f>0.01752*M1463</f>
        <v>0</v>
      </c>
      <c r="Q1463" s="30"/>
      <c r="R1463" s="22" t="s">
        <v>5127</v>
      </c>
      <c r="S1463" s="22"/>
      <c r="T1463" s="21" t="str">
        <f>HYPERLINK("https://miland.ru/api/getInfo/image/7f36fa18-97d2-11ed-a22d-00155d82e902")</f>
        <v>https://miland.ru/api/getInfo/image/7f36fa18-97d2-11ed-a22d-00155d82e902</v>
      </c>
      <c r="U1463" s="21"/>
      <c r="V1463" s="21"/>
      <c r="W1463" s="21" t="s">
        <v>82</v>
      </c>
      <c r="X1463" s="21"/>
      <c r="Y1463" s="21"/>
      <c r="Z1463" s="21"/>
      <c r="AA1463" s="21" t="str">
        <f>HYPERLINK("https://miland.ru/api/getInfo/item/7f36fa18-97d2-11ed-a22d-00155d82e902")</f>
        <v>https://miland.ru/api/getInfo/item/7f36fa18-97d2-11ed-a22d-00155d82e902</v>
      </c>
      <c r="AB1463" s="21" t="s">
        <v>42</v>
      </c>
      <c r="AC1463" s="21"/>
      <c r="AD1463" s="21"/>
    </row>
    <row r="1464" spans="2:30" ht="12" customHeight="1" outlineLevel="6">
      <c r="B1464" s="70" t="s">
        <v>5128</v>
      </c>
      <c r="C1464" s="70"/>
      <c r="D1464" s="70"/>
      <c r="E1464" s="70"/>
      <c r="F1464" s="70"/>
      <c r="G1464" s="70"/>
    </row>
    <row r="1465" spans="2:30" s="1" customFormat="1" ht="96.3" customHeight="1" outlineLevel="7">
      <c r="B1465" s="57">
        <v>1122</v>
      </c>
      <c r="C1465" s="21" t="s">
        <v>5129</v>
      </c>
      <c r="D1465" s="72" t="s">
        <v>5130</v>
      </c>
      <c r="E1465" s="72"/>
      <c r="F1465" s="72"/>
      <c r="G1465" s="72"/>
      <c r="H1465" s="22" t="s">
        <v>5131</v>
      </c>
      <c r="I1465" s="27">
        <v>428</v>
      </c>
      <c r="J1465" s="22"/>
      <c r="K1465" s="20">
        <v>1</v>
      </c>
      <c r="L1465" s="32">
        <v>6312.08</v>
      </c>
      <c r="M1465" s="11"/>
      <c r="N1465" s="22">
        <f>L1465*M1465</f>
        <v>0</v>
      </c>
      <c r="O1465" s="33">
        <f>0.5*M1465</f>
        <v>0</v>
      </c>
      <c r="P1465" s="26">
        <f>0.03188*M1465</f>
        <v>0</v>
      </c>
      <c r="Q1465" s="30"/>
      <c r="R1465" s="22" t="s">
        <v>5132</v>
      </c>
      <c r="S1465" s="22"/>
      <c r="T1465" s="21" t="str">
        <f>HYPERLINK("https://miland.ru/api/getInfo/image/cc86b4cf-b926-11ee-a25a-00155d82e908")</f>
        <v>https://miland.ru/api/getInfo/image/cc86b4cf-b926-11ee-a25a-00155d82e908</v>
      </c>
      <c r="U1465" s="21"/>
      <c r="V1465" s="21"/>
      <c r="W1465" s="21" t="s">
        <v>82</v>
      </c>
      <c r="X1465" s="21"/>
      <c r="Y1465" s="21"/>
      <c r="Z1465" s="21"/>
      <c r="AA1465" s="21" t="str">
        <f>HYPERLINK("https://miland.ru/api/getInfo/item/cc86b4cf-b926-11ee-a25a-00155d82e908")</f>
        <v>https://miland.ru/api/getInfo/item/cc86b4cf-b926-11ee-a25a-00155d82e908</v>
      </c>
      <c r="AB1465" s="21" t="s">
        <v>42</v>
      </c>
      <c r="AC1465" s="21" t="s">
        <v>5133</v>
      </c>
      <c r="AD1465" s="21"/>
    </row>
    <row r="1466" spans="2:30" s="1" customFormat="1" ht="96.3" customHeight="1" outlineLevel="7">
      <c r="B1466" s="57">
        <v>1123</v>
      </c>
      <c r="C1466" s="21" t="s">
        <v>5134</v>
      </c>
      <c r="D1466" s="72" t="s">
        <v>5135</v>
      </c>
      <c r="E1466" s="72"/>
      <c r="F1466" s="72"/>
      <c r="G1466" s="72"/>
      <c r="H1466" s="22" t="s">
        <v>5136</v>
      </c>
      <c r="I1466" s="27">
        <v>284</v>
      </c>
      <c r="J1466" s="22"/>
      <c r="K1466" s="20">
        <v>1</v>
      </c>
      <c r="L1466" s="32">
        <v>6312.08</v>
      </c>
      <c r="M1466" s="11"/>
      <c r="N1466" s="22">
        <f>L1466*M1466</f>
        <v>0</v>
      </c>
      <c r="O1466" s="28">
        <f>1.25*M1466</f>
        <v>0</v>
      </c>
      <c r="P1466" s="26">
        <f>0.03188*M1466</f>
        <v>0</v>
      </c>
      <c r="Q1466" s="30"/>
      <c r="R1466" s="22" t="s">
        <v>5137</v>
      </c>
      <c r="S1466" s="22"/>
      <c r="T1466" s="21" t="str">
        <f>HYPERLINK("https://miland.ru/api/getInfo/image/b19e98d9-97d2-11ed-a22d-00155d82e902")</f>
        <v>https://miland.ru/api/getInfo/image/b19e98d9-97d2-11ed-a22d-00155d82e902</v>
      </c>
      <c r="U1466" s="21"/>
      <c r="V1466" s="21"/>
      <c r="W1466" s="21" t="s">
        <v>82</v>
      </c>
      <c r="X1466" s="21"/>
      <c r="Y1466" s="21"/>
      <c r="Z1466" s="21"/>
      <c r="AA1466" s="21" t="str">
        <f>HYPERLINK("https://miland.ru/api/getInfo/item/b19e98d9-97d2-11ed-a22d-00155d82e902")</f>
        <v>https://miland.ru/api/getInfo/item/b19e98d9-97d2-11ed-a22d-00155d82e902</v>
      </c>
      <c r="AB1466" s="21" t="s">
        <v>42</v>
      </c>
      <c r="AC1466" s="21"/>
      <c r="AD1466" s="21"/>
    </row>
    <row r="1467" spans="2:30" ht="12" customHeight="1" outlineLevel="5">
      <c r="B1467" s="70" t="s">
        <v>5007</v>
      </c>
      <c r="C1467" s="70"/>
      <c r="D1467" s="70"/>
      <c r="E1467" s="70"/>
      <c r="F1467" s="70"/>
      <c r="G1467" s="70"/>
    </row>
    <row r="1468" spans="2:30" ht="12" customHeight="1" outlineLevel="6">
      <c r="B1468" s="70" t="s">
        <v>5092</v>
      </c>
      <c r="C1468" s="70"/>
      <c r="D1468" s="70"/>
      <c r="E1468" s="70"/>
      <c r="F1468" s="70"/>
      <c r="G1468" s="70"/>
    </row>
    <row r="1469" spans="2:30" s="1" customFormat="1" ht="96.3" customHeight="1" outlineLevel="7">
      <c r="B1469" s="57">
        <v>1124</v>
      </c>
      <c r="C1469" s="21" t="s">
        <v>5138</v>
      </c>
      <c r="D1469" s="72" t="s">
        <v>5139</v>
      </c>
      <c r="E1469" s="72"/>
      <c r="F1469" s="72"/>
      <c r="G1469" s="72"/>
      <c r="H1469" s="22" t="s">
        <v>5140</v>
      </c>
      <c r="I1469" s="27">
        <v>79</v>
      </c>
      <c r="J1469" s="22"/>
      <c r="K1469" s="20">
        <v>1</v>
      </c>
      <c r="L1469" s="32">
        <v>1921.47</v>
      </c>
      <c r="M1469" s="11"/>
      <c r="N1469" s="22">
        <f>L1469*M1469</f>
        <v>0</v>
      </c>
      <c r="O1469" s="25">
        <f>0.285*M1469</f>
        <v>0</v>
      </c>
      <c r="P1469" s="26">
        <f>0.00638*M1469</f>
        <v>0</v>
      </c>
      <c r="Q1469" s="30"/>
      <c r="R1469" s="22" t="s">
        <v>5141</v>
      </c>
      <c r="S1469" s="22" t="s">
        <v>435</v>
      </c>
      <c r="T1469" s="21" t="str">
        <f>HYPERLINK("https://miland.ru/api/getInfo/image/94b727f0-b922-11ee-a25a-00155d82e908")</f>
        <v>https://miland.ru/api/getInfo/image/94b727f0-b922-11ee-a25a-00155d82e908</v>
      </c>
      <c r="U1469" s="21"/>
      <c r="V1469" s="21"/>
      <c r="W1469" s="21" t="s">
        <v>82</v>
      </c>
      <c r="X1469" s="21"/>
      <c r="Y1469" s="21"/>
      <c r="Z1469" s="21"/>
      <c r="AA1469" s="21" t="str">
        <f>HYPERLINK("https://miland.ru/api/getInfo/item/94b727f0-b922-11ee-a25a-00155d82e908")</f>
        <v>https://miland.ru/api/getInfo/item/94b727f0-b922-11ee-a25a-00155d82e908</v>
      </c>
      <c r="AB1469" s="21" t="s">
        <v>42</v>
      </c>
      <c r="AC1469" s="21" t="s">
        <v>4934</v>
      </c>
      <c r="AD1469" s="21"/>
    </row>
    <row r="1470" spans="2:30" s="1" customFormat="1" ht="96.3" customHeight="1" outlineLevel="7">
      <c r="B1470" s="57">
        <v>1125</v>
      </c>
      <c r="C1470" s="21" t="s">
        <v>5142</v>
      </c>
      <c r="D1470" s="72" t="s">
        <v>5143</v>
      </c>
      <c r="E1470" s="72"/>
      <c r="F1470" s="72"/>
      <c r="G1470" s="72"/>
      <c r="H1470" s="22" t="s">
        <v>5144</v>
      </c>
      <c r="I1470" s="27">
        <v>24</v>
      </c>
      <c r="J1470" s="22"/>
      <c r="K1470" s="20">
        <v>1</v>
      </c>
      <c r="L1470" s="32">
        <v>1921.47</v>
      </c>
      <c r="M1470" s="11"/>
      <c r="N1470" s="22">
        <f>L1470*M1470</f>
        <v>0</v>
      </c>
      <c r="O1470" s="25">
        <f>0.247*M1470</f>
        <v>0</v>
      </c>
      <c r="P1470" s="26">
        <f>0.00651*M1470</f>
        <v>0</v>
      </c>
      <c r="Q1470" s="30"/>
      <c r="R1470" s="22" t="s">
        <v>5145</v>
      </c>
      <c r="S1470" s="22" t="s">
        <v>435</v>
      </c>
      <c r="T1470" s="21" t="str">
        <f>HYPERLINK("https://miland.ru/api/getInfo/image/5f016ae2-b922-11ee-a25a-00155d82e908")</f>
        <v>https://miland.ru/api/getInfo/image/5f016ae2-b922-11ee-a25a-00155d82e908</v>
      </c>
      <c r="U1470" s="21"/>
      <c r="V1470" s="21"/>
      <c r="W1470" s="21" t="s">
        <v>82</v>
      </c>
      <c r="X1470" s="21"/>
      <c r="Y1470" s="21"/>
      <c r="Z1470" s="21"/>
      <c r="AA1470" s="21" t="str">
        <f>HYPERLINK("https://miland.ru/api/getInfo/item/5f016ae2-b922-11ee-a25a-00155d82e908")</f>
        <v>https://miland.ru/api/getInfo/item/5f016ae2-b922-11ee-a25a-00155d82e908</v>
      </c>
      <c r="AB1470" s="21" t="s">
        <v>42</v>
      </c>
      <c r="AC1470" s="21" t="s">
        <v>4934</v>
      </c>
      <c r="AD1470" s="21"/>
    </row>
    <row r="1471" spans="2:30" s="1" customFormat="1" ht="96.3" customHeight="1" outlineLevel="7">
      <c r="B1471" s="57">
        <v>1126</v>
      </c>
      <c r="C1471" s="21" t="s">
        <v>5146</v>
      </c>
      <c r="D1471" s="72" t="s">
        <v>5147</v>
      </c>
      <c r="E1471" s="72"/>
      <c r="F1471" s="72"/>
      <c r="G1471" s="72"/>
      <c r="H1471" s="22" t="s">
        <v>5148</v>
      </c>
      <c r="I1471" s="27">
        <v>311</v>
      </c>
      <c r="J1471" s="22"/>
      <c r="K1471" s="20">
        <v>1</v>
      </c>
      <c r="L1471" s="32">
        <v>1921.47</v>
      </c>
      <c r="M1471" s="11"/>
      <c r="N1471" s="22">
        <f>L1471*M1471</f>
        <v>0</v>
      </c>
      <c r="O1471" s="28">
        <f>0.25*M1471</f>
        <v>0</v>
      </c>
      <c r="P1471" s="26">
        <f>0.00648*M1471</f>
        <v>0</v>
      </c>
      <c r="Q1471" s="30"/>
      <c r="R1471" s="22" t="s">
        <v>5149</v>
      </c>
      <c r="S1471" s="22" t="s">
        <v>435</v>
      </c>
      <c r="T1471" s="21" t="str">
        <f>HYPERLINK("https://miland.ru/api/getInfo/image/6838c851-88e4-11ec-a211-ac1f6b442185")</f>
        <v>https://miland.ru/api/getInfo/image/6838c851-88e4-11ec-a211-ac1f6b442185</v>
      </c>
      <c r="U1471" s="21"/>
      <c r="V1471" s="21"/>
      <c r="W1471" s="21" t="s">
        <v>82</v>
      </c>
      <c r="X1471" s="21"/>
      <c r="Y1471" s="21"/>
      <c r="Z1471" s="21"/>
      <c r="AA1471" s="21" t="str">
        <f>HYPERLINK("https://miland.ru/api/getInfo/item/6838c851-88e4-11ec-a211-ac1f6b442185")</f>
        <v>https://miland.ru/api/getInfo/item/6838c851-88e4-11ec-a211-ac1f6b442185</v>
      </c>
      <c r="AB1471" s="21" t="s">
        <v>42</v>
      </c>
      <c r="AC1471" s="21" t="s">
        <v>5150</v>
      </c>
      <c r="AD1471" s="21"/>
    </row>
    <row r="1472" spans="2:30" s="1" customFormat="1" ht="96.3" customHeight="1" outlineLevel="7">
      <c r="B1472" s="57">
        <v>1127</v>
      </c>
      <c r="C1472" s="21" t="s">
        <v>5151</v>
      </c>
      <c r="D1472" s="72" t="s">
        <v>5152</v>
      </c>
      <c r="E1472" s="72"/>
      <c r="F1472" s="72"/>
      <c r="G1472" s="72"/>
      <c r="H1472" s="22" t="s">
        <v>5153</v>
      </c>
      <c r="I1472" s="23" t="s">
        <v>36</v>
      </c>
      <c r="J1472" s="22"/>
      <c r="K1472" s="20">
        <v>1</v>
      </c>
      <c r="L1472" s="32">
        <v>1547.63</v>
      </c>
      <c r="M1472" s="11"/>
      <c r="N1472" s="22">
        <f>L1472*M1472</f>
        <v>0</v>
      </c>
      <c r="O1472" s="25">
        <f>0.374*M1472</f>
        <v>0</v>
      </c>
      <c r="P1472" s="26">
        <f>0.00674*M1472</f>
        <v>0</v>
      </c>
      <c r="Q1472" s="30"/>
      <c r="R1472" s="22" t="s">
        <v>5154</v>
      </c>
      <c r="S1472" s="22"/>
      <c r="T1472" s="21" t="str">
        <f>HYPERLINK("https://miland.ru/api/getInfo/image/d1272d60-bf5d-11ee-a25a-00155d82e908")</f>
        <v>https://miland.ru/api/getInfo/image/d1272d60-bf5d-11ee-a25a-00155d82e908</v>
      </c>
      <c r="U1472" s="21"/>
      <c r="V1472" s="21" t="s">
        <v>208</v>
      </c>
      <c r="W1472" s="21" t="s">
        <v>82</v>
      </c>
      <c r="X1472" s="21"/>
      <c r="Y1472" s="21" t="s">
        <v>41</v>
      </c>
      <c r="Z1472" s="21"/>
      <c r="AA1472" s="21" t="str">
        <f>HYPERLINK("https://miland.ru/api/getInfo/item/d1272d60-bf5d-11ee-a25a-00155d82e908")</f>
        <v>https://miland.ru/api/getInfo/item/d1272d60-bf5d-11ee-a25a-00155d82e908</v>
      </c>
      <c r="AB1472" s="21" t="s">
        <v>42</v>
      </c>
      <c r="AC1472" s="21" t="s">
        <v>4934</v>
      </c>
      <c r="AD1472" s="21"/>
    </row>
    <row r="1473" spans="2:30" s="1" customFormat="1" ht="96.3" customHeight="1" outlineLevel="7">
      <c r="B1473" s="57">
        <v>1128</v>
      </c>
      <c r="C1473" s="21" t="s">
        <v>5155</v>
      </c>
      <c r="D1473" s="72" t="s">
        <v>5156</v>
      </c>
      <c r="E1473" s="72"/>
      <c r="F1473" s="72"/>
      <c r="G1473" s="72"/>
      <c r="H1473" s="22" t="s">
        <v>5157</v>
      </c>
      <c r="I1473" s="23" t="s">
        <v>36</v>
      </c>
      <c r="J1473" s="22"/>
      <c r="K1473" s="20">
        <v>1</v>
      </c>
      <c r="L1473" s="32">
        <v>1547.63</v>
      </c>
      <c r="M1473" s="11"/>
      <c r="N1473" s="22">
        <f>L1473*M1473</f>
        <v>0</v>
      </c>
      <c r="O1473" s="25">
        <f>0.361*M1473</f>
        <v>0</v>
      </c>
      <c r="P1473" s="26">
        <f>0.00658*M1473</f>
        <v>0</v>
      </c>
      <c r="Q1473" s="30"/>
      <c r="R1473" s="22" t="s">
        <v>5158</v>
      </c>
      <c r="S1473" s="22"/>
      <c r="T1473" s="21" t="str">
        <f>HYPERLINK("https://miland.ru/api/getInfo/image/fe6ae42e-bf5b-11ee-a25a-00155d82e908")</f>
        <v>https://miland.ru/api/getInfo/image/fe6ae42e-bf5b-11ee-a25a-00155d82e908</v>
      </c>
      <c r="U1473" s="21"/>
      <c r="V1473" s="21" t="s">
        <v>208</v>
      </c>
      <c r="W1473" s="21" t="s">
        <v>82</v>
      </c>
      <c r="X1473" s="21"/>
      <c r="Y1473" s="21" t="s">
        <v>41</v>
      </c>
      <c r="Z1473" s="21"/>
      <c r="AA1473" s="21" t="str">
        <f>HYPERLINK("https://miland.ru/api/getInfo/item/fe6ae42e-bf5b-11ee-a25a-00155d82e908")</f>
        <v>https://miland.ru/api/getInfo/item/fe6ae42e-bf5b-11ee-a25a-00155d82e908</v>
      </c>
      <c r="AB1473" s="21" t="s">
        <v>42</v>
      </c>
      <c r="AC1473" s="21" t="s">
        <v>4934</v>
      </c>
      <c r="AD1473" s="21"/>
    </row>
    <row r="1474" spans="2:30" ht="12" customHeight="1" outlineLevel="6">
      <c r="B1474" s="70" t="s">
        <v>5159</v>
      </c>
      <c r="C1474" s="70"/>
      <c r="D1474" s="70"/>
      <c r="E1474" s="70"/>
      <c r="F1474" s="70"/>
      <c r="G1474" s="70"/>
    </row>
    <row r="1475" spans="2:30" s="1" customFormat="1" ht="96.3" customHeight="1" outlineLevel="7">
      <c r="B1475" s="57">
        <v>1129</v>
      </c>
      <c r="C1475" s="21" t="s">
        <v>5160</v>
      </c>
      <c r="D1475" s="72" t="s">
        <v>5161</v>
      </c>
      <c r="E1475" s="72"/>
      <c r="F1475" s="72"/>
      <c r="G1475" s="72"/>
      <c r="H1475" s="22" t="s">
        <v>5162</v>
      </c>
      <c r="I1475" s="27">
        <v>75</v>
      </c>
      <c r="J1475" s="22"/>
      <c r="K1475" s="20">
        <v>1</v>
      </c>
      <c r="L1475" s="32">
        <v>2724.36</v>
      </c>
      <c r="M1475" s="11"/>
      <c r="N1475" s="22">
        <f>L1475*M1475</f>
        <v>0</v>
      </c>
      <c r="O1475" s="25">
        <f>0.492*M1475</f>
        <v>0</v>
      </c>
      <c r="P1475" s="26">
        <f>0.01665*M1475</f>
        <v>0</v>
      </c>
      <c r="Q1475" s="30"/>
      <c r="R1475" s="22" t="s">
        <v>5163</v>
      </c>
      <c r="S1475" s="22" t="s">
        <v>435</v>
      </c>
      <c r="T1475" s="21" t="str">
        <f>HYPERLINK("https://miland.ru/api/getInfo/image/8f185318-b923-11ee-a25a-00155d82e908")</f>
        <v>https://miland.ru/api/getInfo/image/8f185318-b923-11ee-a25a-00155d82e908</v>
      </c>
      <c r="U1475" s="21"/>
      <c r="V1475" s="21"/>
      <c r="W1475" s="21" t="s">
        <v>4899</v>
      </c>
      <c r="X1475" s="21"/>
      <c r="Y1475" s="21" t="s">
        <v>41</v>
      </c>
      <c r="Z1475" s="21"/>
      <c r="AA1475" s="21" t="str">
        <f>HYPERLINK("https://miland.ru/api/getInfo/item/8f185318-b923-11ee-a25a-00155d82e908")</f>
        <v>https://miland.ru/api/getInfo/item/8f185318-b923-11ee-a25a-00155d82e908</v>
      </c>
      <c r="AB1475" s="21" t="s">
        <v>42</v>
      </c>
      <c r="AC1475" s="21" t="s">
        <v>5164</v>
      </c>
      <c r="AD1475" s="21"/>
    </row>
    <row r="1476" spans="2:30" s="1" customFormat="1" ht="96.3" customHeight="1" outlineLevel="7">
      <c r="B1476" s="57">
        <v>1130</v>
      </c>
      <c r="C1476" s="21" t="s">
        <v>5165</v>
      </c>
      <c r="D1476" s="72" t="s">
        <v>5166</v>
      </c>
      <c r="E1476" s="72"/>
      <c r="F1476" s="72"/>
      <c r="G1476" s="72"/>
      <c r="H1476" s="22" t="s">
        <v>5167</v>
      </c>
      <c r="I1476" s="27">
        <v>8</v>
      </c>
      <c r="J1476" s="22"/>
      <c r="K1476" s="20">
        <v>1</v>
      </c>
      <c r="L1476" s="32">
        <v>2724.36</v>
      </c>
      <c r="M1476" s="11"/>
      <c r="N1476" s="22">
        <f>L1476*M1476</f>
        <v>0</v>
      </c>
      <c r="O1476" s="25">
        <f>0.516*M1476</f>
        <v>0</v>
      </c>
      <c r="P1476" s="26">
        <f>0.01484*M1476</f>
        <v>0</v>
      </c>
      <c r="Q1476" s="30"/>
      <c r="R1476" s="22" t="s">
        <v>5168</v>
      </c>
      <c r="S1476" s="22" t="s">
        <v>435</v>
      </c>
      <c r="T1476" s="21" t="str">
        <f>HYPERLINK("https://miland.ru/api/getInfo/image/b8794ff0-b923-11ee-a25a-00155d82e908")</f>
        <v>https://miland.ru/api/getInfo/image/b8794ff0-b923-11ee-a25a-00155d82e908</v>
      </c>
      <c r="U1476" s="21"/>
      <c r="V1476" s="21"/>
      <c r="W1476" s="21"/>
      <c r="X1476" s="21"/>
      <c r="Y1476" s="21"/>
      <c r="Z1476" s="21"/>
      <c r="AA1476" s="21" t="str">
        <f>HYPERLINK("https://miland.ru/api/getInfo/item/b8794ff0-b923-11ee-a25a-00155d82e908")</f>
        <v>https://miland.ru/api/getInfo/item/b8794ff0-b923-11ee-a25a-00155d82e908</v>
      </c>
      <c r="AB1476" s="21" t="s">
        <v>42</v>
      </c>
      <c r="AC1476" s="21" t="s">
        <v>5164</v>
      </c>
      <c r="AD1476" s="21"/>
    </row>
    <row r="1477" spans="2:30" s="1" customFormat="1" ht="96.3" customHeight="1" outlineLevel="7">
      <c r="B1477" s="57">
        <v>1131</v>
      </c>
      <c r="C1477" s="21" t="s">
        <v>5169</v>
      </c>
      <c r="D1477" s="72" t="s">
        <v>5170</v>
      </c>
      <c r="E1477" s="72"/>
      <c r="F1477" s="72"/>
      <c r="G1477" s="72"/>
      <c r="H1477" s="22" t="s">
        <v>5171</v>
      </c>
      <c r="I1477" s="27">
        <v>60</v>
      </c>
      <c r="J1477" s="22"/>
      <c r="K1477" s="20">
        <v>1</v>
      </c>
      <c r="L1477" s="32">
        <v>2724.36</v>
      </c>
      <c r="M1477" s="11"/>
      <c r="N1477" s="22">
        <f>L1477*M1477</f>
        <v>0</v>
      </c>
      <c r="O1477" s="25">
        <f>0.445*M1477</f>
        <v>0</v>
      </c>
      <c r="P1477" s="26">
        <f>0.03103*M1477</f>
        <v>0</v>
      </c>
      <c r="Q1477" s="30"/>
      <c r="R1477" s="22" t="s">
        <v>5172</v>
      </c>
      <c r="S1477" s="22" t="s">
        <v>435</v>
      </c>
      <c r="T1477" s="21" t="str">
        <f>HYPERLINK("https://miland.ru/api/getInfo/image/14443a23-88e6-11ec-a211-ac1f6b442185")</f>
        <v>https://miland.ru/api/getInfo/image/14443a23-88e6-11ec-a211-ac1f6b442185</v>
      </c>
      <c r="U1477" s="21"/>
      <c r="V1477" s="21"/>
      <c r="W1477" s="21" t="s">
        <v>82</v>
      </c>
      <c r="X1477" s="21"/>
      <c r="Y1477" s="21" t="s">
        <v>41</v>
      </c>
      <c r="Z1477" s="21"/>
      <c r="AA1477" s="21" t="str">
        <f>HYPERLINK("https://miland.ru/api/getInfo/item/14443a23-88e6-11ec-a211-ac1f6b442185")</f>
        <v>https://miland.ru/api/getInfo/item/14443a23-88e6-11ec-a211-ac1f6b442185</v>
      </c>
      <c r="AB1477" s="21" t="s">
        <v>42</v>
      </c>
      <c r="AC1477" s="21" t="s">
        <v>5173</v>
      </c>
      <c r="AD1477" s="21"/>
    </row>
    <row r="1478" spans="2:30" s="1" customFormat="1" ht="96.3" customHeight="1" outlineLevel="7">
      <c r="B1478" s="57">
        <v>1132</v>
      </c>
      <c r="C1478" s="21" t="s">
        <v>5174</v>
      </c>
      <c r="D1478" s="72" t="s">
        <v>5175</v>
      </c>
      <c r="E1478" s="72"/>
      <c r="F1478" s="72"/>
      <c r="G1478" s="72"/>
      <c r="H1478" s="22" t="s">
        <v>5176</v>
      </c>
      <c r="I1478" s="27">
        <v>339</v>
      </c>
      <c r="J1478" s="22"/>
      <c r="K1478" s="20">
        <v>1</v>
      </c>
      <c r="L1478" s="32">
        <v>2724.36</v>
      </c>
      <c r="M1478" s="11"/>
      <c r="N1478" s="22">
        <f>L1478*M1478</f>
        <v>0</v>
      </c>
      <c r="O1478" s="25">
        <f>0.833*M1478</f>
        <v>0</v>
      </c>
      <c r="P1478" s="29">
        <f>0.0123*M1478</f>
        <v>0</v>
      </c>
      <c r="Q1478" s="30"/>
      <c r="R1478" s="22" t="s">
        <v>5177</v>
      </c>
      <c r="S1478" s="22"/>
      <c r="T1478" s="21" t="str">
        <f>HYPERLINK("https://miland.ru/api/getInfo/image/0aa52b8b-97d3-11ed-a22d-00155d82e902")</f>
        <v>https://miland.ru/api/getInfo/image/0aa52b8b-97d3-11ed-a22d-00155d82e902</v>
      </c>
      <c r="U1478" s="21"/>
      <c r="V1478" s="21"/>
      <c r="W1478" s="21" t="s">
        <v>82</v>
      </c>
      <c r="X1478" s="21"/>
      <c r="Y1478" s="21" t="s">
        <v>41</v>
      </c>
      <c r="Z1478" s="21"/>
      <c r="AA1478" s="21" t="str">
        <f>HYPERLINK("https://miland.ru/api/getInfo/item/0aa52b8b-97d3-11ed-a22d-00155d82e902")</f>
        <v>https://miland.ru/api/getInfo/item/0aa52b8b-97d3-11ed-a22d-00155d82e902</v>
      </c>
      <c r="AB1478" s="21" t="s">
        <v>42</v>
      </c>
      <c r="AC1478" s="21"/>
      <c r="AD1478" s="21"/>
    </row>
    <row r="1479" spans="2:30" s="1" customFormat="1" ht="96.3" customHeight="1" outlineLevel="7">
      <c r="B1479" s="57">
        <v>1133</v>
      </c>
      <c r="C1479" s="21" t="s">
        <v>5178</v>
      </c>
      <c r="D1479" s="72" t="s">
        <v>5179</v>
      </c>
      <c r="E1479" s="72"/>
      <c r="F1479" s="72"/>
      <c r="G1479" s="72"/>
      <c r="H1479" s="22" t="s">
        <v>5180</v>
      </c>
      <c r="I1479" s="27">
        <v>251</v>
      </c>
      <c r="J1479" s="22"/>
      <c r="K1479" s="20">
        <v>1</v>
      </c>
      <c r="L1479" s="32">
        <v>2724.36</v>
      </c>
      <c r="M1479" s="11"/>
      <c r="N1479" s="22">
        <f>L1479*M1479</f>
        <v>0</v>
      </c>
      <c r="O1479" s="28">
        <f>0.25*M1479</f>
        <v>0</v>
      </c>
      <c r="P1479" s="26">
        <f>0.01604*M1479</f>
        <v>0</v>
      </c>
      <c r="Q1479" s="30"/>
      <c r="R1479" s="22" t="s">
        <v>5181</v>
      </c>
      <c r="S1479" s="22"/>
      <c r="T1479" s="21" t="str">
        <f>HYPERLINK("https://miland.ru/api/getInfo/image/e90fb031-b923-11ee-a25a-00155d82e908")</f>
        <v>https://miland.ru/api/getInfo/image/e90fb031-b923-11ee-a25a-00155d82e908</v>
      </c>
      <c r="U1479" s="21"/>
      <c r="V1479" s="21"/>
      <c r="W1479" s="21" t="s">
        <v>82</v>
      </c>
      <c r="X1479" s="21"/>
      <c r="Y1479" s="21" t="s">
        <v>41</v>
      </c>
      <c r="Z1479" s="21"/>
      <c r="AA1479" s="21" t="str">
        <f>HYPERLINK("https://miland.ru/api/getInfo/item/e90fb031-b923-11ee-a25a-00155d82e908")</f>
        <v>https://miland.ru/api/getInfo/item/e90fb031-b923-11ee-a25a-00155d82e908</v>
      </c>
      <c r="AB1479" s="21" t="s">
        <v>42</v>
      </c>
      <c r="AC1479" s="21" t="s">
        <v>5164</v>
      </c>
      <c r="AD1479" s="21"/>
    </row>
    <row r="1480" spans="2:30" ht="12" customHeight="1" outlineLevel="6">
      <c r="B1480" s="70" t="s">
        <v>5182</v>
      </c>
      <c r="C1480" s="70"/>
      <c r="D1480" s="70"/>
      <c r="E1480" s="70"/>
      <c r="F1480" s="70"/>
      <c r="G1480" s="70"/>
    </row>
    <row r="1481" spans="2:30" s="1" customFormat="1" ht="96.3" customHeight="1" outlineLevel="7">
      <c r="B1481" s="57">
        <v>1134</v>
      </c>
      <c r="C1481" s="21" t="s">
        <v>5183</v>
      </c>
      <c r="D1481" s="72" t="s">
        <v>5184</v>
      </c>
      <c r="E1481" s="72"/>
      <c r="F1481" s="72"/>
      <c r="G1481" s="72"/>
      <c r="H1481" s="22" t="s">
        <v>5185</v>
      </c>
      <c r="I1481" s="27">
        <v>6</v>
      </c>
      <c r="J1481" s="22"/>
      <c r="K1481" s="20">
        <v>1</v>
      </c>
      <c r="L1481" s="32">
        <v>4774.26</v>
      </c>
      <c r="M1481" s="11"/>
      <c r="N1481" s="22">
        <f>L1481*M1481</f>
        <v>0</v>
      </c>
      <c r="O1481" s="25">
        <f>0.927*M1481</f>
        <v>0</v>
      </c>
      <c r="P1481" s="26">
        <f>0.03148*M1481</f>
        <v>0</v>
      </c>
      <c r="Q1481" s="30"/>
      <c r="R1481" s="22" t="s">
        <v>5186</v>
      </c>
      <c r="S1481" s="22" t="s">
        <v>435</v>
      </c>
      <c r="T1481" s="21" t="str">
        <f>HYPERLINK("https://miland.ru/api/getInfo/image/c39d05f3-b921-11ee-a25a-00155d82e908")</f>
        <v>https://miland.ru/api/getInfo/image/c39d05f3-b921-11ee-a25a-00155d82e908</v>
      </c>
      <c r="U1481" s="21"/>
      <c r="V1481" s="21"/>
      <c r="W1481" s="21"/>
      <c r="X1481" s="21"/>
      <c r="Y1481" s="21"/>
      <c r="Z1481" s="21"/>
      <c r="AA1481" s="21" t="str">
        <f>HYPERLINK("https://miland.ru/api/getInfo/item/c39d05f3-b921-11ee-a25a-00155d82e908")</f>
        <v>https://miland.ru/api/getInfo/item/c39d05f3-b921-11ee-a25a-00155d82e908</v>
      </c>
      <c r="AB1481" s="21" t="s">
        <v>42</v>
      </c>
      <c r="AC1481" s="21" t="s">
        <v>5187</v>
      </c>
      <c r="AD1481" s="21"/>
    </row>
    <row r="1482" spans="2:30" s="1" customFormat="1" ht="96.3" customHeight="1" outlineLevel="7">
      <c r="B1482" s="57">
        <v>1135</v>
      </c>
      <c r="C1482" s="21" t="s">
        <v>5188</v>
      </c>
      <c r="D1482" s="72" t="s">
        <v>5189</v>
      </c>
      <c r="E1482" s="72"/>
      <c r="F1482" s="72"/>
      <c r="G1482" s="72"/>
      <c r="H1482" s="22" t="s">
        <v>5190</v>
      </c>
      <c r="I1482" s="27">
        <v>59</v>
      </c>
      <c r="J1482" s="22"/>
      <c r="K1482" s="20">
        <v>1</v>
      </c>
      <c r="L1482" s="32">
        <v>4774.26</v>
      </c>
      <c r="M1482" s="11"/>
      <c r="N1482" s="22">
        <f>L1482*M1482</f>
        <v>0</v>
      </c>
      <c r="O1482" s="25">
        <f>0.957*M1482</f>
        <v>0</v>
      </c>
      <c r="P1482" s="26">
        <f>0.02915*M1482</f>
        <v>0</v>
      </c>
      <c r="Q1482" s="30"/>
      <c r="R1482" s="22" t="s">
        <v>5191</v>
      </c>
      <c r="S1482" s="22" t="s">
        <v>435</v>
      </c>
      <c r="T1482" s="21" t="str">
        <f>HYPERLINK("https://miland.ru/api/getInfo/image/3e38df2b-97d3-11ed-a22d-00155d82e902")</f>
        <v>https://miland.ru/api/getInfo/image/3e38df2b-97d3-11ed-a22d-00155d82e902</v>
      </c>
      <c r="U1482" s="21"/>
      <c r="V1482" s="21"/>
      <c r="W1482" s="21" t="s">
        <v>82</v>
      </c>
      <c r="X1482" s="21"/>
      <c r="Y1482" s="21" t="s">
        <v>41</v>
      </c>
      <c r="Z1482" s="21"/>
      <c r="AA1482" s="21" t="str">
        <f>HYPERLINK("https://miland.ru/api/getInfo/item/3e38df2b-97d3-11ed-a22d-00155d82e902")</f>
        <v>https://miland.ru/api/getInfo/item/3e38df2b-97d3-11ed-a22d-00155d82e902</v>
      </c>
      <c r="AB1482" s="21" t="s">
        <v>42</v>
      </c>
      <c r="AC1482" s="21"/>
      <c r="AD1482" s="21"/>
    </row>
    <row r="1483" spans="2:30" s="1" customFormat="1" ht="96.3" customHeight="1" outlineLevel="7">
      <c r="B1483" s="57">
        <v>1136</v>
      </c>
      <c r="C1483" s="21" t="s">
        <v>5192</v>
      </c>
      <c r="D1483" s="72" t="s">
        <v>5193</v>
      </c>
      <c r="E1483" s="72"/>
      <c r="F1483" s="72"/>
      <c r="G1483" s="72"/>
      <c r="H1483" s="22" t="s">
        <v>5194</v>
      </c>
      <c r="I1483" s="27">
        <v>54</v>
      </c>
      <c r="J1483" s="22"/>
      <c r="K1483" s="20">
        <v>1</v>
      </c>
      <c r="L1483" s="32">
        <v>4774.26</v>
      </c>
      <c r="M1483" s="11"/>
      <c r="N1483" s="22">
        <f>L1483*M1483</f>
        <v>0</v>
      </c>
      <c r="O1483" s="28">
        <f>0.91*M1483</f>
        <v>0</v>
      </c>
      <c r="P1483" s="26">
        <f>0.02871*M1483</f>
        <v>0</v>
      </c>
      <c r="Q1483" s="30"/>
      <c r="R1483" s="22" t="s">
        <v>5195</v>
      </c>
      <c r="S1483" s="22" t="s">
        <v>435</v>
      </c>
      <c r="T1483" s="21" t="str">
        <f>HYPERLINK("https://miland.ru/api/getInfo/image/3dacb861-88e5-11ec-a211-ac1f6b442185")</f>
        <v>https://miland.ru/api/getInfo/image/3dacb861-88e5-11ec-a211-ac1f6b442185</v>
      </c>
      <c r="U1483" s="21"/>
      <c r="V1483" s="21"/>
      <c r="W1483" s="21" t="s">
        <v>82</v>
      </c>
      <c r="X1483" s="21"/>
      <c r="Y1483" s="21"/>
      <c r="Z1483" s="21"/>
      <c r="AA1483" s="21" t="str">
        <f>HYPERLINK("https://miland.ru/api/getInfo/item/3dacb861-88e5-11ec-a211-ac1f6b442185")</f>
        <v>https://miland.ru/api/getInfo/item/3dacb861-88e5-11ec-a211-ac1f6b442185</v>
      </c>
      <c r="AB1483" s="21" t="s">
        <v>42</v>
      </c>
      <c r="AC1483" s="21" t="s">
        <v>5196</v>
      </c>
      <c r="AD1483" s="21"/>
    </row>
    <row r="1484" spans="2:30" s="1" customFormat="1" ht="96.3" customHeight="1" outlineLevel="7">
      <c r="B1484" s="57">
        <v>1137</v>
      </c>
      <c r="C1484" s="21" t="s">
        <v>5197</v>
      </c>
      <c r="D1484" s="72" t="s">
        <v>5198</v>
      </c>
      <c r="E1484" s="72"/>
      <c r="F1484" s="72"/>
      <c r="G1484" s="72"/>
      <c r="H1484" s="22" t="s">
        <v>5199</v>
      </c>
      <c r="I1484" s="27">
        <v>14</v>
      </c>
      <c r="J1484" s="22"/>
      <c r="K1484" s="20">
        <v>1</v>
      </c>
      <c r="L1484" s="32">
        <v>4774.26</v>
      </c>
      <c r="M1484" s="11"/>
      <c r="N1484" s="22">
        <f>L1484*M1484</f>
        <v>0</v>
      </c>
      <c r="O1484" s="25">
        <f>0.962*M1484</f>
        <v>0</v>
      </c>
      <c r="P1484" s="26">
        <f>0.02946*M1484</f>
        <v>0</v>
      </c>
      <c r="Q1484" s="30"/>
      <c r="R1484" s="22" t="s">
        <v>5200</v>
      </c>
      <c r="S1484" s="22" t="s">
        <v>435</v>
      </c>
      <c r="T1484" s="21" t="str">
        <f>HYPERLINK("https://miland.ru/api/getInfo/image/af0a1b0f-88e5-11ec-a211-ac1f6b442185")</f>
        <v>https://miland.ru/api/getInfo/image/af0a1b0f-88e5-11ec-a211-ac1f6b442185</v>
      </c>
      <c r="U1484" s="21"/>
      <c r="V1484" s="21"/>
      <c r="W1484" s="21" t="s">
        <v>82</v>
      </c>
      <c r="X1484" s="21"/>
      <c r="Y1484" s="21"/>
      <c r="Z1484" s="21"/>
      <c r="AA1484" s="21" t="str">
        <f>HYPERLINK("https://miland.ru/api/getInfo/item/af0a1b0f-88e5-11ec-a211-ac1f6b442185")</f>
        <v>https://miland.ru/api/getInfo/item/af0a1b0f-88e5-11ec-a211-ac1f6b442185</v>
      </c>
      <c r="AB1484" s="21" t="s">
        <v>42</v>
      </c>
      <c r="AC1484" s="21" t="s">
        <v>5196</v>
      </c>
      <c r="AD1484" s="21"/>
    </row>
    <row r="1485" spans="2:30" ht="12" customHeight="1" outlineLevel="6">
      <c r="B1485" s="70" t="s">
        <v>5201</v>
      </c>
      <c r="C1485" s="70"/>
      <c r="D1485" s="70"/>
      <c r="E1485" s="70"/>
      <c r="F1485" s="70"/>
      <c r="G1485" s="70"/>
    </row>
    <row r="1486" spans="2:30" s="1" customFormat="1" ht="96.3" customHeight="1" outlineLevel="7">
      <c r="B1486" s="57">
        <v>1138</v>
      </c>
      <c r="C1486" s="21" t="s">
        <v>5202</v>
      </c>
      <c r="D1486" s="72" t="s">
        <v>5203</v>
      </c>
      <c r="E1486" s="72"/>
      <c r="F1486" s="72"/>
      <c r="G1486" s="72"/>
      <c r="H1486" s="22" t="s">
        <v>5204</v>
      </c>
      <c r="I1486" s="27">
        <v>125</v>
      </c>
      <c r="J1486" s="22"/>
      <c r="K1486" s="20">
        <v>1</v>
      </c>
      <c r="L1486" s="32">
        <v>6860.96</v>
      </c>
      <c r="M1486" s="11"/>
      <c r="N1486" s="22">
        <f>L1486*M1486</f>
        <v>0</v>
      </c>
      <c r="O1486" s="28">
        <f>2.75*M1486</f>
        <v>0</v>
      </c>
      <c r="P1486" s="26">
        <f>0.06367*M1486</f>
        <v>0</v>
      </c>
      <c r="Q1486" s="30"/>
      <c r="R1486" s="22" t="s">
        <v>5205</v>
      </c>
      <c r="S1486" s="22"/>
      <c r="T1486" s="21" t="str">
        <f>HYPERLINK("https://miland.ru/api/getInfo/image/6b7e77c7-97d3-11ed-a22d-00155d82e902")</f>
        <v>https://miland.ru/api/getInfo/image/6b7e77c7-97d3-11ed-a22d-00155d82e902</v>
      </c>
      <c r="U1486" s="21"/>
      <c r="V1486" s="21"/>
      <c r="W1486" s="21" t="s">
        <v>82</v>
      </c>
      <c r="X1486" s="21"/>
      <c r="Y1486" s="21" t="s">
        <v>41</v>
      </c>
      <c r="Z1486" s="21"/>
      <c r="AA1486" s="21" t="str">
        <f>HYPERLINK("https://miland.ru/api/getInfo/item/6b7e77c7-97d3-11ed-a22d-00155d82e902")</f>
        <v>https://miland.ru/api/getInfo/item/6b7e77c7-97d3-11ed-a22d-00155d82e902</v>
      </c>
      <c r="AB1486" s="21" t="s">
        <v>42</v>
      </c>
      <c r="AC1486" s="21"/>
      <c r="AD1486" s="21"/>
    </row>
    <row r="1487" spans="2:30" s="1" customFormat="1" ht="96.3" customHeight="1" outlineLevel="7">
      <c r="B1487" s="57">
        <v>1139</v>
      </c>
      <c r="C1487" s="21" t="s">
        <v>5206</v>
      </c>
      <c r="D1487" s="72" t="s">
        <v>5207</v>
      </c>
      <c r="E1487" s="72"/>
      <c r="F1487" s="72"/>
      <c r="G1487" s="72"/>
      <c r="H1487" s="22" t="s">
        <v>5208</v>
      </c>
      <c r="I1487" s="27">
        <v>218</v>
      </c>
      <c r="J1487" s="22"/>
      <c r="K1487" s="20">
        <v>1</v>
      </c>
      <c r="L1487" s="32">
        <v>6860.96</v>
      </c>
      <c r="M1487" s="11"/>
      <c r="N1487" s="22">
        <f>L1487*M1487</f>
        <v>0</v>
      </c>
      <c r="O1487" s="28">
        <f>1.72*M1487</f>
        <v>0</v>
      </c>
      <c r="P1487" s="29">
        <f>0.0632*M1487</f>
        <v>0</v>
      </c>
      <c r="Q1487" s="30"/>
      <c r="R1487" s="22" t="s">
        <v>5209</v>
      </c>
      <c r="S1487" s="22" t="s">
        <v>435</v>
      </c>
      <c r="T1487" s="21" t="str">
        <f>HYPERLINK("https://miland.ru/api/getInfo/image/ca8a914d-88e4-11ec-a211-ac1f6b442185")</f>
        <v>https://miland.ru/api/getInfo/image/ca8a914d-88e4-11ec-a211-ac1f6b442185</v>
      </c>
      <c r="U1487" s="21"/>
      <c r="V1487" s="21"/>
      <c r="W1487" s="21" t="s">
        <v>82</v>
      </c>
      <c r="X1487" s="21"/>
      <c r="Y1487" s="21" t="s">
        <v>41</v>
      </c>
      <c r="Z1487" s="21"/>
      <c r="AA1487" s="21" t="str">
        <f>HYPERLINK("https://miland.ru/api/getInfo/item/ca8a914d-88e4-11ec-a211-ac1f6b442185")</f>
        <v>https://miland.ru/api/getInfo/item/ca8a914d-88e4-11ec-a211-ac1f6b442185</v>
      </c>
      <c r="AB1487" s="21" t="s">
        <v>42</v>
      </c>
      <c r="AC1487" s="21" t="s">
        <v>5210</v>
      </c>
      <c r="AD1487" s="21"/>
    </row>
    <row r="1488" spans="2:30" s="1" customFormat="1" ht="96.3" customHeight="1" outlineLevel="7">
      <c r="B1488" s="57">
        <v>1140</v>
      </c>
      <c r="C1488" s="21" t="s">
        <v>5211</v>
      </c>
      <c r="D1488" s="72" t="s">
        <v>5212</v>
      </c>
      <c r="E1488" s="72"/>
      <c r="F1488" s="72"/>
      <c r="G1488" s="72"/>
      <c r="H1488" s="22" t="s">
        <v>5213</v>
      </c>
      <c r="I1488" s="27">
        <v>19</v>
      </c>
      <c r="J1488" s="22"/>
      <c r="K1488" s="20">
        <v>1</v>
      </c>
      <c r="L1488" s="32">
        <v>6860.96</v>
      </c>
      <c r="M1488" s="11"/>
      <c r="N1488" s="22">
        <f>L1488*M1488</f>
        <v>0</v>
      </c>
      <c r="O1488" s="25">
        <f>1.815*M1488</f>
        <v>0</v>
      </c>
      <c r="P1488" s="26">
        <f>0.06719*M1488</f>
        <v>0</v>
      </c>
      <c r="Q1488" s="30"/>
      <c r="R1488" s="22" t="s">
        <v>5214</v>
      </c>
      <c r="S1488" s="22" t="s">
        <v>435</v>
      </c>
      <c r="T1488" s="21" t="str">
        <f>HYPERLINK("https://miland.ru/api/getInfo/image/880f68be-88e6-11ec-a211-ac1f6b442185")</f>
        <v>https://miland.ru/api/getInfo/image/880f68be-88e6-11ec-a211-ac1f6b442185</v>
      </c>
      <c r="U1488" s="21"/>
      <c r="V1488" s="21"/>
      <c r="W1488" s="21" t="s">
        <v>82</v>
      </c>
      <c r="X1488" s="21"/>
      <c r="Y1488" s="21"/>
      <c r="Z1488" s="21"/>
      <c r="AA1488" s="21" t="str">
        <f>HYPERLINK("https://miland.ru/api/getInfo/item/880f68be-88e6-11ec-a211-ac1f6b442185")</f>
        <v>https://miland.ru/api/getInfo/item/880f68be-88e6-11ec-a211-ac1f6b442185</v>
      </c>
      <c r="AB1488" s="21" t="s">
        <v>42</v>
      </c>
      <c r="AC1488" s="21" t="s">
        <v>5210</v>
      </c>
      <c r="AD1488" s="21"/>
    </row>
    <row r="1489" spans="2:31" ht="12" customHeight="1" outlineLevel="6">
      <c r="B1489" s="70" t="s">
        <v>5215</v>
      </c>
      <c r="C1489" s="70"/>
      <c r="D1489" s="70"/>
      <c r="E1489" s="70"/>
      <c r="F1489" s="70"/>
      <c r="G1489" s="70"/>
    </row>
    <row r="1490" spans="2:31" s="1" customFormat="1" ht="96.3" customHeight="1" outlineLevel="7">
      <c r="B1490" s="57">
        <v>1141</v>
      </c>
      <c r="C1490" s="21" t="s">
        <v>5216</v>
      </c>
      <c r="D1490" s="72" t="s">
        <v>5217</v>
      </c>
      <c r="E1490" s="72"/>
      <c r="F1490" s="72"/>
      <c r="G1490" s="72"/>
      <c r="H1490" s="22" t="s">
        <v>5218</v>
      </c>
      <c r="I1490" s="27">
        <v>32</v>
      </c>
      <c r="J1490" s="22"/>
      <c r="K1490" s="20">
        <v>1</v>
      </c>
      <c r="L1490" s="32">
        <v>9521.5300000000007</v>
      </c>
      <c r="M1490" s="11"/>
      <c r="N1490" s="22">
        <f>L1490*M1490</f>
        <v>0</v>
      </c>
      <c r="O1490" s="28">
        <f>3.89*M1490</f>
        <v>0</v>
      </c>
      <c r="P1490" s="26">
        <f>0.17738*M1490</f>
        <v>0</v>
      </c>
      <c r="Q1490" s="30"/>
      <c r="R1490" s="22" t="s">
        <v>5219</v>
      </c>
      <c r="S1490" s="22" t="s">
        <v>435</v>
      </c>
      <c r="T1490" s="21" t="str">
        <f>HYPERLINK("https://miland.ru/api/getInfo/image/56093a00-b924-11ee-a25a-00155d82e908")</f>
        <v>https://miland.ru/api/getInfo/image/56093a00-b924-11ee-a25a-00155d82e908</v>
      </c>
      <c r="U1490" s="21"/>
      <c r="V1490" s="21"/>
      <c r="W1490" s="21" t="s">
        <v>82</v>
      </c>
      <c r="X1490" s="21"/>
      <c r="Y1490" s="21"/>
      <c r="Z1490" s="21"/>
      <c r="AA1490" s="21" t="str">
        <f>HYPERLINK("https://miland.ru/api/getInfo/item/56093a00-b924-11ee-a25a-00155d82e908")</f>
        <v>https://miland.ru/api/getInfo/item/56093a00-b924-11ee-a25a-00155d82e908</v>
      </c>
      <c r="AB1490" s="21" t="s">
        <v>42</v>
      </c>
      <c r="AC1490" s="21" t="s">
        <v>5215</v>
      </c>
      <c r="AD1490" s="21"/>
    </row>
    <row r="1491" spans="2:31" s="1" customFormat="1" ht="96.3" customHeight="1" outlineLevel="7">
      <c r="B1491" s="57">
        <v>1142</v>
      </c>
      <c r="C1491" s="21" t="s">
        <v>5220</v>
      </c>
      <c r="D1491" s="72" t="s">
        <v>5221</v>
      </c>
      <c r="E1491" s="72"/>
      <c r="F1491" s="72"/>
      <c r="G1491" s="72"/>
      <c r="H1491" s="22" t="s">
        <v>5222</v>
      </c>
      <c r="I1491" s="27">
        <v>48</v>
      </c>
      <c r="J1491" s="22"/>
      <c r="K1491" s="20">
        <v>1</v>
      </c>
      <c r="L1491" s="32">
        <v>9521.5300000000007</v>
      </c>
      <c r="M1491" s="11"/>
      <c r="N1491" s="22">
        <f>L1491*M1491</f>
        <v>0</v>
      </c>
      <c r="O1491" s="33">
        <f>3.8*M1491</f>
        <v>0</v>
      </c>
      <c r="P1491" s="26">
        <f>0.01834*M1491</f>
        <v>0</v>
      </c>
      <c r="Q1491" s="30"/>
      <c r="R1491" s="22" t="s">
        <v>5223</v>
      </c>
      <c r="S1491" s="22" t="s">
        <v>435</v>
      </c>
      <c r="T1491" s="21" t="str">
        <f>HYPERLINK("https://miland.ru/api/getInfo/image/1ec56031-b924-11ee-a25a-00155d82e908")</f>
        <v>https://miland.ru/api/getInfo/image/1ec56031-b924-11ee-a25a-00155d82e908</v>
      </c>
      <c r="U1491" s="21"/>
      <c r="V1491" s="21"/>
      <c r="W1491" s="21" t="s">
        <v>82</v>
      </c>
      <c r="X1491" s="21"/>
      <c r="Y1491" s="21"/>
      <c r="Z1491" s="21"/>
      <c r="AA1491" s="21" t="str">
        <f>HYPERLINK("https://miland.ru/api/getInfo/item/1ec56031-b924-11ee-a25a-00155d82e908")</f>
        <v>https://miland.ru/api/getInfo/item/1ec56031-b924-11ee-a25a-00155d82e908</v>
      </c>
      <c r="AB1491" s="21" t="s">
        <v>42</v>
      </c>
      <c r="AC1491" s="21" t="s">
        <v>5215</v>
      </c>
      <c r="AD1491" s="21"/>
    </row>
    <row r="1492" spans="2:31" ht="12" customHeight="1" outlineLevel="6">
      <c r="B1492" s="70" t="s">
        <v>5224</v>
      </c>
      <c r="C1492" s="70"/>
      <c r="D1492" s="70"/>
      <c r="E1492" s="70"/>
      <c r="F1492" s="70"/>
      <c r="G1492" s="70"/>
    </row>
    <row r="1493" spans="2:31" s="1" customFormat="1" ht="96.3" customHeight="1" outlineLevel="7">
      <c r="B1493" s="57">
        <v>1143</v>
      </c>
      <c r="C1493" s="21" t="s">
        <v>5225</v>
      </c>
      <c r="D1493" s="72" t="s">
        <v>5226</v>
      </c>
      <c r="E1493" s="72"/>
      <c r="F1493" s="72"/>
      <c r="G1493" s="72"/>
      <c r="H1493" s="22" t="s">
        <v>5227</v>
      </c>
      <c r="I1493" s="27">
        <v>10</v>
      </c>
      <c r="J1493" s="22"/>
      <c r="K1493" s="20">
        <v>1</v>
      </c>
      <c r="L1493" s="32">
        <v>14628.94</v>
      </c>
      <c r="M1493" s="11"/>
      <c r="N1493" s="22">
        <f>L1493*M1493</f>
        <v>0</v>
      </c>
      <c r="O1493" s="33">
        <f>7.1*M1493</f>
        <v>0</v>
      </c>
      <c r="P1493" s="26">
        <f>0.11534*M1493</f>
        <v>0</v>
      </c>
      <c r="Q1493" s="30"/>
      <c r="R1493" s="22" t="s">
        <v>5228</v>
      </c>
      <c r="S1493" s="22" t="s">
        <v>435</v>
      </c>
      <c r="T1493" s="21" t="str">
        <f>HYPERLINK("https://miland.ru/api/getInfo/image/f7299066-bf62-11ee-a25a-00155d82e908")</f>
        <v>https://miland.ru/api/getInfo/image/f7299066-bf62-11ee-a25a-00155d82e908</v>
      </c>
      <c r="U1493" s="21"/>
      <c r="V1493" s="21"/>
      <c r="W1493" s="21"/>
      <c r="X1493" s="21"/>
      <c r="Y1493" s="21"/>
      <c r="Z1493" s="21"/>
      <c r="AA1493" s="21" t="str">
        <f>HYPERLINK("https://miland.ru/api/getInfo/item/f7299066-bf62-11ee-a25a-00155d82e908")</f>
        <v>https://miland.ru/api/getInfo/item/f7299066-bf62-11ee-a25a-00155d82e908</v>
      </c>
      <c r="AB1493" s="21" t="s">
        <v>42</v>
      </c>
      <c r="AC1493" s="21" t="s">
        <v>5224</v>
      </c>
      <c r="AD1493" s="21"/>
    </row>
    <row r="1494" spans="2:31" ht="12" customHeight="1" outlineLevel="6">
      <c r="B1494" s="70" t="s">
        <v>5229</v>
      </c>
      <c r="C1494" s="70"/>
      <c r="D1494" s="70"/>
      <c r="E1494" s="70"/>
      <c r="F1494" s="70"/>
      <c r="G1494" s="70"/>
    </row>
    <row r="1495" spans="2:31" s="1" customFormat="1" ht="96.3" customHeight="1" outlineLevel="7">
      <c r="B1495" s="57">
        <v>1144</v>
      </c>
      <c r="C1495" s="21" t="s">
        <v>5230</v>
      </c>
      <c r="D1495" s="72" t="s">
        <v>5231</v>
      </c>
      <c r="E1495" s="72"/>
      <c r="F1495" s="72"/>
      <c r="G1495" s="72"/>
      <c r="H1495" s="22" t="s">
        <v>5232</v>
      </c>
      <c r="I1495" s="27">
        <v>90</v>
      </c>
      <c r="J1495" s="22"/>
      <c r="K1495" s="20">
        <v>1</v>
      </c>
      <c r="L1495" s="32">
        <v>14586.74</v>
      </c>
      <c r="M1495" s="11"/>
      <c r="N1495" s="22">
        <f>L1495*M1495</f>
        <v>0</v>
      </c>
      <c r="O1495" s="28">
        <f>4.55*M1495</f>
        <v>0</v>
      </c>
      <c r="P1495" s="26">
        <f>0.19305*M1495</f>
        <v>0</v>
      </c>
      <c r="Q1495" s="30"/>
      <c r="R1495" s="22" t="s">
        <v>5233</v>
      </c>
      <c r="S1495" s="22" t="s">
        <v>435</v>
      </c>
      <c r="T1495" s="21" t="str">
        <f>HYPERLINK("https://miland.ru/api/getInfo/image/bfa3ae41-b924-11ee-a25a-00155d82e908")</f>
        <v>https://miland.ru/api/getInfo/image/bfa3ae41-b924-11ee-a25a-00155d82e908</v>
      </c>
      <c r="U1495" s="21"/>
      <c r="V1495" s="21"/>
      <c r="W1495" s="21"/>
      <c r="X1495" s="21"/>
      <c r="Y1495" s="21"/>
      <c r="Z1495" s="21"/>
      <c r="AA1495" s="21" t="str">
        <f>HYPERLINK("https://miland.ru/api/getInfo/item/bfa3ae41-b924-11ee-a25a-00155d82e908")</f>
        <v>https://miland.ru/api/getInfo/item/bfa3ae41-b924-11ee-a25a-00155d82e908</v>
      </c>
      <c r="AB1495" s="21" t="s">
        <v>42</v>
      </c>
      <c r="AC1495" s="21" t="s">
        <v>5229</v>
      </c>
      <c r="AD1495" s="21"/>
    </row>
    <row r="1496" spans="2:31" ht="12" customHeight="1" outlineLevel="5">
      <c r="B1496" s="70" t="s">
        <v>5234</v>
      </c>
      <c r="C1496" s="70"/>
      <c r="D1496" s="70"/>
      <c r="E1496" s="70"/>
      <c r="F1496" s="70"/>
      <c r="G1496" s="70"/>
    </row>
    <row r="1497" spans="2:31" s="1" customFormat="1" ht="96.3" customHeight="1" outlineLevel="6">
      <c r="B1497" s="58">
        <v>1145</v>
      </c>
      <c r="C1497" s="7" t="s">
        <v>5235</v>
      </c>
      <c r="D1497" s="71" t="s">
        <v>5236</v>
      </c>
      <c r="E1497" s="71"/>
      <c r="F1497" s="71"/>
      <c r="G1497" s="71"/>
      <c r="H1497" s="8" t="s">
        <v>5237</v>
      </c>
      <c r="I1497" s="14">
        <v>484</v>
      </c>
      <c r="J1497" s="8"/>
      <c r="K1497" s="6">
        <v>1</v>
      </c>
      <c r="L1497" s="15">
        <v>4913.43</v>
      </c>
      <c r="M1497" s="11"/>
      <c r="N1497" s="8">
        <f>L1497*M1497</f>
        <v>0</v>
      </c>
      <c r="O1497" s="19">
        <f>1.4*M1497</f>
        <v>0</v>
      </c>
      <c r="P1497" s="13">
        <f>0.02256*M1497</f>
        <v>0</v>
      </c>
      <c r="Q1497" s="17" t="s">
        <v>37</v>
      </c>
      <c r="R1497" s="8" t="s">
        <v>5238</v>
      </c>
      <c r="S1497" s="8"/>
      <c r="T1497" s="7" t="str">
        <f>HYPERLINK("https://miland.ru/api/getInfo/image/55a81da6-033e-11f1-a28e-00155d82e908")</f>
        <v>https://miland.ru/api/getInfo/image/55a81da6-033e-11f1-a28e-00155d82e908</v>
      </c>
      <c r="U1497" s="7"/>
      <c r="V1497" s="7"/>
      <c r="W1497" s="7" t="s">
        <v>82</v>
      </c>
      <c r="X1497" s="7"/>
      <c r="Y1497" s="7" t="s">
        <v>41</v>
      </c>
      <c r="Z1497" s="7"/>
      <c r="AA1497" s="7" t="str">
        <f>HYPERLINK("https://miland.ru/api/getInfo/item/55a81da6-033e-11f1-a28e-00155d82e908")</f>
        <v>https://miland.ru/api/getInfo/item/55a81da6-033e-11f1-a28e-00155d82e908</v>
      </c>
      <c r="AB1497" s="7" t="s">
        <v>42</v>
      </c>
      <c r="AC1497" s="7"/>
      <c r="AD1497" s="7"/>
      <c r="AE1497" s="54"/>
    </row>
    <row r="1498" spans="2:31" ht="12" customHeight="1" outlineLevel="5">
      <c r="B1498" s="70" t="s">
        <v>5085</v>
      </c>
      <c r="C1498" s="70"/>
      <c r="D1498" s="70"/>
      <c r="E1498" s="70"/>
      <c r="F1498" s="70"/>
      <c r="G1498" s="70"/>
    </row>
    <row r="1499" spans="2:31" ht="12" customHeight="1" outlineLevel="6">
      <c r="B1499" s="70" t="s">
        <v>5092</v>
      </c>
      <c r="C1499" s="70"/>
      <c r="D1499" s="70"/>
      <c r="E1499" s="70"/>
      <c r="F1499" s="70"/>
      <c r="G1499" s="70"/>
    </row>
    <row r="1500" spans="2:31" s="1" customFormat="1" ht="96.3" customHeight="1" outlineLevel="7">
      <c r="B1500" s="57">
        <v>1146</v>
      </c>
      <c r="C1500" s="21" t="s">
        <v>5239</v>
      </c>
      <c r="D1500" s="72" t="s">
        <v>5240</v>
      </c>
      <c r="E1500" s="72"/>
      <c r="F1500" s="72"/>
      <c r="G1500" s="72"/>
      <c r="H1500" s="22" t="s">
        <v>5241</v>
      </c>
      <c r="I1500" s="27">
        <v>429</v>
      </c>
      <c r="J1500" s="22"/>
      <c r="K1500" s="20">
        <v>1</v>
      </c>
      <c r="L1500" s="32">
        <v>1121.71</v>
      </c>
      <c r="M1500" s="11"/>
      <c r="N1500" s="22">
        <f t="shared" ref="N1500:N1505" si="66">L1500*M1500</f>
        <v>0</v>
      </c>
      <c r="O1500" s="25">
        <f>0.283*M1500</f>
        <v>0</v>
      </c>
      <c r="P1500" s="26">
        <f>0.00596*M1500</f>
        <v>0</v>
      </c>
      <c r="Q1500" s="30"/>
      <c r="R1500" s="22" t="s">
        <v>5242</v>
      </c>
      <c r="S1500" s="22" t="s">
        <v>435</v>
      </c>
      <c r="T1500" s="21" t="str">
        <f>HYPERLINK("https://miland.ru/api/getInfo/image/598ee1cf-b694-11ee-a25a-00155d82e908")</f>
        <v>https://miland.ru/api/getInfo/image/598ee1cf-b694-11ee-a25a-00155d82e908</v>
      </c>
      <c r="U1500" s="21"/>
      <c r="V1500" s="21"/>
      <c r="W1500" s="21" t="s">
        <v>82</v>
      </c>
      <c r="X1500" s="21"/>
      <c r="Y1500" s="21"/>
      <c r="Z1500" s="21"/>
      <c r="AA1500" s="21" t="str">
        <f>HYPERLINK("https://miland.ru/api/getInfo/item/598ee1cf-b694-11ee-a25a-00155d82e908")</f>
        <v>https://miland.ru/api/getInfo/item/598ee1cf-b694-11ee-a25a-00155d82e908</v>
      </c>
      <c r="AB1500" s="21" t="s">
        <v>42</v>
      </c>
      <c r="AC1500" s="21" t="s">
        <v>5090</v>
      </c>
      <c r="AD1500" s="21"/>
    </row>
    <row r="1501" spans="2:31" s="1" customFormat="1" ht="96.3" customHeight="1" outlineLevel="7">
      <c r="B1501" s="57">
        <v>1147</v>
      </c>
      <c r="C1501" s="21" t="s">
        <v>5243</v>
      </c>
      <c r="D1501" s="72" t="s">
        <v>5244</v>
      </c>
      <c r="E1501" s="72"/>
      <c r="F1501" s="72"/>
      <c r="G1501" s="72"/>
      <c r="H1501" s="22" t="s">
        <v>5245</v>
      </c>
      <c r="I1501" s="23" t="s">
        <v>36</v>
      </c>
      <c r="J1501" s="22"/>
      <c r="K1501" s="20">
        <v>1</v>
      </c>
      <c r="L1501" s="32">
        <v>1121.71</v>
      </c>
      <c r="M1501" s="11"/>
      <c r="N1501" s="22">
        <f t="shared" si="66"/>
        <v>0</v>
      </c>
      <c r="O1501" s="25">
        <f>0.231*M1501</f>
        <v>0</v>
      </c>
      <c r="P1501" s="26">
        <f>0.00658*M1501</f>
        <v>0</v>
      </c>
      <c r="Q1501" s="30"/>
      <c r="R1501" s="22" t="s">
        <v>5246</v>
      </c>
      <c r="S1501" s="22"/>
      <c r="T1501" s="21" t="str">
        <f>HYPERLINK("https://miland.ru/api/getInfo/image/67f016ed-b694-11ee-a25a-00155d82e908")</f>
        <v>https://miland.ru/api/getInfo/image/67f016ed-b694-11ee-a25a-00155d82e908</v>
      </c>
      <c r="U1501" s="21"/>
      <c r="V1501" s="21"/>
      <c r="W1501" s="21" t="s">
        <v>82</v>
      </c>
      <c r="X1501" s="21"/>
      <c r="Y1501" s="21"/>
      <c r="Z1501" s="21"/>
      <c r="AA1501" s="21" t="str">
        <f>HYPERLINK("https://miland.ru/api/getInfo/item/67f016ed-b694-11ee-a25a-00155d82e908")</f>
        <v>https://miland.ru/api/getInfo/item/67f016ed-b694-11ee-a25a-00155d82e908</v>
      </c>
      <c r="AB1501" s="21" t="s">
        <v>42</v>
      </c>
      <c r="AC1501" s="21" t="s">
        <v>5090</v>
      </c>
      <c r="AD1501" s="21"/>
    </row>
    <row r="1502" spans="2:31" s="1" customFormat="1" ht="96.3" customHeight="1" outlineLevel="7">
      <c r="B1502" s="57">
        <v>1148</v>
      </c>
      <c r="C1502" s="21" t="s">
        <v>5247</v>
      </c>
      <c r="D1502" s="72" t="s">
        <v>5248</v>
      </c>
      <c r="E1502" s="72"/>
      <c r="F1502" s="72"/>
      <c r="G1502" s="72"/>
      <c r="H1502" s="22" t="s">
        <v>5249</v>
      </c>
      <c r="I1502" s="23" t="s">
        <v>36</v>
      </c>
      <c r="J1502" s="22"/>
      <c r="K1502" s="20">
        <v>1</v>
      </c>
      <c r="L1502" s="32">
        <v>1121.71</v>
      </c>
      <c r="M1502" s="11"/>
      <c r="N1502" s="22">
        <f t="shared" si="66"/>
        <v>0</v>
      </c>
      <c r="O1502" s="25">
        <f>0.244*M1502</f>
        <v>0</v>
      </c>
      <c r="P1502" s="26">
        <f>0.00687*M1502</f>
        <v>0</v>
      </c>
      <c r="Q1502" s="30"/>
      <c r="R1502" s="22" t="s">
        <v>5250</v>
      </c>
      <c r="S1502" s="22"/>
      <c r="T1502" s="21" t="str">
        <f>HYPERLINK("https://miland.ru/api/getInfo/image/20e30e2c-b694-11ee-a25a-00155d82e908")</f>
        <v>https://miland.ru/api/getInfo/image/20e30e2c-b694-11ee-a25a-00155d82e908</v>
      </c>
      <c r="U1502" s="21"/>
      <c r="V1502" s="21"/>
      <c r="W1502" s="21" t="s">
        <v>82</v>
      </c>
      <c r="X1502" s="21"/>
      <c r="Y1502" s="21"/>
      <c r="Z1502" s="21"/>
      <c r="AA1502" s="21" t="str">
        <f>HYPERLINK("https://miland.ru/api/getInfo/item/20e30e2c-b694-11ee-a25a-00155d82e908")</f>
        <v>https://miland.ru/api/getInfo/item/20e30e2c-b694-11ee-a25a-00155d82e908</v>
      </c>
      <c r="AB1502" s="21" t="s">
        <v>42</v>
      </c>
      <c r="AC1502" s="21" t="s">
        <v>5090</v>
      </c>
      <c r="AD1502" s="21"/>
    </row>
    <row r="1503" spans="2:31" s="1" customFormat="1" ht="96.3" customHeight="1" outlineLevel="7">
      <c r="B1503" s="57">
        <v>1149</v>
      </c>
      <c r="C1503" s="21" t="s">
        <v>5251</v>
      </c>
      <c r="D1503" s="72" t="s">
        <v>5252</v>
      </c>
      <c r="E1503" s="72"/>
      <c r="F1503" s="72"/>
      <c r="G1503" s="72"/>
      <c r="H1503" s="22" t="s">
        <v>5253</v>
      </c>
      <c r="I1503" s="27">
        <v>9</v>
      </c>
      <c r="J1503" s="22"/>
      <c r="K1503" s="20">
        <v>1</v>
      </c>
      <c r="L1503" s="32">
        <v>1742.5</v>
      </c>
      <c r="M1503" s="11"/>
      <c r="N1503" s="22">
        <f t="shared" si="66"/>
        <v>0</v>
      </c>
      <c r="O1503" s="25">
        <f>0.237*M1503</f>
        <v>0</v>
      </c>
      <c r="P1503" s="26">
        <f>0.00689*M1503</f>
        <v>0</v>
      </c>
      <c r="Q1503" s="30"/>
      <c r="R1503" s="22" t="s">
        <v>5254</v>
      </c>
      <c r="S1503" s="22" t="s">
        <v>435</v>
      </c>
      <c r="T1503" s="21" t="str">
        <f>HYPERLINK("https://miland.ru/api/getInfo/image/e488788f-88e2-11ec-a211-ac1f6b442185")</f>
        <v>https://miland.ru/api/getInfo/image/e488788f-88e2-11ec-a211-ac1f6b442185</v>
      </c>
      <c r="U1503" s="21"/>
      <c r="V1503" s="21"/>
      <c r="W1503" s="21" t="s">
        <v>82</v>
      </c>
      <c r="X1503" s="21"/>
      <c r="Y1503" s="21"/>
      <c r="Z1503" s="21"/>
      <c r="AA1503" s="21" t="str">
        <f>HYPERLINK("https://miland.ru/api/getInfo/item/e488788f-88e2-11ec-a211-ac1f6b442185")</f>
        <v>https://miland.ru/api/getInfo/item/e488788f-88e2-11ec-a211-ac1f6b442185</v>
      </c>
      <c r="AB1503" s="21" t="s">
        <v>42</v>
      </c>
      <c r="AC1503" s="21" t="s">
        <v>5150</v>
      </c>
      <c r="AD1503" s="21"/>
    </row>
    <row r="1504" spans="2:31" s="1" customFormat="1" ht="96.3" customHeight="1" outlineLevel="7">
      <c r="B1504" s="57">
        <v>1150</v>
      </c>
      <c r="C1504" s="21" t="s">
        <v>5255</v>
      </c>
      <c r="D1504" s="72" t="s">
        <v>5256</v>
      </c>
      <c r="E1504" s="72"/>
      <c r="F1504" s="72"/>
      <c r="G1504" s="72"/>
      <c r="H1504" s="22" t="s">
        <v>5257</v>
      </c>
      <c r="I1504" s="23" t="s">
        <v>36</v>
      </c>
      <c r="J1504" s="22"/>
      <c r="K1504" s="20">
        <v>1</v>
      </c>
      <c r="L1504" s="32">
        <v>1121.71</v>
      </c>
      <c r="M1504" s="11"/>
      <c r="N1504" s="22">
        <f t="shared" si="66"/>
        <v>0</v>
      </c>
      <c r="O1504" s="33">
        <f>0.3*M1504</f>
        <v>0</v>
      </c>
      <c r="P1504" s="26">
        <f>0.00651*M1504</f>
        <v>0</v>
      </c>
      <c r="Q1504" s="30"/>
      <c r="R1504" s="22" t="s">
        <v>5258</v>
      </c>
      <c r="S1504" s="22" t="s">
        <v>435</v>
      </c>
      <c r="T1504" s="21" t="str">
        <f>HYPERLINK("https://miland.ru/api/getInfo/image/2e726ebf-b694-11ee-a25a-00155d82e908")</f>
        <v>https://miland.ru/api/getInfo/image/2e726ebf-b694-11ee-a25a-00155d82e908</v>
      </c>
      <c r="U1504" s="21"/>
      <c r="V1504" s="21"/>
      <c r="W1504" s="21" t="s">
        <v>82</v>
      </c>
      <c r="X1504" s="21"/>
      <c r="Y1504" s="21" t="s">
        <v>41</v>
      </c>
      <c r="Z1504" s="21"/>
      <c r="AA1504" s="21" t="str">
        <f>HYPERLINK("https://miland.ru/api/getInfo/item/2e726ebf-b694-11ee-a25a-00155d82e908")</f>
        <v>https://miland.ru/api/getInfo/item/2e726ebf-b694-11ee-a25a-00155d82e908</v>
      </c>
      <c r="AB1504" s="21" t="s">
        <v>42</v>
      </c>
      <c r="AC1504" s="21" t="s">
        <v>5090</v>
      </c>
      <c r="AD1504" s="21"/>
    </row>
    <row r="1505" spans="2:30" s="1" customFormat="1" ht="96.3" customHeight="1" outlineLevel="7">
      <c r="B1505" s="57">
        <v>1151</v>
      </c>
      <c r="C1505" s="21" t="s">
        <v>5259</v>
      </c>
      <c r="D1505" s="72" t="s">
        <v>5260</v>
      </c>
      <c r="E1505" s="72"/>
      <c r="F1505" s="72"/>
      <c r="G1505" s="72"/>
      <c r="H1505" s="22" t="s">
        <v>5261</v>
      </c>
      <c r="I1505" s="23" t="s">
        <v>36</v>
      </c>
      <c r="J1505" s="22"/>
      <c r="K1505" s="20">
        <v>1</v>
      </c>
      <c r="L1505" s="32">
        <v>1121.71</v>
      </c>
      <c r="M1505" s="11"/>
      <c r="N1505" s="22">
        <f t="shared" si="66"/>
        <v>0</v>
      </c>
      <c r="O1505" s="25">
        <f>0.297*M1505</f>
        <v>0</v>
      </c>
      <c r="P1505" s="26">
        <f>0.00699*M1505</f>
        <v>0</v>
      </c>
      <c r="Q1505" s="30"/>
      <c r="R1505" s="22" t="s">
        <v>5262</v>
      </c>
      <c r="S1505" s="22"/>
      <c r="T1505" s="21" t="str">
        <f>HYPERLINK("https://miland.ru/api/getInfo/image/4c1753c0-b694-11ee-a25a-00155d82e908")</f>
        <v>https://miland.ru/api/getInfo/image/4c1753c0-b694-11ee-a25a-00155d82e908</v>
      </c>
      <c r="U1505" s="21"/>
      <c r="V1505" s="21"/>
      <c r="W1505" s="21" t="s">
        <v>82</v>
      </c>
      <c r="X1505" s="21"/>
      <c r="Y1505" s="21" t="s">
        <v>41</v>
      </c>
      <c r="Z1505" s="21"/>
      <c r="AA1505" s="21" t="str">
        <f>HYPERLINK("https://miland.ru/api/getInfo/item/4c1753c0-b694-11ee-a25a-00155d82e908")</f>
        <v>https://miland.ru/api/getInfo/item/4c1753c0-b694-11ee-a25a-00155d82e908</v>
      </c>
      <c r="AB1505" s="21" t="s">
        <v>42</v>
      </c>
      <c r="AC1505" s="21" t="s">
        <v>5090</v>
      </c>
      <c r="AD1505" s="21"/>
    </row>
    <row r="1506" spans="2:30" ht="12" customHeight="1" outlineLevel="6">
      <c r="B1506" s="70" t="s">
        <v>5159</v>
      </c>
      <c r="C1506" s="70"/>
      <c r="D1506" s="70"/>
      <c r="E1506" s="70"/>
      <c r="F1506" s="70"/>
      <c r="G1506" s="70"/>
    </row>
    <row r="1507" spans="2:30" s="1" customFormat="1" ht="96.3" customHeight="1" outlineLevel="7">
      <c r="B1507" s="57">
        <v>1152</v>
      </c>
      <c r="C1507" s="21" t="s">
        <v>5263</v>
      </c>
      <c r="D1507" s="72" t="s">
        <v>5264</v>
      </c>
      <c r="E1507" s="72"/>
      <c r="F1507" s="72"/>
      <c r="G1507" s="72"/>
      <c r="H1507" s="22" t="s">
        <v>5265</v>
      </c>
      <c r="I1507" s="27">
        <v>7</v>
      </c>
      <c r="J1507" s="22"/>
      <c r="K1507" s="20">
        <v>1</v>
      </c>
      <c r="L1507" s="32">
        <v>2206.62</v>
      </c>
      <c r="M1507" s="11"/>
      <c r="N1507" s="22">
        <f>L1507*M1507</f>
        <v>0</v>
      </c>
      <c r="O1507" s="33">
        <f>0.6*M1507</f>
        <v>0</v>
      </c>
      <c r="P1507" s="26">
        <f>0.01693*M1507</f>
        <v>0</v>
      </c>
      <c r="Q1507" s="30"/>
      <c r="R1507" s="22" t="s">
        <v>5266</v>
      </c>
      <c r="S1507" s="22" t="s">
        <v>435</v>
      </c>
      <c r="T1507" s="21" t="str">
        <f>HYPERLINK("https://miland.ru/api/getInfo/image/9dfdecb5-49c3-11eb-a25e-ac1f6b442184")</f>
        <v>https://miland.ru/api/getInfo/image/9dfdecb5-49c3-11eb-a25e-ac1f6b442184</v>
      </c>
      <c r="U1507" s="21"/>
      <c r="V1507" s="21"/>
      <c r="W1507" s="21" t="s">
        <v>82</v>
      </c>
      <c r="X1507" s="21"/>
      <c r="Y1507" s="21"/>
      <c r="Z1507" s="21"/>
      <c r="AA1507" s="21" t="str">
        <f>HYPERLINK("https://miland.ru/api/getInfo/item/9dfdecb5-49c3-11eb-a25e-ac1f6b442184")</f>
        <v>https://miland.ru/api/getInfo/item/9dfdecb5-49c3-11eb-a25e-ac1f6b442184</v>
      </c>
      <c r="AB1507" s="21" t="s">
        <v>42</v>
      </c>
      <c r="AC1507" s="21" t="s">
        <v>5164</v>
      </c>
      <c r="AD1507" s="21"/>
    </row>
    <row r="1508" spans="2:30" s="1" customFormat="1" ht="96.3" customHeight="1" outlineLevel="7">
      <c r="B1508" s="57">
        <v>1153</v>
      </c>
      <c r="C1508" s="21" t="s">
        <v>5267</v>
      </c>
      <c r="D1508" s="72" t="s">
        <v>5268</v>
      </c>
      <c r="E1508" s="72"/>
      <c r="F1508" s="72"/>
      <c r="G1508" s="72"/>
      <c r="H1508" s="22" t="s">
        <v>5269</v>
      </c>
      <c r="I1508" s="27">
        <v>40</v>
      </c>
      <c r="J1508" s="22"/>
      <c r="K1508" s="20">
        <v>1</v>
      </c>
      <c r="L1508" s="32">
        <v>2206.62</v>
      </c>
      <c r="M1508" s="11"/>
      <c r="N1508" s="22">
        <f>L1508*M1508</f>
        <v>0</v>
      </c>
      <c r="O1508" s="25">
        <f>0.487*M1508</f>
        <v>0</v>
      </c>
      <c r="P1508" s="26">
        <f>0.03097*M1508</f>
        <v>0</v>
      </c>
      <c r="Q1508" s="30"/>
      <c r="R1508" s="22" t="s">
        <v>5270</v>
      </c>
      <c r="S1508" s="22" t="s">
        <v>435</v>
      </c>
      <c r="T1508" s="21" t="str">
        <f>HYPERLINK("https://miland.ru/api/getInfo/image/6959eb7a-88e3-11ec-a211-ac1f6b442185")</f>
        <v>https://miland.ru/api/getInfo/image/6959eb7a-88e3-11ec-a211-ac1f6b442185</v>
      </c>
      <c r="U1508" s="21"/>
      <c r="V1508" s="21"/>
      <c r="W1508" s="21" t="s">
        <v>82</v>
      </c>
      <c r="X1508" s="21"/>
      <c r="Y1508" s="21" t="s">
        <v>41</v>
      </c>
      <c r="Z1508" s="21"/>
      <c r="AA1508" s="21" t="str">
        <f>HYPERLINK("https://miland.ru/api/getInfo/item/6959eb7a-88e3-11ec-a211-ac1f6b442185")</f>
        <v>https://miland.ru/api/getInfo/item/6959eb7a-88e3-11ec-a211-ac1f6b442185</v>
      </c>
      <c r="AB1508" s="21" t="s">
        <v>42</v>
      </c>
      <c r="AC1508" s="21" t="s">
        <v>5173</v>
      </c>
      <c r="AD1508" s="21"/>
    </row>
    <row r="1509" spans="2:30" ht="12" customHeight="1" outlineLevel="6">
      <c r="B1509" s="70" t="s">
        <v>5182</v>
      </c>
      <c r="C1509" s="70"/>
      <c r="D1509" s="70"/>
      <c r="E1509" s="70"/>
      <c r="F1509" s="70"/>
      <c r="G1509" s="70"/>
    </row>
    <row r="1510" spans="2:30" s="1" customFormat="1" ht="96.3" customHeight="1" outlineLevel="7">
      <c r="B1510" s="57">
        <v>1154</v>
      </c>
      <c r="C1510" s="21" t="s">
        <v>5271</v>
      </c>
      <c r="D1510" s="72" t="s">
        <v>5272</v>
      </c>
      <c r="E1510" s="72"/>
      <c r="F1510" s="72"/>
      <c r="G1510" s="72"/>
      <c r="H1510" s="22" t="s">
        <v>5273</v>
      </c>
      <c r="I1510" s="27">
        <v>95</v>
      </c>
      <c r="J1510" s="22"/>
      <c r="K1510" s="20">
        <v>1</v>
      </c>
      <c r="L1510" s="32">
        <v>3997.9</v>
      </c>
      <c r="M1510" s="11"/>
      <c r="N1510" s="22">
        <f>L1510*M1510</f>
        <v>0</v>
      </c>
      <c r="O1510" s="25">
        <f>1.024*M1510</f>
        <v>0</v>
      </c>
      <c r="P1510" s="26">
        <f>0.02954*M1510</f>
        <v>0</v>
      </c>
      <c r="Q1510" s="30"/>
      <c r="R1510" s="22" t="s">
        <v>5274</v>
      </c>
      <c r="S1510" s="22" t="s">
        <v>435</v>
      </c>
      <c r="T1510" s="21" t="str">
        <f>HYPERLINK("https://miland.ru/api/getInfo/image/5129b74d-88e7-11ec-a211-ac1f6b442185")</f>
        <v>https://miland.ru/api/getInfo/image/5129b74d-88e7-11ec-a211-ac1f6b442185</v>
      </c>
      <c r="U1510" s="21"/>
      <c r="V1510" s="21"/>
      <c r="W1510" s="21" t="s">
        <v>82</v>
      </c>
      <c r="X1510" s="21"/>
      <c r="Y1510" s="21"/>
      <c r="Z1510" s="21"/>
      <c r="AA1510" s="21" t="str">
        <f>HYPERLINK("https://miland.ru/api/getInfo/item/5129b74d-88e7-11ec-a211-ac1f6b442185")</f>
        <v>https://miland.ru/api/getInfo/item/5129b74d-88e7-11ec-a211-ac1f6b442185</v>
      </c>
      <c r="AB1510" s="21" t="s">
        <v>42</v>
      </c>
      <c r="AC1510" s="21" t="s">
        <v>5196</v>
      </c>
      <c r="AD1510" s="21"/>
    </row>
    <row r="1511" spans="2:30" s="1" customFormat="1" ht="96.3" customHeight="1" outlineLevel="7">
      <c r="B1511" s="57">
        <v>1155</v>
      </c>
      <c r="C1511" s="21" t="s">
        <v>5275</v>
      </c>
      <c r="D1511" s="72" t="s">
        <v>5276</v>
      </c>
      <c r="E1511" s="72"/>
      <c r="F1511" s="72"/>
      <c r="G1511" s="72"/>
      <c r="H1511" s="22" t="s">
        <v>5277</v>
      </c>
      <c r="I1511" s="27">
        <v>216</v>
      </c>
      <c r="J1511" s="22"/>
      <c r="K1511" s="20">
        <v>1</v>
      </c>
      <c r="L1511" s="32">
        <v>3997.9</v>
      </c>
      <c r="M1511" s="11"/>
      <c r="N1511" s="22">
        <f>L1511*M1511</f>
        <v>0</v>
      </c>
      <c r="O1511" s="25">
        <f>1.036*M1511</f>
        <v>0</v>
      </c>
      <c r="P1511" s="26">
        <f>0.02981*M1511</f>
        <v>0</v>
      </c>
      <c r="Q1511" s="30"/>
      <c r="R1511" s="22" t="s">
        <v>5278</v>
      </c>
      <c r="S1511" s="22"/>
      <c r="T1511" s="21" t="str">
        <f>HYPERLINK("https://miland.ru/api/getInfo/image/c60f68ca-49b7-11eb-a25e-ac1f6b442184")</f>
        <v>https://miland.ru/api/getInfo/image/c60f68ca-49b7-11eb-a25e-ac1f6b442184</v>
      </c>
      <c r="U1511" s="21"/>
      <c r="V1511" s="21"/>
      <c r="W1511" s="21" t="s">
        <v>82</v>
      </c>
      <c r="X1511" s="21"/>
      <c r="Y1511" s="21" t="s">
        <v>41</v>
      </c>
      <c r="Z1511" s="21"/>
      <c r="AA1511" s="21" t="str">
        <f>HYPERLINK("https://miland.ru/api/getInfo/item/c60f68ca-49b7-11eb-a25e-ac1f6b442184")</f>
        <v>https://miland.ru/api/getInfo/item/c60f68ca-49b7-11eb-a25e-ac1f6b442184</v>
      </c>
      <c r="AB1511" s="21" t="s">
        <v>42</v>
      </c>
      <c r="AC1511" s="21" t="s">
        <v>5187</v>
      </c>
      <c r="AD1511" s="21"/>
    </row>
    <row r="1512" spans="2:30" s="1" customFormat="1" ht="96.3" customHeight="1" outlineLevel="7">
      <c r="B1512" s="57">
        <v>1156</v>
      </c>
      <c r="C1512" s="21" t="s">
        <v>5279</v>
      </c>
      <c r="D1512" s="72" t="s">
        <v>5280</v>
      </c>
      <c r="E1512" s="72"/>
      <c r="F1512" s="72"/>
      <c r="G1512" s="72"/>
      <c r="H1512" s="22" t="s">
        <v>5281</v>
      </c>
      <c r="I1512" s="27">
        <v>254</v>
      </c>
      <c r="J1512" s="22"/>
      <c r="K1512" s="20">
        <v>1</v>
      </c>
      <c r="L1512" s="32">
        <v>3997.9</v>
      </c>
      <c r="M1512" s="11"/>
      <c r="N1512" s="22">
        <f>L1512*M1512</f>
        <v>0</v>
      </c>
      <c r="O1512" s="25">
        <f>0.942*M1512</f>
        <v>0</v>
      </c>
      <c r="P1512" s="29">
        <f>0.0307*M1512</f>
        <v>0</v>
      </c>
      <c r="Q1512" s="30"/>
      <c r="R1512" s="22" t="s">
        <v>5282</v>
      </c>
      <c r="S1512" s="22"/>
      <c r="T1512" s="21" t="str">
        <f>HYPERLINK("https://miland.ru/api/getInfo/image/d7a84d23-49c2-11eb-a25e-ac1f6b442184")</f>
        <v>https://miland.ru/api/getInfo/image/d7a84d23-49c2-11eb-a25e-ac1f6b442184</v>
      </c>
      <c r="U1512" s="21"/>
      <c r="V1512" s="21"/>
      <c r="W1512" s="21" t="s">
        <v>82</v>
      </c>
      <c r="X1512" s="21"/>
      <c r="Y1512" s="21"/>
      <c r="Z1512" s="21"/>
      <c r="AA1512" s="21" t="str">
        <f>HYPERLINK("https://miland.ru/api/getInfo/item/d7a84d23-49c2-11eb-a25e-ac1f6b442184")</f>
        <v>https://miland.ru/api/getInfo/item/d7a84d23-49c2-11eb-a25e-ac1f6b442184</v>
      </c>
      <c r="AB1512" s="21" t="s">
        <v>42</v>
      </c>
      <c r="AC1512" s="21" t="s">
        <v>5187</v>
      </c>
      <c r="AD1512" s="21"/>
    </row>
    <row r="1513" spans="2:30" s="1" customFormat="1" ht="96.3" customHeight="1" outlineLevel="7">
      <c r="B1513" s="57">
        <v>1157</v>
      </c>
      <c r="C1513" s="21" t="s">
        <v>5283</v>
      </c>
      <c r="D1513" s="72" t="s">
        <v>5284</v>
      </c>
      <c r="E1513" s="72"/>
      <c r="F1513" s="72"/>
      <c r="G1513" s="72"/>
      <c r="H1513" s="22" t="s">
        <v>5285</v>
      </c>
      <c r="I1513" s="27">
        <v>220</v>
      </c>
      <c r="J1513" s="22"/>
      <c r="K1513" s="20">
        <v>1</v>
      </c>
      <c r="L1513" s="32">
        <v>3997.9</v>
      </c>
      <c r="M1513" s="11"/>
      <c r="N1513" s="22">
        <f>L1513*M1513</f>
        <v>0</v>
      </c>
      <c r="O1513" s="25">
        <f>1.075*M1513</f>
        <v>0</v>
      </c>
      <c r="P1513" s="26">
        <f>0.02806*M1513</f>
        <v>0</v>
      </c>
      <c r="Q1513" s="30"/>
      <c r="R1513" s="22" t="s">
        <v>5286</v>
      </c>
      <c r="S1513" s="22" t="s">
        <v>435</v>
      </c>
      <c r="T1513" s="21" t="str">
        <f>HYPERLINK("https://miland.ru/api/getInfo/image/dff3d0e3-49b9-11eb-a25e-ac1f6b442184")</f>
        <v>https://miland.ru/api/getInfo/image/dff3d0e3-49b9-11eb-a25e-ac1f6b442184</v>
      </c>
      <c r="U1513" s="21"/>
      <c r="V1513" s="21"/>
      <c r="W1513" s="21" t="s">
        <v>82</v>
      </c>
      <c r="X1513" s="21"/>
      <c r="Y1513" s="21"/>
      <c r="Z1513" s="21"/>
      <c r="AA1513" s="21" t="str">
        <f>HYPERLINK("https://miland.ru/api/getInfo/item/dff3d0e3-49b9-11eb-a25e-ac1f6b442184")</f>
        <v>https://miland.ru/api/getInfo/item/dff3d0e3-49b9-11eb-a25e-ac1f6b442184</v>
      </c>
      <c r="AB1513" s="21" t="s">
        <v>42</v>
      </c>
      <c r="AC1513" s="21" t="s">
        <v>5187</v>
      </c>
      <c r="AD1513" s="21"/>
    </row>
    <row r="1514" spans="2:30" ht="12" customHeight="1" outlineLevel="6">
      <c r="B1514" s="70" t="s">
        <v>5201</v>
      </c>
      <c r="C1514" s="70"/>
      <c r="D1514" s="70"/>
      <c r="E1514" s="70"/>
      <c r="F1514" s="70"/>
      <c r="G1514" s="70"/>
    </row>
    <row r="1515" spans="2:30" s="1" customFormat="1" ht="96.3" customHeight="1" outlineLevel="7">
      <c r="B1515" s="57">
        <v>1158</v>
      </c>
      <c r="C1515" s="21" t="s">
        <v>5287</v>
      </c>
      <c r="D1515" s="72" t="s">
        <v>5288</v>
      </c>
      <c r="E1515" s="72"/>
      <c r="F1515" s="72"/>
      <c r="G1515" s="72"/>
      <c r="H1515" s="22" t="s">
        <v>5289</v>
      </c>
      <c r="I1515" s="27">
        <v>384</v>
      </c>
      <c r="J1515" s="22"/>
      <c r="K1515" s="20">
        <v>1</v>
      </c>
      <c r="L1515" s="32">
        <v>6598.68</v>
      </c>
      <c r="M1515" s="11"/>
      <c r="N1515" s="22">
        <f>L1515*M1515</f>
        <v>0</v>
      </c>
      <c r="O1515" s="25">
        <f>1.884*M1515</f>
        <v>0</v>
      </c>
      <c r="P1515" s="26">
        <f>0.02727*M1515</f>
        <v>0</v>
      </c>
      <c r="Q1515" s="30"/>
      <c r="R1515" s="22" t="s">
        <v>5290</v>
      </c>
      <c r="S1515" s="22" t="s">
        <v>435</v>
      </c>
      <c r="T1515" s="21" t="str">
        <f>HYPERLINK("https://miland.ru/api/getInfo/image/e96f3b63-49c4-11eb-a25e-ac1f6b442184")</f>
        <v>https://miland.ru/api/getInfo/image/e96f3b63-49c4-11eb-a25e-ac1f6b442184</v>
      </c>
      <c r="U1515" s="21"/>
      <c r="V1515" s="21"/>
      <c r="W1515" s="21" t="s">
        <v>82</v>
      </c>
      <c r="X1515" s="21"/>
      <c r="Y1515" s="21"/>
      <c r="Z1515" s="21"/>
      <c r="AA1515" s="21" t="str">
        <f>HYPERLINK("https://miland.ru/api/getInfo/item/e96f3b63-49c4-11eb-a25e-ac1f6b442184")</f>
        <v>https://miland.ru/api/getInfo/item/e96f3b63-49c4-11eb-a25e-ac1f6b442184</v>
      </c>
      <c r="AB1515" s="21" t="s">
        <v>42</v>
      </c>
      <c r="AC1515" s="21" t="s">
        <v>5291</v>
      </c>
      <c r="AD1515" s="21"/>
    </row>
    <row r="1516" spans="2:30" s="1" customFormat="1" ht="96.3" customHeight="1" outlineLevel="7">
      <c r="B1516" s="57">
        <v>1159</v>
      </c>
      <c r="C1516" s="21" t="s">
        <v>5292</v>
      </c>
      <c r="D1516" s="72" t="s">
        <v>5293</v>
      </c>
      <c r="E1516" s="72"/>
      <c r="F1516" s="72"/>
      <c r="G1516" s="72"/>
      <c r="H1516" s="22" t="s">
        <v>5294</v>
      </c>
      <c r="I1516" s="27">
        <v>317</v>
      </c>
      <c r="J1516" s="22"/>
      <c r="K1516" s="20">
        <v>1</v>
      </c>
      <c r="L1516" s="32">
        <v>6598.68</v>
      </c>
      <c r="M1516" s="11"/>
      <c r="N1516" s="22">
        <f>L1516*M1516</f>
        <v>0</v>
      </c>
      <c r="O1516" s="25">
        <f>1.699*M1516</f>
        <v>0</v>
      </c>
      <c r="P1516" s="26">
        <f>0.06281*M1516</f>
        <v>0</v>
      </c>
      <c r="Q1516" s="30"/>
      <c r="R1516" s="22" t="s">
        <v>5295</v>
      </c>
      <c r="S1516" s="22" t="s">
        <v>435</v>
      </c>
      <c r="T1516" s="21" t="str">
        <f>HYPERLINK("https://miland.ru/api/getInfo/image/a9719f17-88e7-11ec-a211-ac1f6b442185")</f>
        <v>https://miland.ru/api/getInfo/image/a9719f17-88e7-11ec-a211-ac1f6b442185</v>
      </c>
      <c r="U1516" s="21"/>
      <c r="V1516" s="21"/>
      <c r="W1516" s="21" t="s">
        <v>82</v>
      </c>
      <c r="X1516" s="21"/>
      <c r="Y1516" s="21" t="s">
        <v>41</v>
      </c>
      <c r="Z1516" s="21"/>
      <c r="AA1516" s="21" t="str">
        <f>HYPERLINK("https://miland.ru/api/getInfo/item/a9719f17-88e7-11ec-a211-ac1f6b442185")</f>
        <v>https://miland.ru/api/getInfo/item/a9719f17-88e7-11ec-a211-ac1f6b442185</v>
      </c>
      <c r="AB1516" s="21" t="s">
        <v>42</v>
      </c>
      <c r="AC1516" s="21" t="s">
        <v>5210</v>
      </c>
      <c r="AD1516" s="21"/>
    </row>
    <row r="1517" spans="2:30" s="1" customFormat="1" ht="96.3" customHeight="1" outlineLevel="7">
      <c r="B1517" s="57">
        <v>1160</v>
      </c>
      <c r="C1517" s="21" t="s">
        <v>5296</v>
      </c>
      <c r="D1517" s="72" t="s">
        <v>5297</v>
      </c>
      <c r="E1517" s="72"/>
      <c r="F1517" s="72"/>
      <c r="G1517" s="72"/>
      <c r="H1517" s="22" t="s">
        <v>5298</v>
      </c>
      <c r="I1517" s="27">
        <v>342</v>
      </c>
      <c r="J1517" s="22"/>
      <c r="K1517" s="20">
        <v>1</v>
      </c>
      <c r="L1517" s="32">
        <v>6598.68</v>
      </c>
      <c r="M1517" s="11"/>
      <c r="N1517" s="22">
        <f>L1517*M1517</f>
        <v>0</v>
      </c>
      <c r="O1517" s="25">
        <f>1.838*M1517</f>
        <v>0</v>
      </c>
      <c r="P1517" s="26">
        <f>0.06716*M1517</f>
        <v>0</v>
      </c>
      <c r="Q1517" s="30"/>
      <c r="R1517" s="22" t="s">
        <v>5299</v>
      </c>
      <c r="S1517" s="22" t="s">
        <v>435</v>
      </c>
      <c r="T1517" s="21" t="str">
        <f>HYPERLINK("https://miland.ru/api/getInfo/image/fcbf201a-88e3-11ec-a211-ac1f6b442185")</f>
        <v>https://miland.ru/api/getInfo/image/fcbf201a-88e3-11ec-a211-ac1f6b442185</v>
      </c>
      <c r="U1517" s="21"/>
      <c r="V1517" s="21"/>
      <c r="W1517" s="21" t="s">
        <v>82</v>
      </c>
      <c r="X1517" s="21"/>
      <c r="Y1517" s="21" t="s">
        <v>41</v>
      </c>
      <c r="Z1517" s="21"/>
      <c r="AA1517" s="21" t="str">
        <f>HYPERLINK("https://miland.ru/api/getInfo/item/fcbf201a-88e3-11ec-a211-ac1f6b442185")</f>
        <v>https://miland.ru/api/getInfo/item/fcbf201a-88e3-11ec-a211-ac1f6b442185</v>
      </c>
      <c r="AB1517" s="21" t="s">
        <v>42</v>
      </c>
      <c r="AC1517" s="21" t="s">
        <v>5210</v>
      </c>
      <c r="AD1517" s="21"/>
    </row>
    <row r="1518" spans="2:30" ht="12" customHeight="1" outlineLevel="5">
      <c r="B1518" s="70" t="s">
        <v>5300</v>
      </c>
      <c r="C1518" s="70"/>
      <c r="D1518" s="70"/>
      <c r="E1518" s="70"/>
      <c r="F1518" s="70"/>
      <c r="G1518" s="70"/>
    </row>
    <row r="1519" spans="2:30" ht="12" customHeight="1" outlineLevel="6">
      <c r="B1519" s="70" t="s">
        <v>5301</v>
      </c>
      <c r="C1519" s="70"/>
      <c r="D1519" s="70"/>
      <c r="E1519" s="70"/>
      <c r="F1519" s="70"/>
      <c r="G1519" s="70"/>
    </row>
    <row r="1520" spans="2:30" s="1" customFormat="1" ht="96.3" customHeight="1" outlineLevel="7">
      <c r="B1520" s="57">
        <v>1161</v>
      </c>
      <c r="C1520" s="21" t="s">
        <v>5302</v>
      </c>
      <c r="D1520" s="72" t="s">
        <v>5303</v>
      </c>
      <c r="E1520" s="72"/>
      <c r="F1520" s="72"/>
      <c r="G1520" s="72"/>
      <c r="H1520" s="22" t="s">
        <v>5304</v>
      </c>
      <c r="I1520" s="23" t="s">
        <v>36</v>
      </c>
      <c r="J1520" s="22"/>
      <c r="K1520" s="20">
        <v>1</v>
      </c>
      <c r="L1520" s="32">
        <v>1799.32</v>
      </c>
      <c r="M1520" s="11"/>
      <c r="N1520" s="22">
        <f>L1520*M1520</f>
        <v>0</v>
      </c>
      <c r="O1520" s="25">
        <f>0.252*M1520</f>
        <v>0</v>
      </c>
      <c r="P1520" s="29">
        <f>0.0077*M1520</f>
        <v>0</v>
      </c>
      <c r="Q1520" s="30"/>
      <c r="R1520" s="22" t="s">
        <v>5305</v>
      </c>
      <c r="S1520" s="22"/>
      <c r="T1520" s="21" t="str">
        <f>HYPERLINK("https://miland.ru/api/getInfo/image/b3c6deed-0fbe-11f0-a279-00155d82e908")</f>
        <v>https://miland.ru/api/getInfo/image/b3c6deed-0fbe-11f0-a279-00155d82e908</v>
      </c>
      <c r="U1520" s="21"/>
      <c r="V1520" s="21"/>
      <c r="W1520" s="21" t="s">
        <v>82</v>
      </c>
      <c r="X1520" s="21"/>
      <c r="Y1520" s="21" t="s">
        <v>41</v>
      </c>
      <c r="Z1520" s="21"/>
      <c r="AA1520" s="21" t="str">
        <f>HYPERLINK("https://miland.ru/api/getInfo/item/b3c6deed-0fbe-11f0-a279-00155d82e908")</f>
        <v>https://miland.ru/api/getInfo/item/b3c6deed-0fbe-11f0-a279-00155d82e908</v>
      </c>
      <c r="AB1520" s="21" t="s">
        <v>42</v>
      </c>
      <c r="AC1520" s="21"/>
      <c r="AD1520" s="21"/>
    </row>
    <row r="1521" spans="2:30" s="1" customFormat="1" ht="96.3" customHeight="1" outlineLevel="7">
      <c r="B1521" s="57">
        <v>1162</v>
      </c>
      <c r="C1521" s="21" t="s">
        <v>5306</v>
      </c>
      <c r="D1521" s="72" t="s">
        <v>5307</v>
      </c>
      <c r="E1521" s="72"/>
      <c r="F1521" s="72"/>
      <c r="G1521" s="72"/>
      <c r="H1521" s="22" t="s">
        <v>5308</v>
      </c>
      <c r="I1521" s="23" t="s">
        <v>36</v>
      </c>
      <c r="J1521" s="22"/>
      <c r="K1521" s="20">
        <v>1</v>
      </c>
      <c r="L1521" s="32">
        <v>2588.85</v>
      </c>
      <c r="M1521" s="11"/>
      <c r="N1521" s="22">
        <f>L1521*M1521</f>
        <v>0</v>
      </c>
      <c r="O1521" s="25">
        <f>0.408*M1521</f>
        <v>0</v>
      </c>
      <c r="P1521" s="26">
        <f>0.01244*M1521</f>
        <v>0</v>
      </c>
      <c r="Q1521" s="30"/>
      <c r="R1521" s="22" t="s">
        <v>5309</v>
      </c>
      <c r="S1521" s="22"/>
      <c r="T1521" s="21" t="str">
        <f>HYPERLINK("https://miland.ru/api/getInfo/image/5c71c63b-0fc0-11f0-a279-00155d82e908")</f>
        <v>https://miland.ru/api/getInfo/image/5c71c63b-0fc0-11f0-a279-00155d82e908</v>
      </c>
      <c r="U1521" s="21"/>
      <c r="V1521" s="21"/>
      <c r="W1521" s="21" t="s">
        <v>82</v>
      </c>
      <c r="X1521" s="21"/>
      <c r="Y1521" s="21" t="s">
        <v>41</v>
      </c>
      <c r="Z1521" s="21"/>
      <c r="AA1521" s="21" t="str">
        <f>HYPERLINK("https://miland.ru/api/getInfo/item/5c71c63b-0fc0-11f0-a279-00155d82e908")</f>
        <v>https://miland.ru/api/getInfo/item/5c71c63b-0fc0-11f0-a279-00155d82e908</v>
      </c>
      <c r="AB1521" s="21" t="s">
        <v>42</v>
      </c>
      <c r="AC1521" s="21"/>
      <c r="AD1521" s="21"/>
    </row>
    <row r="1522" spans="2:30" s="1" customFormat="1" ht="96.3" customHeight="1" outlineLevel="7">
      <c r="B1522" s="57">
        <v>1163</v>
      </c>
      <c r="C1522" s="21" t="s">
        <v>5310</v>
      </c>
      <c r="D1522" s="72" t="s">
        <v>5311</v>
      </c>
      <c r="E1522" s="72"/>
      <c r="F1522" s="72"/>
      <c r="G1522" s="72"/>
      <c r="H1522" s="22" t="s">
        <v>5312</v>
      </c>
      <c r="I1522" s="27">
        <v>489</v>
      </c>
      <c r="J1522" s="22"/>
      <c r="K1522" s="20">
        <v>1</v>
      </c>
      <c r="L1522" s="32">
        <v>1799.32</v>
      </c>
      <c r="M1522" s="11"/>
      <c r="N1522" s="22">
        <f>L1522*M1522</f>
        <v>0</v>
      </c>
      <c r="O1522" s="25">
        <f>0.253*M1522</f>
        <v>0</v>
      </c>
      <c r="P1522" s="26">
        <f>0.00738*M1522</f>
        <v>0</v>
      </c>
      <c r="Q1522" s="30"/>
      <c r="R1522" s="22" t="s">
        <v>5313</v>
      </c>
      <c r="S1522" s="22"/>
      <c r="T1522" s="21" t="str">
        <f>HYPERLINK("https://miland.ru/api/getInfo/image/5aab8c6d-0fc1-11f0-a279-00155d82e908")</f>
        <v>https://miland.ru/api/getInfo/image/5aab8c6d-0fc1-11f0-a279-00155d82e908</v>
      </c>
      <c r="U1522" s="21"/>
      <c r="V1522" s="21"/>
      <c r="W1522" s="21" t="s">
        <v>82</v>
      </c>
      <c r="X1522" s="21"/>
      <c r="Y1522" s="21" t="s">
        <v>41</v>
      </c>
      <c r="Z1522" s="21"/>
      <c r="AA1522" s="21" t="str">
        <f>HYPERLINK("https://miland.ru/api/getInfo/item/5aab8c6d-0fc1-11f0-a279-00155d82e908")</f>
        <v>https://miland.ru/api/getInfo/item/5aab8c6d-0fc1-11f0-a279-00155d82e908</v>
      </c>
      <c r="AB1522" s="21" t="s">
        <v>42</v>
      </c>
      <c r="AC1522" s="21"/>
      <c r="AD1522" s="21"/>
    </row>
    <row r="1523" spans="2:30" s="1" customFormat="1" ht="96.3" customHeight="1" outlineLevel="7">
      <c r="B1523" s="57">
        <v>1164</v>
      </c>
      <c r="C1523" s="21" t="s">
        <v>5314</v>
      </c>
      <c r="D1523" s="72" t="s">
        <v>5315</v>
      </c>
      <c r="E1523" s="72"/>
      <c r="F1523" s="72"/>
      <c r="G1523" s="72"/>
      <c r="H1523" s="22" t="s">
        <v>5316</v>
      </c>
      <c r="I1523" s="27">
        <v>179</v>
      </c>
      <c r="J1523" s="22"/>
      <c r="K1523" s="20">
        <v>1</v>
      </c>
      <c r="L1523" s="32">
        <v>2588.85</v>
      </c>
      <c r="M1523" s="11"/>
      <c r="N1523" s="22">
        <f>L1523*M1523</f>
        <v>0</v>
      </c>
      <c r="O1523" s="25">
        <f>0.436*M1523</f>
        <v>0</v>
      </c>
      <c r="P1523" s="26">
        <f>0.01262*M1523</f>
        <v>0</v>
      </c>
      <c r="Q1523" s="30"/>
      <c r="R1523" s="22" t="s">
        <v>5317</v>
      </c>
      <c r="S1523" s="22"/>
      <c r="T1523" s="21" t="str">
        <f>HYPERLINK("https://miland.ru/api/getInfo/image/d5f99d09-0fc1-11f0-a279-00155d82e908")</f>
        <v>https://miland.ru/api/getInfo/image/d5f99d09-0fc1-11f0-a279-00155d82e908</v>
      </c>
      <c r="U1523" s="21"/>
      <c r="V1523" s="21"/>
      <c r="W1523" s="21" t="s">
        <v>82</v>
      </c>
      <c r="X1523" s="21"/>
      <c r="Y1523" s="21" t="s">
        <v>41</v>
      </c>
      <c r="Z1523" s="21"/>
      <c r="AA1523" s="21" t="str">
        <f>HYPERLINK("https://miland.ru/api/getInfo/item/d5f99d09-0fc1-11f0-a279-00155d82e908")</f>
        <v>https://miland.ru/api/getInfo/item/d5f99d09-0fc1-11f0-a279-00155d82e908</v>
      </c>
      <c r="AB1523" s="21" t="s">
        <v>42</v>
      </c>
      <c r="AC1523" s="21"/>
      <c r="AD1523" s="21"/>
    </row>
    <row r="1524" spans="2:30" ht="12" customHeight="1" outlineLevel="6">
      <c r="B1524" s="70" t="s">
        <v>5318</v>
      </c>
      <c r="C1524" s="70"/>
      <c r="D1524" s="70"/>
      <c r="E1524" s="70"/>
      <c r="F1524" s="70"/>
      <c r="G1524" s="70"/>
    </row>
    <row r="1525" spans="2:30" s="1" customFormat="1" ht="96.3" customHeight="1" outlineLevel="7">
      <c r="B1525" s="57">
        <v>1165</v>
      </c>
      <c r="C1525" s="21" t="s">
        <v>5319</v>
      </c>
      <c r="D1525" s="72" t="s">
        <v>5320</v>
      </c>
      <c r="E1525" s="72"/>
      <c r="F1525" s="72"/>
      <c r="G1525" s="72"/>
      <c r="H1525" s="22" t="s">
        <v>5321</v>
      </c>
      <c r="I1525" s="23" t="s">
        <v>36</v>
      </c>
      <c r="J1525" s="22"/>
      <c r="K1525" s="20">
        <v>1</v>
      </c>
      <c r="L1525" s="32">
        <v>2626.19</v>
      </c>
      <c r="M1525" s="11"/>
      <c r="N1525" s="22">
        <f>L1525*M1525</f>
        <v>0</v>
      </c>
      <c r="O1525" s="28">
        <f>0.34*M1525</f>
        <v>0</v>
      </c>
      <c r="P1525" s="26">
        <f>0.01153*M1525</f>
        <v>0</v>
      </c>
      <c r="Q1525" s="30"/>
      <c r="R1525" s="22" t="s">
        <v>5322</v>
      </c>
      <c r="S1525" s="22"/>
      <c r="T1525" s="21" t="str">
        <f>HYPERLINK("https://miland.ru/api/getInfo/image/2114a651-0fc3-11f0-a279-00155d82e908")</f>
        <v>https://miland.ru/api/getInfo/image/2114a651-0fc3-11f0-a279-00155d82e908</v>
      </c>
      <c r="U1525" s="21"/>
      <c r="V1525" s="21"/>
      <c r="W1525" s="21" t="s">
        <v>82</v>
      </c>
      <c r="X1525" s="21"/>
      <c r="Y1525" s="21" t="s">
        <v>41</v>
      </c>
      <c r="Z1525" s="21"/>
      <c r="AA1525" s="21" t="str">
        <f>HYPERLINK("https://miland.ru/api/getInfo/item/2114a651-0fc3-11f0-a279-00155d82e908")</f>
        <v>https://miland.ru/api/getInfo/item/2114a651-0fc3-11f0-a279-00155d82e908</v>
      </c>
      <c r="AB1525" s="21" t="s">
        <v>42</v>
      </c>
      <c r="AC1525" s="21"/>
      <c r="AD1525" s="21"/>
    </row>
    <row r="1526" spans="2:30" s="1" customFormat="1" ht="96.3" customHeight="1" outlineLevel="7">
      <c r="B1526" s="57">
        <v>1166</v>
      </c>
      <c r="C1526" s="21" t="s">
        <v>5323</v>
      </c>
      <c r="D1526" s="72" t="s">
        <v>5324</v>
      </c>
      <c r="E1526" s="72"/>
      <c r="F1526" s="72"/>
      <c r="G1526" s="72"/>
      <c r="H1526" s="22" t="s">
        <v>5325</v>
      </c>
      <c r="I1526" s="23" t="s">
        <v>36</v>
      </c>
      <c r="J1526" s="22"/>
      <c r="K1526" s="20">
        <v>1</v>
      </c>
      <c r="L1526" s="32">
        <v>1871.95</v>
      </c>
      <c r="M1526" s="11"/>
      <c r="N1526" s="22">
        <f>L1526*M1526</f>
        <v>0</v>
      </c>
      <c r="O1526" s="25">
        <f>0.225*M1526</f>
        <v>0</v>
      </c>
      <c r="P1526" s="26">
        <f>0.00754*M1526</f>
        <v>0</v>
      </c>
      <c r="Q1526" s="30"/>
      <c r="R1526" s="22" t="s">
        <v>5326</v>
      </c>
      <c r="S1526" s="22"/>
      <c r="T1526" s="21" t="str">
        <f>HYPERLINK("https://miland.ru/api/getInfo/image/d304d92e-0fc2-11f0-a279-00155d82e908")</f>
        <v>https://miland.ru/api/getInfo/image/d304d92e-0fc2-11f0-a279-00155d82e908</v>
      </c>
      <c r="U1526" s="21"/>
      <c r="V1526" s="21"/>
      <c r="W1526" s="21" t="s">
        <v>82</v>
      </c>
      <c r="X1526" s="21"/>
      <c r="Y1526" s="21" t="s">
        <v>41</v>
      </c>
      <c r="Z1526" s="21"/>
      <c r="AA1526" s="21" t="str">
        <f>HYPERLINK("https://miland.ru/api/getInfo/item/d304d92e-0fc2-11f0-a279-00155d82e908")</f>
        <v>https://miland.ru/api/getInfo/item/d304d92e-0fc2-11f0-a279-00155d82e908</v>
      </c>
      <c r="AB1526" s="21" t="s">
        <v>42</v>
      </c>
      <c r="AC1526" s="21"/>
      <c r="AD1526" s="21"/>
    </row>
    <row r="1527" spans="2:30" s="1" customFormat="1" ht="96.3" customHeight="1" outlineLevel="7">
      <c r="B1527" s="57">
        <v>1167</v>
      </c>
      <c r="C1527" s="21" t="s">
        <v>5327</v>
      </c>
      <c r="D1527" s="72" t="s">
        <v>5328</v>
      </c>
      <c r="E1527" s="72"/>
      <c r="F1527" s="72"/>
      <c r="G1527" s="72"/>
      <c r="H1527" s="22" t="s">
        <v>5329</v>
      </c>
      <c r="I1527" s="27">
        <v>482</v>
      </c>
      <c r="J1527" s="22"/>
      <c r="K1527" s="20">
        <v>1</v>
      </c>
      <c r="L1527" s="32">
        <v>1871.95</v>
      </c>
      <c r="M1527" s="11"/>
      <c r="N1527" s="22">
        <f>L1527*M1527</f>
        <v>0</v>
      </c>
      <c r="O1527" s="25">
        <f>0.222*M1527</f>
        <v>0</v>
      </c>
      <c r="P1527" s="26">
        <f>0.00763*M1527</f>
        <v>0</v>
      </c>
      <c r="Q1527" s="30"/>
      <c r="R1527" s="22" t="s">
        <v>5330</v>
      </c>
      <c r="S1527" s="22"/>
      <c r="T1527" s="21" t="str">
        <f>HYPERLINK("https://miland.ru/api/getInfo/image/67ef32dc-0fc3-11f0-a279-00155d82e908")</f>
        <v>https://miland.ru/api/getInfo/image/67ef32dc-0fc3-11f0-a279-00155d82e908</v>
      </c>
      <c r="U1527" s="21"/>
      <c r="V1527" s="21"/>
      <c r="W1527" s="21" t="s">
        <v>82</v>
      </c>
      <c r="X1527" s="21"/>
      <c r="Y1527" s="21" t="s">
        <v>41</v>
      </c>
      <c r="Z1527" s="21"/>
      <c r="AA1527" s="21" t="str">
        <f>HYPERLINK("https://miland.ru/api/getInfo/item/67ef32dc-0fc3-11f0-a279-00155d82e908")</f>
        <v>https://miland.ru/api/getInfo/item/67ef32dc-0fc3-11f0-a279-00155d82e908</v>
      </c>
      <c r="AB1527" s="21" t="s">
        <v>42</v>
      </c>
      <c r="AC1527" s="21"/>
      <c r="AD1527" s="21"/>
    </row>
    <row r="1528" spans="2:30" s="1" customFormat="1" ht="96.3" customHeight="1" outlineLevel="7">
      <c r="B1528" s="57">
        <v>1168</v>
      </c>
      <c r="C1528" s="21" t="s">
        <v>5331</v>
      </c>
      <c r="D1528" s="72" t="s">
        <v>5332</v>
      </c>
      <c r="E1528" s="72"/>
      <c r="F1528" s="72"/>
      <c r="G1528" s="72"/>
      <c r="H1528" s="22" t="s">
        <v>5333</v>
      </c>
      <c r="I1528" s="27">
        <v>140</v>
      </c>
      <c r="J1528" s="22"/>
      <c r="K1528" s="20">
        <v>1</v>
      </c>
      <c r="L1528" s="32">
        <v>2626.19</v>
      </c>
      <c r="M1528" s="11"/>
      <c r="N1528" s="22">
        <f>L1528*M1528</f>
        <v>0</v>
      </c>
      <c r="O1528" s="25">
        <f>0.348*M1528</f>
        <v>0</v>
      </c>
      <c r="P1528" s="26">
        <f>0.00971*M1528</f>
        <v>0</v>
      </c>
      <c r="Q1528" s="30"/>
      <c r="R1528" s="22" t="s">
        <v>5334</v>
      </c>
      <c r="S1528" s="22"/>
      <c r="T1528" s="21" t="str">
        <f>HYPERLINK("https://miland.ru/api/getInfo/image/aecbb0d0-0fc3-11f0-a279-00155d82e908")</f>
        <v>https://miland.ru/api/getInfo/image/aecbb0d0-0fc3-11f0-a279-00155d82e908</v>
      </c>
      <c r="U1528" s="21"/>
      <c r="V1528" s="21"/>
      <c r="W1528" s="21" t="s">
        <v>82</v>
      </c>
      <c r="X1528" s="21"/>
      <c r="Y1528" s="21" t="s">
        <v>41</v>
      </c>
      <c r="Z1528" s="21"/>
      <c r="AA1528" s="21" t="str">
        <f>HYPERLINK("https://miland.ru/api/getInfo/item/aecbb0d0-0fc3-11f0-a279-00155d82e908")</f>
        <v>https://miland.ru/api/getInfo/item/aecbb0d0-0fc3-11f0-a279-00155d82e908</v>
      </c>
      <c r="AB1528" s="21" t="s">
        <v>42</v>
      </c>
      <c r="AC1528" s="21"/>
      <c r="AD1528" s="21"/>
    </row>
    <row r="1529" spans="2:30" ht="12" customHeight="1" outlineLevel="6">
      <c r="B1529" s="70" t="s">
        <v>5335</v>
      </c>
      <c r="C1529" s="70"/>
      <c r="D1529" s="70"/>
      <c r="E1529" s="70"/>
      <c r="F1529" s="70"/>
      <c r="G1529" s="70"/>
    </row>
    <row r="1530" spans="2:30" s="1" customFormat="1" ht="96.3" customHeight="1" outlineLevel="7">
      <c r="B1530" s="57">
        <v>1169</v>
      </c>
      <c r="C1530" s="21" t="s">
        <v>5336</v>
      </c>
      <c r="D1530" s="72" t="s">
        <v>5337</v>
      </c>
      <c r="E1530" s="72"/>
      <c r="F1530" s="72"/>
      <c r="G1530" s="72"/>
      <c r="H1530" s="22" t="s">
        <v>5338</v>
      </c>
      <c r="I1530" s="27">
        <v>346</v>
      </c>
      <c r="J1530" s="22"/>
      <c r="K1530" s="20">
        <v>1</v>
      </c>
      <c r="L1530" s="32">
        <v>1799.32</v>
      </c>
      <c r="M1530" s="11"/>
      <c r="N1530" s="22">
        <f>L1530*M1530</f>
        <v>0</v>
      </c>
      <c r="O1530" s="25">
        <f>0.256*M1530</f>
        <v>0</v>
      </c>
      <c r="P1530" s="26">
        <f>0.00759*M1530</f>
        <v>0</v>
      </c>
      <c r="Q1530" s="30"/>
      <c r="R1530" s="22" t="s">
        <v>5339</v>
      </c>
      <c r="S1530" s="22"/>
      <c r="T1530" s="21" t="str">
        <f>HYPERLINK("https://miland.ru/api/getInfo/image/2e66bdff-0fc2-11f0-a279-00155d82e908")</f>
        <v>https://miland.ru/api/getInfo/image/2e66bdff-0fc2-11f0-a279-00155d82e908</v>
      </c>
      <c r="U1530" s="21"/>
      <c r="V1530" s="21"/>
      <c r="W1530" s="21" t="s">
        <v>82</v>
      </c>
      <c r="X1530" s="21"/>
      <c r="Y1530" s="21" t="s">
        <v>41</v>
      </c>
      <c r="Z1530" s="21"/>
      <c r="AA1530" s="21" t="str">
        <f>HYPERLINK("https://miland.ru/api/getInfo/item/2e66bdff-0fc2-11f0-a279-00155d82e908")</f>
        <v>https://miland.ru/api/getInfo/item/2e66bdff-0fc2-11f0-a279-00155d82e908</v>
      </c>
      <c r="AB1530" s="21" t="s">
        <v>42</v>
      </c>
      <c r="AC1530" s="21"/>
      <c r="AD1530" s="21"/>
    </row>
    <row r="1531" spans="2:30" s="1" customFormat="1" ht="96.3" customHeight="1" outlineLevel="7">
      <c r="B1531" s="57">
        <v>1170</v>
      </c>
      <c r="C1531" s="21" t="s">
        <v>5340</v>
      </c>
      <c r="D1531" s="72" t="s">
        <v>5341</v>
      </c>
      <c r="E1531" s="72"/>
      <c r="F1531" s="72"/>
      <c r="G1531" s="72"/>
      <c r="H1531" s="22" t="s">
        <v>5342</v>
      </c>
      <c r="I1531" s="27">
        <v>188</v>
      </c>
      <c r="J1531" s="22"/>
      <c r="K1531" s="20">
        <v>1</v>
      </c>
      <c r="L1531" s="32">
        <v>2588.85</v>
      </c>
      <c r="M1531" s="11"/>
      <c r="N1531" s="22">
        <f>L1531*M1531</f>
        <v>0</v>
      </c>
      <c r="O1531" s="25">
        <f>0.421*M1531</f>
        <v>0</v>
      </c>
      <c r="P1531" s="26">
        <f>0.01261*M1531</f>
        <v>0</v>
      </c>
      <c r="Q1531" s="30"/>
      <c r="R1531" s="22" t="s">
        <v>5343</v>
      </c>
      <c r="S1531" s="22"/>
      <c r="T1531" s="21" t="str">
        <f>HYPERLINK("https://miland.ru/api/getInfo/image/7da38fa8-0fc2-11f0-a279-00155d82e908")</f>
        <v>https://miland.ru/api/getInfo/image/7da38fa8-0fc2-11f0-a279-00155d82e908</v>
      </c>
      <c r="U1531" s="21"/>
      <c r="V1531" s="21"/>
      <c r="W1531" s="21" t="s">
        <v>82</v>
      </c>
      <c r="X1531" s="21"/>
      <c r="Y1531" s="21" t="s">
        <v>41</v>
      </c>
      <c r="Z1531" s="21"/>
      <c r="AA1531" s="21" t="str">
        <f>HYPERLINK("https://miland.ru/api/getInfo/item/7da38fa8-0fc2-11f0-a279-00155d82e908")</f>
        <v>https://miland.ru/api/getInfo/item/7da38fa8-0fc2-11f0-a279-00155d82e908</v>
      </c>
      <c r="AB1531" s="21" t="s">
        <v>42</v>
      </c>
      <c r="AC1531" s="21"/>
      <c r="AD1531" s="21"/>
    </row>
    <row r="1532" spans="2:30" ht="12" customHeight="1" outlineLevel="6">
      <c r="B1532" s="70" t="s">
        <v>5344</v>
      </c>
      <c r="C1532" s="70"/>
      <c r="D1532" s="70"/>
      <c r="E1532" s="70"/>
      <c r="F1532" s="70"/>
      <c r="G1532" s="70"/>
    </row>
    <row r="1533" spans="2:30" s="1" customFormat="1" ht="96.3" customHeight="1" outlineLevel="7">
      <c r="B1533" s="57">
        <v>1171</v>
      </c>
      <c r="C1533" s="21" t="s">
        <v>5345</v>
      </c>
      <c r="D1533" s="72" t="s">
        <v>5346</v>
      </c>
      <c r="E1533" s="72"/>
      <c r="F1533" s="72"/>
      <c r="G1533" s="72"/>
      <c r="H1533" s="22" t="s">
        <v>5347</v>
      </c>
      <c r="I1533" s="27">
        <v>9</v>
      </c>
      <c r="J1533" s="22"/>
      <c r="K1533" s="20">
        <v>1</v>
      </c>
      <c r="L1533" s="32">
        <v>1046.98</v>
      </c>
      <c r="M1533" s="11"/>
      <c r="N1533" s="22">
        <f>L1533*M1533</f>
        <v>0</v>
      </c>
      <c r="O1533" s="25">
        <f>0.231*M1533</f>
        <v>0</v>
      </c>
      <c r="P1533" s="26">
        <f>0.00611*M1533</f>
        <v>0</v>
      </c>
      <c r="Q1533" s="30"/>
      <c r="R1533" s="22" t="s">
        <v>5348</v>
      </c>
      <c r="S1533" s="22"/>
      <c r="T1533" s="21" t="str">
        <f>HYPERLINK("https://miland.ru/api/getInfo/image/a8af6f1f-ccc3-11ee-a25a-00155d82e908")</f>
        <v>https://miland.ru/api/getInfo/image/a8af6f1f-ccc3-11ee-a25a-00155d82e908</v>
      </c>
      <c r="U1533" s="21"/>
      <c r="V1533" s="21"/>
      <c r="W1533" s="21" t="s">
        <v>82</v>
      </c>
      <c r="X1533" s="21" t="s">
        <v>307</v>
      </c>
      <c r="Y1533" s="21" t="s">
        <v>41</v>
      </c>
      <c r="Z1533" s="21"/>
      <c r="AA1533" s="21" t="str">
        <f>HYPERLINK("https://miland.ru/api/getInfo/item/a8af6f1f-ccc3-11ee-a25a-00155d82e908")</f>
        <v>https://miland.ru/api/getInfo/item/a8af6f1f-ccc3-11ee-a25a-00155d82e908</v>
      </c>
      <c r="AB1533" s="21" t="s">
        <v>42</v>
      </c>
      <c r="AC1533" s="21"/>
      <c r="AD1533" s="21"/>
    </row>
    <row r="1534" spans="2:30" s="1" customFormat="1" ht="96.3" customHeight="1" outlineLevel="7">
      <c r="B1534" s="57">
        <v>1172</v>
      </c>
      <c r="C1534" s="21" t="s">
        <v>5349</v>
      </c>
      <c r="D1534" s="72" t="s">
        <v>5350</v>
      </c>
      <c r="E1534" s="72"/>
      <c r="F1534" s="72"/>
      <c r="G1534" s="72"/>
      <c r="H1534" s="22" t="s">
        <v>5351</v>
      </c>
      <c r="I1534" s="27">
        <v>101</v>
      </c>
      <c r="J1534" s="22"/>
      <c r="K1534" s="20">
        <v>1</v>
      </c>
      <c r="L1534" s="32">
        <v>1513.28</v>
      </c>
      <c r="M1534" s="11"/>
      <c r="N1534" s="22">
        <f>L1534*M1534</f>
        <v>0</v>
      </c>
      <c r="O1534" s="25">
        <f>0.122*M1534</f>
        <v>0</v>
      </c>
      <c r="P1534" s="26">
        <f>0.00298*M1534</f>
        <v>0</v>
      </c>
      <c r="Q1534" s="30"/>
      <c r="R1534" s="22" t="s">
        <v>5352</v>
      </c>
      <c r="S1534" s="22" t="s">
        <v>435</v>
      </c>
      <c r="T1534" s="21" t="str">
        <f>HYPERLINK("https://miland.ru/api/getInfo/image/be3a1718-ccc3-11ee-a25a-00155d82e908")</f>
        <v>https://miland.ru/api/getInfo/image/be3a1718-ccc3-11ee-a25a-00155d82e908</v>
      </c>
      <c r="U1534" s="21"/>
      <c r="V1534" s="21"/>
      <c r="W1534" s="21" t="s">
        <v>82</v>
      </c>
      <c r="X1534" s="21" t="s">
        <v>307</v>
      </c>
      <c r="Y1534" s="21" t="s">
        <v>41</v>
      </c>
      <c r="Z1534" s="21"/>
      <c r="AA1534" s="21" t="str">
        <f>HYPERLINK("https://miland.ru/api/getInfo/item/be3a1718-ccc3-11ee-a25a-00155d82e908")</f>
        <v>https://miland.ru/api/getInfo/item/be3a1718-ccc3-11ee-a25a-00155d82e908</v>
      </c>
      <c r="AB1534" s="21" t="s">
        <v>42</v>
      </c>
      <c r="AC1534" s="21"/>
      <c r="AD1534" s="21"/>
    </row>
    <row r="1535" spans="2:30" ht="12" customHeight="1" outlineLevel="5">
      <c r="B1535" s="70" t="s">
        <v>5353</v>
      </c>
      <c r="C1535" s="70"/>
      <c r="D1535" s="70"/>
      <c r="E1535" s="70"/>
      <c r="F1535" s="70"/>
      <c r="G1535" s="70"/>
    </row>
    <row r="1536" spans="2:30" ht="12" customHeight="1" outlineLevel="6">
      <c r="B1536" s="70" t="s">
        <v>5354</v>
      </c>
      <c r="C1536" s="70"/>
      <c r="D1536" s="70"/>
      <c r="E1536" s="70"/>
      <c r="F1536" s="70"/>
      <c r="G1536" s="70"/>
    </row>
    <row r="1537" spans="2:31" s="1" customFormat="1" ht="96.3" customHeight="1" outlineLevel="7">
      <c r="B1537" s="58">
        <v>1173</v>
      </c>
      <c r="C1537" s="7" t="s">
        <v>5355</v>
      </c>
      <c r="D1537" s="71" t="s">
        <v>5356</v>
      </c>
      <c r="E1537" s="71"/>
      <c r="F1537" s="71"/>
      <c r="G1537" s="71"/>
      <c r="H1537" s="8" t="s">
        <v>5357</v>
      </c>
      <c r="I1537" s="14">
        <v>447</v>
      </c>
      <c r="J1537" s="8"/>
      <c r="K1537" s="6">
        <v>1</v>
      </c>
      <c r="L1537" s="10">
        <v>665.66</v>
      </c>
      <c r="M1537" s="11"/>
      <c r="N1537" s="8">
        <f>L1537*M1537</f>
        <v>0</v>
      </c>
      <c r="O1537" s="12">
        <f>0.318*M1537</f>
        <v>0</v>
      </c>
      <c r="P1537" s="13">
        <f>0.00268*M1537</f>
        <v>0</v>
      </c>
      <c r="Q1537" s="17" t="s">
        <v>37</v>
      </c>
      <c r="R1537" s="8" t="s">
        <v>5358</v>
      </c>
      <c r="S1537" s="8"/>
      <c r="T1537" s="7" t="str">
        <f>HYPERLINK("https://miland.ru/api/getInfo/image/5638fc37-d5c1-11f0-a28c-00155d82e908")</f>
        <v>https://miland.ru/api/getInfo/image/5638fc37-d5c1-11f0-a28c-00155d82e908</v>
      </c>
      <c r="U1537" s="7"/>
      <c r="V1537" s="7"/>
      <c r="W1537" s="7" t="s">
        <v>82</v>
      </c>
      <c r="X1537" s="7"/>
      <c r="Y1537" s="7" t="s">
        <v>41</v>
      </c>
      <c r="Z1537" s="7"/>
      <c r="AA1537" s="7" t="str">
        <f>HYPERLINK("https://miland.ru/api/getInfo/item/5638fc37-d5c1-11f0-a28c-00155d82e908")</f>
        <v>https://miland.ru/api/getInfo/item/5638fc37-d5c1-11f0-a28c-00155d82e908</v>
      </c>
      <c r="AB1537" s="7" t="s">
        <v>42</v>
      </c>
      <c r="AC1537" s="7"/>
      <c r="AD1537" s="7"/>
      <c r="AE1537" s="54"/>
    </row>
    <row r="1538" spans="2:31" ht="12" customHeight="1" outlineLevel="6">
      <c r="B1538" s="70" t="s">
        <v>5359</v>
      </c>
      <c r="C1538" s="70"/>
      <c r="D1538" s="70"/>
      <c r="E1538" s="70"/>
      <c r="F1538" s="70"/>
      <c r="G1538" s="70"/>
    </row>
    <row r="1539" spans="2:31" s="1" customFormat="1" ht="96.3" customHeight="1" outlineLevel="7">
      <c r="B1539" s="58">
        <v>1174</v>
      </c>
      <c r="C1539" s="7" t="s">
        <v>5360</v>
      </c>
      <c r="D1539" s="71" t="s">
        <v>5361</v>
      </c>
      <c r="E1539" s="71"/>
      <c r="F1539" s="71"/>
      <c r="G1539" s="71"/>
      <c r="H1539" s="8" t="s">
        <v>5362</v>
      </c>
      <c r="I1539" s="14">
        <v>422</v>
      </c>
      <c r="J1539" s="8"/>
      <c r="K1539" s="6">
        <v>1</v>
      </c>
      <c r="L1539" s="10">
        <v>969.02</v>
      </c>
      <c r="M1539" s="11"/>
      <c r="N1539" s="8">
        <f>L1539*M1539</f>
        <v>0</v>
      </c>
      <c r="O1539" s="12">
        <f>0.444*M1539</f>
        <v>0</v>
      </c>
      <c r="P1539" s="13">
        <f>0.00543*M1539</f>
        <v>0</v>
      </c>
      <c r="Q1539" s="17" t="s">
        <v>37</v>
      </c>
      <c r="R1539" s="8" t="s">
        <v>5363</v>
      </c>
      <c r="S1539" s="8"/>
      <c r="T1539" s="7" t="str">
        <f>HYPERLINK("https://miland.ru/api/getInfo/image/8c6d32de-d5c6-11f0-a28c-00155d82e908")</f>
        <v>https://miland.ru/api/getInfo/image/8c6d32de-d5c6-11f0-a28c-00155d82e908</v>
      </c>
      <c r="U1539" s="7"/>
      <c r="V1539" s="7"/>
      <c r="W1539" s="7" t="s">
        <v>82</v>
      </c>
      <c r="X1539" s="7"/>
      <c r="Y1539" s="7" t="s">
        <v>41</v>
      </c>
      <c r="Z1539" s="7"/>
      <c r="AA1539" s="7" t="str">
        <f>HYPERLINK("https://miland.ru/api/getInfo/item/8c6d32de-d5c6-11f0-a28c-00155d82e908")</f>
        <v>https://miland.ru/api/getInfo/item/8c6d32de-d5c6-11f0-a28c-00155d82e908</v>
      </c>
      <c r="AB1539" s="7" t="s">
        <v>42</v>
      </c>
      <c r="AC1539" s="7"/>
      <c r="AD1539" s="7"/>
      <c r="AE1539" s="54"/>
    </row>
    <row r="1540" spans="2:31" ht="12" customHeight="1" outlineLevel="6">
      <c r="B1540" s="70" t="s">
        <v>5364</v>
      </c>
      <c r="C1540" s="70"/>
      <c r="D1540" s="70"/>
      <c r="E1540" s="70"/>
      <c r="F1540" s="70"/>
      <c r="G1540" s="70"/>
    </row>
    <row r="1541" spans="2:31" s="1" customFormat="1" ht="96.3" customHeight="1" outlineLevel="7">
      <c r="B1541" s="58">
        <v>1175</v>
      </c>
      <c r="C1541" s="7" t="s">
        <v>5365</v>
      </c>
      <c r="D1541" s="71" t="s">
        <v>5366</v>
      </c>
      <c r="E1541" s="71"/>
      <c r="F1541" s="71"/>
      <c r="G1541" s="71"/>
      <c r="H1541" s="8" t="s">
        <v>5367</v>
      </c>
      <c r="I1541" s="14">
        <v>410</v>
      </c>
      <c r="J1541" s="8"/>
      <c r="K1541" s="6">
        <v>1</v>
      </c>
      <c r="L1541" s="15">
        <v>1478.3</v>
      </c>
      <c r="M1541" s="11"/>
      <c r="N1541" s="8">
        <f>L1541*M1541</f>
        <v>0</v>
      </c>
      <c r="O1541" s="12">
        <f>0.397*M1541</f>
        <v>0</v>
      </c>
      <c r="P1541" s="13">
        <f>0.00785*M1541</f>
        <v>0</v>
      </c>
      <c r="Q1541" s="17" t="s">
        <v>37</v>
      </c>
      <c r="R1541" s="8" t="s">
        <v>5368</v>
      </c>
      <c r="S1541" s="8"/>
      <c r="T1541" s="7" t="str">
        <f>HYPERLINK("https://miland.ru/api/getInfo/image/b28d0b8d-d5c2-11f0-a28c-00155d82e908")</f>
        <v>https://miland.ru/api/getInfo/image/b28d0b8d-d5c2-11f0-a28c-00155d82e908</v>
      </c>
      <c r="U1541" s="7"/>
      <c r="V1541" s="7"/>
      <c r="W1541" s="7" t="s">
        <v>82</v>
      </c>
      <c r="X1541" s="7"/>
      <c r="Y1541" s="7" t="s">
        <v>41</v>
      </c>
      <c r="Z1541" s="7"/>
      <c r="AA1541" s="7" t="str">
        <f>HYPERLINK("https://miland.ru/api/getInfo/item/b28d0b8d-d5c2-11f0-a28c-00155d82e908")</f>
        <v>https://miland.ru/api/getInfo/item/b28d0b8d-d5c2-11f0-a28c-00155d82e908</v>
      </c>
      <c r="AB1541" s="7" t="s">
        <v>42</v>
      </c>
      <c r="AC1541" s="7"/>
      <c r="AD1541" s="7"/>
      <c r="AE1541" s="54"/>
    </row>
    <row r="1542" spans="2:31" s="1" customFormat="1" ht="96.3" customHeight="1" outlineLevel="7">
      <c r="B1542" s="58">
        <v>1176</v>
      </c>
      <c r="C1542" s="7" t="s">
        <v>5369</v>
      </c>
      <c r="D1542" s="71" t="s">
        <v>5370</v>
      </c>
      <c r="E1542" s="71"/>
      <c r="F1542" s="71"/>
      <c r="G1542" s="71"/>
      <c r="H1542" s="8" t="s">
        <v>5371</v>
      </c>
      <c r="I1542" s="14">
        <v>410</v>
      </c>
      <c r="J1542" s="8"/>
      <c r="K1542" s="6">
        <v>1</v>
      </c>
      <c r="L1542" s="15">
        <v>1478.3</v>
      </c>
      <c r="M1542" s="11"/>
      <c r="N1542" s="8">
        <f>L1542*M1542</f>
        <v>0</v>
      </c>
      <c r="O1542" s="12">
        <f>0.361*M1542</f>
        <v>0</v>
      </c>
      <c r="P1542" s="13">
        <f>0.00583*M1542</f>
        <v>0</v>
      </c>
      <c r="Q1542" s="17" t="s">
        <v>37</v>
      </c>
      <c r="R1542" s="8" t="s">
        <v>5372</v>
      </c>
      <c r="S1542" s="8"/>
      <c r="T1542" s="7" t="str">
        <f>HYPERLINK("https://miland.ru/api/getInfo/image/ef8cae79-d5c2-11f0-a28c-00155d82e908")</f>
        <v>https://miland.ru/api/getInfo/image/ef8cae79-d5c2-11f0-a28c-00155d82e908</v>
      </c>
      <c r="U1542" s="7"/>
      <c r="V1542" s="7"/>
      <c r="W1542" s="7" t="s">
        <v>82</v>
      </c>
      <c r="X1542" s="7"/>
      <c r="Y1542" s="7" t="s">
        <v>41</v>
      </c>
      <c r="Z1542" s="7"/>
      <c r="AA1542" s="7" t="str">
        <f>HYPERLINK("https://miland.ru/api/getInfo/item/ef8cae79-d5c2-11f0-a28c-00155d82e908")</f>
        <v>https://miland.ru/api/getInfo/item/ef8cae79-d5c2-11f0-a28c-00155d82e908</v>
      </c>
      <c r="AB1542" s="7" t="s">
        <v>42</v>
      </c>
      <c r="AC1542" s="7"/>
      <c r="AD1542" s="7"/>
      <c r="AE1542" s="54"/>
    </row>
    <row r="1543" spans="2:31" s="1" customFormat="1" ht="96.3" customHeight="1" outlineLevel="7">
      <c r="B1543" s="58">
        <v>1177</v>
      </c>
      <c r="C1543" s="7" t="s">
        <v>5373</v>
      </c>
      <c r="D1543" s="71" t="s">
        <v>5374</v>
      </c>
      <c r="E1543" s="71"/>
      <c r="F1543" s="71"/>
      <c r="G1543" s="71"/>
      <c r="H1543" s="8" t="s">
        <v>5375</v>
      </c>
      <c r="I1543" s="14">
        <v>442</v>
      </c>
      <c r="J1543" s="8"/>
      <c r="K1543" s="6">
        <v>1</v>
      </c>
      <c r="L1543" s="15">
        <v>1289.3800000000001</v>
      </c>
      <c r="M1543" s="11"/>
      <c r="N1543" s="8">
        <f>L1543*M1543</f>
        <v>0</v>
      </c>
      <c r="O1543" s="12">
        <f>0.317*M1543</f>
        <v>0</v>
      </c>
      <c r="P1543" s="16">
        <f>0.0027*M1543</f>
        <v>0</v>
      </c>
      <c r="Q1543" s="17" t="s">
        <v>37</v>
      </c>
      <c r="R1543" s="8" t="s">
        <v>5376</v>
      </c>
      <c r="S1543" s="8"/>
      <c r="T1543" s="7" t="str">
        <f>HYPERLINK("https://miland.ru/api/getInfo/image/6daeee44-d5c2-11f0-a28c-00155d82e908")</f>
        <v>https://miland.ru/api/getInfo/image/6daeee44-d5c2-11f0-a28c-00155d82e908</v>
      </c>
      <c r="U1543" s="7"/>
      <c r="V1543" s="7"/>
      <c r="W1543" s="7" t="s">
        <v>82</v>
      </c>
      <c r="X1543" s="7"/>
      <c r="Y1543" s="7" t="s">
        <v>41</v>
      </c>
      <c r="Z1543" s="7"/>
      <c r="AA1543" s="7" t="str">
        <f>HYPERLINK("https://miland.ru/api/getInfo/item/6daeee44-d5c2-11f0-a28c-00155d82e908")</f>
        <v>https://miland.ru/api/getInfo/item/6daeee44-d5c2-11f0-a28c-00155d82e908</v>
      </c>
      <c r="AB1543" s="7" t="s">
        <v>42</v>
      </c>
      <c r="AC1543" s="7"/>
      <c r="AD1543" s="7"/>
      <c r="AE1543" s="54"/>
    </row>
    <row r="1544" spans="2:31" s="1" customFormat="1" ht="96.3" customHeight="1" outlineLevel="7">
      <c r="B1544" s="58">
        <v>1178</v>
      </c>
      <c r="C1544" s="7" t="s">
        <v>5377</v>
      </c>
      <c r="D1544" s="71" t="s">
        <v>5378</v>
      </c>
      <c r="E1544" s="71"/>
      <c r="F1544" s="71"/>
      <c r="G1544" s="71"/>
      <c r="H1544" s="8" t="s">
        <v>5379</v>
      </c>
      <c r="I1544" s="14">
        <v>442</v>
      </c>
      <c r="J1544" s="8"/>
      <c r="K1544" s="6">
        <v>1</v>
      </c>
      <c r="L1544" s="15">
        <v>1289.3800000000001</v>
      </c>
      <c r="M1544" s="11"/>
      <c r="N1544" s="8">
        <f>L1544*M1544</f>
        <v>0</v>
      </c>
      <c r="O1544" s="12">
        <f>0.293*M1544</f>
        <v>0</v>
      </c>
      <c r="P1544" s="13">
        <f>0.00552*M1544</f>
        <v>0</v>
      </c>
      <c r="Q1544" s="17" t="s">
        <v>37</v>
      </c>
      <c r="R1544" s="8" t="s">
        <v>5380</v>
      </c>
      <c r="S1544" s="8"/>
      <c r="T1544" s="7" t="str">
        <f>HYPERLINK("https://miland.ru/api/getInfo/image/b19cac03-d5c1-11f0-a28c-00155d82e908")</f>
        <v>https://miland.ru/api/getInfo/image/b19cac03-d5c1-11f0-a28c-00155d82e908</v>
      </c>
      <c r="U1544" s="7"/>
      <c r="V1544" s="7"/>
      <c r="W1544" s="7" t="s">
        <v>82</v>
      </c>
      <c r="X1544" s="7"/>
      <c r="Y1544" s="7" t="s">
        <v>41</v>
      </c>
      <c r="Z1544" s="7"/>
      <c r="AA1544" s="7" t="str">
        <f>HYPERLINK("https://miland.ru/api/getInfo/item/b19cac03-d5c1-11f0-a28c-00155d82e908")</f>
        <v>https://miland.ru/api/getInfo/item/b19cac03-d5c1-11f0-a28c-00155d82e908</v>
      </c>
      <c r="AB1544" s="7" t="s">
        <v>42</v>
      </c>
      <c r="AC1544" s="7"/>
      <c r="AD1544" s="7"/>
      <c r="AE1544" s="54"/>
    </row>
    <row r="1545" spans="2:31" ht="12" customHeight="1" outlineLevel="6">
      <c r="B1545" s="70" t="s">
        <v>5381</v>
      </c>
      <c r="C1545" s="70"/>
      <c r="D1545" s="70"/>
      <c r="E1545" s="70"/>
      <c r="F1545" s="70"/>
      <c r="G1545" s="70"/>
    </row>
    <row r="1546" spans="2:31" s="1" customFormat="1" ht="96.3" customHeight="1" outlineLevel="7">
      <c r="B1546" s="58">
        <v>1179</v>
      </c>
      <c r="C1546" s="7" t="s">
        <v>5382</v>
      </c>
      <c r="D1546" s="71" t="s">
        <v>5383</v>
      </c>
      <c r="E1546" s="71"/>
      <c r="F1546" s="71"/>
      <c r="G1546" s="71"/>
      <c r="H1546" s="8" t="s">
        <v>5384</v>
      </c>
      <c r="I1546" s="14">
        <v>409</v>
      </c>
      <c r="J1546" s="8"/>
      <c r="K1546" s="6">
        <v>1</v>
      </c>
      <c r="L1546" s="15">
        <v>1501.19</v>
      </c>
      <c r="M1546" s="11"/>
      <c r="N1546" s="8">
        <f>L1546*M1546</f>
        <v>0</v>
      </c>
      <c r="O1546" s="12">
        <f>0.488*M1546</f>
        <v>0</v>
      </c>
      <c r="P1546" s="13">
        <f>0.00752*M1546</f>
        <v>0</v>
      </c>
      <c r="Q1546" s="17" t="s">
        <v>37</v>
      </c>
      <c r="R1546" s="8" t="s">
        <v>5385</v>
      </c>
      <c r="S1546" s="8"/>
      <c r="T1546" s="7" t="str">
        <f>HYPERLINK("https://miland.ru/api/getInfo/image/d653d1cf-d5c3-11f0-a28c-00155d82e908")</f>
        <v>https://miland.ru/api/getInfo/image/d653d1cf-d5c3-11f0-a28c-00155d82e908</v>
      </c>
      <c r="U1546" s="7"/>
      <c r="V1546" s="7"/>
      <c r="W1546" s="7" t="s">
        <v>82</v>
      </c>
      <c r="X1546" s="7"/>
      <c r="Y1546" s="7" t="s">
        <v>41</v>
      </c>
      <c r="Z1546" s="7"/>
      <c r="AA1546" s="7" t="str">
        <f>HYPERLINK("https://miland.ru/api/getInfo/item/d653d1cf-d5c3-11f0-a28c-00155d82e908")</f>
        <v>https://miland.ru/api/getInfo/item/d653d1cf-d5c3-11f0-a28c-00155d82e908</v>
      </c>
      <c r="AB1546" s="7" t="s">
        <v>42</v>
      </c>
      <c r="AC1546" s="7"/>
      <c r="AD1546" s="7"/>
      <c r="AE1546" s="54"/>
    </row>
    <row r="1547" spans="2:31" s="1" customFormat="1" ht="96.3" customHeight="1" outlineLevel="7">
      <c r="B1547" s="58">
        <v>1180</v>
      </c>
      <c r="C1547" s="7" t="s">
        <v>5386</v>
      </c>
      <c r="D1547" s="71" t="s">
        <v>5387</v>
      </c>
      <c r="E1547" s="71"/>
      <c r="F1547" s="71"/>
      <c r="G1547" s="71"/>
      <c r="H1547" s="8" t="s">
        <v>5388</v>
      </c>
      <c r="I1547" s="14">
        <v>407</v>
      </c>
      <c r="J1547" s="8"/>
      <c r="K1547" s="6">
        <v>1</v>
      </c>
      <c r="L1547" s="15">
        <v>1501.19</v>
      </c>
      <c r="M1547" s="11"/>
      <c r="N1547" s="8">
        <f>L1547*M1547</f>
        <v>0</v>
      </c>
      <c r="O1547" s="12">
        <f>0.476*M1547</f>
        <v>0</v>
      </c>
      <c r="P1547" s="13">
        <f>0.00751*M1547</f>
        <v>0</v>
      </c>
      <c r="Q1547" s="17" t="s">
        <v>37</v>
      </c>
      <c r="R1547" s="8" t="s">
        <v>5389</v>
      </c>
      <c r="S1547" s="8"/>
      <c r="T1547" s="7" t="str">
        <f>HYPERLINK("https://miland.ru/api/getInfo/image/12e20d21-d5c4-11f0-a28c-00155d82e908")</f>
        <v>https://miland.ru/api/getInfo/image/12e20d21-d5c4-11f0-a28c-00155d82e908</v>
      </c>
      <c r="U1547" s="7"/>
      <c r="V1547" s="7"/>
      <c r="W1547" s="7" t="s">
        <v>82</v>
      </c>
      <c r="X1547" s="7"/>
      <c r="Y1547" s="7" t="s">
        <v>41</v>
      </c>
      <c r="Z1547" s="7"/>
      <c r="AA1547" s="7" t="str">
        <f>HYPERLINK("https://miland.ru/api/getInfo/item/12e20d21-d5c4-11f0-a28c-00155d82e908")</f>
        <v>https://miland.ru/api/getInfo/item/12e20d21-d5c4-11f0-a28c-00155d82e908</v>
      </c>
      <c r="AB1547" s="7" t="s">
        <v>42</v>
      </c>
      <c r="AC1547" s="7"/>
      <c r="AD1547" s="7"/>
      <c r="AE1547" s="54"/>
    </row>
    <row r="1548" spans="2:31" s="1" customFormat="1" ht="96.3" customHeight="1" outlineLevel="7">
      <c r="B1548" s="58">
        <v>1181</v>
      </c>
      <c r="C1548" s="7" t="s">
        <v>5390</v>
      </c>
      <c r="D1548" s="71" t="s">
        <v>5391</v>
      </c>
      <c r="E1548" s="71"/>
      <c r="F1548" s="71"/>
      <c r="G1548" s="71"/>
      <c r="H1548" s="8" t="s">
        <v>5392</v>
      </c>
      <c r="I1548" s="14">
        <v>412</v>
      </c>
      <c r="J1548" s="8"/>
      <c r="K1548" s="6">
        <v>1</v>
      </c>
      <c r="L1548" s="15">
        <v>1249.51</v>
      </c>
      <c r="M1548" s="11"/>
      <c r="N1548" s="8">
        <f>L1548*M1548</f>
        <v>0</v>
      </c>
      <c r="O1548" s="12">
        <f>0.338*M1548</f>
        <v>0</v>
      </c>
      <c r="P1548" s="16">
        <f>0.0045*M1548</f>
        <v>0</v>
      </c>
      <c r="Q1548" s="17" t="s">
        <v>37</v>
      </c>
      <c r="R1548" s="8" t="s">
        <v>5393</v>
      </c>
      <c r="S1548" s="8"/>
      <c r="T1548" s="7" t="str">
        <f>HYPERLINK("https://miland.ru/api/getInfo/image/592a34f0-d5c3-11f0-a28c-00155d82e908")</f>
        <v>https://miland.ru/api/getInfo/image/592a34f0-d5c3-11f0-a28c-00155d82e908</v>
      </c>
      <c r="U1548" s="7"/>
      <c r="V1548" s="7"/>
      <c r="W1548" s="7" t="s">
        <v>82</v>
      </c>
      <c r="X1548" s="7"/>
      <c r="Y1548" s="7" t="s">
        <v>41</v>
      </c>
      <c r="Z1548" s="7"/>
      <c r="AA1548" s="7" t="str">
        <f>HYPERLINK("https://miland.ru/api/getInfo/item/592a34f0-d5c3-11f0-a28c-00155d82e908")</f>
        <v>https://miland.ru/api/getInfo/item/592a34f0-d5c3-11f0-a28c-00155d82e908</v>
      </c>
      <c r="AB1548" s="7" t="s">
        <v>42</v>
      </c>
      <c r="AC1548" s="7"/>
      <c r="AD1548" s="7"/>
      <c r="AE1548" s="54"/>
    </row>
    <row r="1549" spans="2:31" s="1" customFormat="1" ht="96.3" customHeight="1" outlineLevel="7">
      <c r="B1549" s="58">
        <v>1182</v>
      </c>
      <c r="C1549" s="7" t="s">
        <v>5394</v>
      </c>
      <c r="D1549" s="71" t="s">
        <v>5395</v>
      </c>
      <c r="E1549" s="71"/>
      <c r="F1549" s="71"/>
      <c r="G1549" s="71"/>
      <c r="H1549" s="8" t="s">
        <v>5396</v>
      </c>
      <c r="I1549" s="14">
        <v>412</v>
      </c>
      <c r="J1549" s="8"/>
      <c r="K1549" s="6">
        <v>1</v>
      </c>
      <c r="L1549" s="15">
        <v>1249.4100000000001</v>
      </c>
      <c r="M1549" s="11"/>
      <c r="N1549" s="8">
        <f>L1549*M1549</f>
        <v>0</v>
      </c>
      <c r="O1549" s="12">
        <f>0.356*M1549</f>
        <v>0</v>
      </c>
      <c r="P1549" s="13">
        <f>0.00407*M1549</f>
        <v>0</v>
      </c>
      <c r="Q1549" s="17" t="s">
        <v>37</v>
      </c>
      <c r="R1549" s="8" t="s">
        <v>5397</v>
      </c>
      <c r="S1549" s="8"/>
      <c r="T1549" s="7" t="str">
        <f>HYPERLINK("https://miland.ru/api/getInfo/image/9d8a9743-d5c3-11f0-a28c-00155d82e908")</f>
        <v>https://miland.ru/api/getInfo/image/9d8a9743-d5c3-11f0-a28c-00155d82e908</v>
      </c>
      <c r="U1549" s="7"/>
      <c r="V1549" s="7"/>
      <c r="W1549" s="7" t="s">
        <v>82</v>
      </c>
      <c r="X1549" s="7"/>
      <c r="Y1549" s="7" t="s">
        <v>41</v>
      </c>
      <c r="Z1549" s="7"/>
      <c r="AA1549" s="7" t="str">
        <f>HYPERLINK("https://miland.ru/api/getInfo/item/9d8a9743-d5c3-11f0-a28c-00155d82e908")</f>
        <v>https://miland.ru/api/getInfo/item/9d8a9743-d5c3-11f0-a28c-00155d82e908</v>
      </c>
      <c r="AB1549" s="7" t="s">
        <v>42</v>
      </c>
      <c r="AC1549" s="7"/>
      <c r="AD1549" s="7"/>
      <c r="AE1549" s="54"/>
    </row>
    <row r="1550" spans="2:31" ht="12" customHeight="1" outlineLevel="6">
      <c r="B1550" s="70" t="s">
        <v>5398</v>
      </c>
      <c r="C1550" s="70"/>
      <c r="D1550" s="70"/>
      <c r="E1550" s="70"/>
      <c r="F1550" s="70"/>
      <c r="G1550" s="70"/>
    </row>
    <row r="1551" spans="2:31" s="1" customFormat="1" ht="96.3" customHeight="1" outlineLevel="7">
      <c r="B1551" s="58">
        <v>1183</v>
      </c>
      <c r="C1551" s="7" t="s">
        <v>5399</v>
      </c>
      <c r="D1551" s="71" t="s">
        <v>5400</v>
      </c>
      <c r="E1551" s="71"/>
      <c r="F1551" s="71"/>
      <c r="G1551" s="71"/>
      <c r="H1551" s="8" t="s">
        <v>5401</v>
      </c>
      <c r="I1551" s="14">
        <v>416</v>
      </c>
      <c r="J1551" s="8"/>
      <c r="K1551" s="6">
        <v>1</v>
      </c>
      <c r="L1551" s="15">
        <v>1587.23</v>
      </c>
      <c r="M1551" s="11"/>
      <c r="N1551" s="8">
        <f t="shared" ref="N1551:N1565" si="67">L1551*M1551</f>
        <v>0</v>
      </c>
      <c r="O1551" s="12">
        <f>0.439*M1551</f>
        <v>0</v>
      </c>
      <c r="P1551" s="13">
        <f>0.01011*M1551</f>
        <v>0</v>
      </c>
      <c r="Q1551" s="17" t="s">
        <v>37</v>
      </c>
      <c r="R1551" s="8" t="s">
        <v>5402</v>
      </c>
      <c r="S1551" s="8"/>
      <c r="T1551" s="7" t="str">
        <f>HYPERLINK("https://miland.ru/api/getInfo/image/bc5e874f-d5c5-11f0-a28c-00155d82e908")</f>
        <v>https://miland.ru/api/getInfo/image/bc5e874f-d5c5-11f0-a28c-00155d82e908</v>
      </c>
      <c r="U1551" s="7"/>
      <c r="V1551" s="7"/>
      <c r="W1551" s="7" t="s">
        <v>82</v>
      </c>
      <c r="X1551" s="7"/>
      <c r="Y1551" s="7" t="s">
        <v>41</v>
      </c>
      <c r="Z1551" s="7"/>
      <c r="AA1551" s="7" t="str">
        <f>HYPERLINK("https://miland.ru/api/getInfo/item/bc5e874f-d5c5-11f0-a28c-00155d82e908")</f>
        <v>https://miland.ru/api/getInfo/item/bc5e874f-d5c5-11f0-a28c-00155d82e908</v>
      </c>
      <c r="AB1551" s="7" t="s">
        <v>42</v>
      </c>
      <c r="AC1551" s="7"/>
      <c r="AD1551" s="7"/>
      <c r="AE1551" s="54"/>
    </row>
    <row r="1552" spans="2:31" s="1" customFormat="1" ht="96.3" customHeight="1" outlineLevel="7">
      <c r="B1552" s="57">
        <v>1184</v>
      </c>
      <c r="C1552" s="21" t="s">
        <v>5403</v>
      </c>
      <c r="D1552" s="72" t="s">
        <v>5404</v>
      </c>
      <c r="E1552" s="72"/>
      <c r="F1552" s="72"/>
      <c r="G1552" s="72"/>
      <c r="H1552" s="22" t="s">
        <v>5405</v>
      </c>
      <c r="I1552" s="27">
        <v>61</v>
      </c>
      <c r="J1552" s="22"/>
      <c r="K1552" s="20">
        <v>1</v>
      </c>
      <c r="L1552" s="32">
        <v>1970.77</v>
      </c>
      <c r="M1552" s="11"/>
      <c r="N1552" s="22">
        <f t="shared" si="67"/>
        <v>0</v>
      </c>
      <c r="O1552" s="25">
        <f>0.561*M1552</f>
        <v>0</v>
      </c>
      <c r="P1552" s="26">
        <f>0.00709*M1552</f>
        <v>0</v>
      </c>
      <c r="Q1552" s="30"/>
      <c r="R1552" s="22" t="s">
        <v>5406</v>
      </c>
      <c r="S1552" s="22" t="s">
        <v>435</v>
      </c>
      <c r="T1552" s="21" t="str">
        <f>HYPERLINK("https://miland.ru/api/getInfo/image/d393ba95-c0da-11ee-a25a-00155d82e908")</f>
        <v>https://miland.ru/api/getInfo/image/d393ba95-c0da-11ee-a25a-00155d82e908</v>
      </c>
      <c r="U1552" s="21"/>
      <c r="V1552" s="21"/>
      <c r="W1552" s="21"/>
      <c r="X1552" s="21"/>
      <c r="Y1552" s="21"/>
      <c r="Z1552" s="21"/>
      <c r="AA1552" s="21" t="str">
        <f>HYPERLINK("https://miland.ru/api/getInfo/item/d393ba95-c0da-11ee-a25a-00155d82e908")</f>
        <v>https://miland.ru/api/getInfo/item/d393ba95-c0da-11ee-a25a-00155d82e908</v>
      </c>
      <c r="AB1552" s="21" t="s">
        <v>42</v>
      </c>
      <c r="AC1552" s="21" t="s">
        <v>5407</v>
      </c>
      <c r="AD1552" s="21"/>
    </row>
    <row r="1553" spans="2:31" s="1" customFormat="1" ht="96.3" customHeight="1" outlineLevel="7">
      <c r="B1553" s="58">
        <v>1185</v>
      </c>
      <c r="C1553" s="7" t="s">
        <v>5408</v>
      </c>
      <c r="D1553" s="71" t="s">
        <v>5409</v>
      </c>
      <c r="E1553" s="71"/>
      <c r="F1553" s="71"/>
      <c r="G1553" s="71"/>
      <c r="H1553" s="8" t="s">
        <v>5410</v>
      </c>
      <c r="I1553" s="14">
        <v>412</v>
      </c>
      <c r="J1553" s="8"/>
      <c r="K1553" s="6">
        <v>1</v>
      </c>
      <c r="L1553" s="15">
        <v>1833.08</v>
      </c>
      <c r="M1553" s="11"/>
      <c r="N1553" s="8">
        <f t="shared" si="67"/>
        <v>0</v>
      </c>
      <c r="O1553" s="12">
        <f>0.482*M1553</f>
        <v>0</v>
      </c>
      <c r="P1553" s="13">
        <f>0.01101*M1553</f>
        <v>0</v>
      </c>
      <c r="Q1553" s="17" t="s">
        <v>37</v>
      </c>
      <c r="R1553" s="8" t="s">
        <v>5411</v>
      </c>
      <c r="S1553" s="8"/>
      <c r="T1553" s="7" t="str">
        <f>HYPERLINK("https://miland.ru/api/getInfo/image/8c63db70-d5bf-11f0-a28c-00155d82e908")</f>
        <v>https://miland.ru/api/getInfo/image/8c63db70-d5bf-11f0-a28c-00155d82e908</v>
      </c>
      <c r="U1553" s="7"/>
      <c r="V1553" s="7"/>
      <c r="W1553" s="7" t="s">
        <v>82</v>
      </c>
      <c r="X1553" s="7"/>
      <c r="Y1553" s="7" t="s">
        <v>41</v>
      </c>
      <c r="Z1553" s="7"/>
      <c r="AA1553" s="7" t="str">
        <f>HYPERLINK("https://miland.ru/api/getInfo/item/8c63db70-d5bf-11f0-a28c-00155d82e908")</f>
        <v>https://miland.ru/api/getInfo/item/8c63db70-d5bf-11f0-a28c-00155d82e908</v>
      </c>
      <c r="AB1553" s="7" t="s">
        <v>42</v>
      </c>
      <c r="AC1553" s="7"/>
      <c r="AD1553" s="7"/>
      <c r="AE1553" s="54"/>
    </row>
    <row r="1554" spans="2:31" s="1" customFormat="1" ht="96.3" customHeight="1" outlineLevel="7">
      <c r="B1554" s="58">
        <v>1186</v>
      </c>
      <c r="C1554" s="7" t="s">
        <v>5412</v>
      </c>
      <c r="D1554" s="71" t="s">
        <v>5413</v>
      </c>
      <c r="E1554" s="71"/>
      <c r="F1554" s="71"/>
      <c r="G1554" s="71"/>
      <c r="H1554" s="8" t="s">
        <v>5414</v>
      </c>
      <c r="I1554" s="14">
        <v>428</v>
      </c>
      <c r="J1554" s="8"/>
      <c r="K1554" s="6">
        <v>1</v>
      </c>
      <c r="L1554" s="15">
        <v>1821.63</v>
      </c>
      <c r="M1554" s="11"/>
      <c r="N1554" s="8">
        <f t="shared" si="67"/>
        <v>0</v>
      </c>
      <c r="O1554" s="18">
        <f>0.45*M1554</f>
        <v>0</v>
      </c>
      <c r="P1554" s="13">
        <f>0.02151*M1554</f>
        <v>0</v>
      </c>
      <c r="Q1554" s="17" t="s">
        <v>37</v>
      </c>
      <c r="R1554" s="8" t="s">
        <v>5415</v>
      </c>
      <c r="S1554" s="8"/>
      <c r="T1554" s="7" t="str">
        <f>HYPERLINK("https://miland.ru/api/getInfo/image/bdfea502-d5c7-11f0-a28c-00155d82e908")</f>
        <v>https://miland.ru/api/getInfo/image/bdfea502-d5c7-11f0-a28c-00155d82e908</v>
      </c>
      <c r="U1554" s="7"/>
      <c r="V1554" s="7"/>
      <c r="W1554" s="7" t="s">
        <v>82</v>
      </c>
      <c r="X1554" s="7"/>
      <c r="Y1554" s="7" t="s">
        <v>41</v>
      </c>
      <c r="Z1554" s="7"/>
      <c r="AA1554" s="7" t="str">
        <f>HYPERLINK("https://miland.ru/api/getInfo/item/bdfea502-d5c7-11f0-a28c-00155d82e908")</f>
        <v>https://miland.ru/api/getInfo/item/bdfea502-d5c7-11f0-a28c-00155d82e908</v>
      </c>
      <c r="AB1554" s="7" t="s">
        <v>42</v>
      </c>
      <c r="AC1554" s="7"/>
      <c r="AD1554" s="7"/>
      <c r="AE1554" s="54"/>
    </row>
    <row r="1555" spans="2:31" s="1" customFormat="1" ht="96.3" customHeight="1" outlineLevel="7">
      <c r="B1555" s="58">
        <v>1187</v>
      </c>
      <c r="C1555" s="7" t="s">
        <v>5416</v>
      </c>
      <c r="D1555" s="71" t="s">
        <v>5417</v>
      </c>
      <c r="E1555" s="71"/>
      <c r="F1555" s="71"/>
      <c r="G1555" s="71"/>
      <c r="H1555" s="8" t="s">
        <v>5418</v>
      </c>
      <c r="I1555" s="14">
        <v>418</v>
      </c>
      <c r="J1555" s="8"/>
      <c r="K1555" s="6">
        <v>1</v>
      </c>
      <c r="L1555" s="15">
        <v>1518.36</v>
      </c>
      <c r="M1555" s="11"/>
      <c r="N1555" s="8">
        <f t="shared" si="67"/>
        <v>0</v>
      </c>
      <c r="O1555" s="12">
        <f>0.555*M1555</f>
        <v>0</v>
      </c>
      <c r="P1555" s="13">
        <f>0.00803*M1555</f>
        <v>0</v>
      </c>
      <c r="Q1555" s="17" t="s">
        <v>37</v>
      </c>
      <c r="R1555" s="8" t="s">
        <v>5419</v>
      </c>
      <c r="S1555" s="8"/>
      <c r="T1555" s="7" t="str">
        <f>HYPERLINK("https://miland.ru/api/getInfo/image/886ba6d6-d5c7-11f0-a28c-00155d82e908")</f>
        <v>https://miland.ru/api/getInfo/image/886ba6d6-d5c7-11f0-a28c-00155d82e908</v>
      </c>
      <c r="U1555" s="7"/>
      <c r="V1555" s="7"/>
      <c r="W1555" s="7" t="s">
        <v>82</v>
      </c>
      <c r="X1555" s="7"/>
      <c r="Y1555" s="7" t="s">
        <v>41</v>
      </c>
      <c r="Z1555" s="7"/>
      <c r="AA1555" s="7" t="str">
        <f>HYPERLINK("https://miland.ru/api/getInfo/item/886ba6d6-d5c7-11f0-a28c-00155d82e908")</f>
        <v>https://miland.ru/api/getInfo/item/886ba6d6-d5c7-11f0-a28c-00155d82e908</v>
      </c>
      <c r="AB1555" s="7" t="s">
        <v>42</v>
      </c>
      <c r="AC1555" s="7"/>
      <c r="AD1555" s="7"/>
      <c r="AE1555" s="54"/>
    </row>
    <row r="1556" spans="2:31" s="1" customFormat="1" ht="96.3" customHeight="1" outlineLevel="7">
      <c r="B1556" s="58">
        <v>1188</v>
      </c>
      <c r="C1556" s="7" t="s">
        <v>5420</v>
      </c>
      <c r="D1556" s="71" t="s">
        <v>5421</v>
      </c>
      <c r="E1556" s="71"/>
      <c r="F1556" s="71"/>
      <c r="G1556" s="71"/>
      <c r="H1556" s="8" t="s">
        <v>5422</v>
      </c>
      <c r="I1556" s="14">
        <v>367</v>
      </c>
      <c r="J1556" s="8"/>
      <c r="K1556" s="6">
        <v>1</v>
      </c>
      <c r="L1556" s="15">
        <v>1377.17</v>
      </c>
      <c r="M1556" s="11"/>
      <c r="N1556" s="8">
        <f t="shared" si="67"/>
        <v>0</v>
      </c>
      <c r="O1556" s="12">
        <f>0.721*M1556</f>
        <v>0</v>
      </c>
      <c r="P1556" s="13">
        <f>0.01653*M1556</f>
        <v>0</v>
      </c>
      <c r="Q1556" s="17" t="s">
        <v>37</v>
      </c>
      <c r="R1556" s="8" t="s">
        <v>5423</v>
      </c>
      <c r="S1556" s="8"/>
      <c r="T1556" s="7" t="str">
        <f>HYPERLINK("https://miland.ru/api/getInfo/image/32c8e53c-d5c0-11f0-a28c-00155d82e908")</f>
        <v>https://miland.ru/api/getInfo/image/32c8e53c-d5c0-11f0-a28c-00155d82e908</v>
      </c>
      <c r="U1556" s="7"/>
      <c r="V1556" s="7"/>
      <c r="W1556" s="7" t="s">
        <v>82</v>
      </c>
      <c r="X1556" s="7"/>
      <c r="Y1556" s="7" t="s">
        <v>41</v>
      </c>
      <c r="Z1556" s="7"/>
      <c r="AA1556" s="7" t="str">
        <f>HYPERLINK("https://miland.ru/api/getInfo/item/32c8e53c-d5c0-11f0-a28c-00155d82e908")</f>
        <v>https://miland.ru/api/getInfo/item/32c8e53c-d5c0-11f0-a28c-00155d82e908</v>
      </c>
      <c r="AB1556" s="7" t="s">
        <v>42</v>
      </c>
      <c r="AC1556" s="7"/>
      <c r="AD1556" s="7"/>
      <c r="AE1556" s="54"/>
    </row>
    <row r="1557" spans="2:31" s="1" customFormat="1" ht="96.3" customHeight="1" outlineLevel="7">
      <c r="B1557" s="58">
        <v>1189</v>
      </c>
      <c r="C1557" s="7" t="s">
        <v>5424</v>
      </c>
      <c r="D1557" s="71" t="s">
        <v>5425</v>
      </c>
      <c r="E1557" s="71"/>
      <c r="F1557" s="71"/>
      <c r="G1557" s="71"/>
      <c r="H1557" s="8" t="s">
        <v>5426</v>
      </c>
      <c r="I1557" s="14">
        <v>369</v>
      </c>
      <c r="J1557" s="8"/>
      <c r="K1557" s="6">
        <v>1</v>
      </c>
      <c r="L1557" s="15">
        <v>1377.17</v>
      </c>
      <c r="M1557" s="11"/>
      <c r="N1557" s="8">
        <f t="shared" si="67"/>
        <v>0</v>
      </c>
      <c r="O1557" s="18">
        <f>0.73*M1557</f>
        <v>0</v>
      </c>
      <c r="P1557" s="13">
        <f>0.02089*M1557</f>
        <v>0</v>
      </c>
      <c r="Q1557" s="17" t="s">
        <v>37</v>
      </c>
      <c r="R1557" s="8" t="s">
        <v>5427</v>
      </c>
      <c r="S1557" s="8"/>
      <c r="T1557" s="7" t="str">
        <f>HYPERLINK("https://miland.ru/api/getInfo/image/f75252d8-d5bf-11f0-a28c-00155d82e908")</f>
        <v>https://miland.ru/api/getInfo/image/f75252d8-d5bf-11f0-a28c-00155d82e908</v>
      </c>
      <c r="U1557" s="7"/>
      <c r="V1557" s="7"/>
      <c r="W1557" s="7" t="s">
        <v>82</v>
      </c>
      <c r="X1557" s="7"/>
      <c r="Y1557" s="7" t="s">
        <v>41</v>
      </c>
      <c r="Z1557" s="7"/>
      <c r="AA1557" s="7" t="str">
        <f>HYPERLINK("https://miland.ru/api/getInfo/item/f75252d8-d5bf-11f0-a28c-00155d82e908")</f>
        <v>https://miland.ru/api/getInfo/item/f75252d8-d5bf-11f0-a28c-00155d82e908</v>
      </c>
      <c r="AB1557" s="7" t="s">
        <v>42</v>
      </c>
      <c r="AC1557" s="7"/>
      <c r="AD1557" s="7"/>
      <c r="AE1557" s="54"/>
    </row>
    <row r="1558" spans="2:31" s="1" customFormat="1" ht="96.3" customHeight="1" outlineLevel="7">
      <c r="B1558" s="58">
        <v>1190</v>
      </c>
      <c r="C1558" s="7" t="s">
        <v>5428</v>
      </c>
      <c r="D1558" s="71" t="s">
        <v>5429</v>
      </c>
      <c r="E1558" s="71"/>
      <c r="F1558" s="71"/>
      <c r="G1558" s="71"/>
      <c r="H1558" s="8" t="s">
        <v>5430</v>
      </c>
      <c r="I1558" s="14">
        <v>370</v>
      </c>
      <c r="J1558" s="8"/>
      <c r="K1558" s="6">
        <v>1</v>
      </c>
      <c r="L1558" s="15">
        <v>1707.19</v>
      </c>
      <c r="M1558" s="11"/>
      <c r="N1558" s="8">
        <f t="shared" si="67"/>
        <v>0</v>
      </c>
      <c r="O1558" s="12">
        <f>0.487*M1558</f>
        <v>0</v>
      </c>
      <c r="P1558" s="13">
        <f>0.01464*M1558</f>
        <v>0</v>
      </c>
      <c r="Q1558" s="17" t="s">
        <v>37</v>
      </c>
      <c r="R1558" s="8" t="s">
        <v>5431</v>
      </c>
      <c r="S1558" s="8"/>
      <c r="T1558" s="7" t="str">
        <f>HYPERLINK("https://miland.ru/api/getInfo/image/4c8d040a-d5c7-11f0-a28c-00155d82e908")</f>
        <v>https://miland.ru/api/getInfo/image/4c8d040a-d5c7-11f0-a28c-00155d82e908</v>
      </c>
      <c r="U1558" s="7"/>
      <c r="V1558" s="7"/>
      <c r="W1558" s="7" t="s">
        <v>82</v>
      </c>
      <c r="X1558" s="7"/>
      <c r="Y1558" s="7" t="s">
        <v>41</v>
      </c>
      <c r="Z1558" s="7"/>
      <c r="AA1558" s="7" t="str">
        <f>HYPERLINK("https://miland.ru/api/getInfo/item/4c8d040a-d5c7-11f0-a28c-00155d82e908")</f>
        <v>https://miland.ru/api/getInfo/item/4c8d040a-d5c7-11f0-a28c-00155d82e908</v>
      </c>
      <c r="AB1558" s="7" t="s">
        <v>42</v>
      </c>
      <c r="AC1558" s="7"/>
      <c r="AD1558" s="7"/>
      <c r="AE1558" s="54"/>
    </row>
    <row r="1559" spans="2:31" s="1" customFormat="1" ht="96.3" customHeight="1" outlineLevel="7">
      <c r="B1559" s="58">
        <v>1191</v>
      </c>
      <c r="C1559" s="7" t="s">
        <v>5432</v>
      </c>
      <c r="D1559" s="71" t="s">
        <v>5433</v>
      </c>
      <c r="E1559" s="71"/>
      <c r="F1559" s="71"/>
      <c r="G1559" s="71"/>
      <c r="H1559" s="8" t="s">
        <v>5434</v>
      </c>
      <c r="I1559" s="14">
        <v>419</v>
      </c>
      <c r="J1559" s="8"/>
      <c r="K1559" s="6">
        <v>1</v>
      </c>
      <c r="L1559" s="15">
        <v>1363.86</v>
      </c>
      <c r="M1559" s="11"/>
      <c r="N1559" s="8">
        <f t="shared" si="67"/>
        <v>0</v>
      </c>
      <c r="O1559" s="12">
        <f>0.438*M1559</f>
        <v>0</v>
      </c>
      <c r="P1559" s="13">
        <f>0.00579*M1559</f>
        <v>0</v>
      </c>
      <c r="Q1559" s="17" t="s">
        <v>37</v>
      </c>
      <c r="R1559" s="8" t="s">
        <v>5435</v>
      </c>
      <c r="S1559" s="8"/>
      <c r="T1559" s="7" t="str">
        <f>HYPERLINK("https://miland.ru/api/getInfo/image/f1eca372-d5c5-11f0-a28c-00155d82e908")</f>
        <v>https://miland.ru/api/getInfo/image/f1eca372-d5c5-11f0-a28c-00155d82e908</v>
      </c>
      <c r="U1559" s="7"/>
      <c r="V1559" s="7"/>
      <c r="W1559" s="7" t="s">
        <v>82</v>
      </c>
      <c r="X1559" s="7"/>
      <c r="Y1559" s="7" t="s">
        <v>41</v>
      </c>
      <c r="Z1559" s="7"/>
      <c r="AA1559" s="7" t="str">
        <f>HYPERLINK("https://miland.ru/api/getInfo/item/f1eca372-d5c5-11f0-a28c-00155d82e908")</f>
        <v>https://miland.ru/api/getInfo/item/f1eca372-d5c5-11f0-a28c-00155d82e908</v>
      </c>
      <c r="AB1559" s="7" t="s">
        <v>42</v>
      </c>
      <c r="AC1559" s="7"/>
      <c r="AD1559" s="7"/>
      <c r="AE1559" s="54"/>
    </row>
    <row r="1560" spans="2:31" s="1" customFormat="1" ht="96.3" customHeight="1" outlineLevel="7">
      <c r="B1560" s="57">
        <v>1192</v>
      </c>
      <c r="C1560" s="21" t="s">
        <v>5436</v>
      </c>
      <c r="D1560" s="72" t="s">
        <v>5437</v>
      </c>
      <c r="E1560" s="72"/>
      <c r="F1560" s="72"/>
      <c r="G1560" s="72"/>
      <c r="H1560" s="22" t="s">
        <v>5438</v>
      </c>
      <c r="I1560" s="27">
        <v>63</v>
      </c>
      <c r="J1560" s="22"/>
      <c r="K1560" s="20">
        <v>1</v>
      </c>
      <c r="L1560" s="32">
        <v>1553.32</v>
      </c>
      <c r="M1560" s="11"/>
      <c r="N1560" s="22">
        <f t="shared" si="67"/>
        <v>0</v>
      </c>
      <c r="O1560" s="25">
        <f>0.416*M1560</f>
        <v>0</v>
      </c>
      <c r="P1560" s="26">
        <f>0.00566*M1560</f>
        <v>0</v>
      </c>
      <c r="Q1560" s="30"/>
      <c r="R1560" s="22" t="s">
        <v>5439</v>
      </c>
      <c r="S1560" s="22" t="s">
        <v>435</v>
      </c>
      <c r="T1560" s="21" t="str">
        <f>HYPERLINK("https://miland.ru/api/getInfo/image/a032177f-c0da-11ee-a25a-00155d82e908")</f>
        <v>https://miland.ru/api/getInfo/image/a032177f-c0da-11ee-a25a-00155d82e908</v>
      </c>
      <c r="U1560" s="21"/>
      <c r="V1560" s="21"/>
      <c r="W1560" s="21"/>
      <c r="X1560" s="21"/>
      <c r="Y1560" s="21"/>
      <c r="Z1560" s="21"/>
      <c r="AA1560" s="21" t="str">
        <f>HYPERLINK("https://miland.ru/api/getInfo/item/a032177f-c0da-11ee-a25a-00155d82e908")</f>
        <v>https://miland.ru/api/getInfo/item/a032177f-c0da-11ee-a25a-00155d82e908</v>
      </c>
      <c r="AB1560" s="21" t="s">
        <v>42</v>
      </c>
      <c r="AC1560" s="21" t="s">
        <v>5440</v>
      </c>
      <c r="AD1560" s="21"/>
    </row>
    <row r="1561" spans="2:31" s="1" customFormat="1" ht="96.3" customHeight="1" outlineLevel="7">
      <c r="B1561" s="58">
        <v>1193</v>
      </c>
      <c r="C1561" s="7" t="s">
        <v>5441</v>
      </c>
      <c r="D1561" s="71" t="s">
        <v>5442</v>
      </c>
      <c r="E1561" s="71"/>
      <c r="F1561" s="71"/>
      <c r="G1561" s="71"/>
      <c r="H1561" s="8" t="s">
        <v>5443</v>
      </c>
      <c r="I1561" s="14">
        <v>353</v>
      </c>
      <c r="J1561" s="8"/>
      <c r="K1561" s="6">
        <v>1</v>
      </c>
      <c r="L1561" s="15">
        <v>1707.19</v>
      </c>
      <c r="M1561" s="11"/>
      <c r="N1561" s="8">
        <f t="shared" si="67"/>
        <v>0</v>
      </c>
      <c r="O1561" s="12">
        <f>0.472*M1561</f>
        <v>0</v>
      </c>
      <c r="P1561" s="13">
        <f>0.02011*M1561</f>
        <v>0</v>
      </c>
      <c r="Q1561" s="17" t="s">
        <v>37</v>
      </c>
      <c r="R1561" s="8" t="s">
        <v>5444</v>
      </c>
      <c r="S1561" s="8"/>
      <c r="T1561" s="7" t="str">
        <f>HYPERLINK("https://miland.ru/api/getInfo/image/13a81a63-d5c7-11f0-a28c-00155d82e908")</f>
        <v>https://miland.ru/api/getInfo/image/13a81a63-d5c7-11f0-a28c-00155d82e908</v>
      </c>
      <c r="U1561" s="7"/>
      <c r="V1561" s="7"/>
      <c r="W1561" s="7" t="s">
        <v>82</v>
      </c>
      <c r="X1561" s="7"/>
      <c r="Y1561" s="7" t="s">
        <v>41</v>
      </c>
      <c r="Z1561" s="7"/>
      <c r="AA1561" s="7" t="str">
        <f>HYPERLINK("https://miland.ru/api/getInfo/item/13a81a63-d5c7-11f0-a28c-00155d82e908")</f>
        <v>https://miland.ru/api/getInfo/item/13a81a63-d5c7-11f0-a28c-00155d82e908</v>
      </c>
      <c r="AB1561" s="7" t="s">
        <v>42</v>
      </c>
      <c r="AC1561" s="7"/>
      <c r="AD1561" s="7"/>
      <c r="AE1561" s="54"/>
    </row>
    <row r="1562" spans="2:31" s="1" customFormat="1" ht="96.3" customHeight="1" outlineLevel="7">
      <c r="B1562" s="57">
        <v>1194</v>
      </c>
      <c r="C1562" s="21" t="s">
        <v>5445</v>
      </c>
      <c r="D1562" s="72" t="s">
        <v>5446</v>
      </c>
      <c r="E1562" s="72"/>
      <c r="F1562" s="72"/>
      <c r="G1562" s="72"/>
      <c r="H1562" s="22" t="s">
        <v>5447</v>
      </c>
      <c r="I1562" s="27">
        <v>9</v>
      </c>
      <c r="J1562" s="22"/>
      <c r="K1562" s="20">
        <v>1</v>
      </c>
      <c r="L1562" s="32">
        <v>1990.18</v>
      </c>
      <c r="M1562" s="11"/>
      <c r="N1562" s="22">
        <f t="shared" si="67"/>
        <v>0</v>
      </c>
      <c r="O1562" s="25">
        <f>0.611*M1562</f>
        <v>0</v>
      </c>
      <c r="P1562" s="26">
        <f>0.00768*M1562</f>
        <v>0</v>
      </c>
      <c r="Q1562" s="30"/>
      <c r="R1562" s="22" t="s">
        <v>5448</v>
      </c>
      <c r="S1562" s="22" t="s">
        <v>435</v>
      </c>
      <c r="T1562" s="21" t="str">
        <f>HYPERLINK("https://miland.ru/api/getInfo/image/7119306e-c0da-11ee-a25a-00155d82e908")</f>
        <v>https://miland.ru/api/getInfo/image/7119306e-c0da-11ee-a25a-00155d82e908</v>
      </c>
      <c r="U1562" s="21"/>
      <c r="V1562" s="21"/>
      <c r="W1562" s="21"/>
      <c r="X1562" s="21"/>
      <c r="Y1562" s="21"/>
      <c r="Z1562" s="21"/>
      <c r="AA1562" s="21" t="str">
        <f>HYPERLINK("https://miland.ru/api/getInfo/item/7119306e-c0da-11ee-a25a-00155d82e908")</f>
        <v>https://miland.ru/api/getInfo/item/7119306e-c0da-11ee-a25a-00155d82e908</v>
      </c>
      <c r="AB1562" s="21" t="s">
        <v>42</v>
      </c>
      <c r="AC1562" s="21" t="s">
        <v>5449</v>
      </c>
      <c r="AD1562" s="21"/>
    </row>
    <row r="1563" spans="2:31" s="1" customFormat="1" ht="96.3" customHeight="1" outlineLevel="7">
      <c r="B1563" s="57">
        <v>1195</v>
      </c>
      <c r="C1563" s="21" t="s">
        <v>5450</v>
      </c>
      <c r="D1563" s="72" t="s">
        <v>5451</v>
      </c>
      <c r="E1563" s="72"/>
      <c r="F1563" s="72"/>
      <c r="G1563" s="72"/>
      <c r="H1563" s="22" t="s">
        <v>5452</v>
      </c>
      <c r="I1563" s="27">
        <v>7</v>
      </c>
      <c r="J1563" s="22"/>
      <c r="K1563" s="20">
        <v>1</v>
      </c>
      <c r="L1563" s="32">
        <v>2305.6999999999998</v>
      </c>
      <c r="M1563" s="11"/>
      <c r="N1563" s="22">
        <f t="shared" si="67"/>
        <v>0</v>
      </c>
      <c r="O1563" s="25">
        <f>0.691*M1563</f>
        <v>0</v>
      </c>
      <c r="P1563" s="26">
        <f>0.01373*M1563</f>
        <v>0</v>
      </c>
      <c r="Q1563" s="30"/>
      <c r="R1563" s="22" t="s">
        <v>5453</v>
      </c>
      <c r="S1563" s="22" t="s">
        <v>435</v>
      </c>
      <c r="T1563" s="21" t="str">
        <f>HYPERLINK("https://miland.ru/api/getInfo/image/50be7930-c0da-11ee-a25a-00155d82e908")</f>
        <v>https://miland.ru/api/getInfo/image/50be7930-c0da-11ee-a25a-00155d82e908</v>
      </c>
      <c r="U1563" s="21"/>
      <c r="V1563" s="21"/>
      <c r="W1563" s="21"/>
      <c r="X1563" s="21"/>
      <c r="Y1563" s="21"/>
      <c r="Z1563" s="21"/>
      <c r="AA1563" s="21" t="str">
        <f>HYPERLINK("https://miland.ru/api/getInfo/item/50be7930-c0da-11ee-a25a-00155d82e908")</f>
        <v>https://miland.ru/api/getInfo/item/50be7930-c0da-11ee-a25a-00155d82e908</v>
      </c>
      <c r="AB1563" s="21" t="s">
        <v>42</v>
      </c>
      <c r="AC1563" s="21" t="s">
        <v>5454</v>
      </c>
      <c r="AD1563" s="21"/>
    </row>
    <row r="1564" spans="2:31" s="1" customFormat="1" ht="96.3" customHeight="1" outlineLevel="7">
      <c r="B1564" s="58">
        <v>1196</v>
      </c>
      <c r="C1564" s="7" t="s">
        <v>5455</v>
      </c>
      <c r="D1564" s="71" t="s">
        <v>5456</v>
      </c>
      <c r="E1564" s="71"/>
      <c r="F1564" s="71"/>
      <c r="G1564" s="71"/>
      <c r="H1564" s="8" t="s">
        <v>5457</v>
      </c>
      <c r="I1564" s="14">
        <v>394</v>
      </c>
      <c r="J1564" s="8"/>
      <c r="K1564" s="6">
        <v>1</v>
      </c>
      <c r="L1564" s="15">
        <v>1759.21</v>
      </c>
      <c r="M1564" s="11"/>
      <c r="N1564" s="8">
        <f t="shared" si="67"/>
        <v>0</v>
      </c>
      <c r="O1564" s="12">
        <f>0.933*M1564</f>
        <v>0</v>
      </c>
      <c r="P1564" s="13">
        <f>0.01078*M1564</f>
        <v>0</v>
      </c>
      <c r="Q1564" s="17" t="s">
        <v>37</v>
      </c>
      <c r="R1564" s="8" t="s">
        <v>5458</v>
      </c>
      <c r="S1564" s="8"/>
      <c r="T1564" s="7" t="str">
        <f>HYPERLINK("https://miland.ru/api/getInfo/image/00ec6063-d5c1-11f0-a28c-00155d82e908")</f>
        <v>https://miland.ru/api/getInfo/image/00ec6063-d5c1-11f0-a28c-00155d82e908</v>
      </c>
      <c r="U1564" s="7"/>
      <c r="V1564" s="7"/>
      <c r="W1564" s="7" t="s">
        <v>82</v>
      </c>
      <c r="X1564" s="7"/>
      <c r="Y1564" s="7" t="s">
        <v>41</v>
      </c>
      <c r="Z1564" s="7"/>
      <c r="AA1564" s="7" t="str">
        <f>HYPERLINK("https://miland.ru/api/getInfo/item/00ec6063-d5c1-11f0-a28c-00155d82e908")</f>
        <v>https://miland.ru/api/getInfo/item/00ec6063-d5c1-11f0-a28c-00155d82e908</v>
      </c>
      <c r="AB1564" s="7" t="s">
        <v>42</v>
      </c>
      <c r="AC1564" s="7"/>
      <c r="AD1564" s="7"/>
      <c r="AE1564" s="54"/>
    </row>
    <row r="1565" spans="2:31" s="1" customFormat="1" ht="96.3" customHeight="1" outlineLevel="7">
      <c r="B1565" s="58">
        <v>1197</v>
      </c>
      <c r="C1565" s="7" t="s">
        <v>5459</v>
      </c>
      <c r="D1565" s="71" t="s">
        <v>5460</v>
      </c>
      <c r="E1565" s="71"/>
      <c r="F1565" s="71"/>
      <c r="G1565" s="71"/>
      <c r="H1565" s="8" t="s">
        <v>5461</v>
      </c>
      <c r="I1565" s="14">
        <v>427</v>
      </c>
      <c r="J1565" s="8"/>
      <c r="K1565" s="6">
        <v>1</v>
      </c>
      <c r="L1565" s="15">
        <v>1759.21</v>
      </c>
      <c r="M1565" s="11"/>
      <c r="N1565" s="8">
        <f t="shared" si="67"/>
        <v>0</v>
      </c>
      <c r="O1565" s="12">
        <f>0.943*M1565</f>
        <v>0</v>
      </c>
      <c r="P1565" s="13">
        <f>0.01982*M1565</f>
        <v>0</v>
      </c>
      <c r="Q1565" s="17" t="s">
        <v>37</v>
      </c>
      <c r="R1565" s="8" t="s">
        <v>5462</v>
      </c>
      <c r="S1565" s="8"/>
      <c r="T1565" s="7" t="str">
        <f>HYPERLINK("https://miland.ru/api/getInfo/image/a8dce5ab-d5c0-11f0-a28c-00155d82e908")</f>
        <v>https://miland.ru/api/getInfo/image/a8dce5ab-d5c0-11f0-a28c-00155d82e908</v>
      </c>
      <c r="U1565" s="7"/>
      <c r="V1565" s="7"/>
      <c r="W1565" s="7" t="s">
        <v>82</v>
      </c>
      <c r="X1565" s="7"/>
      <c r="Y1565" s="7" t="s">
        <v>41</v>
      </c>
      <c r="Z1565" s="7"/>
      <c r="AA1565" s="7" t="str">
        <f>HYPERLINK("https://miland.ru/api/getInfo/item/a8dce5ab-d5c0-11f0-a28c-00155d82e908")</f>
        <v>https://miland.ru/api/getInfo/item/a8dce5ab-d5c0-11f0-a28c-00155d82e908</v>
      </c>
      <c r="AB1565" s="7" t="s">
        <v>42</v>
      </c>
      <c r="AC1565" s="7"/>
      <c r="AD1565" s="7"/>
      <c r="AE1565" s="54"/>
    </row>
    <row r="1566" spans="2:31" ht="12" customHeight="1" outlineLevel="6">
      <c r="B1566" s="70" t="s">
        <v>5463</v>
      </c>
      <c r="C1566" s="70"/>
      <c r="D1566" s="70"/>
      <c r="E1566" s="70"/>
      <c r="F1566" s="70"/>
      <c r="G1566" s="70"/>
    </row>
    <row r="1567" spans="2:31" s="1" customFormat="1" ht="96.3" customHeight="1" outlineLevel="7">
      <c r="B1567" s="57">
        <v>1198</v>
      </c>
      <c r="C1567" s="21" t="s">
        <v>5464</v>
      </c>
      <c r="D1567" s="72" t="s">
        <v>5465</v>
      </c>
      <c r="E1567" s="72"/>
      <c r="F1567" s="72"/>
      <c r="G1567" s="72"/>
      <c r="H1567" s="22" t="s">
        <v>5466</v>
      </c>
      <c r="I1567" s="27">
        <v>17</v>
      </c>
      <c r="J1567" s="22"/>
      <c r="K1567" s="20">
        <v>1</v>
      </c>
      <c r="L1567" s="32">
        <v>2132</v>
      </c>
      <c r="M1567" s="11"/>
      <c r="N1567" s="22">
        <f>L1567*M1567</f>
        <v>0</v>
      </c>
      <c r="O1567" s="25">
        <f>0.487*M1567</f>
        <v>0</v>
      </c>
      <c r="P1567" s="26">
        <f>0.00841*M1567</f>
        <v>0</v>
      </c>
      <c r="Q1567" s="30"/>
      <c r="R1567" s="22" t="s">
        <v>5467</v>
      </c>
      <c r="S1567" s="22" t="s">
        <v>435</v>
      </c>
      <c r="T1567" s="21" t="str">
        <f>HYPERLINK("https://miland.ru/api/getInfo/image/b055c708-f89a-11ee-a25d-00155d82e908")</f>
        <v>https://miland.ru/api/getInfo/image/b055c708-f89a-11ee-a25d-00155d82e908</v>
      </c>
      <c r="U1567" s="21"/>
      <c r="V1567" s="21"/>
      <c r="W1567" s="21"/>
      <c r="X1567" s="21"/>
      <c r="Y1567" s="21"/>
      <c r="Z1567" s="21"/>
      <c r="AA1567" s="21" t="str">
        <f>HYPERLINK("https://miland.ru/api/getInfo/item/b055c708-f89a-11ee-a25d-00155d82e908")</f>
        <v>https://miland.ru/api/getInfo/item/b055c708-f89a-11ee-a25d-00155d82e908</v>
      </c>
      <c r="AB1567" s="21" t="s">
        <v>42</v>
      </c>
      <c r="AC1567" s="21" t="s">
        <v>4934</v>
      </c>
      <c r="AD1567" s="21"/>
    </row>
    <row r="1568" spans="2:31" s="1" customFormat="1" ht="96.3" customHeight="1" outlineLevel="7">
      <c r="B1568" s="57">
        <v>1199</v>
      </c>
      <c r="C1568" s="21" t="s">
        <v>5468</v>
      </c>
      <c r="D1568" s="72" t="s">
        <v>5469</v>
      </c>
      <c r="E1568" s="72"/>
      <c r="F1568" s="72"/>
      <c r="G1568" s="72"/>
      <c r="H1568" s="22" t="s">
        <v>5470</v>
      </c>
      <c r="I1568" s="27">
        <v>11</v>
      </c>
      <c r="J1568" s="22"/>
      <c r="K1568" s="20">
        <v>1</v>
      </c>
      <c r="L1568" s="32">
        <v>2132</v>
      </c>
      <c r="M1568" s="11"/>
      <c r="N1568" s="22">
        <f>L1568*M1568</f>
        <v>0</v>
      </c>
      <c r="O1568" s="28">
        <f>0.49*M1568</f>
        <v>0</v>
      </c>
      <c r="P1568" s="26">
        <f>0.00633*M1568</f>
        <v>0</v>
      </c>
      <c r="Q1568" s="30"/>
      <c r="R1568" s="22" t="s">
        <v>5471</v>
      </c>
      <c r="S1568" s="22" t="s">
        <v>435</v>
      </c>
      <c r="T1568" s="21" t="str">
        <f>HYPERLINK("https://miland.ru/api/getInfo/image/96e6862e-f89a-11ee-a25d-00155d82e908")</f>
        <v>https://miland.ru/api/getInfo/image/96e6862e-f89a-11ee-a25d-00155d82e908</v>
      </c>
      <c r="U1568" s="21"/>
      <c r="V1568" s="21"/>
      <c r="W1568" s="21"/>
      <c r="X1568" s="21"/>
      <c r="Y1568" s="21"/>
      <c r="Z1568" s="21"/>
      <c r="AA1568" s="21" t="str">
        <f>HYPERLINK("https://miland.ru/api/getInfo/item/96e6862e-f89a-11ee-a25d-00155d82e908")</f>
        <v>https://miland.ru/api/getInfo/item/96e6862e-f89a-11ee-a25d-00155d82e908</v>
      </c>
      <c r="AB1568" s="21" t="s">
        <v>42</v>
      </c>
      <c r="AC1568" s="21" t="s">
        <v>4934</v>
      </c>
      <c r="AD1568" s="21"/>
    </row>
    <row r="1569" spans="2:31" s="1" customFormat="1" ht="96.3" customHeight="1" outlineLevel="7">
      <c r="B1569" s="57">
        <v>1200</v>
      </c>
      <c r="C1569" s="21" t="s">
        <v>5472</v>
      </c>
      <c r="D1569" s="72" t="s">
        <v>5473</v>
      </c>
      <c r="E1569" s="72"/>
      <c r="F1569" s="72"/>
      <c r="G1569" s="72"/>
      <c r="H1569" s="22" t="s">
        <v>5474</v>
      </c>
      <c r="I1569" s="27">
        <v>13</v>
      </c>
      <c r="J1569" s="22"/>
      <c r="K1569" s="20">
        <v>1</v>
      </c>
      <c r="L1569" s="32">
        <v>2265.25</v>
      </c>
      <c r="M1569" s="11"/>
      <c r="N1569" s="22">
        <f>L1569*M1569</f>
        <v>0</v>
      </c>
      <c r="O1569" s="25">
        <f>0.459*M1569</f>
        <v>0</v>
      </c>
      <c r="P1569" s="26">
        <f>0.00966*M1569</f>
        <v>0</v>
      </c>
      <c r="Q1569" s="30"/>
      <c r="R1569" s="22" t="s">
        <v>5475</v>
      </c>
      <c r="S1569" s="22" t="s">
        <v>435</v>
      </c>
      <c r="T1569" s="21" t="str">
        <f>HYPERLINK("https://miland.ru/api/getInfo/image/306ae70c-f89a-11ee-a25d-00155d82e908")</f>
        <v>https://miland.ru/api/getInfo/image/306ae70c-f89a-11ee-a25d-00155d82e908</v>
      </c>
      <c r="U1569" s="21"/>
      <c r="V1569" s="21"/>
      <c r="W1569" s="21"/>
      <c r="X1569" s="21"/>
      <c r="Y1569" s="21"/>
      <c r="Z1569" s="21"/>
      <c r="AA1569" s="21" t="str">
        <f>HYPERLINK("https://miland.ru/api/getInfo/item/306ae70c-f89a-11ee-a25d-00155d82e908")</f>
        <v>https://miland.ru/api/getInfo/item/306ae70c-f89a-11ee-a25d-00155d82e908</v>
      </c>
      <c r="AB1569" s="21" t="s">
        <v>42</v>
      </c>
      <c r="AC1569" s="21" t="s">
        <v>4772</v>
      </c>
      <c r="AD1569" s="21"/>
    </row>
    <row r="1570" spans="2:31" ht="12" customHeight="1" outlineLevel="6">
      <c r="B1570" s="70" t="s">
        <v>5476</v>
      </c>
      <c r="C1570" s="70"/>
      <c r="D1570" s="70"/>
      <c r="E1570" s="70"/>
      <c r="F1570" s="70"/>
      <c r="G1570" s="70"/>
    </row>
    <row r="1571" spans="2:31" s="1" customFormat="1" ht="96.3" customHeight="1" outlineLevel="7">
      <c r="B1571" s="58">
        <v>1201</v>
      </c>
      <c r="C1571" s="7" t="s">
        <v>5477</v>
      </c>
      <c r="D1571" s="71" t="s">
        <v>5478</v>
      </c>
      <c r="E1571" s="71"/>
      <c r="F1571" s="71"/>
      <c r="G1571" s="71"/>
      <c r="H1571" s="8" t="s">
        <v>5479</v>
      </c>
      <c r="I1571" s="14">
        <v>391</v>
      </c>
      <c r="J1571" s="8"/>
      <c r="K1571" s="6">
        <v>1</v>
      </c>
      <c r="L1571" s="15">
        <v>1363.86</v>
      </c>
      <c r="M1571" s="11"/>
      <c r="N1571" s="8">
        <f>L1571*M1571</f>
        <v>0</v>
      </c>
      <c r="O1571" s="12">
        <f>0.562*M1571</f>
        <v>0</v>
      </c>
      <c r="P1571" s="13">
        <f>0.00866*M1571</f>
        <v>0</v>
      </c>
      <c r="Q1571" s="17" t="s">
        <v>37</v>
      </c>
      <c r="R1571" s="8" t="s">
        <v>5480</v>
      </c>
      <c r="S1571" s="8"/>
      <c r="T1571" s="7" t="str">
        <f>HYPERLINK("https://miland.ru/api/getInfo/image/cc142a03-d5c6-11f0-a28c-00155d82e908")</f>
        <v>https://miland.ru/api/getInfo/image/cc142a03-d5c6-11f0-a28c-00155d82e908</v>
      </c>
      <c r="U1571" s="7"/>
      <c r="V1571" s="7"/>
      <c r="W1571" s="7" t="s">
        <v>82</v>
      </c>
      <c r="X1571" s="7"/>
      <c r="Y1571" s="7" t="s">
        <v>41</v>
      </c>
      <c r="Z1571" s="7"/>
      <c r="AA1571" s="7" t="str">
        <f>HYPERLINK("https://miland.ru/api/getInfo/item/cc142a03-d5c6-11f0-a28c-00155d82e908")</f>
        <v>https://miland.ru/api/getInfo/item/cc142a03-d5c6-11f0-a28c-00155d82e908</v>
      </c>
      <c r="AB1571" s="7" t="s">
        <v>42</v>
      </c>
      <c r="AC1571" s="7"/>
      <c r="AD1571" s="7"/>
      <c r="AE1571" s="54"/>
    </row>
    <row r="1572" spans="2:31" ht="12" customHeight="1" outlineLevel="6">
      <c r="B1572" s="70" t="s">
        <v>5481</v>
      </c>
      <c r="C1572" s="70"/>
      <c r="D1572" s="70"/>
      <c r="E1572" s="70"/>
      <c r="F1572" s="70"/>
      <c r="G1572" s="70"/>
    </row>
    <row r="1573" spans="2:31" s="1" customFormat="1" ht="96.3" customHeight="1" outlineLevel="7">
      <c r="B1573" s="57">
        <v>1202</v>
      </c>
      <c r="C1573" s="21" t="s">
        <v>5482</v>
      </c>
      <c r="D1573" s="72" t="s">
        <v>5483</v>
      </c>
      <c r="E1573" s="72"/>
      <c r="F1573" s="72"/>
      <c r="G1573" s="72"/>
      <c r="H1573" s="22" t="s">
        <v>5484</v>
      </c>
      <c r="I1573" s="27">
        <v>105</v>
      </c>
      <c r="J1573" s="22"/>
      <c r="K1573" s="20">
        <v>1</v>
      </c>
      <c r="L1573" s="32">
        <v>1700.92</v>
      </c>
      <c r="M1573" s="11"/>
      <c r="N1573" s="22">
        <f>L1573*M1573</f>
        <v>0</v>
      </c>
      <c r="O1573" s="25">
        <f>0.429*M1573</f>
        <v>0</v>
      </c>
      <c r="P1573" s="26">
        <f>0.00705*M1573</f>
        <v>0</v>
      </c>
      <c r="Q1573" s="30"/>
      <c r="R1573" s="22" t="s">
        <v>5485</v>
      </c>
      <c r="S1573" s="22" t="s">
        <v>435</v>
      </c>
      <c r="T1573" s="21" t="str">
        <f>HYPERLINK("https://miland.ru/api/getInfo/image/3f35cf22-f89b-11ee-a25d-00155d82e908")</f>
        <v>https://miland.ru/api/getInfo/image/3f35cf22-f89b-11ee-a25d-00155d82e908</v>
      </c>
      <c r="U1573" s="21"/>
      <c r="V1573" s="21"/>
      <c r="W1573" s="21"/>
      <c r="X1573" s="21"/>
      <c r="Y1573" s="21"/>
      <c r="Z1573" s="21"/>
      <c r="AA1573" s="21" t="str">
        <f>HYPERLINK("https://miland.ru/api/getInfo/item/3f35cf22-f89b-11ee-a25d-00155d82e908")</f>
        <v>https://miland.ru/api/getInfo/item/3f35cf22-f89b-11ee-a25d-00155d82e908</v>
      </c>
      <c r="AB1573" s="21" t="s">
        <v>42</v>
      </c>
      <c r="AC1573" s="21" t="s">
        <v>5486</v>
      </c>
      <c r="AD1573" s="21"/>
    </row>
    <row r="1574" spans="2:31" s="1" customFormat="1" ht="96.3" customHeight="1" outlineLevel="7">
      <c r="B1574" s="57">
        <v>1203</v>
      </c>
      <c r="C1574" s="21" t="s">
        <v>5487</v>
      </c>
      <c r="D1574" s="72" t="s">
        <v>5488</v>
      </c>
      <c r="E1574" s="72"/>
      <c r="F1574" s="72"/>
      <c r="G1574" s="72"/>
      <c r="H1574" s="22" t="s">
        <v>5489</v>
      </c>
      <c r="I1574" s="27">
        <v>134</v>
      </c>
      <c r="J1574" s="22"/>
      <c r="K1574" s="20">
        <v>1</v>
      </c>
      <c r="L1574" s="32">
        <v>1700.92</v>
      </c>
      <c r="M1574" s="11"/>
      <c r="N1574" s="22">
        <f>L1574*M1574</f>
        <v>0</v>
      </c>
      <c r="O1574" s="25">
        <f>0.426*M1574</f>
        <v>0</v>
      </c>
      <c r="P1574" s="26">
        <f>0.00562*M1574</f>
        <v>0</v>
      </c>
      <c r="Q1574" s="30"/>
      <c r="R1574" s="22" t="s">
        <v>5490</v>
      </c>
      <c r="S1574" s="22" t="s">
        <v>435</v>
      </c>
      <c r="T1574" s="21" t="str">
        <f>HYPERLINK("https://miland.ru/api/getInfo/image/29175441-f89b-11ee-a25d-00155d82e908")</f>
        <v>https://miland.ru/api/getInfo/image/29175441-f89b-11ee-a25d-00155d82e908</v>
      </c>
      <c r="U1574" s="21"/>
      <c r="V1574" s="21"/>
      <c r="W1574" s="21"/>
      <c r="X1574" s="21"/>
      <c r="Y1574" s="21"/>
      <c r="Z1574" s="21"/>
      <c r="AA1574" s="21" t="str">
        <f>HYPERLINK("https://miland.ru/api/getInfo/item/29175441-f89b-11ee-a25d-00155d82e908")</f>
        <v>https://miland.ru/api/getInfo/item/29175441-f89b-11ee-a25d-00155d82e908</v>
      </c>
      <c r="AB1574" s="21" t="s">
        <v>42</v>
      </c>
      <c r="AC1574" s="21" t="s">
        <v>5486</v>
      </c>
      <c r="AD1574" s="21"/>
    </row>
    <row r="1575" spans="2:31" s="1" customFormat="1" ht="96.3" customHeight="1" outlineLevel="7">
      <c r="B1575" s="57">
        <v>1204</v>
      </c>
      <c r="C1575" s="21" t="s">
        <v>5491</v>
      </c>
      <c r="D1575" s="72" t="s">
        <v>5492</v>
      </c>
      <c r="E1575" s="72"/>
      <c r="F1575" s="72"/>
      <c r="G1575" s="72"/>
      <c r="H1575" s="22" t="s">
        <v>5493</v>
      </c>
      <c r="I1575" s="27">
        <v>98</v>
      </c>
      <c r="J1575" s="22"/>
      <c r="K1575" s="20">
        <v>1</v>
      </c>
      <c r="L1575" s="32">
        <v>1889.88</v>
      </c>
      <c r="M1575" s="11"/>
      <c r="N1575" s="22">
        <f>L1575*M1575</f>
        <v>0</v>
      </c>
      <c r="O1575" s="25">
        <f>0.286*M1575</f>
        <v>0</v>
      </c>
      <c r="P1575" s="26">
        <f>0.00612*M1575</f>
        <v>0</v>
      </c>
      <c r="Q1575" s="30"/>
      <c r="R1575" s="22" t="s">
        <v>5494</v>
      </c>
      <c r="S1575" s="22" t="s">
        <v>435</v>
      </c>
      <c r="T1575" s="21" t="str">
        <f>HYPERLINK("https://miland.ru/api/getInfo/image/0442ace2-f89e-11ee-a25d-00155d82e908")</f>
        <v>https://miland.ru/api/getInfo/image/0442ace2-f89e-11ee-a25d-00155d82e908</v>
      </c>
      <c r="U1575" s="21"/>
      <c r="V1575" s="21"/>
      <c r="W1575" s="21"/>
      <c r="X1575" s="21"/>
      <c r="Y1575" s="21"/>
      <c r="Z1575" s="21"/>
      <c r="AA1575" s="21" t="str">
        <f>HYPERLINK("https://miland.ru/api/getInfo/item/0442ace2-f89e-11ee-a25d-00155d82e908")</f>
        <v>https://miland.ru/api/getInfo/item/0442ace2-f89e-11ee-a25d-00155d82e908</v>
      </c>
      <c r="AB1575" s="21" t="s">
        <v>42</v>
      </c>
      <c r="AC1575" s="21" t="s">
        <v>5486</v>
      </c>
      <c r="AD1575" s="21"/>
    </row>
    <row r="1576" spans="2:31" s="1" customFormat="1" ht="96.3" customHeight="1" outlineLevel="7">
      <c r="B1576" s="57">
        <v>1205</v>
      </c>
      <c r="C1576" s="21" t="s">
        <v>5495</v>
      </c>
      <c r="D1576" s="72" t="s">
        <v>5496</v>
      </c>
      <c r="E1576" s="72"/>
      <c r="F1576" s="72"/>
      <c r="G1576" s="72"/>
      <c r="H1576" s="22" t="s">
        <v>5497</v>
      </c>
      <c r="I1576" s="27">
        <v>80</v>
      </c>
      <c r="J1576" s="22"/>
      <c r="K1576" s="20">
        <v>1</v>
      </c>
      <c r="L1576" s="32">
        <v>1700.92</v>
      </c>
      <c r="M1576" s="11"/>
      <c r="N1576" s="22">
        <f>L1576*M1576</f>
        <v>0</v>
      </c>
      <c r="O1576" s="25">
        <f>0.411*M1576</f>
        <v>0</v>
      </c>
      <c r="P1576" s="26">
        <f>0.00733*M1576</f>
        <v>0</v>
      </c>
      <c r="Q1576" s="30"/>
      <c r="R1576" s="22" t="s">
        <v>5498</v>
      </c>
      <c r="S1576" s="22" t="s">
        <v>435</v>
      </c>
      <c r="T1576" s="21" t="str">
        <f>HYPERLINK("https://miland.ru/api/getInfo/image/202e8e25-f89e-11ee-a25d-00155d82e908")</f>
        <v>https://miland.ru/api/getInfo/image/202e8e25-f89e-11ee-a25d-00155d82e908</v>
      </c>
      <c r="U1576" s="21"/>
      <c r="V1576" s="21"/>
      <c r="W1576" s="21"/>
      <c r="X1576" s="21"/>
      <c r="Y1576" s="21"/>
      <c r="Z1576" s="21"/>
      <c r="AA1576" s="21" t="str">
        <f>HYPERLINK("https://miland.ru/api/getInfo/item/202e8e25-f89e-11ee-a25d-00155d82e908")</f>
        <v>https://miland.ru/api/getInfo/item/202e8e25-f89e-11ee-a25d-00155d82e908</v>
      </c>
      <c r="AB1576" s="21" t="s">
        <v>42</v>
      </c>
      <c r="AC1576" s="21" t="s">
        <v>5499</v>
      </c>
      <c r="AD1576" s="21"/>
    </row>
    <row r="1577" spans="2:31" ht="12" customHeight="1" outlineLevel="6">
      <c r="B1577" s="70" t="s">
        <v>5500</v>
      </c>
      <c r="C1577" s="70"/>
      <c r="D1577" s="70"/>
      <c r="E1577" s="70"/>
      <c r="F1577" s="70"/>
      <c r="G1577" s="70"/>
    </row>
    <row r="1578" spans="2:31" s="1" customFormat="1" ht="96.3" customHeight="1" outlineLevel="7">
      <c r="B1578" s="58">
        <v>1206</v>
      </c>
      <c r="C1578" s="7" t="s">
        <v>5501</v>
      </c>
      <c r="D1578" s="71" t="s">
        <v>5502</v>
      </c>
      <c r="E1578" s="71"/>
      <c r="F1578" s="71"/>
      <c r="G1578" s="71"/>
      <c r="H1578" s="8" t="s">
        <v>5503</v>
      </c>
      <c r="I1578" s="14">
        <v>375</v>
      </c>
      <c r="J1578" s="8"/>
      <c r="K1578" s="6">
        <v>1</v>
      </c>
      <c r="L1578" s="10">
        <v>906.08</v>
      </c>
      <c r="M1578" s="11"/>
      <c r="N1578" s="8">
        <f t="shared" ref="N1578:N1588" si="68">L1578*M1578</f>
        <v>0</v>
      </c>
      <c r="O1578" s="12">
        <f>0.285*M1578</f>
        <v>0</v>
      </c>
      <c r="P1578" s="12">
        <f>0.002*M1578</f>
        <v>0</v>
      </c>
      <c r="Q1578" s="17" t="s">
        <v>37</v>
      </c>
      <c r="R1578" s="8" t="s">
        <v>5504</v>
      </c>
      <c r="S1578" s="8"/>
      <c r="T1578" s="7" t="str">
        <f>HYPERLINK("https://miland.ru/api/getInfo/image/31f96165-d5c6-11f0-a28c-00155d82e908")</f>
        <v>https://miland.ru/api/getInfo/image/31f96165-d5c6-11f0-a28c-00155d82e908</v>
      </c>
      <c r="U1578" s="7"/>
      <c r="V1578" s="7"/>
      <c r="W1578" s="7" t="s">
        <v>82</v>
      </c>
      <c r="X1578" s="7"/>
      <c r="Y1578" s="7" t="s">
        <v>41</v>
      </c>
      <c r="Z1578" s="7"/>
      <c r="AA1578" s="7" t="str">
        <f>HYPERLINK("https://miland.ru/api/getInfo/item/31f96165-d5c6-11f0-a28c-00155d82e908")</f>
        <v>https://miland.ru/api/getInfo/item/31f96165-d5c6-11f0-a28c-00155d82e908</v>
      </c>
      <c r="AB1578" s="7" t="s">
        <v>42</v>
      </c>
      <c r="AC1578" s="7"/>
      <c r="AD1578" s="7"/>
      <c r="AE1578" s="54"/>
    </row>
    <row r="1579" spans="2:31" s="1" customFormat="1" ht="96.3" customHeight="1" outlineLevel="7">
      <c r="B1579" s="57">
        <v>1207</v>
      </c>
      <c r="C1579" s="21" t="s">
        <v>5505</v>
      </c>
      <c r="D1579" s="72" t="s">
        <v>5506</v>
      </c>
      <c r="E1579" s="72"/>
      <c r="F1579" s="72"/>
      <c r="G1579" s="72"/>
      <c r="H1579" s="22" t="s">
        <v>5507</v>
      </c>
      <c r="I1579" s="27">
        <v>9</v>
      </c>
      <c r="J1579" s="22"/>
      <c r="K1579" s="20">
        <v>1</v>
      </c>
      <c r="L1579" s="32">
        <v>1972.1</v>
      </c>
      <c r="M1579" s="11"/>
      <c r="N1579" s="22">
        <f t="shared" si="68"/>
        <v>0</v>
      </c>
      <c r="O1579" s="25">
        <f>0.151*M1579</f>
        <v>0</v>
      </c>
      <c r="P1579" s="26">
        <f>0.00653*M1579</f>
        <v>0</v>
      </c>
      <c r="Q1579" s="30"/>
      <c r="R1579" s="22" t="s">
        <v>5508</v>
      </c>
      <c r="S1579" s="22" t="s">
        <v>435</v>
      </c>
      <c r="T1579" s="21" t="str">
        <f>HYPERLINK("https://miland.ru/api/getInfo/image/9b0b5e6c-f897-11ee-a25d-00155d82e908")</f>
        <v>https://miland.ru/api/getInfo/image/9b0b5e6c-f897-11ee-a25d-00155d82e908</v>
      </c>
      <c r="U1579" s="21"/>
      <c r="V1579" s="21"/>
      <c r="W1579" s="21"/>
      <c r="X1579" s="21"/>
      <c r="Y1579" s="21"/>
      <c r="Z1579" s="21"/>
      <c r="AA1579" s="21" t="str">
        <f>HYPERLINK("https://miland.ru/api/getInfo/item/9b0b5e6c-f897-11ee-a25d-00155d82e908")</f>
        <v>https://miland.ru/api/getInfo/item/9b0b5e6c-f897-11ee-a25d-00155d82e908</v>
      </c>
      <c r="AB1579" s="21" t="s">
        <v>42</v>
      </c>
      <c r="AC1579" s="21" t="s">
        <v>5187</v>
      </c>
      <c r="AD1579" s="21"/>
    </row>
    <row r="1580" spans="2:31" s="1" customFormat="1" ht="96.3" customHeight="1" outlineLevel="7">
      <c r="B1580" s="57">
        <v>1208</v>
      </c>
      <c r="C1580" s="21" t="s">
        <v>5509</v>
      </c>
      <c r="D1580" s="72" t="s">
        <v>5510</v>
      </c>
      <c r="E1580" s="72"/>
      <c r="F1580" s="72"/>
      <c r="G1580" s="72"/>
      <c r="H1580" s="22" t="s">
        <v>5511</v>
      </c>
      <c r="I1580" s="27">
        <v>12</v>
      </c>
      <c r="J1580" s="22"/>
      <c r="K1580" s="20">
        <v>1</v>
      </c>
      <c r="L1580" s="32">
        <v>1748.15</v>
      </c>
      <c r="M1580" s="11"/>
      <c r="N1580" s="22">
        <f t="shared" si="68"/>
        <v>0</v>
      </c>
      <c r="O1580" s="25">
        <f>0.158*M1580</f>
        <v>0</v>
      </c>
      <c r="P1580" s="26">
        <f>0.00635*M1580</f>
        <v>0</v>
      </c>
      <c r="Q1580" s="30"/>
      <c r="R1580" s="22" t="s">
        <v>5512</v>
      </c>
      <c r="S1580" s="22" t="s">
        <v>435</v>
      </c>
      <c r="T1580" s="21" t="str">
        <f>HYPERLINK("https://miland.ru/api/getInfo/image/fcb442e6-f897-11ee-a25d-00155d82e908")</f>
        <v>https://miland.ru/api/getInfo/image/fcb442e6-f897-11ee-a25d-00155d82e908</v>
      </c>
      <c r="U1580" s="21"/>
      <c r="V1580" s="21"/>
      <c r="W1580" s="21"/>
      <c r="X1580" s="21"/>
      <c r="Y1580" s="21"/>
      <c r="Z1580" s="21"/>
      <c r="AA1580" s="21" t="str">
        <f>HYPERLINK("https://miland.ru/api/getInfo/item/fcb442e6-f897-11ee-a25d-00155d82e908")</f>
        <v>https://miland.ru/api/getInfo/item/fcb442e6-f897-11ee-a25d-00155d82e908</v>
      </c>
      <c r="AB1580" s="21" t="s">
        <v>42</v>
      </c>
      <c r="AC1580" s="21" t="s">
        <v>5187</v>
      </c>
      <c r="AD1580" s="21"/>
    </row>
    <row r="1581" spans="2:31" s="1" customFormat="1" ht="96.3" customHeight="1" outlineLevel="7">
      <c r="B1581" s="57">
        <v>1209</v>
      </c>
      <c r="C1581" s="21" t="s">
        <v>5513</v>
      </c>
      <c r="D1581" s="72" t="s">
        <v>5514</v>
      </c>
      <c r="E1581" s="72"/>
      <c r="F1581" s="72"/>
      <c r="G1581" s="72"/>
      <c r="H1581" s="22" t="s">
        <v>5515</v>
      </c>
      <c r="I1581" s="23" t="s">
        <v>36</v>
      </c>
      <c r="J1581" s="22"/>
      <c r="K1581" s="20">
        <v>1</v>
      </c>
      <c r="L1581" s="32">
        <v>1949.25</v>
      </c>
      <c r="M1581" s="11"/>
      <c r="N1581" s="22">
        <f t="shared" si="68"/>
        <v>0</v>
      </c>
      <c r="O1581" s="25">
        <f>0.305*M1581</f>
        <v>0</v>
      </c>
      <c r="P1581" s="26">
        <f>0.00521*M1581</f>
        <v>0</v>
      </c>
      <c r="Q1581" s="30"/>
      <c r="R1581" s="22" t="s">
        <v>5516</v>
      </c>
      <c r="S1581" s="22" t="s">
        <v>435</v>
      </c>
      <c r="T1581" s="21" t="str">
        <f>HYPERLINK("https://miland.ru/api/getInfo/image/d236535f-c65b-11ee-a25a-00155d82e908")</f>
        <v>https://miland.ru/api/getInfo/image/d236535f-c65b-11ee-a25a-00155d82e908</v>
      </c>
      <c r="U1581" s="21"/>
      <c r="V1581" s="21"/>
      <c r="W1581" s="21" t="s">
        <v>82</v>
      </c>
      <c r="X1581" s="21"/>
      <c r="Y1581" s="21" t="s">
        <v>41</v>
      </c>
      <c r="Z1581" s="21"/>
      <c r="AA1581" s="21" t="str">
        <f>HYPERLINK("https://miland.ru/api/getInfo/item/d236535f-c65b-11ee-a25a-00155d82e908")</f>
        <v>https://miland.ru/api/getInfo/item/d236535f-c65b-11ee-a25a-00155d82e908</v>
      </c>
      <c r="AB1581" s="21" t="s">
        <v>42</v>
      </c>
      <c r="AC1581" s="21" t="s">
        <v>5517</v>
      </c>
      <c r="AD1581" s="21"/>
    </row>
    <row r="1582" spans="2:31" s="1" customFormat="1" ht="96.3" customHeight="1" outlineLevel="7">
      <c r="B1582" s="57">
        <v>1210</v>
      </c>
      <c r="C1582" s="21" t="s">
        <v>5518</v>
      </c>
      <c r="D1582" s="72" t="s">
        <v>5519</v>
      </c>
      <c r="E1582" s="72"/>
      <c r="F1582" s="72"/>
      <c r="G1582" s="72"/>
      <c r="H1582" s="22" t="s">
        <v>5520</v>
      </c>
      <c r="I1582" s="27">
        <v>421</v>
      </c>
      <c r="J1582" s="22"/>
      <c r="K1582" s="20">
        <v>1</v>
      </c>
      <c r="L1582" s="32">
        <v>1949.25</v>
      </c>
      <c r="M1582" s="11"/>
      <c r="N1582" s="22">
        <f t="shared" si="68"/>
        <v>0</v>
      </c>
      <c r="O1582" s="25">
        <f>0.332*M1582</f>
        <v>0</v>
      </c>
      <c r="P1582" s="26">
        <f>0.00494*M1582</f>
        <v>0</v>
      </c>
      <c r="Q1582" s="30"/>
      <c r="R1582" s="22" t="s">
        <v>5521</v>
      </c>
      <c r="S1582" s="22"/>
      <c r="T1582" s="21" t="str">
        <f>HYPERLINK("https://miland.ru/api/getInfo/image/ba1279d3-c65b-11ee-a25a-00155d82e908")</f>
        <v>https://miland.ru/api/getInfo/image/ba1279d3-c65b-11ee-a25a-00155d82e908</v>
      </c>
      <c r="U1582" s="21"/>
      <c r="V1582" s="21"/>
      <c r="W1582" s="21" t="s">
        <v>82</v>
      </c>
      <c r="X1582" s="21"/>
      <c r="Y1582" s="21" t="s">
        <v>41</v>
      </c>
      <c r="Z1582" s="21"/>
      <c r="AA1582" s="21" t="str">
        <f>HYPERLINK("https://miland.ru/api/getInfo/item/ba1279d3-c65b-11ee-a25a-00155d82e908")</f>
        <v>https://miland.ru/api/getInfo/item/ba1279d3-c65b-11ee-a25a-00155d82e908</v>
      </c>
      <c r="AB1582" s="21" t="s">
        <v>42</v>
      </c>
      <c r="AC1582" s="21" t="s">
        <v>5517</v>
      </c>
      <c r="AD1582" s="21"/>
    </row>
    <row r="1583" spans="2:31" s="1" customFormat="1" ht="96.3" customHeight="1" outlineLevel="7">
      <c r="B1583" s="58">
        <v>1211</v>
      </c>
      <c r="C1583" s="7" t="s">
        <v>5522</v>
      </c>
      <c r="D1583" s="71" t="s">
        <v>5523</v>
      </c>
      <c r="E1583" s="71"/>
      <c r="F1583" s="71"/>
      <c r="G1583" s="71"/>
      <c r="H1583" s="8" t="s">
        <v>5524</v>
      </c>
      <c r="I1583" s="14">
        <v>400</v>
      </c>
      <c r="J1583" s="8"/>
      <c r="K1583" s="6">
        <v>1</v>
      </c>
      <c r="L1583" s="15">
        <v>1626.91</v>
      </c>
      <c r="M1583" s="11"/>
      <c r="N1583" s="8">
        <f t="shared" si="68"/>
        <v>0</v>
      </c>
      <c r="O1583" s="12">
        <f>0.344*M1583</f>
        <v>0</v>
      </c>
      <c r="P1583" s="13">
        <f>0.00449*M1583</f>
        <v>0</v>
      </c>
      <c r="Q1583" s="17" t="s">
        <v>37</v>
      </c>
      <c r="R1583" s="8" t="s">
        <v>5525</v>
      </c>
      <c r="S1583" s="8"/>
      <c r="T1583" s="7" t="str">
        <f>HYPERLINK("https://miland.ru/api/getInfo/image/e28a563a-e0c1-11f0-a28c-00155d82e908")</f>
        <v>https://miland.ru/api/getInfo/image/e28a563a-e0c1-11f0-a28c-00155d82e908</v>
      </c>
      <c r="U1583" s="7"/>
      <c r="V1583" s="7"/>
      <c r="W1583" s="7" t="s">
        <v>82</v>
      </c>
      <c r="X1583" s="7"/>
      <c r="Y1583" s="7" t="s">
        <v>41</v>
      </c>
      <c r="Z1583" s="7"/>
      <c r="AA1583" s="7" t="str">
        <f>HYPERLINK("https://miland.ru/api/getInfo/item/e28a563a-e0c1-11f0-a28c-00155d82e908")</f>
        <v>https://miland.ru/api/getInfo/item/e28a563a-e0c1-11f0-a28c-00155d82e908</v>
      </c>
      <c r="AB1583" s="7" t="s">
        <v>42</v>
      </c>
      <c r="AC1583" s="7"/>
      <c r="AD1583" s="7"/>
      <c r="AE1583" s="54"/>
    </row>
    <row r="1584" spans="2:31" s="1" customFormat="1" ht="96.3" customHeight="1" outlineLevel="7">
      <c r="B1584" s="58">
        <v>1212</v>
      </c>
      <c r="C1584" s="7" t="s">
        <v>5526</v>
      </c>
      <c r="D1584" s="71" t="s">
        <v>5527</v>
      </c>
      <c r="E1584" s="71"/>
      <c r="F1584" s="71"/>
      <c r="G1584" s="71"/>
      <c r="H1584" s="8" t="s">
        <v>5528</v>
      </c>
      <c r="I1584" s="14">
        <v>395</v>
      </c>
      <c r="J1584" s="8"/>
      <c r="K1584" s="6">
        <v>1</v>
      </c>
      <c r="L1584" s="15">
        <v>1626.91</v>
      </c>
      <c r="M1584" s="11"/>
      <c r="N1584" s="8">
        <f t="shared" si="68"/>
        <v>0</v>
      </c>
      <c r="O1584" s="12">
        <f>0.364*M1584</f>
        <v>0</v>
      </c>
      <c r="P1584" s="13">
        <f>0.00456*M1584</f>
        <v>0</v>
      </c>
      <c r="Q1584" s="17" t="s">
        <v>37</v>
      </c>
      <c r="R1584" s="8" t="s">
        <v>5529</v>
      </c>
      <c r="S1584" s="8"/>
      <c r="T1584" s="7" t="str">
        <f>HYPERLINK("https://miland.ru/api/getInfo/image/f3875dd4-e0c2-11f0-a28c-00155d82e908")</f>
        <v>https://miland.ru/api/getInfo/image/f3875dd4-e0c2-11f0-a28c-00155d82e908</v>
      </c>
      <c r="U1584" s="7"/>
      <c r="V1584" s="7"/>
      <c r="W1584" s="7" t="s">
        <v>82</v>
      </c>
      <c r="X1584" s="7"/>
      <c r="Y1584" s="7" t="s">
        <v>41</v>
      </c>
      <c r="Z1584" s="7"/>
      <c r="AA1584" s="7" t="str">
        <f>HYPERLINK("https://miland.ru/api/getInfo/item/f3875dd4-e0c2-11f0-a28c-00155d82e908")</f>
        <v>https://miland.ru/api/getInfo/item/f3875dd4-e0c2-11f0-a28c-00155d82e908</v>
      </c>
      <c r="AB1584" s="7" t="s">
        <v>42</v>
      </c>
      <c r="AC1584" s="7"/>
      <c r="AD1584" s="7"/>
      <c r="AE1584" s="54"/>
    </row>
    <row r="1585" spans="2:31" s="1" customFormat="1" ht="96.3" customHeight="1" outlineLevel="7">
      <c r="B1585" s="58">
        <v>1213</v>
      </c>
      <c r="C1585" s="7" t="s">
        <v>5530</v>
      </c>
      <c r="D1585" s="71" t="s">
        <v>5531</v>
      </c>
      <c r="E1585" s="71"/>
      <c r="F1585" s="71"/>
      <c r="G1585" s="71"/>
      <c r="H1585" s="8" t="s">
        <v>5532</v>
      </c>
      <c r="I1585" s="14">
        <v>379</v>
      </c>
      <c r="J1585" s="8"/>
      <c r="K1585" s="6">
        <v>1</v>
      </c>
      <c r="L1585" s="15">
        <v>1394.67</v>
      </c>
      <c r="M1585" s="11"/>
      <c r="N1585" s="8">
        <f t="shared" si="68"/>
        <v>0</v>
      </c>
      <c r="O1585" s="12">
        <f>0.345*M1585</f>
        <v>0</v>
      </c>
      <c r="P1585" s="16">
        <f>0.0078*M1585</f>
        <v>0</v>
      </c>
      <c r="Q1585" s="17" t="s">
        <v>37</v>
      </c>
      <c r="R1585" s="8" t="s">
        <v>5533</v>
      </c>
      <c r="S1585" s="8"/>
      <c r="T1585" s="7" t="str">
        <f>HYPERLINK("https://miland.ru/api/getInfo/image/328cfe8a-e0bf-11f0-a28c-00155d82e908")</f>
        <v>https://miland.ru/api/getInfo/image/328cfe8a-e0bf-11f0-a28c-00155d82e908</v>
      </c>
      <c r="U1585" s="7"/>
      <c r="V1585" s="7"/>
      <c r="W1585" s="7" t="s">
        <v>82</v>
      </c>
      <c r="X1585" s="7"/>
      <c r="Y1585" s="7" t="s">
        <v>41</v>
      </c>
      <c r="Z1585" s="7"/>
      <c r="AA1585" s="7" t="str">
        <f>HYPERLINK("https://miland.ru/api/getInfo/item/328cfe8a-e0bf-11f0-a28c-00155d82e908")</f>
        <v>https://miland.ru/api/getInfo/item/328cfe8a-e0bf-11f0-a28c-00155d82e908</v>
      </c>
      <c r="AB1585" s="7" t="s">
        <v>42</v>
      </c>
      <c r="AC1585" s="7"/>
      <c r="AD1585" s="7"/>
      <c r="AE1585" s="54"/>
    </row>
    <row r="1586" spans="2:31" s="1" customFormat="1" ht="96.3" customHeight="1" outlineLevel="7">
      <c r="B1586" s="58">
        <v>1214</v>
      </c>
      <c r="C1586" s="7" t="s">
        <v>5534</v>
      </c>
      <c r="D1586" s="71" t="s">
        <v>5535</v>
      </c>
      <c r="E1586" s="71"/>
      <c r="F1586" s="71"/>
      <c r="G1586" s="71"/>
      <c r="H1586" s="8" t="s">
        <v>5536</v>
      </c>
      <c r="I1586" s="14">
        <v>414</v>
      </c>
      <c r="J1586" s="8"/>
      <c r="K1586" s="6">
        <v>1</v>
      </c>
      <c r="L1586" s="15">
        <v>1626.91</v>
      </c>
      <c r="M1586" s="11"/>
      <c r="N1586" s="8">
        <f t="shared" si="68"/>
        <v>0</v>
      </c>
      <c r="O1586" s="12">
        <f>0.342*M1586</f>
        <v>0</v>
      </c>
      <c r="P1586" s="13">
        <f>0.00426*M1586</f>
        <v>0</v>
      </c>
      <c r="Q1586" s="17" t="s">
        <v>37</v>
      </c>
      <c r="R1586" s="8" t="s">
        <v>5537</v>
      </c>
      <c r="S1586" s="8"/>
      <c r="T1586" s="7" t="str">
        <f>HYPERLINK("https://miland.ru/api/getInfo/image/b8ce4fc0-e0c2-11f0-a28c-00155d82e908")</f>
        <v>https://miland.ru/api/getInfo/image/b8ce4fc0-e0c2-11f0-a28c-00155d82e908</v>
      </c>
      <c r="U1586" s="7"/>
      <c r="V1586" s="7"/>
      <c r="W1586" s="7" t="s">
        <v>82</v>
      </c>
      <c r="X1586" s="7"/>
      <c r="Y1586" s="7" t="s">
        <v>41</v>
      </c>
      <c r="Z1586" s="7"/>
      <c r="AA1586" s="7" t="str">
        <f>HYPERLINK("https://miland.ru/api/getInfo/item/b8ce4fc0-e0c2-11f0-a28c-00155d82e908")</f>
        <v>https://miland.ru/api/getInfo/item/b8ce4fc0-e0c2-11f0-a28c-00155d82e908</v>
      </c>
      <c r="AB1586" s="7" t="s">
        <v>42</v>
      </c>
      <c r="AC1586" s="7"/>
      <c r="AD1586" s="7"/>
      <c r="AE1586" s="54"/>
    </row>
    <row r="1587" spans="2:31" s="1" customFormat="1" ht="96.3" customHeight="1" outlineLevel="7">
      <c r="B1587" s="58">
        <v>1215</v>
      </c>
      <c r="C1587" s="7" t="s">
        <v>5538</v>
      </c>
      <c r="D1587" s="71" t="s">
        <v>5539</v>
      </c>
      <c r="E1587" s="71"/>
      <c r="F1587" s="71"/>
      <c r="G1587" s="71"/>
      <c r="H1587" s="8" t="s">
        <v>5540</v>
      </c>
      <c r="I1587" s="14">
        <v>416</v>
      </c>
      <c r="J1587" s="8"/>
      <c r="K1587" s="6">
        <v>1</v>
      </c>
      <c r="L1587" s="15">
        <v>1626.91</v>
      </c>
      <c r="M1587" s="11"/>
      <c r="N1587" s="8">
        <f t="shared" si="68"/>
        <v>0</v>
      </c>
      <c r="O1587" s="12">
        <f>0.367*M1587</f>
        <v>0</v>
      </c>
      <c r="P1587" s="16">
        <f>0.0056*M1587</f>
        <v>0</v>
      </c>
      <c r="Q1587" s="17" t="s">
        <v>37</v>
      </c>
      <c r="R1587" s="8" t="s">
        <v>5541</v>
      </c>
      <c r="S1587" s="8"/>
      <c r="T1587" s="7" t="str">
        <f>HYPERLINK("https://miland.ru/api/getInfo/image/07933c43-e0c3-11f0-a28c-00155d82e908")</f>
        <v>https://miland.ru/api/getInfo/image/07933c43-e0c3-11f0-a28c-00155d82e908</v>
      </c>
      <c r="U1587" s="7"/>
      <c r="V1587" s="7"/>
      <c r="W1587" s="7" t="s">
        <v>82</v>
      </c>
      <c r="X1587" s="7"/>
      <c r="Y1587" s="7" t="s">
        <v>41</v>
      </c>
      <c r="Z1587" s="7"/>
      <c r="AA1587" s="7" t="str">
        <f>HYPERLINK("https://miland.ru/api/getInfo/item/07933c43-e0c3-11f0-a28c-00155d82e908")</f>
        <v>https://miland.ru/api/getInfo/item/07933c43-e0c3-11f0-a28c-00155d82e908</v>
      </c>
      <c r="AB1587" s="7" t="s">
        <v>42</v>
      </c>
      <c r="AC1587" s="7"/>
      <c r="AD1587" s="7"/>
      <c r="AE1587" s="54"/>
    </row>
    <row r="1588" spans="2:31" s="1" customFormat="1" ht="96.3" customHeight="1" outlineLevel="7">
      <c r="B1588" s="58">
        <v>1216</v>
      </c>
      <c r="C1588" s="7" t="s">
        <v>5542</v>
      </c>
      <c r="D1588" s="71" t="s">
        <v>5543</v>
      </c>
      <c r="E1588" s="71"/>
      <c r="F1588" s="71"/>
      <c r="G1588" s="71"/>
      <c r="H1588" s="8" t="s">
        <v>5544</v>
      </c>
      <c r="I1588" s="14">
        <v>387</v>
      </c>
      <c r="J1588" s="8"/>
      <c r="K1588" s="6">
        <v>1</v>
      </c>
      <c r="L1588" s="15">
        <v>1394.67</v>
      </c>
      <c r="M1588" s="11"/>
      <c r="N1588" s="8">
        <f t="shared" si="68"/>
        <v>0</v>
      </c>
      <c r="O1588" s="12">
        <f>0.342*M1588</f>
        <v>0</v>
      </c>
      <c r="P1588" s="13">
        <f>0.00918*M1588</f>
        <v>0</v>
      </c>
      <c r="Q1588" s="17" t="s">
        <v>37</v>
      </c>
      <c r="R1588" s="8" t="s">
        <v>5545</v>
      </c>
      <c r="S1588" s="8"/>
      <c r="T1588" s="7" t="str">
        <f>HYPERLINK("https://miland.ru/api/getInfo/image/c26cbe23-e0bf-11f0-a28c-00155d82e908")</f>
        <v>https://miland.ru/api/getInfo/image/c26cbe23-e0bf-11f0-a28c-00155d82e908</v>
      </c>
      <c r="U1588" s="7"/>
      <c r="V1588" s="7"/>
      <c r="W1588" s="7" t="s">
        <v>82</v>
      </c>
      <c r="X1588" s="7"/>
      <c r="Y1588" s="7" t="s">
        <v>41</v>
      </c>
      <c r="Z1588" s="7"/>
      <c r="AA1588" s="7" t="str">
        <f>HYPERLINK("https://miland.ru/api/getInfo/item/c26cbe23-e0bf-11f0-a28c-00155d82e908")</f>
        <v>https://miland.ru/api/getInfo/item/c26cbe23-e0bf-11f0-a28c-00155d82e908</v>
      </c>
      <c r="AB1588" s="7" t="s">
        <v>42</v>
      </c>
      <c r="AC1588" s="7"/>
      <c r="AD1588" s="7"/>
      <c r="AE1588" s="54"/>
    </row>
    <row r="1589" spans="2:31" ht="12" customHeight="1" outlineLevel="3">
      <c r="B1589" s="70" t="s">
        <v>5546</v>
      </c>
      <c r="C1589" s="70"/>
      <c r="D1589" s="70"/>
      <c r="E1589" s="70"/>
      <c r="F1589" s="70"/>
      <c r="G1589" s="70"/>
    </row>
    <row r="1590" spans="2:31" ht="12" customHeight="1" outlineLevel="4">
      <c r="B1590" s="70" t="s">
        <v>5547</v>
      </c>
      <c r="C1590" s="70"/>
      <c r="D1590" s="70"/>
      <c r="E1590" s="70"/>
      <c r="F1590" s="70"/>
      <c r="G1590" s="70"/>
    </row>
    <row r="1591" spans="2:31" ht="12" customHeight="1" outlineLevel="5">
      <c r="B1591" s="70" t="s">
        <v>5548</v>
      </c>
      <c r="C1591" s="70"/>
      <c r="D1591" s="70"/>
      <c r="E1591" s="70"/>
      <c r="F1591" s="70"/>
      <c r="G1591" s="70"/>
    </row>
    <row r="1592" spans="2:31" ht="12" customHeight="1" outlineLevel="6">
      <c r="B1592" s="70" t="s">
        <v>5549</v>
      </c>
      <c r="C1592" s="70"/>
      <c r="D1592" s="70"/>
      <c r="E1592" s="70"/>
      <c r="F1592" s="70"/>
      <c r="G1592" s="70"/>
    </row>
    <row r="1593" spans="2:31" ht="12" customHeight="1" outlineLevel="7">
      <c r="B1593" s="70" t="s">
        <v>5550</v>
      </c>
      <c r="C1593" s="70"/>
      <c r="D1593" s="70"/>
      <c r="E1593" s="70"/>
      <c r="F1593" s="70"/>
      <c r="G1593" s="70"/>
    </row>
    <row r="1594" spans="2:31" s="1" customFormat="1" ht="96.3" customHeight="1" outlineLevel="7">
      <c r="B1594" s="57">
        <v>1217</v>
      </c>
      <c r="C1594" s="21" t="s">
        <v>5551</v>
      </c>
      <c r="D1594" s="72" t="s">
        <v>5552</v>
      </c>
      <c r="E1594" s="72"/>
      <c r="F1594" s="72"/>
      <c r="G1594" s="72"/>
      <c r="H1594" s="22" t="s">
        <v>5553</v>
      </c>
      <c r="I1594" s="27">
        <v>136</v>
      </c>
      <c r="J1594" s="22"/>
      <c r="K1594" s="20">
        <v>1</v>
      </c>
      <c r="L1594" s="32">
        <v>2279.63</v>
      </c>
      <c r="M1594" s="11"/>
      <c r="N1594" s="22">
        <f>L1594*M1594</f>
        <v>0</v>
      </c>
      <c r="O1594" s="25">
        <f>0.686*M1594</f>
        <v>0</v>
      </c>
      <c r="P1594" s="26">
        <f>0.00341*M1594</f>
        <v>0</v>
      </c>
      <c r="Q1594" s="30"/>
      <c r="R1594" s="22" t="s">
        <v>5554</v>
      </c>
      <c r="S1594" s="22"/>
      <c r="T1594" s="21" t="str">
        <f>HYPERLINK("https://miland.ru/api/getInfo/image/efdd6be9-0bc5-11f0-a279-00155d82e908")</f>
        <v>https://miland.ru/api/getInfo/image/efdd6be9-0bc5-11f0-a279-00155d82e908</v>
      </c>
      <c r="U1594" s="21"/>
      <c r="V1594" s="21"/>
      <c r="W1594" s="21" t="s">
        <v>82</v>
      </c>
      <c r="X1594" s="21"/>
      <c r="Y1594" s="21" t="s">
        <v>41</v>
      </c>
      <c r="Z1594" s="21"/>
      <c r="AA1594" s="21" t="str">
        <f>HYPERLINK("https://miland.ru/api/getInfo/item/efdd6be9-0bc5-11f0-a279-00155d82e908")</f>
        <v>https://miland.ru/api/getInfo/item/efdd6be9-0bc5-11f0-a279-00155d82e908</v>
      </c>
      <c r="AB1594" s="21" t="s">
        <v>42</v>
      </c>
      <c r="AC1594" s="21"/>
      <c r="AD1594" s="21"/>
    </row>
    <row r="1595" spans="2:31" ht="12" customHeight="1" outlineLevel="7">
      <c r="B1595" s="70" t="s">
        <v>5555</v>
      </c>
      <c r="C1595" s="70"/>
      <c r="D1595" s="70"/>
      <c r="E1595" s="70"/>
      <c r="F1595" s="70"/>
      <c r="G1595" s="70"/>
    </row>
    <row r="1596" spans="2:31" s="1" customFormat="1" ht="96.3" customHeight="1" outlineLevel="7">
      <c r="B1596" s="58">
        <v>1218</v>
      </c>
      <c r="C1596" s="7" t="s">
        <v>5556</v>
      </c>
      <c r="D1596" s="71" t="s">
        <v>5557</v>
      </c>
      <c r="E1596" s="71"/>
      <c r="F1596" s="71"/>
      <c r="G1596" s="71"/>
      <c r="H1596" s="8" t="s">
        <v>5558</v>
      </c>
      <c r="I1596" s="9" t="s">
        <v>36</v>
      </c>
      <c r="J1596" s="8"/>
      <c r="K1596" s="6">
        <v>1</v>
      </c>
      <c r="L1596" s="15">
        <v>1434.96</v>
      </c>
      <c r="M1596" s="11"/>
      <c r="N1596" s="8">
        <f>L1596*M1596</f>
        <v>0</v>
      </c>
      <c r="O1596" s="12">
        <f>0.877*M1596</f>
        <v>0</v>
      </c>
      <c r="P1596" s="13">
        <f>0.01093*M1596</f>
        <v>0</v>
      </c>
      <c r="Q1596" s="17" t="s">
        <v>37</v>
      </c>
      <c r="R1596" s="8" t="s">
        <v>5559</v>
      </c>
      <c r="S1596" s="8"/>
      <c r="T1596" s="7" t="str">
        <f>HYPERLINK("https://miland.ru/api/getInfo/image/3286cdd5-2d9e-11f1-a292-00155d82e908")</f>
        <v>https://miland.ru/api/getInfo/image/3286cdd5-2d9e-11f1-a292-00155d82e908</v>
      </c>
      <c r="U1596" s="7"/>
      <c r="V1596" s="7"/>
      <c r="W1596" s="7" t="s">
        <v>82</v>
      </c>
      <c r="X1596" s="7"/>
      <c r="Y1596" s="7" t="s">
        <v>41</v>
      </c>
      <c r="Z1596" s="7"/>
      <c r="AA1596" s="7" t="str">
        <f>HYPERLINK("https://miland.ru/api/getInfo/item/3286cdd5-2d9e-11f1-a292-00155d82e908")</f>
        <v>https://miland.ru/api/getInfo/item/3286cdd5-2d9e-11f1-a292-00155d82e908</v>
      </c>
      <c r="AB1596" s="7" t="s">
        <v>42</v>
      </c>
      <c r="AC1596" s="7"/>
      <c r="AD1596" s="7"/>
      <c r="AE1596" s="54"/>
    </row>
    <row r="1597" spans="2:31" s="1" customFormat="1" ht="96.3" customHeight="1" outlineLevel="7">
      <c r="B1597" s="57">
        <v>1219</v>
      </c>
      <c r="C1597" s="21" t="s">
        <v>5560</v>
      </c>
      <c r="D1597" s="72" t="s">
        <v>5561</v>
      </c>
      <c r="E1597" s="72"/>
      <c r="F1597" s="72"/>
      <c r="G1597" s="72"/>
      <c r="H1597" s="22" t="s">
        <v>5562</v>
      </c>
      <c r="I1597" s="23" t="s">
        <v>36</v>
      </c>
      <c r="J1597" s="22"/>
      <c r="K1597" s="20">
        <v>1</v>
      </c>
      <c r="L1597" s="32">
        <v>1434.96</v>
      </c>
      <c r="M1597" s="11"/>
      <c r="N1597" s="22">
        <f>L1597*M1597</f>
        <v>0</v>
      </c>
      <c r="O1597" s="25">
        <f>1.013*M1597</f>
        <v>0</v>
      </c>
      <c r="P1597" s="26">
        <f>0.01388*M1597</f>
        <v>0</v>
      </c>
      <c r="Q1597" s="30"/>
      <c r="R1597" s="22" t="s">
        <v>5563</v>
      </c>
      <c r="S1597" s="22" t="s">
        <v>435</v>
      </c>
      <c r="T1597" s="21" t="str">
        <f>HYPERLINK("https://miland.ru/api/getInfo/image/a94c78fc-beae-11ee-a25a-00155d82e908")</f>
        <v>https://miland.ru/api/getInfo/image/a94c78fc-beae-11ee-a25a-00155d82e908</v>
      </c>
      <c r="U1597" s="21"/>
      <c r="V1597" s="21"/>
      <c r="W1597" s="21" t="s">
        <v>82</v>
      </c>
      <c r="X1597" s="21"/>
      <c r="Y1597" s="21"/>
      <c r="Z1597" s="21"/>
      <c r="AA1597" s="21" t="str">
        <f>HYPERLINK("https://miland.ru/api/getInfo/item/a94c78fc-beae-11ee-a25a-00155d82e908")</f>
        <v>https://miland.ru/api/getInfo/item/a94c78fc-beae-11ee-a25a-00155d82e908</v>
      </c>
      <c r="AB1597" s="21" t="s">
        <v>42</v>
      </c>
      <c r="AC1597" s="21" t="s">
        <v>5564</v>
      </c>
      <c r="AD1597" s="21"/>
    </row>
    <row r="1598" spans="2:31" ht="12" customHeight="1" outlineLevel="5">
      <c r="B1598" s="70" t="s">
        <v>5565</v>
      </c>
      <c r="C1598" s="70"/>
      <c r="D1598" s="70"/>
      <c r="E1598" s="70"/>
      <c r="F1598" s="70"/>
      <c r="G1598" s="70"/>
    </row>
    <row r="1599" spans="2:31" s="1" customFormat="1" ht="96.3" customHeight="1" outlineLevel="6">
      <c r="B1599" s="57">
        <v>1220</v>
      </c>
      <c r="C1599" s="21" t="s">
        <v>5566</v>
      </c>
      <c r="D1599" s="72" t="s">
        <v>5567</v>
      </c>
      <c r="E1599" s="72"/>
      <c r="F1599" s="72"/>
      <c r="G1599" s="72"/>
      <c r="H1599" s="22" t="s">
        <v>5568</v>
      </c>
      <c r="I1599" s="27">
        <v>60</v>
      </c>
      <c r="J1599" s="22"/>
      <c r="K1599" s="20">
        <v>1</v>
      </c>
      <c r="L1599" s="24">
        <v>957.47</v>
      </c>
      <c r="M1599" s="11"/>
      <c r="N1599" s="22">
        <f>L1599*M1599</f>
        <v>0</v>
      </c>
      <c r="O1599" s="25">
        <f>0.223*M1599</f>
        <v>0</v>
      </c>
      <c r="P1599" s="26">
        <f>0.00155*M1599</f>
        <v>0</v>
      </c>
      <c r="Q1599" s="30"/>
      <c r="R1599" s="22" t="s">
        <v>5569</v>
      </c>
      <c r="S1599" s="22" t="s">
        <v>435</v>
      </c>
      <c r="T1599" s="21" t="str">
        <f>HYPERLINK("https://miland.ru/api/getInfo/image/a93ff169-f194-11ee-a25b-00155d82e908")</f>
        <v>https://miland.ru/api/getInfo/image/a93ff169-f194-11ee-a25b-00155d82e908</v>
      </c>
      <c r="U1599" s="21"/>
      <c r="V1599" s="21"/>
      <c r="W1599" s="21" t="s">
        <v>82</v>
      </c>
      <c r="X1599" s="21"/>
      <c r="Y1599" s="21"/>
      <c r="Z1599" s="21"/>
      <c r="AA1599" s="21" t="str">
        <f>HYPERLINK("https://miland.ru/api/getInfo/item/a93ff169-f194-11ee-a25b-00155d82e908")</f>
        <v>https://miland.ru/api/getInfo/item/a93ff169-f194-11ee-a25b-00155d82e908</v>
      </c>
      <c r="AB1599" s="21" t="s">
        <v>42</v>
      </c>
      <c r="AC1599" s="21" t="s">
        <v>5570</v>
      </c>
      <c r="AD1599" s="21"/>
    </row>
    <row r="1600" spans="2:31" ht="12" customHeight="1" outlineLevel="5">
      <c r="B1600" s="70" t="s">
        <v>5571</v>
      </c>
      <c r="C1600" s="70"/>
      <c r="D1600" s="70"/>
      <c r="E1600" s="70"/>
      <c r="F1600" s="70"/>
      <c r="G1600" s="70"/>
    </row>
    <row r="1601" spans="2:31" s="1" customFormat="1" ht="96.3" customHeight="1" outlineLevel="6">
      <c r="B1601" s="57">
        <v>1221</v>
      </c>
      <c r="C1601" s="21" t="s">
        <v>5572</v>
      </c>
      <c r="D1601" s="72" t="s">
        <v>5573</v>
      </c>
      <c r="E1601" s="72"/>
      <c r="F1601" s="72"/>
      <c r="G1601" s="72"/>
      <c r="H1601" s="22" t="s">
        <v>5574</v>
      </c>
      <c r="I1601" s="27">
        <v>9</v>
      </c>
      <c r="J1601" s="22"/>
      <c r="K1601" s="20">
        <v>1</v>
      </c>
      <c r="L1601" s="32">
        <v>1960.76</v>
      </c>
      <c r="M1601" s="11"/>
      <c r="N1601" s="22">
        <f>L1601*M1601</f>
        <v>0</v>
      </c>
      <c r="O1601" s="28">
        <f>0.38*M1601</f>
        <v>0</v>
      </c>
      <c r="P1601" s="26">
        <f>0.00478*M1601</f>
        <v>0</v>
      </c>
      <c r="Q1601" s="30"/>
      <c r="R1601" s="22" t="s">
        <v>5575</v>
      </c>
      <c r="S1601" s="22" t="s">
        <v>435</v>
      </c>
      <c r="T1601" s="21" t="str">
        <f>HYPERLINK("https://miland.ru/api/getInfo/image/941789ba-f894-11ee-a25d-00155d82e908")</f>
        <v>https://miland.ru/api/getInfo/image/941789ba-f894-11ee-a25d-00155d82e908</v>
      </c>
      <c r="U1601" s="21"/>
      <c r="V1601" s="21"/>
      <c r="W1601" s="21"/>
      <c r="X1601" s="21"/>
      <c r="Y1601" s="21"/>
      <c r="Z1601" s="21"/>
      <c r="AA1601" s="21" t="str">
        <f>HYPERLINK("https://miland.ru/api/getInfo/item/941789ba-f894-11ee-a25d-00155d82e908")</f>
        <v>https://miland.ru/api/getInfo/item/941789ba-f894-11ee-a25d-00155d82e908</v>
      </c>
      <c r="AB1601" s="21" t="s">
        <v>42</v>
      </c>
      <c r="AC1601" s="21" t="s">
        <v>5576</v>
      </c>
      <c r="AD1601" s="21"/>
    </row>
    <row r="1602" spans="2:31" ht="12" customHeight="1" outlineLevel="5">
      <c r="B1602" s="70" t="s">
        <v>5577</v>
      </c>
      <c r="C1602" s="70"/>
      <c r="D1602" s="70"/>
      <c r="E1602" s="70"/>
      <c r="F1602" s="70"/>
      <c r="G1602" s="70"/>
    </row>
    <row r="1603" spans="2:31" s="1" customFormat="1" ht="96.3" customHeight="1" outlineLevel="6">
      <c r="B1603" s="58">
        <v>1222</v>
      </c>
      <c r="C1603" s="7" t="s">
        <v>5578</v>
      </c>
      <c r="D1603" s="71" t="s">
        <v>5579</v>
      </c>
      <c r="E1603" s="71"/>
      <c r="F1603" s="71"/>
      <c r="G1603" s="71"/>
      <c r="H1603" s="8" t="s">
        <v>5580</v>
      </c>
      <c r="I1603" s="9" t="s">
        <v>36</v>
      </c>
      <c r="J1603" s="8"/>
      <c r="K1603" s="6">
        <v>1</v>
      </c>
      <c r="L1603" s="10">
        <v>454.63</v>
      </c>
      <c r="M1603" s="11"/>
      <c r="N1603" s="8">
        <f t="shared" ref="N1603:N1610" si="69">L1603*M1603</f>
        <v>0</v>
      </c>
      <c r="O1603" s="18">
        <f>0.21*M1603</f>
        <v>0</v>
      </c>
      <c r="P1603" s="13">
        <f>0.00031*M1603</f>
        <v>0</v>
      </c>
      <c r="Q1603" s="17" t="s">
        <v>37</v>
      </c>
      <c r="R1603" s="8" t="s">
        <v>5581</v>
      </c>
      <c r="S1603" s="8"/>
      <c r="T1603" s="7" t="str">
        <f>HYPERLINK("https://miland.ru/api/getInfo/image/f5af925a-2dad-11f1-a292-00155d82e908")</f>
        <v>https://miland.ru/api/getInfo/image/f5af925a-2dad-11f1-a292-00155d82e908</v>
      </c>
      <c r="U1603" s="7"/>
      <c r="V1603" s="7"/>
      <c r="W1603" s="7" t="s">
        <v>70</v>
      </c>
      <c r="X1603" s="7"/>
      <c r="Y1603" s="7" t="s">
        <v>41</v>
      </c>
      <c r="Z1603" s="7"/>
      <c r="AA1603" s="7" t="str">
        <f>HYPERLINK("https://miland.ru/api/getInfo/item/f5af925a-2dad-11f1-a292-00155d82e908")</f>
        <v>https://miland.ru/api/getInfo/item/f5af925a-2dad-11f1-a292-00155d82e908</v>
      </c>
      <c r="AB1603" s="7" t="s">
        <v>42</v>
      </c>
      <c r="AC1603" s="7"/>
      <c r="AD1603" s="7"/>
      <c r="AE1603" s="54"/>
    </row>
    <row r="1604" spans="2:31" s="1" customFormat="1" ht="96.3" customHeight="1" outlineLevel="6">
      <c r="B1604" s="57">
        <v>1223</v>
      </c>
      <c r="C1604" s="21" t="s">
        <v>5582</v>
      </c>
      <c r="D1604" s="72" t="s">
        <v>5583</v>
      </c>
      <c r="E1604" s="72"/>
      <c r="F1604" s="72"/>
      <c r="G1604" s="72"/>
      <c r="H1604" s="22" t="s">
        <v>5584</v>
      </c>
      <c r="I1604" s="27">
        <v>7</v>
      </c>
      <c r="J1604" s="22"/>
      <c r="K1604" s="20">
        <v>1</v>
      </c>
      <c r="L1604" s="24">
        <v>579.99</v>
      </c>
      <c r="M1604" s="11"/>
      <c r="N1604" s="22">
        <f t="shared" si="69"/>
        <v>0</v>
      </c>
      <c r="O1604" s="25">
        <f>0.373*M1604</f>
        <v>0</v>
      </c>
      <c r="P1604" s="26">
        <f>0.00068*M1604</f>
        <v>0</v>
      </c>
      <c r="Q1604" s="30"/>
      <c r="R1604" s="22" t="s">
        <v>5585</v>
      </c>
      <c r="S1604" s="22"/>
      <c r="T1604" s="21" t="str">
        <f>HYPERLINK("https://miland.ru/api/getInfo/image/9aa6b705-219c-11f0-a279-00155d82e908")</f>
        <v>https://miland.ru/api/getInfo/image/9aa6b705-219c-11f0-a279-00155d82e908</v>
      </c>
      <c r="U1604" s="21"/>
      <c r="V1604" s="21"/>
      <c r="W1604" s="21" t="s">
        <v>70</v>
      </c>
      <c r="X1604" s="21"/>
      <c r="Y1604" s="21" t="s">
        <v>41</v>
      </c>
      <c r="Z1604" s="21"/>
      <c r="AA1604" s="21" t="str">
        <f>HYPERLINK("https://miland.ru/api/getInfo/item/9aa6b705-219c-11f0-a279-00155d82e908")</f>
        <v>https://miland.ru/api/getInfo/item/9aa6b705-219c-11f0-a279-00155d82e908</v>
      </c>
      <c r="AB1604" s="21" t="s">
        <v>42</v>
      </c>
      <c r="AC1604" s="21"/>
      <c r="AD1604" s="21"/>
    </row>
    <row r="1605" spans="2:31" s="1" customFormat="1" ht="96.3" customHeight="1" outlineLevel="6">
      <c r="B1605" s="58">
        <v>1224</v>
      </c>
      <c r="C1605" s="7" t="s">
        <v>5586</v>
      </c>
      <c r="D1605" s="71" t="s">
        <v>5587</v>
      </c>
      <c r="E1605" s="71"/>
      <c r="F1605" s="71"/>
      <c r="G1605" s="71"/>
      <c r="H1605" s="8" t="s">
        <v>5588</v>
      </c>
      <c r="I1605" s="9" t="s">
        <v>36</v>
      </c>
      <c r="J1605" s="8"/>
      <c r="K1605" s="6">
        <v>1</v>
      </c>
      <c r="L1605" s="10">
        <v>454.63</v>
      </c>
      <c r="M1605" s="11"/>
      <c r="N1605" s="8">
        <f t="shared" si="69"/>
        <v>0</v>
      </c>
      <c r="O1605" s="18">
        <f>0.21*M1605</f>
        <v>0</v>
      </c>
      <c r="P1605" s="13">
        <f>0.00032*M1605</f>
        <v>0</v>
      </c>
      <c r="Q1605" s="17" t="s">
        <v>37</v>
      </c>
      <c r="R1605" s="8" t="s">
        <v>5589</v>
      </c>
      <c r="S1605" s="8"/>
      <c r="T1605" s="7" t="str">
        <f>HYPERLINK("https://miland.ru/api/getInfo/image/d12d3063-2dad-11f1-a292-00155d82e908")</f>
        <v>https://miland.ru/api/getInfo/image/d12d3063-2dad-11f1-a292-00155d82e908</v>
      </c>
      <c r="U1605" s="7"/>
      <c r="V1605" s="7"/>
      <c r="W1605" s="7" t="s">
        <v>70</v>
      </c>
      <c r="X1605" s="7"/>
      <c r="Y1605" s="7" t="s">
        <v>41</v>
      </c>
      <c r="Z1605" s="7"/>
      <c r="AA1605" s="7" t="str">
        <f>HYPERLINK("https://miland.ru/api/getInfo/item/d12d3063-2dad-11f1-a292-00155d82e908")</f>
        <v>https://miland.ru/api/getInfo/item/d12d3063-2dad-11f1-a292-00155d82e908</v>
      </c>
      <c r="AB1605" s="7" t="s">
        <v>42</v>
      </c>
      <c r="AC1605" s="7"/>
      <c r="AD1605" s="7"/>
      <c r="AE1605" s="54"/>
    </row>
    <row r="1606" spans="2:31" s="1" customFormat="1" ht="96.3" customHeight="1" outlineLevel="6">
      <c r="B1606" s="58">
        <v>1225</v>
      </c>
      <c r="C1606" s="7" t="s">
        <v>5590</v>
      </c>
      <c r="D1606" s="71" t="s">
        <v>5591</v>
      </c>
      <c r="E1606" s="71"/>
      <c r="F1606" s="71"/>
      <c r="G1606" s="71"/>
      <c r="H1606" s="8" t="s">
        <v>5592</v>
      </c>
      <c r="I1606" s="9" t="s">
        <v>36</v>
      </c>
      <c r="J1606" s="8"/>
      <c r="K1606" s="6">
        <v>1</v>
      </c>
      <c r="L1606" s="10">
        <v>454.63</v>
      </c>
      <c r="M1606" s="11"/>
      <c r="N1606" s="8">
        <f t="shared" si="69"/>
        <v>0</v>
      </c>
      <c r="O1606" s="12">
        <f>0.208*M1606</f>
        <v>0</v>
      </c>
      <c r="P1606" s="13">
        <f>0.00032*M1606</f>
        <v>0</v>
      </c>
      <c r="Q1606" s="17" t="s">
        <v>37</v>
      </c>
      <c r="R1606" s="8" t="s">
        <v>5593</v>
      </c>
      <c r="S1606" s="8"/>
      <c r="T1606" s="7" t="str">
        <f>HYPERLINK("https://miland.ru/api/getInfo/image/18bb2dce-2dae-11f1-a292-00155d82e908")</f>
        <v>https://miland.ru/api/getInfo/image/18bb2dce-2dae-11f1-a292-00155d82e908</v>
      </c>
      <c r="U1606" s="7"/>
      <c r="V1606" s="7"/>
      <c r="W1606" s="7" t="s">
        <v>70</v>
      </c>
      <c r="X1606" s="7"/>
      <c r="Y1606" s="7" t="s">
        <v>41</v>
      </c>
      <c r="Z1606" s="7"/>
      <c r="AA1606" s="7" t="str">
        <f>HYPERLINK("https://miland.ru/api/getInfo/item/18bb2dce-2dae-11f1-a292-00155d82e908")</f>
        <v>https://miland.ru/api/getInfo/item/18bb2dce-2dae-11f1-a292-00155d82e908</v>
      </c>
      <c r="AB1606" s="7" t="s">
        <v>42</v>
      </c>
      <c r="AC1606" s="7"/>
      <c r="AD1606" s="7"/>
      <c r="AE1606" s="54"/>
    </row>
    <row r="1607" spans="2:31" s="1" customFormat="1" ht="96.3" customHeight="1" outlineLevel="6">
      <c r="B1607" s="58">
        <v>1226</v>
      </c>
      <c r="C1607" s="7" t="s">
        <v>5594</v>
      </c>
      <c r="D1607" s="71" t="s">
        <v>5595</v>
      </c>
      <c r="E1607" s="71"/>
      <c r="F1607" s="71"/>
      <c r="G1607" s="71"/>
      <c r="H1607" s="8" t="s">
        <v>5596</v>
      </c>
      <c r="I1607" s="9" t="s">
        <v>36</v>
      </c>
      <c r="J1607" s="8"/>
      <c r="K1607" s="6">
        <v>1</v>
      </c>
      <c r="L1607" s="10">
        <v>454.63</v>
      </c>
      <c r="M1607" s="11"/>
      <c r="N1607" s="8">
        <f t="shared" si="69"/>
        <v>0</v>
      </c>
      <c r="O1607" s="12">
        <f>0.212*M1607</f>
        <v>0</v>
      </c>
      <c r="P1607" s="13">
        <f>0.00032*M1607</f>
        <v>0</v>
      </c>
      <c r="Q1607" s="17" t="s">
        <v>37</v>
      </c>
      <c r="R1607" s="8" t="s">
        <v>5597</v>
      </c>
      <c r="S1607" s="8"/>
      <c r="T1607" s="7" t="str">
        <f>HYPERLINK("https://miland.ru/api/getInfo/image/a876c1c6-2dad-11f1-a292-00155d82e908")</f>
        <v>https://miland.ru/api/getInfo/image/a876c1c6-2dad-11f1-a292-00155d82e908</v>
      </c>
      <c r="U1607" s="7"/>
      <c r="V1607" s="7"/>
      <c r="W1607" s="7" t="s">
        <v>70</v>
      </c>
      <c r="X1607" s="7"/>
      <c r="Y1607" s="7" t="s">
        <v>41</v>
      </c>
      <c r="Z1607" s="7"/>
      <c r="AA1607" s="7" t="str">
        <f>HYPERLINK("https://miland.ru/api/getInfo/item/a876c1c6-2dad-11f1-a292-00155d82e908")</f>
        <v>https://miland.ru/api/getInfo/item/a876c1c6-2dad-11f1-a292-00155d82e908</v>
      </c>
      <c r="AB1607" s="7" t="s">
        <v>42</v>
      </c>
      <c r="AC1607" s="7"/>
      <c r="AD1607" s="7"/>
      <c r="AE1607" s="54"/>
    </row>
    <row r="1608" spans="2:31" s="1" customFormat="1" ht="96.3" customHeight="1" outlineLevel="6">
      <c r="B1608" s="57">
        <v>1227</v>
      </c>
      <c r="C1608" s="21" t="s">
        <v>5598</v>
      </c>
      <c r="D1608" s="72" t="s">
        <v>5599</v>
      </c>
      <c r="E1608" s="72"/>
      <c r="F1608" s="72"/>
      <c r="G1608" s="72"/>
      <c r="H1608" s="22" t="s">
        <v>5600</v>
      </c>
      <c r="I1608" s="27">
        <v>120</v>
      </c>
      <c r="J1608" s="22"/>
      <c r="K1608" s="20">
        <v>1</v>
      </c>
      <c r="L1608" s="24">
        <v>579.99</v>
      </c>
      <c r="M1608" s="11"/>
      <c r="N1608" s="22">
        <f t="shared" si="69"/>
        <v>0</v>
      </c>
      <c r="O1608" s="25">
        <f>0.371*M1608</f>
        <v>0</v>
      </c>
      <c r="P1608" s="26">
        <f>0.00061*M1608</f>
        <v>0</v>
      </c>
      <c r="Q1608" s="30"/>
      <c r="R1608" s="22" t="s">
        <v>5601</v>
      </c>
      <c r="S1608" s="22"/>
      <c r="T1608" s="21" t="str">
        <f>HYPERLINK("https://miland.ru/api/getInfo/image/c47ee701-219b-11f0-a279-00155d82e908")</f>
        <v>https://miland.ru/api/getInfo/image/c47ee701-219b-11f0-a279-00155d82e908</v>
      </c>
      <c r="U1608" s="21"/>
      <c r="V1608" s="21"/>
      <c r="W1608" s="21" t="s">
        <v>70</v>
      </c>
      <c r="X1608" s="21"/>
      <c r="Y1608" s="21" t="s">
        <v>41</v>
      </c>
      <c r="Z1608" s="21"/>
      <c r="AA1608" s="21" t="str">
        <f>HYPERLINK("https://miland.ru/api/getInfo/item/c47ee701-219b-11f0-a279-00155d82e908")</f>
        <v>https://miland.ru/api/getInfo/item/c47ee701-219b-11f0-a279-00155d82e908</v>
      </c>
      <c r="AB1608" s="21" t="s">
        <v>42</v>
      </c>
      <c r="AC1608" s="21"/>
      <c r="AD1608" s="21"/>
    </row>
    <row r="1609" spans="2:31" s="1" customFormat="1" ht="96.3" customHeight="1" outlineLevel="6">
      <c r="B1609" s="58">
        <v>1228</v>
      </c>
      <c r="C1609" s="7" t="s">
        <v>5602</v>
      </c>
      <c r="D1609" s="71" t="s">
        <v>5603</v>
      </c>
      <c r="E1609" s="71"/>
      <c r="F1609" s="71"/>
      <c r="G1609" s="71"/>
      <c r="H1609" s="8" t="s">
        <v>5604</v>
      </c>
      <c r="I1609" s="9" t="s">
        <v>36</v>
      </c>
      <c r="J1609" s="8"/>
      <c r="K1609" s="6">
        <v>1</v>
      </c>
      <c r="L1609" s="10">
        <v>475.13</v>
      </c>
      <c r="M1609" s="11"/>
      <c r="N1609" s="8">
        <f t="shared" si="69"/>
        <v>0</v>
      </c>
      <c r="O1609" s="12">
        <f>0.196*M1609</f>
        <v>0</v>
      </c>
      <c r="P1609" s="13">
        <f>0.00039*M1609</f>
        <v>0</v>
      </c>
      <c r="Q1609" s="17" t="s">
        <v>37</v>
      </c>
      <c r="R1609" s="8" t="s">
        <v>5605</v>
      </c>
      <c r="S1609" s="8"/>
      <c r="T1609" s="7" t="str">
        <f>HYPERLINK("https://miland.ru/api/getInfo/image/642e79f2-2dad-11f1-a292-00155d82e908")</f>
        <v>https://miland.ru/api/getInfo/image/642e79f2-2dad-11f1-a292-00155d82e908</v>
      </c>
      <c r="U1609" s="7"/>
      <c r="V1609" s="7"/>
      <c r="W1609" s="7" t="s">
        <v>70</v>
      </c>
      <c r="X1609" s="7"/>
      <c r="Y1609" s="7" t="s">
        <v>41</v>
      </c>
      <c r="Z1609" s="7"/>
      <c r="AA1609" s="7" t="str">
        <f>HYPERLINK("https://miland.ru/api/getInfo/item/642e79f2-2dad-11f1-a292-00155d82e908")</f>
        <v>https://miland.ru/api/getInfo/item/642e79f2-2dad-11f1-a292-00155d82e908</v>
      </c>
      <c r="AB1609" s="7" t="s">
        <v>42</v>
      </c>
      <c r="AC1609" s="7"/>
      <c r="AD1609" s="7"/>
      <c r="AE1609" s="54"/>
    </row>
    <row r="1610" spans="2:31" s="1" customFormat="1" ht="96.3" customHeight="1" outlineLevel="6">
      <c r="B1610" s="58">
        <v>1229</v>
      </c>
      <c r="C1610" s="7" t="s">
        <v>5606</v>
      </c>
      <c r="D1610" s="71" t="s">
        <v>5607</v>
      </c>
      <c r="E1610" s="71"/>
      <c r="F1610" s="71"/>
      <c r="G1610" s="71"/>
      <c r="H1610" s="8" t="s">
        <v>5608</v>
      </c>
      <c r="I1610" s="9" t="s">
        <v>36</v>
      </c>
      <c r="J1610" s="8"/>
      <c r="K1610" s="6">
        <v>1</v>
      </c>
      <c r="L1610" s="10">
        <v>475.13</v>
      </c>
      <c r="M1610" s="11"/>
      <c r="N1610" s="8">
        <f t="shared" si="69"/>
        <v>0</v>
      </c>
      <c r="O1610" s="12">
        <f>0.193*M1610</f>
        <v>0</v>
      </c>
      <c r="P1610" s="13">
        <f>0.00071*M1610</f>
        <v>0</v>
      </c>
      <c r="Q1610" s="17" t="s">
        <v>37</v>
      </c>
      <c r="R1610" s="8" t="s">
        <v>5609</v>
      </c>
      <c r="S1610" s="8"/>
      <c r="T1610" s="7" t="str">
        <f>HYPERLINK("https://miland.ru/api/getInfo/image/1cf8e393-2dad-11f1-a292-00155d82e908")</f>
        <v>https://miland.ru/api/getInfo/image/1cf8e393-2dad-11f1-a292-00155d82e908</v>
      </c>
      <c r="U1610" s="7"/>
      <c r="V1610" s="7"/>
      <c r="W1610" s="7" t="s">
        <v>70</v>
      </c>
      <c r="X1610" s="7"/>
      <c r="Y1610" s="7" t="s">
        <v>41</v>
      </c>
      <c r="Z1610" s="7"/>
      <c r="AA1610" s="7" t="str">
        <f>HYPERLINK("https://miland.ru/api/getInfo/item/1cf8e393-2dad-11f1-a292-00155d82e908")</f>
        <v>https://miland.ru/api/getInfo/item/1cf8e393-2dad-11f1-a292-00155d82e908</v>
      </c>
      <c r="AB1610" s="7" t="s">
        <v>42</v>
      </c>
      <c r="AC1610" s="7"/>
      <c r="AD1610" s="7"/>
      <c r="AE1610" s="54"/>
    </row>
    <row r="1611" spans="2:31" ht="12" customHeight="1" outlineLevel="4">
      <c r="B1611" s="70" t="s">
        <v>5610</v>
      </c>
      <c r="C1611" s="70"/>
      <c r="D1611" s="70"/>
      <c r="E1611" s="70"/>
      <c r="F1611" s="70"/>
      <c r="G1611" s="70"/>
    </row>
    <row r="1612" spans="2:31" ht="12" customHeight="1" outlineLevel="5">
      <c r="B1612" s="70" t="s">
        <v>5611</v>
      </c>
      <c r="C1612" s="70"/>
      <c r="D1612" s="70"/>
      <c r="E1612" s="70"/>
      <c r="F1612" s="70"/>
      <c r="G1612" s="70"/>
    </row>
    <row r="1613" spans="2:31" ht="12" customHeight="1" outlineLevel="6">
      <c r="B1613" s="70" t="s">
        <v>5612</v>
      </c>
      <c r="C1613" s="70"/>
      <c r="D1613" s="70"/>
      <c r="E1613" s="70"/>
      <c r="F1613" s="70"/>
      <c r="G1613" s="70"/>
    </row>
    <row r="1614" spans="2:31" s="1" customFormat="1" ht="96.3" customHeight="1" outlineLevel="7">
      <c r="B1614" s="57">
        <v>1230</v>
      </c>
      <c r="C1614" s="21" t="s">
        <v>5613</v>
      </c>
      <c r="D1614" s="72" t="s">
        <v>5614</v>
      </c>
      <c r="E1614" s="72"/>
      <c r="F1614" s="72"/>
      <c r="G1614" s="72"/>
      <c r="H1614" s="22" t="s">
        <v>5615</v>
      </c>
      <c r="I1614" s="27">
        <v>7</v>
      </c>
      <c r="J1614" s="22"/>
      <c r="K1614" s="20">
        <v>1</v>
      </c>
      <c r="L1614" s="32">
        <v>5421.7</v>
      </c>
      <c r="M1614" s="11"/>
      <c r="N1614" s="22">
        <f t="shared" ref="N1614:N1624" si="70">L1614*M1614</f>
        <v>0</v>
      </c>
      <c r="O1614" s="28">
        <f>1.93*M1614</f>
        <v>0</v>
      </c>
      <c r="P1614" s="26">
        <f>0.00785*M1614</f>
        <v>0</v>
      </c>
      <c r="Q1614" s="30"/>
      <c r="R1614" s="22" t="s">
        <v>5616</v>
      </c>
      <c r="S1614" s="22" t="s">
        <v>435</v>
      </c>
      <c r="T1614" s="21" t="str">
        <f>HYPERLINK("https://miland.ru/api/getInfo/image/0eb9542e-f026-11ee-a25b-00155d82e908")</f>
        <v>https://miland.ru/api/getInfo/image/0eb9542e-f026-11ee-a25b-00155d82e908</v>
      </c>
      <c r="U1614" s="21"/>
      <c r="V1614" s="21" t="s">
        <v>5617</v>
      </c>
      <c r="W1614" s="21" t="s">
        <v>171</v>
      </c>
      <c r="X1614" s="21" t="s">
        <v>172</v>
      </c>
      <c r="Y1614" s="21" t="s">
        <v>173</v>
      </c>
      <c r="Z1614" s="21" t="s">
        <v>5618</v>
      </c>
      <c r="AA1614" s="21" t="str">
        <f>HYPERLINK("https://miland.ru/api/getInfo/item/0eb9542e-f026-11ee-a25b-00155d82e908")</f>
        <v>https://miland.ru/api/getInfo/item/0eb9542e-f026-11ee-a25b-00155d82e908</v>
      </c>
      <c r="AB1614" s="21" t="s">
        <v>42</v>
      </c>
      <c r="AC1614" s="21"/>
      <c r="AD1614" s="21"/>
    </row>
    <row r="1615" spans="2:31" s="1" customFormat="1" ht="96.3" customHeight="1" outlineLevel="7">
      <c r="B1615" s="57">
        <v>1231</v>
      </c>
      <c r="C1615" s="21" t="s">
        <v>5619</v>
      </c>
      <c r="D1615" s="72" t="s">
        <v>5620</v>
      </c>
      <c r="E1615" s="72"/>
      <c r="F1615" s="72"/>
      <c r="G1615" s="72"/>
      <c r="H1615" s="22" t="s">
        <v>5621</v>
      </c>
      <c r="I1615" s="27">
        <v>99</v>
      </c>
      <c r="J1615" s="22"/>
      <c r="K1615" s="20">
        <v>1</v>
      </c>
      <c r="L1615" s="32">
        <v>3520.99</v>
      </c>
      <c r="M1615" s="11"/>
      <c r="N1615" s="22">
        <f t="shared" si="70"/>
        <v>0</v>
      </c>
      <c r="O1615" s="25">
        <f>1.972*M1615</f>
        <v>0</v>
      </c>
      <c r="P1615" s="26">
        <f>0.01033*M1615</f>
        <v>0</v>
      </c>
      <c r="Q1615" s="30"/>
      <c r="R1615" s="22" t="s">
        <v>5622</v>
      </c>
      <c r="S1615" s="22" t="s">
        <v>435</v>
      </c>
      <c r="T1615" s="21" t="str">
        <f>HYPERLINK("https://miland.ru/api/getInfo/image/2b105fd2-962f-11ed-a22d-00155d82e902")</f>
        <v>https://miland.ru/api/getInfo/image/2b105fd2-962f-11ed-a22d-00155d82e902</v>
      </c>
      <c r="U1615" s="21"/>
      <c r="V1615" s="21" t="s">
        <v>5617</v>
      </c>
      <c r="W1615" s="21" t="s">
        <v>171</v>
      </c>
      <c r="X1615" s="21" t="s">
        <v>172</v>
      </c>
      <c r="Y1615" s="21" t="s">
        <v>173</v>
      </c>
      <c r="Z1615" s="21" t="s">
        <v>5623</v>
      </c>
      <c r="AA1615" s="21" t="str">
        <f>HYPERLINK("https://miland.ru/api/getInfo/item/2b105fd2-962f-11ed-a22d-00155d82e902")</f>
        <v>https://miland.ru/api/getInfo/item/2b105fd2-962f-11ed-a22d-00155d82e902</v>
      </c>
      <c r="AB1615" s="21" t="s">
        <v>42</v>
      </c>
      <c r="AC1615" s="21"/>
      <c r="AD1615" s="21"/>
    </row>
    <row r="1616" spans="2:31" s="1" customFormat="1" ht="96.3" customHeight="1" outlineLevel="7">
      <c r="B1616" s="57">
        <v>1232</v>
      </c>
      <c r="C1616" s="21" t="s">
        <v>5624</v>
      </c>
      <c r="D1616" s="72" t="s">
        <v>5625</v>
      </c>
      <c r="E1616" s="72"/>
      <c r="F1616" s="72"/>
      <c r="G1616" s="72"/>
      <c r="H1616" s="22" t="s">
        <v>5626</v>
      </c>
      <c r="I1616" s="27">
        <v>6</v>
      </c>
      <c r="J1616" s="22"/>
      <c r="K1616" s="20">
        <v>1</v>
      </c>
      <c r="L1616" s="32">
        <v>3808.6</v>
      </c>
      <c r="M1616" s="11"/>
      <c r="N1616" s="22">
        <f t="shared" si="70"/>
        <v>0</v>
      </c>
      <c r="O1616" s="28">
        <f>1.05*M1616</f>
        <v>0</v>
      </c>
      <c r="P1616" s="26">
        <f>0.00822*M1616</f>
        <v>0</v>
      </c>
      <c r="Q1616" s="30"/>
      <c r="R1616" s="22" t="s">
        <v>5627</v>
      </c>
      <c r="S1616" s="22" t="s">
        <v>435</v>
      </c>
      <c r="T1616" s="21" t="str">
        <f>HYPERLINK("https://miland.ru/api/getInfo/image/10f4a038-f025-11ee-a25b-00155d82e908")</f>
        <v>https://miland.ru/api/getInfo/image/10f4a038-f025-11ee-a25b-00155d82e908</v>
      </c>
      <c r="U1616" s="21"/>
      <c r="V1616" s="21" t="s">
        <v>5617</v>
      </c>
      <c r="W1616" s="21" t="s">
        <v>171</v>
      </c>
      <c r="X1616" s="21" t="s">
        <v>172</v>
      </c>
      <c r="Y1616" s="21" t="s">
        <v>173</v>
      </c>
      <c r="Z1616" s="21" t="s">
        <v>5628</v>
      </c>
      <c r="AA1616" s="21" t="str">
        <f>HYPERLINK("https://miland.ru/api/getInfo/item/10f4a038-f025-11ee-a25b-00155d82e908")</f>
        <v>https://miland.ru/api/getInfo/item/10f4a038-f025-11ee-a25b-00155d82e908</v>
      </c>
      <c r="AB1616" s="21" t="s">
        <v>42</v>
      </c>
      <c r="AC1616" s="21"/>
      <c r="AD1616" s="21"/>
    </row>
    <row r="1617" spans="2:30" s="1" customFormat="1" ht="96.3" customHeight="1" outlineLevel="7">
      <c r="B1617" s="57">
        <v>1233</v>
      </c>
      <c r="C1617" s="21" t="s">
        <v>5629</v>
      </c>
      <c r="D1617" s="72" t="s">
        <v>5630</v>
      </c>
      <c r="E1617" s="72"/>
      <c r="F1617" s="72"/>
      <c r="G1617" s="72"/>
      <c r="H1617" s="22" t="s">
        <v>5631</v>
      </c>
      <c r="I1617" s="27">
        <v>9</v>
      </c>
      <c r="J1617" s="22"/>
      <c r="K1617" s="20">
        <v>1</v>
      </c>
      <c r="L1617" s="32">
        <v>5505.15</v>
      </c>
      <c r="M1617" s="11"/>
      <c r="N1617" s="22">
        <f t="shared" si="70"/>
        <v>0</v>
      </c>
      <c r="O1617" s="28">
        <f>1.73*M1617</f>
        <v>0</v>
      </c>
      <c r="P1617" s="26">
        <f>0.00585*M1617</f>
        <v>0</v>
      </c>
      <c r="Q1617" s="30"/>
      <c r="R1617" s="22" t="s">
        <v>5632</v>
      </c>
      <c r="S1617" s="22" t="s">
        <v>435</v>
      </c>
      <c r="T1617" s="21" t="str">
        <f>HYPERLINK("https://miland.ru/api/getInfo/image/deb117b0-f024-11ee-a25b-00155d82e908")</f>
        <v>https://miland.ru/api/getInfo/image/deb117b0-f024-11ee-a25b-00155d82e908</v>
      </c>
      <c r="U1617" s="21"/>
      <c r="V1617" s="21" t="s">
        <v>5617</v>
      </c>
      <c r="W1617" s="21" t="s">
        <v>171</v>
      </c>
      <c r="X1617" s="21" t="s">
        <v>172</v>
      </c>
      <c r="Y1617" s="21" t="s">
        <v>173</v>
      </c>
      <c r="Z1617" s="21" t="s">
        <v>5633</v>
      </c>
      <c r="AA1617" s="21" t="str">
        <f>HYPERLINK("https://miland.ru/api/getInfo/item/deb117b0-f024-11ee-a25b-00155d82e908")</f>
        <v>https://miland.ru/api/getInfo/item/deb117b0-f024-11ee-a25b-00155d82e908</v>
      </c>
      <c r="AB1617" s="21" t="s">
        <v>42</v>
      </c>
      <c r="AC1617" s="21"/>
      <c r="AD1617" s="21"/>
    </row>
    <row r="1618" spans="2:30" s="1" customFormat="1" ht="96.3" customHeight="1" outlineLevel="7">
      <c r="B1618" s="57">
        <v>1234</v>
      </c>
      <c r="C1618" s="21" t="s">
        <v>5634</v>
      </c>
      <c r="D1618" s="72" t="s">
        <v>5635</v>
      </c>
      <c r="E1618" s="72"/>
      <c r="F1618" s="72"/>
      <c r="G1618" s="72"/>
      <c r="H1618" s="22" t="s">
        <v>5636</v>
      </c>
      <c r="I1618" s="27">
        <v>50</v>
      </c>
      <c r="J1618" s="22"/>
      <c r="K1618" s="20">
        <v>1</v>
      </c>
      <c r="L1618" s="32">
        <v>4368.6899999999996</v>
      </c>
      <c r="M1618" s="11"/>
      <c r="N1618" s="22">
        <f t="shared" si="70"/>
        <v>0</v>
      </c>
      <c r="O1618" s="25">
        <f>1.841*M1618</f>
        <v>0</v>
      </c>
      <c r="P1618" s="26">
        <f>0.00451*M1618</f>
        <v>0</v>
      </c>
      <c r="Q1618" s="30"/>
      <c r="R1618" s="22" t="s">
        <v>5637</v>
      </c>
      <c r="S1618" s="22" t="s">
        <v>435</v>
      </c>
      <c r="T1618" s="21" t="str">
        <f>HYPERLINK("https://miland.ru/api/getInfo/image/f321b435-f026-11ee-a25b-00155d82e908")</f>
        <v>https://miland.ru/api/getInfo/image/f321b435-f026-11ee-a25b-00155d82e908</v>
      </c>
      <c r="U1618" s="21"/>
      <c r="V1618" s="21" t="s">
        <v>5617</v>
      </c>
      <c r="W1618" s="21" t="s">
        <v>171</v>
      </c>
      <c r="X1618" s="21" t="s">
        <v>172</v>
      </c>
      <c r="Y1618" s="21" t="s">
        <v>173</v>
      </c>
      <c r="Z1618" s="21" t="s">
        <v>5638</v>
      </c>
      <c r="AA1618" s="21" t="str">
        <f>HYPERLINK("https://miland.ru/api/getInfo/item/f321b435-f026-11ee-a25b-00155d82e908")</f>
        <v>https://miland.ru/api/getInfo/item/f321b435-f026-11ee-a25b-00155d82e908</v>
      </c>
      <c r="AB1618" s="21" t="s">
        <v>42</v>
      </c>
      <c r="AC1618" s="21"/>
      <c r="AD1618" s="21"/>
    </row>
    <row r="1619" spans="2:30" s="1" customFormat="1" ht="96.3" customHeight="1" outlineLevel="7">
      <c r="B1619" s="57">
        <v>1235</v>
      </c>
      <c r="C1619" s="21" t="s">
        <v>5639</v>
      </c>
      <c r="D1619" s="72" t="s">
        <v>5640</v>
      </c>
      <c r="E1619" s="72"/>
      <c r="F1619" s="72"/>
      <c r="G1619" s="72"/>
      <c r="H1619" s="22" t="s">
        <v>5641</v>
      </c>
      <c r="I1619" s="27">
        <v>10</v>
      </c>
      <c r="J1619" s="22"/>
      <c r="K1619" s="20">
        <v>1</v>
      </c>
      <c r="L1619" s="32">
        <v>6127.47</v>
      </c>
      <c r="M1619" s="11"/>
      <c r="N1619" s="22">
        <f t="shared" si="70"/>
        <v>0</v>
      </c>
      <c r="O1619" s="25">
        <f>2.417*M1619</f>
        <v>0</v>
      </c>
      <c r="P1619" s="26">
        <f>0.00834*M1619</f>
        <v>0</v>
      </c>
      <c r="Q1619" s="30"/>
      <c r="R1619" s="22" t="s">
        <v>5642</v>
      </c>
      <c r="S1619" s="22" t="s">
        <v>435</v>
      </c>
      <c r="T1619" s="21" t="str">
        <f>HYPERLINK("https://miland.ru/api/getInfo/image/75ffff10-f024-11ee-a25b-00155d82e908")</f>
        <v>https://miland.ru/api/getInfo/image/75ffff10-f024-11ee-a25b-00155d82e908</v>
      </c>
      <c r="U1619" s="21"/>
      <c r="V1619" s="21" t="s">
        <v>5617</v>
      </c>
      <c r="W1619" s="21" t="s">
        <v>171</v>
      </c>
      <c r="X1619" s="21" t="s">
        <v>172</v>
      </c>
      <c r="Y1619" s="21" t="s">
        <v>173</v>
      </c>
      <c r="Z1619" s="21" t="s">
        <v>5643</v>
      </c>
      <c r="AA1619" s="21" t="str">
        <f>HYPERLINK("https://miland.ru/api/getInfo/item/75ffff10-f024-11ee-a25b-00155d82e908")</f>
        <v>https://miland.ru/api/getInfo/item/75ffff10-f024-11ee-a25b-00155d82e908</v>
      </c>
      <c r="AB1619" s="21" t="s">
        <v>42</v>
      </c>
      <c r="AC1619" s="21"/>
      <c r="AD1619" s="21"/>
    </row>
    <row r="1620" spans="2:30" s="1" customFormat="1" ht="96.3" customHeight="1" outlineLevel="7">
      <c r="B1620" s="57">
        <v>1236</v>
      </c>
      <c r="C1620" s="21" t="s">
        <v>5644</v>
      </c>
      <c r="D1620" s="72" t="s">
        <v>5645</v>
      </c>
      <c r="E1620" s="72"/>
      <c r="F1620" s="72"/>
      <c r="G1620" s="72"/>
      <c r="H1620" s="22" t="s">
        <v>5646</v>
      </c>
      <c r="I1620" s="27">
        <v>58</v>
      </c>
      <c r="J1620" s="22"/>
      <c r="K1620" s="20">
        <v>1</v>
      </c>
      <c r="L1620" s="32">
        <v>4368.6899999999996</v>
      </c>
      <c r="M1620" s="11"/>
      <c r="N1620" s="22">
        <f t="shared" si="70"/>
        <v>0</v>
      </c>
      <c r="O1620" s="25">
        <f>1.833*M1620</f>
        <v>0</v>
      </c>
      <c r="P1620" s="26">
        <f>0.00464*M1620</f>
        <v>0</v>
      </c>
      <c r="Q1620" s="30"/>
      <c r="R1620" s="22" t="s">
        <v>5647</v>
      </c>
      <c r="S1620" s="22" t="s">
        <v>435</v>
      </c>
      <c r="T1620" s="21" t="str">
        <f>HYPERLINK("https://miland.ru/api/getInfo/image/5018b078-f027-11ee-a25b-00155d82e908")</f>
        <v>https://miland.ru/api/getInfo/image/5018b078-f027-11ee-a25b-00155d82e908</v>
      </c>
      <c r="U1620" s="21"/>
      <c r="V1620" s="21" t="s">
        <v>5617</v>
      </c>
      <c r="W1620" s="21" t="s">
        <v>171</v>
      </c>
      <c r="X1620" s="21" t="s">
        <v>172</v>
      </c>
      <c r="Y1620" s="21" t="s">
        <v>173</v>
      </c>
      <c r="Z1620" s="21" t="s">
        <v>5648</v>
      </c>
      <c r="AA1620" s="21" t="str">
        <f>HYPERLINK("https://miland.ru/api/getInfo/item/5018b078-f027-11ee-a25b-00155d82e908")</f>
        <v>https://miland.ru/api/getInfo/item/5018b078-f027-11ee-a25b-00155d82e908</v>
      </c>
      <c r="AB1620" s="21" t="s">
        <v>42</v>
      </c>
      <c r="AC1620" s="21"/>
      <c r="AD1620" s="21"/>
    </row>
    <row r="1621" spans="2:30" s="1" customFormat="1" ht="96.3" customHeight="1" outlineLevel="7">
      <c r="B1621" s="57">
        <v>1237</v>
      </c>
      <c r="C1621" s="21" t="s">
        <v>5649</v>
      </c>
      <c r="D1621" s="72" t="s">
        <v>5650</v>
      </c>
      <c r="E1621" s="72"/>
      <c r="F1621" s="72"/>
      <c r="G1621" s="72"/>
      <c r="H1621" s="22" t="s">
        <v>5651</v>
      </c>
      <c r="I1621" s="27">
        <v>18</v>
      </c>
      <c r="J1621" s="22"/>
      <c r="K1621" s="20">
        <v>1</v>
      </c>
      <c r="L1621" s="32">
        <v>3255.22</v>
      </c>
      <c r="M1621" s="11"/>
      <c r="N1621" s="22">
        <f t="shared" si="70"/>
        <v>0</v>
      </c>
      <c r="O1621" s="25">
        <f>1.034*M1621</f>
        <v>0</v>
      </c>
      <c r="P1621" s="25">
        <f>0.004*M1621</f>
        <v>0</v>
      </c>
      <c r="Q1621" s="30"/>
      <c r="R1621" s="22" t="s">
        <v>5652</v>
      </c>
      <c r="S1621" s="22" t="s">
        <v>435</v>
      </c>
      <c r="T1621" s="21" t="str">
        <f>HYPERLINK("https://miland.ru/api/getInfo/image/99f1d577-f025-11ee-a25b-00155d82e908")</f>
        <v>https://miland.ru/api/getInfo/image/99f1d577-f025-11ee-a25b-00155d82e908</v>
      </c>
      <c r="U1621" s="21"/>
      <c r="V1621" s="21" t="s">
        <v>5617</v>
      </c>
      <c r="W1621" s="21" t="s">
        <v>171</v>
      </c>
      <c r="X1621" s="21" t="s">
        <v>172</v>
      </c>
      <c r="Y1621" s="21" t="s">
        <v>173</v>
      </c>
      <c r="Z1621" s="21" t="s">
        <v>5652</v>
      </c>
      <c r="AA1621" s="21" t="str">
        <f>HYPERLINK("https://miland.ru/api/getInfo/item/99f1d577-f025-11ee-a25b-00155d82e908")</f>
        <v>https://miland.ru/api/getInfo/item/99f1d577-f025-11ee-a25b-00155d82e908</v>
      </c>
      <c r="AB1621" s="21" t="s">
        <v>42</v>
      </c>
      <c r="AC1621" s="21"/>
      <c r="AD1621" s="21"/>
    </row>
    <row r="1622" spans="2:30" s="1" customFormat="1" ht="96.3" customHeight="1" outlineLevel="7">
      <c r="B1622" s="57">
        <v>1238</v>
      </c>
      <c r="C1622" s="21" t="s">
        <v>5653</v>
      </c>
      <c r="D1622" s="72" t="s">
        <v>5654</v>
      </c>
      <c r="E1622" s="72"/>
      <c r="F1622" s="72"/>
      <c r="G1622" s="72"/>
      <c r="H1622" s="22" t="s">
        <v>5655</v>
      </c>
      <c r="I1622" s="27">
        <v>36</v>
      </c>
      <c r="J1622" s="22"/>
      <c r="K1622" s="20">
        <v>1</v>
      </c>
      <c r="L1622" s="32">
        <v>2600.62</v>
      </c>
      <c r="M1622" s="11"/>
      <c r="N1622" s="22">
        <f t="shared" si="70"/>
        <v>0</v>
      </c>
      <c r="O1622" s="25">
        <f>1.623*M1622</f>
        <v>0</v>
      </c>
      <c r="P1622" s="26">
        <f>0.00805*M1622</f>
        <v>0</v>
      </c>
      <c r="Q1622" s="30"/>
      <c r="R1622" s="22" t="s">
        <v>5656</v>
      </c>
      <c r="S1622" s="22" t="s">
        <v>435</v>
      </c>
      <c r="T1622" s="21" t="str">
        <f>HYPERLINK("https://miland.ru/api/getInfo/image/8f7fc11d-962f-11ed-a22d-00155d82e902")</f>
        <v>https://miland.ru/api/getInfo/image/8f7fc11d-962f-11ed-a22d-00155d82e902</v>
      </c>
      <c r="U1622" s="21"/>
      <c r="V1622" s="21" t="s">
        <v>5617</v>
      </c>
      <c r="W1622" s="21" t="s">
        <v>171</v>
      </c>
      <c r="X1622" s="21" t="s">
        <v>172</v>
      </c>
      <c r="Y1622" s="21" t="s">
        <v>173</v>
      </c>
      <c r="Z1622" s="21" t="s">
        <v>5656</v>
      </c>
      <c r="AA1622" s="21" t="str">
        <f>HYPERLINK("https://miland.ru/api/getInfo/item/8f7fc11d-962f-11ed-a22d-00155d82e902")</f>
        <v>https://miland.ru/api/getInfo/item/8f7fc11d-962f-11ed-a22d-00155d82e902</v>
      </c>
      <c r="AB1622" s="21" t="s">
        <v>42</v>
      </c>
      <c r="AC1622" s="21"/>
      <c r="AD1622" s="21"/>
    </row>
    <row r="1623" spans="2:30" s="1" customFormat="1" ht="96.3" customHeight="1" outlineLevel="7">
      <c r="B1623" s="57">
        <v>1239</v>
      </c>
      <c r="C1623" s="21" t="s">
        <v>5657</v>
      </c>
      <c r="D1623" s="72" t="s">
        <v>5658</v>
      </c>
      <c r="E1623" s="72"/>
      <c r="F1623" s="72"/>
      <c r="G1623" s="72"/>
      <c r="H1623" s="22" t="s">
        <v>5659</v>
      </c>
      <c r="I1623" s="27">
        <v>35</v>
      </c>
      <c r="J1623" s="22"/>
      <c r="K1623" s="20">
        <v>1</v>
      </c>
      <c r="L1623" s="32">
        <v>2600.62</v>
      </c>
      <c r="M1623" s="11"/>
      <c r="N1623" s="22">
        <f t="shared" si="70"/>
        <v>0</v>
      </c>
      <c r="O1623" s="25">
        <f>1.598*M1623</f>
        <v>0</v>
      </c>
      <c r="P1623" s="26">
        <f>0.00882*M1623</f>
        <v>0</v>
      </c>
      <c r="Q1623" s="30"/>
      <c r="R1623" s="22" t="s">
        <v>5660</v>
      </c>
      <c r="S1623" s="22" t="s">
        <v>435</v>
      </c>
      <c r="T1623" s="21" t="str">
        <f>HYPERLINK("https://miland.ru/api/getInfo/image/57ef8419-962f-11ed-a22d-00155d82e902")</f>
        <v>https://miland.ru/api/getInfo/image/57ef8419-962f-11ed-a22d-00155d82e902</v>
      </c>
      <c r="U1623" s="21"/>
      <c r="V1623" s="21" t="s">
        <v>5617</v>
      </c>
      <c r="W1623" s="21" t="s">
        <v>171</v>
      </c>
      <c r="X1623" s="21" t="s">
        <v>172</v>
      </c>
      <c r="Y1623" s="21" t="s">
        <v>173</v>
      </c>
      <c r="Z1623" s="21" t="s">
        <v>5661</v>
      </c>
      <c r="AA1623" s="21" t="str">
        <f>HYPERLINK("https://miland.ru/api/getInfo/item/57ef8419-962f-11ed-a22d-00155d82e902")</f>
        <v>https://miland.ru/api/getInfo/item/57ef8419-962f-11ed-a22d-00155d82e902</v>
      </c>
      <c r="AB1623" s="21" t="s">
        <v>42</v>
      </c>
      <c r="AC1623" s="21"/>
      <c r="AD1623" s="21"/>
    </row>
    <row r="1624" spans="2:30" s="1" customFormat="1" ht="96.3" customHeight="1" outlineLevel="7">
      <c r="B1624" s="57">
        <v>1240</v>
      </c>
      <c r="C1624" s="21" t="s">
        <v>5662</v>
      </c>
      <c r="D1624" s="72" t="s">
        <v>5663</v>
      </c>
      <c r="E1624" s="72"/>
      <c r="F1624" s="72"/>
      <c r="G1624" s="72"/>
      <c r="H1624" s="22" t="s">
        <v>5664</v>
      </c>
      <c r="I1624" s="27">
        <v>94</v>
      </c>
      <c r="J1624" s="22"/>
      <c r="K1624" s="20">
        <v>1</v>
      </c>
      <c r="L1624" s="32">
        <v>3435.82</v>
      </c>
      <c r="M1624" s="11"/>
      <c r="N1624" s="22">
        <f t="shared" si="70"/>
        <v>0</v>
      </c>
      <c r="O1624" s="25">
        <f>1.713*M1624</f>
        <v>0</v>
      </c>
      <c r="P1624" s="26">
        <f>0.00739*M1624</f>
        <v>0</v>
      </c>
      <c r="Q1624" s="30"/>
      <c r="R1624" s="22" t="s">
        <v>5665</v>
      </c>
      <c r="S1624" s="22" t="s">
        <v>435</v>
      </c>
      <c r="T1624" s="21" t="str">
        <f>HYPERLINK("https://miland.ru/api/getInfo/image/bfd10f39-962f-11ed-a22d-00155d82e902")</f>
        <v>https://miland.ru/api/getInfo/image/bfd10f39-962f-11ed-a22d-00155d82e902</v>
      </c>
      <c r="U1624" s="21"/>
      <c r="V1624" s="21" t="s">
        <v>5617</v>
      </c>
      <c r="W1624" s="21" t="s">
        <v>171</v>
      </c>
      <c r="X1624" s="21" t="s">
        <v>172</v>
      </c>
      <c r="Y1624" s="21" t="s">
        <v>173</v>
      </c>
      <c r="Z1624" s="21" t="s">
        <v>5665</v>
      </c>
      <c r="AA1624" s="21" t="str">
        <f>HYPERLINK("https://miland.ru/api/getInfo/item/bfd10f39-962f-11ed-a22d-00155d82e902")</f>
        <v>https://miland.ru/api/getInfo/item/bfd10f39-962f-11ed-a22d-00155d82e902</v>
      </c>
      <c r="AB1624" s="21" t="s">
        <v>42</v>
      </c>
      <c r="AC1624" s="21"/>
      <c r="AD1624" s="21"/>
    </row>
    <row r="1625" spans="2:30" ht="12" customHeight="1" outlineLevel="6">
      <c r="B1625" s="70" t="s">
        <v>5666</v>
      </c>
      <c r="C1625" s="70"/>
      <c r="D1625" s="70"/>
      <c r="E1625" s="70"/>
      <c r="F1625" s="70"/>
      <c r="G1625" s="70"/>
    </row>
    <row r="1626" spans="2:30" s="1" customFormat="1" ht="96.3" customHeight="1" outlineLevel="7">
      <c r="B1626" s="57">
        <v>1241</v>
      </c>
      <c r="C1626" s="21" t="s">
        <v>5667</v>
      </c>
      <c r="D1626" s="72" t="s">
        <v>5668</v>
      </c>
      <c r="E1626" s="72"/>
      <c r="F1626" s="72"/>
      <c r="G1626" s="72"/>
      <c r="H1626" s="22" t="s">
        <v>5669</v>
      </c>
      <c r="I1626" s="27">
        <v>7</v>
      </c>
      <c r="J1626" s="22"/>
      <c r="K1626" s="20">
        <v>2</v>
      </c>
      <c r="L1626" s="24">
        <v>381.3</v>
      </c>
      <c r="M1626" s="11"/>
      <c r="N1626" s="22">
        <f t="shared" ref="N1626:N1631" si="71">L1626*M1626</f>
        <v>0</v>
      </c>
      <c r="O1626" s="28">
        <f>0.08*M1626</f>
        <v>0</v>
      </c>
      <c r="P1626" s="26">
        <f>0.00047*M1626</f>
        <v>0</v>
      </c>
      <c r="Q1626" s="30"/>
      <c r="R1626" s="22" t="s">
        <v>5670</v>
      </c>
      <c r="S1626" s="22" t="s">
        <v>435</v>
      </c>
      <c r="T1626" s="21" t="str">
        <f>HYPERLINK("https://miland.ru/api/getInfo/image/91e1e8c4-a559-11ee-a258-00155d82e908")</f>
        <v>https://miland.ru/api/getInfo/image/91e1e8c4-a559-11ee-a258-00155d82e908</v>
      </c>
      <c r="U1626" s="21"/>
      <c r="V1626" s="21" t="s">
        <v>208</v>
      </c>
      <c r="W1626" s="21" t="s">
        <v>5671</v>
      </c>
      <c r="X1626" s="21"/>
      <c r="Y1626" s="21" t="s">
        <v>41</v>
      </c>
      <c r="Z1626" s="21"/>
      <c r="AA1626" s="21" t="str">
        <f>HYPERLINK("https://miland.ru/api/getInfo/item/91e1e8c4-a559-11ee-a258-00155d82e908")</f>
        <v>https://miland.ru/api/getInfo/item/91e1e8c4-a559-11ee-a258-00155d82e908</v>
      </c>
      <c r="AB1626" s="21" t="s">
        <v>42</v>
      </c>
      <c r="AC1626" s="21"/>
      <c r="AD1626" s="21" t="s">
        <v>5672</v>
      </c>
    </row>
    <row r="1627" spans="2:30" s="1" customFormat="1" ht="96.3" customHeight="1" outlineLevel="7">
      <c r="B1627" s="57">
        <v>1242</v>
      </c>
      <c r="C1627" s="21" t="s">
        <v>5673</v>
      </c>
      <c r="D1627" s="72" t="s">
        <v>5674</v>
      </c>
      <c r="E1627" s="72"/>
      <c r="F1627" s="72"/>
      <c r="G1627" s="72"/>
      <c r="H1627" s="22" t="s">
        <v>5675</v>
      </c>
      <c r="I1627" s="27">
        <v>5</v>
      </c>
      <c r="J1627" s="22"/>
      <c r="K1627" s="20">
        <v>2</v>
      </c>
      <c r="L1627" s="24">
        <v>309.14</v>
      </c>
      <c r="M1627" s="11"/>
      <c r="N1627" s="22">
        <f t="shared" si="71"/>
        <v>0</v>
      </c>
      <c r="O1627" s="28">
        <f>0.08*M1627</f>
        <v>0</v>
      </c>
      <c r="P1627" s="26">
        <f>0.00032*M1627</f>
        <v>0</v>
      </c>
      <c r="Q1627" s="30"/>
      <c r="R1627" s="22" t="s">
        <v>5676</v>
      </c>
      <c r="S1627" s="22" t="s">
        <v>435</v>
      </c>
      <c r="T1627" s="21" t="str">
        <f>HYPERLINK("https://miland.ru/api/getInfo/image/b9aa4c51-a558-11ee-a258-00155d82e908")</f>
        <v>https://miland.ru/api/getInfo/image/b9aa4c51-a558-11ee-a258-00155d82e908</v>
      </c>
      <c r="U1627" s="21"/>
      <c r="V1627" s="21" t="s">
        <v>208</v>
      </c>
      <c r="W1627" s="21" t="s">
        <v>5671</v>
      </c>
      <c r="X1627" s="21"/>
      <c r="Y1627" s="21" t="s">
        <v>41</v>
      </c>
      <c r="Z1627" s="21"/>
      <c r="AA1627" s="21" t="str">
        <f>HYPERLINK("https://miland.ru/api/getInfo/item/b9aa4c51-a558-11ee-a258-00155d82e908")</f>
        <v>https://miland.ru/api/getInfo/item/b9aa4c51-a558-11ee-a258-00155d82e908</v>
      </c>
      <c r="AB1627" s="21" t="s">
        <v>42</v>
      </c>
      <c r="AC1627" s="21"/>
      <c r="AD1627" s="21" t="s">
        <v>5677</v>
      </c>
    </row>
    <row r="1628" spans="2:30" s="1" customFormat="1" ht="96.3" customHeight="1" outlineLevel="7">
      <c r="B1628" s="57">
        <v>1243</v>
      </c>
      <c r="C1628" s="21" t="s">
        <v>5678</v>
      </c>
      <c r="D1628" s="72" t="s">
        <v>5679</v>
      </c>
      <c r="E1628" s="72"/>
      <c r="F1628" s="72"/>
      <c r="G1628" s="72"/>
      <c r="H1628" s="22" t="s">
        <v>5680</v>
      </c>
      <c r="I1628" s="27">
        <v>12</v>
      </c>
      <c r="J1628" s="22"/>
      <c r="K1628" s="20">
        <v>2</v>
      </c>
      <c r="L1628" s="24">
        <v>348.5</v>
      </c>
      <c r="M1628" s="11"/>
      <c r="N1628" s="22">
        <f t="shared" si="71"/>
        <v>0</v>
      </c>
      <c r="O1628" s="28">
        <f>0.08*M1628</f>
        <v>0</v>
      </c>
      <c r="P1628" s="26">
        <f>0.00032*M1628</f>
        <v>0</v>
      </c>
      <c r="Q1628" s="30"/>
      <c r="R1628" s="22" t="s">
        <v>5681</v>
      </c>
      <c r="S1628" s="22" t="s">
        <v>435</v>
      </c>
      <c r="T1628" s="21" t="str">
        <f>HYPERLINK("https://miland.ru/api/getInfo/image/df6e3b76-a558-11ee-a258-00155d82e908")</f>
        <v>https://miland.ru/api/getInfo/image/df6e3b76-a558-11ee-a258-00155d82e908</v>
      </c>
      <c r="U1628" s="21"/>
      <c r="V1628" s="21" t="s">
        <v>208</v>
      </c>
      <c r="W1628" s="21" t="s">
        <v>5671</v>
      </c>
      <c r="X1628" s="21"/>
      <c r="Y1628" s="21" t="s">
        <v>41</v>
      </c>
      <c r="Z1628" s="21"/>
      <c r="AA1628" s="21" t="str">
        <f>HYPERLINK("https://miland.ru/api/getInfo/item/df6e3b76-a558-11ee-a258-00155d82e908")</f>
        <v>https://miland.ru/api/getInfo/item/df6e3b76-a558-11ee-a258-00155d82e908</v>
      </c>
      <c r="AB1628" s="21" t="s">
        <v>42</v>
      </c>
      <c r="AC1628" s="21"/>
      <c r="AD1628" s="21" t="s">
        <v>5677</v>
      </c>
    </row>
    <row r="1629" spans="2:30" s="1" customFormat="1" ht="96.3" customHeight="1" outlineLevel="7">
      <c r="B1629" s="57">
        <v>1244</v>
      </c>
      <c r="C1629" s="21" t="s">
        <v>5682</v>
      </c>
      <c r="D1629" s="72" t="s">
        <v>5683</v>
      </c>
      <c r="E1629" s="72"/>
      <c r="F1629" s="72"/>
      <c r="G1629" s="72"/>
      <c r="H1629" s="22" t="s">
        <v>5684</v>
      </c>
      <c r="I1629" s="27">
        <v>97</v>
      </c>
      <c r="J1629" s="22"/>
      <c r="K1629" s="20">
        <v>1</v>
      </c>
      <c r="L1629" s="32">
        <v>1927.37</v>
      </c>
      <c r="M1629" s="11"/>
      <c r="N1629" s="22">
        <f t="shared" si="71"/>
        <v>0</v>
      </c>
      <c r="O1629" s="28">
        <f>0.62*M1629</f>
        <v>0</v>
      </c>
      <c r="P1629" s="26">
        <f>0.01129*M1629</f>
        <v>0</v>
      </c>
      <c r="Q1629" s="30"/>
      <c r="R1629" s="22" t="s">
        <v>5685</v>
      </c>
      <c r="S1629" s="22"/>
      <c r="T1629" s="21" t="str">
        <f>HYPERLINK("https://miland.ru/api/getInfo/image/34fe1ad7-21b5-11f0-a279-00155d82e908")</f>
        <v>https://miland.ru/api/getInfo/image/34fe1ad7-21b5-11f0-a279-00155d82e908</v>
      </c>
      <c r="U1629" s="21"/>
      <c r="V1629" s="21" t="s">
        <v>5617</v>
      </c>
      <c r="W1629" s="21" t="s">
        <v>171</v>
      </c>
      <c r="X1629" s="21" t="s">
        <v>172</v>
      </c>
      <c r="Y1629" s="21" t="s">
        <v>173</v>
      </c>
      <c r="Z1629" s="21" t="s">
        <v>5686</v>
      </c>
      <c r="AA1629" s="21" t="str">
        <f>HYPERLINK("https://miland.ru/api/getInfo/item/34fe1ad7-21b5-11f0-a279-00155d82e908")</f>
        <v>https://miland.ru/api/getInfo/item/34fe1ad7-21b5-11f0-a279-00155d82e908</v>
      </c>
      <c r="AB1629" s="21" t="s">
        <v>42</v>
      </c>
      <c r="AC1629" s="21"/>
      <c r="AD1629" s="21"/>
    </row>
    <row r="1630" spans="2:30" s="1" customFormat="1" ht="96.3" customHeight="1" outlineLevel="7">
      <c r="B1630" s="57">
        <v>1245</v>
      </c>
      <c r="C1630" s="21" t="s">
        <v>5687</v>
      </c>
      <c r="D1630" s="72" t="s">
        <v>5688</v>
      </c>
      <c r="E1630" s="72"/>
      <c r="F1630" s="72"/>
      <c r="G1630" s="72"/>
      <c r="H1630" s="22" t="s">
        <v>5689</v>
      </c>
      <c r="I1630" s="27">
        <v>25</v>
      </c>
      <c r="J1630" s="22"/>
      <c r="K1630" s="20">
        <v>1</v>
      </c>
      <c r="L1630" s="24">
        <v>430.37</v>
      </c>
      <c r="M1630" s="11"/>
      <c r="N1630" s="22">
        <f t="shared" si="71"/>
        <v>0</v>
      </c>
      <c r="O1630" s="28">
        <f>0.13*M1630</f>
        <v>0</v>
      </c>
      <c r="P1630" s="26">
        <f>0.00206*M1630</f>
        <v>0</v>
      </c>
      <c r="Q1630" s="30"/>
      <c r="R1630" s="22" t="s">
        <v>5690</v>
      </c>
      <c r="S1630" s="22"/>
      <c r="T1630" s="21" t="str">
        <f>HYPERLINK("https://miland.ru/api/getInfo/image/80aa5354-21b6-11f0-a279-00155d82e908")</f>
        <v>https://miland.ru/api/getInfo/image/80aa5354-21b6-11f0-a279-00155d82e908</v>
      </c>
      <c r="U1630" s="21"/>
      <c r="V1630" s="21" t="s">
        <v>5617</v>
      </c>
      <c r="W1630" s="21" t="s">
        <v>171</v>
      </c>
      <c r="X1630" s="21" t="s">
        <v>172</v>
      </c>
      <c r="Y1630" s="21" t="s">
        <v>173</v>
      </c>
      <c r="Z1630" s="21" t="s">
        <v>5691</v>
      </c>
      <c r="AA1630" s="21" t="str">
        <f>HYPERLINK("https://miland.ru/api/getInfo/item/80aa5354-21b6-11f0-a279-00155d82e908")</f>
        <v>https://miland.ru/api/getInfo/item/80aa5354-21b6-11f0-a279-00155d82e908</v>
      </c>
      <c r="AB1630" s="21" t="s">
        <v>42</v>
      </c>
      <c r="AC1630" s="21"/>
      <c r="AD1630" s="21"/>
    </row>
    <row r="1631" spans="2:30" s="1" customFormat="1" ht="96.3" customHeight="1" outlineLevel="7">
      <c r="B1631" s="57">
        <v>1246</v>
      </c>
      <c r="C1631" s="21" t="s">
        <v>5692</v>
      </c>
      <c r="D1631" s="72" t="s">
        <v>5693</v>
      </c>
      <c r="E1631" s="72"/>
      <c r="F1631" s="72"/>
      <c r="G1631" s="72"/>
      <c r="H1631" s="22" t="s">
        <v>5694</v>
      </c>
      <c r="I1631" s="27">
        <v>76</v>
      </c>
      <c r="J1631" s="22"/>
      <c r="K1631" s="20">
        <v>1</v>
      </c>
      <c r="L1631" s="24">
        <v>912.95</v>
      </c>
      <c r="M1631" s="11"/>
      <c r="N1631" s="22">
        <f t="shared" si="71"/>
        <v>0</v>
      </c>
      <c r="O1631" s="25">
        <f>0.195*M1631</f>
        <v>0</v>
      </c>
      <c r="P1631" s="26">
        <f>0.00144*M1631</f>
        <v>0</v>
      </c>
      <c r="Q1631" s="30"/>
      <c r="R1631" s="22" t="s">
        <v>5695</v>
      </c>
      <c r="S1631" s="22" t="s">
        <v>435</v>
      </c>
      <c r="T1631" s="21" t="str">
        <f>HYPERLINK("https://miland.ru/api/getInfo/image/d4470a7f-f049-11ef-a274-00155d82e908")</f>
        <v>https://miland.ru/api/getInfo/image/d4470a7f-f049-11ef-a274-00155d82e908</v>
      </c>
      <c r="U1631" s="21"/>
      <c r="V1631" s="21" t="s">
        <v>5617</v>
      </c>
      <c r="W1631" s="21" t="s">
        <v>171</v>
      </c>
      <c r="X1631" s="21" t="s">
        <v>172</v>
      </c>
      <c r="Y1631" s="21" t="s">
        <v>173</v>
      </c>
      <c r="Z1631" s="21" t="s">
        <v>5696</v>
      </c>
      <c r="AA1631" s="21" t="str">
        <f>HYPERLINK("https://miland.ru/api/getInfo/item/d4470a7f-f049-11ef-a274-00155d82e908")</f>
        <v>https://miland.ru/api/getInfo/item/d4470a7f-f049-11ef-a274-00155d82e908</v>
      </c>
      <c r="AB1631" s="21" t="s">
        <v>42</v>
      </c>
      <c r="AC1631" s="21"/>
      <c r="AD1631" s="21"/>
    </row>
    <row r="1632" spans="2:30" ht="12" customHeight="1" outlineLevel="5">
      <c r="B1632" s="70" t="s">
        <v>5697</v>
      </c>
      <c r="C1632" s="70"/>
      <c r="D1632" s="70"/>
      <c r="E1632" s="70"/>
      <c r="F1632" s="70"/>
      <c r="G1632" s="70"/>
    </row>
    <row r="1633" spans="2:30" ht="12" customHeight="1" outlineLevel="6">
      <c r="B1633" s="70" t="s">
        <v>5698</v>
      </c>
      <c r="C1633" s="70"/>
      <c r="D1633" s="70"/>
      <c r="E1633" s="70"/>
      <c r="F1633" s="70"/>
      <c r="G1633" s="70"/>
    </row>
    <row r="1634" spans="2:30" s="1" customFormat="1" ht="96.3" customHeight="1" outlineLevel="7">
      <c r="B1634" s="57">
        <v>1247</v>
      </c>
      <c r="C1634" s="21" t="s">
        <v>5699</v>
      </c>
      <c r="D1634" s="72" t="s">
        <v>5700</v>
      </c>
      <c r="E1634" s="72"/>
      <c r="F1634" s="72"/>
      <c r="G1634" s="72"/>
      <c r="H1634" s="22" t="s">
        <v>5701</v>
      </c>
      <c r="I1634" s="27">
        <v>18</v>
      </c>
      <c r="J1634" s="22"/>
      <c r="K1634" s="20">
        <v>1</v>
      </c>
      <c r="L1634" s="32">
        <v>2006.99</v>
      </c>
      <c r="M1634" s="11"/>
      <c r="N1634" s="22">
        <f>L1634*M1634</f>
        <v>0</v>
      </c>
      <c r="O1634" s="25">
        <f>0.707*M1634</f>
        <v>0</v>
      </c>
      <c r="P1634" s="29">
        <f>0.0085*M1634</f>
        <v>0</v>
      </c>
      <c r="Q1634" s="30"/>
      <c r="R1634" s="22" t="s">
        <v>5702</v>
      </c>
      <c r="S1634" s="22" t="s">
        <v>435</v>
      </c>
      <c r="T1634" s="21" t="str">
        <f>HYPERLINK("https://miland.ru/api/getInfo/image/80ebef3b-21b3-11f0-a279-00155d82e908")</f>
        <v>https://miland.ru/api/getInfo/image/80ebef3b-21b3-11f0-a279-00155d82e908</v>
      </c>
      <c r="U1634" s="21"/>
      <c r="V1634" s="21"/>
      <c r="W1634" s="21" t="s">
        <v>171</v>
      </c>
      <c r="X1634" s="21" t="s">
        <v>172</v>
      </c>
      <c r="Y1634" s="21" t="s">
        <v>173</v>
      </c>
      <c r="Z1634" s="21" t="s">
        <v>5703</v>
      </c>
      <c r="AA1634" s="21" t="str">
        <f>HYPERLINK("https://miland.ru/api/getInfo/item/80ebef3b-21b3-11f0-a279-00155d82e908")</f>
        <v>https://miland.ru/api/getInfo/item/80ebef3b-21b3-11f0-a279-00155d82e908</v>
      </c>
      <c r="AB1634" s="21" t="s">
        <v>42</v>
      </c>
      <c r="AC1634" s="21"/>
      <c r="AD1634" s="21"/>
    </row>
    <row r="1635" spans="2:30" s="1" customFormat="1" ht="96.3" customHeight="1" outlineLevel="7">
      <c r="B1635" s="57">
        <v>1248</v>
      </c>
      <c r="C1635" s="21" t="s">
        <v>5704</v>
      </c>
      <c r="D1635" s="72" t="s">
        <v>5705</v>
      </c>
      <c r="E1635" s="72"/>
      <c r="F1635" s="72"/>
      <c r="G1635" s="72"/>
      <c r="H1635" s="22" t="s">
        <v>5706</v>
      </c>
      <c r="I1635" s="27">
        <v>33</v>
      </c>
      <c r="J1635" s="22"/>
      <c r="K1635" s="20">
        <v>1</v>
      </c>
      <c r="L1635" s="32">
        <v>2006.99</v>
      </c>
      <c r="M1635" s="11"/>
      <c r="N1635" s="22">
        <f>L1635*M1635</f>
        <v>0</v>
      </c>
      <c r="O1635" s="25">
        <f>0.681*M1635</f>
        <v>0</v>
      </c>
      <c r="P1635" s="26">
        <f>0.00889*M1635</f>
        <v>0</v>
      </c>
      <c r="Q1635" s="30"/>
      <c r="R1635" s="22" t="s">
        <v>5707</v>
      </c>
      <c r="S1635" s="22" t="s">
        <v>435</v>
      </c>
      <c r="T1635" s="21" t="str">
        <f>HYPERLINK("https://miland.ru/api/getInfo/image/ff05a490-21b3-11f0-a279-00155d82e908")</f>
        <v>https://miland.ru/api/getInfo/image/ff05a490-21b3-11f0-a279-00155d82e908</v>
      </c>
      <c r="U1635" s="21"/>
      <c r="V1635" s="21"/>
      <c r="W1635" s="21" t="s">
        <v>171</v>
      </c>
      <c r="X1635" s="21" t="s">
        <v>172</v>
      </c>
      <c r="Y1635" s="21" t="s">
        <v>173</v>
      </c>
      <c r="Z1635" s="21" t="s">
        <v>5708</v>
      </c>
      <c r="AA1635" s="21" t="str">
        <f>HYPERLINK("https://miland.ru/api/getInfo/item/ff05a490-21b3-11f0-a279-00155d82e908")</f>
        <v>https://miland.ru/api/getInfo/item/ff05a490-21b3-11f0-a279-00155d82e908</v>
      </c>
      <c r="AB1635" s="21" t="s">
        <v>42</v>
      </c>
      <c r="AC1635" s="21"/>
      <c r="AD1635" s="21"/>
    </row>
    <row r="1636" spans="2:30" s="1" customFormat="1" ht="96.3" customHeight="1" outlineLevel="7">
      <c r="B1636" s="57">
        <v>1249</v>
      </c>
      <c r="C1636" s="21" t="s">
        <v>5709</v>
      </c>
      <c r="D1636" s="72" t="s">
        <v>5710</v>
      </c>
      <c r="E1636" s="72"/>
      <c r="F1636" s="72"/>
      <c r="G1636" s="72"/>
      <c r="H1636" s="22" t="s">
        <v>5711</v>
      </c>
      <c r="I1636" s="27">
        <v>39</v>
      </c>
      <c r="J1636" s="22"/>
      <c r="K1636" s="20">
        <v>1</v>
      </c>
      <c r="L1636" s="32">
        <v>2006.99</v>
      </c>
      <c r="M1636" s="11"/>
      <c r="N1636" s="22">
        <f>L1636*M1636</f>
        <v>0</v>
      </c>
      <c r="O1636" s="25">
        <f>0.718*M1636</f>
        <v>0</v>
      </c>
      <c r="P1636" s="26">
        <f>0.00903*M1636</f>
        <v>0</v>
      </c>
      <c r="Q1636" s="30"/>
      <c r="R1636" s="22" t="s">
        <v>5712</v>
      </c>
      <c r="S1636" s="22" t="s">
        <v>435</v>
      </c>
      <c r="T1636" s="21" t="str">
        <f>HYPERLINK("https://miland.ru/api/getInfo/image/66ab2b94-21b4-11f0-a279-00155d82e908")</f>
        <v>https://miland.ru/api/getInfo/image/66ab2b94-21b4-11f0-a279-00155d82e908</v>
      </c>
      <c r="U1636" s="21"/>
      <c r="V1636" s="21"/>
      <c r="W1636" s="21" t="s">
        <v>171</v>
      </c>
      <c r="X1636" s="21" t="s">
        <v>172</v>
      </c>
      <c r="Y1636" s="21" t="s">
        <v>173</v>
      </c>
      <c r="Z1636" s="21" t="s">
        <v>5713</v>
      </c>
      <c r="AA1636" s="21" t="str">
        <f>HYPERLINK("https://miland.ru/api/getInfo/item/66ab2b94-21b4-11f0-a279-00155d82e908")</f>
        <v>https://miland.ru/api/getInfo/item/66ab2b94-21b4-11f0-a279-00155d82e908</v>
      </c>
      <c r="AB1636" s="21" t="s">
        <v>42</v>
      </c>
      <c r="AC1636" s="21"/>
      <c r="AD1636" s="21"/>
    </row>
    <row r="1637" spans="2:30" s="1" customFormat="1" ht="96.3" customHeight="1" outlineLevel="7">
      <c r="B1637" s="57">
        <v>1250</v>
      </c>
      <c r="C1637" s="21" t="s">
        <v>5714</v>
      </c>
      <c r="D1637" s="72" t="s">
        <v>5715</v>
      </c>
      <c r="E1637" s="72"/>
      <c r="F1637" s="72"/>
      <c r="G1637" s="72"/>
      <c r="H1637" s="22" t="s">
        <v>5716</v>
      </c>
      <c r="I1637" s="27">
        <v>264</v>
      </c>
      <c r="J1637" s="22"/>
      <c r="K1637" s="20">
        <v>1</v>
      </c>
      <c r="L1637" s="32">
        <v>2860.96</v>
      </c>
      <c r="M1637" s="11"/>
      <c r="N1637" s="22">
        <f>L1637*M1637</f>
        <v>0</v>
      </c>
      <c r="O1637" s="25">
        <f>0.571*M1637</f>
        <v>0</v>
      </c>
      <c r="P1637" s="26">
        <f>0.00688*M1637</f>
        <v>0</v>
      </c>
      <c r="Q1637" s="30"/>
      <c r="R1637" s="22" t="s">
        <v>5717</v>
      </c>
      <c r="S1637" s="22"/>
      <c r="T1637" s="21" t="str">
        <f>HYPERLINK("https://miland.ru/api/getInfo/image/43801518-bd08-11ef-a267-00155d82e908")</f>
        <v>https://miland.ru/api/getInfo/image/43801518-bd08-11ef-a267-00155d82e908</v>
      </c>
      <c r="U1637" s="21"/>
      <c r="V1637" s="21"/>
      <c r="W1637" s="21"/>
      <c r="X1637" s="21"/>
      <c r="Y1637" s="21"/>
      <c r="Z1637" s="21"/>
      <c r="AA1637" s="21" t="str">
        <f>HYPERLINK("https://miland.ru/api/getInfo/item/43801518-bd08-11ef-a267-00155d82e908")</f>
        <v>https://miland.ru/api/getInfo/item/43801518-bd08-11ef-a267-00155d82e908</v>
      </c>
      <c r="AB1637" s="21" t="s">
        <v>42</v>
      </c>
      <c r="AC1637" s="21"/>
      <c r="AD1637" s="21"/>
    </row>
    <row r="1638" spans="2:30" ht="12" customHeight="1" outlineLevel="6">
      <c r="B1638" s="70" t="s">
        <v>5718</v>
      </c>
      <c r="C1638" s="70"/>
      <c r="D1638" s="70"/>
      <c r="E1638" s="70"/>
      <c r="F1638" s="70"/>
      <c r="G1638" s="70"/>
    </row>
    <row r="1639" spans="2:30" s="1" customFormat="1" ht="96.3" customHeight="1" outlineLevel="7">
      <c r="B1639" s="57">
        <v>1251</v>
      </c>
      <c r="C1639" s="21" t="s">
        <v>5719</v>
      </c>
      <c r="D1639" s="72" t="s">
        <v>5720</v>
      </c>
      <c r="E1639" s="72"/>
      <c r="F1639" s="72"/>
      <c r="G1639" s="72"/>
      <c r="H1639" s="22" t="s">
        <v>5721</v>
      </c>
      <c r="I1639" s="27">
        <v>62</v>
      </c>
      <c r="J1639" s="22"/>
      <c r="K1639" s="20">
        <v>1</v>
      </c>
      <c r="L1639" s="32">
        <v>4451.72</v>
      </c>
      <c r="M1639" s="11"/>
      <c r="N1639" s="22">
        <f>L1639*M1639</f>
        <v>0</v>
      </c>
      <c r="O1639" s="25">
        <f>1.164*M1639</f>
        <v>0</v>
      </c>
      <c r="P1639" s="26">
        <f>0.00656*M1639</f>
        <v>0</v>
      </c>
      <c r="Q1639" s="30"/>
      <c r="R1639" s="22" t="s">
        <v>5722</v>
      </c>
      <c r="S1639" s="22" t="s">
        <v>435</v>
      </c>
      <c r="T1639" s="21" t="str">
        <f>HYPERLINK("https://miland.ru/api/getInfo/image/d82761af-bd07-11ef-a267-00155d82e908")</f>
        <v>https://miland.ru/api/getInfo/image/d82761af-bd07-11ef-a267-00155d82e908</v>
      </c>
      <c r="U1639" s="21"/>
      <c r="V1639" s="21" t="s">
        <v>5723</v>
      </c>
      <c r="W1639" s="21" t="s">
        <v>185</v>
      </c>
      <c r="X1639" s="21"/>
      <c r="Y1639" s="21" t="s">
        <v>41</v>
      </c>
      <c r="Z1639" s="21"/>
      <c r="AA1639" s="21" t="str">
        <f>HYPERLINK("https://miland.ru/api/getInfo/item/d82761af-bd07-11ef-a267-00155d82e908")</f>
        <v>https://miland.ru/api/getInfo/item/d82761af-bd07-11ef-a267-00155d82e908</v>
      </c>
      <c r="AB1639" s="21" t="s">
        <v>42</v>
      </c>
      <c r="AC1639" s="21"/>
      <c r="AD1639" s="21"/>
    </row>
    <row r="1640" spans="2:30" ht="12" customHeight="1" outlineLevel="5">
      <c r="B1640" s="70" t="s">
        <v>5724</v>
      </c>
      <c r="C1640" s="70"/>
      <c r="D1640" s="70"/>
      <c r="E1640" s="70"/>
      <c r="F1640" s="70"/>
      <c r="G1640" s="70"/>
    </row>
    <row r="1641" spans="2:30" s="1" customFormat="1" ht="96.3" customHeight="1" outlineLevel="6">
      <c r="B1641" s="57">
        <v>1252</v>
      </c>
      <c r="C1641" s="21" t="s">
        <v>5725</v>
      </c>
      <c r="D1641" s="72" t="s">
        <v>5726</v>
      </c>
      <c r="E1641" s="72"/>
      <c r="F1641" s="72"/>
      <c r="G1641" s="72"/>
      <c r="H1641" s="22" t="s">
        <v>5727</v>
      </c>
      <c r="I1641" s="27">
        <v>182</v>
      </c>
      <c r="J1641" s="22"/>
      <c r="K1641" s="20">
        <v>1</v>
      </c>
      <c r="L1641" s="24">
        <v>812.13</v>
      </c>
      <c r="M1641" s="11"/>
      <c r="N1641" s="22">
        <f>L1641*M1641</f>
        <v>0</v>
      </c>
      <c r="O1641" s="25">
        <f>0.487*M1641</f>
        <v>0</v>
      </c>
      <c r="P1641" s="26">
        <f>0.00248*M1641</f>
        <v>0</v>
      </c>
      <c r="Q1641" s="30"/>
      <c r="R1641" s="22" t="s">
        <v>5728</v>
      </c>
      <c r="S1641" s="22" t="s">
        <v>435</v>
      </c>
      <c r="T1641" s="21" t="str">
        <f>HYPERLINK("https://miland.ru/api/getInfo/image/566b9520-fdac-11ef-a274-00155d82e908")</f>
        <v>https://miland.ru/api/getInfo/image/566b9520-fdac-11ef-a274-00155d82e908</v>
      </c>
      <c r="U1641" s="21"/>
      <c r="V1641" s="21" t="s">
        <v>5617</v>
      </c>
      <c r="W1641" s="21" t="s">
        <v>5729</v>
      </c>
      <c r="X1641" s="21" t="s">
        <v>172</v>
      </c>
      <c r="Y1641" s="21" t="s">
        <v>173</v>
      </c>
      <c r="Z1641" s="21" t="s">
        <v>5730</v>
      </c>
      <c r="AA1641" s="21" t="str">
        <f>HYPERLINK("https://miland.ru/api/getInfo/item/566b9520-fdac-11ef-a274-00155d82e908")</f>
        <v>https://miland.ru/api/getInfo/item/566b9520-fdac-11ef-a274-00155d82e908</v>
      </c>
      <c r="AB1641" s="21" t="s">
        <v>42</v>
      </c>
      <c r="AC1641" s="21"/>
      <c r="AD1641" s="21"/>
    </row>
    <row r="1642" spans="2:30" s="1" customFormat="1" ht="96.3" customHeight="1" outlineLevel="6">
      <c r="B1642" s="57">
        <v>1253</v>
      </c>
      <c r="C1642" s="21" t="s">
        <v>5731</v>
      </c>
      <c r="D1642" s="72" t="s">
        <v>5732</v>
      </c>
      <c r="E1642" s="72"/>
      <c r="F1642" s="72"/>
      <c r="G1642" s="72"/>
      <c r="H1642" s="22" t="s">
        <v>5733</v>
      </c>
      <c r="I1642" s="27">
        <v>210</v>
      </c>
      <c r="J1642" s="22"/>
      <c r="K1642" s="20">
        <v>1</v>
      </c>
      <c r="L1642" s="24">
        <v>812.13</v>
      </c>
      <c r="M1642" s="11"/>
      <c r="N1642" s="22">
        <f>L1642*M1642</f>
        <v>0</v>
      </c>
      <c r="O1642" s="25">
        <f>0.475*M1642</f>
        <v>0</v>
      </c>
      <c r="P1642" s="29">
        <f>0.0023*M1642</f>
        <v>0</v>
      </c>
      <c r="Q1642" s="30"/>
      <c r="R1642" s="22" t="s">
        <v>5734</v>
      </c>
      <c r="S1642" s="22" t="s">
        <v>435</v>
      </c>
      <c r="T1642" s="21" t="str">
        <f>HYPERLINK("https://miland.ru/api/getInfo/image/b80898de-fdaa-11ef-a274-00155d82e908")</f>
        <v>https://miland.ru/api/getInfo/image/b80898de-fdaa-11ef-a274-00155d82e908</v>
      </c>
      <c r="U1642" s="21"/>
      <c r="V1642" s="21" t="s">
        <v>5617</v>
      </c>
      <c r="W1642" s="21" t="s">
        <v>5729</v>
      </c>
      <c r="X1642" s="21" t="s">
        <v>172</v>
      </c>
      <c r="Y1642" s="21" t="s">
        <v>173</v>
      </c>
      <c r="Z1642" s="21" t="s">
        <v>5735</v>
      </c>
      <c r="AA1642" s="21" t="str">
        <f>HYPERLINK("https://miland.ru/api/getInfo/item/b80898de-fdaa-11ef-a274-00155d82e908")</f>
        <v>https://miland.ru/api/getInfo/item/b80898de-fdaa-11ef-a274-00155d82e908</v>
      </c>
      <c r="AB1642" s="21" t="s">
        <v>42</v>
      </c>
      <c r="AC1642" s="21"/>
      <c r="AD1642" s="21"/>
    </row>
    <row r="1643" spans="2:30" s="1" customFormat="1" ht="96.3" customHeight="1" outlineLevel="6">
      <c r="B1643" s="57">
        <v>1254</v>
      </c>
      <c r="C1643" s="21" t="s">
        <v>5736</v>
      </c>
      <c r="D1643" s="72" t="s">
        <v>5737</v>
      </c>
      <c r="E1643" s="72"/>
      <c r="F1643" s="72"/>
      <c r="G1643" s="72"/>
      <c r="H1643" s="22" t="s">
        <v>5738</v>
      </c>
      <c r="I1643" s="27">
        <v>224</v>
      </c>
      <c r="J1643" s="22"/>
      <c r="K1643" s="20">
        <v>1</v>
      </c>
      <c r="L1643" s="24">
        <v>812.13</v>
      </c>
      <c r="M1643" s="11"/>
      <c r="N1643" s="22">
        <f>L1643*M1643</f>
        <v>0</v>
      </c>
      <c r="O1643" s="25">
        <f>0.473*M1643</f>
        <v>0</v>
      </c>
      <c r="P1643" s="26">
        <f>0.00237*M1643</f>
        <v>0</v>
      </c>
      <c r="Q1643" s="30"/>
      <c r="R1643" s="22" t="s">
        <v>5739</v>
      </c>
      <c r="S1643" s="22" t="s">
        <v>435</v>
      </c>
      <c r="T1643" s="21" t="str">
        <f>HYPERLINK("https://miland.ru/api/getInfo/image/605baee3-fdad-11ef-a274-00155d82e908")</f>
        <v>https://miland.ru/api/getInfo/image/605baee3-fdad-11ef-a274-00155d82e908</v>
      </c>
      <c r="U1643" s="21"/>
      <c r="V1643" s="21" t="s">
        <v>5617</v>
      </c>
      <c r="W1643" s="21" t="s">
        <v>5729</v>
      </c>
      <c r="X1643" s="21" t="s">
        <v>172</v>
      </c>
      <c r="Y1643" s="21" t="s">
        <v>173</v>
      </c>
      <c r="Z1643" s="21" t="s">
        <v>5740</v>
      </c>
      <c r="AA1643" s="21" t="str">
        <f>HYPERLINK("https://miland.ru/api/getInfo/item/605baee3-fdad-11ef-a274-00155d82e908")</f>
        <v>https://miland.ru/api/getInfo/item/605baee3-fdad-11ef-a274-00155d82e908</v>
      </c>
      <c r="AB1643" s="21" t="s">
        <v>42</v>
      </c>
      <c r="AC1643" s="21"/>
      <c r="AD1643" s="21"/>
    </row>
    <row r="1644" spans="2:30" s="1" customFormat="1" ht="96.3" customHeight="1" outlineLevel="6">
      <c r="B1644" s="57">
        <v>1255</v>
      </c>
      <c r="C1644" s="21" t="s">
        <v>5741</v>
      </c>
      <c r="D1644" s="72" t="s">
        <v>5742</v>
      </c>
      <c r="E1644" s="72"/>
      <c r="F1644" s="72"/>
      <c r="G1644" s="72"/>
      <c r="H1644" s="22" t="s">
        <v>5743</v>
      </c>
      <c r="I1644" s="27">
        <v>145</v>
      </c>
      <c r="J1644" s="22"/>
      <c r="K1644" s="20">
        <v>1</v>
      </c>
      <c r="L1644" s="24">
        <v>812.13</v>
      </c>
      <c r="M1644" s="11"/>
      <c r="N1644" s="22">
        <f>L1644*M1644</f>
        <v>0</v>
      </c>
      <c r="O1644" s="25">
        <f>0.465*M1644</f>
        <v>0</v>
      </c>
      <c r="P1644" s="26">
        <f>0.00229*M1644</f>
        <v>0</v>
      </c>
      <c r="Q1644" s="30"/>
      <c r="R1644" s="22" t="s">
        <v>5744</v>
      </c>
      <c r="S1644" s="22" t="s">
        <v>435</v>
      </c>
      <c r="T1644" s="21" t="str">
        <f>HYPERLINK("https://miland.ru/api/getInfo/image/10cf76ce-fdad-11ef-a274-00155d82e908")</f>
        <v>https://miland.ru/api/getInfo/image/10cf76ce-fdad-11ef-a274-00155d82e908</v>
      </c>
      <c r="U1644" s="21"/>
      <c r="V1644" s="21" t="s">
        <v>5617</v>
      </c>
      <c r="W1644" s="21" t="s">
        <v>5729</v>
      </c>
      <c r="X1644" s="21" t="s">
        <v>172</v>
      </c>
      <c r="Y1644" s="21" t="s">
        <v>173</v>
      </c>
      <c r="Z1644" s="21" t="s">
        <v>5745</v>
      </c>
      <c r="AA1644" s="21" t="str">
        <f>HYPERLINK("https://miland.ru/api/getInfo/item/10cf76ce-fdad-11ef-a274-00155d82e908")</f>
        <v>https://miland.ru/api/getInfo/item/10cf76ce-fdad-11ef-a274-00155d82e908</v>
      </c>
      <c r="AB1644" s="21" t="s">
        <v>42</v>
      </c>
      <c r="AC1644" s="21"/>
      <c r="AD1644" s="21"/>
    </row>
    <row r="1645" spans="2:30" s="1" customFormat="1" ht="96.3" customHeight="1" outlineLevel="6">
      <c r="B1645" s="57">
        <v>1256</v>
      </c>
      <c r="C1645" s="21" t="s">
        <v>5746</v>
      </c>
      <c r="D1645" s="72" t="s">
        <v>5747</v>
      </c>
      <c r="E1645" s="72"/>
      <c r="F1645" s="72"/>
      <c r="G1645" s="72"/>
      <c r="H1645" s="22" t="s">
        <v>5748</v>
      </c>
      <c r="I1645" s="27">
        <v>332</v>
      </c>
      <c r="J1645" s="22"/>
      <c r="K1645" s="20">
        <v>1</v>
      </c>
      <c r="L1645" s="24">
        <v>720.83</v>
      </c>
      <c r="M1645" s="11"/>
      <c r="N1645" s="22">
        <f>L1645*M1645</f>
        <v>0</v>
      </c>
      <c r="O1645" s="25">
        <f>0.476*M1645</f>
        <v>0</v>
      </c>
      <c r="P1645" s="26">
        <f>0.00227*M1645</f>
        <v>0</v>
      </c>
      <c r="Q1645" s="30"/>
      <c r="R1645" s="22" t="s">
        <v>5749</v>
      </c>
      <c r="S1645" s="22" t="s">
        <v>435</v>
      </c>
      <c r="T1645" s="21" t="str">
        <f>HYPERLINK("https://miland.ru/api/getInfo/image/e1caaa8b-9efe-11ee-a257-00155d82e908")</f>
        <v>https://miland.ru/api/getInfo/image/e1caaa8b-9efe-11ee-a257-00155d82e908</v>
      </c>
      <c r="U1645" s="21"/>
      <c r="V1645" s="21" t="s">
        <v>5617</v>
      </c>
      <c r="W1645" s="21" t="s">
        <v>5729</v>
      </c>
      <c r="X1645" s="21" t="s">
        <v>172</v>
      </c>
      <c r="Y1645" s="21" t="s">
        <v>173</v>
      </c>
      <c r="Z1645" s="21" t="s">
        <v>5750</v>
      </c>
      <c r="AA1645" s="21" t="str">
        <f>HYPERLINK("https://miland.ru/api/getInfo/item/e1caaa8b-9efe-11ee-a257-00155d82e908")</f>
        <v>https://miland.ru/api/getInfo/item/e1caaa8b-9efe-11ee-a257-00155d82e908</v>
      </c>
      <c r="AB1645" s="21" t="s">
        <v>42</v>
      </c>
      <c r="AC1645" s="21" t="s">
        <v>5751</v>
      </c>
      <c r="AD1645" s="21"/>
    </row>
    <row r="1646" spans="2:30" ht="12" customHeight="1" outlineLevel="5">
      <c r="B1646" s="70" t="s">
        <v>5752</v>
      </c>
      <c r="C1646" s="70"/>
      <c r="D1646" s="70"/>
      <c r="E1646" s="70"/>
      <c r="F1646" s="70"/>
      <c r="G1646" s="70"/>
    </row>
    <row r="1647" spans="2:30" s="1" customFormat="1" ht="96.3" customHeight="1" outlineLevel="6">
      <c r="B1647" s="57">
        <v>1257</v>
      </c>
      <c r="C1647" s="21" t="s">
        <v>5753</v>
      </c>
      <c r="D1647" s="72" t="s">
        <v>5754</v>
      </c>
      <c r="E1647" s="72"/>
      <c r="F1647" s="72"/>
      <c r="G1647" s="72"/>
      <c r="H1647" s="22" t="s">
        <v>5755</v>
      </c>
      <c r="I1647" s="27">
        <v>7</v>
      </c>
      <c r="J1647" s="22"/>
      <c r="K1647" s="20">
        <v>1</v>
      </c>
      <c r="L1647" s="32">
        <v>3945.79</v>
      </c>
      <c r="M1647" s="11"/>
      <c r="N1647" s="22">
        <f>L1647*M1647</f>
        <v>0</v>
      </c>
      <c r="O1647" s="28">
        <f>1.07*M1647</f>
        <v>0</v>
      </c>
      <c r="P1647" s="26">
        <f>0.02328*M1647</f>
        <v>0</v>
      </c>
      <c r="Q1647" s="30"/>
      <c r="R1647" s="22" t="s">
        <v>5756</v>
      </c>
      <c r="S1647" s="22" t="s">
        <v>435</v>
      </c>
      <c r="T1647" s="21" t="str">
        <f>HYPERLINK("https://miland.ru/api/getInfo/image/2dd008a8-8977-11ec-a211-ac1f6b442185")</f>
        <v>https://miland.ru/api/getInfo/image/2dd008a8-8977-11ec-a211-ac1f6b442185</v>
      </c>
      <c r="U1647" s="21"/>
      <c r="V1647" s="21" t="s">
        <v>5617</v>
      </c>
      <c r="W1647" s="21" t="s">
        <v>5729</v>
      </c>
      <c r="X1647" s="21" t="s">
        <v>307</v>
      </c>
      <c r="Y1647" s="21" t="s">
        <v>41</v>
      </c>
      <c r="Z1647" s="21"/>
      <c r="AA1647" s="21" t="str">
        <f>HYPERLINK("https://miland.ru/api/getInfo/item/2dd008a8-8977-11ec-a211-ac1f6b442185")</f>
        <v>https://miland.ru/api/getInfo/item/2dd008a8-8977-11ec-a211-ac1f6b442185</v>
      </c>
      <c r="AB1647" s="21" t="s">
        <v>42</v>
      </c>
      <c r="AC1647" s="21" t="s">
        <v>5757</v>
      </c>
      <c r="AD1647" s="21"/>
    </row>
    <row r="1648" spans="2:30" s="1" customFormat="1" ht="96.3" customHeight="1" outlineLevel="6">
      <c r="B1648" s="57">
        <v>1258</v>
      </c>
      <c r="C1648" s="21" t="s">
        <v>5758</v>
      </c>
      <c r="D1648" s="72" t="s">
        <v>5759</v>
      </c>
      <c r="E1648" s="72"/>
      <c r="F1648" s="72"/>
      <c r="G1648" s="72"/>
      <c r="H1648" s="22" t="s">
        <v>5760</v>
      </c>
      <c r="I1648" s="27">
        <v>5</v>
      </c>
      <c r="J1648" s="22"/>
      <c r="K1648" s="20">
        <v>1</v>
      </c>
      <c r="L1648" s="32">
        <v>4767.83</v>
      </c>
      <c r="M1648" s="11"/>
      <c r="N1648" s="22">
        <f>L1648*M1648</f>
        <v>0</v>
      </c>
      <c r="O1648" s="25">
        <f>1.009*M1648</f>
        <v>0</v>
      </c>
      <c r="P1648" s="26">
        <f>0.02433*M1648</f>
        <v>0</v>
      </c>
      <c r="Q1648" s="30"/>
      <c r="R1648" s="22" t="s">
        <v>5761</v>
      </c>
      <c r="S1648" s="22" t="s">
        <v>435</v>
      </c>
      <c r="T1648" s="21" t="str">
        <f>HYPERLINK("https://miland.ru/api/getInfo/image/9eb2e16f-8977-11ec-a211-ac1f6b442185")</f>
        <v>https://miland.ru/api/getInfo/image/9eb2e16f-8977-11ec-a211-ac1f6b442185</v>
      </c>
      <c r="U1648" s="21"/>
      <c r="V1648" s="21" t="s">
        <v>5617</v>
      </c>
      <c r="W1648" s="21" t="s">
        <v>5729</v>
      </c>
      <c r="X1648" s="21" t="s">
        <v>307</v>
      </c>
      <c r="Y1648" s="21" t="s">
        <v>41</v>
      </c>
      <c r="Z1648" s="21"/>
      <c r="AA1648" s="21" t="str">
        <f>HYPERLINK("https://miland.ru/api/getInfo/item/9eb2e16f-8977-11ec-a211-ac1f6b442185")</f>
        <v>https://miland.ru/api/getInfo/item/9eb2e16f-8977-11ec-a211-ac1f6b442185</v>
      </c>
      <c r="AB1648" s="21" t="s">
        <v>42</v>
      </c>
      <c r="AC1648" s="21" t="s">
        <v>5757</v>
      </c>
      <c r="AD1648" s="21"/>
    </row>
    <row r="1649" spans="2:31" ht="12" customHeight="1" outlineLevel="4">
      <c r="B1649" s="70" t="s">
        <v>5762</v>
      </c>
      <c r="C1649" s="70"/>
      <c r="D1649" s="70"/>
      <c r="E1649" s="70"/>
      <c r="F1649" s="70"/>
      <c r="G1649" s="70"/>
    </row>
    <row r="1650" spans="2:31" ht="12" customHeight="1" outlineLevel="5">
      <c r="B1650" s="70" t="s">
        <v>5763</v>
      </c>
      <c r="C1650" s="70"/>
      <c r="D1650" s="70"/>
      <c r="E1650" s="70"/>
      <c r="F1650" s="70"/>
      <c r="G1650" s="70"/>
    </row>
    <row r="1651" spans="2:31" s="1" customFormat="1" ht="96.3" customHeight="1" outlineLevel="6">
      <c r="B1651" s="58">
        <v>1259</v>
      </c>
      <c r="C1651" s="7" t="s">
        <v>5764</v>
      </c>
      <c r="D1651" s="71" t="s">
        <v>5765</v>
      </c>
      <c r="E1651" s="71"/>
      <c r="F1651" s="71"/>
      <c r="G1651" s="71"/>
      <c r="H1651" s="8" t="s">
        <v>5766</v>
      </c>
      <c r="I1651" s="9" t="s">
        <v>36</v>
      </c>
      <c r="J1651" s="8"/>
      <c r="K1651" s="6">
        <v>1</v>
      </c>
      <c r="L1651" s="10">
        <v>541.41999999999996</v>
      </c>
      <c r="M1651" s="11"/>
      <c r="N1651" s="8">
        <f t="shared" ref="N1651:N1663" si="72">L1651*M1651</f>
        <v>0</v>
      </c>
      <c r="O1651" s="12">
        <f>0.328*M1651</f>
        <v>0</v>
      </c>
      <c r="P1651" s="13">
        <f>0.00231*M1651</f>
        <v>0</v>
      </c>
      <c r="Q1651" s="17" t="s">
        <v>37</v>
      </c>
      <c r="R1651" s="8" t="s">
        <v>5767</v>
      </c>
      <c r="S1651" s="8"/>
      <c r="T1651" s="7" t="str">
        <f>HYPERLINK("https://miland.ru/api/getInfo/image/a2f0da93-2d9b-11f1-a292-00155d82e908")</f>
        <v>https://miland.ru/api/getInfo/image/a2f0da93-2d9b-11f1-a292-00155d82e908</v>
      </c>
      <c r="U1651" s="7"/>
      <c r="V1651" s="7"/>
      <c r="W1651" s="7" t="s">
        <v>185</v>
      </c>
      <c r="X1651" s="7"/>
      <c r="Y1651" s="7" t="s">
        <v>41</v>
      </c>
      <c r="Z1651" s="7"/>
      <c r="AA1651" s="7" t="str">
        <f>HYPERLINK("https://miland.ru/api/getInfo/item/a2f0da93-2d9b-11f1-a292-00155d82e908")</f>
        <v>https://miland.ru/api/getInfo/item/a2f0da93-2d9b-11f1-a292-00155d82e908</v>
      </c>
      <c r="AB1651" s="7" t="s">
        <v>42</v>
      </c>
      <c r="AC1651" s="7"/>
      <c r="AD1651" s="7"/>
      <c r="AE1651" s="54"/>
    </row>
    <row r="1652" spans="2:31" s="1" customFormat="1" ht="96.3" customHeight="1" outlineLevel="6">
      <c r="B1652" s="58">
        <v>1260</v>
      </c>
      <c r="C1652" s="7" t="s">
        <v>5768</v>
      </c>
      <c r="D1652" s="71" t="s">
        <v>5769</v>
      </c>
      <c r="E1652" s="71"/>
      <c r="F1652" s="71"/>
      <c r="G1652" s="71"/>
      <c r="H1652" s="8" t="s">
        <v>5770</v>
      </c>
      <c r="I1652" s="9" t="s">
        <v>36</v>
      </c>
      <c r="J1652" s="8"/>
      <c r="K1652" s="6">
        <v>1</v>
      </c>
      <c r="L1652" s="10">
        <v>541.41999999999996</v>
      </c>
      <c r="M1652" s="11"/>
      <c r="N1652" s="8">
        <f t="shared" si="72"/>
        <v>0</v>
      </c>
      <c r="O1652" s="12">
        <f>0.309*M1652</f>
        <v>0</v>
      </c>
      <c r="P1652" s="13">
        <f>0.00233*M1652</f>
        <v>0</v>
      </c>
      <c r="Q1652" s="17" t="s">
        <v>37</v>
      </c>
      <c r="R1652" s="8" t="s">
        <v>5771</v>
      </c>
      <c r="S1652" s="8"/>
      <c r="T1652" s="7" t="str">
        <f>HYPERLINK("https://miland.ru/api/getInfo/image/388853ec-2d9b-11f1-a292-00155d82e908")</f>
        <v>https://miland.ru/api/getInfo/image/388853ec-2d9b-11f1-a292-00155d82e908</v>
      </c>
      <c r="U1652" s="7"/>
      <c r="V1652" s="7"/>
      <c r="W1652" s="7" t="s">
        <v>185</v>
      </c>
      <c r="X1652" s="7"/>
      <c r="Y1652" s="7" t="s">
        <v>41</v>
      </c>
      <c r="Z1652" s="7"/>
      <c r="AA1652" s="7" t="str">
        <f>HYPERLINK("https://miland.ru/api/getInfo/item/388853ec-2d9b-11f1-a292-00155d82e908")</f>
        <v>https://miland.ru/api/getInfo/item/388853ec-2d9b-11f1-a292-00155d82e908</v>
      </c>
      <c r="AB1652" s="7" t="s">
        <v>42</v>
      </c>
      <c r="AC1652" s="7"/>
      <c r="AD1652" s="7"/>
      <c r="AE1652" s="54"/>
    </row>
    <row r="1653" spans="2:31" s="1" customFormat="1" ht="96.3" customHeight="1" outlineLevel="6">
      <c r="B1653" s="58">
        <v>1261</v>
      </c>
      <c r="C1653" s="7" t="s">
        <v>5772</v>
      </c>
      <c r="D1653" s="71" t="s">
        <v>5773</v>
      </c>
      <c r="E1653" s="71"/>
      <c r="F1653" s="71"/>
      <c r="G1653" s="71"/>
      <c r="H1653" s="8" t="s">
        <v>5774</v>
      </c>
      <c r="I1653" s="9" t="s">
        <v>36</v>
      </c>
      <c r="J1653" s="8"/>
      <c r="K1653" s="6">
        <v>1</v>
      </c>
      <c r="L1653" s="10">
        <v>541.41999999999996</v>
      </c>
      <c r="M1653" s="11"/>
      <c r="N1653" s="8">
        <f t="shared" si="72"/>
        <v>0</v>
      </c>
      <c r="O1653" s="12">
        <f>0.321*M1653</f>
        <v>0</v>
      </c>
      <c r="P1653" s="13">
        <f>0.00221*M1653</f>
        <v>0</v>
      </c>
      <c r="Q1653" s="17" t="s">
        <v>37</v>
      </c>
      <c r="R1653" s="8" t="s">
        <v>5775</v>
      </c>
      <c r="S1653" s="8"/>
      <c r="T1653" s="7" t="str">
        <f>HYPERLINK("https://miland.ru/api/getInfo/image/c111743b-2d9b-11f1-a292-00155d82e908")</f>
        <v>https://miland.ru/api/getInfo/image/c111743b-2d9b-11f1-a292-00155d82e908</v>
      </c>
      <c r="U1653" s="7"/>
      <c r="V1653" s="7"/>
      <c r="W1653" s="7" t="s">
        <v>185</v>
      </c>
      <c r="X1653" s="7"/>
      <c r="Y1653" s="7" t="s">
        <v>41</v>
      </c>
      <c r="Z1653" s="7"/>
      <c r="AA1653" s="7" t="str">
        <f>HYPERLINK("https://miland.ru/api/getInfo/item/c111743b-2d9b-11f1-a292-00155d82e908")</f>
        <v>https://miland.ru/api/getInfo/item/c111743b-2d9b-11f1-a292-00155d82e908</v>
      </c>
      <c r="AB1653" s="7" t="s">
        <v>42</v>
      </c>
      <c r="AC1653" s="7"/>
      <c r="AD1653" s="7"/>
      <c r="AE1653" s="54"/>
    </row>
    <row r="1654" spans="2:31" s="1" customFormat="1" ht="96.3" customHeight="1" outlineLevel="6">
      <c r="B1654" s="58">
        <v>1262</v>
      </c>
      <c r="C1654" s="7" t="s">
        <v>5776</v>
      </c>
      <c r="D1654" s="71" t="s">
        <v>5777</v>
      </c>
      <c r="E1654" s="71"/>
      <c r="F1654" s="71"/>
      <c r="G1654" s="71"/>
      <c r="H1654" s="8" t="s">
        <v>5778</v>
      </c>
      <c r="I1654" s="9" t="s">
        <v>36</v>
      </c>
      <c r="J1654" s="8"/>
      <c r="K1654" s="6">
        <v>1</v>
      </c>
      <c r="L1654" s="10">
        <v>541.41999999999996</v>
      </c>
      <c r="M1654" s="11"/>
      <c r="N1654" s="8">
        <f t="shared" si="72"/>
        <v>0</v>
      </c>
      <c r="O1654" s="12">
        <f>0.439*M1654</f>
        <v>0</v>
      </c>
      <c r="P1654" s="13">
        <f>0.00221*M1654</f>
        <v>0</v>
      </c>
      <c r="Q1654" s="17" t="s">
        <v>37</v>
      </c>
      <c r="R1654" s="8" t="s">
        <v>5779</v>
      </c>
      <c r="S1654" s="8"/>
      <c r="T1654" s="7" t="str">
        <f>HYPERLINK("https://miland.ru/api/getInfo/image/ee48fea5-2d9b-11f1-a292-00155d82e908")</f>
        <v>https://miland.ru/api/getInfo/image/ee48fea5-2d9b-11f1-a292-00155d82e908</v>
      </c>
      <c r="U1654" s="7"/>
      <c r="V1654" s="7"/>
      <c r="W1654" s="7" t="s">
        <v>185</v>
      </c>
      <c r="X1654" s="7"/>
      <c r="Y1654" s="7" t="s">
        <v>41</v>
      </c>
      <c r="Z1654" s="7"/>
      <c r="AA1654" s="7" t="str">
        <f>HYPERLINK("https://miland.ru/api/getInfo/item/ee48fea5-2d9b-11f1-a292-00155d82e908")</f>
        <v>https://miland.ru/api/getInfo/item/ee48fea5-2d9b-11f1-a292-00155d82e908</v>
      </c>
      <c r="AB1654" s="7" t="s">
        <v>42</v>
      </c>
      <c r="AC1654" s="7"/>
      <c r="AD1654" s="7"/>
      <c r="AE1654" s="54"/>
    </row>
    <row r="1655" spans="2:31" s="1" customFormat="1" ht="96.3" customHeight="1" outlineLevel="6">
      <c r="B1655" s="57">
        <v>1263</v>
      </c>
      <c r="C1655" s="21" t="s">
        <v>5780</v>
      </c>
      <c r="D1655" s="72" t="s">
        <v>5781</v>
      </c>
      <c r="E1655" s="72"/>
      <c r="F1655" s="72"/>
      <c r="G1655" s="72"/>
      <c r="H1655" s="22" t="s">
        <v>5782</v>
      </c>
      <c r="I1655" s="23" t="s">
        <v>36</v>
      </c>
      <c r="J1655" s="22"/>
      <c r="K1655" s="20">
        <v>1</v>
      </c>
      <c r="L1655" s="24">
        <v>541.41999999999996</v>
      </c>
      <c r="M1655" s="11"/>
      <c r="N1655" s="22">
        <f t="shared" si="72"/>
        <v>0</v>
      </c>
      <c r="O1655" s="25">
        <f>0.252*M1655</f>
        <v>0</v>
      </c>
      <c r="P1655" s="26">
        <f>0.00116*M1655</f>
        <v>0</v>
      </c>
      <c r="Q1655" s="30"/>
      <c r="R1655" s="22" t="s">
        <v>5783</v>
      </c>
      <c r="S1655" s="22" t="s">
        <v>435</v>
      </c>
      <c r="T1655" s="21" t="str">
        <f>HYPERLINK("https://miland.ru/api/getInfo/image/31521ff4-e2df-11ef-a274-00155d82e908")</f>
        <v>https://miland.ru/api/getInfo/image/31521ff4-e2df-11ef-a274-00155d82e908</v>
      </c>
      <c r="U1655" s="21"/>
      <c r="V1655" s="21" t="s">
        <v>5723</v>
      </c>
      <c r="W1655" s="21" t="s">
        <v>185</v>
      </c>
      <c r="X1655" s="21"/>
      <c r="Y1655" s="21" t="s">
        <v>41</v>
      </c>
      <c r="Z1655" s="21"/>
      <c r="AA1655" s="21" t="str">
        <f>HYPERLINK("https://miland.ru/api/getInfo/item/31521ff4-e2df-11ef-a274-00155d82e908")</f>
        <v>https://miland.ru/api/getInfo/item/31521ff4-e2df-11ef-a274-00155d82e908</v>
      </c>
      <c r="AB1655" s="21" t="s">
        <v>42</v>
      </c>
      <c r="AC1655" s="21"/>
      <c r="AD1655" s="21"/>
    </row>
    <row r="1656" spans="2:31" s="1" customFormat="1" ht="96.3" customHeight="1" outlineLevel="6">
      <c r="B1656" s="57">
        <v>1264</v>
      </c>
      <c r="C1656" s="21" t="s">
        <v>5784</v>
      </c>
      <c r="D1656" s="72" t="s">
        <v>5785</v>
      </c>
      <c r="E1656" s="72"/>
      <c r="F1656" s="72"/>
      <c r="G1656" s="72"/>
      <c r="H1656" s="22" t="s">
        <v>5786</v>
      </c>
      <c r="I1656" s="23" t="s">
        <v>36</v>
      </c>
      <c r="J1656" s="22"/>
      <c r="K1656" s="20">
        <v>1</v>
      </c>
      <c r="L1656" s="24">
        <v>541.41999999999996</v>
      </c>
      <c r="M1656" s="11"/>
      <c r="N1656" s="22">
        <f t="shared" si="72"/>
        <v>0</v>
      </c>
      <c r="O1656" s="25">
        <f>0.334*M1656</f>
        <v>0</v>
      </c>
      <c r="P1656" s="26">
        <f>0.00191*M1656</f>
        <v>0</v>
      </c>
      <c r="Q1656" s="30"/>
      <c r="R1656" s="22" t="s">
        <v>5787</v>
      </c>
      <c r="S1656" s="22" t="s">
        <v>435</v>
      </c>
      <c r="T1656" s="21" t="str">
        <f>HYPERLINK("https://miland.ru/api/getInfo/image/f540ad3d-e2df-11ef-a274-00155d82e908")</f>
        <v>https://miland.ru/api/getInfo/image/f540ad3d-e2df-11ef-a274-00155d82e908</v>
      </c>
      <c r="U1656" s="21"/>
      <c r="V1656" s="21" t="s">
        <v>5723</v>
      </c>
      <c r="W1656" s="21" t="s">
        <v>185</v>
      </c>
      <c r="X1656" s="21"/>
      <c r="Y1656" s="21" t="s">
        <v>41</v>
      </c>
      <c r="Z1656" s="21"/>
      <c r="AA1656" s="21" t="str">
        <f>HYPERLINK("https://miland.ru/api/getInfo/item/f540ad3d-e2df-11ef-a274-00155d82e908")</f>
        <v>https://miland.ru/api/getInfo/item/f540ad3d-e2df-11ef-a274-00155d82e908</v>
      </c>
      <c r="AB1656" s="21" t="s">
        <v>42</v>
      </c>
      <c r="AC1656" s="21"/>
      <c r="AD1656" s="21"/>
    </row>
    <row r="1657" spans="2:31" s="1" customFormat="1" ht="96.3" customHeight="1" outlineLevel="6">
      <c r="B1657" s="58">
        <v>1265</v>
      </c>
      <c r="C1657" s="7" t="s">
        <v>5788</v>
      </c>
      <c r="D1657" s="71" t="s">
        <v>5789</v>
      </c>
      <c r="E1657" s="71"/>
      <c r="F1657" s="71"/>
      <c r="G1657" s="71"/>
      <c r="H1657" s="8" t="s">
        <v>5790</v>
      </c>
      <c r="I1657" s="9" t="s">
        <v>36</v>
      </c>
      <c r="J1657" s="8"/>
      <c r="K1657" s="6">
        <v>1</v>
      </c>
      <c r="L1657" s="10">
        <v>860.16</v>
      </c>
      <c r="M1657" s="11"/>
      <c r="N1657" s="8">
        <f t="shared" si="72"/>
        <v>0</v>
      </c>
      <c r="O1657" s="12">
        <f>1.132*M1657</f>
        <v>0</v>
      </c>
      <c r="P1657" s="13">
        <f>0.00565*M1657</f>
        <v>0</v>
      </c>
      <c r="Q1657" s="17" t="s">
        <v>37</v>
      </c>
      <c r="R1657" s="8" t="s">
        <v>5791</v>
      </c>
      <c r="S1657" s="8"/>
      <c r="T1657" s="7" t="str">
        <f>HYPERLINK("https://miland.ru/api/getInfo/image/6bda62d3-08e1-11f1-a28f-00155d82e908")</f>
        <v>https://miland.ru/api/getInfo/image/6bda62d3-08e1-11f1-a28f-00155d82e908</v>
      </c>
      <c r="U1657" s="7"/>
      <c r="V1657" s="7"/>
      <c r="W1657" s="7" t="s">
        <v>185</v>
      </c>
      <c r="X1657" s="7"/>
      <c r="Y1657" s="7" t="s">
        <v>41</v>
      </c>
      <c r="Z1657" s="7"/>
      <c r="AA1657" s="7" t="str">
        <f>HYPERLINK("https://miland.ru/api/getInfo/item/6bda62d3-08e1-11f1-a28f-00155d82e908")</f>
        <v>https://miland.ru/api/getInfo/item/6bda62d3-08e1-11f1-a28f-00155d82e908</v>
      </c>
      <c r="AB1657" s="7" t="s">
        <v>42</v>
      </c>
      <c r="AC1657" s="7"/>
      <c r="AD1657" s="7"/>
      <c r="AE1657" s="54"/>
    </row>
    <row r="1658" spans="2:31" s="1" customFormat="1" ht="96.3" customHeight="1" outlineLevel="6">
      <c r="B1658" s="57">
        <v>1266</v>
      </c>
      <c r="C1658" s="21" t="s">
        <v>5792</v>
      </c>
      <c r="D1658" s="72" t="s">
        <v>5793</v>
      </c>
      <c r="E1658" s="72"/>
      <c r="F1658" s="72"/>
      <c r="G1658" s="72"/>
      <c r="H1658" s="22" t="s">
        <v>5794</v>
      </c>
      <c r="I1658" s="23" t="s">
        <v>36</v>
      </c>
      <c r="J1658" s="22"/>
      <c r="K1658" s="20">
        <v>1</v>
      </c>
      <c r="L1658" s="24">
        <v>541.41999999999996</v>
      </c>
      <c r="M1658" s="11"/>
      <c r="N1658" s="22">
        <f t="shared" si="72"/>
        <v>0</v>
      </c>
      <c r="O1658" s="25">
        <f>0.271*M1658</f>
        <v>0</v>
      </c>
      <c r="P1658" s="26">
        <f>0.00111*M1658</f>
        <v>0</v>
      </c>
      <c r="Q1658" s="30"/>
      <c r="R1658" s="22" t="s">
        <v>5795</v>
      </c>
      <c r="S1658" s="22"/>
      <c r="T1658" s="21" t="str">
        <f>HYPERLINK("https://miland.ru/api/getInfo/image/8dc14821-e2e0-11ef-a274-00155d82e908")</f>
        <v>https://miland.ru/api/getInfo/image/8dc14821-e2e0-11ef-a274-00155d82e908</v>
      </c>
      <c r="U1658" s="21"/>
      <c r="V1658" s="21" t="s">
        <v>5723</v>
      </c>
      <c r="W1658" s="21" t="s">
        <v>185</v>
      </c>
      <c r="X1658" s="21"/>
      <c r="Y1658" s="21" t="s">
        <v>41</v>
      </c>
      <c r="Z1658" s="21"/>
      <c r="AA1658" s="21" t="str">
        <f>HYPERLINK("https://miland.ru/api/getInfo/item/8dc14821-e2e0-11ef-a274-00155d82e908")</f>
        <v>https://miland.ru/api/getInfo/item/8dc14821-e2e0-11ef-a274-00155d82e908</v>
      </c>
      <c r="AB1658" s="21" t="s">
        <v>42</v>
      </c>
      <c r="AC1658" s="21"/>
      <c r="AD1658" s="21"/>
    </row>
    <row r="1659" spans="2:31" s="1" customFormat="1" ht="96.3" customHeight="1" outlineLevel="6">
      <c r="B1659" s="57">
        <v>1267</v>
      </c>
      <c r="C1659" s="21" t="s">
        <v>5796</v>
      </c>
      <c r="D1659" s="72" t="s">
        <v>5797</v>
      </c>
      <c r="E1659" s="72"/>
      <c r="F1659" s="72"/>
      <c r="G1659" s="72"/>
      <c r="H1659" s="22" t="s">
        <v>5798</v>
      </c>
      <c r="I1659" s="23" t="s">
        <v>36</v>
      </c>
      <c r="J1659" s="22"/>
      <c r="K1659" s="20">
        <v>1</v>
      </c>
      <c r="L1659" s="24">
        <v>541.41999999999996</v>
      </c>
      <c r="M1659" s="11"/>
      <c r="N1659" s="22">
        <f t="shared" si="72"/>
        <v>0</v>
      </c>
      <c r="O1659" s="25">
        <f>0.349*M1659</f>
        <v>0</v>
      </c>
      <c r="P1659" s="26">
        <f>0.00186*M1659</f>
        <v>0</v>
      </c>
      <c r="Q1659" s="30"/>
      <c r="R1659" s="22" t="s">
        <v>5799</v>
      </c>
      <c r="S1659" s="22"/>
      <c r="T1659" s="21" t="str">
        <f>HYPERLINK("https://miland.ru/api/getInfo/image/16468f95-e2e1-11ef-a274-00155d82e908")</f>
        <v>https://miland.ru/api/getInfo/image/16468f95-e2e1-11ef-a274-00155d82e908</v>
      </c>
      <c r="U1659" s="21"/>
      <c r="V1659" s="21" t="s">
        <v>5723</v>
      </c>
      <c r="W1659" s="21" t="s">
        <v>185</v>
      </c>
      <c r="X1659" s="21"/>
      <c r="Y1659" s="21" t="s">
        <v>41</v>
      </c>
      <c r="Z1659" s="21"/>
      <c r="AA1659" s="21" t="str">
        <f>HYPERLINK("https://miland.ru/api/getInfo/item/16468f95-e2e1-11ef-a274-00155d82e908")</f>
        <v>https://miland.ru/api/getInfo/item/16468f95-e2e1-11ef-a274-00155d82e908</v>
      </c>
      <c r="AB1659" s="21" t="s">
        <v>42</v>
      </c>
      <c r="AC1659" s="21"/>
      <c r="AD1659" s="21"/>
    </row>
    <row r="1660" spans="2:31" s="1" customFormat="1" ht="96.3" customHeight="1" outlineLevel="6">
      <c r="B1660" s="58">
        <v>1268</v>
      </c>
      <c r="C1660" s="7" t="s">
        <v>5800</v>
      </c>
      <c r="D1660" s="71" t="s">
        <v>5801</v>
      </c>
      <c r="E1660" s="71"/>
      <c r="F1660" s="71"/>
      <c r="G1660" s="71"/>
      <c r="H1660" s="8" t="s">
        <v>5802</v>
      </c>
      <c r="I1660" s="9" t="s">
        <v>36</v>
      </c>
      <c r="J1660" s="8"/>
      <c r="K1660" s="6">
        <v>1</v>
      </c>
      <c r="L1660" s="15">
        <v>1644.92</v>
      </c>
      <c r="M1660" s="11"/>
      <c r="N1660" s="8">
        <f t="shared" si="72"/>
        <v>0</v>
      </c>
      <c r="O1660" s="12">
        <f>0.844*M1660</f>
        <v>0</v>
      </c>
      <c r="P1660" s="13">
        <f>0.00563*M1660</f>
        <v>0</v>
      </c>
      <c r="Q1660" s="17" t="s">
        <v>37</v>
      </c>
      <c r="R1660" s="8" t="s">
        <v>5803</v>
      </c>
      <c r="S1660" s="8"/>
      <c r="T1660" s="7" t="str">
        <f>HYPERLINK("https://miland.ru/api/getInfo/image/10ee4401-08e2-11f1-a28f-00155d82e908")</f>
        <v>https://miland.ru/api/getInfo/image/10ee4401-08e2-11f1-a28f-00155d82e908</v>
      </c>
      <c r="U1660" s="7"/>
      <c r="V1660" s="7"/>
      <c r="W1660" s="7" t="s">
        <v>185</v>
      </c>
      <c r="X1660" s="7"/>
      <c r="Y1660" s="7" t="s">
        <v>41</v>
      </c>
      <c r="Z1660" s="7"/>
      <c r="AA1660" s="7" t="str">
        <f>HYPERLINK("https://miland.ru/api/getInfo/item/10ee4401-08e2-11f1-a28f-00155d82e908")</f>
        <v>https://miland.ru/api/getInfo/item/10ee4401-08e2-11f1-a28f-00155d82e908</v>
      </c>
      <c r="AB1660" s="7" t="s">
        <v>42</v>
      </c>
      <c r="AC1660" s="7"/>
      <c r="AD1660" s="7"/>
      <c r="AE1660" s="54"/>
    </row>
    <row r="1661" spans="2:31" s="1" customFormat="1" ht="96.3" customHeight="1" outlineLevel="6">
      <c r="B1661" s="58">
        <v>1269</v>
      </c>
      <c r="C1661" s="7" t="s">
        <v>5804</v>
      </c>
      <c r="D1661" s="71" t="s">
        <v>5805</v>
      </c>
      <c r="E1661" s="71"/>
      <c r="F1661" s="71"/>
      <c r="G1661" s="71"/>
      <c r="H1661" s="8" t="s">
        <v>5806</v>
      </c>
      <c r="I1661" s="9" t="s">
        <v>36</v>
      </c>
      <c r="J1661" s="8"/>
      <c r="K1661" s="6">
        <v>1</v>
      </c>
      <c r="L1661" s="10">
        <v>558.26</v>
      </c>
      <c r="M1661" s="11"/>
      <c r="N1661" s="8">
        <f t="shared" si="72"/>
        <v>0</v>
      </c>
      <c r="O1661" s="12">
        <f>0.281*M1661</f>
        <v>0</v>
      </c>
      <c r="P1661" s="16">
        <f>0.0023*M1661</f>
        <v>0</v>
      </c>
      <c r="Q1661" s="17" t="s">
        <v>37</v>
      </c>
      <c r="R1661" s="8" t="s">
        <v>5807</v>
      </c>
      <c r="S1661" s="8"/>
      <c r="T1661" s="7" t="str">
        <f>HYPERLINK("https://miland.ru/api/getInfo/image/a0aeaa45-08e2-11f1-a28f-00155d82e908")</f>
        <v>https://miland.ru/api/getInfo/image/a0aeaa45-08e2-11f1-a28f-00155d82e908</v>
      </c>
      <c r="U1661" s="7"/>
      <c r="V1661" s="7"/>
      <c r="W1661" s="7" t="s">
        <v>185</v>
      </c>
      <c r="X1661" s="7"/>
      <c r="Y1661" s="7" t="s">
        <v>41</v>
      </c>
      <c r="Z1661" s="7"/>
      <c r="AA1661" s="7" t="str">
        <f>HYPERLINK("https://miland.ru/api/getInfo/item/a0aeaa45-08e2-11f1-a28f-00155d82e908")</f>
        <v>https://miland.ru/api/getInfo/item/a0aeaa45-08e2-11f1-a28f-00155d82e908</v>
      </c>
      <c r="AB1661" s="7" t="s">
        <v>42</v>
      </c>
      <c r="AC1661" s="7"/>
      <c r="AD1661" s="7"/>
      <c r="AE1661" s="54"/>
    </row>
    <row r="1662" spans="2:31" s="1" customFormat="1" ht="96.3" customHeight="1" outlineLevel="6">
      <c r="B1662" s="58">
        <v>1270</v>
      </c>
      <c r="C1662" s="7" t="s">
        <v>5808</v>
      </c>
      <c r="D1662" s="71" t="s">
        <v>5809</v>
      </c>
      <c r="E1662" s="71"/>
      <c r="F1662" s="71"/>
      <c r="G1662" s="71"/>
      <c r="H1662" s="8" t="s">
        <v>5810</v>
      </c>
      <c r="I1662" s="9" t="s">
        <v>36</v>
      </c>
      <c r="J1662" s="8"/>
      <c r="K1662" s="6">
        <v>1</v>
      </c>
      <c r="L1662" s="10">
        <v>541.41999999999996</v>
      </c>
      <c r="M1662" s="11"/>
      <c r="N1662" s="8">
        <f t="shared" si="72"/>
        <v>0</v>
      </c>
      <c r="O1662" s="12">
        <f>0.305*M1662</f>
        <v>0</v>
      </c>
      <c r="P1662" s="16">
        <f>0.0023*M1662</f>
        <v>0</v>
      </c>
      <c r="Q1662" s="17" t="s">
        <v>37</v>
      </c>
      <c r="R1662" s="8" t="s">
        <v>5811</v>
      </c>
      <c r="S1662" s="8"/>
      <c r="T1662" s="7" t="str">
        <f>HYPERLINK("https://miland.ru/api/getInfo/image/19428ee6-2d9d-11f1-a292-00155d82e908")</f>
        <v>https://miland.ru/api/getInfo/image/19428ee6-2d9d-11f1-a292-00155d82e908</v>
      </c>
      <c r="U1662" s="7"/>
      <c r="V1662" s="7"/>
      <c r="W1662" s="7" t="s">
        <v>185</v>
      </c>
      <c r="X1662" s="7"/>
      <c r="Y1662" s="7" t="s">
        <v>41</v>
      </c>
      <c r="Z1662" s="7"/>
      <c r="AA1662" s="7" t="str">
        <f>HYPERLINK("https://miland.ru/api/getInfo/item/19428ee6-2d9d-11f1-a292-00155d82e908")</f>
        <v>https://miland.ru/api/getInfo/item/19428ee6-2d9d-11f1-a292-00155d82e908</v>
      </c>
      <c r="AB1662" s="7" t="s">
        <v>42</v>
      </c>
      <c r="AC1662" s="7"/>
      <c r="AD1662" s="7"/>
      <c r="AE1662" s="54"/>
    </row>
    <row r="1663" spans="2:31" s="1" customFormat="1" ht="96.3" customHeight="1" outlineLevel="6">
      <c r="B1663" s="58">
        <v>1271</v>
      </c>
      <c r="C1663" s="7" t="s">
        <v>5812</v>
      </c>
      <c r="D1663" s="71" t="s">
        <v>5813</v>
      </c>
      <c r="E1663" s="71"/>
      <c r="F1663" s="71"/>
      <c r="G1663" s="71"/>
      <c r="H1663" s="8" t="s">
        <v>5814</v>
      </c>
      <c r="I1663" s="9" t="s">
        <v>36</v>
      </c>
      <c r="J1663" s="8"/>
      <c r="K1663" s="6">
        <v>1</v>
      </c>
      <c r="L1663" s="10">
        <v>541.41999999999996</v>
      </c>
      <c r="M1663" s="11"/>
      <c r="N1663" s="8">
        <f t="shared" si="72"/>
        <v>0</v>
      </c>
      <c r="O1663" s="12">
        <f>0.333*M1663</f>
        <v>0</v>
      </c>
      <c r="P1663" s="13">
        <f>0.00232*M1663</f>
        <v>0</v>
      </c>
      <c r="Q1663" s="17" t="s">
        <v>37</v>
      </c>
      <c r="R1663" s="8" t="s">
        <v>5815</v>
      </c>
      <c r="S1663" s="8"/>
      <c r="T1663" s="7" t="str">
        <f>HYPERLINK("https://miland.ru/api/getInfo/image/86000e68-2d9b-11f1-a292-00155d82e908")</f>
        <v>https://miland.ru/api/getInfo/image/86000e68-2d9b-11f1-a292-00155d82e908</v>
      </c>
      <c r="U1663" s="7"/>
      <c r="V1663" s="7"/>
      <c r="W1663" s="7" t="s">
        <v>185</v>
      </c>
      <c r="X1663" s="7"/>
      <c r="Y1663" s="7" t="s">
        <v>41</v>
      </c>
      <c r="Z1663" s="7"/>
      <c r="AA1663" s="7" t="str">
        <f>HYPERLINK("https://miland.ru/api/getInfo/item/86000e68-2d9b-11f1-a292-00155d82e908")</f>
        <v>https://miland.ru/api/getInfo/item/86000e68-2d9b-11f1-a292-00155d82e908</v>
      </c>
      <c r="AB1663" s="7" t="s">
        <v>42</v>
      </c>
      <c r="AC1663" s="7"/>
      <c r="AD1663" s="7"/>
      <c r="AE1663" s="54"/>
    </row>
    <row r="1664" spans="2:31" ht="12" customHeight="1" outlineLevel="5">
      <c r="B1664" s="70" t="s">
        <v>5816</v>
      </c>
      <c r="C1664" s="70"/>
      <c r="D1664" s="70"/>
      <c r="E1664" s="70"/>
      <c r="F1664" s="70"/>
      <c r="G1664" s="70"/>
    </row>
    <row r="1665" spans="2:30" s="1" customFormat="1" ht="96.3" customHeight="1" outlineLevel="6">
      <c r="B1665" s="57">
        <v>1272</v>
      </c>
      <c r="C1665" s="21" t="s">
        <v>5817</v>
      </c>
      <c r="D1665" s="72" t="s">
        <v>5818</v>
      </c>
      <c r="E1665" s="72"/>
      <c r="F1665" s="72"/>
      <c r="G1665" s="72"/>
      <c r="H1665" s="22" t="s">
        <v>5819</v>
      </c>
      <c r="I1665" s="27">
        <v>25</v>
      </c>
      <c r="J1665" s="22"/>
      <c r="K1665" s="20">
        <v>1</v>
      </c>
      <c r="L1665" s="32">
        <v>3708.64</v>
      </c>
      <c r="M1665" s="11"/>
      <c r="N1665" s="22">
        <f t="shared" ref="N1665:N1680" si="73">L1665*M1665</f>
        <v>0</v>
      </c>
      <c r="O1665" s="25">
        <f>1.012*M1665</f>
        <v>0</v>
      </c>
      <c r="P1665" s="26">
        <f>0.00471*M1665</f>
        <v>0</v>
      </c>
      <c r="Q1665" s="30"/>
      <c r="R1665" s="22" t="s">
        <v>5820</v>
      </c>
      <c r="S1665" s="22" t="s">
        <v>435</v>
      </c>
      <c r="T1665" s="21" t="str">
        <f>HYPERLINK("https://miland.ru/api/getInfo/image/7ba7ae10-bd04-11ef-a267-00155d82e908")</f>
        <v>https://miland.ru/api/getInfo/image/7ba7ae10-bd04-11ef-a267-00155d82e908</v>
      </c>
      <c r="U1665" s="21"/>
      <c r="V1665" s="21" t="s">
        <v>5723</v>
      </c>
      <c r="W1665" s="21" t="s">
        <v>185</v>
      </c>
      <c r="X1665" s="21"/>
      <c r="Y1665" s="21" t="s">
        <v>41</v>
      </c>
      <c r="Z1665" s="21"/>
      <c r="AA1665" s="21" t="str">
        <f>HYPERLINK("https://miland.ru/api/getInfo/item/7ba7ae10-bd04-11ef-a267-00155d82e908")</f>
        <v>https://miland.ru/api/getInfo/item/7ba7ae10-bd04-11ef-a267-00155d82e908</v>
      </c>
      <c r="AB1665" s="21" t="s">
        <v>42</v>
      </c>
      <c r="AC1665" s="21"/>
      <c r="AD1665" s="21"/>
    </row>
    <row r="1666" spans="2:30" s="1" customFormat="1" ht="96.3" customHeight="1" outlineLevel="6">
      <c r="B1666" s="57">
        <v>1273</v>
      </c>
      <c r="C1666" s="21" t="s">
        <v>5821</v>
      </c>
      <c r="D1666" s="72" t="s">
        <v>5822</v>
      </c>
      <c r="E1666" s="72"/>
      <c r="F1666" s="72"/>
      <c r="G1666" s="72"/>
      <c r="H1666" s="22" t="s">
        <v>5823</v>
      </c>
      <c r="I1666" s="27">
        <v>8</v>
      </c>
      <c r="J1666" s="22"/>
      <c r="K1666" s="20">
        <v>2</v>
      </c>
      <c r="L1666" s="24">
        <v>372.79</v>
      </c>
      <c r="M1666" s="11"/>
      <c r="N1666" s="22">
        <f t="shared" si="73"/>
        <v>0</v>
      </c>
      <c r="O1666" s="28">
        <f>0.12*M1666</f>
        <v>0</v>
      </c>
      <c r="P1666" s="26">
        <f>0.00034*M1666</f>
        <v>0</v>
      </c>
      <c r="Q1666" s="30"/>
      <c r="R1666" s="22" t="s">
        <v>5824</v>
      </c>
      <c r="S1666" s="22" t="s">
        <v>435</v>
      </c>
      <c r="T1666" s="21" t="str">
        <f>HYPERLINK("https://miland.ru/api/getInfo/image/755cd3b1-f1c0-11ee-a25b-00155d82e908")</f>
        <v>https://miland.ru/api/getInfo/image/755cd3b1-f1c0-11ee-a25b-00155d82e908</v>
      </c>
      <c r="U1666" s="21"/>
      <c r="V1666" s="21" t="s">
        <v>5723</v>
      </c>
      <c r="W1666" s="21" t="s">
        <v>185</v>
      </c>
      <c r="X1666" s="21"/>
      <c r="Y1666" s="21" t="s">
        <v>41</v>
      </c>
      <c r="Z1666" s="21"/>
      <c r="AA1666" s="21" t="str">
        <f>HYPERLINK("https://miland.ru/api/getInfo/item/755cd3b1-f1c0-11ee-a25b-00155d82e908")</f>
        <v>https://miland.ru/api/getInfo/item/755cd3b1-f1c0-11ee-a25b-00155d82e908</v>
      </c>
      <c r="AB1666" s="21" t="s">
        <v>42</v>
      </c>
      <c r="AC1666" s="21" t="s">
        <v>5825</v>
      </c>
      <c r="AD1666" s="21"/>
    </row>
    <row r="1667" spans="2:30" s="1" customFormat="1" ht="96.3" customHeight="1" outlineLevel="6">
      <c r="B1667" s="57">
        <v>1274</v>
      </c>
      <c r="C1667" s="21" t="s">
        <v>5826</v>
      </c>
      <c r="D1667" s="72" t="s">
        <v>5827</v>
      </c>
      <c r="E1667" s="72"/>
      <c r="F1667" s="72"/>
      <c r="G1667" s="72"/>
      <c r="H1667" s="22" t="s">
        <v>5828</v>
      </c>
      <c r="I1667" s="27">
        <v>10</v>
      </c>
      <c r="J1667" s="22"/>
      <c r="K1667" s="20">
        <v>1</v>
      </c>
      <c r="L1667" s="24">
        <v>701.78</v>
      </c>
      <c r="M1667" s="11"/>
      <c r="N1667" s="22">
        <f t="shared" si="73"/>
        <v>0</v>
      </c>
      <c r="O1667" s="28">
        <f>0.28*M1667</f>
        <v>0</v>
      </c>
      <c r="P1667" s="26">
        <f>0.00081*M1667</f>
        <v>0</v>
      </c>
      <c r="Q1667" s="30"/>
      <c r="R1667" s="22" t="s">
        <v>5829</v>
      </c>
      <c r="S1667" s="22" t="s">
        <v>435</v>
      </c>
      <c r="T1667" s="21" t="str">
        <f>HYPERLINK("https://miland.ru/api/getInfo/image/30118891-f1c1-11ee-a25b-00155d82e908")</f>
        <v>https://miland.ru/api/getInfo/image/30118891-f1c1-11ee-a25b-00155d82e908</v>
      </c>
      <c r="U1667" s="21"/>
      <c r="V1667" s="21" t="s">
        <v>5723</v>
      </c>
      <c r="W1667" s="21" t="s">
        <v>185</v>
      </c>
      <c r="X1667" s="21"/>
      <c r="Y1667" s="21" t="s">
        <v>697</v>
      </c>
      <c r="Z1667" s="21"/>
      <c r="AA1667" s="21" t="str">
        <f>HYPERLINK("https://miland.ru/api/getInfo/item/30118891-f1c1-11ee-a25b-00155d82e908")</f>
        <v>https://miland.ru/api/getInfo/item/30118891-f1c1-11ee-a25b-00155d82e908</v>
      </c>
      <c r="AB1667" s="21" t="s">
        <v>42</v>
      </c>
      <c r="AC1667" s="21" t="s">
        <v>5830</v>
      </c>
      <c r="AD1667" s="21"/>
    </row>
    <row r="1668" spans="2:30" s="1" customFormat="1" ht="96.3" customHeight="1" outlineLevel="6">
      <c r="B1668" s="57">
        <v>1275</v>
      </c>
      <c r="C1668" s="21" t="s">
        <v>5831</v>
      </c>
      <c r="D1668" s="72" t="s">
        <v>5832</v>
      </c>
      <c r="E1668" s="72"/>
      <c r="F1668" s="72"/>
      <c r="G1668" s="72"/>
      <c r="H1668" s="22" t="s">
        <v>5833</v>
      </c>
      <c r="I1668" s="27">
        <v>5</v>
      </c>
      <c r="J1668" s="22"/>
      <c r="K1668" s="20">
        <v>1</v>
      </c>
      <c r="L1668" s="24">
        <v>701.78</v>
      </c>
      <c r="M1668" s="11"/>
      <c r="N1668" s="22">
        <f t="shared" si="73"/>
        <v>0</v>
      </c>
      <c r="O1668" s="28">
        <f>0.35*M1668</f>
        <v>0</v>
      </c>
      <c r="P1668" s="26">
        <f>0.00094*M1668</f>
        <v>0</v>
      </c>
      <c r="Q1668" s="30"/>
      <c r="R1668" s="22" t="s">
        <v>5834</v>
      </c>
      <c r="S1668" s="22" t="s">
        <v>435</v>
      </c>
      <c r="T1668" s="21" t="str">
        <f>HYPERLINK("https://miland.ru/api/getInfo/image/a06c4bfc-f1bf-11ee-a25b-00155d82e908")</f>
        <v>https://miland.ru/api/getInfo/image/a06c4bfc-f1bf-11ee-a25b-00155d82e908</v>
      </c>
      <c r="U1668" s="21"/>
      <c r="V1668" s="21" t="s">
        <v>5723</v>
      </c>
      <c r="W1668" s="21" t="s">
        <v>185</v>
      </c>
      <c r="X1668" s="21"/>
      <c r="Y1668" s="21" t="s">
        <v>697</v>
      </c>
      <c r="Z1668" s="21"/>
      <c r="AA1668" s="21" t="str">
        <f>HYPERLINK("https://miland.ru/api/getInfo/item/a06c4bfc-f1bf-11ee-a25b-00155d82e908")</f>
        <v>https://miland.ru/api/getInfo/item/a06c4bfc-f1bf-11ee-a25b-00155d82e908</v>
      </c>
      <c r="AB1668" s="21" t="s">
        <v>42</v>
      </c>
      <c r="AC1668" s="21" t="s">
        <v>5830</v>
      </c>
      <c r="AD1668" s="21"/>
    </row>
    <row r="1669" spans="2:30" s="1" customFormat="1" ht="96.3" customHeight="1" outlineLevel="6">
      <c r="B1669" s="57">
        <v>1276</v>
      </c>
      <c r="C1669" s="21" t="s">
        <v>5835</v>
      </c>
      <c r="D1669" s="72" t="s">
        <v>5836</v>
      </c>
      <c r="E1669" s="72"/>
      <c r="F1669" s="72"/>
      <c r="G1669" s="72"/>
      <c r="H1669" s="22" t="s">
        <v>5837</v>
      </c>
      <c r="I1669" s="27">
        <v>21</v>
      </c>
      <c r="J1669" s="22"/>
      <c r="K1669" s="20">
        <v>2</v>
      </c>
      <c r="L1669" s="24">
        <v>362.98</v>
      </c>
      <c r="M1669" s="11"/>
      <c r="N1669" s="22">
        <f t="shared" si="73"/>
        <v>0</v>
      </c>
      <c r="O1669" s="25">
        <f>0.122*M1669</f>
        <v>0</v>
      </c>
      <c r="P1669" s="26">
        <f>0.00057*M1669</f>
        <v>0</v>
      </c>
      <c r="Q1669" s="30"/>
      <c r="R1669" s="22" t="s">
        <v>5838</v>
      </c>
      <c r="S1669" s="22" t="s">
        <v>435</v>
      </c>
      <c r="T1669" s="21" t="str">
        <f>HYPERLINK("https://miland.ru/api/getInfo/image/ca8406ae-f1be-11ee-a25b-00155d82e908")</f>
        <v>https://miland.ru/api/getInfo/image/ca8406ae-f1be-11ee-a25b-00155d82e908</v>
      </c>
      <c r="U1669" s="21"/>
      <c r="V1669" s="21" t="s">
        <v>5723</v>
      </c>
      <c r="W1669" s="21" t="s">
        <v>185</v>
      </c>
      <c r="X1669" s="21"/>
      <c r="Y1669" s="21" t="s">
        <v>41</v>
      </c>
      <c r="Z1669" s="21"/>
      <c r="AA1669" s="21" t="str">
        <f>HYPERLINK("https://miland.ru/api/getInfo/item/ca8406ae-f1be-11ee-a25b-00155d82e908")</f>
        <v>https://miland.ru/api/getInfo/item/ca8406ae-f1be-11ee-a25b-00155d82e908</v>
      </c>
      <c r="AB1669" s="21" t="s">
        <v>42</v>
      </c>
      <c r="AC1669" s="21" t="s">
        <v>5825</v>
      </c>
      <c r="AD1669" s="21"/>
    </row>
    <row r="1670" spans="2:30" s="1" customFormat="1" ht="96.3" customHeight="1" outlineLevel="6">
      <c r="B1670" s="57">
        <v>1277</v>
      </c>
      <c r="C1670" s="21" t="s">
        <v>5839</v>
      </c>
      <c r="D1670" s="72" t="s">
        <v>5840</v>
      </c>
      <c r="E1670" s="72"/>
      <c r="F1670" s="72"/>
      <c r="G1670" s="72"/>
      <c r="H1670" s="22" t="s">
        <v>5841</v>
      </c>
      <c r="I1670" s="27">
        <v>17</v>
      </c>
      <c r="J1670" s="22"/>
      <c r="K1670" s="20">
        <v>2</v>
      </c>
      <c r="L1670" s="24">
        <v>362.98</v>
      </c>
      <c r="M1670" s="11"/>
      <c r="N1670" s="22">
        <f t="shared" si="73"/>
        <v>0</v>
      </c>
      <c r="O1670" s="28">
        <f>0.15*M1670</f>
        <v>0</v>
      </c>
      <c r="P1670" s="26">
        <f>0.00054*M1670</f>
        <v>0</v>
      </c>
      <c r="Q1670" s="30"/>
      <c r="R1670" s="22" t="s">
        <v>5842</v>
      </c>
      <c r="S1670" s="22" t="s">
        <v>435</v>
      </c>
      <c r="T1670" s="21" t="str">
        <f>HYPERLINK("https://miland.ru/api/getInfo/image/5496bebb-f1c5-11ee-a25b-00155d82e908")</f>
        <v>https://miland.ru/api/getInfo/image/5496bebb-f1c5-11ee-a25b-00155d82e908</v>
      </c>
      <c r="U1670" s="21"/>
      <c r="V1670" s="21" t="s">
        <v>5723</v>
      </c>
      <c r="W1670" s="21" t="s">
        <v>185</v>
      </c>
      <c r="X1670" s="21"/>
      <c r="Y1670" s="21" t="s">
        <v>697</v>
      </c>
      <c r="Z1670" s="21"/>
      <c r="AA1670" s="21" t="str">
        <f>HYPERLINK("https://miland.ru/api/getInfo/item/5496bebb-f1c5-11ee-a25b-00155d82e908")</f>
        <v>https://miland.ru/api/getInfo/item/5496bebb-f1c5-11ee-a25b-00155d82e908</v>
      </c>
      <c r="AB1670" s="21" t="s">
        <v>42</v>
      </c>
      <c r="AC1670" s="21" t="s">
        <v>5825</v>
      </c>
      <c r="AD1670" s="21"/>
    </row>
    <row r="1671" spans="2:30" s="1" customFormat="1" ht="96.3" customHeight="1" outlineLevel="6">
      <c r="B1671" s="57">
        <v>1278</v>
      </c>
      <c r="C1671" s="21" t="s">
        <v>5843</v>
      </c>
      <c r="D1671" s="72" t="s">
        <v>5844</v>
      </c>
      <c r="E1671" s="72"/>
      <c r="F1671" s="72"/>
      <c r="G1671" s="72"/>
      <c r="H1671" s="22" t="s">
        <v>5845</v>
      </c>
      <c r="I1671" s="27">
        <v>13</v>
      </c>
      <c r="J1671" s="22"/>
      <c r="K1671" s="20">
        <v>2</v>
      </c>
      <c r="L1671" s="24">
        <v>362.98</v>
      </c>
      <c r="M1671" s="11"/>
      <c r="N1671" s="22">
        <f t="shared" si="73"/>
        <v>0</v>
      </c>
      <c r="O1671" s="25">
        <f>0.128*M1671</f>
        <v>0</v>
      </c>
      <c r="P1671" s="26">
        <f>0.00056*M1671</f>
        <v>0</v>
      </c>
      <c r="Q1671" s="30"/>
      <c r="R1671" s="22" t="s">
        <v>5846</v>
      </c>
      <c r="S1671" s="22" t="s">
        <v>435</v>
      </c>
      <c r="T1671" s="21" t="str">
        <f>HYPERLINK("https://miland.ru/api/getInfo/image/b3df647d-f1c3-11ee-a25b-00155d82e908")</f>
        <v>https://miland.ru/api/getInfo/image/b3df647d-f1c3-11ee-a25b-00155d82e908</v>
      </c>
      <c r="U1671" s="21"/>
      <c r="V1671" s="21" t="s">
        <v>5723</v>
      </c>
      <c r="W1671" s="21" t="s">
        <v>185</v>
      </c>
      <c r="X1671" s="21"/>
      <c r="Y1671" s="21" t="s">
        <v>41</v>
      </c>
      <c r="Z1671" s="21"/>
      <c r="AA1671" s="21" t="str">
        <f>HYPERLINK("https://miland.ru/api/getInfo/item/b3df647d-f1c3-11ee-a25b-00155d82e908")</f>
        <v>https://miland.ru/api/getInfo/item/b3df647d-f1c3-11ee-a25b-00155d82e908</v>
      </c>
      <c r="AB1671" s="21" t="s">
        <v>42</v>
      </c>
      <c r="AC1671" s="21" t="s">
        <v>5825</v>
      </c>
      <c r="AD1671" s="21"/>
    </row>
    <row r="1672" spans="2:30" s="1" customFormat="1" ht="96.3" customHeight="1" outlineLevel="6">
      <c r="B1672" s="57">
        <v>1279</v>
      </c>
      <c r="C1672" s="21" t="s">
        <v>5847</v>
      </c>
      <c r="D1672" s="72" t="s">
        <v>5848</v>
      </c>
      <c r="E1672" s="72"/>
      <c r="F1672" s="72"/>
      <c r="G1672" s="72"/>
      <c r="H1672" s="22" t="s">
        <v>5849</v>
      </c>
      <c r="I1672" s="27">
        <v>10</v>
      </c>
      <c r="J1672" s="22"/>
      <c r="K1672" s="20">
        <v>2</v>
      </c>
      <c r="L1672" s="24">
        <v>388.33</v>
      </c>
      <c r="M1672" s="11"/>
      <c r="N1672" s="22">
        <f t="shared" si="73"/>
        <v>0</v>
      </c>
      <c r="O1672" s="25">
        <f>0.128*M1672</f>
        <v>0</v>
      </c>
      <c r="P1672" s="26">
        <f>0.00053*M1672</f>
        <v>0</v>
      </c>
      <c r="Q1672" s="30"/>
      <c r="R1672" s="22" t="s">
        <v>5850</v>
      </c>
      <c r="S1672" s="22" t="s">
        <v>435</v>
      </c>
      <c r="T1672" s="21" t="str">
        <f>HYPERLINK("https://miland.ru/api/getInfo/image/8e7ad363-f1c3-11ee-a25b-00155d82e908")</f>
        <v>https://miland.ru/api/getInfo/image/8e7ad363-f1c3-11ee-a25b-00155d82e908</v>
      </c>
      <c r="U1672" s="21"/>
      <c r="V1672" s="21" t="s">
        <v>5723</v>
      </c>
      <c r="W1672" s="21" t="s">
        <v>185</v>
      </c>
      <c r="X1672" s="21"/>
      <c r="Y1672" s="21" t="s">
        <v>41</v>
      </c>
      <c r="Z1672" s="21"/>
      <c r="AA1672" s="21" t="str">
        <f>HYPERLINK("https://miland.ru/api/getInfo/item/8e7ad363-f1c3-11ee-a25b-00155d82e908")</f>
        <v>https://miland.ru/api/getInfo/item/8e7ad363-f1c3-11ee-a25b-00155d82e908</v>
      </c>
      <c r="AB1672" s="21" t="s">
        <v>42</v>
      </c>
      <c r="AC1672" s="21" t="s">
        <v>5825</v>
      </c>
      <c r="AD1672" s="21"/>
    </row>
    <row r="1673" spans="2:30" s="1" customFormat="1" ht="96.3" customHeight="1" outlineLevel="6">
      <c r="B1673" s="57">
        <v>1280</v>
      </c>
      <c r="C1673" s="21" t="s">
        <v>5851</v>
      </c>
      <c r="D1673" s="72" t="s">
        <v>5852</v>
      </c>
      <c r="E1673" s="72"/>
      <c r="F1673" s="72"/>
      <c r="G1673" s="72"/>
      <c r="H1673" s="22" t="s">
        <v>5853</v>
      </c>
      <c r="I1673" s="27">
        <v>5</v>
      </c>
      <c r="J1673" s="22"/>
      <c r="K1673" s="20">
        <v>1</v>
      </c>
      <c r="L1673" s="24">
        <v>701.78</v>
      </c>
      <c r="M1673" s="11"/>
      <c r="N1673" s="22">
        <f t="shared" si="73"/>
        <v>0</v>
      </c>
      <c r="O1673" s="25">
        <f>0.295*M1673</f>
        <v>0</v>
      </c>
      <c r="P1673" s="26">
        <f>0.00107*M1673</f>
        <v>0</v>
      </c>
      <c r="Q1673" s="30"/>
      <c r="R1673" s="22" t="s">
        <v>5854</v>
      </c>
      <c r="S1673" s="22" t="s">
        <v>435</v>
      </c>
      <c r="T1673" s="21" t="str">
        <f>HYPERLINK("https://miland.ru/api/getInfo/image/f76c159d-f1c3-11ee-a25b-00155d82e908")</f>
        <v>https://miland.ru/api/getInfo/image/f76c159d-f1c3-11ee-a25b-00155d82e908</v>
      </c>
      <c r="U1673" s="21"/>
      <c r="V1673" s="21" t="s">
        <v>5723</v>
      </c>
      <c r="W1673" s="21" t="s">
        <v>185</v>
      </c>
      <c r="X1673" s="21"/>
      <c r="Y1673" s="21" t="s">
        <v>41</v>
      </c>
      <c r="Z1673" s="21"/>
      <c r="AA1673" s="21" t="str">
        <f>HYPERLINK("https://miland.ru/api/getInfo/item/f76c159d-f1c3-11ee-a25b-00155d82e908")</f>
        <v>https://miland.ru/api/getInfo/item/f76c159d-f1c3-11ee-a25b-00155d82e908</v>
      </c>
      <c r="AB1673" s="21" t="s">
        <v>42</v>
      </c>
      <c r="AC1673" s="21" t="s">
        <v>5830</v>
      </c>
      <c r="AD1673" s="21"/>
    </row>
    <row r="1674" spans="2:30" s="1" customFormat="1" ht="96.3" customHeight="1" outlineLevel="6">
      <c r="B1674" s="57">
        <v>1281</v>
      </c>
      <c r="C1674" s="21" t="s">
        <v>5855</v>
      </c>
      <c r="D1674" s="72" t="s">
        <v>5856</v>
      </c>
      <c r="E1674" s="72"/>
      <c r="F1674" s="72"/>
      <c r="G1674" s="72"/>
      <c r="H1674" s="22" t="s">
        <v>5857</v>
      </c>
      <c r="I1674" s="27">
        <v>293</v>
      </c>
      <c r="J1674" s="22"/>
      <c r="K1674" s="20">
        <v>1</v>
      </c>
      <c r="L1674" s="24">
        <v>772.24</v>
      </c>
      <c r="M1674" s="11"/>
      <c r="N1674" s="22">
        <f t="shared" si="73"/>
        <v>0</v>
      </c>
      <c r="O1674" s="25">
        <f>0.326*M1674</f>
        <v>0</v>
      </c>
      <c r="P1674" s="26">
        <f>0.00134*M1674</f>
        <v>0</v>
      </c>
      <c r="Q1674" s="30"/>
      <c r="R1674" s="22" t="s">
        <v>5858</v>
      </c>
      <c r="S1674" s="22"/>
      <c r="T1674" s="21" t="str">
        <f>HYPERLINK("https://miland.ru/api/getInfo/image/70b499fa-a8c5-11ef-a267-00155d82e908")</f>
        <v>https://miland.ru/api/getInfo/image/70b499fa-a8c5-11ef-a267-00155d82e908</v>
      </c>
      <c r="U1674" s="21"/>
      <c r="V1674" s="21" t="s">
        <v>5723</v>
      </c>
      <c r="W1674" s="21" t="s">
        <v>185</v>
      </c>
      <c r="X1674" s="21"/>
      <c r="Y1674" s="21" t="s">
        <v>697</v>
      </c>
      <c r="Z1674" s="21"/>
      <c r="AA1674" s="21" t="str">
        <f>HYPERLINK("https://miland.ru/api/getInfo/item/70b499fa-a8c5-11ef-a267-00155d82e908")</f>
        <v>https://miland.ru/api/getInfo/item/70b499fa-a8c5-11ef-a267-00155d82e908</v>
      </c>
      <c r="AB1674" s="21" t="s">
        <v>42</v>
      </c>
      <c r="AC1674" s="21"/>
      <c r="AD1674" s="21"/>
    </row>
    <row r="1675" spans="2:30" s="1" customFormat="1" ht="96.3" customHeight="1" outlineLevel="6">
      <c r="B1675" s="57">
        <v>1282</v>
      </c>
      <c r="C1675" s="21" t="s">
        <v>5859</v>
      </c>
      <c r="D1675" s="72" t="s">
        <v>5860</v>
      </c>
      <c r="E1675" s="72"/>
      <c r="F1675" s="72"/>
      <c r="G1675" s="72"/>
      <c r="H1675" s="22" t="s">
        <v>5861</v>
      </c>
      <c r="I1675" s="27">
        <v>412</v>
      </c>
      <c r="J1675" s="22"/>
      <c r="K1675" s="20">
        <v>2</v>
      </c>
      <c r="L1675" s="24">
        <v>362.98</v>
      </c>
      <c r="M1675" s="11"/>
      <c r="N1675" s="22">
        <f t="shared" si="73"/>
        <v>0</v>
      </c>
      <c r="O1675" s="28">
        <f>0.14*M1675</f>
        <v>0</v>
      </c>
      <c r="P1675" s="26">
        <f>0.00057*M1675</f>
        <v>0</v>
      </c>
      <c r="Q1675" s="30"/>
      <c r="R1675" s="22" t="s">
        <v>5862</v>
      </c>
      <c r="S1675" s="22"/>
      <c r="T1675" s="21" t="str">
        <f>HYPERLINK("https://miland.ru/api/getInfo/image/0871e9ae-a8c4-11ef-a267-00155d82e908")</f>
        <v>https://miland.ru/api/getInfo/image/0871e9ae-a8c4-11ef-a267-00155d82e908</v>
      </c>
      <c r="U1675" s="21"/>
      <c r="V1675" s="21" t="s">
        <v>5723</v>
      </c>
      <c r="W1675" s="21" t="s">
        <v>185</v>
      </c>
      <c r="X1675" s="21"/>
      <c r="Y1675" s="21" t="s">
        <v>697</v>
      </c>
      <c r="Z1675" s="21"/>
      <c r="AA1675" s="21" t="str">
        <f>HYPERLINK("https://miland.ru/api/getInfo/item/0871e9ae-a8c4-11ef-a267-00155d82e908")</f>
        <v>https://miland.ru/api/getInfo/item/0871e9ae-a8c4-11ef-a267-00155d82e908</v>
      </c>
      <c r="AB1675" s="21" t="s">
        <v>42</v>
      </c>
      <c r="AC1675" s="21"/>
      <c r="AD1675" s="21"/>
    </row>
    <row r="1676" spans="2:30" s="1" customFormat="1" ht="96.3" customHeight="1" outlineLevel="6">
      <c r="B1676" s="57">
        <v>1283</v>
      </c>
      <c r="C1676" s="21" t="s">
        <v>5863</v>
      </c>
      <c r="D1676" s="72" t="s">
        <v>5864</v>
      </c>
      <c r="E1676" s="72"/>
      <c r="F1676" s="72"/>
      <c r="G1676" s="72"/>
      <c r="H1676" s="22" t="s">
        <v>5865</v>
      </c>
      <c r="I1676" s="27">
        <v>7</v>
      </c>
      <c r="J1676" s="22"/>
      <c r="K1676" s="20">
        <v>1</v>
      </c>
      <c r="L1676" s="32">
        <v>3236.07</v>
      </c>
      <c r="M1676" s="11"/>
      <c r="N1676" s="22">
        <f t="shared" si="73"/>
        <v>0</v>
      </c>
      <c r="O1676" s="25">
        <f>1.141*M1676</f>
        <v>0</v>
      </c>
      <c r="P1676" s="26">
        <f>0.00707*M1676</f>
        <v>0</v>
      </c>
      <c r="Q1676" s="30"/>
      <c r="R1676" s="22" t="s">
        <v>5866</v>
      </c>
      <c r="S1676" s="22" t="s">
        <v>435</v>
      </c>
      <c r="T1676" s="21" t="str">
        <f>HYPERLINK("https://miland.ru/api/getInfo/image/1eada20e-a8c7-11ef-a267-00155d82e908")</f>
        <v>https://miland.ru/api/getInfo/image/1eada20e-a8c7-11ef-a267-00155d82e908</v>
      </c>
      <c r="U1676" s="21"/>
      <c r="V1676" s="21"/>
      <c r="W1676" s="21" t="s">
        <v>5729</v>
      </c>
      <c r="X1676" s="21" t="s">
        <v>172</v>
      </c>
      <c r="Y1676" s="21" t="s">
        <v>173</v>
      </c>
      <c r="Z1676" s="21" t="s">
        <v>5867</v>
      </c>
      <c r="AA1676" s="21" t="str">
        <f>HYPERLINK("https://miland.ru/api/getInfo/item/1eada20e-a8c7-11ef-a267-00155d82e908")</f>
        <v>https://miland.ru/api/getInfo/item/1eada20e-a8c7-11ef-a267-00155d82e908</v>
      </c>
      <c r="AB1676" s="21" t="s">
        <v>42</v>
      </c>
      <c r="AC1676" s="21"/>
      <c r="AD1676" s="21"/>
    </row>
    <row r="1677" spans="2:30" s="1" customFormat="1" ht="96.3" customHeight="1" outlineLevel="6">
      <c r="B1677" s="57">
        <v>1284</v>
      </c>
      <c r="C1677" s="21" t="s">
        <v>5868</v>
      </c>
      <c r="D1677" s="72" t="s">
        <v>5869</v>
      </c>
      <c r="E1677" s="72"/>
      <c r="F1677" s="72"/>
      <c r="G1677" s="72"/>
      <c r="H1677" s="22" t="s">
        <v>5870</v>
      </c>
      <c r="I1677" s="27">
        <v>11</v>
      </c>
      <c r="J1677" s="22"/>
      <c r="K1677" s="20">
        <v>1</v>
      </c>
      <c r="L1677" s="32">
        <v>3236.07</v>
      </c>
      <c r="M1677" s="11"/>
      <c r="N1677" s="22">
        <f t="shared" si="73"/>
        <v>0</v>
      </c>
      <c r="O1677" s="25">
        <f>1.079*M1677</f>
        <v>0</v>
      </c>
      <c r="P1677" s="26">
        <f>0.00708*M1677</f>
        <v>0</v>
      </c>
      <c r="Q1677" s="30"/>
      <c r="R1677" s="22" t="s">
        <v>5871</v>
      </c>
      <c r="S1677" s="22"/>
      <c r="T1677" s="21" t="str">
        <f>HYPERLINK("https://miland.ru/api/getInfo/image/47f04ab5-a8c7-11ef-a267-00155d82e908")</f>
        <v>https://miland.ru/api/getInfo/image/47f04ab5-a8c7-11ef-a267-00155d82e908</v>
      </c>
      <c r="U1677" s="21"/>
      <c r="V1677" s="21"/>
      <c r="W1677" s="21" t="s">
        <v>5729</v>
      </c>
      <c r="X1677" s="21" t="s">
        <v>172</v>
      </c>
      <c r="Y1677" s="21" t="s">
        <v>173</v>
      </c>
      <c r="Z1677" s="21" t="s">
        <v>5872</v>
      </c>
      <c r="AA1677" s="21" t="str">
        <f>HYPERLINK("https://miland.ru/api/getInfo/item/47f04ab5-a8c7-11ef-a267-00155d82e908")</f>
        <v>https://miland.ru/api/getInfo/item/47f04ab5-a8c7-11ef-a267-00155d82e908</v>
      </c>
      <c r="AB1677" s="21" t="s">
        <v>42</v>
      </c>
      <c r="AC1677" s="21"/>
      <c r="AD1677" s="21"/>
    </row>
    <row r="1678" spans="2:30" s="1" customFormat="1" ht="96.3" customHeight="1" outlineLevel="6">
      <c r="B1678" s="57">
        <v>1285</v>
      </c>
      <c r="C1678" s="21" t="s">
        <v>5873</v>
      </c>
      <c r="D1678" s="72" t="s">
        <v>5874</v>
      </c>
      <c r="E1678" s="72"/>
      <c r="F1678" s="72"/>
      <c r="G1678" s="72"/>
      <c r="H1678" s="22" t="s">
        <v>5875</v>
      </c>
      <c r="I1678" s="27">
        <v>6</v>
      </c>
      <c r="J1678" s="22"/>
      <c r="K1678" s="20">
        <v>1</v>
      </c>
      <c r="L1678" s="32">
        <v>3284.81</v>
      </c>
      <c r="M1678" s="11"/>
      <c r="N1678" s="22">
        <f t="shared" si="73"/>
        <v>0</v>
      </c>
      <c r="O1678" s="25">
        <f>1.025*M1678</f>
        <v>0</v>
      </c>
      <c r="P1678" s="26">
        <f>0.00479*M1678</f>
        <v>0</v>
      </c>
      <c r="Q1678" s="30"/>
      <c r="R1678" s="22" t="s">
        <v>5876</v>
      </c>
      <c r="S1678" s="22"/>
      <c r="T1678" s="21" t="str">
        <f>HYPERLINK("https://miland.ru/api/getInfo/image/717aed0b-bd06-11ef-a267-00155d82e908")</f>
        <v>https://miland.ru/api/getInfo/image/717aed0b-bd06-11ef-a267-00155d82e908</v>
      </c>
      <c r="U1678" s="21"/>
      <c r="V1678" s="21" t="s">
        <v>5723</v>
      </c>
      <c r="W1678" s="21" t="s">
        <v>185</v>
      </c>
      <c r="X1678" s="21"/>
      <c r="Y1678" s="21" t="s">
        <v>41</v>
      </c>
      <c r="Z1678" s="21"/>
      <c r="AA1678" s="21" t="str">
        <f>HYPERLINK("https://miland.ru/api/getInfo/item/717aed0b-bd06-11ef-a267-00155d82e908")</f>
        <v>https://miland.ru/api/getInfo/item/717aed0b-bd06-11ef-a267-00155d82e908</v>
      </c>
      <c r="AB1678" s="21" t="s">
        <v>42</v>
      </c>
      <c r="AC1678" s="21"/>
      <c r="AD1678" s="21"/>
    </row>
    <row r="1679" spans="2:30" s="1" customFormat="1" ht="96.3" customHeight="1" outlineLevel="6">
      <c r="B1679" s="57">
        <v>1286</v>
      </c>
      <c r="C1679" s="21" t="s">
        <v>5877</v>
      </c>
      <c r="D1679" s="72" t="s">
        <v>5878</v>
      </c>
      <c r="E1679" s="72"/>
      <c r="F1679" s="72"/>
      <c r="G1679" s="72"/>
      <c r="H1679" s="22" t="s">
        <v>5879</v>
      </c>
      <c r="I1679" s="27">
        <v>269</v>
      </c>
      <c r="J1679" s="22"/>
      <c r="K1679" s="20">
        <v>1</v>
      </c>
      <c r="L1679" s="24">
        <v>420.07</v>
      </c>
      <c r="M1679" s="11"/>
      <c r="N1679" s="22">
        <f t="shared" si="73"/>
        <v>0</v>
      </c>
      <c r="O1679" s="25">
        <f>0.148*M1679</f>
        <v>0</v>
      </c>
      <c r="P1679" s="29">
        <f>0.0004*M1679</f>
        <v>0</v>
      </c>
      <c r="Q1679" s="30"/>
      <c r="R1679" s="22" t="s">
        <v>5880</v>
      </c>
      <c r="S1679" s="22"/>
      <c r="T1679" s="21" t="str">
        <f>HYPERLINK("https://miland.ru/api/getInfo/image/e5b8adc1-a8c2-11ef-a267-00155d82e908")</f>
        <v>https://miland.ru/api/getInfo/image/e5b8adc1-a8c2-11ef-a267-00155d82e908</v>
      </c>
      <c r="U1679" s="21"/>
      <c r="V1679" s="21" t="s">
        <v>5723</v>
      </c>
      <c r="W1679" s="21" t="s">
        <v>185</v>
      </c>
      <c r="X1679" s="21"/>
      <c r="Y1679" s="21" t="s">
        <v>41</v>
      </c>
      <c r="Z1679" s="21"/>
      <c r="AA1679" s="21" t="str">
        <f>HYPERLINK("https://miland.ru/api/getInfo/item/e5b8adc1-a8c2-11ef-a267-00155d82e908")</f>
        <v>https://miland.ru/api/getInfo/item/e5b8adc1-a8c2-11ef-a267-00155d82e908</v>
      </c>
      <c r="AB1679" s="21" t="s">
        <v>42</v>
      </c>
      <c r="AC1679" s="21"/>
      <c r="AD1679" s="21"/>
    </row>
    <row r="1680" spans="2:30" s="1" customFormat="1" ht="96.3" customHeight="1" outlineLevel="6">
      <c r="B1680" s="57">
        <v>1287</v>
      </c>
      <c r="C1680" s="21" t="s">
        <v>5881</v>
      </c>
      <c r="D1680" s="72" t="s">
        <v>5882</v>
      </c>
      <c r="E1680" s="72"/>
      <c r="F1680" s="72"/>
      <c r="G1680" s="72"/>
      <c r="H1680" s="22" t="s">
        <v>5883</v>
      </c>
      <c r="I1680" s="27">
        <v>5</v>
      </c>
      <c r="J1680" s="22"/>
      <c r="K1680" s="20">
        <v>1</v>
      </c>
      <c r="L1680" s="24">
        <v>420.07</v>
      </c>
      <c r="M1680" s="11"/>
      <c r="N1680" s="22">
        <f t="shared" si="73"/>
        <v>0</v>
      </c>
      <c r="O1680" s="25">
        <f>0.148*M1680</f>
        <v>0</v>
      </c>
      <c r="P1680" s="29">
        <f>0.0004*M1680</f>
        <v>0</v>
      </c>
      <c r="Q1680" s="30"/>
      <c r="R1680" s="22" t="s">
        <v>5884</v>
      </c>
      <c r="S1680" s="22" t="s">
        <v>435</v>
      </c>
      <c r="T1680" s="21" t="str">
        <f>HYPERLINK("https://miland.ru/api/getInfo/image/3a0d8f05-a8c3-11ef-a267-00155d82e908")</f>
        <v>https://miland.ru/api/getInfo/image/3a0d8f05-a8c3-11ef-a267-00155d82e908</v>
      </c>
      <c r="U1680" s="21"/>
      <c r="V1680" s="21" t="s">
        <v>5723</v>
      </c>
      <c r="W1680" s="21" t="s">
        <v>185</v>
      </c>
      <c r="X1680" s="21"/>
      <c r="Y1680" s="21" t="s">
        <v>41</v>
      </c>
      <c r="Z1680" s="21"/>
      <c r="AA1680" s="21" t="str">
        <f>HYPERLINK("https://miland.ru/api/getInfo/item/3a0d8f05-a8c3-11ef-a267-00155d82e908")</f>
        <v>https://miland.ru/api/getInfo/item/3a0d8f05-a8c3-11ef-a267-00155d82e908</v>
      </c>
      <c r="AB1680" s="21" t="s">
        <v>42</v>
      </c>
      <c r="AC1680" s="21"/>
      <c r="AD1680" s="21"/>
    </row>
    <row r="1681" spans="2:31" ht="12" customHeight="1" outlineLevel="4">
      <c r="B1681" s="70" t="s">
        <v>5885</v>
      </c>
      <c r="C1681" s="70"/>
      <c r="D1681" s="70"/>
      <c r="E1681" s="70"/>
      <c r="F1681" s="70"/>
      <c r="G1681" s="70"/>
    </row>
    <row r="1682" spans="2:31" ht="12" customHeight="1" outlineLevel="5">
      <c r="B1682" s="70" t="s">
        <v>5886</v>
      </c>
      <c r="C1682" s="70"/>
      <c r="D1682" s="70"/>
      <c r="E1682" s="70"/>
      <c r="F1682" s="70"/>
      <c r="G1682" s="70"/>
    </row>
    <row r="1683" spans="2:31" s="1" customFormat="1" ht="96.3" customHeight="1" outlineLevel="6">
      <c r="B1683" s="57">
        <v>1288</v>
      </c>
      <c r="C1683" s="21" t="s">
        <v>5887</v>
      </c>
      <c r="D1683" s="72" t="s">
        <v>5888</v>
      </c>
      <c r="E1683" s="72"/>
      <c r="F1683" s="72"/>
      <c r="G1683" s="72"/>
      <c r="H1683" s="22" t="s">
        <v>5889</v>
      </c>
      <c r="I1683" s="27">
        <v>210</v>
      </c>
      <c r="J1683" s="22"/>
      <c r="K1683" s="20">
        <v>1</v>
      </c>
      <c r="L1683" s="32">
        <v>1269.53</v>
      </c>
      <c r="M1683" s="11"/>
      <c r="N1683" s="22">
        <f>L1683*M1683</f>
        <v>0</v>
      </c>
      <c r="O1683" s="25">
        <f>0.641*M1683</f>
        <v>0</v>
      </c>
      <c r="P1683" s="26">
        <f>0.00229*M1683</f>
        <v>0</v>
      </c>
      <c r="Q1683" s="30"/>
      <c r="R1683" s="22" t="s">
        <v>5890</v>
      </c>
      <c r="S1683" s="22"/>
      <c r="T1683" s="21" t="str">
        <f>HYPERLINK("https://miland.ru/api/getInfo/image/59f25198-f034-11ee-a25b-00155d82e908")</f>
        <v>https://miland.ru/api/getInfo/image/59f25198-f034-11ee-a25b-00155d82e908</v>
      </c>
      <c r="U1683" s="21"/>
      <c r="V1683" s="21"/>
      <c r="W1683" s="21" t="s">
        <v>879</v>
      </c>
      <c r="X1683" s="21" t="s">
        <v>172</v>
      </c>
      <c r="Y1683" s="21" t="s">
        <v>173</v>
      </c>
      <c r="Z1683" s="21" t="s">
        <v>5891</v>
      </c>
      <c r="AA1683" s="21" t="str">
        <f>HYPERLINK("https://miland.ru/api/getInfo/item/59f25198-f034-11ee-a25b-00155d82e908")</f>
        <v>https://miland.ru/api/getInfo/item/59f25198-f034-11ee-a25b-00155d82e908</v>
      </c>
      <c r="AB1683" s="21" t="s">
        <v>42</v>
      </c>
      <c r="AC1683" s="21" t="s">
        <v>4772</v>
      </c>
      <c r="AD1683" s="21"/>
    </row>
    <row r="1684" spans="2:31" ht="12" customHeight="1" outlineLevel="5">
      <c r="B1684" s="70" t="s">
        <v>5892</v>
      </c>
      <c r="C1684" s="70"/>
      <c r="D1684" s="70"/>
      <c r="E1684" s="70"/>
      <c r="F1684" s="70"/>
      <c r="G1684" s="70"/>
    </row>
    <row r="1685" spans="2:31" ht="12" customHeight="1" outlineLevel="6">
      <c r="B1685" s="70" t="s">
        <v>5893</v>
      </c>
      <c r="C1685" s="70"/>
      <c r="D1685" s="70"/>
      <c r="E1685" s="70"/>
      <c r="F1685" s="70"/>
      <c r="G1685" s="70"/>
    </row>
    <row r="1686" spans="2:31" ht="12" customHeight="1" outlineLevel="7">
      <c r="B1686" s="70" t="s">
        <v>5894</v>
      </c>
      <c r="C1686" s="70"/>
      <c r="D1686" s="70"/>
      <c r="E1686" s="70"/>
      <c r="F1686" s="70"/>
      <c r="G1686" s="70"/>
    </row>
    <row r="1687" spans="2:31" s="1" customFormat="1" ht="96.3" customHeight="1" outlineLevel="7">
      <c r="B1687" s="58">
        <v>1289</v>
      </c>
      <c r="C1687" s="7" t="s">
        <v>5895</v>
      </c>
      <c r="D1687" s="71" t="s">
        <v>5896</v>
      </c>
      <c r="E1687" s="71"/>
      <c r="F1687" s="71"/>
      <c r="G1687" s="71"/>
      <c r="H1687" s="8" t="s">
        <v>5897</v>
      </c>
      <c r="I1687" s="9" t="s">
        <v>36</v>
      </c>
      <c r="J1687" s="8"/>
      <c r="K1687" s="6">
        <v>5</v>
      </c>
      <c r="L1687" s="10">
        <v>49.33</v>
      </c>
      <c r="M1687" s="11"/>
      <c r="N1687" s="8">
        <f t="shared" ref="N1687:N1698" si="74">L1687*M1687</f>
        <v>0</v>
      </c>
      <c r="O1687" s="12">
        <f>0.015*M1687</f>
        <v>0</v>
      </c>
      <c r="P1687" s="13">
        <f>0.00007*M1687</f>
        <v>0</v>
      </c>
      <c r="Q1687" s="17" t="s">
        <v>37</v>
      </c>
      <c r="R1687" s="8" t="s">
        <v>5898</v>
      </c>
      <c r="S1687" s="8"/>
      <c r="T1687" s="7" t="str">
        <f>HYPERLINK("https://miland.ru/api/getInfo/image/072d8308-fd17-11f0-a28e-00155d82e908")</f>
        <v>https://miland.ru/api/getInfo/image/072d8308-fd17-11f0-a28e-00155d82e908</v>
      </c>
      <c r="U1687" s="7"/>
      <c r="V1687" s="7"/>
      <c r="W1687" s="7" t="s">
        <v>82</v>
      </c>
      <c r="X1687" s="7"/>
      <c r="Y1687" s="7" t="s">
        <v>41</v>
      </c>
      <c r="Z1687" s="7"/>
      <c r="AA1687" s="7" t="str">
        <f>HYPERLINK("https://miland.ru/api/getInfo/item/072d8308-fd17-11f0-a28e-00155d82e908")</f>
        <v>https://miland.ru/api/getInfo/item/072d8308-fd17-11f0-a28e-00155d82e908</v>
      </c>
      <c r="AB1687" s="7" t="s">
        <v>42</v>
      </c>
      <c r="AC1687" s="7"/>
      <c r="AD1687" s="7"/>
      <c r="AE1687" s="54"/>
    </row>
    <row r="1688" spans="2:31" s="1" customFormat="1" ht="96.3" customHeight="1" outlineLevel="7">
      <c r="B1688" s="57">
        <v>1290</v>
      </c>
      <c r="C1688" s="21" t="s">
        <v>5899</v>
      </c>
      <c r="D1688" s="72" t="s">
        <v>5900</v>
      </c>
      <c r="E1688" s="72"/>
      <c r="F1688" s="72"/>
      <c r="G1688" s="72"/>
      <c r="H1688" s="22" t="s">
        <v>5901</v>
      </c>
      <c r="I1688" s="23" t="s">
        <v>36</v>
      </c>
      <c r="J1688" s="22"/>
      <c r="K1688" s="20">
        <v>5</v>
      </c>
      <c r="L1688" s="24">
        <v>49.33</v>
      </c>
      <c r="M1688" s="11"/>
      <c r="N1688" s="22">
        <f t="shared" si="74"/>
        <v>0</v>
      </c>
      <c r="O1688" s="25">
        <f>0.023*M1688</f>
        <v>0</v>
      </c>
      <c r="P1688" s="26">
        <f>0.00005*M1688</f>
        <v>0</v>
      </c>
      <c r="Q1688" s="30"/>
      <c r="R1688" s="22" t="s">
        <v>5902</v>
      </c>
      <c r="S1688" s="22" t="s">
        <v>435</v>
      </c>
      <c r="T1688" s="21" t="str">
        <f>HYPERLINK("https://miland.ru/api/getInfo/image/e94753a1-bf68-11ee-a25a-00155d82e908")</f>
        <v>https://miland.ru/api/getInfo/image/e94753a1-bf68-11ee-a25a-00155d82e908</v>
      </c>
      <c r="U1688" s="21"/>
      <c r="V1688" s="21" t="s">
        <v>208</v>
      </c>
      <c r="W1688" s="21" t="s">
        <v>82</v>
      </c>
      <c r="X1688" s="21"/>
      <c r="Y1688" s="21" t="s">
        <v>41</v>
      </c>
      <c r="Z1688" s="21"/>
      <c r="AA1688" s="21" t="str">
        <f>HYPERLINK("https://miland.ru/api/getInfo/item/e94753a1-bf68-11ee-a25a-00155d82e908")</f>
        <v>https://miland.ru/api/getInfo/item/e94753a1-bf68-11ee-a25a-00155d82e908</v>
      </c>
      <c r="AB1688" s="21" t="s">
        <v>42</v>
      </c>
      <c r="AC1688" s="21" t="s">
        <v>5903</v>
      </c>
      <c r="AD1688" s="21"/>
    </row>
    <row r="1689" spans="2:31" s="1" customFormat="1" ht="96.3" customHeight="1" outlineLevel="7">
      <c r="B1689" s="58">
        <v>1291</v>
      </c>
      <c r="C1689" s="7" t="s">
        <v>5904</v>
      </c>
      <c r="D1689" s="71" t="s">
        <v>5905</v>
      </c>
      <c r="E1689" s="71"/>
      <c r="F1689" s="71"/>
      <c r="G1689" s="71"/>
      <c r="H1689" s="8" t="s">
        <v>5906</v>
      </c>
      <c r="I1689" s="9" t="s">
        <v>36</v>
      </c>
      <c r="J1689" s="8"/>
      <c r="K1689" s="6">
        <v>5</v>
      </c>
      <c r="L1689" s="10">
        <v>49.33</v>
      </c>
      <c r="M1689" s="11"/>
      <c r="N1689" s="8">
        <f t="shared" si="74"/>
        <v>0</v>
      </c>
      <c r="O1689" s="12">
        <f>0.015*M1689</f>
        <v>0</v>
      </c>
      <c r="P1689" s="13">
        <f>0.00038*M1689</f>
        <v>0</v>
      </c>
      <c r="Q1689" s="17" t="s">
        <v>37</v>
      </c>
      <c r="R1689" s="8" t="s">
        <v>5907</v>
      </c>
      <c r="S1689" s="8"/>
      <c r="T1689" s="7" t="str">
        <f>HYPERLINK("https://miland.ru/api/getInfo/image/471d0408-fd17-11f0-a28e-00155d82e908")</f>
        <v>https://miland.ru/api/getInfo/image/471d0408-fd17-11f0-a28e-00155d82e908</v>
      </c>
      <c r="U1689" s="7"/>
      <c r="V1689" s="7"/>
      <c r="W1689" s="7" t="s">
        <v>82</v>
      </c>
      <c r="X1689" s="7"/>
      <c r="Y1689" s="7" t="s">
        <v>41</v>
      </c>
      <c r="Z1689" s="7"/>
      <c r="AA1689" s="7" t="str">
        <f>HYPERLINK("https://miland.ru/api/getInfo/item/471d0408-fd17-11f0-a28e-00155d82e908")</f>
        <v>https://miland.ru/api/getInfo/item/471d0408-fd17-11f0-a28e-00155d82e908</v>
      </c>
      <c r="AB1689" s="7" t="s">
        <v>42</v>
      </c>
      <c r="AC1689" s="7"/>
      <c r="AD1689" s="7"/>
      <c r="AE1689" s="54"/>
    </row>
    <row r="1690" spans="2:31" s="1" customFormat="1" ht="96.3" customHeight="1" outlineLevel="7">
      <c r="B1690" s="57">
        <v>1292</v>
      </c>
      <c r="C1690" s="21" t="s">
        <v>5908</v>
      </c>
      <c r="D1690" s="72" t="s">
        <v>5909</v>
      </c>
      <c r="E1690" s="72"/>
      <c r="F1690" s="72"/>
      <c r="G1690" s="72"/>
      <c r="H1690" s="22" t="s">
        <v>5910</v>
      </c>
      <c r="I1690" s="23" t="s">
        <v>36</v>
      </c>
      <c r="J1690" s="22"/>
      <c r="K1690" s="20">
        <v>5</v>
      </c>
      <c r="L1690" s="24">
        <v>49.33</v>
      </c>
      <c r="M1690" s="11"/>
      <c r="N1690" s="22">
        <f t="shared" si="74"/>
        <v>0</v>
      </c>
      <c r="O1690" s="25">
        <f>0.024*M1690</f>
        <v>0</v>
      </c>
      <c r="P1690" s="26">
        <f>0.00014*M1690</f>
        <v>0</v>
      </c>
      <c r="Q1690" s="30"/>
      <c r="R1690" s="22" t="s">
        <v>5911</v>
      </c>
      <c r="S1690" s="22" t="s">
        <v>435</v>
      </c>
      <c r="T1690" s="21" t="str">
        <f>HYPERLINK("https://miland.ru/api/getInfo/image/2aa143f9-bf69-11ee-a25a-00155d82e908")</f>
        <v>https://miland.ru/api/getInfo/image/2aa143f9-bf69-11ee-a25a-00155d82e908</v>
      </c>
      <c r="U1690" s="21"/>
      <c r="V1690" s="21" t="s">
        <v>208</v>
      </c>
      <c r="W1690" s="21" t="s">
        <v>82</v>
      </c>
      <c r="X1690" s="21"/>
      <c r="Y1690" s="21" t="s">
        <v>41</v>
      </c>
      <c r="Z1690" s="21"/>
      <c r="AA1690" s="21" t="str">
        <f>HYPERLINK("https://miland.ru/api/getInfo/item/2aa143f9-bf69-11ee-a25a-00155d82e908")</f>
        <v>https://miland.ru/api/getInfo/item/2aa143f9-bf69-11ee-a25a-00155d82e908</v>
      </c>
      <c r="AB1690" s="21" t="s">
        <v>42</v>
      </c>
      <c r="AC1690" s="21" t="s">
        <v>5903</v>
      </c>
      <c r="AD1690" s="21"/>
    </row>
    <row r="1691" spans="2:31" s="1" customFormat="1" ht="96.3" customHeight="1" outlineLevel="7">
      <c r="B1691" s="58">
        <v>1293</v>
      </c>
      <c r="C1691" s="7" t="s">
        <v>5912</v>
      </c>
      <c r="D1691" s="71" t="s">
        <v>5913</v>
      </c>
      <c r="E1691" s="71"/>
      <c r="F1691" s="71"/>
      <c r="G1691" s="71"/>
      <c r="H1691" s="8" t="s">
        <v>5914</v>
      </c>
      <c r="I1691" s="9" t="s">
        <v>36</v>
      </c>
      <c r="J1691" s="8"/>
      <c r="K1691" s="6">
        <v>5</v>
      </c>
      <c r="L1691" s="10">
        <v>49.33</v>
      </c>
      <c r="M1691" s="11"/>
      <c r="N1691" s="8">
        <f t="shared" si="74"/>
        <v>0</v>
      </c>
      <c r="O1691" s="12">
        <f>0.017*M1691</f>
        <v>0</v>
      </c>
      <c r="P1691" s="13">
        <f>0.00012*M1691</f>
        <v>0</v>
      </c>
      <c r="Q1691" s="17" t="s">
        <v>37</v>
      </c>
      <c r="R1691" s="8" t="s">
        <v>5915</v>
      </c>
      <c r="S1691" s="8"/>
      <c r="T1691" s="7" t="str">
        <f>HYPERLINK("https://miland.ru/api/getInfo/image/3181a254-fd17-11f0-a28e-00155d82e908")</f>
        <v>https://miland.ru/api/getInfo/image/3181a254-fd17-11f0-a28e-00155d82e908</v>
      </c>
      <c r="U1691" s="7"/>
      <c r="V1691" s="7"/>
      <c r="W1691" s="7" t="s">
        <v>82</v>
      </c>
      <c r="X1691" s="7"/>
      <c r="Y1691" s="7" t="s">
        <v>41</v>
      </c>
      <c r="Z1691" s="7"/>
      <c r="AA1691" s="7" t="str">
        <f>HYPERLINK("https://miland.ru/api/getInfo/item/3181a254-fd17-11f0-a28e-00155d82e908")</f>
        <v>https://miland.ru/api/getInfo/item/3181a254-fd17-11f0-a28e-00155d82e908</v>
      </c>
      <c r="AB1691" s="7" t="s">
        <v>42</v>
      </c>
      <c r="AC1691" s="7"/>
      <c r="AD1691" s="7"/>
      <c r="AE1691" s="54"/>
    </row>
    <row r="1692" spans="2:31" s="1" customFormat="1" ht="96.3" customHeight="1" outlineLevel="7">
      <c r="B1692" s="57">
        <v>1294</v>
      </c>
      <c r="C1692" s="21" t="s">
        <v>5916</v>
      </c>
      <c r="D1692" s="72" t="s">
        <v>5917</v>
      </c>
      <c r="E1692" s="72"/>
      <c r="F1692" s="72"/>
      <c r="G1692" s="72"/>
      <c r="H1692" s="22" t="s">
        <v>5918</v>
      </c>
      <c r="I1692" s="23" t="s">
        <v>36</v>
      </c>
      <c r="J1692" s="22"/>
      <c r="K1692" s="20">
        <v>5</v>
      </c>
      <c r="L1692" s="24">
        <v>49.33</v>
      </c>
      <c r="M1692" s="11"/>
      <c r="N1692" s="22">
        <f t="shared" si="74"/>
        <v>0</v>
      </c>
      <c r="O1692" s="25">
        <f>0.022*M1692</f>
        <v>0</v>
      </c>
      <c r="P1692" s="26">
        <f>0.00009*M1692</f>
        <v>0</v>
      </c>
      <c r="Q1692" s="30"/>
      <c r="R1692" s="22" t="s">
        <v>5919</v>
      </c>
      <c r="S1692" s="22" t="s">
        <v>435</v>
      </c>
      <c r="T1692" s="21" t="str">
        <f>HYPERLINK("https://miland.ru/api/getInfo/image/d963e123-bf68-11ee-a25a-00155d82e908")</f>
        <v>https://miland.ru/api/getInfo/image/d963e123-bf68-11ee-a25a-00155d82e908</v>
      </c>
      <c r="U1692" s="21"/>
      <c r="V1692" s="21" t="s">
        <v>208</v>
      </c>
      <c r="W1692" s="21" t="s">
        <v>82</v>
      </c>
      <c r="X1692" s="21"/>
      <c r="Y1692" s="21" t="s">
        <v>41</v>
      </c>
      <c r="Z1692" s="21"/>
      <c r="AA1692" s="21" t="str">
        <f>HYPERLINK("https://miland.ru/api/getInfo/item/d963e123-bf68-11ee-a25a-00155d82e908")</f>
        <v>https://miland.ru/api/getInfo/item/d963e123-bf68-11ee-a25a-00155d82e908</v>
      </c>
      <c r="AB1692" s="21" t="s">
        <v>42</v>
      </c>
      <c r="AC1692" s="21" t="s">
        <v>5903</v>
      </c>
      <c r="AD1692" s="21"/>
    </row>
    <row r="1693" spans="2:31" s="1" customFormat="1" ht="96.3" customHeight="1" outlineLevel="7">
      <c r="B1693" s="57">
        <v>1295</v>
      </c>
      <c r="C1693" s="21" t="s">
        <v>5920</v>
      </c>
      <c r="D1693" s="72" t="s">
        <v>5921</v>
      </c>
      <c r="E1693" s="72"/>
      <c r="F1693" s="72"/>
      <c r="G1693" s="72"/>
      <c r="H1693" s="22" t="s">
        <v>5922</v>
      </c>
      <c r="I1693" s="23" t="s">
        <v>36</v>
      </c>
      <c r="J1693" s="22"/>
      <c r="K1693" s="20">
        <v>5</v>
      </c>
      <c r="L1693" s="24">
        <v>49.33</v>
      </c>
      <c r="M1693" s="11"/>
      <c r="N1693" s="22">
        <f t="shared" si="74"/>
        <v>0</v>
      </c>
      <c r="O1693" s="25">
        <f>0.022*M1693</f>
        <v>0</v>
      </c>
      <c r="P1693" s="26">
        <f>0.00019*M1693</f>
        <v>0</v>
      </c>
      <c r="Q1693" s="30"/>
      <c r="R1693" s="22" t="s">
        <v>5923</v>
      </c>
      <c r="S1693" s="22" t="s">
        <v>435</v>
      </c>
      <c r="T1693" s="21" t="str">
        <f>HYPERLINK("https://miland.ru/api/getInfo/image/3ad10204-bf69-11ee-a25a-00155d82e908")</f>
        <v>https://miland.ru/api/getInfo/image/3ad10204-bf69-11ee-a25a-00155d82e908</v>
      </c>
      <c r="U1693" s="21"/>
      <c r="V1693" s="21" t="s">
        <v>208</v>
      </c>
      <c r="W1693" s="21" t="s">
        <v>82</v>
      </c>
      <c r="X1693" s="21"/>
      <c r="Y1693" s="21" t="s">
        <v>41</v>
      </c>
      <c r="Z1693" s="21"/>
      <c r="AA1693" s="21" t="str">
        <f>HYPERLINK("https://miland.ru/api/getInfo/item/3ad10204-bf69-11ee-a25a-00155d82e908")</f>
        <v>https://miland.ru/api/getInfo/item/3ad10204-bf69-11ee-a25a-00155d82e908</v>
      </c>
      <c r="AB1693" s="21" t="s">
        <v>42</v>
      </c>
      <c r="AC1693" s="21" t="s">
        <v>5903</v>
      </c>
      <c r="AD1693" s="21"/>
    </row>
    <row r="1694" spans="2:31" s="1" customFormat="1" ht="96.3" customHeight="1" outlineLevel="7">
      <c r="B1694" s="58">
        <v>1296</v>
      </c>
      <c r="C1694" s="7" t="s">
        <v>5924</v>
      </c>
      <c r="D1694" s="71" t="s">
        <v>5925</v>
      </c>
      <c r="E1694" s="71"/>
      <c r="F1694" s="71"/>
      <c r="G1694" s="71"/>
      <c r="H1694" s="8" t="s">
        <v>5926</v>
      </c>
      <c r="I1694" s="9" t="s">
        <v>36</v>
      </c>
      <c r="J1694" s="8"/>
      <c r="K1694" s="6">
        <v>5</v>
      </c>
      <c r="L1694" s="10">
        <v>49.33</v>
      </c>
      <c r="M1694" s="11"/>
      <c r="N1694" s="8">
        <f t="shared" si="74"/>
        <v>0</v>
      </c>
      <c r="O1694" s="12">
        <f>0.014*M1694</f>
        <v>0</v>
      </c>
      <c r="P1694" s="13">
        <f>0.00014*M1694</f>
        <v>0</v>
      </c>
      <c r="Q1694" s="17" t="s">
        <v>37</v>
      </c>
      <c r="R1694" s="8" t="s">
        <v>5927</v>
      </c>
      <c r="S1694" s="8"/>
      <c r="T1694" s="7" t="str">
        <f>HYPERLINK("https://miland.ru/api/getInfo/image/1cc447d5-fd17-11f0-a28e-00155d82e908")</f>
        <v>https://miland.ru/api/getInfo/image/1cc447d5-fd17-11f0-a28e-00155d82e908</v>
      </c>
      <c r="U1694" s="7"/>
      <c r="V1694" s="7"/>
      <c r="W1694" s="7" t="s">
        <v>82</v>
      </c>
      <c r="X1694" s="7"/>
      <c r="Y1694" s="7" t="s">
        <v>41</v>
      </c>
      <c r="Z1694" s="7"/>
      <c r="AA1694" s="7" t="str">
        <f>HYPERLINK("https://miland.ru/api/getInfo/item/1cc447d5-fd17-11f0-a28e-00155d82e908")</f>
        <v>https://miland.ru/api/getInfo/item/1cc447d5-fd17-11f0-a28e-00155d82e908</v>
      </c>
      <c r="AB1694" s="7" t="s">
        <v>42</v>
      </c>
      <c r="AC1694" s="7"/>
      <c r="AD1694" s="7"/>
      <c r="AE1694" s="54"/>
    </row>
    <row r="1695" spans="2:31" s="1" customFormat="1" ht="96.3" customHeight="1" outlineLevel="7">
      <c r="B1695" s="57">
        <v>1297</v>
      </c>
      <c r="C1695" s="21" t="s">
        <v>5928</v>
      </c>
      <c r="D1695" s="72" t="s">
        <v>5929</v>
      </c>
      <c r="E1695" s="72"/>
      <c r="F1695" s="72"/>
      <c r="G1695" s="72"/>
      <c r="H1695" s="22" t="s">
        <v>5930</v>
      </c>
      <c r="I1695" s="23" t="s">
        <v>36</v>
      </c>
      <c r="J1695" s="22"/>
      <c r="K1695" s="20">
        <v>5</v>
      </c>
      <c r="L1695" s="24">
        <v>49.33</v>
      </c>
      <c r="M1695" s="11"/>
      <c r="N1695" s="22">
        <f t="shared" si="74"/>
        <v>0</v>
      </c>
      <c r="O1695" s="25">
        <f>0.036*M1695</f>
        <v>0</v>
      </c>
      <c r="P1695" s="26">
        <f>0.00014*M1695</f>
        <v>0</v>
      </c>
      <c r="Q1695" s="30"/>
      <c r="R1695" s="22" t="s">
        <v>5931</v>
      </c>
      <c r="S1695" s="22" t="s">
        <v>435</v>
      </c>
      <c r="T1695" s="21" t="str">
        <f>HYPERLINK("https://miland.ru/api/getInfo/image/e7b53e61-d956-11ef-a273-00155d82e908")</f>
        <v>https://miland.ru/api/getInfo/image/e7b53e61-d956-11ef-a273-00155d82e908</v>
      </c>
      <c r="U1695" s="21"/>
      <c r="V1695" s="21" t="s">
        <v>208</v>
      </c>
      <c r="W1695" s="21" t="s">
        <v>82</v>
      </c>
      <c r="X1695" s="21"/>
      <c r="Y1695" s="21" t="s">
        <v>41</v>
      </c>
      <c r="Z1695" s="21"/>
      <c r="AA1695" s="21" t="str">
        <f>HYPERLINK("https://miland.ru/api/getInfo/item/e7b53e61-d956-11ef-a273-00155d82e908")</f>
        <v>https://miland.ru/api/getInfo/item/e7b53e61-d956-11ef-a273-00155d82e908</v>
      </c>
      <c r="AB1695" s="21" t="s">
        <v>42</v>
      </c>
      <c r="AC1695" s="21"/>
      <c r="AD1695" s="21"/>
    </row>
    <row r="1696" spans="2:31" s="1" customFormat="1" ht="96.3" customHeight="1" outlineLevel="7">
      <c r="B1696" s="57">
        <v>1298</v>
      </c>
      <c r="C1696" s="21" t="s">
        <v>5932</v>
      </c>
      <c r="D1696" s="72" t="s">
        <v>5933</v>
      </c>
      <c r="E1696" s="72"/>
      <c r="F1696" s="72"/>
      <c r="G1696" s="72"/>
      <c r="H1696" s="22" t="s">
        <v>5934</v>
      </c>
      <c r="I1696" s="23" t="s">
        <v>36</v>
      </c>
      <c r="J1696" s="22"/>
      <c r="K1696" s="20">
        <v>5</v>
      </c>
      <c r="L1696" s="24">
        <v>49.33</v>
      </c>
      <c r="M1696" s="11"/>
      <c r="N1696" s="22">
        <f t="shared" si="74"/>
        <v>0</v>
      </c>
      <c r="O1696" s="28">
        <f>0.02*M1696</f>
        <v>0</v>
      </c>
      <c r="P1696" s="26">
        <f>0.00034*M1696</f>
        <v>0</v>
      </c>
      <c r="Q1696" s="30"/>
      <c r="R1696" s="22" t="s">
        <v>5935</v>
      </c>
      <c r="S1696" s="22" t="s">
        <v>435</v>
      </c>
      <c r="T1696" s="21" t="str">
        <f>HYPERLINK("https://miland.ru/api/getInfo/image/cd7b0729-d956-11ef-a273-00155d82e908")</f>
        <v>https://miland.ru/api/getInfo/image/cd7b0729-d956-11ef-a273-00155d82e908</v>
      </c>
      <c r="U1696" s="21"/>
      <c r="V1696" s="21" t="s">
        <v>208</v>
      </c>
      <c r="W1696" s="21" t="s">
        <v>82</v>
      </c>
      <c r="X1696" s="21"/>
      <c r="Y1696" s="21" t="s">
        <v>41</v>
      </c>
      <c r="Z1696" s="21"/>
      <c r="AA1696" s="21" t="str">
        <f>HYPERLINK("https://miland.ru/api/getInfo/item/cd7b0729-d956-11ef-a273-00155d82e908")</f>
        <v>https://miland.ru/api/getInfo/item/cd7b0729-d956-11ef-a273-00155d82e908</v>
      </c>
      <c r="AB1696" s="21" t="s">
        <v>42</v>
      </c>
      <c r="AC1696" s="21"/>
      <c r="AD1696" s="21"/>
    </row>
    <row r="1697" spans="2:31" s="1" customFormat="1" ht="96.3" customHeight="1" outlineLevel="7">
      <c r="B1697" s="57">
        <v>1299</v>
      </c>
      <c r="C1697" s="21" t="s">
        <v>5936</v>
      </c>
      <c r="D1697" s="72" t="s">
        <v>5937</v>
      </c>
      <c r="E1697" s="72"/>
      <c r="F1697" s="72"/>
      <c r="G1697" s="72"/>
      <c r="H1697" s="22" t="s">
        <v>5938</v>
      </c>
      <c r="I1697" s="23" t="s">
        <v>36</v>
      </c>
      <c r="J1697" s="22"/>
      <c r="K1697" s="20">
        <v>5</v>
      </c>
      <c r="L1697" s="24">
        <v>49.33</v>
      </c>
      <c r="M1697" s="11"/>
      <c r="N1697" s="22">
        <f t="shared" si="74"/>
        <v>0</v>
      </c>
      <c r="O1697" s="25">
        <f>0.013*M1697</f>
        <v>0</v>
      </c>
      <c r="P1697" s="26">
        <f>0.00005*M1697</f>
        <v>0</v>
      </c>
      <c r="Q1697" s="30"/>
      <c r="R1697" s="22" t="s">
        <v>5939</v>
      </c>
      <c r="S1697" s="22" t="s">
        <v>435</v>
      </c>
      <c r="T1697" s="21" t="str">
        <f>HYPERLINK("https://miland.ru/api/getInfo/image/1ee8fa20-d957-11ef-a273-00155d82e908")</f>
        <v>https://miland.ru/api/getInfo/image/1ee8fa20-d957-11ef-a273-00155d82e908</v>
      </c>
      <c r="U1697" s="21"/>
      <c r="V1697" s="21" t="s">
        <v>208</v>
      </c>
      <c r="W1697" s="21" t="s">
        <v>82</v>
      </c>
      <c r="X1697" s="21"/>
      <c r="Y1697" s="21" t="s">
        <v>41</v>
      </c>
      <c r="Z1697" s="21"/>
      <c r="AA1697" s="21" t="str">
        <f>HYPERLINK("https://miland.ru/api/getInfo/item/1ee8fa20-d957-11ef-a273-00155d82e908")</f>
        <v>https://miland.ru/api/getInfo/item/1ee8fa20-d957-11ef-a273-00155d82e908</v>
      </c>
      <c r="AB1697" s="21" t="s">
        <v>42</v>
      </c>
      <c r="AC1697" s="21"/>
      <c r="AD1697" s="21"/>
    </row>
    <row r="1698" spans="2:31" s="1" customFormat="1" ht="96.3" customHeight="1" outlineLevel="7">
      <c r="B1698" s="57">
        <v>1300</v>
      </c>
      <c r="C1698" s="21" t="s">
        <v>5940</v>
      </c>
      <c r="D1698" s="72" t="s">
        <v>5941</v>
      </c>
      <c r="E1698" s="72"/>
      <c r="F1698" s="72"/>
      <c r="G1698" s="72"/>
      <c r="H1698" s="22" t="s">
        <v>5942</v>
      </c>
      <c r="I1698" s="23" t="s">
        <v>36</v>
      </c>
      <c r="J1698" s="22"/>
      <c r="K1698" s="20">
        <v>5</v>
      </c>
      <c r="L1698" s="24">
        <v>49.33</v>
      </c>
      <c r="M1698" s="11"/>
      <c r="N1698" s="22">
        <f t="shared" si="74"/>
        <v>0</v>
      </c>
      <c r="O1698" s="25">
        <f>0.018*M1698</f>
        <v>0</v>
      </c>
      <c r="P1698" s="26">
        <f>0.00047*M1698</f>
        <v>0</v>
      </c>
      <c r="Q1698" s="30"/>
      <c r="R1698" s="22" t="s">
        <v>5943</v>
      </c>
      <c r="S1698" s="22" t="s">
        <v>435</v>
      </c>
      <c r="T1698" s="21" t="str">
        <f>HYPERLINK("https://miland.ru/api/getInfo/image/41083611-d957-11ef-a273-00155d82e908")</f>
        <v>https://miland.ru/api/getInfo/image/41083611-d957-11ef-a273-00155d82e908</v>
      </c>
      <c r="U1698" s="21"/>
      <c r="V1698" s="21" t="s">
        <v>208</v>
      </c>
      <c r="W1698" s="21" t="s">
        <v>82</v>
      </c>
      <c r="X1698" s="21"/>
      <c r="Y1698" s="21" t="s">
        <v>41</v>
      </c>
      <c r="Z1698" s="21"/>
      <c r="AA1698" s="21" t="str">
        <f>HYPERLINK("https://miland.ru/api/getInfo/item/41083611-d957-11ef-a273-00155d82e908")</f>
        <v>https://miland.ru/api/getInfo/item/41083611-d957-11ef-a273-00155d82e908</v>
      </c>
      <c r="AB1698" s="21" t="s">
        <v>42</v>
      </c>
      <c r="AC1698" s="21"/>
      <c r="AD1698" s="21"/>
    </row>
    <row r="1699" spans="2:31" ht="12" customHeight="1" outlineLevel="7">
      <c r="B1699" s="70" t="s">
        <v>5944</v>
      </c>
      <c r="C1699" s="70"/>
      <c r="D1699" s="70"/>
      <c r="E1699" s="70"/>
      <c r="F1699" s="70"/>
      <c r="G1699" s="70"/>
    </row>
    <row r="1700" spans="2:31" s="1" customFormat="1" ht="96.3" customHeight="1" outlineLevel="7">
      <c r="B1700" s="58">
        <v>1301</v>
      </c>
      <c r="C1700" s="7" t="s">
        <v>5945</v>
      </c>
      <c r="D1700" s="71" t="s">
        <v>5946</v>
      </c>
      <c r="E1700" s="71"/>
      <c r="F1700" s="71"/>
      <c r="G1700" s="71"/>
      <c r="H1700" s="8" t="s">
        <v>5947</v>
      </c>
      <c r="I1700" s="9" t="s">
        <v>36</v>
      </c>
      <c r="J1700" s="8"/>
      <c r="K1700" s="6">
        <v>5</v>
      </c>
      <c r="L1700" s="10">
        <v>46.87</v>
      </c>
      <c r="M1700" s="11"/>
      <c r="N1700" s="8">
        <f t="shared" ref="N1700:N1710" si="75">L1700*M1700</f>
        <v>0</v>
      </c>
      <c r="O1700" s="12">
        <f>0.018*M1700</f>
        <v>0</v>
      </c>
      <c r="P1700" s="13">
        <f>0.00037*M1700</f>
        <v>0</v>
      </c>
      <c r="Q1700" s="17" t="s">
        <v>37</v>
      </c>
      <c r="R1700" s="8" t="s">
        <v>5948</v>
      </c>
      <c r="S1700" s="8"/>
      <c r="T1700" s="7" t="str">
        <f>HYPERLINK("https://miland.ru/api/getInfo/image/5b091aef-fd17-11f0-a28e-00155d82e908")</f>
        <v>https://miland.ru/api/getInfo/image/5b091aef-fd17-11f0-a28e-00155d82e908</v>
      </c>
      <c r="U1700" s="7"/>
      <c r="V1700" s="7"/>
      <c r="W1700" s="7" t="s">
        <v>82</v>
      </c>
      <c r="X1700" s="7"/>
      <c r="Y1700" s="7" t="s">
        <v>41</v>
      </c>
      <c r="Z1700" s="7"/>
      <c r="AA1700" s="7" t="str">
        <f>HYPERLINK("https://miland.ru/api/getInfo/item/5b091aef-fd17-11f0-a28e-00155d82e908")</f>
        <v>https://miland.ru/api/getInfo/item/5b091aef-fd17-11f0-a28e-00155d82e908</v>
      </c>
      <c r="AB1700" s="7" t="s">
        <v>42</v>
      </c>
      <c r="AC1700" s="7"/>
      <c r="AD1700" s="7"/>
      <c r="AE1700" s="54"/>
    </row>
    <row r="1701" spans="2:31" s="1" customFormat="1" ht="96.3" customHeight="1" outlineLevel="7">
      <c r="B1701" s="58">
        <v>1302</v>
      </c>
      <c r="C1701" s="7" t="s">
        <v>5949</v>
      </c>
      <c r="D1701" s="71" t="s">
        <v>5950</v>
      </c>
      <c r="E1701" s="71"/>
      <c r="F1701" s="71"/>
      <c r="G1701" s="71"/>
      <c r="H1701" s="8" t="s">
        <v>5951</v>
      </c>
      <c r="I1701" s="9" t="s">
        <v>36</v>
      </c>
      <c r="J1701" s="8"/>
      <c r="K1701" s="6">
        <v>5</v>
      </c>
      <c r="L1701" s="10">
        <v>46.87</v>
      </c>
      <c r="M1701" s="11"/>
      <c r="N1701" s="8">
        <f t="shared" si="75"/>
        <v>0</v>
      </c>
      <c r="O1701" s="12">
        <f>0.016*M1701</f>
        <v>0</v>
      </c>
      <c r="P1701" s="13">
        <f>0.00022*M1701</f>
        <v>0</v>
      </c>
      <c r="Q1701" s="17" t="s">
        <v>37</v>
      </c>
      <c r="R1701" s="8" t="s">
        <v>5952</v>
      </c>
      <c r="S1701" s="8"/>
      <c r="T1701" s="7" t="str">
        <f>HYPERLINK("https://miland.ru/api/getInfo/image/af494060-fd17-11f0-a28e-00155d82e908")</f>
        <v>https://miland.ru/api/getInfo/image/af494060-fd17-11f0-a28e-00155d82e908</v>
      </c>
      <c r="U1701" s="7"/>
      <c r="V1701" s="7"/>
      <c r="W1701" s="7" t="s">
        <v>82</v>
      </c>
      <c r="X1701" s="7"/>
      <c r="Y1701" s="7" t="s">
        <v>41</v>
      </c>
      <c r="Z1701" s="7"/>
      <c r="AA1701" s="7" t="str">
        <f>HYPERLINK("https://miland.ru/api/getInfo/item/af494060-fd17-11f0-a28e-00155d82e908")</f>
        <v>https://miland.ru/api/getInfo/item/af494060-fd17-11f0-a28e-00155d82e908</v>
      </c>
      <c r="AB1701" s="7" t="s">
        <v>42</v>
      </c>
      <c r="AC1701" s="7"/>
      <c r="AD1701" s="7"/>
      <c r="AE1701" s="54"/>
    </row>
    <row r="1702" spans="2:31" s="1" customFormat="1" ht="96.3" customHeight="1" outlineLevel="7">
      <c r="B1702" s="57">
        <v>1303</v>
      </c>
      <c r="C1702" s="21" t="s">
        <v>5953</v>
      </c>
      <c r="D1702" s="72" t="s">
        <v>5954</v>
      </c>
      <c r="E1702" s="72"/>
      <c r="F1702" s="72"/>
      <c r="G1702" s="72"/>
      <c r="H1702" s="22" t="s">
        <v>5955</v>
      </c>
      <c r="I1702" s="23" t="s">
        <v>36</v>
      </c>
      <c r="J1702" s="22"/>
      <c r="K1702" s="20">
        <v>5</v>
      </c>
      <c r="L1702" s="24">
        <v>46.87</v>
      </c>
      <c r="M1702" s="11"/>
      <c r="N1702" s="22">
        <f t="shared" si="75"/>
        <v>0</v>
      </c>
      <c r="O1702" s="25">
        <f>0.017*M1702</f>
        <v>0</v>
      </c>
      <c r="P1702" s="26">
        <f>0.00005*M1702</f>
        <v>0</v>
      </c>
      <c r="Q1702" s="30"/>
      <c r="R1702" s="22" t="s">
        <v>5956</v>
      </c>
      <c r="S1702" s="22"/>
      <c r="T1702" s="21" t="str">
        <f>HYPERLINK("https://miland.ru/api/getInfo/image/6313528d-d956-11ef-a273-00155d82e908")</f>
        <v>https://miland.ru/api/getInfo/image/6313528d-d956-11ef-a273-00155d82e908</v>
      </c>
      <c r="U1702" s="21"/>
      <c r="V1702" s="21" t="s">
        <v>208</v>
      </c>
      <c r="W1702" s="21" t="s">
        <v>82</v>
      </c>
      <c r="X1702" s="21"/>
      <c r="Y1702" s="21" t="s">
        <v>41</v>
      </c>
      <c r="Z1702" s="21"/>
      <c r="AA1702" s="21" t="str">
        <f>HYPERLINK("https://miland.ru/api/getInfo/item/6313528d-d956-11ef-a273-00155d82e908")</f>
        <v>https://miland.ru/api/getInfo/item/6313528d-d956-11ef-a273-00155d82e908</v>
      </c>
      <c r="AB1702" s="21" t="s">
        <v>42</v>
      </c>
      <c r="AC1702" s="21"/>
      <c r="AD1702" s="21"/>
    </row>
    <row r="1703" spans="2:31" s="1" customFormat="1" ht="96.3" customHeight="1" outlineLevel="7">
      <c r="B1703" s="57">
        <v>1304</v>
      </c>
      <c r="C1703" s="21" t="s">
        <v>5957</v>
      </c>
      <c r="D1703" s="72" t="s">
        <v>5958</v>
      </c>
      <c r="E1703" s="72"/>
      <c r="F1703" s="72"/>
      <c r="G1703" s="72"/>
      <c r="H1703" s="22" t="s">
        <v>5959</v>
      </c>
      <c r="I1703" s="23" t="s">
        <v>36</v>
      </c>
      <c r="J1703" s="22"/>
      <c r="K1703" s="20">
        <v>5</v>
      </c>
      <c r="L1703" s="24">
        <v>46.87</v>
      </c>
      <c r="M1703" s="11"/>
      <c r="N1703" s="22">
        <f t="shared" si="75"/>
        <v>0</v>
      </c>
      <c r="O1703" s="25">
        <f>0.022*M1703</f>
        <v>0</v>
      </c>
      <c r="P1703" s="26">
        <f>0.00026*M1703</f>
        <v>0</v>
      </c>
      <c r="Q1703" s="30"/>
      <c r="R1703" s="22" t="s">
        <v>5960</v>
      </c>
      <c r="S1703" s="22" t="s">
        <v>435</v>
      </c>
      <c r="T1703" s="21" t="str">
        <f>HYPERLINK("https://miland.ru/api/getInfo/image/c56e896e-bf68-11ee-a25a-00155d82e908")</f>
        <v>https://miland.ru/api/getInfo/image/c56e896e-bf68-11ee-a25a-00155d82e908</v>
      </c>
      <c r="U1703" s="21"/>
      <c r="V1703" s="21" t="s">
        <v>208</v>
      </c>
      <c r="W1703" s="21" t="s">
        <v>82</v>
      </c>
      <c r="X1703" s="21"/>
      <c r="Y1703" s="21" t="s">
        <v>41</v>
      </c>
      <c r="Z1703" s="21"/>
      <c r="AA1703" s="21" t="str">
        <f>HYPERLINK("https://miland.ru/api/getInfo/item/c56e896e-bf68-11ee-a25a-00155d82e908")</f>
        <v>https://miland.ru/api/getInfo/item/c56e896e-bf68-11ee-a25a-00155d82e908</v>
      </c>
      <c r="AB1703" s="21" t="s">
        <v>42</v>
      </c>
      <c r="AC1703" s="21" t="s">
        <v>5961</v>
      </c>
      <c r="AD1703" s="21"/>
    </row>
    <row r="1704" spans="2:31" s="1" customFormat="1" ht="96.3" customHeight="1" outlineLevel="7">
      <c r="B1704" s="57">
        <v>1305</v>
      </c>
      <c r="C1704" s="21" t="s">
        <v>5962</v>
      </c>
      <c r="D1704" s="72" t="s">
        <v>5963</v>
      </c>
      <c r="E1704" s="72"/>
      <c r="F1704" s="72"/>
      <c r="G1704" s="72"/>
      <c r="H1704" s="22" t="s">
        <v>5964</v>
      </c>
      <c r="I1704" s="23" t="s">
        <v>36</v>
      </c>
      <c r="J1704" s="22"/>
      <c r="K1704" s="20">
        <v>5</v>
      </c>
      <c r="L1704" s="24">
        <v>46.87</v>
      </c>
      <c r="M1704" s="11"/>
      <c r="N1704" s="22">
        <f t="shared" si="75"/>
        <v>0</v>
      </c>
      <c r="O1704" s="25">
        <f>0.021*M1704</f>
        <v>0</v>
      </c>
      <c r="P1704" s="26">
        <f>0.00014*M1704</f>
        <v>0</v>
      </c>
      <c r="Q1704" s="30"/>
      <c r="R1704" s="22" t="s">
        <v>5965</v>
      </c>
      <c r="S1704" s="22" t="s">
        <v>435</v>
      </c>
      <c r="T1704" s="21" t="str">
        <f>HYPERLINK("https://miland.ru/api/getInfo/image/cac55d50-d955-11ef-a273-00155d82e908")</f>
        <v>https://miland.ru/api/getInfo/image/cac55d50-d955-11ef-a273-00155d82e908</v>
      </c>
      <c r="U1704" s="21"/>
      <c r="V1704" s="21" t="s">
        <v>208</v>
      </c>
      <c r="W1704" s="21" t="s">
        <v>82</v>
      </c>
      <c r="X1704" s="21"/>
      <c r="Y1704" s="21" t="s">
        <v>41</v>
      </c>
      <c r="Z1704" s="21"/>
      <c r="AA1704" s="21" t="str">
        <f>HYPERLINK("https://miland.ru/api/getInfo/item/cac55d50-d955-11ef-a273-00155d82e908")</f>
        <v>https://miland.ru/api/getInfo/item/cac55d50-d955-11ef-a273-00155d82e908</v>
      </c>
      <c r="AB1704" s="21" t="s">
        <v>42</v>
      </c>
      <c r="AC1704" s="21"/>
      <c r="AD1704" s="21"/>
    </row>
    <row r="1705" spans="2:31" s="1" customFormat="1" ht="96.3" customHeight="1" outlineLevel="7">
      <c r="B1705" s="57">
        <v>1306</v>
      </c>
      <c r="C1705" s="21" t="s">
        <v>5966</v>
      </c>
      <c r="D1705" s="72" t="s">
        <v>5967</v>
      </c>
      <c r="E1705" s="72"/>
      <c r="F1705" s="72"/>
      <c r="G1705" s="72"/>
      <c r="H1705" s="22" t="s">
        <v>5968</v>
      </c>
      <c r="I1705" s="23" t="s">
        <v>36</v>
      </c>
      <c r="J1705" s="22"/>
      <c r="K1705" s="20">
        <v>5</v>
      </c>
      <c r="L1705" s="24">
        <v>46.87</v>
      </c>
      <c r="M1705" s="11"/>
      <c r="N1705" s="22">
        <f t="shared" si="75"/>
        <v>0</v>
      </c>
      <c r="O1705" s="25">
        <f>0.021*M1705</f>
        <v>0</v>
      </c>
      <c r="P1705" s="26">
        <f>0.00018*M1705</f>
        <v>0</v>
      </c>
      <c r="Q1705" s="30"/>
      <c r="R1705" s="22" t="s">
        <v>5969</v>
      </c>
      <c r="S1705" s="22" t="s">
        <v>435</v>
      </c>
      <c r="T1705" s="21" t="str">
        <f>HYPERLINK("https://miland.ru/api/getInfo/image/b50cba0f-bf68-11ee-a25a-00155d82e908")</f>
        <v>https://miland.ru/api/getInfo/image/b50cba0f-bf68-11ee-a25a-00155d82e908</v>
      </c>
      <c r="U1705" s="21"/>
      <c r="V1705" s="21" t="s">
        <v>208</v>
      </c>
      <c r="W1705" s="21" t="s">
        <v>82</v>
      </c>
      <c r="X1705" s="21"/>
      <c r="Y1705" s="21" t="s">
        <v>41</v>
      </c>
      <c r="Z1705" s="21"/>
      <c r="AA1705" s="21" t="str">
        <f>HYPERLINK("https://miland.ru/api/getInfo/item/b50cba0f-bf68-11ee-a25a-00155d82e908")</f>
        <v>https://miland.ru/api/getInfo/item/b50cba0f-bf68-11ee-a25a-00155d82e908</v>
      </c>
      <c r="AB1705" s="21" t="s">
        <v>42</v>
      </c>
      <c r="AC1705" s="21" t="s">
        <v>5961</v>
      </c>
      <c r="AD1705" s="21"/>
    </row>
    <row r="1706" spans="2:31" s="1" customFormat="1" ht="96.3" customHeight="1" outlineLevel="7">
      <c r="B1706" s="58">
        <v>1307</v>
      </c>
      <c r="C1706" s="7" t="s">
        <v>5970</v>
      </c>
      <c r="D1706" s="71" t="s">
        <v>5971</v>
      </c>
      <c r="E1706" s="71"/>
      <c r="F1706" s="71"/>
      <c r="G1706" s="71"/>
      <c r="H1706" s="8" t="s">
        <v>5972</v>
      </c>
      <c r="I1706" s="9" t="s">
        <v>36</v>
      </c>
      <c r="J1706" s="8"/>
      <c r="K1706" s="6">
        <v>5</v>
      </c>
      <c r="L1706" s="10">
        <v>46.87</v>
      </c>
      <c r="M1706" s="11"/>
      <c r="N1706" s="8">
        <f t="shared" si="75"/>
        <v>0</v>
      </c>
      <c r="O1706" s="12">
        <f>0.018*M1706</f>
        <v>0</v>
      </c>
      <c r="P1706" s="13">
        <f>0.00007*M1706</f>
        <v>0</v>
      </c>
      <c r="Q1706" s="17" t="s">
        <v>37</v>
      </c>
      <c r="R1706" s="8" t="s">
        <v>5973</v>
      </c>
      <c r="S1706" s="8"/>
      <c r="T1706" s="7" t="str">
        <f>HYPERLINK("https://miland.ru/api/getInfo/image/8bcc44fe-fd17-11f0-a28e-00155d82e908")</f>
        <v>https://miland.ru/api/getInfo/image/8bcc44fe-fd17-11f0-a28e-00155d82e908</v>
      </c>
      <c r="U1706" s="7"/>
      <c r="V1706" s="7"/>
      <c r="W1706" s="7" t="s">
        <v>82</v>
      </c>
      <c r="X1706" s="7"/>
      <c r="Y1706" s="7" t="s">
        <v>41</v>
      </c>
      <c r="Z1706" s="7"/>
      <c r="AA1706" s="7" t="str">
        <f>HYPERLINK("https://miland.ru/api/getInfo/item/8bcc44fe-fd17-11f0-a28e-00155d82e908")</f>
        <v>https://miland.ru/api/getInfo/item/8bcc44fe-fd17-11f0-a28e-00155d82e908</v>
      </c>
      <c r="AB1706" s="7" t="s">
        <v>42</v>
      </c>
      <c r="AC1706" s="7"/>
      <c r="AD1706" s="7"/>
      <c r="AE1706" s="54"/>
    </row>
    <row r="1707" spans="2:31" s="1" customFormat="1" ht="96.3" customHeight="1" outlineLevel="7">
      <c r="B1707" s="57">
        <v>1308</v>
      </c>
      <c r="C1707" s="21" t="s">
        <v>5974</v>
      </c>
      <c r="D1707" s="72" t="s">
        <v>5975</v>
      </c>
      <c r="E1707" s="72"/>
      <c r="F1707" s="72"/>
      <c r="G1707" s="72"/>
      <c r="H1707" s="22" t="s">
        <v>5976</v>
      </c>
      <c r="I1707" s="23" t="s">
        <v>36</v>
      </c>
      <c r="J1707" s="22"/>
      <c r="K1707" s="20">
        <v>5</v>
      </c>
      <c r="L1707" s="24">
        <v>46.87</v>
      </c>
      <c r="M1707" s="11"/>
      <c r="N1707" s="22">
        <f t="shared" si="75"/>
        <v>0</v>
      </c>
      <c r="O1707" s="25">
        <f>0.018*M1707</f>
        <v>0</v>
      </c>
      <c r="P1707" s="26">
        <f>0.00009*M1707</f>
        <v>0</v>
      </c>
      <c r="Q1707" s="30"/>
      <c r="R1707" s="22" t="s">
        <v>5977</v>
      </c>
      <c r="S1707" s="22"/>
      <c r="T1707" s="21" t="str">
        <f>HYPERLINK("https://miland.ru/api/getInfo/image/4b7bdaec-d956-11ef-a273-00155d82e908")</f>
        <v>https://miland.ru/api/getInfo/image/4b7bdaec-d956-11ef-a273-00155d82e908</v>
      </c>
      <c r="U1707" s="21"/>
      <c r="V1707" s="21" t="s">
        <v>208</v>
      </c>
      <c r="W1707" s="21" t="s">
        <v>82</v>
      </c>
      <c r="X1707" s="21"/>
      <c r="Y1707" s="21" t="s">
        <v>41</v>
      </c>
      <c r="Z1707" s="21"/>
      <c r="AA1707" s="21" t="str">
        <f>HYPERLINK("https://miland.ru/api/getInfo/item/4b7bdaec-d956-11ef-a273-00155d82e908")</f>
        <v>https://miland.ru/api/getInfo/item/4b7bdaec-d956-11ef-a273-00155d82e908</v>
      </c>
      <c r="AB1707" s="21" t="s">
        <v>42</v>
      </c>
      <c r="AC1707" s="21"/>
      <c r="AD1707" s="21"/>
    </row>
    <row r="1708" spans="2:31" s="1" customFormat="1" ht="96.3" customHeight="1" outlineLevel="7">
      <c r="B1708" s="58">
        <v>1309</v>
      </c>
      <c r="C1708" s="7" t="s">
        <v>5978</v>
      </c>
      <c r="D1708" s="71" t="s">
        <v>5979</v>
      </c>
      <c r="E1708" s="71"/>
      <c r="F1708" s="71"/>
      <c r="G1708" s="71"/>
      <c r="H1708" s="8" t="s">
        <v>5980</v>
      </c>
      <c r="I1708" s="9" t="s">
        <v>36</v>
      </c>
      <c r="J1708" s="8"/>
      <c r="K1708" s="6">
        <v>5</v>
      </c>
      <c r="L1708" s="10">
        <v>46.87</v>
      </c>
      <c r="M1708" s="11"/>
      <c r="N1708" s="8">
        <f t="shared" si="75"/>
        <v>0</v>
      </c>
      <c r="O1708" s="12">
        <f>0.017*M1708</f>
        <v>0</v>
      </c>
      <c r="P1708" s="13">
        <f>0.00023*M1708</f>
        <v>0</v>
      </c>
      <c r="Q1708" s="17" t="s">
        <v>37</v>
      </c>
      <c r="R1708" s="8" t="s">
        <v>5981</v>
      </c>
      <c r="S1708" s="8"/>
      <c r="T1708" s="7" t="str">
        <f>HYPERLINK("https://miland.ru/api/getInfo/image/7693c8f2-fd17-11f0-a28e-00155d82e908")</f>
        <v>https://miland.ru/api/getInfo/image/7693c8f2-fd17-11f0-a28e-00155d82e908</v>
      </c>
      <c r="U1708" s="7"/>
      <c r="V1708" s="7"/>
      <c r="W1708" s="7" t="s">
        <v>82</v>
      </c>
      <c r="X1708" s="7"/>
      <c r="Y1708" s="7" t="s">
        <v>41</v>
      </c>
      <c r="Z1708" s="7"/>
      <c r="AA1708" s="7" t="str">
        <f>HYPERLINK("https://miland.ru/api/getInfo/item/7693c8f2-fd17-11f0-a28e-00155d82e908")</f>
        <v>https://miland.ru/api/getInfo/item/7693c8f2-fd17-11f0-a28e-00155d82e908</v>
      </c>
      <c r="AB1708" s="7" t="s">
        <v>42</v>
      </c>
      <c r="AC1708" s="7"/>
      <c r="AD1708" s="7"/>
      <c r="AE1708" s="54"/>
    </row>
    <row r="1709" spans="2:31" s="1" customFormat="1" ht="96.3" customHeight="1" outlineLevel="7">
      <c r="B1709" s="57">
        <v>1310</v>
      </c>
      <c r="C1709" s="21" t="s">
        <v>5982</v>
      </c>
      <c r="D1709" s="72" t="s">
        <v>5983</v>
      </c>
      <c r="E1709" s="72"/>
      <c r="F1709" s="72"/>
      <c r="G1709" s="72"/>
      <c r="H1709" s="22" t="s">
        <v>5984</v>
      </c>
      <c r="I1709" s="23" t="s">
        <v>36</v>
      </c>
      <c r="J1709" s="22"/>
      <c r="K1709" s="20">
        <v>5</v>
      </c>
      <c r="L1709" s="24">
        <v>46.87</v>
      </c>
      <c r="M1709" s="11"/>
      <c r="N1709" s="22">
        <f t="shared" si="75"/>
        <v>0</v>
      </c>
      <c r="O1709" s="25">
        <f>0.021*M1709</f>
        <v>0</v>
      </c>
      <c r="P1709" s="29">
        <f>0.0002*M1709</f>
        <v>0</v>
      </c>
      <c r="Q1709" s="30"/>
      <c r="R1709" s="22" t="s">
        <v>5985</v>
      </c>
      <c r="S1709" s="22" t="s">
        <v>435</v>
      </c>
      <c r="T1709" s="21" t="str">
        <f>HYPERLINK("https://miland.ru/api/getInfo/image/7a1b1e36-bf68-11ee-a25a-00155d82e908")</f>
        <v>https://miland.ru/api/getInfo/image/7a1b1e36-bf68-11ee-a25a-00155d82e908</v>
      </c>
      <c r="U1709" s="21"/>
      <c r="V1709" s="21" t="s">
        <v>208</v>
      </c>
      <c r="W1709" s="21" t="s">
        <v>82</v>
      </c>
      <c r="X1709" s="21"/>
      <c r="Y1709" s="21" t="s">
        <v>41</v>
      </c>
      <c r="Z1709" s="21"/>
      <c r="AA1709" s="21" t="str">
        <f>HYPERLINK("https://miland.ru/api/getInfo/item/7a1b1e36-bf68-11ee-a25a-00155d82e908")</f>
        <v>https://miland.ru/api/getInfo/item/7a1b1e36-bf68-11ee-a25a-00155d82e908</v>
      </c>
      <c r="AB1709" s="21" t="s">
        <v>42</v>
      </c>
      <c r="AC1709" s="21" t="s">
        <v>5961</v>
      </c>
      <c r="AD1709" s="21"/>
    </row>
    <row r="1710" spans="2:31" s="1" customFormat="1" ht="96.3" customHeight="1" outlineLevel="7">
      <c r="B1710" s="57">
        <v>1311</v>
      </c>
      <c r="C1710" s="21" t="s">
        <v>5986</v>
      </c>
      <c r="D1710" s="72" t="s">
        <v>5987</v>
      </c>
      <c r="E1710" s="72"/>
      <c r="F1710" s="72"/>
      <c r="G1710" s="72"/>
      <c r="H1710" s="22" t="s">
        <v>5988</v>
      </c>
      <c r="I1710" s="23" t="s">
        <v>36</v>
      </c>
      <c r="J1710" s="22"/>
      <c r="K1710" s="20">
        <v>5</v>
      </c>
      <c r="L1710" s="24">
        <v>46.87</v>
      </c>
      <c r="M1710" s="11"/>
      <c r="N1710" s="22">
        <f t="shared" si="75"/>
        <v>0</v>
      </c>
      <c r="O1710" s="28">
        <f>0.02*M1710</f>
        <v>0</v>
      </c>
      <c r="P1710" s="26">
        <f>0.00014*M1710</f>
        <v>0</v>
      </c>
      <c r="Q1710" s="30"/>
      <c r="R1710" s="22" t="s">
        <v>5989</v>
      </c>
      <c r="S1710" s="22"/>
      <c r="T1710" s="21" t="str">
        <f>HYPERLINK("https://miland.ru/api/getInfo/image/77dded24-d956-11ef-a273-00155d82e908")</f>
        <v>https://miland.ru/api/getInfo/image/77dded24-d956-11ef-a273-00155d82e908</v>
      </c>
      <c r="U1710" s="21"/>
      <c r="V1710" s="21" t="s">
        <v>208</v>
      </c>
      <c r="W1710" s="21" t="s">
        <v>82</v>
      </c>
      <c r="X1710" s="21"/>
      <c r="Y1710" s="21" t="s">
        <v>41</v>
      </c>
      <c r="Z1710" s="21"/>
      <c r="AA1710" s="21" t="str">
        <f>HYPERLINK("https://miland.ru/api/getInfo/item/77dded24-d956-11ef-a273-00155d82e908")</f>
        <v>https://miland.ru/api/getInfo/item/77dded24-d956-11ef-a273-00155d82e908</v>
      </c>
      <c r="AB1710" s="21" t="s">
        <v>42</v>
      </c>
      <c r="AC1710" s="21"/>
      <c r="AD1710" s="21"/>
    </row>
    <row r="1711" spans="2:31" ht="12" customHeight="1" outlineLevel="7">
      <c r="B1711" s="70" t="s">
        <v>5990</v>
      </c>
      <c r="C1711" s="70"/>
      <c r="D1711" s="70"/>
      <c r="E1711" s="70"/>
      <c r="F1711" s="70"/>
      <c r="G1711" s="70"/>
    </row>
    <row r="1712" spans="2:31" s="1" customFormat="1" ht="96.3" customHeight="1" outlineLevel="7">
      <c r="B1712" s="57">
        <v>1312</v>
      </c>
      <c r="C1712" s="21" t="s">
        <v>5991</v>
      </c>
      <c r="D1712" s="72" t="s">
        <v>5992</v>
      </c>
      <c r="E1712" s="72"/>
      <c r="F1712" s="72"/>
      <c r="G1712" s="72"/>
      <c r="H1712" s="22" t="s">
        <v>5993</v>
      </c>
      <c r="I1712" s="23" t="s">
        <v>36</v>
      </c>
      <c r="J1712" s="22"/>
      <c r="K1712" s="20">
        <v>4</v>
      </c>
      <c r="L1712" s="24">
        <v>83.76</v>
      </c>
      <c r="M1712" s="11"/>
      <c r="N1712" s="22">
        <f t="shared" ref="N1712:N1722" si="76">L1712*M1712</f>
        <v>0</v>
      </c>
      <c r="O1712" s="25">
        <f>0.035*M1712</f>
        <v>0</v>
      </c>
      <c r="P1712" s="26">
        <f>0.00033*M1712</f>
        <v>0</v>
      </c>
      <c r="Q1712" s="30"/>
      <c r="R1712" s="22" t="s">
        <v>5994</v>
      </c>
      <c r="S1712" s="22" t="s">
        <v>435</v>
      </c>
      <c r="T1712" s="21" t="str">
        <f>HYPERLINK("https://miland.ru/api/getInfo/image/aabcccba-d957-11ef-a273-00155d82e908")</f>
        <v>https://miland.ru/api/getInfo/image/aabcccba-d957-11ef-a273-00155d82e908</v>
      </c>
      <c r="U1712" s="21"/>
      <c r="V1712" s="21" t="s">
        <v>208</v>
      </c>
      <c r="W1712" s="21" t="s">
        <v>82</v>
      </c>
      <c r="X1712" s="21"/>
      <c r="Y1712" s="21" t="s">
        <v>41</v>
      </c>
      <c r="Z1712" s="21"/>
      <c r="AA1712" s="21" t="str">
        <f>HYPERLINK("https://miland.ru/api/getInfo/item/aabcccba-d957-11ef-a273-00155d82e908")</f>
        <v>https://miland.ru/api/getInfo/item/aabcccba-d957-11ef-a273-00155d82e908</v>
      </c>
      <c r="AB1712" s="21" t="s">
        <v>42</v>
      </c>
      <c r="AC1712" s="21"/>
      <c r="AD1712" s="21"/>
    </row>
    <row r="1713" spans="2:31" s="1" customFormat="1" ht="96.3" customHeight="1" outlineLevel="7">
      <c r="B1713" s="57">
        <v>1313</v>
      </c>
      <c r="C1713" s="21" t="s">
        <v>5995</v>
      </c>
      <c r="D1713" s="72" t="s">
        <v>5996</v>
      </c>
      <c r="E1713" s="72"/>
      <c r="F1713" s="72"/>
      <c r="G1713" s="72"/>
      <c r="H1713" s="22" t="s">
        <v>5997</v>
      </c>
      <c r="I1713" s="23" t="s">
        <v>36</v>
      </c>
      <c r="J1713" s="22"/>
      <c r="K1713" s="20">
        <v>4</v>
      </c>
      <c r="L1713" s="24">
        <v>83.76</v>
      </c>
      <c r="M1713" s="11"/>
      <c r="N1713" s="22">
        <f t="shared" si="76"/>
        <v>0</v>
      </c>
      <c r="O1713" s="25">
        <f>0.042*M1713</f>
        <v>0</v>
      </c>
      <c r="P1713" s="26">
        <f>0.00023*M1713</f>
        <v>0</v>
      </c>
      <c r="Q1713" s="30"/>
      <c r="R1713" s="22" t="s">
        <v>5998</v>
      </c>
      <c r="S1713" s="22" t="s">
        <v>435</v>
      </c>
      <c r="T1713" s="21" t="str">
        <f>HYPERLINK("https://miland.ru/api/getInfo/image/758bcc5c-bf69-11ee-a25a-00155d82e908")</f>
        <v>https://miland.ru/api/getInfo/image/758bcc5c-bf69-11ee-a25a-00155d82e908</v>
      </c>
      <c r="U1713" s="21"/>
      <c r="V1713" s="21" t="s">
        <v>208</v>
      </c>
      <c r="W1713" s="21" t="s">
        <v>82</v>
      </c>
      <c r="X1713" s="21"/>
      <c r="Y1713" s="21" t="s">
        <v>41</v>
      </c>
      <c r="Z1713" s="21"/>
      <c r="AA1713" s="21" t="str">
        <f>HYPERLINK("https://miland.ru/api/getInfo/item/758bcc5c-bf69-11ee-a25a-00155d82e908")</f>
        <v>https://miland.ru/api/getInfo/item/758bcc5c-bf69-11ee-a25a-00155d82e908</v>
      </c>
      <c r="AB1713" s="21" t="s">
        <v>42</v>
      </c>
      <c r="AC1713" s="21" t="s">
        <v>5999</v>
      </c>
      <c r="AD1713" s="21"/>
    </row>
    <row r="1714" spans="2:31" s="1" customFormat="1" ht="96.3" customHeight="1" outlineLevel="7">
      <c r="B1714" s="57">
        <v>1314</v>
      </c>
      <c r="C1714" s="21" t="s">
        <v>6000</v>
      </c>
      <c r="D1714" s="72" t="s">
        <v>6001</v>
      </c>
      <c r="E1714" s="72"/>
      <c r="F1714" s="72"/>
      <c r="G1714" s="72"/>
      <c r="H1714" s="22" t="s">
        <v>6002</v>
      </c>
      <c r="I1714" s="23" t="s">
        <v>36</v>
      </c>
      <c r="J1714" s="22"/>
      <c r="K1714" s="20">
        <v>4</v>
      </c>
      <c r="L1714" s="24">
        <v>83.76</v>
      </c>
      <c r="M1714" s="11"/>
      <c r="N1714" s="22">
        <f t="shared" si="76"/>
        <v>0</v>
      </c>
      <c r="O1714" s="25">
        <f>0.041*M1714</f>
        <v>0</v>
      </c>
      <c r="P1714" s="26">
        <f>0.00008*M1714</f>
        <v>0</v>
      </c>
      <c r="Q1714" s="30"/>
      <c r="R1714" s="22" t="s">
        <v>6003</v>
      </c>
      <c r="S1714" s="22" t="s">
        <v>435</v>
      </c>
      <c r="T1714" s="21" t="str">
        <f>HYPERLINK("https://miland.ru/api/getInfo/image/83b3cfab-bf69-11ee-a25a-00155d82e908")</f>
        <v>https://miland.ru/api/getInfo/image/83b3cfab-bf69-11ee-a25a-00155d82e908</v>
      </c>
      <c r="U1714" s="21"/>
      <c r="V1714" s="21" t="s">
        <v>208</v>
      </c>
      <c r="W1714" s="21" t="s">
        <v>82</v>
      </c>
      <c r="X1714" s="21"/>
      <c r="Y1714" s="21" t="s">
        <v>41</v>
      </c>
      <c r="Z1714" s="21"/>
      <c r="AA1714" s="21" t="str">
        <f>HYPERLINK("https://miland.ru/api/getInfo/item/83b3cfab-bf69-11ee-a25a-00155d82e908")</f>
        <v>https://miland.ru/api/getInfo/item/83b3cfab-bf69-11ee-a25a-00155d82e908</v>
      </c>
      <c r="AB1714" s="21" t="s">
        <v>42</v>
      </c>
      <c r="AC1714" s="21" t="s">
        <v>5999</v>
      </c>
      <c r="AD1714" s="21"/>
    </row>
    <row r="1715" spans="2:31" s="1" customFormat="1" ht="96.3" customHeight="1" outlineLevel="7">
      <c r="B1715" s="58">
        <v>1315</v>
      </c>
      <c r="C1715" s="7" t="s">
        <v>6004</v>
      </c>
      <c r="D1715" s="71" t="s">
        <v>6005</v>
      </c>
      <c r="E1715" s="71"/>
      <c r="F1715" s="71"/>
      <c r="G1715" s="71"/>
      <c r="H1715" s="8" t="s">
        <v>6006</v>
      </c>
      <c r="I1715" s="9" t="s">
        <v>36</v>
      </c>
      <c r="J1715" s="8"/>
      <c r="K1715" s="6">
        <v>4</v>
      </c>
      <c r="L1715" s="10">
        <v>83.76</v>
      </c>
      <c r="M1715" s="11"/>
      <c r="N1715" s="8">
        <f t="shared" si="76"/>
        <v>0</v>
      </c>
      <c r="O1715" s="12">
        <f>0.026*M1715</f>
        <v>0</v>
      </c>
      <c r="P1715" s="16">
        <f>0.0004*M1715</f>
        <v>0</v>
      </c>
      <c r="Q1715" s="17" t="s">
        <v>37</v>
      </c>
      <c r="R1715" s="8" t="s">
        <v>6007</v>
      </c>
      <c r="S1715" s="8"/>
      <c r="T1715" s="7" t="str">
        <f>HYPERLINK("https://miland.ru/api/getInfo/image/4ab5b6b0-fd19-11f0-a28e-00155d82e908")</f>
        <v>https://miland.ru/api/getInfo/image/4ab5b6b0-fd19-11f0-a28e-00155d82e908</v>
      </c>
      <c r="U1715" s="7"/>
      <c r="V1715" s="7"/>
      <c r="W1715" s="7" t="s">
        <v>82</v>
      </c>
      <c r="X1715" s="7"/>
      <c r="Y1715" s="7" t="s">
        <v>41</v>
      </c>
      <c r="Z1715" s="7"/>
      <c r="AA1715" s="7" t="str">
        <f>HYPERLINK("https://miland.ru/api/getInfo/item/4ab5b6b0-fd19-11f0-a28e-00155d82e908")</f>
        <v>https://miland.ru/api/getInfo/item/4ab5b6b0-fd19-11f0-a28e-00155d82e908</v>
      </c>
      <c r="AB1715" s="7" t="s">
        <v>42</v>
      </c>
      <c r="AC1715" s="7"/>
      <c r="AD1715" s="7"/>
      <c r="AE1715" s="54"/>
    </row>
    <row r="1716" spans="2:31" s="1" customFormat="1" ht="96.3" customHeight="1" outlineLevel="7">
      <c r="B1716" s="57">
        <v>1316</v>
      </c>
      <c r="C1716" s="21" t="s">
        <v>6008</v>
      </c>
      <c r="D1716" s="72" t="s">
        <v>6009</v>
      </c>
      <c r="E1716" s="72"/>
      <c r="F1716" s="72"/>
      <c r="G1716" s="72"/>
      <c r="H1716" s="22" t="s">
        <v>6010</v>
      </c>
      <c r="I1716" s="23" t="s">
        <v>36</v>
      </c>
      <c r="J1716" s="22"/>
      <c r="K1716" s="20">
        <v>4</v>
      </c>
      <c r="L1716" s="24">
        <v>83.76</v>
      </c>
      <c r="M1716" s="11"/>
      <c r="N1716" s="22">
        <f t="shared" si="76"/>
        <v>0</v>
      </c>
      <c r="O1716" s="25">
        <f>0.041*M1716</f>
        <v>0</v>
      </c>
      <c r="P1716" s="26">
        <f>0.00023*M1716</f>
        <v>0</v>
      </c>
      <c r="Q1716" s="30"/>
      <c r="R1716" s="22" t="s">
        <v>6011</v>
      </c>
      <c r="S1716" s="22" t="s">
        <v>435</v>
      </c>
      <c r="T1716" s="21" t="str">
        <f>HYPERLINK("https://miland.ru/api/getInfo/image/4e6498ec-bf69-11ee-a25a-00155d82e908")</f>
        <v>https://miland.ru/api/getInfo/image/4e6498ec-bf69-11ee-a25a-00155d82e908</v>
      </c>
      <c r="U1716" s="21"/>
      <c r="V1716" s="21" t="s">
        <v>208</v>
      </c>
      <c r="W1716" s="21" t="s">
        <v>82</v>
      </c>
      <c r="X1716" s="21"/>
      <c r="Y1716" s="21" t="s">
        <v>41</v>
      </c>
      <c r="Z1716" s="21"/>
      <c r="AA1716" s="21" t="str">
        <f>HYPERLINK("https://miland.ru/api/getInfo/item/4e6498ec-bf69-11ee-a25a-00155d82e908")</f>
        <v>https://miland.ru/api/getInfo/item/4e6498ec-bf69-11ee-a25a-00155d82e908</v>
      </c>
      <c r="AB1716" s="21" t="s">
        <v>42</v>
      </c>
      <c r="AC1716" s="21" t="s">
        <v>5999</v>
      </c>
      <c r="AD1716" s="21"/>
    </row>
    <row r="1717" spans="2:31" s="1" customFormat="1" ht="96.3" customHeight="1" outlineLevel="7">
      <c r="B1717" s="58">
        <v>1317</v>
      </c>
      <c r="C1717" s="7" t="s">
        <v>6012</v>
      </c>
      <c r="D1717" s="71" t="s">
        <v>6013</v>
      </c>
      <c r="E1717" s="71"/>
      <c r="F1717" s="71"/>
      <c r="G1717" s="71"/>
      <c r="H1717" s="8" t="s">
        <v>6014</v>
      </c>
      <c r="I1717" s="9" t="s">
        <v>36</v>
      </c>
      <c r="J1717" s="8"/>
      <c r="K1717" s="6">
        <v>4</v>
      </c>
      <c r="L1717" s="10">
        <v>83.76</v>
      </c>
      <c r="M1717" s="11"/>
      <c r="N1717" s="8">
        <f t="shared" si="76"/>
        <v>0</v>
      </c>
      <c r="O1717" s="12">
        <f>0.028*M1717</f>
        <v>0</v>
      </c>
      <c r="P1717" s="13">
        <f>0.00009*M1717</f>
        <v>0</v>
      </c>
      <c r="Q1717" s="17" t="s">
        <v>37</v>
      </c>
      <c r="R1717" s="8" t="s">
        <v>6015</v>
      </c>
      <c r="S1717" s="8"/>
      <c r="T1717" s="7" t="str">
        <f>HYPERLINK("https://miland.ru/api/getInfo/image/1d63026e-fd19-11f0-a28e-00155d82e908")</f>
        <v>https://miland.ru/api/getInfo/image/1d63026e-fd19-11f0-a28e-00155d82e908</v>
      </c>
      <c r="U1717" s="7"/>
      <c r="V1717" s="7"/>
      <c r="W1717" s="7" t="s">
        <v>82</v>
      </c>
      <c r="X1717" s="7"/>
      <c r="Y1717" s="7" t="s">
        <v>41</v>
      </c>
      <c r="Z1717" s="7"/>
      <c r="AA1717" s="7" t="str">
        <f>HYPERLINK("https://miland.ru/api/getInfo/item/1d63026e-fd19-11f0-a28e-00155d82e908")</f>
        <v>https://miland.ru/api/getInfo/item/1d63026e-fd19-11f0-a28e-00155d82e908</v>
      </c>
      <c r="AB1717" s="7" t="s">
        <v>42</v>
      </c>
      <c r="AC1717" s="7"/>
      <c r="AD1717" s="7"/>
      <c r="AE1717" s="54"/>
    </row>
    <row r="1718" spans="2:31" s="1" customFormat="1" ht="96.3" customHeight="1" outlineLevel="7">
      <c r="B1718" s="57">
        <v>1318</v>
      </c>
      <c r="C1718" s="21" t="s">
        <v>6016</v>
      </c>
      <c r="D1718" s="72" t="s">
        <v>6017</v>
      </c>
      <c r="E1718" s="72"/>
      <c r="F1718" s="72"/>
      <c r="G1718" s="72"/>
      <c r="H1718" s="22" t="s">
        <v>6018</v>
      </c>
      <c r="I1718" s="23" t="s">
        <v>36</v>
      </c>
      <c r="J1718" s="22"/>
      <c r="K1718" s="20">
        <v>4</v>
      </c>
      <c r="L1718" s="24">
        <v>83.76</v>
      </c>
      <c r="M1718" s="11"/>
      <c r="N1718" s="22">
        <f t="shared" si="76"/>
        <v>0</v>
      </c>
      <c r="O1718" s="25">
        <f>0.037*M1718</f>
        <v>0</v>
      </c>
      <c r="P1718" s="26">
        <f>0.00007*M1718</f>
        <v>0</v>
      </c>
      <c r="Q1718" s="30"/>
      <c r="R1718" s="22" t="s">
        <v>6019</v>
      </c>
      <c r="S1718" s="22" t="s">
        <v>435</v>
      </c>
      <c r="T1718" s="21" t="str">
        <f>HYPERLINK("https://miland.ru/api/getInfo/image/60aa4169-d957-11ef-a273-00155d82e908")</f>
        <v>https://miland.ru/api/getInfo/image/60aa4169-d957-11ef-a273-00155d82e908</v>
      </c>
      <c r="U1718" s="21"/>
      <c r="V1718" s="21" t="s">
        <v>208</v>
      </c>
      <c r="W1718" s="21" t="s">
        <v>82</v>
      </c>
      <c r="X1718" s="21"/>
      <c r="Y1718" s="21" t="s">
        <v>41</v>
      </c>
      <c r="Z1718" s="21"/>
      <c r="AA1718" s="21" t="str">
        <f>HYPERLINK("https://miland.ru/api/getInfo/item/60aa4169-d957-11ef-a273-00155d82e908")</f>
        <v>https://miland.ru/api/getInfo/item/60aa4169-d957-11ef-a273-00155d82e908</v>
      </c>
      <c r="AB1718" s="21" t="s">
        <v>42</v>
      </c>
      <c r="AC1718" s="21"/>
      <c r="AD1718" s="21"/>
    </row>
    <row r="1719" spans="2:31" s="1" customFormat="1" ht="96.3" customHeight="1" outlineLevel="7">
      <c r="B1719" s="57">
        <v>1319</v>
      </c>
      <c r="C1719" s="21" t="s">
        <v>6020</v>
      </c>
      <c r="D1719" s="72" t="s">
        <v>6021</v>
      </c>
      <c r="E1719" s="72"/>
      <c r="F1719" s="72"/>
      <c r="G1719" s="72"/>
      <c r="H1719" s="22" t="s">
        <v>6022</v>
      </c>
      <c r="I1719" s="23" t="s">
        <v>36</v>
      </c>
      <c r="J1719" s="22"/>
      <c r="K1719" s="20">
        <v>4</v>
      </c>
      <c r="L1719" s="24">
        <v>83.76</v>
      </c>
      <c r="M1719" s="11"/>
      <c r="N1719" s="22">
        <f t="shared" si="76"/>
        <v>0</v>
      </c>
      <c r="O1719" s="28">
        <f>0.04*M1719</f>
        <v>0</v>
      </c>
      <c r="P1719" s="26">
        <f>0.00023*M1719</f>
        <v>0</v>
      </c>
      <c r="Q1719" s="30"/>
      <c r="R1719" s="22" t="s">
        <v>6023</v>
      </c>
      <c r="S1719" s="22" t="s">
        <v>435</v>
      </c>
      <c r="T1719" s="21" t="str">
        <f>HYPERLINK("https://miland.ru/api/getInfo/image/5e21e581-bf69-11ee-a25a-00155d82e908")</f>
        <v>https://miland.ru/api/getInfo/image/5e21e581-bf69-11ee-a25a-00155d82e908</v>
      </c>
      <c r="U1719" s="21"/>
      <c r="V1719" s="21" t="s">
        <v>208</v>
      </c>
      <c r="W1719" s="21" t="s">
        <v>82</v>
      </c>
      <c r="X1719" s="21"/>
      <c r="Y1719" s="21" t="s">
        <v>41</v>
      </c>
      <c r="Z1719" s="21"/>
      <c r="AA1719" s="21" t="str">
        <f>HYPERLINK("https://miland.ru/api/getInfo/item/5e21e581-bf69-11ee-a25a-00155d82e908")</f>
        <v>https://miland.ru/api/getInfo/item/5e21e581-bf69-11ee-a25a-00155d82e908</v>
      </c>
      <c r="AB1719" s="21" t="s">
        <v>42</v>
      </c>
      <c r="AC1719" s="21" t="s">
        <v>5999</v>
      </c>
      <c r="AD1719" s="21"/>
    </row>
    <row r="1720" spans="2:31" s="1" customFormat="1" ht="96.3" customHeight="1" outlineLevel="7">
      <c r="B1720" s="57">
        <v>1320</v>
      </c>
      <c r="C1720" s="21" t="s">
        <v>6024</v>
      </c>
      <c r="D1720" s="72" t="s">
        <v>6025</v>
      </c>
      <c r="E1720" s="72"/>
      <c r="F1720" s="72"/>
      <c r="G1720" s="72"/>
      <c r="H1720" s="22" t="s">
        <v>6026</v>
      </c>
      <c r="I1720" s="23" t="s">
        <v>36</v>
      </c>
      <c r="J1720" s="22"/>
      <c r="K1720" s="20">
        <v>4</v>
      </c>
      <c r="L1720" s="24">
        <v>83.76</v>
      </c>
      <c r="M1720" s="11"/>
      <c r="N1720" s="22">
        <f t="shared" si="76"/>
        <v>0</v>
      </c>
      <c r="O1720" s="28">
        <f>0.32*M1720</f>
        <v>0</v>
      </c>
      <c r="P1720" s="26">
        <f>0.00014*M1720</f>
        <v>0</v>
      </c>
      <c r="Q1720" s="30"/>
      <c r="R1720" s="22" t="s">
        <v>6027</v>
      </c>
      <c r="S1720" s="22" t="s">
        <v>435</v>
      </c>
      <c r="T1720" s="21" t="str">
        <f>HYPERLINK("https://miland.ru/api/getInfo/image/79fadb4e-d957-11ef-a273-00155d82e908")</f>
        <v>https://miland.ru/api/getInfo/image/79fadb4e-d957-11ef-a273-00155d82e908</v>
      </c>
      <c r="U1720" s="21"/>
      <c r="V1720" s="21" t="s">
        <v>208</v>
      </c>
      <c r="W1720" s="21" t="s">
        <v>82</v>
      </c>
      <c r="X1720" s="21"/>
      <c r="Y1720" s="21" t="s">
        <v>41</v>
      </c>
      <c r="Z1720" s="21"/>
      <c r="AA1720" s="21" t="str">
        <f>HYPERLINK("https://miland.ru/api/getInfo/item/79fadb4e-d957-11ef-a273-00155d82e908")</f>
        <v>https://miland.ru/api/getInfo/item/79fadb4e-d957-11ef-a273-00155d82e908</v>
      </c>
      <c r="AB1720" s="21" t="s">
        <v>42</v>
      </c>
      <c r="AC1720" s="21"/>
      <c r="AD1720" s="21"/>
    </row>
    <row r="1721" spans="2:31" s="1" customFormat="1" ht="96.3" customHeight="1" outlineLevel="7">
      <c r="B1721" s="58">
        <v>1321</v>
      </c>
      <c r="C1721" s="7" t="s">
        <v>6028</v>
      </c>
      <c r="D1721" s="71" t="s">
        <v>6029</v>
      </c>
      <c r="E1721" s="71"/>
      <c r="F1721" s="71"/>
      <c r="G1721" s="71"/>
      <c r="H1721" s="8" t="s">
        <v>6030</v>
      </c>
      <c r="I1721" s="9" t="s">
        <v>36</v>
      </c>
      <c r="J1721" s="8"/>
      <c r="K1721" s="6">
        <v>4</v>
      </c>
      <c r="L1721" s="10">
        <v>83.76</v>
      </c>
      <c r="M1721" s="11"/>
      <c r="N1721" s="8">
        <f t="shared" si="76"/>
        <v>0</v>
      </c>
      <c r="O1721" s="12">
        <f>0.029*M1721</f>
        <v>0</v>
      </c>
      <c r="P1721" s="13">
        <f>0.00025*M1721</f>
        <v>0</v>
      </c>
      <c r="Q1721" s="17" t="s">
        <v>37</v>
      </c>
      <c r="R1721" s="8" t="s">
        <v>6031</v>
      </c>
      <c r="S1721" s="8"/>
      <c r="T1721" s="7" t="str">
        <f>HYPERLINK("https://miland.ru/api/getInfo/image/82a5dfb1-fd18-11f0-a28e-00155d82e908")</f>
        <v>https://miland.ru/api/getInfo/image/82a5dfb1-fd18-11f0-a28e-00155d82e908</v>
      </c>
      <c r="U1721" s="7"/>
      <c r="V1721" s="7"/>
      <c r="W1721" s="7" t="s">
        <v>82</v>
      </c>
      <c r="X1721" s="7"/>
      <c r="Y1721" s="7" t="s">
        <v>41</v>
      </c>
      <c r="Z1721" s="7"/>
      <c r="AA1721" s="7" t="str">
        <f>HYPERLINK("https://miland.ru/api/getInfo/item/82a5dfb1-fd18-11f0-a28e-00155d82e908")</f>
        <v>https://miland.ru/api/getInfo/item/82a5dfb1-fd18-11f0-a28e-00155d82e908</v>
      </c>
      <c r="AB1721" s="7" t="s">
        <v>42</v>
      </c>
      <c r="AC1721" s="7"/>
      <c r="AD1721" s="7"/>
      <c r="AE1721" s="54"/>
    </row>
    <row r="1722" spans="2:31" s="1" customFormat="1" ht="96.3" customHeight="1" outlineLevel="7">
      <c r="B1722" s="58">
        <v>1322</v>
      </c>
      <c r="C1722" s="7" t="s">
        <v>6032</v>
      </c>
      <c r="D1722" s="71" t="s">
        <v>6033</v>
      </c>
      <c r="E1722" s="71"/>
      <c r="F1722" s="71"/>
      <c r="G1722" s="71"/>
      <c r="H1722" s="8" t="s">
        <v>6034</v>
      </c>
      <c r="I1722" s="9" t="s">
        <v>36</v>
      </c>
      <c r="J1722" s="8"/>
      <c r="K1722" s="6">
        <v>4</v>
      </c>
      <c r="L1722" s="10">
        <v>83.76</v>
      </c>
      <c r="M1722" s="11"/>
      <c r="N1722" s="8">
        <f t="shared" si="76"/>
        <v>0</v>
      </c>
      <c r="O1722" s="12">
        <f>0.026*M1722</f>
        <v>0</v>
      </c>
      <c r="P1722" s="13">
        <f>0.00009*M1722</f>
        <v>0</v>
      </c>
      <c r="Q1722" s="17" t="s">
        <v>37</v>
      </c>
      <c r="R1722" s="8" t="s">
        <v>6035</v>
      </c>
      <c r="S1722" s="8"/>
      <c r="T1722" s="7" t="str">
        <f>HYPERLINK("https://miland.ru/api/getInfo/image/2ebcb7f8-fd19-11f0-a28e-00155d82e908")</f>
        <v>https://miland.ru/api/getInfo/image/2ebcb7f8-fd19-11f0-a28e-00155d82e908</v>
      </c>
      <c r="U1722" s="7"/>
      <c r="V1722" s="7"/>
      <c r="W1722" s="7" t="s">
        <v>82</v>
      </c>
      <c r="X1722" s="7"/>
      <c r="Y1722" s="7" t="s">
        <v>41</v>
      </c>
      <c r="Z1722" s="7"/>
      <c r="AA1722" s="7" t="str">
        <f>HYPERLINK("https://miland.ru/api/getInfo/item/2ebcb7f8-fd19-11f0-a28e-00155d82e908")</f>
        <v>https://miland.ru/api/getInfo/item/2ebcb7f8-fd19-11f0-a28e-00155d82e908</v>
      </c>
      <c r="AB1722" s="7" t="s">
        <v>42</v>
      </c>
      <c r="AC1722" s="7"/>
      <c r="AD1722" s="7"/>
      <c r="AE1722" s="54"/>
    </row>
    <row r="1723" spans="2:31" ht="12" customHeight="1" outlineLevel="7">
      <c r="B1723" s="70" t="s">
        <v>6036</v>
      </c>
      <c r="C1723" s="70"/>
      <c r="D1723" s="70"/>
      <c r="E1723" s="70"/>
      <c r="F1723" s="70"/>
      <c r="G1723" s="70"/>
    </row>
    <row r="1724" spans="2:31" s="1" customFormat="1" ht="96.3" customHeight="1" outlineLevel="7">
      <c r="B1724" s="57">
        <v>1323</v>
      </c>
      <c r="C1724" s="21" t="s">
        <v>6037</v>
      </c>
      <c r="D1724" s="72" t="s">
        <v>6038</v>
      </c>
      <c r="E1724" s="72"/>
      <c r="F1724" s="72"/>
      <c r="G1724" s="72"/>
      <c r="H1724" s="22" t="s">
        <v>6039</v>
      </c>
      <c r="I1724" s="27">
        <v>25</v>
      </c>
      <c r="J1724" s="22"/>
      <c r="K1724" s="20">
        <v>4</v>
      </c>
      <c r="L1724" s="24">
        <v>123.11</v>
      </c>
      <c r="M1724" s="11"/>
      <c r="N1724" s="22">
        <f t="shared" ref="N1724:N1741" si="77">L1724*M1724</f>
        <v>0</v>
      </c>
      <c r="O1724" s="25">
        <f>0.045*M1724</f>
        <v>0</v>
      </c>
      <c r="P1724" s="26">
        <f>0.00532*M1724</f>
        <v>0</v>
      </c>
      <c r="Q1724" s="30"/>
      <c r="R1724" s="22" t="s">
        <v>6040</v>
      </c>
      <c r="S1724" s="22" t="s">
        <v>435</v>
      </c>
      <c r="T1724" s="21" t="str">
        <f>HYPERLINK("https://miland.ru/api/getInfo/image/f0e5e317-f068-11ec-a213-ac1f6b442185")</f>
        <v>https://miland.ru/api/getInfo/image/f0e5e317-f068-11ec-a213-ac1f6b442185</v>
      </c>
      <c r="U1724" s="21"/>
      <c r="V1724" s="21" t="s">
        <v>208</v>
      </c>
      <c r="W1724" s="21" t="s">
        <v>82</v>
      </c>
      <c r="X1724" s="21"/>
      <c r="Y1724" s="21" t="s">
        <v>41</v>
      </c>
      <c r="Z1724" s="21"/>
      <c r="AA1724" s="21" t="str">
        <f>HYPERLINK("https://miland.ru/api/getInfo/item/f0e5e317-f068-11ec-a213-ac1f6b442185")</f>
        <v>https://miland.ru/api/getInfo/item/f0e5e317-f068-11ec-a213-ac1f6b442185</v>
      </c>
      <c r="AB1724" s="21" t="s">
        <v>42</v>
      </c>
      <c r="AC1724" s="21" t="s">
        <v>6041</v>
      </c>
      <c r="AD1724" s="21"/>
    </row>
    <row r="1725" spans="2:31" s="1" customFormat="1" ht="96.3" customHeight="1" outlineLevel="7">
      <c r="B1725" s="59">
        <v>1324</v>
      </c>
      <c r="C1725" s="35" t="s">
        <v>6042</v>
      </c>
      <c r="D1725" s="73" t="s">
        <v>6043</v>
      </c>
      <c r="E1725" s="73"/>
      <c r="F1725" s="73"/>
      <c r="G1725" s="73"/>
      <c r="H1725" s="36" t="s">
        <v>6044</v>
      </c>
      <c r="I1725" s="40">
        <v>38</v>
      </c>
      <c r="J1725" s="36"/>
      <c r="K1725" s="34">
        <v>4</v>
      </c>
      <c r="L1725" s="41">
        <v>59.213333333333331</v>
      </c>
      <c r="M1725" s="11"/>
      <c r="N1725" s="36">
        <f t="shared" si="77"/>
        <v>0</v>
      </c>
      <c r="O1725" s="42">
        <f>0.043*M1725</f>
        <v>0</v>
      </c>
      <c r="P1725" s="43">
        <f>0.00042*M1725</f>
        <v>0</v>
      </c>
      <c r="Q1725" s="50"/>
      <c r="R1725" s="36" t="s">
        <v>6045</v>
      </c>
      <c r="S1725" s="36" t="s">
        <v>435</v>
      </c>
      <c r="T1725" s="35" t="str">
        <f>HYPERLINK("https://miland.ru/api/getInfo/image/cad0ac58-f06a-11ec-a213-ac1f6b442185")</f>
        <v>https://miland.ru/api/getInfo/image/cad0ac58-f06a-11ec-a213-ac1f6b442185</v>
      </c>
      <c r="U1725" s="35"/>
      <c r="V1725" s="35" t="s">
        <v>208</v>
      </c>
      <c r="W1725" s="35" t="s">
        <v>82</v>
      </c>
      <c r="X1725" s="35"/>
      <c r="Y1725" s="35" t="s">
        <v>41</v>
      </c>
      <c r="Z1725" s="35"/>
      <c r="AA1725" s="35" t="str">
        <f>HYPERLINK("https://miland.ru/api/getInfo/item/cad0ac58-f06a-11ec-a213-ac1f6b442185")</f>
        <v>https://miland.ru/api/getInfo/item/cad0ac58-f06a-11ec-a213-ac1f6b442185</v>
      </c>
      <c r="AB1725" s="35" t="s">
        <v>42</v>
      </c>
      <c r="AC1725" s="35" t="s">
        <v>6041</v>
      </c>
      <c r="AD1725" s="35"/>
      <c r="AE1725" s="52" t="s">
        <v>1251</v>
      </c>
    </row>
    <row r="1726" spans="2:31" s="1" customFormat="1" ht="96.3" customHeight="1" outlineLevel="7">
      <c r="B1726" s="57">
        <v>1325</v>
      </c>
      <c r="C1726" s="21" t="s">
        <v>6046</v>
      </c>
      <c r="D1726" s="72" t="s">
        <v>6047</v>
      </c>
      <c r="E1726" s="72"/>
      <c r="F1726" s="72"/>
      <c r="G1726" s="72"/>
      <c r="H1726" s="22" t="s">
        <v>6048</v>
      </c>
      <c r="I1726" s="23" t="s">
        <v>36</v>
      </c>
      <c r="J1726" s="22"/>
      <c r="K1726" s="20">
        <v>4</v>
      </c>
      <c r="L1726" s="24">
        <v>123.11</v>
      </c>
      <c r="M1726" s="11"/>
      <c r="N1726" s="22">
        <f t="shared" si="77"/>
        <v>0</v>
      </c>
      <c r="O1726" s="25">
        <f>0.045*M1726</f>
        <v>0</v>
      </c>
      <c r="P1726" s="26">
        <f>0.00056*M1726</f>
        <v>0</v>
      </c>
      <c r="Q1726" s="30"/>
      <c r="R1726" s="22" t="s">
        <v>6049</v>
      </c>
      <c r="S1726" s="22" t="s">
        <v>435</v>
      </c>
      <c r="T1726" s="21" t="str">
        <f>HYPERLINK("https://miland.ru/api/getInfo/image/7f4a8f41-ff0f-11ef-a277-00155d82e908")</f>
        <v>https://miland.ru/api/getInfo/image/7f4a8f41-ff0f-11ef-a277-00155d82e908</v>
      </c>
      <c r="U1726" s="21"/>
      <c r="V1726" s="21" t="s">
        <v>208</v>
      </c>
      <c r="W1726" s="21" t="s">
        <v>82</v>
      </c>
      <c r="X1726" s="21"/>
      <c r="Y1726" s="21" t="s">
        <v>41</v>
      </c>
      <c r="Z1726" s="21"/>
      <c r="AA1726" s="21" t="str">
        <f>HYPERLINK("https://miland.ru/api/getInfo/item/7f4a8f41-ff0f-11ef-a277-00155d82e908")</f>
        <v>https://miland.ru/api/getInfo/item/7f4a8f41-ff0f-11ef-a277-00155d82e908</v>
      </c>
      <c r="AB1726" s="21" t="s">
        <v>42</v>
      </c>
      <c r="AC1726" s="21"/>
      <c r="AD1726" s="21"/>
    </row>
    <row r="1727" spans="2:31" s="1" customFormat="1" ht="96.3" customHeight="1" outlineLevel="7">
      <c r="B1727" s="57">
        <v>1326</v>
      </c>
      <c r="C1727" s="21" t="s">
        <v>6050</v>
      </c>
      <c r="D1727" s="72" t="s">
        <v>6051</v>
      </c>
      <c r="E1727" s="72"/>
      <c r="F1727" s="72"/>
      <c r="G1727" s="72"/>
      <c r="H1727" s="22" t="s">
        <v>6052</v>
      </c>
      <c r="I1727" s="23" t="s">
        <v>36</v>
      </c>
      <c r="J1727" s="22"/>
      <c r="K1727" s="20">
        <v>4</v>
      </c>
      <c r="L1727" s="24">
        <v>123.11</v>
      </c>
      <c r="M1727" s="11"/>
      <c r="N1727" s="22">
        <f t="shared" si="77"/>
        <v>0</v>
      </c>
      <c r="O1727" s="25">
        <f>0.049*M1727</f>
        <v>0</v>
      </c>
      <c r="P1727" s="26">
        <f>0.00073*M1727</f>
        <v>0</v>
      </c>
      <c r="Q1727" s="30"/>
      <c r="R1727" s="22" t="s">
        <v>6053</v>
      </c>
      <c r="S1727" s="22" t="s">
        <v>435</v>
      </c>
      <c r="T1727" s="21" t="str">
        <f>HYPERLINK("https://miland.ru/api/getInfo/image/a9adff98-d95a-11ef-a273-00155d82e908")</f>
        <v>https://miland.ru/api/getInfo/image/a9adff98-d95a-11ef-a273-00155d82e908</v>
      </c>
      <c r="U1727" s="21"/>
      <c r="V1727" s="21" t="s">
        <v>208</v>
      </c>
      <c r="W1727" s="21" t="s">
        <v>82</v>
      </c>
      <c r="X1727" s="21"/>
      <c r="Y1727" s="21" t="s">
        <v>41</v>
      </c>
      <c r="Z1727" s="21"/>
      <c r="AA1727" s="21" t="str">
        <f>HYPERLINK("https://miland.ru/api/getInfo/item/a9adff98-d95a-11ef-a273-00155d82e908")</f>
        <v>https://miland.ru/api/getInfo/item/a9adff98-d95a-11ef-a273-00155d82e908</v>
      </c>
      <c r="AB1727" s="21" t="s">
        <v>42</v>
      </c>
      <c r="AC1727" s="21"/>
      <c r="AD1727" s="21"/>
    </row>
    <row r="1728" spans="2:31" s="1" customFormat="1" ht="96.3" customHeight="1" outlineLevel="7">
      <c r="B1728" s="57">
        <v>1327</v>
      </c>
      <c r="C1728" s="21" t="s">
        <v>6054</v>
      </c>
      <c r="D1728" s="72" t="s">
        <v>6055</v>
      </c>
      <c r="E1728" s="72"/>
      <c r="F1728" s="72"/>
      <c r="G1728" s="72"/>
      <c r="H1728" s="22" t="s">
        <v>6056</v>
      </c>
      <c r="I1728" s="23" t="s">
        <v>36</v>
      </c>
      <c r="J1728" s="22"/>
      <c r="K1728" s="20">
        <v>4</v>
      </c>
      <c r="L1728" s="24">
        <v>123.11</v>
      </c>
      <c r="M1728" s="11"/>
      <c r="N1728" s="22">
        <f t="shared" si="77"/>
        <v>0</v>
      </c>
      <c r="O1728" s="25">
        <f>0.044*M1728</f>
        <v>0</v>
      </c>
      <c r="P1728" s="26">
        <f>0.00087*M1728</f>
        <v>0</v>
      </c>
      <c r="Q1728" s="30"/>
      <c r="R1728" s="22" t="s">
        <v>6057</v>
      </c>
      <c r="S1728" s="22" t="s">
        <v>435</v>
      </c>
      <c r="T1728" s="21" t="str">
        <f>HYPERLINK("https://miland.ru/api/getInfo/image/660443e5-bf6a-11ee-a25a-00155d82e908")</f>
        <v>https://miland.ru/api/getInfo/image/660443e5-bf6a-11ee-a25a-00155d82e908</v>
      </c>
      <c r="U1728" s="21"/>
      <c r="V1728" s="21" t="s">
        <v>208</v>
      </c>
      <c r="W1728" s="21" t="s">
        <v>82</v>
      </c>
      <c r="X1728" s="21"/>
      <c r="Y1728" s="21" t="s">
        <v>41</v>
      </c>
      <c r="Z1728" s="21"/>
      <c r="AA1728" s="21" t="str">
        <f>HYPERLINK("https://miland.ru/api/getInfo/item/660443e5-bf6a-11ee-a25a-00155d82e908")</f>
        <v>https://miland.ru/api/getInfo/item/660443e5-bf6a-11ee-a25a-00155d82e908</v>
      </c>
      <c r="AB1728" s="21" t="s">
        <v>42</v>
      </c>
      <c r="AC1728" s="21" t="s">
        <v>6058</v>
      </c>
      <c r="AD1728" s="21"/>
    </row>
    <row r="1729" spans="2:31" s="1" customFormat="1" ht="96.3" customHeight="1" outlineLevel="7">
      <c r="B1729" s="58">
        <v>1328</v>
      </c>
      <c r="C1729" s="7" t="s">
        <v>6059</v>
      </c>
      <c r="D1729" s="71" t="s">
        <v>6060</v>
      </c>
      <c r="E1729" s="71"/>
      <c r="F1729" s="71"/>
      <c r="G1729" s="71"/>
      <c r="H1729" s="8" t="s">
        <v>6061</v>
      </c>
      <c r="I1729" s="9" t="s">
        <v>36</v>
      </c>
      <c r="J1729" s="8"/>
      <c r="K1729" s="6">
        <v>4</v>
      </c>
      <c r="L1729" s="10">
        <v>123.11</v>
      </c>
      <c r="M1729" s="11"/>
      <c r="N1729" s="8">
        <f t="shared" si="77"/>
        <v>0</v>
      </c>
      <c r="O1729" s="12">
        <f>0.044*M1729</f>
        <v>0</v>
      </c>
      <c r="P1729" s="13">
        <f>0.00056*M1729</f>
        <v>0</v>
      </c>
      <c r="Q1729" s="17" t="s">
        <v>37</v>
      </c>
      <c r="R1729" s="8" t="s">
        <v>6062</v>
      </c>
      <c r="S1729" s="8"/>
      <c r="T1729" s="7" t="str">
        <f>HYPERLINK("https://miland.ru/api/getInfo/image/658287b9-fd16-11f0-a28e-00155d82e908")</f>
        <v>https://miland.ru/api/getInfo/image/658287b9-fd16-11f0-a28e-00155d82e908</v>
      </c>
      <c r="U1729" s="7"/>
      <c r="V1729" s="7"/>
      <c r="W1729" s="7" t="s">
        <v>82</v>
      </c>
      <c r="X1729" s="7"/>
      <c r="Y1729" s="7" t="s">
        <v>41</v>
      </c>
      <c r="Z1729" s="7"/>
      <c r="AA1729" s="7" t="str">
        <f>HYPERLINK("https://miland.ru/api/getInfo/item/658287b9-fd16-11f0-a28e-00155d82e908")</f>
        <v>https://miland.ru/api/getInfo/item/658287b9-fd16-11f0-a28e-00155d82e908</v>
      </c>
      <c r="AB1729" s="7" t="s">
        <v>42</v>
      </c>
      <c r="AC1729" s="7"/>
      <c r="AD1729" s="7"/>
      <c r="AE1729" s="54"/>
    </row>
    <row r="1730" spans="2:31" s="1" customFormat="1" ht="96.3" customHeight="1" outlineLevel="7">
      <c r="B1730" s="57">
        <v>1329</v>
      </c>
      <c r="C1730" s="21" t="s">
        <v>6063</v>
      </c>
      <c r="D1730" s="72" t="s">
        <v>6064</v>
      </c>
      <c r="E1730" s="72"/>
      <c r="F1730" s="72"/>
      <c r="G1730" s="72"/>
      <c r="H1730" s="22" t="s">
        <v>6065</v>
      </c>
      <c r="I1730" s="27">
        <v>193</v>
      </c>
      <c r="J1730" s="22"/>
      <c r="K1730" s="20">
        <v>4</v>
      </c>
      <c r="L1730" s="24">
        <v>123.11</v>
      </c>
      <c r="M1730" s="11"/>
      <c r="N1730" s="22">
        <f t="shared" si="77"/>
        <v>0</v>
      </c>
      <c r="O1730" s="25">
        <f>0.045*M1730</f>
        <v>0</v>
      </c>
      <c r="P1730" s="26">
        <f>0.00085*M1730</f>
        <v>0</v>
      </c>
      <c r="Q1730" s="30"/>
      <c r="R1730" s="22" t="s">
        <v>6066</v>
      </c>
      <c r="S1730" s="22" t="s">
        <v>435</v>
      </c>
      <c r="T1730" s="21" t="str">
        <f>HYPERLINK("https://miland.ru/api/getInfo/image/3a5d729b-bf6a-11ee-a25a-00155d82e908")</f>
        <v>https://miland.ru/api/getInfo/image/3a5d729b-bf6a-11ee-a25a-00155d82e908</v>
      </c>
      <c r="U1730" s="21"/>
      <c r="V1730" s="21" t="s">
        <v>208</v>
      </c>
      <c r="W1730" s="21" t="s">
        <v>82</v>
      </c>
      <c r="X1730" s="21"/>
      <c r="Y1730" s="21" t="s">
        <v>41</v>
      </c>
      <c r="Z1730" s="21"/>
      <c r="AA1730" s="21" t="str">
        <f>HYPERLINK("https://miland.ru/api/getInfo/item/3a5d729b-bf6a-11ee-a25a-00155d82e908")</f>
        <v>https://miland.ru/api/getInfo/item/3a5d729b-bf6a-11ee-a25a-00155d82e908</v>
      </c>
      <c r="AB1730" s="21" t="s">
        <v>42</v>
      </c>
      <c r="AC1730" s="21" t="s">
        <v>6058</v>
      </c>
      <c r="AD1730" s="21"/>
    </row>
    <row r="1731" spans="2:31" s="1" customFormat="1" ht="96.3" customHeight="1" outlineLevel="7">
      <c r="B1731" s="57">
        <v>1330</v>
      </c>
      <c r="C1731" s="21" t="s">
        <v>6067</v>
      </c>
      <c r="D1731" s="72" t="s">
        <v>6068</v>
      </c>
      <c r="E1731" s="72"/>
      <c r="F1731" s="72"/>
      <c r="G1731" s="72"/>
      <c r="H1731" s="22" t="s">
        <v>6069</v>
      </c>
      <c r="I1731" s="27">
        <v>61</v>
      </c>
      <c r="J1731" s="22"/>
      <c r="K1731" s="20">
        <v>4</v>
      </c>
      <c r="L1731" s="24">
        <v>123.11</v>
      </c>
      <c r="M1731" s="11"/>
      <c r="N1731" s="22">
        <f t="shared" si="77"/>
        <v>0</v>
      </c>
      <c r="O1731" s="25">
        <f>0.044*M1731</f>
        <v>0</v>
      </c>
      <c r="P1731" s="26">
        <f>0.00057*M1731</f>
        <v>0</v>
      </c>
      <c r="Q1731" s="30"/>
      <c r="R1731" s="22" t="s">
        <v>6070</v>
      </c>
      <c r="S1731" s="22" t="s">
        <v>435</v>
      </c>
      <c r="T1731" s="21" t="str">
        <f>HYPERLINK("https://miland.ru/api/getInfo/image/51c29924-bf6a-11ee-a25a-00155d82e908")</f>
        <v>https://miland.ru/api/getInfo/image/51c29924-bf6a-11ee-a25a-00155d82e908</v>
      </c>
      <c r="U1731" s="21"/>
      <c r="V1731" s="21" t="s">
        <v>208</v>
      </c>
      <c r="W1731" s="21" t="s">
        <v>82</v>
      </c>
      <c r="X1731" s="21"/>
      <c r="Y1731" s="21" t="s">
        <v>41</v>
      </c>
      <c r="Z1731" s="21"/>
      <c r="AA1731" s="21" t="str">
        <f>HYPERLINK("https://miland.ru/api/getInfo/item/51c29924-bf6a-11ee-a25a-00155d82e908")</f>
        <v>https://miland.ru/api/getInfo/item/51c29924-bf6a-11ee-a25a-00155d82e908</v>
      </c>
      <c r="AB1731" s="21" t="s">
        <v>42</v>
      </c>
      <c r="AC1731" s="21" t="s">
        <v>6058</v>
      </c>
      <c r="AD1731" s="21"/>
    </row>
    <row r="1732" spans="2:31" s="1" customFormat="1" ht="96.3" customHeight="1" outlineLevel="7">
      <c r="B1732" s="57">
        <v>1331</v>
      </c>
      <c r="C1732" s="21" t="s">
        <v>6071</v>
      </c>
      <c r="D1732" s="72" t="s">
        <v>6072</v>
      </c>
      <c r="E1732" s="72"/>
      <c r="F1732" s="72"/>
      <c r="G1732" s="72"/>
      <c r="H1732" s="22" t="s">
        <v>6073</v>
      </c>
      <c r="I1732" s="23" t="s">
        <v>36</v>
      </c>
      <c r="J1732" s="22"/>
      <c r="K1732" s="20">
        <v>4</v>
      </c>
      <c r="L1732" s="24">
        <v>123.11</v>
      </c>
      <c r="M1732" s="11"/>
      <c r="N1732" s="22">
        <f t="shared" si="77"/>
        <v>0</v>
      </c>
      <c r="O1732" s="25">
        <f>0.046*M1732</f>
        <v>0</v>
      </c>
      <c r="P1732" s="26">
        <f>0.00057*M1732</f>
        <v>0</v>
      </c>
      <c r="Q1732" s="30"/>
      <c r="R1732" s="22" t="s">
        <v>6074</v>
      </c>
      <c r="S1732" s="22" t="s">
        <v>435</v>
      </c>
      <c r="T1732" s="21" t="str">
        <f>HYPERLINK("https://miland.ru/api/getInfo/image/bb3f4811-bf69-11ee-a25a-00155d82e908")</f>
        <v>https://miland.ru/api/getInfo/image/bb3f4811-bf69-11ee-a25a-00155d82e908</v>
      </c>
      <c r="U1732" s="21"/>
      <c r="V1732" s="21" t="s">
        <v>208</v>
      </c>
      <c r="W1732" s="21" t="s">
        <v>82</v>
      </c>
      <c r="X1732" s="21"/>
      <c r="Y1732" s="21" t="s">
        <v>41</v>
      </c>
      <c r="Z1732" s="21"/>
      <c r="AA1732" s="21" t="str">
        <f>HYPERLINK("https://miland.ru/api/getInfo/item/bb3f4811-bf69-11ee-a25a-00155d82e908")</f>
        <v>https://miland.ru/api/getInfo/item/bb3f4811-bf69-11ee-a25a-00155d82e908</v>
      </c>
      <c r="AB1732" s="21" t="s">
        <v>42</v>
      </c>
      <c r="AC1732" s="21" t="s">
        <v>6058</v>
      </c>
      <c r="AD1732" s="21"/>
    </row>
    <row r="1733" spans="2:31" s="1" customFormat="1" ht="96.3" customHeight="1" outlineLevel="7">
      <c r="B1733" s="58">
        <v>1332</v>
      </c>
      <c r="C1733" s="7" t="s">
        <v>6075</v>
      </c>
      <c r="D1733" s="71" t="s">
        <v>6076</v>
      </c>
      <c r="E1733" s="71"/>
      <c r="F1733" s="71"/>
      <c r="G1733" s="71"/>
      <c r="H1733" s="8" t="s">
        <v>6077</v>
      </c>
      <c r="I1733" s="9" t="s">
        <v>36</v>
      </c>
      <c r="J1733" s="8"/>
      <c r="K1733" s="6">
        <v>4</v>
      </c>
      <c r="L1733" s="10">
        <v>123.11</v>
      </c>
      <c r="M1733" s="11"/>
      <c r="N1733" s="8">
        <f t="shared" si="77"/>
        <v>0</v>
      </c>
      <c r="O1733" s="12">
        <f>0.056*M1733</f>
        <v>0</v>
      </c>
      <c r="P1733" s="13">
        <f>0.00028*M1733</f>
        <v>0</v>
      </c>
      <c r="Q1733" s="17" t="s">
        <v>37</v>
      </c>
      <c r="R1733" s="8" t="s">
        <v>6078</v>
      </c>
      <c r="S1733" s="8"/>
      <c r="T1733" s="7" t="str">
        <f>HYPERLINK("https://miland.ru/api/getInfo/image/a6cc0b8d-fd16-11f0-a28e-00155d82e908")</f>
        <v>https://miland.ru/api/getInfo/image/a6cc0b8d-fd16-11f0-a28e-00155d82e908</v>
      </c>
      <c r="U1733" s="7"/>
      <c r="V1733" s="7"/>
      <c r="W1733" s="7" t="s">
        <v>82</v>
      </c>
      <c r="X1733" s="7"/>
      <c r="Y1733" s="7" t="s">
        <v>41</v>
      </c>
      <c r="Z1733" s="7"/>
      <c r="AA1733" s="7" t="str">
        <f>HYPERLINK("https://miland.ru/api/getInfo/item/a6cc0b8d-fd16-11f0-a28e-00155d82e908")</f>
        <v>https://miland.ru/api/getInfo/item/a6cc0b8d-fd16-11f0-a28e-00155d82e908</v>
      </c>
      <c r="AB1733" s="7" t="s">
        <v>42</v>
      </c>
      <c r="AC1733" s="7"/>
      <c r="AD1733" s="7"/>
      <c r="AE1733" s="54"/>
    </row>
    <row r="1734" spans="2:31" s="1" customFormat="1" ht="96.3" customHeight="1" outlineLevel="7">
      <c r="B1734" s="58">
        <v>1333</v>
      </c>
      <c r="C1734" s="7" t="s">
        <v>6079</v>
      </c>
      <c r="D1734" s="71" t="s">
        <v>6080</v>
      </c>
      <c r="E1734" s="71"/>
      <c r="F1734" s="71"/>
      <c r="G1734" s="71"/>
      <c r="H1734" s="8" t="s">
        <v>6081</v>
      </c>
      <c r="I1734" s="9" t="s">
        <v>36</v>
      </c>
      <c r="J1734" s="8"/>
      <c r="K1734" s="6">
        <v>4</v>
      </c>
      <c r="L1734" s="10">
        <v>123.11</v>
      </c>
      <c r="M1734" s="11"/>
      <c r="N1734" s="8">
        <f t="shared" si="77"/>
        <v>0</v>
      </c>
      <c r="O1734" s="12">
        <f>0.045*M1734</f>
        <v>0</v>
      </c>
      <c r="P1734" s="13">
        <f>0.00055*M1734</f>
        <v>0</v>
      </c>
      <c r="Q1734" s="17" t="s">
        <v>37</v>
      </c>
      <c r="R1734" s="8" t="s">
        <v>6082</v>
      </c>
      <c r="S1734" s="8"/>
      <c r="T1734" s="7" t="str">
        <f>HYPERLINK("https://miland.ru/api/getInfo/image/38c115e2-fd15-11f0-a28e-00155d82e908")</f>
        <v>https://miland.ru/api/getInfo/image/38c115e2-fd15-11f0-a28e-00155d82e908</v>
      </c>
      <c r="U1734" s="7"/>
      <c r="V1734" s="7"/>
      <c r="W1734" s="7" t="s">
        <v>82</v>
      </c>
      <c r="X1734" s="7"/>
      <c r="Y1734" s="7" t="s">
        <v>41</v>
      </c>
      <c r="Z1734" s="7"/>
      <c r="AA1734" s="7" t="str">
        <f>HYPERLINK("https://miland.ru/api/getInfo/item/38c115e2-fd15-11f0-a28e-00155d82e908")</f>
        <v>https://miland.ru/api/getInfo/item/38c115e2-fd15-11f0-a28e-00155d82e908</v>
      </c>
      <c r="AB1734" s="7" t="s">
        <v>42</v>
      </c>
      <c r="AC1734" s="7"/>
      <c r="AD1734" s="7"/>
      <c r="AE1734" s="54"/>
    </row>
    <row r="1735" spans="2:31" s="1" customFormat="1" ht="96.3" customHeight="1" outlineLevel="7">
      <c r="B1735" s="58">
        <v>1334</v>
      </c>
      <c r="C1735" s="7" t="s">
        <v>6083</v>
      </c>
      <c r="D1735" s="71" t="s">
        <v>6084</v>
      </c>
      <c r="E1735" s="71"/>
      <c r="F1735" s="71"/>
      <c r="G1735" s="71"/>
      <c r="H1735" s="8" t="s">
        <v>6085</v>
      </c>
      <c r="I1735" s="9" t="s">
        <v>36</v>
      </c>
      <c r="J1735" s="8"/>
      <c r="K1735" s="6">
        <v>4</v>
      </c>
      <c r="L1735" s="10">
        <v>123.11</v>
      </c>
      <c r="M1735" s="11"/>
      <c r="N1735" s="8">
        <f t="shared" si="77"/>
        <v>0</v>
      </c>
      <c r="O1735" s="12">
        <f>0.047*M1735</f>
        <v>0</v>
      </c>
      <c r="P1735" s="13">
        <f>0.00044*M1735</f>
        <v>0</v>
      </c>
      <c r="Q1735" s="17" t="s">
        <v>37</v>
      </c>
      <c r="R1735" s="8" t="s">
        <v>6086</v>
      </c>
      <c r="S1735" s="8"/>
      <c r="T1735" s="7" t="str">
        <f>HYPERLINK("https://miland.ru/api/getInfo/image/4d7395ce-fd16-11f0-a28e-00155d82e908")</f>
        <v>https://miland.ru/api/getInfo/image/4d7395ce-fd16-11f0-a28e-00155d82e908</v>
      </c>
      <c r="U1735" s="7"/>
      <c r="V1735" s="7"/>
      <c r="W1735" s="7" t="s">
        <v>82</v>
      </c>
      <c r="X1735" s="7"/>
      <c r="Y1735" s="7" t="s">
        <v>41</v>
      </c>
      <c r="Z1735" s="7"/>
      <c r="AA1735" s="7" t="str">
        <f>HYPERLINK("https://miland.ru/api/getInfo/item/4d7395ce-fd16-11f0-a28e-00155d82e908")</f>
        <v>https://miland.ru/api/getInfo/item/4d7395ce-fd16-11f0-a28e-00155d82e908</v>
      </c>
      <c r="AB1735" s="7" t="s">
        <v>42</v>
      </c>
      <c r="AC1735" s="7"/>
      <c r="AD1735" s="7"/>
      <c r="AE1735" s="54"/>
    </row>
    <row r="1736" spans="2:31" s="1" customFormat="1" ht="96.3" customHeight="1" outlineLevel="7">
      <c r="B1736" s="58">
        <v>1335</v>
      </c>
      <c r="C1736" s="7" t="s">
        <v>6087</v>
      </c>
      <c r="D1736" s="71" t="s">
        <v>6088</v>
      </c>
      <c r="E1736" s="71"/>
      <c r="F1736" s="71"/>
      <c r="G1736" s="71"/>
      <c r="H1736" s="8" t="s">
        <v>6089</v>
      </c>
      <c r="I1736" s="9" t="s">
        <v>36</v>
      </c>
      <c r="J1736" s="8"/>
      <c r="K1736" s="6">
        <v>4</v>
      </c>
      <c r="L1736" s="10">
        <v>123.11</v>
      </c>
      <c r="M1736" s="11"/>
      <c r="N1736" s="8">
        <f t="shared" si="77"/>
        <v>0</v>
      </c>
      <c r="O1736" s="12">
        <f>0.057*M1736</f>
        <v>0</v>
      </c>
      <c r="P1736" s="13">
        <f>0.00054*M1736</f>
        <v>0</v>
      </c>
      <c r="Q1736" s="17" t="s">
        <v>37</v>
      </c>
      <c r="R1736" s="8" t="s">
        <v>6090</v>
      </c>
      <c r="S1736" s="8"/>
      <c r="T1736" s="7" t="str">
        <f>HYPERLINK("https://miland.ru/api/getInfo/image/eea59094-fd16-11f0-a28e-00155d82e908")</f>
        <v>https://miland.ru/api/getInfo/image/eea59094-fd16-11f0-a28e-00155d82e908</v>
      </c>
      <c r="U1736" s="7"/>
      <c r="V1736" s="7"/>
      <c r="W1736" s="7" t="s">
        <v>82</v>
      </c>
      <c r="X1736" s="7"/>
      <c r="Y1736" s="7" t="s">
        <v>41</v>
      </c>
      <c r="Z1736" s="7"/>
      <c r="AA1736" s="7" t="str">
        <f>HYPERLINK("https://miland.ru/api/getInfo/item/eea59094-fd16-11f0-a28e-00155d82e908")</f>
        <v>https://miland.ru/api/getInfo/item/eea59094-fd16-11f0-a28e-00155d82e908</v>
      </c>
      <c r="AB1736" s="7" t="s">
        <v>42</v>
      </c>
      <c r="AC1736" s="7"/>
      <c r="AD1736" s="7"/>
      <c r="AE1736" s="54"/>
    </row>
    <row r="1737" spans="2:31" s="1" customFormat="1" ht="96.3" customHeight="1" outlineLevel="7">
      <c r="B1737" s="57">
        <v>1336</v>
      </c>
      <c r="C1737" s="21" t="s">
        <v>6091</v>
      </c>
      <c r="D1737" s="72" t="s">
        <v>6092</v>
      </c>
      <c r="E1737" s="72"/>
      <c r="F1737" s="72"/>
      <c r="G1737" s="72"/>
      <c r="H1737" s="22" t="s">
        <v>6093</v>
      </c>
      <c r="I1737" s="27">
        <v>57</v>
      </c>
      <c r="J1737" s="22"/>
      <c r="K1737" s="20">
        <v>4</v>
      </c>
      <c r="L1737" s="24">
        <v>123.11</v>
      </c>
      <c r="M1737" s="11"/>
      <c r="N1737" s="22">
        <f t="shared" si="77"/>
        <v>0</v>
      </c>
      <c r="O1737" s="25">
        <f>0.045*M1737</f>
        <v>0</v>
      </c>
      <c r="P1737" s="26">
        <f>0.00102*M1737</f>
        <v>0</v>
      </c>
      <c r="Q1737" s="30"/>
      <c r="R1737" s="22" t="s">
        <v>6094</v>
      </c>
      <c r="S1737" s="22" t="s">
        <v>435</v>
      </c>
      <c r="T1737" s="21" t="str">
        <f>HYPERLINK("https://miland.ru/api/getInfo/image/fbe1bd3c-bf69-11ee-a25a-00155d82e908")</f>
        <v>https://miland.ru/api/getInfo/image/fbe1bd3c-bf69-11ee-a25a-00155d82e908</v>
      </c>
      <c r="U1737" s="21"/>
      <c r="V1737" s="21" t="s">
        <v>208</v>
      </c>
      <c r="W1737" s="21" t="s">
        <v>82</v>
      </c>
      <c r="X1737" s="21"/>
      <c r="Y1737" s="21" t="s">
        <v>41</v>
      </c>
      <c r="Z1737" s="21"/>
      <c r="AA1737" s="21" t="str">
        <f>HYPERLINK("https://miland.ru/api/getInfo/item/fbe1bd3c-bf69-11ee-a25a-00155d82e908")</f>
        <v>https://miland.ru/api/getInfo/item/fbe1bd3c-bf69-11ee-a25a-00155d82e908</v>
      </c>
      <c r="AB1737" s="21" t="s">
        <v>42</v>
      </c>
      <c r="AC1737" s="21" t="s">
        <v>6058</v>
      </c>
      <c r="AD1737" s="21"/>
    </row>
    <row r="1738" spans="2:31" s="1" customFormat="1" ht="96.3" customHeight="1" outlineLevel="7">
      <c r="B1738" s="58">
        <v>1337</v>
      </c>
      <c r="C1738" s="7" t="s">
        <v>6095</v>
      </c>
      <c r="D1738" s="71" t="s">
        <v>6096</v>
      </c>
      <c r="E1738" s="71"/>
      <c r="F1738" s="71"/>
      <c r="G1738" s="71"/>
      <c r="H1738" s="8" t="s">
        <v>6097</v>
      </c>
      <c r="I1738" s="9" t="s">
        <v>36</v>
      </c>
      <c r="J1738" s="8"/>
      <c r="K1738" s="6">
        <v>4</v>
      </c>
      <c r="L1738" s="10">
        <v>123.11</v>
      </c>
      <c r="M1738" s="11"/>
      <c r="N1738" s="8">
        <f t="shared" si="77"/>
        <v>0</v>
      </c>
      <c r="O1738" s="12">
        <f>0.046*M1738</f>
        <v>0</v>
      </c>
      <c r="P1738" s="13">
        <f>0.00043*M1738</f>
        <v>0</v>
      </c>
      <c r="Q1738" s="17" t="s">
        <v>37</v>
      </c>
      <c r="R1738" s="8" t="s">
        <v>6098</v>
      </c>
      <c r="S1738" s="8"/>
      <c r="T1738" s="7" t="str">
        <f>HYPERLINK("https://miland.ru/api/getInfo/image/d8179a19-fd16-11f0-a28e-00155d82e908")</f>
        <v>https://miland.ru/api/getInfo/image/d8179a19-fd16-11f0-a28e-00155d82e908</v>
      </c>
      <c r="U1738" s="7"/>
      <c r="V1738" s="7"/>
      <c r="W1738" s="7" t="s">
        <v>82</v>
      </c>
      <c r="X1738" s="7"/>
      <c r="Y1738" s="7" t="s">
        <v>41</v>
      </c>
      <c r="Z1738" s="7"/>
      <c r="AA1738" s="7" t="str">
        <f>HYPERLINK("https://miland.ru/api/getInfo/item/d8179a19-fd16-11f0-a28e-00155d82e908")</f>
        <v>https://miland.ru/api/getInfo/item/d8179a19-fd16-11f0-a28e-00155d82e908</v>
      </c>
      <c r="AB1738" s="7" t="s">
        <v>42</v>
      </c>
      <c r="AC1738" s="7"/>
      <c r="AD1738" s="7"/>
      <c r="AE1738" s="54"/>
    </row>
    <row r="1739" spans="2:31" s="1" customFormat="1" ht="96.3" customHeight="1" outlineLevel="7">
      <c r="B1739" s="57">
        <v>1338</v>
      </c>
      <c r="C1739" s="21" t="s">
        <v>6099</v>
      </c>
      <c r="D1739" s="72" t="s">
        <v>6100</v>
      </c>
      <c r="E1739" s="72"/>
      <c r="F1739" s="72"/>
      <c r="G1739" s="72"/>
      <c r="H1739" s="22" t="s">
        <v>6101</v>
      </c>
      <c r="I1739" s="23" t="s">
        <v>36</v>
      </c>
      <c r="J1739" s="22"/>
      <c r="K1739" s="20">
        <v>4</v>
      </c>
      <c r="L1739" s="24">
        <v>123.11</v>
      </c>
      <c r="M1739" s="11"/>
      <c r="N1739" s="22">
        <f t="shared" si="77"/>
        <v>0</v>
      </c>
      <c r="O1739" s="28">
        <f>0.44*M1739</f>
        <v>0</v>
      </c>
      <c r="P1739" s="26">
        <f>0.00014*M1739</f>
        <v>0</v>
      </c>
      <c r="Q1739" s="30"/>
      <c r="R1739" s="22" t="s">
        <v>6102</v>
      </c>
      <c r="S1739" s="22" t="s">
        <v>435</v>
      </c>
      <c r="T1739" s="21" t="str">
        <f>HYPERLINK("https://miland.ru/api/getInfo/image/10813b29-d95b-11ef-a273-00155d82e908")</f>
        <v>https://miland.ru/api/getInfo/image/10813b29-d95b-11ef-a273-00155d82e908</v>
      </c>
      <c r="U1739" s="21"/>
      <c r="V1739" s="21" t="s">
        <v>208</v>
      </c>
      <c r="W1739" s="21" t="s">
        <v>82</v>
      </c>
      <c r="X1739" s="21"/>
      <c r="Y1739" s="21" t="s">
        <v>41</v>
      </c>
      <c r="Z1739" s="21"/>
      <c r="AA1739" s="21" t="str">
        <f>HYPERLINK("https://miland.ru/api/getInfo/item/10813b29-d95b-11ef-a273-00155d82e908")</f>
        <v>https://miland.ru/api/getInfo/item/10813b29-d95b-11ef-a273-00155d82e908</v>
      </c>
      <c r="AB1739" s="21" t="s">
        <v>42</v>
      </c>
      <c r="AC1739" s="21"/>
      <c r="AD1739" s="21"/>
    </row>
    <row r="1740" spans="2:31" s="1" customFormat="1" ht="96.3" customHeight="1" outlineLevel="7">
      <c r="B1740" s="57">
        <v>1339</v>
      </c>
      <c r="C1740" s="21" t="s">
        <v>6103</v>
      </c>
      <c r="D1740" s="72" t="s">
        <v>6104</v>
      </c>
      <c r="E1740" s="72"/>
      <c r="F1740" s="72"/>
      <c r="G1740" s="72"/>
      <c r="H1740" s="22" t="s">
        <v>6105</v>
      </c>
      <c r="I1740" s="23" t="s">
        <v>36</v>
      </c>
      <c r="J1740" s="22"/>
      <c r="K1740" s="20">
        <v>4</v>
      </c>
      <c r="L1740" s="24">
        <v>123.11</v>
      </c>
      <c r="M1740" s="11"/>
      <c r="N1740" s="22">
        <f t="shared" si="77"/>
        <v>0</v>
      </c>
      <c r="O1740" s="28">
        <f>0.44*M1740</f>
        <v>0</v>
      </c>
      <c r="P1740" s="26">
        <f>0.00014*M1740</f>
        <v>0</v>
      </c>
      <c r="Q1740" s="30"/>
      <c r="R1740" s="22" t="s">
        <v>6106</v>
      </c>
      <c r="S1740" s="22" t="s">
        <v>435</v>
      </c>
      <c r="T1740" s="21" t="str">
        <f>HYPERLINK("https://miland.ru/api/getInfo/image/210064c2-d958-11ef-a273-00155d82e908")</f>
        <v>https://miland.ru/api/getInfo/image/210064c2-d958-11ef-a273-00155d82e908</v>
      </c>
      <c r="U1740" s="21"/>
      <c r="V1740" s="21" t="s">
        <v>208</v>
      </c>
      <c r="W1740" s="21" t="s">
        <v>82</v>
      </c>
      <c r="X1740" s="21"/>
      <c r="Y1740" s="21" t="s">
        <v>41</v>
      </c>
      <c r="Z1740" s="21"/>
      <c r="AA1740" s="21" t="str">
        <f>HYPERLINK("https://miland.ru/api/getInfo/item/210064c2-d958-11ef-a273-00155d82e908")</f>
        <v>https://miland.ru/api/getInfo/item/210064c2-d958-11ef-a273-00155d82e908</v>
      </c>
      <c r="AB1740" s="21" t="s">
        <v>42</v>
      </c>
      <c r="AC1740" s="21"/>
      <c r="AD1740" s="21"/>
    </row>
    <row r="1741" spans="2:31" s="1" customFormat="1" ht="96.3" customHeight="1" outlineLevel="7">
      <c r="B1741" s="57">
        <v>1340</v>
      </c>
      <c r="C1741" s="21" t="s">
        <v>6107</v>
      </c>
      <c r="D1741" s="72" t="s">
        <v>6108</v>
      </c>
      <c r="E1741" s="72"/>
      <c r="F1741" s="72"/>
      <c r="G1741" s="72"/>
      <c r="H1741" s="22" t="s">
        <v>6109</v>
      </c>
      <c r="I1741" s="27">
        <v>132</v>
      </c>
      <c r="J1741" s="22"/>
      <c r="K1741" s="20">
        <v>4</v>
      </c>
      <c r="L1741" s="24">
        <v>123.11</v>
      </c>
      <c r="M1741" s="11"/>
      <c r="N1741" s="22">
        <f t="shared" si="77"/>
        <v>0</v>
      </c>
      <c r="O1741" s="28">
        <f>0.05*M1741</f>
        <v>0</v>
      </c>
      <c r="P1741" s="26">
        <f>0.00015*M1741</f>
        <v>0</v>
      </c>
      <c r="Q1741" s="30"/>
      <c r="R1741" s="22" t="s">
        <v>6110</v>
      </c>
      <c r="S1741" s="22"/>
      <c r="T1741" s="21" t="str">
        <f>HYPERLINK("https://miland.ru/api/getInfo/image/e4ec59ef-d957-11ef-a273-00155d82e908")</f>
        <v>https://miland.ru/api/getInfo/image/e4ec59ef-d957-11ef-a273-00155d82e908</v>
      </c>
      <c r="U1741" s="21"/>
      <c r="V1741" s="21" t="s">
        <v>208</v>
      </c>
      <c r="W1741" s="21" t="s">
        <v>82</v>
      </c>
      <c r="X1741" s="21"/>
      <c r="Y1741" s="21" t="s">
        <v>41</v>
      </c>
      <c r="Z1741" s="21"/>
      <c r="AA1741" s="21" t="str">
        <f>HYPERLINK("https://miland.ru/api/getInfo/item/e4ec59ef-d957-11ef-a273-00155d82e908")</f>
        <v>https://miland.ru/api/getInfo/item/e4ec59ef-d957-11ef-a273-00155d82e908</v>
      </c>
      <c r="AB1741" s="21" t="s">
        <v>42</v>
      </c>
      <c r="AC1741" s="21"/>
      <c r="AD1741" s="21"/>
    </row>
    <row r="1742" spans="2:31" ht="12" customHeight="1" outlineLevel="6">
      <c r="B1742" s="70" t="s">
        <v>6111</v>
      </c>
      <c r="C1742" s="70"/>
      <c r="D1742" s="70"/>
      <c r="E1742" s="70"/>
      <c r="F1742" s="70"/>
      <c r="G1742" s="70"/>
    </row>
    <row r="1743" spans="2:31" ht="12" customHeight="1" outlineLevel="7">
      <c r="B1743" s="70" t="s">
        <v>5944</v>
      </c>
      <c r="C1743" s="70"/>
      <c r="D1743" s="70"/>
      <c r="E1743" s="70"/>
      <c r="F1743" s="70"/>
      <c r="G1743" s="70"/>
    </row>
    <row r="1744" spans="2:31" s="1" customFormat="1" ht="96.3" customHeight="1" outlineLevel="7">
      <c r="B1744" s="57">
        <v>1341</v>
      </c>
      <c r="C1744" s="21" t="s">
        <v>6112</v>
      </c>
      <c r="D1744" s="72" t="s">
        <v>6113</v>
      </c>
      <c r="E1744" s="72"/>
      <c r="F1744" s="72"/>
      <c r="G1744" s="72"/>
      <c r="H1744" s="22" t="s">
        <v>6114</v>
      </c>
      <c r="I1744" s="23" t="s">
        <v>36</v>
      </c>
      <c r="J1744" s="22"/>
      <c r="K1744" s="20">
        <v>5</v>
      </c>
      <c r="L1744" s="24">
        <v>46.87</v>
      </c>
      <c r="M1744" s="11"/>
      <c r="N1744" s="22">
        <f>L1744*M1744</f>
        <v>0</v>
      </c>
      <c r="O1744" s="28">
        <f>0.03*M1744</f>
        <v>0</v>
      </c>
      <c r="P1744" s="26">
        <f>0.00007*M1744</f>
        <v>0</v>
      </c>
      <c r="Q1744" s="30"/>
      <c r="R1744" s="22" t="s">
        <v>6115</v>
      </c>
      <c r="S1744" s="22" t="s">
        <v>435</v>
      </c>
      <c r="T1744" s="21" t="str">
        <f>HYPERLINK("https://miland.ru/api/getInfo/image/a97c59f3-564a-11eb-a26d-ac1f6b442184")</f>
        <v>https://miland.ru/api/getInfo/image/a97c59f3-564a-11eb-a26d-ac1f6b442184</v>
      </c>
      <c r="U1744" s="21"/>
      <c r="V1744" s="21" t="s">
        <v>208</v>
      </c>
      <c r="W1744" s="21" t="s">
        <v>82</v>
      </c>
      <c r="X1744" s="21"/>
      <c r="Y1744" s="21" t="s">
        <v>41</v>
      </c>
      <c r="Z1744" s="21"/>
      <c r="AA1744" s="21" t="str">
        <f>HYPERLINK("https://miland.ru/api/getInfo/item/a97c59f3-564a-11eb-a26d-ac1f6b442184")</f>
        <v>https://miland.ru/api/getInfo/item/a97c59f3-564a-11eb-a26d-ac1f6b442184</v>
      </c>
      <c r="AB1744" s="21" t="s">
        <v>42</v>
      </c>
      <c r="AC1744" s="21" t="s">
        <v>6116</v>
      </c>
      <c r="AD1744" s="21"/>
    </row>
    <row r="1745" spans="2:31" ht="12" customHeight="1" outlineLevel="7">
      <c r="B1745" s="70" t="s">
        <v>5990</v>
      </c>
      <c r="C1745" s="70"/>
      <c r="D1745" s="70"/>
      <c r="E1745" s="70"/>
      <c r="F1745" s="70"/>
      <c r="G1745" s="70"/>
    </row>
    <row r="1746" spans="2:31" s="1" customFormat="1" ht="96.3" customHeight="1" outlineLevel="7">
      <c r="B1746" s="57">
        <v>1342</v>
      </c>
      <c r="C1746" s="21" t="s">
        <v>6117</v>
      </c>
      <c r="D1746" s="72" t="s">
        <v>6118</v>
      </c>
      <c r="E1746" s="72"/>
      <c r="F1746" s="72"/>
      <c r="G1746" s="72"/>
      <c r="H1746" s="22" t="s">
        <v>6119</v>
      </c>
      <c r="I1746" s="27">
        <v>67</v>
      </c>
      <c r="J1746" s="22"/>
      <c r="K1746" s="20">
        <v>4</v>
      </c>
      <c r="L1746" s="24">
        <v>83.76</v>
      </c>
      <c r="M1746" s="11"/>
      <c r="N1746" s="22">
        <f>L1746*M1746</f>
        <v>0</v>
      </c>
      <c r="O1746" s="28">
        <f>0.04*M1746</f>
        <v>0</v>
      </c>
      <c r="P1746" s="26">
        <f>0.00031*M1746</f>
        <v>0</v>
      </c>
      <c r="Q1746" s="30"/>
      <c r="R1746" s="22" t="s">
        <v>6120</v>
      </c>
      <c r="S1746" s="22" t="s">
        <v>435</v>
      </c>
      <c r="T1746" s="21" t="str">
        <f>HYPERLINK("https://miland.ru/api/getInfo/image/17a4670d-55a8-11eb-a26d-ac1f6b442184")</f>
        <v>https://miland.ru/api/getInfo/image/17a4670d-55a8-11eb-a26d-ac1f6b442184</v>
      </c>
      <c r="U1746" s="21"/>
      <c r="V1746" s="21" t="s">
        <v>208</v>
      </c>
      <c r="W1746" s="21" t="s">
        <v>82</v>
      </c>
      <c r="X1746" s="21"/>
      <c r="Y1746" s="21" t="s">
        <v>41</v>
      </c>
      <c r="Z1746" s="21"/>
      <c r="AA1746" s="21" t="str">
        <f>HYPERLINK("https://miland.ru/api/getInfo/item/17a4670d-55a8-11eb-a26d-ac1f6b442184")</f>
        <v>https://miland.ru/api/getInfo/item/17a4670d-55a8-11eb-a26d-ac1f6b442184</v>
      </c>
      <c r="AB1746" s="21" t="s">
        <v>42</v>
      </c>
      <c r="AC1746" s="21" t="s">
        <v>6121</v>
      </c>
      <c r="AD1746" s="21"/>
    </row>
    <row r="1747" spans="2:31" s="1" customFormat="1" ht="96.3" customHeight="1" outlineLevel="7">
      <c r="B1747" s="57">
        <v>1343</v>
      </c>
      <c r="C1747" s="21" t="s">
        <v>6122</v>
      </c>
      <c r="D1747" s="72" t="s">
        <v>6123</v>
      </c>
      <c r="E1747" s="72"/>
      <c r="F1747" s="72"/>
      <c r="G1747" s="72"/>
      <c r="H1747" s="22" t="s">
        <v>6124</v>
      </c>
      <c r="I1747" s="23" t="s">
        <v>36</v>
      </c>
      <c r="J1747" s="22"/>
      <c r="K1747" s="20">
        <v>4</v>
      </c>
      <c r="L1747" s="24">
        <v>83.76</v>
      </c>
      <c r="M1747" s="11"/>
      <c r="N1747" s="22">
        <f>L1747*M1747</f>
        <v>0</v>
      </c>
      <c r="O1747" s="25">
        <f>0.028*M1747</f>
        <v>0</v>
      </c>
      <c r="P1747" s="29">
        <f>0.0001*M1747</f>
        <v>0</v>
      </c>
      <c r="Q1747" s="30"/>
      <c r="R1747" s="22" t="s">
        <v>6125</v>
      </c>
      <c r="S1747" s="22" t="s">
        <v>435</v>
      </c>
      <c r="T1747" s="21" t="str">
        <f>HYPERLINK("https://miland.ru/api/getInfo/image/ad4b1eb3-55ae-11eb-a26d-ac1f6b442184")</f>
        <v>https://miland.ru/api/getInfo/image/ad4b1eb3-55ae-11eb-a26d-ac1f6b442184</v>
      </c>
      <c r="U1747" s="21"/>
      <c r="V1747" s="21" t="s">
        <v>208</v>
      </c>
      <c r="W1747" s="21" t="s">
        <v>82</v>
      </c>
      <c r="X1747" s="21"/>
      <c r="Y1747" s="21" t="s">
        <v>41</v>
      </c>
      <c r="Z1747" s="21"/>
      <c r="AA1747" s="21" t="str">
        <f>HYPERLINK("https://miland.ru/api/getInfo/item/ad4b1eb3-55ae-11eb-a26d-ac1f6b442184")</f>
        <v>https://miland.ru/api/getInfo/item/ad4b1eb3-55ae-11eb-a26d-ac1f6b442184</v>
      </c>
      <c r="AB1747" s="21" t="s">
        <v>42</v>
      </c>
      <c r="AC1747" s="21" t="s">
        <v>6126</v>
      </c>
      <c r="AD1747" s="21"/>
    </row>
    <row r="1748" spans="2:31" ht="12" customHeight="1" outlineLevel="5">
      <c r="B1748" s="70" t="s">
        <v>6127</v>
      </c>
      <c r="C1748" s="70"/>
      <c r="D1748" s="70"/>
      <c r="E1748" s="70"/>
      <c r="F1748" s="70"/>
      <c r="G1748" s="70"/>
    </row>
    <row r="1749" spans="2:31" ht="12" customHeight="1" outlineLevel="6">
      <c r="B1749" s="70" t="s">
        <v>6128</v>
      </c>
      <c r="C1749" s="70"/>
      <c r="D1749" s="70"/>
      <c r="E1749" s="70"/>
      <c r="F1749" s="70"/>
      <c r="G1749" s="70"/>
    </row>
    <row r="1750" spans="2:31" s="1" customFormat="1" ht="96.3" customHeight="1" outlineLevel="7">
      <c r="B1750" s="57">
        <v>1344</v>
      </c>
      <c r="C1750" s="21" t="s">
        <v>6129</v>
      </c>
      <c r="D1750" s="72" t="s">
        <v>6130</v>
      </c>
      <c r="E1750" s="72"/>
      <c r="F1750" s="72"/>
      <c r="G1750" s="72"/>
      <c r="H1750" s="22" t="s">
        <v>6131</v>
      </c>
      <c r="I1750" s="27">
        <v>5</v>
      </c>
      <c r="J1750" s="22"/>
      <c r="K1750" s="20">
        <v>5</v>
      </c>
      <c r="L1750" s="24">
        <v>72.66</v>
      </c>
      <c r="M1750" s="11"/>
      <c r="N1750" s="22">
        <f>L1750*M1750</f>
        <v>0</v>
      </c>
      <c r="O1750" s="25">
        <f>0.016*M1750</f>
        <v>0</v>
      </c>
      <c r="P1750" s="26">
        <f>0.00009*M1750</f>
        <v>0</v>
      </c>
      <c r="Q1750" s="30"/>
      <c r="R1750" s="22" t="s">
        <v>6132</v>
      </c>
      <c r="S1750" s="22" t="s">
        <v>435</v>
      </c>
      <c r="T1750" s="21" t="str">
        <f>HYPERLINK("https://miland.ru/api/getInfo/image/659696f3-dc82-11ef-a273-00155d82e908")</f>
        <v>https://miland.ru/api/getInfo/image/659696f3-dc82-11ef-a273-00155d82e908</v>
      </c>
      <c r="U1750" s="21"/>
      <c r="V1750" s="21"/>
      <c r="W1750" s="21" t="s">
        <v>82</v>
      </c>
      <c r="X1750" s="21"/>
      <c r="Y1750" s="21"/>
      <c r="Z1750" s="21"/>
      <c r="AA1750" s="21" t="str">
        <f>HYPERLINK("https://miland.ru/api/getInfo/item/659696f3-dc82-11ef-a273-00155d82e908")</f>
        <v>https://miland.ru/api/getInfo/item/659696f3-dc82-11ef-a273-00155d82e908</v>
      </c>
      <c r="AB1750" s="21" t="s">
        <v>42</v>
      </c>
      <c r="AC1750" s="21"/>
      <c r="AD1750" s="21"/>
    </row>
    <row r="1751" spans="2:31" s="1" customFormat="1" ht="96.3" customHeight="1" outlineLevel="7">
      <c r="B1751" s="57">
        <v>1345</v>
      </c>
      <c r="C1751" s="21" t="s">
        <v>6133</v>
      </c>
      <c r="D1751" s="72" t="s">
        <v>6134</v>
      </c>
      <c r="E1751" s="72"/>
      <c r="F1751" s="72"/>
      <c r="G1751" s="72"/>
      <c r="H1751" s="22" t="s">
        <v>6135</v>
      </c>
      <c r="I1751" s="23" t="s">
        <v>36</v>
      </c>
      <c r="J1751" s="22"/>
      <c r="K1751" s="20">
        <v>6</v>
      </c>
      <c r="L1751" s="24">
        <v>72.66</v>
      </c>
      <c r="M1751" s="11"/>
      <c r="N1751" s="22">
        <f>L1751*M1751</f>
        <v>0</v>
      </c>
      <c r="O1751" s="25">
        <f>0.018*M1751</f>
        <v>0</v>
      </c>
      <c r="P1751" s="26">
        <f>0.00017*M1751</f>
        <v>0</v>
      </c>
      <c r="Q1751" s="30"/>
      <c r="R1751" s="22" t="s">
        <v>6136</v>
      </c>
      <c r="S1751" s="22" t="s">
        <v>435</v>
      </c>
      <c r="T1751" s="21" t="str">
        <f>HYPERLINK("https://miland.ru/api/getInfo/image/26069e15-a8e8-11ec-a211-ac1f6b442185")</f>
        <v>https://miland.ru/api/getInfo/image/26069e15-a8e8-11ec-a211-ac1f6b442185</v>
      </c>
      <c r="U1751" s="21"/>
      <c r="V1751" s="21"/>
      <c r="W1751" s="21"/>
      <c r="X1751" s="21"/>
      <c r="Y1751" s="21"/>
      <c r="Z1751" s="21"/>
      <c r="AA1751" s="21" t="str">
        <f>HYPERLINK("https://miland.ru/api/getInfo/item/26069e15-a8e8-11ec-a211-ac1f6b442185")</f>
        <v>https://miland.ru/api/getInfo/item/26069e15-a8e8-11ec-a211-ac1f6b442185</v>
      </c>
      <c r="AB1751" s="21" t="s">
        <v>42</v>
      </c>
      <c r="AC1751" s="21" t="s">
        <v>4298</v>
      </c>
      <c r="AD1751" s="21"/>
    </row>
    <row r="1752" spans="2:31" s="1" customFormat="1" ht="96.3" customHeight="1" outlineLevel="7">
      <c r="B1752" s="60">
        <v>1346</v>
      </c>
      <c r="C1752" s="38" t="s">
        <v>6137</v>
      </c>
      <c r="D1752" s="74" t="s">
        <v>6138</v>
      </c>
      <c r="E1752" s="74"/>
      <c r="F1752" s="74"/>
      <c r="G1752" s="74"/>
      <c r="H1752" s="39" t="s">
        <v>6139</v>
      </c>
      <c r="I1752" s="44">
        <v>39</v>
      </c>
      <c r="J1752" s="39"/>
      <c r="K1752" s="37">
        <v>1</v>
      </c>
      <c r="L1752" s="41">
        <v>23.16</v>
      </c>
      <c r="M1752" s="11"/>
      <c r="N1752" s="39">
        <f>L1752*M1752</f>
        <v>0</v>
      </c>
      <c r="O1752" s="48">
        <f>0.016*M1752</f>
        <v>0</v>
      </c>
      <c r="P1752" s="49">
        <f>0.0001*M1752</f>
        <v>0</v>
      </c>
      <c r="Q1752" s="51"/>
      <c r="R1752" s="39" t="s">
        <v>6140</v>
      </c>
      <c r="S1752" s="39" t="s">
        <v>435</v>
      </c>
      <c r="T1752" s="38" t="str">
        <f>HYPERLINK("https://miland.ru/api/getInfo/image/8114dbbf-a8e7-11ec-a211-ac1f6b442185")</f>
        <v>https://miland.ru/api/getInfo/image/8114dbbf-a8e7-11ec-a211-ac1f6b442185</v>
      </c>
      <c r="U1752" s="38"/>
      <c r="V1752" s="38"/>
      <c r="W1752" s="38"/>
      <c r="X1752" s="38"/>
      <c r="Y1752" s="38"/>
      <c r="Z1752" s="38"/>
      <c r="AA1752" s="38" t="str">
        <f>HYPERLINK("https://miland.ru/api/getInfo/item/8114dbbf-a8e7-11ec-a211-ac1f6b442185")</f>
        <v>https://miland.ru/api/getInfo/item/8114dbbf-a8e7-11ec-a211-ac1f6b442185</v>
      </c>
      <c r="AB1752" s="38" t="s">
        <v>42</v>
      </c>
      <c r="AC1752" s="38" t="s">
        <v>4298</v>
      </c>
      <c r="AD1752" s="38"/>
      <c r="AE1752" s="53" t="s">
        <v>1306</v>
      </c>
    </row>
    <row r="1753" spans="2:31" s="1" customFormat="1" ht="96.3" customHeight="1" outlineLevel="7">
      <c r="B1753" s="57">
        <v>1347</v>
      </c>
      <c r="C1753" s="21" t="s">
        <v>6141</v>
      </c>
      <c r="D1753" s="72" t="s">
        <v>6142</v>
      </c>
      <c r="E1753" s="72"/>
      <c r="F1753" s="72"/>
      <c r="G1753" s="72"/>
      <c r="H1753" s="22" t="s">
        <v>6143</v>
      </c>
      <c r="I1753" s="27">
        <v>64</v>
      </c>
      <c r="J1753" s="22"/>
      <c r="K1753" s="20">
        <v>6</v>
      </c>
      <c r="L1753" s="24">
        <v>72.66</v>
      </c>
      <c r="M1753" s="11"/>
      <c r="N1753" s="22">
        <f>L1753*M1753</f>
        <v>0</v>
      </c>
      <c r="O1753" s="25">
        <f>0.017*M1753</f>
        <v>0</v>
      </c>
      <c r="P1753" s="26">
        <f>0.00003*M1753</f>
        <v>0</v>
      </c>
      <c r="Q1753" s="30"/>
      <c r="R1753" s="22" t="s">
        <v>6144</v>
      </c>
      <c r="S1753" s="22" t="s">
        <v>435</v>
      </c>
      <c r="T1753" s="21" t="str">
        <f>HYPERLINK("https://miland.ru/api/getInfo/image/e71755f0-a8e6-11ec-a211-ac1f6b442185")</f>
        <v>https://miland.ru/api/getInfo/image/e71755f0-a8e6-11ec-a211-ac1f6b442185</v>
      </c>
      <c r="U1753" s="21"/>
      <c r="V1753" s="21" t="s">
        <v>208</v>
      </c>
      <c r="W1753" s="21" t="s">
        <v>82</v>
      </c>
      <c r="X1753" s="21"/>
      <c r="Y1753" s="21" t="s">
        <v>41</v>
      </c>
      <c r="Z1753" s="21"/>
      <c r="AA1753" s="21" t="str">
        <f>HYPERLINK("https://miland.ru/api/getInfo/item/e71755f0-a8e6-11ec-a211-ac1f6b442185")</f>
        <v>https://miland.ru/api/getInfo/item/e71755f0-a8e6-11ec-a211-ac1f6b442185</v>
      </c>
      <c r="AB1753" s="21" t="s">
        <v>42</v>
      </c>
      <c r="AC1753" s="21" t="s">
        <v>4298</v>
      </c>
      <c r="AD1753" s="21"/>
    </row>
    <row r="1754" spans="2:31" ht="12" customHeight="1" outlineLevel="6">
      <c r="B1754" s="70" t="s">
        <v>6145</v>
      </c>
      <c r="C1754" s="70"/>
      <c r="D1754" s="70"/>
      <c r="E1754" s="70"/>
      <c r="F1754" s="70"/>
      <c r="G1754" s="70"/>
    </row>
    <row r="1755" spans="2:31" s="1" customFormat="1" ht="96.3" customHeight="1" outlineLevel="7">
      <c r="B1755" s="57">
        <v>1348</v>
      </c>
      <c r="C1755" s="21" t="s">
        <v>6146</v>
      </c>
      <c r="D1755" s="72" t="s">
        <v>6147</v>
      </c>
      <c r="E1755" s="72"/>
      <c r="F1755" s="72"/>
      <c r="G1755" s="72"/>
      <c r="H1755" s="22" t="s">
        <v>6148</v>
      </c>
      <c r="I1755" s="27">
        <v>255</v>
      </c>
      <c r="J1755" s="22"/>
      <c r="K1755" s="20">
        <v>2</v>
      </c>
      <c r="L1755" s="24">
        <v>167.84</v>
      </c>
      <c r="M1755" s="11"/>
      <c r="N1755" s="22">
        <f>L1755*M1755</f>
        <v>0</v>
      </c>
      <c r="O1755" s="25">
        <f>0.026*M1755</f>
        <v>0</v>
      </c>
      <c r="P1755" s="26">
        <f>0.00018*M1755</f>
        <v>0</v>
      </c>
      <c r="Q1755" s="30"/>
      <c r="R1755" s="22" t="s">
        <v>6149</v>
      </c>
      <c r="S1755" s="22" t="s">
        <v>435</v>
      </c>
      <c r="T1755" s="21" t="str">
        <f>HYPERLINK("https://miland.ru/api/getInfo/image/ac266320-dc83-11ef-a273-00155d82e908")</f>
        <v>https://miland.ru/api/getInfo/image/ac266320-dc83-11ef-a273-00155d82e908</v>
      </c>
      <c r="U1755" s="21"/>
      <c r="V1755" s="21"/>
      <c r="W1755" s="21" t="s">
        <v>82</v>
      </c>
      <c r="X1755" s="21"/>
      <c r="Y1755" s="21"/>
      <c r="Z1755" s="21"/>
      <c r="AA1755" s="21" t="str">
        <f>HYPERLINK("https://miland.ru/api/getInfo/item/ac266320-dc83-11ef-a273-00155d82e908")</f>
        <v>https://miland.ru/api/getInfo/item/ac266320-dc83-11ef-a273-00155d82e908</v>
      </c>
      <c r="AB1755" s="21" t="s">
        <v>42</v>
      </c>
      <c r="AC1755" s="21"/>
      <c r="AD1755" s="21"/>
    </row>
    <row r="1756" spans="2:31" s="1" customFormat="1" ht="96.3" customHeight="1" outlineLevel="7">
      <c r="B1756" s="57">
        <v>1349</v>
      </c>
      <c r="C1756" s="21" t="s">
        <v>6150</v>
      </c>
      <c r="D1756" s="72" t="s">
        <v>6151</v>
      </c>
      <c r="E1756" s="72"/>
      <c r="F1756" s="72"/>
      <c r="G1756" s="72"/>
      <c r="H1756" s="22" t="s">
        <v>6152</v>
      </c>
      <c r="I1756" s="23" t="s">
        <v>36</v>
      </c>
      <c r="J1756" s="22"/>
      <c r="K1756" s="20">
        <v>2</v>
      </c>
      <c r="L1756" s="24">
        <v>167.84</v>
      </c>
      <c r="M1756" s="11"/>
      <c r="N1756" s="22">
        <f>L1756*M1756</f>
        <v>0</v>
      </c>
      <c r="O1756" s="25">
        <f>0.025*M1756</f>
        <v>0</v>
      </c>
      <c r="P1756" s="26">
        <f>0.00018*M1756</f>
        <v>0</v>
      </c>
      <c r="Q1756" s="30"/>
      <c r="R1756" s="22" t="s">
        <v>6153</v>
      </c>
      <c r="S1756" s="22"/>
      <c r="T1756" s="21" t="str">
        <f>HYPERLINK("https://miland.ru/api/getInfo/image/228cb935-bf52-11ee-a25a-00155d82e908")</f>
        <v>https://miland.ru/api/getInfo/image/228cb935-bf52-11ee-a25a-00155d82e908</v>
      </c>
      <c r="U1756" s="21"/>
      <c r="V1756" s="21"/>
      <c r="W1756" s="21" t="s">
        <v>82</v>
      </c>
      <c r="X1756" s="21"/>
      <c r="Y1756" s="21"/>
      <c r="Z1756" s="21"/>
      <c r="AA1756" s="21" t="str">
        <f>HYPERLINK("https://miland.ru/api/getInfo/item/228cb935-bf52-11ee-a25a-00155d82e908")</f>
        <v>https://miland.ru/api/getInfo/item/228cb935-bf52-11ee-a25a-00155d82e908</v>
      </c>
      <c r="AB1756" s="21" t="s">
        <v>42</v>
      </c>
      <c r="AC1756" s="21" t="s">
        <v>6154</v>
      </c>
      <c r="AD1756" s="21"/>
    </row>
    <row r="1757" spans="2:31" s="1" customFormat="1" ht="96.3" customHeight="1" outlineLevel="7">
      <c r="B1757" s="57">
        <v>1350</v>
      </c>
      <c r="C1757" s="21" t="s">
        <v>6155</v>
      </c>
      <c r="D1757" s="72" t="s">
        <v>6156</v>
      </c>
      <c r="E1757" s="72"/>
      <c r="F1757" s="72"/>
      <c r="G1757" s="72"/>
      <c r="H1757" s="22" t="s">
        <v>6157</v>
      </c>
      <c r="I1757" s="23" t="s">
        <v>36</v>
      </c>
      <c r="J1757" s="22"/>
      <c r="K1757" s="20">
        <v>2</v>
      </c>
      <c r="L1757" s="24">
        <v>167.84</v>
      </c>
      <c r="M1757" s="11"/>
      <c r="N1757" s="22">
        <f>L1757*M1757</f>
        <v>0</v>
      </c>
      <c r="O1757" s="25">
        <f>0.026*M1757</f>
        <v>0</v>
      </c>
      <c r="P1757" s="26">
        <f>0.00018*M1757</f>
        <v>0</v>
      </c>
      <c r="Q1757" s="30"/>
      <c r="R1757" s="22" t="s">
        <v>6158</v>
      </c>
      <c r="S1757" s="22"/>
      <c r="T1757" s="21" t="str">
        <f>HYPERLINK("https://miland.ru/api/getInfo/image/d4a9b12a-dc83-11ef-a273-00155d82e908")</f>
        <v>https://miland.ru/api/getInfo/image/d4a9b12a-dc83-11ef-a273-00155d82e908</v>
      </c>
      <c r="U1757" s="21"/>
      <c r="V1757" s="21"/>
      <c r="W1757" s="21" t="s">
        <v>82</v>
      </c>
      <c r="X1757" s="21"/>
      <c r="Y1757" s="21"/>
      <c r="Z1757" s="21"/>
      <c r="AA1757" s="21" t="str">
        <f>HYPERLINK("https://miland.ru/api/getInfo/item/d4a9b12a-dc83-11ef-a273-00155d82e908")</f>
        <v>https://miland.ru/api/getInfo/item/d4a9b12a-dc83-11ef-a273-00155d82e908</v>
      </c>
      <c r="AB1757" s="21" t="s">
        <v>42</v>
      </c>
      <c r="AC1757" s="21"/>
      <c r="AD1757" s="21"/>
    </row>
    <row r="1758" spans="2:31" ht="12" customHeight="1" outlineLevel="6">
      <c r="B1758" s="70" t="s">
        <v>5990</v>
      </c>
      <c r="C1758" s="70"/>
      <c r="D1758" s="70"/>
      <c r="E1758" s="70"/>
      <c r="F1758" s="70"/>
      <c r="G1758" s="70"/>
    </row>
    <row r="1759" spans="2:31" s="1" customFormat="1" ht="96.3" customHeight="1" outlineLevel="7">
      <c r="B1759" s="57">
        <v>1351</v>
      </c>
      <c r="C1759" s="21" t="s">
        <v>6159</v>
      </c>
      <c r="D1759" s="72" t="s">
        <v>6160</v>
      </c>
      <c r="E1759" s="72"/>
      <c r="F1759" s="72"/>
      <c r="G1759" s="72"/>
      <c r="H1759" s="22" t="s">
        <v>6161</v>
      </c>
      <c r="I1759" s="27">
        <v>15</v>
      </c>
      <c r="J1759" s="22"/>
      <c r="K1759" s="20">
        <v>2</v>
      </c>
      <c r="L1759" s="24">
        <v>193.71</v>
      </c>
      <c r="M1759" s="11"/>
      <c r="N1759" s="22">
        <f t="shared" ref="N1759:N1766" si="78">L1759*M1759</f>
        <v>0</v>
      </c>
      <c r="O1759" s="25">
        <f>0.035*M1759</f>
        <v>0</v>
      </c>
      <c r="P1759" s="26">
        <f>0.00009*M1759</f>
        <v>0</v>
      </c>
      <c r="Q1759" s="30"/>
      <c r="R1759" s="22" t="s">
        <v>6162</v>
      </c>
      <c r="S1759" s="22" t="s">
        <v>435</v>
      </c>
      <c r="T1759" s="21" t="str">
        <f>HYPERLINK("https://miland.ru/api/getInfo/image/5fecb58c-bf52-11ee-a25a-00155d82e908")</f>
        <v>https://miland.ru/api/getInfo/image/5fecb58c-bf52-11ee-a25a-00155d82e908</v>
      </c>
      <c r="U1759" s="21"/>
      <c r="V1759" s="21"/>
      <c r="W1759" s="21"/>
      <c r="X1759" s="21"/>
      <c r="Y1759" s="21"/>
      <c r="Z1759" s="21"/>
      <c r="AA1759" s="21" t="str">
        <f>HYPERLINK("https://miland.ru/api/getInfo/item/5fecb58c-bf52-11ee-a25a-00155d82e908")</f>
        <v>https://miland.ru/api/getInfo/item/5fecb58c-bf52-11ee-a25a-00155d82e908</v>
      </c>
      <c r="AB1759" s="21" t="s">
        <v>42</v>
      </c>
      <c r="AC1759" s="21" t="s">
        <v>6121</v>
      </c>
      <c r="AD1759" s="21"/>
    </row>
    <row r="1760" spans="2:31" s="1" customFormat="1" ht="96.3" customHeight="1" outlineLevel="7">
      <c r="B1760" s="57">
        <v>1352</v>
      </c>
      <c r="C1760" s="21" t="s">
        <v>6163</v>
      </c>
      <c r="D1760" s="72" t="s">
        <v>6164</v>
      </c>
      <c r="E1760" s="72"/>
      <c r="F1760" s="72"/>
      <c r="G1760" s="72"/>
      <c r="H1760" s="22" t="s">
        <v>6165</v>
      </c>
      <c r="I1760" s="27">
        <v>126</v>
      </c>
      <c r="J1760" s="22"/>
      <c r="K1760" s="20">
        <v>2</v>
      </c>
      <c r="L1760" s="24">
        <v>193.71</v>
      </c>
      <c r="M1760" s="11"/>
      <c r="N1760" s="22">
        <f t="shared" si="78"/>
        <v>0</v>
      </c>
      <c r="O1760" s="25">
        <f>0.032*M1760</f>
        <v>0</v>
      </c>
      <c r="P1760" s="26">
        <f>0.00023*M1760</f>
        <v>0</v>
      </c>
      <c r="Q1760" s="30"/>
      <c r="R1760" s="22" t="s">
        <v>6166</v>
      </c>
      <c r="S1760" s="22" t="s">
        <v>435</v>
      </c>
      <c r="T1760" s="21" t="str">
        <f>HYPERLINK("https://miland.ru/api/getInfo/image/0ae83372-dc84-11ef-a273-00155d82e908")</f>
        <v>https://miland.ru/api/getInfo/image/0ae83372-dc84-11ef-a273-00155d82e908</v>
      </c>
      <c r="U1760" s="21"/>
      <c r="V1760" s="21"/>
      <c r="W1760" s="21" t="s">
        <v>82</v>
      </c>
      <c r="X1760" s="21"/>
      <c r="Y1760" s="21"/>
      <c r="Z1760" s="21"/>
      <c r="AA1760" s="21" t="str">
        <f>HYPERLINK("https://miland.ru/api/getInfo/item/0ae83372-dc84-11ef-a273-00155d82e908")</f>
        <v>https://miland.ru/api/getInfo/item/0ae83372-dc84-11ef-a273-00155d82e908</v>
      </c>
      <c r="AB1760" s="21" t="s">
        <v>42</v>
      </c>
      <c r="AC1760" s="21"/>
      <c r="AD1760" s="21"/>
    </row>
    <row r="1761" spans="2:31" s="1" customFormat="1" ht="96.3" customHeight="1" outlineLevel="7">
      <c r="B1761" s="57">
        <v>1353</v>
      </c>
      <c r="C1761" s="21" t="s">
        <v>6167</v>
      </c>
      <c r="D1761" s="72" t="s">
        <v>6168</v>
      </c>
      <c r="E1761" s="72"/>
      <c r="F1761" s="72"/>
      <c r="G1761" s="72"/>
      <c r="H1761" s="22" t="s">
        <v>6169</v>
      </c>
      <c r="I1761" s="27">
        <v>15</v>
      </c>
      <c r="J1761" s="22"/>
      <c r="K1761" s="20">
        <v>2</v>
      </c>
      <c r="L1761" s="24">
        <v>193.71</v>
      </c>
      <c r="M1761" s="11"/>
      <c r="N1761" s="22">
        <f t="shared" si="78"/>
        <v>0</v>
      </c>
      <c r="O1761" s="25">
        <f>0.035*M1761</f>
        <v>0</v>
      </c>
      <c r="P1761" s="26">
        <f>0.00009*M1761</f>
        <v>0</v>
      </c>
      <c r="Q1761" s="30"/>
      <c r="R1761" s="22" t="s">
        <v>6170</v>
      </c>
      <c r="S1761" s="22" t="s">
        <v>435</v>
      </c>
      <c r="T1761" s="21" t="str">
        <f>HYPERLINK("https://miland.ru/api/getInfo/image/7767518b-bf52-11ee-a25a-00155d82e908")</f>
        <v>https://miland.ru/api/getInfo/image/7767518b-bf52-11ee-a25a-00155d82e908</v>
      </c>
      <c r="U1761" s="21"/>
      <c r="V1761" s="21"/>
      <c r="W1761" s="21"/>
      <c r="X1761" s="21"/>
      <c r="Y1761" s="21"/>
      <c r="Z1761" s="21"/>
      <c r="AA1761" s="21" t="str">
        <f>HYPERLINK("https://miland.ru/api/getInfo/item/7767518b-bf52-11ee-a25a-00155d82e908")</f>
        <v>https://miland.ru/api/getInfo/item/7767518b-bf52-11ee-a25a-00155d82e908</v>
      </c>
      <c r="AB1761" s="21" t="s">
        <v>42</v>
      </c>
      <c r="AC1761" s="21" t="s">
        <v>6121</v>
      </c>
      <c r="AD1761" s="21"/>
    </row>
    <row r="1762" spans="2:31" s="1" customFormat="1" ht="96.3" customHeight="1" outlineLevel="7">
      <c r="B1762" s="57">
        <v>1354</v>
      </c>
      <c r="C1762" s="21" t="s">
        <v>6171</v>
      </c>
      <c r="D1762" s="72" t="s">
        <v>6172</v>
      </c>
      <c r="E1762" s="72"/>
      <c r="F1762" s="72"/>
      <c r="G1762" s="72"/>
      <c r="H1762" s="22" t="s">
        <v>6173</v>
      </c>
      <c r="I1762" s="27">
        <v>15</v>
      </c>
      <c r="J1762" s="22"/>
      <c r="K1762" s="20">
        <v>2</v>
      </c>
      <c r="L1762" s="24">
        <v>193.71</v>
      </c>
      <c r="M1762" s="11"/>
      <c r="N1762" s="22">
        <f t="shared" si="78"/>
        <v>0</v>
      </c>
      <c r="O1762" s="25">
        <f>0.036*M1762</f>
        <v>0</v>
      </c>
      <c r="P1762" s="26">
        <f>0.00265*M1762</f>
        <v>0</v>
      </c>
      <c r="Q1762" s="30"/>
      <c r="R1762" s="22" t="s">
        <v>6174</v>
      </c>
      <c r="S1762" s="22" t="s">
        <v>435</v>
      </c>
      <c r="T1762" s="21" t="str">
        <f>HYPERLINK("https://miland.ru/api/getInfo/image/4473be86-dc84-11ef-a273-00155d82e908")</f>
        <v>https://miland.ru/api/getInfo/image/4473be86-dc84-11ef-a273-00155d82e908</v>
      </c>
      <c r="U1762" s="21"/>
      <c r="V1762" s="21"/>
      <c r="W1762" s="21" t="s">
        <v>82</v>
      </c>
      <c r="X1762" s="21"/>
      <c r="Y1762" s="21"/>
      <c r="Z1762" s="21"/>
      <c r="AA1762" s="21" t="str">
        <f>HYPERLINK("https://miland.ru/api/getInfo/item/4473be86-dc84-11ef-a273-00155d82e908")</f>
        <v>https://miland.ru/api/getInfo/item/4473be86-dc84-11ef-a273-00155d82e908</v>
      </c>
      <c r="AB1762" s="21" t="s">
        <v>42</v>
      </c>
      <c r="AC1762" s="21"/>
      <c r="AD1762" s="21"/>
    </row>
    <row r="1763" spans="2:31" s="1" customFormat="1" ht="96.3" customHeight="1" outlineLevel="7">
      <c r="B1763" s="57">
        <v>1355</v>
      </c>
      <c r="C1763" s="21" t="s">
        <v>6175</v>
      </c>
      <c r="D1763" s="72" t="s">
        <v>6176</v>
      </c>
      <c r="E1763" s="72"/>
      <c r="F1763" s="72"/>
      <c r="G1763" s="72"/>
      <c r="H1763" s="22" t="s">
        <v>6177</v>
      </c>
      <c r="I1763" s="27">
        <v>96</v>
      </c>
      <c r="J1763" s="22"/>
      <c r="K1763" s="20">
        <v>2</v>
      </c>
      <c r="L1763" s="24">
        <v>193.71</v>
      </c>
      <c r="M1763" s="11"/>
      <c r="N1763" s="22">
        <f t="shared" si="78"/>
        <v>0</v>
      </c>
      <c r="O1763" s="25">
        <f>0.034*M1763</f>
        <v>0</v>
      </c>
      <c r="P1763" s="26">
        <f>0.00015*M1763</f>
        <v>0</v>
      </c>
      <c r="Q1763" s="30"/>
      <c r="R1763" s="22" t="s">
        <v>6178</v>
      </c>
      <c r="S1763" s="22" t="s">
        <v>435</v>
      </c>
      <c r="T1763" s="21" t="str">
        <f>HYPERLINK("https://miland.ru/api/getInfo/image/292111a7-dc84-11ef-a273-00155d82e908")</f>
        <v>https://miland.ru/api/getInfo/image/292111a7-dc84-11ef-a273-00155d82e908</v>
      </c>
      <c r="U1763" s="21"/>
      <c r="V1763" s="21"/>
      <c r="W1763" s="21" t="s">
        <v>82</v>
      </c>
      <c r="X1763" s="21"/>
      <c r="Y1763" s="21"/>
      <c r="Z1763" s="21"/>
      <c r="AA1763" s="21" t="str">
        <f>HYPERLINK("https://miland.ru/api/getInfo/item/292111a7-dc84-11ef-a273-00155d82e908")</f>
        <v>https://miland.ru/api/getInfo/item/292111a7-dc84-11ef-a273-00155d82e908</v>
      </c>
      <c r="AB1763" s="21" t="s">
        <v>42</v>
      </c>
      <c r="AC1763" s="21"/>
      <c r="AD1763" s="21"/>
    </row>
    <row r="1764" spans="2:31" s="1" customFormat="1" ht="96.3" customHeight="1" outlineLevel="7">
      <c r="B1764" s="57">
        <v>1356</v>
      </c>
      <c r="C1764" s="21" t="s">
        <v>6179</v>
      </c>
      <c r="D1764" s="72" t="s">
        <v>6180</v>
      </c>
      <c r="E1764" s="72"/>
      <c r="F1764" s="72"/>
      <c r="G1764" s="72"/>
      <c r="H1764" s="22" t="s">
        <v>6181</v>
      </c>
      <c r="I1764" s="27">
        <v>162</v>
      </c>
      <c r="J1764" s="22"/>
      <c r="K1764" s="20">
        <v>2</v>
      </c>
      <c r="L1764" s="24">
        <v>193.71</v>
      </c>
      <c r="M1764" s="11"/>
      <c r="N1764" s="22">
        <f t="shared" si="78"/>
        <v>0</v>
      </c>
      <c r="O1764" s="25">
        <f>0.033*M1764</f>
        <v>0</v>
      </c>
      <c r="P1764" s="26">
        <f>0.00015*M1764</f>
        <v>0</v>
      </c>
      <c r="Q1764" s="30"/>
      <c r="R1764" s="22" t="s">
        <v>6182</v>
      </c>
      <c r="S1764" s="22" t="s">
        <v>435</v>
      </c>
      <c r="T1764" s="21" t="str">
        <f>HYPERLINK("https://miland.ru/api/getInfo/image/f408999f-dc83-11ef-a273-00155d82e908")</f>
        <v>https://miland.ru/api/getInfo/image/f408999f-dc83-11ef-a273-00155d82e908</v>
      </c>
      <c r="U1764" s="21"/>
      <c r="V1764" s="21"/>
      <c r="W1764" s="21" t="s">
        <v>82</v>
      </c>
      <c r="X1764" s="21"/>
      <c r="Y1764" s="21"/>
      <c r="Z1764" s="21"/>
      <c r="AA1764" s="21" t="str">
        <f>HYPERLINK("https://miland.ru/api/getInfo/item/f408999f-dc83-11ef-a273-00155d82e908")</f>
        <v>https://miland.ru/api/getInfo/item/f408999f-dc83-11ef-a273-00155d82e908</v>
      </c>
      <c r="AB1764" s="21" t="s">
        <v>42</v>
      </c>
      <c r="AC1764" s="21"/>
      <c r="AD1764" s="21"/>
    </row>
    <row r="1765" spans="2:31" s="1" customFormat="1" ht="96.3" customHeight="1" outlineLevel="7">
      <c r="B1765" s="59">
        <v>1357</v>
      </c>
      <c r="C1765" s="35" t="s">
        <v>6183</v>
      </c>
      <c r="D1765" s="73" t="s">
        <v>6184</v>
      </c>
      <c r="E1765" s="73"/>
      <c r="F1765" s="73"/>
      <c r="G1765" s="73"/>
      <c r="H1765" s="36" t="s">
        <v>6185</v>
      </c>
      <c r="I1765" s="40">
        <v>13</v>
      </c>
      <c r="J1765" s="36"/>
      <c r="K1765" s="34">
        <v>3</v>
      </c>
      <c r="L1765" s="41">
        <v>84</v>
      </c>
      <c r="M1765" s="11"/>
      <c r="N1765" s="36">
        <f t="shared" si="78"/>
        <v>0</v>
      </c>
      <c r="O1765" s="42">
        <f>0.033*M1765</f>
        <v>0</v>
      </c>
      <c r="P1765" s="43">
        <f>0.00016*M1765</f>
        <v>0</v>
      </c>
      <c r="Q1765" s="50"/>
      <c r="R1765" s="36" t="s">
        <v>6186</v>
      </c>
      <c r="S1765" s="36" t="s">
        <v>435</v>
      </c>
      <c r="T1765" s="35" t="str">
        <f>HYPERLINK("https://miland.ru/api/getInfo/image/c82c11fb-a8e9-11ec-a211-ac1f6b442185")</f>
        <v>https://miland.ru/api/getInfo/image/c82c11fb-a8e9-11ec-a211-ac1f6b442185</v>
      </c>
      <c r="U1765" s="35"/>
      <c r="V1765" s="35"/>
      <c r="W1765" s="35"/>
      <c r="X1765" s="35"/>
      <c r="Y1765" s="35"/>
      <c r="Z1765" s="35"/>
      <c r="AA1765" s="35" t="str">
        <f>HYPERLINK("https://miland.ru/api/getInfo/item/c82c11fb-a8e9-11ec-a211-ac1f6b442185")</f>
        <v>https://miland.ru/api/getInfo/item/c82c11fb-a8e9-11ec-a211-ac1f6b442185</v>
      </c>
      <c r="AB1765" s="35" t="s">
        <v>42</v>
      </c>
      <c r="AC1765" s="35" t="s">
        <v>6121</v>
      </c>
      <c r="AD1765" s="35"/>
      <c r="AE1765" s="52" t="s">
        <v>1251</v>
      </c>
    </row>
    <row r="1766" spans="2:31" s="1" customFormat="1" ht="96.3" customHeight="1" outlineLevel="7">
      <c r="B1766" s="57">
        <v>1358</v>
      </c>
      <c r="C1766" s="21" t="s">
        <v>6187</v>
      </c>
      <c r="D1766" s="72" t="s">
        <v>6188</v>
      </c>
      <c r="E1766" s="72"/>
      <c r="F1766" s="72"/>
      <c r="G1766" s="72"/>
      <c r="H1766" s="22" t="s">
        <v>6189</v>
      </c>
      <c r="I1766" s="27">
        <v>6</v>
      </c>
      <c r="J1766" s="22"/>
      <c r="K1766" s="20">
        <v>2</v>
      </c>
      <c r="L1766" s="24">
        <v>193.71</v>
      </c>
      <c r="M1766" s="11"/>
      <c r="N1766" s="22">
        <f t="shared" si="78"/>
        <v>0</v>
      </c>
      <c r="O1766" s="28">
        <f>0.04*M1766</f>
        <v>0</v>
      </c>
      <c r="P1766" s="26">
        <f>0.00051*M1766</f>
        <v>0</v>
      </c>
      <c r="Q1766" s="30"/>
      <c r="R1766" s="22" t="s">
        <v>6190</v>
      </c>
      <c r="S1766" s="22" t="s">
        <v>435</v>
      </c>
      <c r="T1766" s="21" t="str">
        <f>HYPERLINK("https://miland.ru/api/getInfo/image/7ed9f1a0-a8e9-11ec-a211-ac1f6b442185")</f>
        <v>https://miland.ru/api/getInfo/image/7ed9f1a0-a8e9-11ec-a211-ac1f6b442185</v>
      </c>
      <c r="U1766" s="21"/>
      <c r="V1766" s="21"/>
      <c r="W1766" s="21"/>
      <c r="X1766" s="21"/>
      <c r="Y1766" s="21"/>
      <c r="Z1766" s="21"/>
      <c r="AA1766" s="21" t="str">
        <f>HYPERLINK("https://miland.ru/api/getInfo/item/7ed9f1a0-a8e9-11ec-a211-ac1f6b442185")</f>
        <v>https://miland.ru/api/getInfo/item/7ed9f1a0-a8e9-11ec-a211-ac1f6b442185</v>
      </c>
      <c r="AB1766" s="21" t="s">
        <v>42</v>
      </c>
      <c r="AC1766" s="21" t="s">
        <v>6121</v>
      </c>
      <c r="AD1766" s="21"/>
    </row>
    <row r="1767" spans="2:31" ht="12" customHeight="1" outlineLevel="6">
      <c r="B1767" s="70" t="s">
        <v>6191</v>
      </c>
      <c r="C1767" s="70"/>
      <c r="D1767" s="70"/>
      <c r="E1767" s="70"/>
      <c r="F1767" s="70"/>
      <c r="G1767" s="70"/>
    </row>
    <row r="1768" spans="2:31" s="1" customFormat="1" ht="96.3" customHeight="1" outlineLevel="7">
      <c r="B1768" s="57">
        <v>1359</v>
      </c>
      <c r="C1768" s="21" t="s">
        <v>6192</v>
      </c>
      <c r="D1768" s="72" t="s">
        <v>6193</v>
      </c>
      <c r="E1768" s="72"/>
      <c r="F1768" s="72"/>
      <c r="G1768" s="72"/>
      <c r="H1768" s="22" t="s">
        <v>6194</v>
      </c>
      <c r="I1768" s="27">
        <v>13</v>
      </c>
      <c r="J1768" s="22"/>
      <c r="K1768" s="20">
        <v>2</v>
      </c>
      <c r="L1768" s="24">
        <v>249.62</v>
      </c>
      <c r="M1768" s="11"/>
      <c r="N1768" s="22">
        <f>L1768*M1768</f>
        <v>0</v>
      </c>
      <c r="O1768" s="25">
        <f>0.041*M1768</f>
        <v>0</v>
      </c>
      <c r="P1768" s="26">
        <f>0.00051*M1768</f>
        <v>0</v>
      </c>
      <c r="Q1768" s="30"/>
      <c r="R1768" s="22" t="s">
        <v>6195</v>
      </c>
      <c r="S1768" s="22" t="s">
        <v>435</v>
      </c>
      <c r="T1768" s="21" t="str">
        <f>HYPERLINK("https://miland.ru/api/getInfo/image/db5a8aa4-bf52-11ee-a25a-00155d82e908")</f>
        <v>https://miland.ru/api/getInfo/image/db5a8aa4-bf52-11ee-a25a-00155d82e908</v>
      </c>
      <c r="U1768" s="21"/>
      <c r="V1768" s="21"/>
      <c r="W1768" s="21"/>
      <c r="X1768" s="21"/>
      <c r="Y1768" s="21"/>
      <c r="Z1768" s="21"/>
      <c r="AA1768" s="21" t="str">
        <f>HYPERLINK("https://miland.ru/api/getInfo/item/db5a8aa4-bf52-11ee-a25a-00155d82e908")</f>
        <v>https://miland.ru/api/getInfo/item/db5a8aa4-bf52-11ee-a25a-00155d82e908</v>
      </c>
      <c r="AB1768" s="21" t="s">
        <v>42</v>
      </c>
      <c r="AC1768" s="21" t="s">
        <v>6196</v>
      </c>
      <c r="AD1768" s="21"/>
    </row>
    <row r="1769" spans="2:31" s="1" customFormat="1" ht="96.3" customHeight="1" outlineLevel="7">
      <c r="B1769" s="57">
        <v>1360</v>
      </c>
      <c r="C1769" s="21" t="s">
        <v>6197</v>
      </c>
      <c r="D1769" s="72" t="s">
        <v>6198</v>
      </c>
      <c r="E1769" s="72"/>
      <c r="F1769" s="72"/>
      <c r="G1769" s="72"/>
      <c r="H1769" s="22" t="s">
        <v>6199</v>
      </c>
      <c r="I1769" s="27">
        <v>5</v>
      </c>
      <c r="J1769" s="22"/>
      <c r="K1769" s="20">
        <v>2</v>
      </c>
      <c r="L1769" s="24">
        <v>249.62</v>
      </c>
      <c r="M1769" s="11"/>
      <c r="N1769" s="22">
        <f>L1769*M1769</f>
        <v>0</v>
      </c>
      <c r="O1769" s="25">
        <f>0.039*M1769</f>
        <v>0</v>
      </c>
      <c r="P1769" s="26">
        <f>0.00029*M1769</f>
        <v>0</v>
      </c>
      <c r="Q1769" s="30"/>
      <c r="R1769" s="22" t="s">
        <v>6200</v>
      </c>
      <c r="S1769" s="22" t="s">
        <v>435</v>
      </c>
      <c r="T1769" s="21" t="str">
        <f>HYPERLINK("https://miland.ru/api/getInfo/image/786df418-dc84-11ef-a273-00155d82e908")</f>
        <v>https://miland.ru/api/getInfo/image/786df418-dc84-11ef-a273-00155d82e908</v>
      </c>
      <c r="U1769" s="21"/>
      <c r="V1769" s="21"/>
      <c r="W1769" s="21" t="s">
        <v>82</v>
      </c>
      <c r="X1769" s="21"/>
      <c r="Y1769" s="21"/>
      <c r="Z1769" s="21"/>
      <c r="AA1769" s="21" t="str">
        <f>HYPERLINK("https://miland.ru/api/getInfo/item/786df418-dc84-11ef-a273-00155d82e908")</f>
        <v>https://miland.ru/api/getInfo/item/786df418-dc84-11ef-a273-00155d82e908</v>
      </c>
      <c r="AB1769" s="21" t="s">
        <v>42</v>
      </c>
      <c r="AC1769" s="21"/>
      <c r="AD1769" s="21"/>
    </row>
    <row r="1770" spans="2:31" s="1" customFormat="1" ht="96.3" customHeight="1" outlineLevel="7">
      <c r="B1770" s="57">
        <v>1361</v>
      </c>
      <c r="C1770" s="21" t="s">
        <v>6201</v>
      </c>
      <c r="D1770" s="72" t="s">
        <v>6202</v>
      </c>
      <c r="E1770" s="72"/>
      <c r="F1770" s="72"/>
      <c r="G1770" s="72"/>
      <c r="H1770" s="22" t="s">
        <v>6203</v>
      </c>
      <c r="I1770" s="27">
        <v>44</v>
      </c>
      <c r="J1770" s="22"/>
      <c r="K1770" s="20">
        <v>2</v>
      </c>
      <c r="L1770" s="24">
        <v>249.62</v>
      </c>
      <c r="M1770" s="11"/>
      <c r="N1770" s="22">
        <f>L1770*M1770</f>
        <v>0</v>
      </c>
      <c r="O1770" s="25">
        <f>0.029*M1770</f>
        <v>0</v>
      </c>
      <c r="P1770" s="26">
        <f>0.00012*M1770</f>
        <v>0</v>
      </c>
      <c r="Q1770" s="30"/>
      <c r="R1770" s="22" t="s">
        <v>6204</v>
      </c>
      <c r="S1770" s="22" t="s">
        <v>435</v>
      </c>
      <c r="T1770" s="21" t="str">
        <f>HYPERLINK("https://miland.ru/api/getInfo/image/d805839e-c0d1-11ee-a25a-00155d82e908")</f>
        <v>https://miland.ru/api/getInfo/image/d805839e-c0d1-11ee-a25a-00155d82e908</v>
      </c>
      <c r="U1770" s="21"/>
      <c r="V1770" s="21"/>
      <c r="W1770" s="21"/>
      <c r="X1770" s="21"/>
      <c r="Y1770" s="21"/>
      <c r="Z1770" s="21"/>
      <c r="AA1770" s="21" t="str">
        <f>HYPERLINK("https://miland.ru/api/getInfo/item/d805839e-c0d1-11ee-a25a-00155d82e908")</f>
        <v>https://miland.ru/api/getInfo/item/d805839e-c0d1-11ee-a25a-00155d82e908</v>
      </c>
      <c r="AB1770" s="21" t="s">
        <v>42</v>
      </c>
      <c r="AC1770" s="21" t="s">
        <v>6196</v>
      </c>
      <c r="AD1770" s="21"/>
    </row>
    <row r="1771" spans="2:31" s="1" customFormat="1" ht="96.3" customHeight="1" outlineLevel="7">
      <c r="B1771" s="59">
        <v>1362</v>
      </c>
      <c r="C1771" s="35" t="s">
        <v>6205</v>
      </c>
      <c r="D1771" s="73" t="s">
        <v>6206</v>
      </c>
      <c r="E1771" s="73"/>
      <c r="F1771" s="73"/>
      <c r="G1771" s="73"/>
      <c r="H1771" s="36" t="s">
        <v>6207</v>
      </c>
      <c r="I1771" s="40">
        <v>48</v>
      </c>
      <c r="J1771" s="36"/>
      <c r="K1771" s="34">
        <v>2</v>
      </c>
      <c r="L1771" s="41">
        <v>106.66666666666667</v>
      </c>
      <c r="M1771" s="11"/>
      <c r="N1771" s="36">
        <f>L1771*M1771</f>
        <v>0</v>
      </c>
      <c r="O1771" s="42">
        <f>0.045*M1771</f>
        <v>0</v>
      </c>
      <c r="P1771" s="43">
        <f>0.00021*M1771</f>
        <v>0</v>
      </c>
      <c r="Q1771" s="50"/>
      <c r="R1771" s="36" t="s">
        <v>6208</v>
      </c>
      <c r="S1771" s="36" t="s">
        <v>435</v>
      </c>
      <c r="T1771" s="35" t="str">
        <f>HYPERLINK("https://miland.ru/api/getInfo/image/3502133d-a8ec-11ec-a211-ac1f6b442185")</f>
        <v>https://miland.ru/api/getInfo/image/3502133d-a8ec-11ec-a211-ac1f6b442185</v>
      </c>
      <c r="U1771" s="35"/>
      <c r="V1771" s="35"/>
      <c r="W1771" s="35"/>
      <c r="X1771" s="35"/>
      <c r="Y1771" s="35"/>
      <c r="Z1771" s="35"/>
      <c r="AA1771" s="35" t="str">
        <f>HYPERLINK("https://miland.ru/api/getInfo/item/3502133d-a8ec-11ec-a211-ac1f6b442185")</f>
        <v>https://miland.ru/api/getInfo/item/3502133d-a8ec-11ec-a211-ac1f6b442185</v>
      </c>
      <c r="AB1771" s="35" t="s">
        <v>42</v>
      </c>
      <c r="AC1771" s="35" t="s">
        <v>6209</v>
      </c>
      <c r="AD1771" s="35"/>
      <c r="AE1771" s="52" t="s">
        <v>1251</v>
      </c>
    </row>
    <row r="1772" spans="2:31" ht="12" customHeight="1" outlineLevel="5">
      <c r="B1772" s="70" t="s">
        <v>6210</v>
      </c>
      <c r="C1772" s="70"/>
      <c r="D1772" s="70"/>
      <c r="E1772" s="70"/>
      <c r="F1772" s="70"/>
      <c r="G1772" s="70"/>
    </row>
    <row r="1773" spans="2:31" s="1" customFormat="1" ht="96.3" customHeight="1" outlineLevel="6">
      <c r="B1773" s="57">
        <v>1363</v>
      </c>
      <c r="C1773" s="21" t="s">
        <v>6211</v>
      </c>
      <c r="D1773" s="72" t="s">
        <v>6212</v>
      </c>
      <c r="E1773" s="72"/>
      <c r="F1773" s="72"/>
      <c r="G1773" s="72"/>
      <c r="H1773" s="22" t="s">
        <v>6213</v>
      </c>
      <c r="I1773" s="27">
        <v>431</v>
      </c>
      <c r="J1773" s="22"/>
      <c r="K1773" s="20">
        <v>10</v>
      </c>
      <c r="L1773" s="24">
        <v>53.73</v>
      </c>
      <c r="M1773" s="11"/>
      <c r="N1773" s="22">
        <f>L1773*M1773</f>
        <v>0</v>
      </c>
      <c r="O1773" s="22">
        <v>0</v>
      </c>
      <c r="P1773" s="22">
        <v>0</v>
      </c>
      <c r="Q1773" s="30"/>
      <c r="R1773" s="22" t="s">
        <v>6214</v>
      </c>
      <c r="S1773" s="22" t="s">
        <v>435</v>
      </c>
      <c r="T1773" s="21" t="str">
        <f>HYPERLINK("https://miland.ru/api/getInfo/image/ddff0cf9-5d1b-11e9-a224-ac1f6b442184")</f>
        <v>https://miland.ru/api/getInfo/image/ddff0cf9-5d1b-11e9-a224-ac1f6b442184</v>
      </c>
      <c r="U1773" s="21"/>
      <c r="V1773" s="21" t="s">
        <v>1682</v>
      </c>
      <c r="W1773" s="21" t="s">
        <v>1683</v>
      </c>
      <c r="X1773" s="21"/>
      <c r="Y1773" s="21" t="s">
        <v>41</v>
      </c>
      <c r="Z1773" s="21"/>
      <c r="AA1773" s="21" t="str">
        <f>HYPERLINK("https://miland.ru/api/getInfo/item/ddff0cf9-5d1b-11e9-a224-ac1f6b442184")</f>
        <v>https://miland.ru/api/getInfo/item/ddff0cf9-5d1b-11e9-a224-ac1f6b442184</v>
      </c>
      <c r="AB1773" s="21" t="s">
        <v>42</v>
      </c>
      <c r="AC1773" s="21" t="s">
        <v>6215</v>
      </c>
      <c r="AD1773" s="21" t="s">
        <v>6214</v>
      </c>
    </row>
    <row r="1774" spans="2:31" s="1" customFormat="1" ht="96.3" customHeight="1" outlineLevel="6">
      <c r="B1774" s="57">
        <v>1364</v>
      </c>
      <c r="C1774" s="21" t="s">
        <v>6216</v>
      </c>
      <c r="D1774" s="72" t="s">
        <v>6217</v>
      </c>
      <c r="E1774" s="72"/>
      <c r="F1774" s="72"/>
      <c r="G1774" s="72"/>
      <c r="H1774" s="22" t="s">
        <v>6218</v>
      </c>
      <c r="I1774" s="27">
        <v>20</v>
      </c>
      <c r="J1774" s="22"/>
      <c r="K1774" s="20">
        <v>10</v>
      </c>
      <c r="L1774" s="24">
        <v>82.14</v>
      </c>
      <c r="M1774" s="11"/>
      <c r="N1774" s="22">
        <f>L1774*M1774</f>
        <v>0</v>
      </c>
      <c r="O1774" s="25">
        <f>0.032*M1774</f>
        <v>0</v>
      </c>
      <c r="P1774" s="26">
        <f>0.00029*M1774</f>
        <v>0</v>
      </c>
      <c r="Q1774" s="30"/>
      <c r="R1774" s="22" t="s">
        <v>6219</v>
      </c>
      <c r="S1774" s="22" t="s">
        <v>435</v>
      </c>
      <c r="T1774" s="21" t="str">
        <f>HYPERLINK("https://miland.ru/api/getInfo/image/1f658bc4-364c-11e7-a248-5cf3fc4a2490")</f>
        <v>https://miland.ru/api/getInfo/image/1f658bc4-364c-11e7-a248-5cf3fc4a2490</v>
      </c>
      <c r="U1774" s="21"/>
      <c r="V1774" s="21" t="s">
        <v>1682</v>
      </c>
      <c r="W1774" s="21" t="s">
        <v>1683</v>
      </c>
      <c r="X1774" s="21"/>
      <c r="Y1774" s="21" t="s">
        <v>41</v>
      </c>
      <c r="Z1774" s="21"/>
      <c r="AA1774" s="21" t="str">
        <f>HYPERLINK("https://miland.ru/api/getInfo/item/1f658bc4-364c-11e7-a248-5cf3fc4a2490")</f>
        <v>https://miland.ru/api/getInfo/item/1f658bc4-364c-11e7-a248-5cf3fc4a2490</v>
      </c>
      <c r="AB1774" s="21" t="s">
        <v>42</v>
      </c>
      <c r="AC1774" s="21" t="s">
        <v>5164</v>
      </c>
      <c r="AD1774" s="21"/>
    </row>
    <row r="1775" spans="2:31" ht="12" customHeight="1" outlineLevel="4">
      <c r="B1775" s="70" t="s">
        <v>6220</v>
      </c>
      <c r="C1775" s="70"/>
      <c r="D1775" s="70"/>
      <c r="E1775" s="70"/>
      <c r="F1775" s="70"/>
      <c r="G1775" s="70"/>
    </row>
    <row r="1776" spans="2:31" ht="12" customHeight="1" outlineLevel="5">
      <c r="B1776" s="70" t="s">
        <v>834</v>
      </c>
      <c r="C1776" s="70"/>
      <c r="D1776" s="70"/>
      <c r="E1776" s="70"/>
      <c r="F1776" s="70"/>
      <c r="G1776" s="70"/>
    </row>
    <row r="1777" spans="2:31" s="1" customFormat="1" ht="96.3" customHeight="1" outlineLevel="6">
      <c r="B1777" s="58">
        <v>1365</v>
      </c>
      <c r="C1777" s="7" t="s">
        <v>6221</v>
      </c>
      <c r="D1777" s="71" t="s">
        <v>6222</v>
      </c>
      <c r="E1777" s="71"/>
      <c r="F1777" s="71"/>
      <c r="G1777" s="71"/>
      <c r="H1777" s="8" t="s">
        <v>6223</v>
      </c>
      <c r="I1777" s="9" t="s">
        <v>36</v>
      </c>
      <c r="J1777" s="8"/>
      <c r="K1777" s="6">
        <v>2</v>
      </c>
      <c r="L1777" s="10">
        <v>267.27999999999997</v>
      </c>
      <c r="M1777" s="11"/>
      <c r="N1777" s="8">
        <f>L1777*M1777</f>
        <v>0</v>
      </c>
      <c r="O1777" s="12">
        <f>0.086*M1777</f>
        <v>0</v>
      </c>
      <c r="P1777" s="13">
        <f>0.00256*M1777</f>
        <v>0</v>
      </c>
      <c r="Q1777" s="17" t="s">
        <v>37</v>
      </c>
      <c r="R1777" s="8" t="s">
        <v>6224</v>
      </c>
      <c r="S1777" s="8"/>
      <c r="T1777" s="7" t="str">
        <f>HYPERLINK("https://miland.ru/api/getInfo/image/565f8a4b-37d8-11f1-a293-00155d82e908")</f>
        <v>https://miland.ru/api/getInfo/image/565f8a4b-37d8-11f1-a293-00155d82e908</v>
      </c>
      <c r="U1777" s="7"/>
      <c r="V1777" s="7" t="s">
        <v>208</v>
      </c>
      <c r="W1777" s="7" t="s">
        <v>82</v>
      </c>
      <c r="X1777" s="7"/>
      <c r="Y1777" s="7" t="s">
        <v>41</v>
      </c>
      <c r="Z1777" s="7"/>
      <c r="AA1777" s="7" t="str">
        <f>HYPERLINK("https://miland.ru/api/getInfo/item/565f8a4b-37d8-11f1-a293-00155d82e908")</f>
        <v>https://miland.ru/api/getInfo/item/565f8a4b-37d8-11f1-a293-00155d82e908</v>
      </c>
      <c r="AB1777" s="7" t="s">
        <v>42</v>
      </c>
      <c r="AC1777" s="7"/>
      <c r="AD1777" s="7"/>
      <c r="AE1777" s="54"/>
    </row>
    <row r="1778" spans="2:31" s="1" customFormat="1" ht="96.3" customHeight="1" outlineLevel="6">
      <c r="B1778" s="57">
        <v>1366</v>
      </c>
      <c r="C1778" s="21" t="s">
        <v>6225</v>
      </c>
      <c r="D1778" s="72" t="s">
        <v>6226</v>
      </c>
      <c r="E1778" s="72"/>
      <c r="F1778" s="72"/>
      <c r="G1778" s="72"/>
      <c r="H1778" s="22" t="s">
        <v>6227</v>
      </c>
      <c r="I1778" s="23" t="s">
        <v>36</v>
      </c>
      <c r="J1778" s="22"/>
      <c r="K1778" s="20">
        <v>1</v>
      </c>
      <c r="L1778" s="32">
        <v>1120.83</v>
      </c>
      <c r="M1778" s="11"/>
      <c r="N1778" s="22">
        <f>L1778*M1778</f>
        <v>0</v>
      </c>
      <c r="O1778" s="25">
        <f>0.372*M1778</f>
        <v>0</v>
      </c>
      <c r="P1778" s="26">
        <f>0.01437*M1778</f>
        <v>0</v>
      </c>
      <c r="Q1778" s="30"/>
      <c r="R1778" s="22" t="s">
        <v>6228</v>
      </c>
      <c r="S1778" s="22" t="s">
        <v>435</v>
      </c>
      <c r="T1778" s="21" t="str">
        <f>HYPERLINK("https://miland.ru/api/getInfo/image/9704dc67-77c4-11ed-a22a-00155d82e902")</f>
        <v>https://miland.ru/api/getInfo/image/9704dc67-77c4-11ed-a22a-00155d82e902</v>
      </c>
      <c r="U1778" s="21"/>
      <c r="V1778" s="21" t="s">
        <v>208</v>
      </c>
      <c r="W1778" s="21" t="s">
        <v>82</v>
      </c>
      <c r="X1778" s="21"/>
      <c r="Y1778" s="21" t="s">
        <v>41</v>
      </c>
      <c r="Z1778" s="21"/>
      <c r="AA1778" s="21" t="str">
        <f>HYPERLINK("https://miland.ru/api/getInfo/item/9704dc67-77c4-11ed-a22a-00155d82e902")</f>
        <v>https://miland.ru/api/getInfo/item/9704dc67-77c4-11ed-a22a-00155d82e902</v>
      </c>
      <c r="AB1778" s="21" t="s">
        <v>42</v>
      </c>
      <c r="AC1778" s="21" t="s">
        <v>6229</v>
      </c>
      <c r="AD1778" s="21"/>
    </row>
    <row r="1779" spans="2:31" s="1" customFormat="1" ht="96.3" customHeight="1" outlineLevel="6">
      <c r="B1779" s="57">
        <v>1367</v>
      </c>
      <c r="C1779" s="21" t="s">
        <v>6230</v>
      </c>
      <c r="D1779" s="72" t="s">
        <v>6231</v>
      </c>
      <c r="E1779" s="72"/>
      <c r="F1779" s="72"/>
      <c r="G1779" s="72"/>
      <c r="H1779" s="22" t="s">
        <v>6232</v>
      </c>
      <c r="I1779" s="27">
        <v>101</v>
      </c>
      <c r="J1779" s="22"/>
      <c r="K1779" s="20">
        <v>1</v>
      </c>
      <c r="L1779" s="24">
        <v>652.74</v>
      </c>
      <c r="M1779" s="11"/>
      <c r="N1779" s="22">
        <f>L1779*M1779</f>
        <v>0</v>
      </c>
      <c r="O1779" s="25">
        <f>0.199*M1779</f>
        <v>0</v>
      </c>
      <c r="P1779" s="26">
        <f>0.00684*M1779</f>
        <v>0</v>
      </c>
      <c r="Q1779" s="30"/>
      <c r="R1779" s="22" t="s">
        <v>6233</v>
      </c>
      <c r="S1779" s="22" t="s">
        <v>435</v>
      </c>
      <c r="T1779" s="21" t="str">
        <f>HYPERLINK("https://miland.ru/api/getInfo/image/4828307b-9721-11ed-a22d-00155d82e902")</f>
        <v>https://miland.ru/api/getInfo/image/4828307b-9721-11ed-a22d-00155d82e902</v>
      </c>
      <c r="U1779" s="21"/>
      <c r="V1779" s="21" t="s">
        <v>208</v>
      </c>
      <c r="W1779" s="21" t="s">
        <v>82</v>
      </c>
      <c r="X1779" s="21"/>
      <c r="Y1779" s="21" t="s">
        <v>41</v>
      </c>
      <c r="Z1779" s="21"/>
      <c r="AA1779" s="21" t="str">
        <f>HYPERLINK("https://miland.ru/api/getInfo/item/4828307b-9721-11ed-a22d-00155d82e902")</f>
        <v>https://miland.ru/api/getInfo/item/4828307b-9721-11ed-a22d-00155d82e902</v>
      </c>
      <c r="AB1779" s="21" t="s">
        <v>42</v>
      </c>
      <c r="AC1779" s="21"/>
      <c r="AD1779" s="21"/>
    </row>
    <row r="1780" spans="2:31" ht="12" customHeight="1" outlineLevel="5">
      <c r="B1780" s="70" t="s">
        <v>6234</v>
      </c>
      <c r="C1780" s="70"/>
      <c r="D1780" s="70"/>
      <c r="E1780" s="70"/>
      <c r="F1780" s="70"/>
      <c r="G1780" s="70"/>
    </row>
    <row r="1781" spans="2:31" s="1" customFormat="1" ht="96.3" customHeight="1" outlineLevel="6">
      <c r="B1781" s="57">
        <v>1368</v>
      </c>
      <c r="C1781" s="21" t="s">
        <v>6235</v>
      </c>
      <c r="D1781" s="72" t="s">
        <v>6236</v>
      </c>
      <c r="E1781" s="72"/>
      <c r="F1781" s="72"/>
      <c r="G1781" s="72"/>
      <c r="H1781" s="22" t="s">
        <v>6237</v>
      </c>
      <c r="I1781" s="27">
        <v>50</v>
      </c>
      <c r="J1781" s="22"/>
      <c r="K1781" s="20">
        <v>1</v>
      </c>
      <c r="L1781" s="32">
        <v>1888.31</v>
      </c>
      <c r="M1781" s="11"/>
      <c r="N1781" s="22">
        <f>L1781*M1781</f>
        <v>0</v>
      </c>
      <c r="O1781" s="25">
        <f>0.576*M1781</f>
        <v>0</v>
      </c>
      <c r="P1781" s="26">
        <f>0.00365*M1781</f>
        <v>0</v>
      </c>
      <c r="Q1781" s="30"/>
      <c r="R1781" s="22" t="s">
        <v>6238</v>
      </c>
      <c r="S1781" s="22" t="s">
        <v>435</v>
      </c>
      <c r="T1781" s="21" t="str">
        <f>HYPERLINK("https://miland.ru/api/getInfo/image/b6e91c27-9644-11ed-a22d-00155d82e902")</f>
        <v>https://miland.ru/api/getInfo/image/b6e91c27-9644-11ed-a22d-00155d82e902</v>
      </c>
      <c r="U1781" s="21"/>
      <c r="V1781" s="21" t="s">
        <v>208</v>
      </c>
      <c r="W1781" s="21" t="s">
        <v>82</v>
      </c>
      <c r="X1781" s="21"/>
      <c r="Y1781" s="21" t="s">
        <v>41</v>
      </c>
      <c r="Z1781" s="21"/>
      <c r="AA1781" s="21" t="str">
        <f>HYPERLINK("https://miland.ru/api/getInfo/item/b6e91c27-9644-11ed-a22d-00155d82e902")</f>
        <v>https://miland.ru/api/getInfo/item/b6e91c27-9644-11ed-a22d-00155d82e902</v>
      </c>
      <c r="AB1781" s="21" t="s">
        <v>42</v>
      </c>
      <c r="AC1781" s="21"/>
      <c r="AD1781" s="21"/>
    </row>
    <row r="1782" spans="2:31" s="1" customFormat="1" ht="96.3" customHeight="1" outlineLevel="6">
      <c r="B1782" s="58">
        <v>1369</v>
      </c>
      <c r="C1782" s="7" t="s">
        <v>6239</v>
      </c>
      <c r="D1782" s="71" t="s">
        <v>6240</v>
      </c>
      <c r="E1782" s="71"/>
      <c r="F1782" s="71"/>
      <c r="G1782" s="71"/>
      <c r="H1782" s="8" t="s">
        <v>6241</v>
      </c>
      <c r="I1782" s="14">
        <v>485</v>
      </c>
      <c r="J1782" s="8"/>
      <c r="K1782" s="6">
        <v>1</v>
      </c>
      <c r="L1782" s="15">
        <v>1762.52</v>
      </c>
      <c r="M1782" s="11"/>
      <c r="N1782" s="8">
        <f>L1782*M1782</f>
        <v>0</v>
      </c>
      <c r="O1782" s="18">
        <f>0.42*M1782</f>
        <v>0</v>
      </c>
      <c r="P1782" s="13">
        <f>0.01318*M1782</f>
        <v>0</v>
      </c>
      <c r="Q1782" s="17" t="s">
        <v>37</v>
      </c>
      <c r="R1782" s="8" t="s">
        <v>6242</v>
      </c>
      <c r="S1782" s="8"/>
      <c r="T1782" s="7" t="str">
        <f>HYPERLINK("https://miland.ru/api/getInfo/image/0f0894ac-37d9-11f1-a293-00155d82e908")</f>
        <v>https://miland.ru/api/getInfo/image/0f0894ac-37d9-11f1-a293-00155d82e908</v>
      </c>
      <c r="U1782" s="7"/>
      <c r="V1782" s="7" t="s">
        <v>208</v>
      </c>
      <c r="W1782" s="7" t="s">
        <v>82</v>
      </c>
      <c r="X1782" s="7"/>
      <c r="Y1782" s="7" t="s">
        <v>41</v>
      </c>
      <c r="Z1782" s="7"/>
      <c r="AA1782" s="7" t="str">
        <f>HYPERLINK("https://miland.ru/api/getInfo/item/0f0894ac-37d9-11f1-a293-00155d82e908")</f>
        <v>https://miland.ru/api/getInfo/item/0f0894ac-37d9-11f1-a293-00155d82e908</v>
      </c>
      <c r="AB1782" s="7" t="s">
        <v>42</v>
      </c>
      <c r="AC1782" s="7"/>
      <c r="AD1782" s="7"/>
      <c r="AE1782" s="54"/>
    </row>
    <row r="1783" spans="2:31" s="1" customFormat="1" ht="96.3" customHeight="1" outlineLevel="6">
      <c r="B1783" s="58">
        <v>1370</v>
      </c>
      <c r="C1783" s="7" t="s">
        <v>6243</v>
      </c>
      <c r="D1783" s="71" t="s">
        <v>6244</v>
      </c>
      <c r="E1783" s="71"/>
      <c r="F1783" s="71"/>
      <c r="G1783" s="71"/>
      <c r="H1783" s="8" t="s">
        <v>6245</v>
      </c>
      <c r="I1783" s="14">
        <v>488</v>
      </c>
      <c r="J1783" s="8"/>
      <c r="K1783" s="6">
        <v>1</v>
      </c>
      <c r="L1783" s="15">
        <v>1819.36</v>
      </c>
      <c r="M1783" s="11"/>
      <c r="N1783" s="8">
        <f>L1783*M1783</f>
        <v>0</v>
      </c>
      <c r="O1783" s="12">
        <f>0.277*M1783</f>
        <v>0</v>
      </c>
      <c r="P1783" s="13">
        <f>0.01283*M1783</f>
        <v>0</v>
      </c>
      <c r="Q1783" s="17" t="s">
        <v>37</v>
      </c>
      <c r="R1783" s="8" t="s">
        <v>6246</v>
      </c>
      <c r="S1783" s="8"/>
      <c r="T1783" s="7" t="str">
        <f>HYPERLINK("https://miland.ru/api/getInfo/image/f058ffc3-37d8-11f1-a293-00155d82e908")</f>
        <v>https://miland.ru/api/getInfo/image/f058ffc3-37d8-11f1-a293-00155d82e908</v>
      </c>
      <c r="U1783" s="7"/>
      <c r="V1783" s="7" t="s">
        <v>208</v>
      </c>
      <c r="W1783" s="7" t="s">
        <v>82</v>
      </c>
      <c r="X1783" s="7"/>
      <c r="Y1783" s="7" t="s">
        <v>41</v>
      </c>
      <c r="Z1783" s="7"/>
      <c r="AA1783" s="7" t="str">
        <f>HYPERLINK("https://miland.ru/api/getInfo/item/f058ffc3-37d8-11f1-a293-00155d82e908")</f>
        <v>https://miland.ru/api/getInfo/item/f058ffc3-37d8-11f1-a293-00155d82e908</v>
      </c>
      <c r="AB1783" s="7" t="s">
        <v>42</v>
      </c>
      <c r="AC1783" s="7"/>
      <c r="AD1783" s="7"/>
      <c r="AE1783" s="54"/>
    </row>
    <row r="1784" spans="2:31" s="1" customFormat="1" ht="96.3" customHeight="1" outlineLevel="6">
      <c r="B1784" s="58">
        <v>1371</v>
      </c>
      <c r="C1784" s="7" t="s">
        <v>6247</v>
      </c>
      <c r="D1784" s="71" t="s">
        <v>6248</v>
      </c>
      <c r="E1784" s="71"/>
      <c r="F1784" s="71"/>
      <c r="G1784" s="71"/>
      <c r="H1784" s="8" t="s">
        <v>6249</v>
      </c>
      <c r="I1784" s="14">
        <v>335</v>
      </c>
      <c r="J1784" s="8"/>
      <c r="K1784" s="6">
        <v>1</v>
      </c>
      <c r="L1784" s="15">
        <v>1194.17</v>
      </c>
      <c r="M1784" s="11"/>
      <c r="N1784" s="8">
        <f>L1784*M1784</f>
        <v>0</v>
      </c>
      <c r="O1784" s="12">
        <f>0.219*M1784</f>
        <v>0</v>
      </c>
      <c r="P1784" s="13">
        <f>0.00634*M1784</f>
        <v>0</v>
      </c>
      <c r="Q1784" s="17" t="s">
        <v>37</v>
      </c>
      <c r="R1784" s="8" t="s">
        <v>6250</v>
      </c>
      <c r="S1784" s="8"/>
      <c r="T1784" s="7" t="str">
        <f>HYPERLINK("https://miland.ru/api/getInfo/image/5b1da3c0-37d9-11f1-a293-00155d82e908")</f>
        <v>https://miland.ru/api/getInfo/image/5b1da3c0-37d9-11f1-a293-00155d82e908</v>
      </c>
      <c r="U1784" s="7"/>
      <c r="V1784" s="7" t="s">
        <v>208</v>
      </c>
      <c r="W1784" s="7" t="s">
        <v>82</v>
      </c>
      <c r="X1784" s="7"/>
      <c r="Y1784" s="7" t="s">
        <v>41</v>
      </c>
      <c r="Z1784" s="7"/>
      <c r="AA1784" s="7" t="str">
        <f>HYPERLINK("https://miland.ru/api/getInfo/item/5b1da3c0-37d9-11f1-a293-00155d82e908")</f>
        <v>https://miland.ru/api/getInfo/item/5b1da3c0-37d9-11f1-a293-00155d82e908</v>
      </c>
      <c r="AB1784" s="7" t="s">
        <v>42</v>
      </c>
      <c r="AC1784" s="7"/>
      <c r="AD1784" s="7"/>
      <c r="AE1784" s="54"/>
    </row>
    <row r="1785" spans="2:31" s="1" customFormat="1" ht="96.3" customHeight="1" outlineLevel="6">
      <c r="B1785" s="58">
        <v>1372</v>
      </c>
      <c r="C1785" s="7" t="s">
        <v>6251</v>
      </c>
      <c r="D1785" s="71" t="s">
        <v>6252</v>
      </c>
      <c r="E1785" s="71"/>
      <c r="F1785" s="71"/>
      <c r="G1785" s="71"/>
      <c r="H1785" s="8" t="s">
        <v>6253</v>
      </c>
      <c r="I1785" s="14">
        <v>490</v>
      </c>
      <c r="J1785" s="8"/>
      <c r="K1785" s="6">
        <v>1</v>
      </c>
      <c r="L1785" s="15">
        <v>1694.32</v>
      </c>
      <c r="M1785" s="11"/>
      <c r="N1785" s="8">
        <f>L1785*M1785</f>
        <v>0</v>
      </c>
      <c r="O1785" s="12">
        <f>0.298*M1785</f>
        <v>0</v>
      </c>
      <c r="P1785" s="13">
        <f>0.01011*M1785</f>
        <v>0</v>
      </c>
      <c r="Q1785" s="17" t="s">
        <v>37</v>
      </c>
      <c r="R1785" s="8" t="s">
        <v>6254</v>
      </c>
      <c r="S1785" s="8"/>
      <c r="T1785" s="7" t="str">
        <f>HYPERLINK("https://miland.ru/api/getInfo/image/d0517b63-37d8-11f1-a293-00155d82e908")</f>
        <v>https://miland.ru/api/getInfo/image/d0517b63-37d8-11f1-a293-00155d82e908</v>
      </c>
      <c r="U1785" s="7"/>
      <c r="V1785" s="7" t="s">
        <v>208</v>
      </c>
      <c r="W1785" s="7" t="s">
        <v>82</v>
      </c>
      <c r="X1785" s="7"/>
      <c r="Y1785" s="7" t="s">
        <v>41</v>
      </c>
      <c r="Z1785" s="7"/>
      <c r="AA1785" s="7" t="str">
        <f>HYPERLINK("https://miland.ru/api/getInfo/item/d0517b63-37d8-11f1-a293-00155d82e908")</f>
        <v>https://miland.ru/api/getInfo/item/d0517b63-37d8-11f1-a293-00155d82e908</v>
      </c>
      <c r="AB1785" s="7" t="s">
        <v>42</v>
      </c>
      <c r="AC1785" s="7"/>
      <c r="AD1785" s="7"/>
      <c r="AE1785" s="54"/>
    </row>
    <row r="1786" spans="2:31" ht="12" customHeight="1" outlineLevel="4">
      <c r="B1786" s="70" t="s">
        <v>6255</v>
      </c>
      <c r="C1786" s="70"/>
      <c r="D1786" s="70"/>
      <c r="E1786" s="70"/>
      <c r="F1786" s="70"/>
      <c r="G1786" s="70"/>
    </row>
    <row r="1787" spans="2:31" ht="12" customHeight="1" outlineLevel="5">
      <c r="B1787" s="70" t="s">
        <v>834</v>
      </c>
      <c r="C1787" s="70"/>
      <c r="D1787" s="70"/>
      <c r="E1787" s="70"/>
      <c r="F1787" s="70"/>
      <c r="G1787" s="70"/>
    </row>
    <row r="1788" spans="2:31" s="1" customFormat="1" ht="96.3" customHeight="1" outlineLevel="6">
      <c r="B1788" s="60">
        <v>1373</v>
      </c>
      <c r="C1788" s="38" t="s">
        <v>6256</v>
      </c>
      <c r="D1788" s="74" t="s">
        <v>6257</v>
      </c>
      <c r="E1788" s="74"/>
      <c r="F1788" s="74"/>
      <c r="G1788" s="74"/>
      <c r="H1788" s="39" t="s">
        <v>6258</v>
      </c>
      <c r="I1788" s="44">
        <v>25</v>
      </c>
      <c r="J1788" s="39"/>
      <c r="K1788" s="37">
        <v>2</v>
      </c>
      <c r="L1788" s="41">
        <v>68.36</v>
      </c>
      <c r="M1788" s="11"/>
      <c r="N1788" s="39">
        <f t="shared" ref="N1788:N1793" si="79">L1788*M1788</f>
        <v>0</v>
      </c>
      <c r="O1788" s="45">
        <f>0.03*M1788</f>
        <v>0</v>
      </c>
      <c r="P1788" s="46">
        <f>0.00493*M1788</f>
        <v>0</v>
      </c>
      <c r="Q1788" s="51"/>
      <c r="R1788" s="39" t="s">
        <v>6259</v>
      </c>
      <c r="S1788" s="39" t="s">
        <v>435</v>
      </c>
      <c r="T1788" s="38" t="str">
        <f>HYPERLINK("https://miland.ru/api/getInfo/image/dd7763e1-1fc7-11e9-a21c-ac1f6b442184")</f>
        <v>https://miland.ru/api/getInfo/image/dd7763e1-1fc7-11e9-a21c-ac1f6b442184</v>
      </c>
      <c r="U1788" s="38"/>
      <c r="V1788" s="38"/>
      <c r="W1788" s="38"/>
      <c r="X1788" s="38"/>
      <c r="Y1788" s="38"/>
      <c r="Z1788" s="38"/>
      <c r="AA1788" s="38" t="str">
        <f>HYPERLINK("https://miland.ru/api/getInfo/item/dd7763e1-1fc7-11e9-a21c-ac1f6b442184")</f>
        <v>https://miland.ru/api/getInfo/item/dd7763e1-1fc7-11e9-a21c-ac1f6b442184</v>
      </c>
      <c r="AB1788" s="38" t="s">
        <v>42</v>
      </c>
      <c r="AC1788" s="38" t="s">
        <v>5164</v>
      </c>
      <c r="AD1788" s="38"/>
      <c r="AE1788" s="53" t="s">
        <v>1306</v>
      </c>
    </row>
    <row r="1789" spans="2:31" s="1" customFormat="1" ht="96.3" customHeight="1" outlineLevel="6">
      <c r="B1789" s="58">
        <v>1374</v>
      </c>
      <c r="C1789" s="7" t="s">
        <v>6260</v>
      </c>
      <c r="D1789" s="71" t="s">
        <v>6261</v>
      </c>
      <c r="E1789" s="71"/>
      <c r="F1789" s="71"/>
      <c r="G1789" s="71"/>
      <c r="H1789" s="8" t="s">
        <v>6262</v>
      </c>
      <c r="I1789" s="9" t="s">
        <v>36</v>
      </c>
      <c r="J1789" s="8"/>
      <c r="K1789" s="6">
        <v>10</v>
      </c>
      <c r="L1789" s="10">
        <v>108.29</v>
      </c>
      <c r="M1789" s="11"/>
      <c r="N1789" s="8">
        <f t="shared" si="79"/>
        <v>0</v>
      </c>
      <c r="O1789" s="12">
        <f>0.027*M1789</f>
        <v>0</v>
      </c>
      <c r="P1789" s="13">
        <f>0.00045*M1789</f>
        <v>0</v>
      </c>
      <c r="Q1789" s="17" t="s">
        <v>37</v>
      </c>
      <c r="R1789" s="8" t="s">
        <v>6263</v>
      </c>
      <c r="S1789" s="8"/>
      <c r="T1789" s="7" t="str">
        <f>HYPERLINK("https://miland.ru/api/getInfo/image/a489b042-37da-11f1-a293-00155d82e908")</f>
        <v>https://miland.ru/api/getInfo/image/a489b042-37da-11f1-a293-00155d82e908</v>
      </c>
      <c r="U1789" s="7"/>
      <c r="V1789" s="7"/>
      <c r="W1789" s="7" t="s">
        <v>82</v>
      </c>
      <c r="X1789" s="7"/>
      <c r="Y1789" s="7" t="s">
        <v>41</v>
      </c>
      <c r="Z1789" s="7"/>
      <c r="AA1789" s="7" t="str">
        <f>HYPERLINK("https://miland.ru/api/getInfo/item/a489b042-37da-11f1-a293-00155d82e908")</f>
        <v>https://miland.ru/api/getInfo/item/a489b042-37da-11f1-a293-00155d82e908</v>
      </c>
      <c r="AB1789" s="7" t="s">
        <v>42</v>
      </c>
      <c r="AC1789" s="7"/>
      <c r="AD1789" s="7"/>
      <c r="AE1789" s="54"/>
    </row>
    <row r="1790" spans="2:31" s="1" customFormat="1" ht="96.3" customHeight="1" outlineLevel="6">
      <c r="B1790" s="57">
        <v>1375</v>
      </c>
      <c r="C1790" s="21" t="s">
        <v>6264</v>
      </c>
      <c r="D1790" s="72" t="s">
        <v>6265</v>
      </c>
      <c r="E1790" s="72"/>
      <c r="F1790" s="72"/>
      <c r="G1790" s="72"/>
      <c r="H1790" s="22" t="s">
        <v>6266</v>
      </c>
      <c r="I1790" s="27">
        <v>39</v>
      </c>
      <c r="J1790" s="22"/>
      <c r="K1790" s="20">
        <v>5</v>
      </c>
      <c r="L1790" s="24">
        <v>111.41</v>
      </c>
      <c r="M1790" s="11"/>
      <c r="N1790" s="22">
        <f t="shared" si="79"/>
        <v>0</v>
      </c>
      <c r="O1790" s="28">
        <f>0.01*M1790</f>
        <v>0</v>
      </c>
      <c r="P1790" s="26">
        <f>0.00044*M1790</f>
        <v>0</v>
      </c>
      <c r="Q1790" s="30"/>
      <c r="R1790" s="22" t="s">
        <v>6267</v>
      </c>
      <c r="S1790" s="22" t="s">
        <v>435</v>
      </c>
      <c r="T1790" s="21" t="str">
        <f>HYPERLINK("https://miland.ru/api/getInfo/image/a4554315-88cd-11ec-a211-ac1f6b442185")</f>
        <v>https://miland.ru/api/getInfo/image/a4554315-88cd-11ec-a211-ac1f6b442185</v>
      </c>
      <c r="U1790" s="21"/>
      <c r="V1790" s="21" t="s">
        <v>208</v>
      </c>
      <c r="W1790" s="21" t="s">
        <v>82</v>
      </c>
      <c r="X1790" s="21"/>
      <c r="Y1790" s="21" t="s">
        <v>41</v>
      </c>
      <c r="Z1790" s="21"/>
      <c r="AA1790" s="21" t="str">
        <f>HYPERLINK("https://miland.ru/api/getInfo/item/a4554315-88cd-11ec-a211-ac1f6b442185")</f>
        <v>https://miland.ru/api/getInfo/item/a4554315-88cd-11ec-a211-ac1f6b442185</v>
      </c>
      <c r="AB1790" s="21" t="s">
        <v>42</v>
      </c>
      <c r="AC1790" s="21" t="s">
        <v>6268</v>
      </c>
      <c r="AD1790" s="21"/>
    </row>
    <row r="1791" spans="2:31" s="1" customFormat="1" ht="96.3" customHeight="1" outlineLevel="6">
      <c r="B1791" s="57">
        <v>1376</v>
      </c>
      <c r="C1791" s="21" t="s">
        <v>6269</v>
      </c>
      <c r="D1791" s="72" t="s">
        <v>6270</v>
      </c>
      <c r="E1791" s="72"/>
      <c r="F1791" s="72"/>
      <c r="G1791" s="72"/>
      <c r="H1791" s="22" t="s">
        <v>6271</v>
      </c>
      <c r="I1791" s="23" t="s">
        <v>36</v>
      </c>
      <c r="J1791" s="22"/>
      <c r="K1791" s="20">
        <v>5</v>
      </c>
      <c r="L1791" s="24">
        <v>115.71</v>
      </c>
      <c r="M1791" s="11"/>
      <c r="N1791" s="22">
        <f t="shared" si="79"/>
        <v>0</v>
      </c>
      <c r="O1791" s="25">
        <f>0.014*M1791</f>
        <v>0</v>
      </c>
      <c r="P1791" s="26">
        <f>0.00088*M1791</f>
        <v>0</v>
      </c>
      <c r="Q1791" s="30"/>
      <c r="R1791" s="22" t="s">
        <v>6272</v>
      </c>
      <c r="S1791" s="22"/>
      <c r="T1791" s="21" t="str">
        <f>HYPERLINK("https://miland.ru/api/getInfo/image/5ae6753e-88ce-11ec-a211-ac1f6b442185")</f>
        <v>https://miland.ru/api/getInfo/image/5ae6753e-88ce-11ec-a211-ac1f6b442185</v>
      </c>
      <c r="U1791" s="21"/>
      <c r="V1791" s="21"/>
      <c r="W1791" s="21" t="s">
        <v>82</v>
      </c>
      <c r="X1791" s="21"/>
      <c r="Y1791" s="21" t="s">
        <v>41</v>
      </c>
      <c r="Z1791" s="21"/>
      <c r="AA1791" s="21" t="str">
        <f>HYPERLINK("https://miland.ru/api/getInfo/item/5ae6753e-88ce-11ec-a211-ac1f6b442185")</f>
        <v>https://miland.ru/api/getInfo/item/5ae6753e-88ce-11ec-a211-ac1f6b442185</v>
      </c>
      <c r="AB1791" s="21" t="s">
        <v>42</v>
      </c>
      <c r="AC1791" s="21" t="s">
        <v>6268</v>
      </c>
      <c r="AD1791" s="21"/>
    </row>
    <row r="1792" spans="2:31" s="1" customFormat="1" ht="96.3" customHeight="1" outlineLevel="6">
      <c r="B1792" s="57">
        <v>1377</v>
      </c>
      <c r="C1792" s="21" t="s">
        <v>6273</v>
      </c>
      <c r="D1792" s="72" t="s">
        <v>6274</v>
      </c>
      <c r="E1792" s="72"/>
      <c r="F1792" s="72"/>
      <c r="G1792" s="72"/>
      <c r="H1792" s="22" t="s">
        <v>6275</v>
      </c>
      <c r="I1792" s="27">
        <v>18</v>
      </c>
      <c r="J1792" s="22"/>
      <c r="K1792" s="20">
        <v>2</v>
      </c>
      <c r="L1792" s="24">
        <v>130.13</v>
      </c>
      <c r="M1792" s="11"/>
      <c r="N1792" s="22">
        <f t="shared" si="79"/>
        <v>0</v>
      </c>
      <c r="O1792" s="28">
        <f>0.03*M1792</f>
        <v>0</v>
      </c>
      <c r="P1792" s="26">
        <f>0.00493*M1792</f>
        <v>0</v>
      </c>
      <c r="Q1792" s="30"/>
      <c r="R1792" s="22" t="s">
        <v>6276</v>
      </c>
      <c r="S1792" s="22" t="s">
        <v>435</v>
      </c>
      <c r="T1792" s="21" t="str">
        <f>HYPERLINK("https://miland.ru/api/getInfo/image/c3a5da05-1fc7-11e9-a21c-ac1f6b442184")</f>
        <v>https://miland.ru/api/getInfo/image/c3a5da05-1fc7-11e9-a21c-ac1f6b442184</v>
      </c>
      <c r="U1792" s="21"/>
      <c r="V1792" s="21"/>
      <c r="W1792" s="21"/>
      <c r="X1792" s="21"/>
      <c r="Y1792" s="21"/>
      <c r="Z1792" s="21"/>
      <c r="AA1792" s="21" t="str">
        <f>HYPERLINK("https://miland.ru/api/getInfo/item/c3a5da05-1fc7-11e9-a21c-ac1f6b442184")</f>
        <v>https://miland.ru/api/getInfo/item/c3a5da05-1fc7-11e9-a21c-ac1f6b442184</v>
      </c>
      <c r="AB1792" s="21" t="s">
        <v>42</v>
      </c>
      <c r="AC1792" s="21" t="s">
        <v>5164</v>
      </c>
      <c r="AD1792" s="21"/>
    </row>
    <row r="1793" spans="2:31" s="1" customFormat="1" ht="96.3" customHeight="1" outlineLevel="6">
      <c r="B1793" s="58">
        <v>1378</v>
      </c>
      <c r="C1793" s="7" t="s">
        <v>6277</v>
      </c>
      <c r="D1793" s="71" t="s">
        <v>6278</v>
      </c>
      <c r="E1793" s="71"/>
      <c r="F1793" s="71"/>
      <c r="G1793" s="71"/>
      <c r="H1793" s="8" t="s">
        <v>6279</v>
      </c>
      <c r="I1793" s="9" t="s">
        <v>36</v>
      </c>
      <c r="J1793" s="8"/>
      <c r="K1793" s="6">
        <v>4</v>
      </c>
      <c r="L1793" s="10">
        <v>165.12</v>
      </c>
      <c r="M1793" s="11"/>
      <c r="N1793" s="8">
        <f t="shared" si="79"/>
        <v>0</v>
      </c>
      <c r="O1793" s="12">
        <f>0.022*M1793</f>
        <v>0</v>
      </c>
      <c r="P1793" s="13">
        <f>0.00141*M1793</f>
        <v>0</v>
      </c>
      <c r="Q1793" s="17" t="s">
        <v>37</v>
      </c>
      <c r="R1793" s="8" t="s">
        <v>6280</v>
      </c>
      <c r="S1793" s="8"/>
      <c r="T1793" s="7" t="str">
        <f>HYPERLINK("https://miland.ru/api/getInfo/image/2618b586-37da-11f1-a293-00155d82e908")</f>
        <v>https://miland.ru/api/getInfo/image/2618b586-37da-11f1-a293-00155d82e908</v>
      </c>
      <c r="U1793" s="7"/>
      <c r="V1793" s="7"/>
      <c r="W1793" s="7" t="s">
        <v>82</v>
      </c>
      <c r="X1793" s="7"/>
      <c r="Y1793" s="7" t="s">
        <v>41</v>
      </c>
      <c r="Z1793" s="7"/>
      <c r="AA1793" s="7" t="str">
        <f>HYPERLINK("https://miland.ru/api/getInfo/item/2618b586-37da-11f1-a293-00155d82e908")</f>
        <v>https://miland.ru/api/getInfo/item/2618b586-37da-11f1-a293-00155d82e908</v>
      </c>
      <c r="AB1793" s="7" t="s">
        <v>42</v>
      </c>
      <c r="AC1793" s="7"/>
      <c r="AD1793" s="7"/>
      <c r="AE1793" s="54"/>
    </row>
    <row r="1794" spans="2:31" ht="12" customHeight="1" outlineLevel="5">
      <c r="B1794" s="70" t="s">
        <v>6234</v>
      </c>
      <c r="C1794" s="70"/>
      <c r="D1794" s="70"/>
      <c r="E1794" s="70"/>
      <c r="F1794" s="70"/>
      <c r="G1794" s="70"/>
    </row>
    <row r="1795" spans="2:31" s="1" customFormat="1" ht="96.3" customHeight="1" outlineLevel="6">
      <c r="B1795" s="58">
        <v>1379</v>
      </c>
      <c r="C1795" s="7" t="s">
        <v>6281</v>
      </c>
      <c r="D1795" s="71" t="s">
        <v>6282</v>
      </c>
      <c r="E1795" s="71"/>
      <c r="F1795" s="71"/>
      <c r="G1795" s="71"/>
      <c r="H1795" s="8" t="s">
        <v>6283</v>
      </c>
      <c r="I1795" s="9" t="s">
        <v>36</v>
      </c>
      <c r="J1795" s="8"/>
      <c r="K1795" s="6">
        <v>3</v>
      </c>
      <c r="L1795" s="10">
        <v>244.69</v>
      </c>
      <c r="M1795" s="11"/>
      <c r="N1795" s="8">
        <f>L1795*M1795</f>
        <v>0</v>
      </c>
      <c r="O1795" s="12">
        <f>0.092*M1795</f>
        <v>0</v>
      </c>
      <c r="P1795" s="13">
        <f>0.00384*M1795</f>
        <v>0</v>
      </c>
      <c r="Q1795" s="17" t="s">
        <v>37</v>
      </c>
      <c r="R1795" s="8" t="s">
        <v>6284</v>
      </c>
      <c r="S1795" s="8"/>
      <c r="T1795" s="7" t="str">
        <f>HYPERLINK("https://miland.ru/api/getInfo/image/44ab99be-37da-11f1-a293-00155d82e908")</f>
        <v>https://miland.ru/api/getInfo/image/44ab99be-37da-11f1-a293-00155d82e908</v>
      </c>
      <c r="U1795" s="7"/>
      <c r="V1795" s="7"/>
      <c r="W1795" s="7" t="s">
        <v>82</v>
      </c>
      <c r="X1795" s="7"/>
      <c r="Y1795" s="7" t="s">
        <v>41</v>
      </c>
      <c r="Z1795" s="7"/>
      <c r="AA1795" s="7" t="str">
        <f>HYPERLINK("https://miland.ru/api/getInfo/item/44ab99be-37da-11f1-a293-00155d82e908")</f>
        <v>https://miland.ru/api/getInfo/item/44ab99be-37da-11f1-a293-00155d82e908</v>
      </c>
      <c r="AB1795" s="7" t="s">
        <v>42</v>
      </c>
      <c r="AC1795" s="7"/>
      <c r="AD1795" s="7"/>
      <c r="AE1795" s="54"/>
    </row>
    <row r="1796" spans="2:31" ht="12" customHeight="1" outlineLevel="4">
      <c r="B1796" s="70" t="s">
        <v>6285</v>
      </c>
      <c r="C1796" s="70"/>
      <c r="D1796" s="70"/>
      <c r="E1796" s="70"/>
      <c r="F1796" s="70"/>
      <c r="G1796" s="70"/>
    </row>
    <row r="1797" spans="2:31" ht="12" customHeight="1" outlineLevel="5">
      <c r="B1797" s="70" t="s">
        <v>437</v>
      </c>
      <c r="C1797" s="70"/>
      <c r="D1797" s="70"/>
      <c r="E1797" s="70"/>
      <c r="F1797" s="70"/>
      <c r="G1797" s="70"/>
    </row>
    <row r="1798" spans="2:31" s="1" customFormat="1" ht="96.3" customHeight="1" outlineLevel="6">
      <c r="B1798" s="57">
        <v>1380</v>
      </c>
      <c r="C1798" s="21" t="s">
        <v>6286</v>
      </c>
      <c r="D1798" s="72" t="s">
        <v>6287</v>
      </c>
      <c r="E1798" s="72"/>
      <c r="F1798" s="72"/>
      <c r="G1798" s="72"/>
      <c r="H1798" s="22" t="s">
        <v>6288</v>
      </c>
      <c r="I1798" s="23" t="s">
        <v>36</v>
      </c>
      <c r="J1798" s="22"/>
      <c r="K1798" s="20">
        <v>5</v>
      </c>
      <c r="L1798" s="24">
        <v>131.62</v>
      </c>
      <c r="M1798" s="11"/>
      <c r="N1798" s="22">
        <f>L1798*M1798</f>
        <v>0</v>
      </c>
      <c r="O1798" s="25">
        <f>0.013*M1798</f>
        <v>0</v>
      </c>
      <c r="P1798" s="26">
        <f>0.00011*M1798</f>
        <v>0</v>
      </c>
      <c r="Q1798" s="30"/>
      <c r="R1798" s="22" t="s">
        <v>6289</v>
      </c>
      <c r="S1798" s="22"/>
      <c r="T1798" s="21" t="str">
        <f>HYPERLINK("https://miland.ru/api/getInfo/image/6ad985d0-e412-11ed-a233-00155d82e902")</f>
        <v>https://miland.ru/api/getInfo/image/6ad985d0-e412-11ed-a233-00155d82e902</v>
      </c>
      <c r="U1798" s="21"/>
      <c r="V1798" s="21" t="s">
        <v>208</v>
      </c>
      <c r="W1798" s="21" t="s">
        <v>82</v>
      </c>
      <c r="X1798" s="21"/>
      <c r="Y1798" s="21" t="s">
        <v>41</v>
      </c>
      <c r="Z1798" s="21"/>
      <c r="AA1798" s="21" t="str">
        <f>HYPERLINK("https://miland.ru/api/getInfo/item/6ad985d0-e412-11ed-a233-00155d82e902")</f>
        <v>https://miland.ru/api/getInfo/item/6ad985d0-e412-11ed-a233-00155d82e902</v>
      </c>
      <c r="AB1798" s="21" t="s">
        <v>42</v>
      </c>
      <c r="AC1798" s="21"/>
      <c r="AD1798" s="21"/>
    </row>
    <row r="1799" spans="2:31" s="1" customFormat="1" ht="96.3" customHeight="1" outlineLevel="6">
      <c r="B1799" s="57">
        <v>1381</v>
      </c>
      <c r="C1799" s="21" t="s">
        <v>6290</v>
      </c>
      <c r="D1799" s="72" t="s">
        <v>6291</v>
      </c>
      <c r="E1799" s="72"/>
      <c r="F1799" s="72"/>
      <c r="G1799" s="72"/>
      <c r="H1799" s="22" t="s">
        <v>6292</v>
      </c>
      <c r="I1799" s="23" t="s">
        <v>36</v>
      </c>
      <c r="J1799" s="22"/>
      <c r="K1799" s="20">
        <v>5</v>
      </c>
      <c r="L1799" s="24">
        <v>131.62</v>
      </c>
      <c r="M1799" s="11"/>
      <c r="N1799" s="22">
        <f>L1799*M1799</f>
        <v>0</v>
      </c>
      <c r="O1799" s="25">
        <f>0.019*M1799</f>
        <v>0</v>
      </c>
      <c r="P1799" s="26">
        <f>0.00004*M1799</f>
        <v>0</v>
      </c>
      <c r="Q1799" s="30"/>
      <c r="R1799" s="22" t="s">
        <v>6293</v>
      </c>
      <c r="S1799" s="22"/>
      <c r="T1799" s="21" t="str">
        <f>HYPERLINK("https://miland.ru/api/getInfo/image/c3ee6555-e412-11ed-a233-00155d82e902")</f>
        <v>https://miland.ru/api/getInfo/image/c3ee6555-e412-11ed-a233-00155d82e902</v>
      </c>
      <c r="U1799" s="21"/>
      <c r="V1799" s="21" t="s">
        <v>208</v>
      </c>
      <c r="W1799" s="21" t="s">
        <v>82</v>
      </c>
      <c r="X1799" s="21"/>
      <c r="Y1799" s="21" t="s">
        <v>41</v>
      </c>
      <c r="Z1799" s="21"/>
      <c r="AA1799" s="21" t="str">
        <f>HYPERLINK("https://miland.ru/api/getInfo/item/c3ee6555-e412-11ed-a233-00155d82e902")</f>
        <v>https://miland.ru/api/getInfo/item/c3ee6555-e412-11ed-a233-00155d82e902</v>
      </c>
      <c r="AB1799" s="21" t="s">
        <v>42</v>
      </c>
      <c r="AC1799" s="21"/>
      <c r="AD1799" s="21"/>
    </row>
    <row r="1800" spans="2:31" ht="12" customHeight="1" outlineLevel="5">
      <c r="B1800" s="70" t="s">
        <v>6294</v>
      </c>
      <c r="C1800" s="70"/>
      <c r="D1800" s="70"/>
      <c r="E1800" s="70"/>
      <c r="F1800" s="70"/>
      <c r="G1800" s="70"/>
    </row>
    <row r="1801" spans="2:31" s="1" customFormat="1" ht="96.3" customHeight="1" outlineLevel="6">
      <c r="B1801" s="57">
        <v>1382</v>
      </c>
      <c r="C1801" s="21" t="s">
        <v>6295</v>
      </c>
      <c r="D1801" s="72" t="s">
        <v>6296</v>
      </c>
      <c r="E1801" s="72"/>
      <c r="F1801" s="72"/>
      <c r="G1801" s="72"/>
      <c r="H1801" s="22" t="s">
        <v>6297</v>
      </c>
      <c r="I1801" s="23" t="s">
        <v>36</v>
      </c>
      <c r="J1801" s="22"/>
      <c r="K1801" s="20">
        <v>2</v>
      </c>
      <c r="L1801" s="24">
        <v>359.33</v>
      </c>
      <c r="M1801" s="11"/>
      <c r="N1801" s="22">
        <f>L1801*M1801</f>
        <v>0</v>
      </c>
      <c r="O1801" s="25">
        <f>0.055*M1801</f>
        <v>0</v>
      </c>
      <c r="P1801" s="26">
        <f>0.00017*M1801</f>
        <v>0</v>
      </c>
      <c r="Q1801" s="30"/>
      <c r="R1801" s="22" t="s">
        <v>6298</v>
      </c>
      <c r="S1801" s="22"/>
      <c r="T1801" s="21" t="str">
        <f>HYPERLINK("https://miland.ru/api/getInfo/image/91baa09b-e411-11ed-a233-00155d82e902")</f>
        <v>https://miland.ru/api/getInfo/image/91baa09b-e411-11ed-a233-00155d82e902</v>
      </c>
      <c r="U1801" s="21"/>
      <c r="V1801" s="21" t="s">
        <v>208</v>
      </c>
      <c r="W1801" s="21" t="s">
        <v>82</v>
      </c>
      <c r="X1801" s="21"/>
      <c r="Y1801" s="21" t="s">
        <v>41</v>
      </c>
      <c r="Z1801" s="21"/>
      <c r="AA1801" s="21" t="str">
        <f>HYPERLINK("https://miland.ru/api/getInfo/item/91baa09b-e411-11ed-a233-00155d82e902")</f>
        <v>https://miland.ru/api/getInfo/item/91baa09b-e411-11ed-a233-00155d82e902</v>
      </c>
      <c r="AB1801" s="21" t="s">
        <v>42</v>
      </c>
      <c r="AC1801" s="21"/>
      <c r="AD1801" s="21"/>
    </row>
    <row r="1802" spans="2:31" s="1" customFormat="1" ht="96.3" customHeight="1" outlineLevel="6">
      <c r="B1802" s="57">
        <v>1383</v>
      </c>
      <c r="C1802" s="21" t="s">
        <v>6299</v>
      </c>
      <c r="D1802" s="72" t="s">
        <v>6300</v>
      </c>
      <c r="E1802" s="72"/>
      <c r="F1802" s="72"/>
      <c r="G1802" s="72"/>
      <c r="H1802" s="22" t="s">
        <v>6301</v>
      </c>
      <c r="I1802" s="23" t="s">
        <v>36</v>
      </c>
      <c r="J1802" s="22"/>
      <c r="K1802" s="20">
        <v>2</v>
      </c>
      <c r="L1802" s="24">
        <v>359.33</v>
      </c>
      <c r="M1802" s="11"/>
      <c r="N1802" s="22">
        <f>L1802*M1802</f>
        <v>0</v>
      </c>
      <c r="O1802" s="25">
        <f>0.045*M1802</f>
        <v>0</v>
      </c>
      <c r="P1802" s="26">
        <f>0.00027*M1802</f>
        <v>0</v>
      </c>
      <c r="Q1802" s="30"/>
      <c r="R1802" s="22" t="s">
        <v>6302</v>
      </c>
      <c r="S1802" s="22"/>
      <c r="T1802" s="21" t="str">
        <f>HYPERLINK("https://miland.ru/api/getInfo/image/e11c6ac1-e410-11ed-a233-00155d82e902")</f>
        <v>https://miland.ru/api/getInfo/image/e11c6ac1-e410-11ed-a233-00155d82e902</v>
      </c>
      <c r="U1802" s="21"/>
      <c r="V1802" s="21" t="s">
        <v>208</v>
      </c>
      <c r="W1802" s="21" t="s">
        <v>82</v>
      </c>
      <c r="X1802" s="21"/>
      <c r="Y1802" s="21" t="s">
        <v>41</v>
      </c>
      <c r="Z1802" s="21"/>
      <c r="AA1802" s="21" t="str">
        <f>HYPERLINK("https://miland.ru/api/getInfo/item/e11c6ac1-e410-11ed-a233-00155d82e902")</f>
        <v>https://miland.ru/api/getInfo/item/e11c6ac1-e410-11ed-a233-00155d82e902</v>
      </c>
      <c r="AB1802" s="21" t="s">
        <v>42</v>
      </c>
      <c r="AC1802" s="21"/>
      <c r="AD1802" s="21"/>
    </row>
    <row r="1803" spans="2:31" s="1" customFormat="1" ht="96.3" customHeight="1" outlineLevel="6">
      <c r="B1803" s="57">
        <v>1384</v>
      </c>
      <c r="C1803" s="21" t="s">
        <v>6303</v>
      </c>
      <c r="D1803" s="72" t="s">
        <v>6304</v>
      </c>
      <c r="E1803" s="72"/>
      <c r="F1803" s="72"/>
      <c r="G1803" s="72"/>
      <c r="H1803" s="22" t="s">
        <v>6305</v>
      </c>
      <c r="I1803" s="23" t="s">
        <v>36</v>
      </c>
      <c r="J1803" s="22"/>
      <c r="K1803" s="20">
        <v>2</v>
      </c>
      <c r="L1803" s="24">
        <v>359.33</v>
      </c>
      <c r="M1803" s="11"/>
      <c r="N1803" s="22">
        <f>L1803*M1803</f>
        <v>0</v>
      </c>
      <c r="O1803" s="25">
        <f>0.032*M1803</f>
        <v>0</v>
      </c>
      <c r="P1803" s="26">
        <f>0.00062*M1803</f>
        <v>0</v>
      </c>
      <c r="Q1803" s="30"/>
      <c r="R1803" s="22" t="s">
        <v>6306</v>
      </c>
      <c r="S1803" s="22"/>
      <c r="T1803" s="21" t="str">
        <f>HYPERLINK("https://miland.ru/api/getInfo/image/6fbb276e-e410-11ed-a233-00155d82e902")</f>
        <v>https://miland.ru/api/getInfo/image/6fbb276e-e410-11ed-a233-00155d82e902</v>
      </c>
      <c r="U1803" s="21"/>
      <c r="V1803" s="21" t="s">
        <v>208</v>
      </c>
      <c r="W1803" s="21" t="s">
        <v>82</v>
      </c>
      <c r="X1803" s="21"/>
      <c r="Y1803" s="21" t="s">
        <v>41</v>
      </c>
      <c r="Z1803" s="21"/>
      <c r="AA1803" s="21" t="str">
        <f>HYPERLINK("https://miland.ru/api/getInfo/item/6fbb276e-e410-11ed-a233-00155d82e902")</f>
        <v>https://miland.ru/api/getInfo/item/6fbb276e-e410-11ed-a233-00155d82e902</v>
      </c>
      <c r="AB1803" s="21" t="s">
        <v>42</v>
      </c>
      <c r="AC1803" s="21"/>
      <c r="AD1803" s="21"/>
    </row>
    <row r="1804" spans="2:31" s="1" customFormat="1" ht="96.3" customHeight="1" outlineLevel="6">
      <c r="B1804" s="57">
        <v>1385</v>
      </c>
      <c r="C1804" s="21" t="s">
        <v>6307</v>
      </c>
      <c r="D1804" s="72" t="s">
        <v>6308</v>
      </c>
      <c r="E1804" s="72"/>
      <c r="F1804" s="72"/>
      <c r="G1804" s="72"/>
      <c r="H1804" s="22" t="s">
        <v>6309</v>
      </c>
      <c r="I1804" s="27">
        <v>134</v>
      </c>
      <c r="J1804" s="22"/>
      <c r="K1804" s="20">
        <v>2</v>
      </c>
      <c r="L1804" s="24">
        <v>359.33</v>
      </c>
      <c r="M1804" s="11"/>
      <c r="N1804" s="22">
        <f>L1804*M1804</f>
        <v>0</v>
      </c>
      <c r="O1804" s="25">
        <f>0.041*M1804</f>
        <v>0</v>
      </c>
      <c r="P1804" s="26">
        <f>0.00051*M1804</f>
        <v>0</v>
      </c>
      <c r="Q1804" s="30"/>
      <c r="R1804" s="22" t="s">
        <v>6310</v>
      </c>
      <c r="S1804" s="22"/>
      <c r="T1804" s="21" t="str">
        <f>HYPERLINK("https://miland.ru/api/getInfo/image/2ac51036-e411-11ed-a233-00155d82e902")</f>
        <v>https://miland.ru/api/getInfo/image/2ac51036-e411-11ed-a233-00155d82e902</v>
      </c>
      <c r="U1804" s="21"/>
      <c r="V1804" s="21" t="s">
        <v>208</v>
      </c>
      <c r="W1804" s="21" t="s">
        <v>82</v>
      </c>
      <c r="X1804" s="21"/>
      <c r="Y1804" s="21" t="s">
        <v>41</v>
      </c>
      <c r="Z1804" s="21"/>
      <c r="AA1804" s="21" t="str">
        <f>HYPERLINK("https://miland.ru/api/getInfo/item/2ac51036-e411-11ed-a233-00155d82e902")</f>
        <v>https://miland.ru/api/getInfo/item/2ac51036-e411-11ed-a233-00155d82e902</v>
      </c>
      <c r="AB1804" s="21" t="s">
        <v>42</v>
      </c>
      <c r="AC1804" s="21"/>
      <c r="AD1804" s="21"/>
    </row>
    <row r="1805" spans="2:31" ht="12" customHeight="1" outlineLevel="4">
      <c r="B1805" s="70" t="s">
        <v>6311</v>
      </c>
      <c r="C1805" s="70"/>
      <c r="D1805" s="70"/>
      <c r="E1805" s="70"/>
      <c r="F1805" s="70"/>
      <c r="G1805" s="70"/>
    </row>
    <row r="1806" spans="2:31" s="1" customFormat="1" ht="96.3" customHeight="1" outlineLevel="5">
      <c r="B1806" s="57">
        <v>1386</v>
      </c>
      <c r="C1806" s="21" t="s">
        <v>6312</v>
      </c>
      <c r="D1806" s="72" t="s">
        <v>6313</v>
      </c>
      <c r="E1806" s="72"/>
      <c r="F1806" s="72"/>
      <c r="G1806" s="72"/>
      <c r="H1806" s="22" t="s">
        <v>6314</v>
      </c>
      <c r="I1806" s="27">
        <v>56</v>
      </c>
      <c r="J1806" s="22"/>
      <c r="K1806" s="20">
        <v>6</v>
      </c>
      <c r="L1806" s="24">
        <v>91.28</v>
      </c>
      <c r="M1806" s="11"/>
      <c r="N1806" s="22">
        <f>L1806*M1806</f>
        <v>0</v>
      </c>
      <c r="O1806" s="25">
        <f>0.109*M1806</f>
        <v>0</v>
      </c>
      <c r="P1806" s="26">
        <f>0.00007*M1806</f>
        <v>0</v>
      </c>
      <c r="Q1806" s="30"/>
      <c r="R1806" s="22" t="s">
        <v>6315</v>
      </c>
      <c r="S1806" s="22" t="s">
        <v>435</v>
      </c>
      <c r="T1806" s="21" t="str">
        <f>HYPERLINK("https://miland.ru/api/getInfo/image/7ab3503a-bea5-11ee-a25a-00155d82e908")</f>
        <v>https://miland.ru/api/getInfo/image/7ab3503a-bea5-11ee-a25a-00155d82e908</v>
      </c>
      <c r="U1806" s="21"/>
      <c r="V1806" s="21"/>
      <c r="W1806" s="21"/>
      <c r="X1806" s="21"/>
      <c r="Y1806" s="21"/>
      <c r="Z1806" s="21"/>
      <c r="AA1806" s="21" t="str">
        <f>HYPERLINK("https://miland.ru/api/getInfo/item/7ab3503a-bea5-11ee-a25a-00155d82e908")</f>
        <v>https://miland.ru/api/getInfo/item/7ab3503a-bea5-11ee-a25a-00155d82e908</v>
      </c>
      <c r="AB1806" s="21" t="s">
        <v>42</v>
      </c>
      <c r="AC1806" s="21" t="s">
        <v>6316</v>
      </c>
      <c r="AD1806" s="21"/>
    </row>
    <row r="1807" spans="2:31" ht="12" customHeight="1" outlineLevel="4">
      <c r="B1807" s="70" t="s">
        <v>6317</v>
      </c>
      <c r="C1807" s="70"/>
      <c r="D1807" s="70"/>
      <c r="E1807" s="70"/>
      <c r="F1807" s="70"/>
      <c r="G1807" s="70"/>
    </row>
    <row r="1808" spans="2:31" s="1" customFormat="1" ht="96.3" customHeight="1" outlineLevel="5">
      <c r="B1808" s="57">
        <v>1387</v>
      </c>
      <c r="C1808" s="21" t="s">
        <v>6318</v>
      </c>
      <c r="D1808" s="72" t="s">
        <v>6319</v>
      </c>
      <c r="E1808" s="72"/>
      <c r="F1808" s="72"/>
      <c r="G1808" s="72"/>
      <c r="H1808" s="22" t="s">
        <v>6320</v>
      </c>
      <c r="I1808" s="27">
        <v>137</v>
      </c>
      <c r="J1808" s="22"/>
      <c r="K1808" s="20">
        <v>4</v>
      </c>
      <c r="L1808" s="24">
        <v>153.86000000000001</v>
      </c>
      <c r="M1808" s="11"/>
      <c r="N1808" s="22">
        <f>L1808*M1808</f>
        <v>0</v>
      </c>
      <c r="O1808" s="25">
        <f>0.079*M1808</f>
        <v>0</v>
      </c>
      <c r="P1808" s="26">
        <f>0.00049*M1808</f>
        <v>0</v>
      </c>
      <c r="Q1808" s="30"/>
      <c r="R1808" s="22" t="s">
        <v>6321</v>
      </c>
      <c r="S1808" s="22" t="s">
        <v>435</v>
      </c>
      <c r="T1808" s="21" t="str">
        <f>HYPERLINK("https://miland.ru/api/getInfo/image/836e787f-c87e-11ed-a230-00155d82e902")</f>
        <v>https://miland.ru/api/getInfo/image/836e787f-c87e-11ed-a230-00155d82e902</v>
      </c>
      <c r="U1808" s="21"/>
      <c r="V1808" s="21"/>
      <c r="W1808" s="21" t="s">
        <v>1630</v>
      </c>
      <c r="X1808" s="21"/>
      <c r="Y1808" s="21"/>
      <c r="Z1808" s="21"/>
      <c r="AA1808" s="21" t="str">
        <f>HYPERLINK("https://miland.ru/api/getInfo/item/836e787f-c87e-11ed-a230-00155d82e902")</f>
        <v>https://miland.ru/api/getInfo/item/836e787f-c87e-11ed-a230-00155d82e902</v>
      </c>
      <c r="AB1808" s="21" t="s">
        <v>42</v>
      </c>
      <c r="AC1808" s="21"/>
      <c r="AD1808" s="21"/>
    </row>
    <row r="1809" spans="2:31" ht="12" customHeight="1" outlineLevel="4">
      <c r="B1809" s="70" t="s">
        <v>6322</v>
      </c>
      <c r="C1809" s="70"/>
      <c r="D1809" s="70"/>
      <c r="E1809" s="70"/>
      <c r="F1809" s="70"/>
      <c r="G1809" s="70"/>
    </row>
    <row r="1810" spans="2:31" ht="12" customHeight="1" outlineLevel="5">
      <c r="B1810" s="70" t="s">
        <v>6323</v>
      </c>
      <c r="C1810" s="70"/>
      <c r="D1810" s="70"/>
      <c r="E1810" s="70"/>
      <c r="F1810" s="70"/>
      <c r="G1810" s="70"/>
    </row>
    <row r="1811" spans="2:31" ht="12" customHeight="1" outlineLevel="6">
      <c r="B1811" s="70" t="s">
        <v>6324</v>
      </c>
      <c r="C1811" s="70"/>
      <c r="D1811" s="70"/>
      <c r="E1811" s="70"/>
      <c r="F1811" s="70"/>
      <c r="G1811" s="70"/>
    </row>
    <row r="1812" spans="2:31" s="1" customFormat="1" ht="96.3" customHeight="1" outlineLevel="7">
      <c r="B1812" s="57">
        <v>1388</v>
      </c>
      <c r="C1812" s="21" t="s">
        <v>6325</v>
      </c>
      <c r="D1812" s="72" t="s">
        <v>6326</v>
      </c>
      <c r="E1812" s="72"/>
      <c r="F1812" s="72"/>
      <c r="G1812" s="72"/>
      <c r="H1812" s="22" t="s">
        <v>6327</v>
      </c>
      <c r="I1812" s="27">
        <v>26</v>
      </c>
      <c r="J1812" s="22"/>
      <c r="K1812" s="20">
        <v>4</v>
      </c>
      <c r="L1812" s="24">
        <v>171.22</v>
      </c>
      <c r="M1812" s="11"/>
      <c r="N1812" s="22">
        <f t="shared" ref="N1812:N1817" si="80">L1812*M1812</f>
        <v>0</v>
      </c>
      <c r="O1812" s="25">
        <f>0.024*M1812</f>
        <v>0</v>
      </c>
      <c r="P1812" s="26">
        <f>0.00072*M1812</f>
        <v>0</v>
      </c>
      <c r="Q1812" s="30"/>
      <c r="R1812" s="22" t="s">
        <v>6328</v>
      </c>
      <c r="S1812" s="22" t="s">
        <v>435</v>
      </c>
      <c r="T1812" s="21" t="str">
        <f>HYPERLINK("https://miland.ru/api/getInfo/image/a944f730-97d9-11ed-a22d-00155d82e902")</f>
        <v>https://miland.ru/api/getInfo/image/a944f730-97d9-11ed-a22d-00155d82e902</v>
      </c>
      <c r="U1812" s="21"/>
      <c r="V1812" s="21"/>
      <c r="W1812" s="21" t="s">
        <v>82</v>
      </c>
      <c r="X1812" s="21"/>
      <c r="Y1812" s="21"/>
      <c r="Z1812" s="21"/>
      <c r="AA1812" s="21" t="str">
        <f>HYPERLINK("https://miland.ru/api/getInfo/item/a944f730-97d9-11ed-a22d-00155d82e902")</f>
        <v>https://miland.ru/api/getInfo/item/a944f730-97d9-11ed-a22d-00155d82e902</v>
      </c>
      <c r="AB1812" s="21" t="s">
        <v>42</v>
      </c>
      <c r="AC1812" s="21"/>
      <c r="AD1812" s="21"/>
    </row>
    <row r="1813" spans="2:31" s="1" customFormat="1" ht="96.3" customHeight="1" outlineLevel="7">
      <c r="B1813" s="58">
        <v>1389</v>
      </c>
      <c r="C1813" s="7" t="s">
        <v>6329</v>
      </c>
      <c r="D1813" s="71" t="s">
        <v>6330</v>
      </c>
      <c r="E1813" s="71"/>
      <c r="F1813" s="71"/>
      <c r="G1813" s="71"/>
      <c r="H1813" s="8" t="s">
        <v>6331</v>
      </c>
      <c r="I1813" s="14">
        <v>339</v>
      </c>
      <c r="J1813" s="8"/>
      <c r="K1813" s="6">
        <v>10</v>
      </c>
      <c r="L1813" s="10">
        <v>72.06</v>
      </c>
      <c r="M1813" s="11"/>
      <c r="N1813" s="8">
        <f t="shared" si="80"/>
        <v>0</v>
      </c>
      <c r="O1813" s="12">
        <f>0.016*M1813</f>
        <v>0</v>
      </c>
      <c r="P1813" s="13">
        <f>0.00084*M1813</f>
        <v>0</v>
      </c>
      <c r="Q1813" s="17" t="s">
        <v>37</v>
      </c>
      <c r="R1813" s="8" t="s">
        <v>6332</v>
      </c>
      <c r="S1813" s="8"/>
      <c r="T1813" s="7" t="str">
        <f>HYPERLINK("https://miland.ru/api/getInfo/image/51c11615-37dd-11f1-a293-00155d82e908")</f>
        <v>https://miland.ru/api/getInfo/image/51c11615-37dd-11f1-a293-00155d82e908</v>
      </c>
      <c r="U1813" s="7"/>
      <c r="V1813" s="7"/>
      <c r="W1813" s="7" t="s">
        <v>82</v>
      </c>
      <c r="X1813" s="7"/>
      <c r="Y1813" s="7" t="s">
        <v>41</v>
      </c>
      <c r="Z1813" s="7"/>
      <c r="AA1813" s="7" t="str">
        <f>HYPERLINK("https://miland.ru/api/getInfo/item/51c11615-37dd-11f1-a293-00155d82e908")</f>
        <v>https://miland.ru/api/getInfo/item/51c11615-37dd-11f1-a293-00155d82e908</v>
      </c>
      <c r="AB1813" s="7" t="s">
        <v>42</v>
      </c>
      <c r="AC1813" s="7"/>
      <c r="AD1813" s="7"/>
      <c r="AE1813" s="54"/>
    </row>
    <row r="1814" spans="2:31" s="1" customFormat="1" ht="96.3" customHeight="1" outlineLevel="7">
      <c r="B1814" s="58">
        <v>1390</v>
      </c>
      <c r="C1814" s="7" t="s">
        <v>6333</v>
      </c>
      <c r="D1814" s="71" t="s">
        <v>6334</v>
      </c>
      <c r="E1814" s="71"/>
      <c r="F1814" s="71"/>
      <c r="G1814" s="71"/>
      <c r="H1814" s="8" t="s">
        <v>6335</v>
      </c>
      <c r="I1814" s="14">
        <v>119</v>
      </c>
      <c r="J1814" s="8"/>
      <c r="K1814" s="6">
        <v>10</v>
      </c>
      <c r="L1814" s="10">
        <v>72.06</v>
      </c>
      <c r="M1814" s="11"/>
      <c r="N1814" s="8">
        <f t="shared" si="80"/>
        <v>0</v>
      </c>
      <c r="O1814" s="12">
        <f>0.013*M1814</f>
        <v>0</v>
      </c>
      <c r="P1814" s="13">
        <f>0.00074*M1814</f>
        <v>0</v>
      </c>
      <c r="Q1814" s="17" t="s">
        <v>37</v>
      </c>
      <c r="R1814" s="8" t="s">
        <v>6336</v>
      </c>
      <c r="S1814" s="8"/>
      <c r="T1814" s="7" t="str">
        <f>HYPERLINK("https://miland.ru/api/getInfo/image/dd735636-37dc-11f1-a293-00155d82e908")</f>
        <v>https://miland.ru/api/getInfo/image/dd735636-37dc-11f1-a293-00155d82e908</v>
      </c>
      <c r="U1814" s="7"/>
      <c r="V1814" s="7"/>
      <c r="W1814" s="7" t="s">
        <v>82</v>
      </c>
      <c r="X1814" s="7"/>
      <c r="Y1814" s="7" t="s">
        <v>41</v>
      </c>
      <c r="Z1814" s="7"/>
      <c r="AA1814" s="7" t="str">
        <f>HYPERLINK("https://miland.ru/api/getInfo/item/dd735636-37dc-11f1-a293-00155d82e908")</f>
        <v>https://miland.ru/api/getInfo/item/dd735636-37dc-11f1-a293-00155d82e908</v>
      </c>
      <c r="AB1814" s="7" t="s">
        <v>42</v>
      </c>
      <c r="AC1814" s="7"/>
      <c r="AD1814" s="7"/>
      <c r="AE1814" s="54"/>
    </row>
    <row r="1815" spans="2:31" s="1" customFormat="1" ht="96.3" customHeight="1" outlineLevel="7">
      <c r="B1815" s="57">
        <v>1391</v>
      </c>
      <c r="C1815" s="21" t="s">
        <v>6337</v>
      </c>
      <c r="D1815" s="72" t="s">
        <v>6338</v>
      </c>
      <c r="E1815" s="72"/>
      <c r="F1815" s="72"/>
      <c r="G1815" s="72"/>
      <c r="H1815" s="22" t="s">
        <v>6339</v>
      </c>
      <c r="I1815" s="23" t="s">
        <v>36</v>
      </c>
      <c r="J1815" s="22"/>
      <c r="K1815" s="20">
        <v>3</v>
      </c>
      <c r="L1815" s="24">
        <v>201.94</v>
      </c>
      <c r="M1815" s="11"/>
      <c r="N1815" s="22">
        <f t="shared" si="80"/>
        <v>0</v>
      </c>
      <c r="O1815" s="28">
        <f>0.03*M1815</f>
        <v>0</v>
      </c>
      <c r="P1815" s="26">
        <f>0.00074*M1815</f>
        <v>0</v>
      </c>
      <c r="Q1815" s="30"/>
      <c r="R1815" s="22" t="s">
        <v>6340</v>
      </c>
      <c r="S1815" s="22"/>
      <c r="T1815" s="21" t="str">
        <f>HYPERLINK("https://miland.ru/api/getInfo/image/3819398b-97d8-11ed-a22d-00155d82e902")</f>
        <v>https://miland.ru/api/getInfo/image/3819398b-97d8-11ed-a22d-00155d82e902</v>
      </c>
      <c r="U1815" s="21"/>
      <c r="V1815" s="21"/>
      <c r="W1815" s="21" t="s">
        <v>82</v>
      </c>
      <c r="X1815" s="21"/>
      <c r="Y1815" s="21"/>
      <c r="Z1815" s="21"/>
      <c r="AA1815" s="21" t="str">
        <f>HYPERLINK("https://miland.ru/api/getInfo/item/3819398b-97d8-11ed-a22d-00155d82e902")</f>
        <v>https://miland.ru/api/getInfo/item/3819398b-97d8-11ed-a22d-00155d82e902</v>
      </c>
      <c r="AB1815" s="21" t="s">
        <v>42</v>
      </c>
      <c r="AC1815" s="21"/>
      <c r="AD1815" s="21"/>
    </row>
    <row r="1816" spans="2:31" s="1" customFormat="1" ht="96.3" customHeight="1" outlineLevel="7">
      <c r="B1816" s="58">
        <v>1392</v>
      </c>
      <c r="C1816" s="7" t="s">
        <v>6341</v>
      </c>
      <c r="D1816" s="71" t="s">
        <v>6342</v>
      </c>
      <c r="E1816" s="71"/>
      <c r="F1816" s="71"/>
      <c r="G1816" s="71"/>
      <c r="H1816" s="8" t="s">
        <v>6343</v>
      </c>
      <c r="I1816" s="9" t="s">
        <v>36</v>
      </c>
      <c r="J1816" s="8"/>
      <c r="K1816" s="6">
        <v>4</v>
      </c>
      <c r="L1816" s="10">
        <v>165.27</v>
      </c>
      <c r="M1816" s="11"/>
      <c r="N1816" s="8">
        <f t="shared" si="80"/>
        <v>0</v>
      </c>
      <c r="O1816" s="12">
        <f>0.016*M1816</f>
        <v>0</v>
      </c>
      <c r="P1816" s="13">
        <f>0.00038*M1816</f>
        <v>0</v>
      </c>
      <c r="Q1816" s="17" t="s">
        <v>37</v>
      </c>
      <c r="R1816" s="8" t="s">
        <v>6344</v>
      </c>
      <c r="S1816" s="8"/>
      <c r="T1816" s="7" t="str">
        <f>HYPERLINK("https://miland.ru/api/getInfo/image/281f7a09-37de-11f1-a293-00155d82e908")</f>
        <v>https://miland.ru/api/getInfo/image/281f7a09-37de-11f1-a293-00155d82e908</v>
      </c>
      <c r="U1816" s="7"/>
      <c r="V1816" s="7"/>
      <c r="W1816" s="7" t="s">
        <v>82</v>
      </c>
      <c r="X1816" s="7"/>
      <c r="Y1816" s="7" t="s">
        <v>41</v>
      </c>
      <c r="Z1816" s="7"/>
      <c r="AA1816" s="7" t="str">
        <f>HYPERLINK("https://miland.ru/api/getInfo/item/281f7a09-37de-11f1-a293-00155d82e908")</f>
        <v>https://miland.ru/api/getInfo/item/281f7a09-37de-11f1-a293-00155d82e908</v>
      </c>
      <c r="AB1816" s="7" t="s">
        <v>42</v>
      </c>
      <c r="AC1816" s="7"/>
      <c r="AD1816" s="7"/>
      <c r="AE1816" s="54"/>
    </row>
    <row r="1817" spans="2:31" s="1" customFormat="1" ht="96.3" customHeight="1" outlineLevel="7">
      <c r="B1817" s="58">
        <v>1393</v>
      </c>
      <c r="C1817" s="7" t="s">
        <v>6345</v>
      </c>
      <c r="D1817" s="71" t="s">
        <v>6346</v>
      </c>
      <c r="E1817" s="71"/>
      <c r="F1817" s="71"/>
      <c r="G1817" s="71"/>
      <c r="H1817" s="8" t="s">
        <v>6347</v>
      </c>
      <c r="I1817" s="14">
        <v>95</v>
      </c>
      <c r="J1817" s="8"/>
      <c r="K1817" s="6">
        <v>10</v>
      </c>
      <c r="L1817" s="10">
        <v>72.06</v>
      </c>
      <c r="M1817" s="11"/>
      <c r="N1817" s="8">
        <f t="shared" si="80"/>
        <v>0</v>
      </c>
      <c r="O1817" s="12">
        <f>0.017*M1817</f>
        <v>0</v>
      </c>
      <c r="P1817" s="13">
        <f>0.00046*M1817</f>
        <v>0</v>
      </c>
      <c r="Q1817" s="17" t="s">
        <v>37</v>
      </c>
      <c r="R1817" s="8" t="s">
        <v>6348</v>
      </c>
      <c r="S1817" s="8"/>
      <c r="T1817" s="7" t="str">
        <f>HYPERLINK("https://miland.ru/api/getInfo/image/4de5d567-37dc-11f1-a293-00155d82e908")</f>
        <v>https://miland.ru/api/getInfo/image/4de5d567-37dc-11f1-a293-00155d82e908</v>
      </c>
      <c r="U1817" s="7"/>
      <c r="V1817" s="7"/>
      <c r="W1817" s="7" t="s">
        <v>82</v>
      </c>
      <c r="X1817" s="7"/>
      <c r="Y1817" s="7" t="s">
        <v>41</v>
      </c>
      <c r="Z1817" s="7"/>
      <c r="AA1817" s="7" t="str">
        <f>HYPERLINK("https://miland.ru/api/getInfo/item/4de5d567-37dc-11f1-a293-00155d82e908")</f>
        <v>https://miland.ru/api/getInfo/item/4de5d567-37dc-11f1-a293-00155d82e908</v>
      </c>
      <c r="AB1817" s="7" t="s">
        <v>42</v>
      </c>
      <c r="AC1817" s="7"/>
      <c r="AD1817" s="7"/>
      <c r="AE1817" s="54"/>
    </row>
    <row r="1818" spans="2:31" ht="12" customHeight="1" outlineLevel="5">
      <c r="B1818" s="70" t="s">
        <v>6349</v>
      </c>
      <c r="C1818" s="70"/>
      <c r="D1818" s="70"/>
      <c r="E1818" s="70"/>
      <c r="F1818" s="70"/>
      <c r="G1818" s="70"/>
    </row>
    <row r="1819" spans="2:31" s="1" customFormat="1" ht="96.3" customHeight="1" outlineLevel="6">
      <c r="B1819" s="59">
        <v>1394</v>
      </c>
      <c r="C1819" s="35" t="s">
        <v>6350</v>
      </c>
      <c r="D1819" s="73" t="s">
        <v>6351</v>
      </c>
      <c r="E1819" s="73"/>
      <c r="F1819" s="73"/>
      <c r="G1819" s="73"/>
      <c r="H1819" s="36" t="s">
        <v>6352</v>
      </c>
      <c r="I1819" s="40">
        <v>10</v>
      </c>
      <c r="J1819" s="36"/>
      <c r="K1819" s="34">
        <v>2</v>
      </c>
      <c r="L1819" s="41">
        <v>231.82666666666668</v>
      </c>
      <c r="M1819" s="11"/>
      <c r="N1819" s="36">
        <f>L1819*M1819</f>
        <v>0</v>
      </c>
      <c r="O1819" s="42">
        <f>0.049*M1819</f>
        <v>0</v>
      </c>
      <c r="P1819" s="43">
        <f>0.00154*M1819</f>
        <v>0</v>
      </c>
      <c r="Q1819" s="50"/>
      <c r="R1819" s="36" t="s">
        <v>6353</v>
      </c>
      <c r="S1819" s="36" t="s">
        <v>435</v>
      </c>
      <c r="T1819" s="35" t="str">
        <f>HYPERLINK("https://miland.ru/api/getInfo/image/7955191e-9230-11eb-a233-0cc47a2bbb49")</f>
        <v>https://miland.ru/api/getInfo/image/7955191e-9230-11eb-a233-0cc47a2bbb49</v>
      </c>
      <c r="U1819" s="35"/>
      <c r="V1819" s="35"/>
      <c r="W1819" s="35"/>
      <c r="X1819" s="35"/>
      <c r="Y1819" s="35"/>
      <c r="Z1819" s="35"/>
      <c r="AA1819" s="35" t="str">
        <f>HYPERLINK("https://miland.ru/api/getInfo/item/7955191e-9230-11eb-a233-0cc47a2bbb49")</f>
        <v>https://miland.ru/api/getInfo/item/7955191e-9230-11eb-a233-0cc47a2bbb49</v>
      </c>
      <c r="AB1819" s="35" t="s">
        <v>42</v>
      </c>
      <c r="AC1819" s="35" t="s">
        <v>6354</v>
      </c>
      <c r="AD1819" s="35"/>
      <c r="AE1819" s="52" t="s">
        <v>1251</v>
      </c>
    </row>
    <row r="1820" spans="2:31" s="1" customFormat="1" ht="96.3" customHeight="1" outlineLevel="6">
      <c r="B1820" s="59">
        <v>1395</v>
      </c>
      <c r="C1820" s="35" t="s">
        <v>6355</v>
      </c>
      <c r="D1820" s="73" t="s">
        <v>6356</v>
      </c>
      <c r="E1820" s="73"/>
      <c r="F1820" s="73"/>
      <c r="G1820" s="73"/>
      <c r="H1820" s="36" t="s">
        <v>6357</v>
      </c>
      <c r="I1820" s="40">
        <v>112</v>
      </c>
      <c r="J1820" s="36"/>
      <c r="K1820" s="34">
        <v>2</v>
      </c>
      <c r="L1820" s="41">
        <v>231.82666666666668</v>
      </c>
      <c r="M1820" s="11"/>
      <c r="N1820" s="36">
        <f>L1820*M1820</f>
        <v>0</v>
      </c>
      <c r="O1820" s="42">
        <f>0.045*M1820</f>
        <v>0</v>
      </c>
      <c r="P1820" s="43">
        <f>0.00139*M1820</f>
        <v>0</v>
      </c>
      <c r="Q1820" s="50"/>
      <c r="R1820" s="36" t="s">
        <v>6358</v>
      </c>
      <c r="S1820" s="36" t="s">
        <v>435</v>
      </c>
      <c r="T1820" s="35" t="str">
        <f>HYPERLINK("https://miland.ru/api/getInfo/image/a297228b-9230-11eb-a233-0cc47a2bbb49")</f>
        <v>https://miland.ru/api/getInfo/image/a297228b-9230-11eb-a233-0cc47a2bbb49</v>
      </c>
      <c r="U1820" s="35"/>
      <c r="V1820" s="35"/>
      <c r="W1820" s="35" t="s">
        <v>82</v>
      </c>
      <c r="X1820" s="35"/>
      <c r="Y1820" s="35" t="s">
        <v>41</v>
      </c>
      <c r="Z1820" s="35"/>
      <c r="AA1820" s="35" t="str">
        <f>HYPERLINK("https://miland.ru/api/getInfo/item/a297228b-9230-11eb-a233-0cc47a2bbb49")</f>
        <v>https://miland.ru/api/getInfo/item/a297228b-9230-11eb-a233-0cc47a2bbb49</v>
      </c>
      <c r="AB1820" s="35" t="s">
        <v>42</v>
      </c>
      <c r="AC1820" s="35" t="s">
        <v>6354</v>
      </c>
      <c r="AD1820" s="35"/>
      <c r="AE1820" s="52" t="s">
        <v>1251</v>
      </c>
    </row>
    <row r="1821" spans="2:31" ht="12" customHeight="1" outlineLevel="3">
      <c r="B1821" s="70" t="s">
        <v>6359</v>
      </c>
      <c r="C1821" s="70"/>
      <c r="D1821" s="70"/>
      <c r="E1821" s="70"/>
      <c r="F1821" s="70"/>
      <c r="G1821" s="70"/>
    </row>
    <row r="1822" spans="2:31" ht="12" customHeight="1" outlineLevel="4">
      <c r="B1822" s="70" t="s">
        <v>6360</v>
      </c>
      <c r="C1822" s="70"/>
      <c r="D1822" s="70"/>
      <c r="E1822" s="70"/>
      <c r="F1822" s="70"/>
      <c r="G1822" s="70"/>
    </row>
    <row r="1823" spans="2:31" s="1" customFormat="1" ht="96.3" customHeight="1" outlineLevel="5">
      <c r="B1823" s="57">
        <v>1396</v>
      </c>
      <c r="C1823" s="21" t="s">
        <v>6361</v>
      </c>
      <c r="D1823" s="72" t="s">
        <v>6362</v>
      </c>
      <c r="E1823" s="72"/>
      <c r="F1823" s="72"/>
      <c r="G1823" s="72"/>
      <c r="H1823" s="22" t="s">
        <v>6363</v>
      </c>
      <c r="I1823" s="23" t="s">
        <v>36</v>
      </c>
      <c r="J1823" s="22"/>
      <c r="K1823" s="20">
        <v>3</v>
      </c>
      <c r="L1823" s="24">
        <v>242.79</v>
      </c>
      <c r="M1823" s="11"/>
      <c r="N1823" s="22">
        <f>L1823*M1823</f>
        <v>0</v>
      </c>
      <c r="O1823" s="25">
        <f>0.051*M1823</f>
        <v>0</v>
      </c>
      <c r="P1823" s="25">
        <f>0.001*M1823</f>
        <v>0</v>
      </c>
      <c r="Q1823" s="30"/>
      <c r="R1823" s="22" t="s">
        <v>6364</v>
      </c>
      <c r="S1823" s="22"/>
      <c r="T1823" s="21" t="str">
        <f>HYPERLINK("https://miland.ru/api/getInfo/image/e70de4e8-658b-11ed-a22a-00155d82e902")</f>
        <v>https://miland.ru/api/getInfo/image/e70de4e8-658b-11ed-a22a-00155d82e902</v>
      </c>
      <c r="U1823" s="21"/>
      <c r="V1823" s="21" t="s">
        <v>208</v>
      </c>
      <c r="W1823" s="21" t="s">
        <v>5671</v>
      </c>
      <c r="X1823" s="21"/>
      <c r="Y1823" s="21" t="s">
        <v>41</v>
      </c>
      <c r="Z1823" s="21"/>
      <c r="AA1823" s="21" t="str">
        <f>HYPERLINK("https://miland.ru/api/getInfo/item/e70de4e8-658b-11ed-a22a-00155d82e902")</f>
        <v>https://miland.ru/api/getInfo/item/e70de4e8-658b-11ed-a22a-00155d82e902</v>
      </c>
      <c r="AB1823" s="21" t="s">
        <v>42</v>
      </c>
      <c r="AC1823" s="21" t="s">
        <v>6365</v>
      </c>
      <c r="AD1823" s="21"/>
    </row>
    <row r="1824" spans="2:31" s="1" customFormat="1" ht="96.3" customHeight="1" outlineLevel="5">
      <c r="B1824" s="57">
        <v>1397</v>
      </c>
      <c r="C1824" s="21" t="s">
        <v>6366</v>
      </c>
      <c r="D1824" s="72" t="s">
        <v>6367</v>
      </c>
      <c r="E1824" s="72"/>
      <c r="F1824" s="72"/>
      <c r="G1824" s="72"/>
      <c r="H1824" s="22" t="s">
        <v>6368</v>
      </c>
      <c r="I1824" s="27">
        <v>56</v>
      </c>
      <c r="J1824" s="22"/>
      <c r="K1824" s="20">
        <v>2</v>
      </c>
      <c r="L1824" s="24">
        <v>267.33999999999997</v>
      </c>
      <c r="M1824" s="11"/>
      <c r="N1824" s="22">
        <f>L1824*M1824</f>
        <v>0</v>
      </c>
      <c r="O1824" s="25">
        <f>0.076*M1824</f>
        <v>0</v>
      </c>
      <c r="P1824" s="26">
        <f>0.00102*M1824</f>
        <v>0</v>
      </c>
      <c r="Q1824" s="30"/>
      <c r="R1824" s="22" t="s">
        <v>6369</v>
      </c>
      <c r="S1824" s="22" t="s">
        <v>435</v>
      </c>
      <c r="T1824" s="21" t="str">
        <f>HYPERLINK("https://miland.ru/api/getInfo/image/1fb52f10-658a-11ed-a22a-00155d82e902")</f>
        <v>https://miland.ru/api/getInfo/image/1fb52f10-658a-11ed-a22a-00155d82e902</v>
      </c>
      <c r="U1824" s="21"/>
      <c r="V1824" s="21" t="s">
        <v>208</v>
      </c>
      <c r="W1824" s="21" t="s">
        <v>5671</v>
      </c>
      <c r="X1824" s="21"/>
      <c r="Y1824" s="21" t="s">
        <v>41</v>
      </c>
      <c r="Z1824" s="21"/>
      <c r="AA1824" s="21" t="str">
        <f>HYPERLINK("https://miland.ru/api/getInfo/item/1fb52f10-658a-11ed-a22a-00155d82e902")</f>
        <v>https://miland.ru/api/getInfo/item/1fb52f10-658a-11ed-a22a-00155d82e902</v>
      </c>
      <c r="AB1824" s="21" t="s">
        <v>42</v>
      </c>
      <c r="AC1824" s="21" t="s">
        <v>6365</v>
      </c>
      <c r="AD1824" s="21"/>
    </row>
    <row r="1825" spans="2:30" s="1" customFormat="1" ht="96.3" customHeight="1" outlineLevel="5">
      <c r="B1825" s="57">
        <v>1398</v>
      </c>
      <c r="C1825" s="21" t="s">
        <v>6370</v>
      </c>
      <c r="D1825" s="72" t="s">
        <v>6371</v>
      </c>
      <c r="E1825" s="72"/>
      <c r="F1825" s="72"/>
      <c r="G1825" s="72"/>
      <c r="H1825" s="22" t="s">
        <v>6372</v>
      </c>
      <c r="I1825" s="23" t="s">
        <v>36</v>
      </c>
      <c r="J1825" s="22"/>
      <c r="K1825" s="20">
        <v>3</v>
      </c>
      <c r="L1825" s="24">
        <v>205</v>
      </c>
      <c r="M1825" s="11"/>
      <c r="N1825" s="22">
        <f>L1825*M1825</f>
        <v>0</v>
      </c>
      <c r="O1825" s="28">
        <f>0.05*M1825</f>
        <v>0</v>
      </c>
      <c r="P1825" s="26">
        <f>0.00183*M1825</f>
        <v>0</v>
      </c>
      <c r="Q1825" s="30"/>
      <c r="R1825" s="22" t="s">
        <v>6373</v>
      </c>
      <c r="S1825" s="22"/>
      <c r="T1825" s="21" t="str">
        <f>HYPERLINK("https://miland.ru/api/getInfo/image/ecd5469f-65b1-11ed-a22a-00155d82e902")</f>
        <v>https://miland.ru/api/getInfo/image/ecd5469f-65b1-11ed-a22a-00155d82e902</v>
      </c>
      <c r="U1825" s="21"/>
      <c r="V1825" s="21" t="s">
        <v>208</v>
      </c>
      <c r="W1825" s="21" t="s">
        <v>5671</v>
      </c>
      <c r="X1825" s="21"/>
      <c r="Y1825" s="21" t="s">
        <v>41</v>
      </c>
      <c r="Z1825" s="21"/>
      <c r="AA1825" s="21" t="str">
        <f>HYPERLINK("https://miland.ru/api/getInfo/item/ecd5469f-65b1-11ed-a22a-00155d82e902")</f>
        <v>https://miland.ru/api/getInfo/item/ecd5469f-65b1-11ed-a22a-00155d82e902</v>
      </c>
      <c r="AB1825" s="21" t="s">
        <v>42</v>
      </c>
      <c r="AC1825" s="21" t="s">
        <v>6374</v>
      </c>
      <c r="AD1825" s="21"/>
    </row>
    <row r="1826" spans="2:30" ht="12" customHeight="1" outlineLevel="4">
      <c r="B1826" s="70" t="s">
        <v>6375</v>
      </c>
      <c r="C1826" s="70"/>
      <c r="D1826" s="70"/>
      <c r="E1826" s="70"/>
      <c r="F1826" s="70"/>
      <c r="G1826" s="70"/>
    </row>
    <row r="1827" spans="2:30" s="1" customFormat="1" ht="96.3" customHeight="1" outlineLevel="5">
      <c r="B1827" s="57">
        <v>1399</v>
      </c>
      <c r="C1827" s="21" t="s">
        <v>6376</v>
      </c>
      <c r="D1827" s="72" t="s">
        <v>6377</v>
      </c>
      <c r="E1827" s="72"/>
      <c r="F1827" s="72"/>
      <c r="G1827" s="72"/>
      <c r="H1827" s="22" t="s">
        <v>6378</v>
      </c>
      <c r="I1827" s="23" t="s">
        <v>36</v>
      </c>
      <c r="J1827" s="22"/>
      <c r="K1827" s="20">
        <v>1</v>
      </c>
      <c r="L1827" s="24">
        <v>433.13</v>
      </c>
      <c r="M1827" s="11"/>
      <c r="N1827" s="22">
        <f>L1827*M1827</f>
        <v>0</v>
      </c>
      <c r="O1827" s="25">
        <f>0.058*M1827</f>
        <v>0</v>
      </c>
      <c r="P1827" s="26">
        <f>0.00175*M1827</f>
        <v>0</v>
      </c>
      <c r="Q1827" s="30"/>
      <c r="R1827" s="22" t="s">
        <v>6379</v>
      </c>
      <c r="S1827" s="22"/>
      <c r="T1827" s="21" t="str">
        <f>HYPERLINK("https://miland.ru/api/getInfo/image/5b455d33-d989-11ef-a273-00155d82e908")</f>
        <v>https://miland.ru/api/getInfo/image/5b455d33-d989-11ef-a273-00155d82e908</v>
      </c>
      <c r="U1827" s="21"/>
      <c r="V1827" s="21" t="s">
        <v>208</v>
      </c>
      <c r="W1827" s="21" t="s">
        <v>82</v>
      </c>
      <c r="X1827" s="21"/>
      <c r="Y1827" s="21" t="s">
        <v>41</v>
      </c>
      <c r="Z1827" s="21"/>
      <c r="AA1827" s="21" t="str">
        <f>HYPERLINK("https://miland.ru/api/getInfo/item/5b455d33-d989-11ef-a273-00155d82e908")</f>
        <v>https://miland.ru/api/getInfo/item/5b455d33-d989-11ef-a273-00155d82e908</v>
      </c>
      <c r="AB1827" s="21" t="s">
        <v>42</v>
      </c>
      <c r="AC1827" s="21"/>
      <c r="AD1827" s="21"/>
    </row>
    <row r="1828" spans="2:30" s="1" customFormat="1" ht="96.3" customHeight="1" outlineLevel="5">
      <c r="B1828" s="57">
        <v>1400</v>
      </c>
      <c r="C1828" s="21" t="s">
        <v>6380</v>
      </c>
      <c r="D1828" s="72" t="s">
        <v>6381</v>
      </c>
      <c r="E1828" s="72"/>
      <c r="F1828" s="72"/>
      <c r="G1828" s="72"/>
      <c r="H1828" s="22" t="s">
        <v>6382</v>
      </c>
      <c r="I1828" s="27">
        <v>87</v>
      </c>
      <c r="J1828" s="22"/>
      <c r="K1828" s="20">
        <v>2</v>
      </c>
      <c r="L1828" s="24">
        <v>307.5</v>
      </c>
      <c r="M1828" s="11"/>
      <c r="N1828" s="22">
        <f>L1828*M1828</f>
        <v>0</v>
      </c>
      <c r="O1828" s="25">
        <f>0.048*M1828</f>
        <v>0</v>
      </c>
      <c r="P1828" s="26">
        <f>0.00155*M1828</f>
        <v>0</v>
      </c>
      <c r="Q1828" s="30"/>
      <c r="R1828" s="22" t="s">
        <v>6383</v>
      </c>
      <c r="S1828" s="22" t="s">
        <v>435</v>
      </c>
      <c r="T1828" s="21" t="str">
        <f>HYPERLINK("https://miland.ru/api/getInfo/image/f5162705-65af-11ed-a22a-00155d82e902")</f>
        <v>https://miland.ru/api/getInfo/image/f5162705-65af-11ed-a22a-00155d82e902</v>
      </c>
      <c r="U1828" s="21"/>
      <c r="V1828" s="21" t="s">
        <v>208</v>
      </c>
      <c r="W1828" s="21" t="s">
        <v>82</v>
      </c>
      <c r="X1828" s="21"/>
      <c r="Y1828" s="21" t="s">
        <v>41</v>
      </c>
      <c r="Z1828" s="21"/>
      <c r="AA1828" s="21" t="str">
        <f>HYPERLINK("https://miland.ru/api/getInfo/item/f5162705-65af-11ed-a22a-00155d82e902")</f>
        <v>https://miland.ru/api/getInfo/item/f5162705-65af-11ed-a22a-00155d82e902</v>
      </c>
      <c r="AB1828" s="21" t="s">
        <v>42</v>
      </c>
      <c r="AC1828" s="21" t="s">
        <v>6384</v>
      </c>
      <c r="AD1828" s="21"/>
    </row>
    <row r="1829" spans="2:30" ht="12" customHeight="1" outlineLevel="4">
      <c r="B1829" s="70" t="s">
        <v>6385</v>
      </c>
      <c r="C1829" s="70"/>
      <c r="D1829" s="70"/>
      <c r="E1829" s="70"/>
      <c r="F1829" s="70"/>
      <c r="G1829" s="70"/>
    </row>
    <row r="1830" spans="2:30" s="1" customFormat="1" ht="96.3" customHeight="1" outlineLevel="5">
      <c r="B1830" s="57">
        <v>1401</v>
      </c>
      <c r="C1830" s="21" t="s">
        <v>6386</v>
      </c>
      <c r="D1830" s="72" t="s">
        <v>6387</v>
      </c>
      <c r="E1830" s="72"/>
      <c r="F1830" s="72"/>
      <c r="G1830" s="72"/>
      <c r="H1830" s="22" t="s">
        <v>6388</v>
      </c>
      <c r="I1830" s="27">
        <v>302</v>
      </c>
      <c r="J1830" s="22"/>
      <c r="K1830" s="20">
        <v>3</v>
      </c>
      <c r="L1830" s="24">
        <v>227.72</v>
      </c>
      <c r="M1830" s="11"/>
      <c r="N1830" s="22">
        <f>L1830*M1830</f>
        <v>0</v>
      </c>
      <c r="O1830" s="25">
        <f>0.145*M1830</f>
        <v>0</v>
      </c>
      <c r="P1830" s="29">
        <f>0.0026*M1830</f>
        <v>0</v>
      </c>
      <c r="Q1830" s="30"/>
      <c r="R1830" s="22" t="s">
        <v>6389</v>
      </c>
      <c r="S1830" s="22" t="s">
        <v>435</v>
      </c>
      <c r="T1830" s="21" t="str">
        <f>HYPERLINK("https://miland.ru/api/getInfo/image/006ccc8c-d9cf-11ed-a232-00155d82e902")</f>
        <v>https://miland.ru/api/getInfo/image/006ccc8c-d9cf-11ed-a232-00155d82e902</v>
      </c>
      <c r="U1830" s="21"/>
      <c r="V1830" s="21" t="s">
        <v>208</v>
      </c>
      <c r="W1830" s="21" t="s">
        <v>5671</v>
      </c>
      <c r="X1830" s="21"/>
      <c r="Y1830" s="21" t="s">
        <v>41</v>
      </c>
      <c r="Z1830" s="21"/>
      <c r="AA1830" s="21" t="str">
        <f>HYPERLINK("https://miland.ru/api/getInfo/item/006ccc8c-d9cf-11ed-a232-00155d82e902")</f>
        <v>https://miland.ru/api/getInfo/item/006ccc8c-d9cf-11ed-a232-00155d82e902</v>
      </c>
      <c r="AB1830" s="21" t="s">
        <v>42</v>
      </c>
      <c r="AC1830" s="21"/>
      <c r="AD1830" s="21"/>
    </row>
    <row r="1831" spans="2:30" s="1" customFormat="1" ht="96.3" customHeight="1" outlineLevel="5">
      <c r="B1831" s="57">
        <v>1402</v>
      </c>
      <c r="C1831" s="21" t="s">
        <v>6390</v>
      </c>
      <c r="D1831" s="72" t="s">
        <v>6391</v>
      </c>
      <c r="E1831" s="72"/>
      <c r="F1831" s="72"/>
      <c r="G1831" s="72"/>
      <c r="H1831" s="22" t="s">
        <v>6392</v>
      </c>
      <c r="I1831" s="27">
        <v>20</v>
      </c>
      <c r="J1831" s="22"/>
      <c r="K1831" s="20">
        <v>5</v>
      </c>
      <c r="L1831" s="24">
        <v>114.26</v>
      </c>
      <c r="M1831" s="11"/>
      <c r="N1831" s="22">
        <f>L1831*M1831</f>
        <v>0</v>
      </c>
      <c r="O1831" s="25">
        <f>0.033*M1831</f>
        <v>0</v>
      </c>
      <c r="P1831" s="26">
        <f>0.00042*M1831</f>
        <v>0</v>
      </c>
      <c r="Q1831" s="30"/>
      <c r="R1831" s="22" t="s">
        <v>6393</v>
      </c>
      <c r="S1831" s="22" t="s">
        <v>435</v>
      </c>
      <c r="T1831" s="21" t="str">
        <f>HYPERLINK("https://miland.ru/api/getInfo/image/701ccbfa-17fd-11ea-a237-ac1f6b442184")</f>
        <v>https://miland.ru/api/getInfo/image/701ccbfa-17fd-11ea-a237-ac1f6b442184</v>
      </c>
      <c r="U1831" s="21"/>
      <c r="V1831" s="21" t="s">
        <v>208</v>
      </c>
      <c r="W1831" s="21" t="s">
        <v>5671</v>
      </c>
      <c r="X1831" s="21"/>
      <c r="Y1831" s="21" t="s">
        <v>41</v>
      </c>
      <c r="Z1831" s="21"/>
      <c r="AA1831" s="21" t="str">
        <f>HYPERLINK("https://miland.ru/api/getInfo/item/701ccbfa-17fd-11ea-a237-ac1f6b442184")</f>
        <v>https://miland.ru/api/getInfo/item/701ccbfa-17fd-11ea-a237-ac1f6b442184</v>
      </c>
      <c r="AB1831" s="21" t="s">
        <v>42</v>
      </c>
      <c r="AC1831" s="21" t="s">
        <v>6394</v>
      </c>
      <c r="AD1831" s="21"/>
    </row>
    <row r="1832" spans="2:30" s="1" customFormat="1" ht="96.3" customHeight="1" outlineLevel="5">
      <c r="B1832" s="57">
        <v>1403</v>
      </c>
      <c r="C1832" s="21" t="s">
        <v>6395</v>
      </c>
      <c r="D1832" s="72" t="s">
        <v>6396</v>
      </c>
      <c r="E1832" s="72"/>
      <c r="F1832" s="72"/>
      <c r="G1832" s="72"/>
      <c r="H1832" s="22" t="s">
        <v>6397</v>
      </c>
      <c r="I1832" s="27">
        <v>103</v>
      </c>
      <c r="J1832" s="22"/>
      <c r="K1832" s="20">
        <v>3</v>
      </c>
      <c r="L1832" s="24">
        <v>189.18</v>
      </c>
      <c r="M1832" s="11"/>
      <c r="N1832" s="22">
        <f>L1832*M1832</f>
        <v>0</v>
      </c>
      <c r="O1832" s="25">
        <f>0.017*M1832</f>
        <v>0</v>
      </c>
      <c r="P1832" s="26">
        <f>0.00026*M1832</f>
        <v>0</v>
      </c>
      <c r="Q1832" s="30"/>
      <c r="R1832" s="22" t="s">
        <v>6398</v>
      </c>
      <c r="S1832" s="22" t="s">
        <v>435</v>
      </c>
      <c r="T1832" s="21" t="str">
        <f>HYPERLINK("https://miland.ru/api/getInfo/image/f52567a8-977a-11eb-a200-ac1f6b442185")</f>
        <v>https://miland.ru/api/getInfo/image/f52567a8-977a-11eb-a200-ac1f6b442185</v>
      </c>
      <c r="U1832" s="21"/>
      <c r="V1832" s="21" t="s">
        <v>208</v>
      </c>
      <c r="W1832" s="21" t="s">
        <v>5671</v>
      </c>
      <c r="X1832" s="21"/>
      <c r="Y1832" s="21" t="s">
        <v>41</v>
      </c>
      <c r="Z1832" s="21"/>
      <c r="AA1832" s="21" t="str">
        <f>HYPERLINK("https://miland.ru/api/getInfo/item/f52567a8-977a-11eb-a200-ac1f6b442185")</f>
        <v>https://miland.ru/api/getInfo/item/f52567a8-977a-11eb-a200-ac1f6b442185</v>
      </c>
      <c r="AB1832" s="21" t="s">
        <v>42</v>
      </c>
      <c r="AC1832" s="21" t="s">
        <v>6399</v>
      </c>
      <c r="AD1832" s="21"/>
    </row>
    <row r="1833" spans="2:30" s="1" customFormat="1" ht="96.3" customHeight="1" outlineLevel="5">
      <c r="B1833" s="57">
        <v>1404</v>
      </c>
      <c r="C1833" s="21" t="s">
        <v>6400</v>
      </c>
      <c r="D1833" s="72" t="s">
        <v>6401</v>
      </c>
      <c r="E1833" s="72"/>
      <c r="F1833" s="72"/>
      <c r="G1833" s="72"/>
      <c r="H1833" s="22" t="s">
        <v>6402</v>
      </c>
      <c r="I1833" s="23" t="s">
        <v>36</v>
      </c>
      <c r="J1833" s="22"/>
      <c r="K1833" s="20">
        <v>4</v>
      </c>
      <c r="L1833" s="24">
        <v>164</v>
      </c>
      <c r="M1833" s="11"/>
      <c r="N1833" s="22">
        <f>L1833*M1833</f>
        <v>0</v>
      </c>
      <c r="O1833" s="25">
        <f>0.025*M1833</f>
        <v>0</v>
      </c>
      <c r="P1833" s="26">
        <f>0.00011*M1833</f>
        <v>0</v>
      </c>
      <c r="Q1833" s="30"/>
      <c r="R1833" s="22" t="s">
        <v>6403</v>
      </c>
      <c r="S1833" s="22"/>
      <c r="T1833" s="21" t="str">
        <f>HYPERLINK("https://miland.ru/api/getInfo/image/4c55c542-65a6-11ed-a22a-00155d82e902")</f>
        <v>https://miland.ru/api/getInfo/image/4c55c542-65a6-11ed-a22a-00155d82e902</v>
      </c>
      <c r="U1833" s="21"/>
      <c r="V1833" s="21" t="s">
        <v>208</v>
      </c>
      <c r="W1833" s="21" t="s">
        <v>5671</v>
      </c>
      <c r="X1833" s="21"/>
      <c r="Y1833" s="21" t="s">
        <v>41</v>
      </c>
      <c r="Z1833" s="21"/>
      <c r="AA1833" s="21" t="str">
        <f>HYPERLINK("https://miland.ru/api/getInfo/item/4c55c542-65a6-11ed-a22a-00155d82e902")</f>
        <v>https://miland.ru/api/getInfo/item/4c55c542-65a6-11ed-a22a-00155d82e902</v>
      </c>
      <c r="AB1833" s="21" t="s">
        <v>42</v>
      </c>
      <c r="AC1833" s="21" t="s">
        <v>6404</v>
      </c>
      <c r="AD1833" s="21"/>
    </row>
    <row r="1834" spans="2:30" ht="12" customHeight="1" outlineLevel="4">
      <c r="B1834" s="70" t="s">
        <v>6405</v>
      </c>
      <c r="C1834" s="70"/>
      <c r="D1834" s="70"/>
      <c r="E1834" s="70"/>
      <c r="F1834" s="70"/>
      <c r="G1834" s="70"/>
    </row>
    <row r="1835" spans="2:30" s="1" customFormat="1" ht="96.3" customHeight="1" outlineLevel="5">
      <c r="B1835" s="57">
        <v>1405</v>
      </c>
      <c r="C1835" s="21" t="s">
        <v>6406</v>
      </c>
      <c r="D1835" s="72" t="s">
        <v>6407</v>
      </c>
      <c r="E1835" s="72"/>
      <c r="F1835" s="72"/>
      <c r="G1835" s="72"/>
      <c r="H1835" s="22" t="s">
        <v>6408</v>
      </c>
      <c r="I1835" s="23" t="s">
        <v>36</v>
      </c>
      <c r="J1835" s="22"/>
      <c r="K1835" s="20">
        <v>5</v>
      </c>
      <c r="L1835" s="24">
        <v>127.97</v>
      </c>
      <c r="M1835" s="11"/>
      <c r="N1835" s="22">
        <f>L1835*M1835</f>
        <v>0</v>
      </c>
      <c r="O1835" s="25">
        <f>0.017*M1835</f>
        <v>0</v>
      </c>
      <c r="P1835" s="26">
        <f>0.00009*M1835</f>
        <v>0</v>
      </c>
      <c r="Q1835" s="30"/>
      <c r="R1835" s="22" t="s">
        <v>6409</v>
      </c>
      <c r="S1835" s="22"/>
      <c r="T1835" s="21" t="str">
        <f>HYPERLINK("https://miland.ru/api/getInfo/image/aaed4303-fbb9-11ee-a25d-00155d82e908")</f>
        <v>https://miland.ru/api/getInfo/image/aaed4303-fbb9-11ee-a25d-00155d82e908</v>
      </c>
      <c r="U1835" s="21"/>
      <c r="V1835" s="21" t="s">
        <v>208</v>
      </c>
      <c r="W1835" s="21" t="s">
        <v>82</v>
      </c>
      <c r="X1835" s="21"/>
      <c r="Y1835" s="21" t="s">
        <v>41</v>
      </c>
      <c r="Z1835" s="21"/>
      <c r="AA1835" s="21" t="str">
        <f>HYPERLINK("https://miland.ru/api/getInfo/item/aaed4303-fbb9-11ee-a25d-00155d82e908")</f>
        <v>https://miland.ru/api/getInfo/item/aaed4303-fbb9-11ee-a25d-00155d82e908</v>
      </c>
      <c r="AB1835" s="21" t="s">
        <v>42</v>
      </c>
      <c r="AC1835" s="21" t="s">
        <v>6410</v>
      </c>
      <c r="AD1835" s="21"/>
    </row>
    <row r="1836" spans="2:30" s="1" customFormat="1" ht="96.3" customHeight="1" outlineLevel="5">
      <c r="B1836" s="57">
        <v>1406</v>
      </c>
      <c r="C1836" s="21" t="s">
        <v>6411</v>
      </c>
      <c r="D1836" s="72" t="s">
        <v>6412</v>
      </c>
      <c r="E1836" s="72"/>
      <c r="F1836" s="72"/>
      <c r="G1836" s="72"/>
      <c r="H1836" s="22" t="s">
        <v>6413</v>
      </c>
      <c r="I1836" s="23" t="s">
        <v>36</v>
      </c>
      <c r="J1836" s="22"/>
      <c r="K1836" s="20">
        <v>5</v>
      </c>
      <c r="L1836" s="24">
        <v>127.97</v>
      </c>
      <c r="M1836" s="11"/>
      <c r="N1836" s="22">
        <f>L1836*M1836</f>
        <v>0</v>
      </c>
      <c r="O1836" s="25">
        <f>0.017*M1836</f>
        <v>0</v>
      </c>
      <c r="P1836" s="29">
        <f>0.0002*M1836</f>
        <v>0</v>
      </c>
      <c r="Q1836" s="30"/>
      <c r="R1836" s="22" t="s">
        <v>6414</v>
      </c>
      <c r="S1836" s="22" t="s">
        <v>435</v>
      </c>
      <c r="T1836" s="21" t="str">
        <f>HYPERLINK("https://miland.ru/api/getInfo/image/3d91ecdb-65a9-11ed-a22a-00155d82e902")</f>
        <v>https://miland.ru/api/getInfo/image/3d91ecdb-65a9-11ed-a22a-00155d82e902</v>
      </c>
      <c r="U1836" s="21"/>
      <c r="V1836" s="21" t="s">
        <v>208</v>
      </c>
      <c r="W1836" s="21" t="s">
        <v>82</v>
      </c>
      <c r="X1836" s="21"/>
      <c r="Y1836" s="21" t="s">
        <v>41</v>
      </c>
      <c r="Z1836" s="21"/>
      <c r="AA1836" s="21" t="str">
        <f>HYPERLINK("https://miland.ru/api/getInfo/item/3d91ecdb-65a9-11ed-a22a-00155d82e902")</f>
        <v>https://miland.ru/api/getInfo/item/3d91ecdb-65a9-11ed-a22a-00155d82e902</v>
      </c>
      <c r="AB1836" s="21" t="s">
        <v>42</v>
      </c>
      <c r="AC1836" s="21" t="s">
        <v>6410</v>
      </c>
      <c r="AD1836" s="21"/>
    </row>
    <row r="1837" spans="2:30" s="1" customFormat="1" ht="96.3" customHeight="1" outlineLevel="5">
      <c r="B1837" s="57">
        <v>1407</v>
      </c>
      <c r="C1837" s="21" t="s">
        <v>6415</v>
      </c>
      <c r="D1837" s="72" t="s">
        <v>6416</v>
      </c>
      <c r="E1837" s="72"/>
      <c r="F1837" s="72"/>
      <c r="G1837" s="72"/>
      <c r="H1837" s="22" t="s">
        <v>6417</v>
      </c>
      <c r="I1837" s="23" t="s">
        <v>36</v>
      </c>
      <c r="J1837" s="22"/>
      <c r="K1837" s="20">
        <v>4</v>
      </c>
      <c r="L1837" s="24">
        <v>147.87</v>
      </c>
      <c r="M1837" s="11"/>
      <c r="N1837" s="22">
        <f>L1837*M1837</f>
        <v>0</v>
      </c>
      <c r="O1837" s="28">
        <f>0.01*M1837</f>
        <v>0</v>
      </c>
      <c r="P1837" s="26">
        <f>0.00047*M1837</f>
        <v>0</v>
      </c>
      <c r="Q1837" s="30"/>
      <c r="R1837" s="22" t="s">
        <v>6418</v>
      </c>
      <c r="S1837" s="22"/>
      <c r="T1837" s="21" t="str">
        <f>HYPERLINK("https://miland.ru/api/getInfo/image/ba3cea0d-fbb9-11ee-a25d-00155d82e908")</f>
        <v>https://miland.ru/api/getInfo/image/ba3cea0d-fbb9-11ee-a25d-00155d82e908</v>
      </c>
      <c r="U1837" s="21"/>
      <c r="V1837" s="21" t="s">
        <v>208</v>
      </c>
      <c r="W1837" s="21" t="s">
        <v>82</v>
      </c>
      <c r="X1837" s="21"/>
      <c r="Y1837" s="21" t="s">
        <v>41</v>
      </c>
      <c r="Z1837" s="21"/>
      <c r="AA1837" s="21" t="str">
        <f>HYPERLINK("https://miland.ru/api/getInfo/item/ba3cea0d-fbb9-11ee-a25d-00155d82e908")</f>
        <v>https://miland.ru/api/getInfo/item/ba3cea0d-fbb9-11ee-a25d-00155d82e908</v>
      </c>
      <c r="AB1837" s="21" t="s">
        <v>42</v>
      </c>
      <c r="AC1837" s="21" t="s">
        <v>6410</v>
      </c>
      <c r="AD1837" s="21"/>
    </row>
    <row r="1838" spans="2:30" s="1" customFormat="1" ht="96.3" customHeight="1" outlineLevel="5">
      <c r="B1838" s="57">
        <v>1408</v>
      </c>
      <c r="C1838" s="21" t="s">
        <v>6419</v>
      </c>
      <c r="D1838" s="72" t="s">
        <v>6420</v>
      </c>
      <c r="E1838" s="72"/>
      <c r="F1838" s="72"/>
      <c r="G1838" s="72"/>
      <c r="H1838" s="22" t="s">
        <v>6421</v>
      </c>
      <c r="I1838" s="23" t="s">
        <v>36</v>
      </c>
      <c r="J1838" s="22"/>
      <c r="K1838" s="20">
        <v>4</v>
      </c>
      <c r="L1838" s="24">
        <v>147.87</v>
      </c>
      <c r="M1838" s="11"/>
      <c r="N1838" s="22">
        <f>L1838*M1838</f>
        <v>0</v>
      </c>
      <c r="O1838" s="25">
        <f>0.016*M1838</f>
        <v>0</v>
      </c>
      <c r="P1838" s="26">
        <f>0.00012*M1838</f>
        <v>0</v>
      </c>
      <c r="Q1838" s="30"/>
      <c r="R1838" s="22" t="s">
        <v>6422</v>
      </c>
      <c r="S1838" s="22"/>
      <c r="T1838" s="21" t="str">
        <f>HYPERLINK("https://miland.ru/api/getInfo/image/ce23fbaf-fbb9-11ee-a25d-00155d82e908")</f>
        <v>https://miland.ru/api/getInfo/image/ce23fbaf-fbb9-11ee-a25d-00155d82e908</v>
      </c>
      <c r="U1838" s="21"/>
      <c r="V1838" s="21" t="s">
        <v>208</v>
      </c>
      <c r="W1838" s="21" t="s">
        <v>82</v>
      </c>
      <c r="X1838" s="21"/>
      <c r="Y1838" s="21" t="s">
        <v>41</v>
      </c>
      <c r="Z1838" s="21"/>
      <c r="AA1838" s="21" t="str">
        <f>HYPERLINK("https://miland.ru/api/getInfo/item/ce23fbaf-fbb9-11ee-a25d-00155d82e908")</f>
        <v>https://miland.ru/api/getInfo/item/ce23fbaf-fbb9-11ee-a25d-00155d82e908</v>
      </c>
      <c r="AB1838" s="21" t="s">
        <v>42</v>
      </c>
      <c r="AC1838" s="21" t="s">
        <v>6410</v>
      </c>
      <c r="AD1838" s="21"/>
    </row>
    <row r="1839" spans="2:30" ht="12" customHeight="1" outlineLevel="3">
      <c r="B1839" s="70" t="s">
        <v>6423</v>
      </c>
      <c r="C1839" s="70"/>
      <c r="D1839" s="70"/>
      <c r="E1839" s="70"/>
      <c r="F1839" s="70"/>
      <c r="G1839" s="70"/>
    </row>
    <row r="1840" spans="2:30" ht="12" customHeight="1" outlineLevel="4">
      <c r="B1840" s="70" t="s">
        <v>6424</v>
      </c>
      <c r="C1840" s="70"/>
      <c r="D1840" s="70"/>
      <c r="E1840" s="70"/>
      <c r="F1840" s="70"/>
      <c r="G1840" s="70"/>
    </row>
    <row r="1841" spans="2:30" s="1" customFormat="1" ht="96.3" customHeight="1" outlineLevel="5">
      <c r="B1841" s="57">
        <v>1409</v>
      </c>
      <c r="C1841" s="21" t="s">
        <v>6425</v>
      </c>
      <c r="D1841" s="72" t="s">
        <v>6426</v>
      </c>
      <c r="E1841" s="72"/>
      <c r="F1841" s="72"/>
      <c r="G1841" s="72"/>
      <c r="H1841" s="22" t="s">
        <v>6427</v>
      </c>
      <c r="I1841" s="27">
        <v>17</v>
      </c>
      <c r="J1841" s="22"/>
      <c r="K1841" s="20">
        <v>17</v>
      </c>
      <c r="L1841" s="24">
        <v>39.380000000000003</v>
      </c>
      <c r="M1841" s="11"/>
      <c r="N1841" s="22">
        <f>L1841*M1841</f>
        <v>0</v>
      </c>
      <c r="O1841" s="25">
        <f>0.049*M1841</f>
        <v>0</v>
      </c>
      <c r="P1841" s="29">
        <f>0.0002*M1841</f>
        <v>0</v>
      </c>
      <c r="Q1841" s="30"/>
      <c r="R1841" s="22" t="s">
        <v>6428</v>
      </c>
      <c r="S1841" s="22"/>
      <c r="T1841" s="21" t="str">
        <f>HYPERLINK("https://miland.ru/api/getInfo/image/f0904c68-fa7c-11ef-a274-00155d82e908")</f>
        <v>https://miland.ru/api/getInfo/image/f0904c68-fa7c-11ef-a274-00155d82e908</v>
      </c>
      <c r="U1841" s="21"/>
      <c r="V1841" s="21" t="s">
        <v>6429</v>
      </c>
      <c r="W1841" s="21" t="s">
        <v>5671</v>
      </c>
      <c r="X1841" s="21"/>
      <c r="Y1841" s="21" t="s">
        <v>41</v>
      </c>
      <c r="Z1841" s="21"/>
      <c r="AA1841" s="21" t="str">
        <f>HYPERLINK("https://miland.ru/api/getInfo/item/f0904c68-fa7c-11ef-a274-00155d82e908")</f>
        <v>https://miland.ru/api/getInfo/item/f0904c68-fa7c-11ef-a274-00155d82e908</v>
      </c>
      <c r="AB1841" s="21" t="s">
        <v>42</v>
      </c>
      <c r="AC1841" s="21"/>
      <c r="AD1841" s="21"/>
    </row>
    <row r="1842" spans="2:30" ht="12" customHeight="1" outlineLevel="4">
      <c r="B1842" s="70" t="s">
        <v>6430</v>
      </c>
      <c r="C1842" s="70"/>
      <c r="D1842" s="70"/>
      <c r="E1842" s="70"/>
      <c r="F1842" s="70"/>
      <c r="G1842" s="70"/>
    </row>
    <row r="1843" spans="2:30" s="1" customFormat="1" ht="96.3" customHeight="1" outlineLevel="5">
      <c r="B1843" s="57">
        <v>1410</v>
      </c>
      <c r="C1843" s="21" t="s">
        <v>6431</v>
      </c>
      <c r="D1843" s="72" t="s">
        <v>6432</v>
      </c>
      <c r="E1843" s="72"/>
      <c r="F1843" s="72"/>
      <c r="G1843" s="72"/>
      <c r="H1843" s="22" t="s">
        <v>6433</v>
      </c>
      <c r="I1843" s="23" t="s">
        <v>36</v>
      </c>
      <c r="J1843" s="22"/>
      <c r="K1843" s="20">
        <v>23</v>
      </c>
      <c r="L1843" s="24">
        <v>61.88</v>
      </c>
      <c r="M1843" s="11"/>
      <c r="N1843" s="22">
        <f>L1843*M1843</f>
        <v>0</v>
      </c>
      <c r="O1843" s="25">
        <f>0.074*M1843</f>
        <v>0</v>
      </c>
      <c r="P1843" s="26">
        <f>0.00035*M1843</f>
        <v>0</v>
      </c>
      <c r="Q1843" s="30"/>
      <c r="R1843" s="22" t="s">
        <v>6434</v>
      </c>
      <c r="S1843" s="22"/>
      <c r="T1843" s="21" t="str">
        <f>HYPERLINK("https://miland.ru/api/getInfo/image/1191f0c8-fa80-11ef-a274-00155d82e908")</f>
        <v>https://miland.ru/api/getInfo/image/1191f0c8-fa80-11ef-a274-00155d82e908</v>
      </c>
      <c r="U1843" s="21"/>
      <c r="V1843" s="21" t="s">
        <v>6429</v>
      </c>
      <c r="W1843" s="21" t="s">
        <v>5671</v>
      </c>
      <c r="X1843" s="21"/>
      <c r="Y1843" s="21" t="s">
        <v>41</v>
      </c>
      <c r="Z1843" s="21"/>
      <c r="AA1843" s="21" t="str">
        <f>HYPERLINK("https://miland.ru/api/getInfo/item/1191f0c8-fa80-11ef-a274-00155d82e908")</f>
        <v>https://miland.ru/api/getInfo/item/1191f0c8-fa80-11ef-a274-00155d82e908</v>
      </c>
      <c r="AB1843" s="21" t="s">
        <v>42</v>
      </c>
      <c r="AC1843" s="21"/>
      <c r="AD1843" s="21"/>
    </row>
    <row r="1844" spans="2:30" ht="12" customHeight="1" outlineLevel="4">
      <c r="B1844" s="70" t="s">
        <v>6435</v>
      </c>
      <c r="C1844" s="70"/>
      <c r="D1844" s="70"/>
      <c r="E1844" s="70"/>
      <c r="F1844" s="70"/>
      <c r="G1844" s="70"/>
    </row>
    <row r="1845" spans="2:30" s="1" customFormat="1" ht="96.3" customHeight="1" outlineLevel="5">
      <c r="B1845" s="57">
        <v>1411</v>
      </c>
      <c r="C1845" s="21" t="s">
        <v>6436</v>
      </c>
      <c r="D1845" s="72" t="s">
        <v>6437</v>
      </c>
      <c r="E1845" s="72"/>
      <c r="F1845" s="72"/>
      <c r="G1845" s="72"/>
      <c r="H1845" s="22" t="s">
        <v>6438</v>
      </c>
      <c r="I1845" s="23" t="s">
        <v>36</v>
      </c>
      <c r="J1845" s="22"/>
      <c r="K1845" s="20">
        <v>24</v>
      </c>
      <c r="L1845" s="24">
        <v>77.23</v>
      </c>
      <c r="M1845" s="11"/>
      <c r="N1845" s="22">
        <f>L1845*M1845</f>
        <v>0</v>
      </c>
      <c r="O1845" s="28">
        <f>0.05*M1845</f>
        <v>0</v>
      </c>
      <c r="P1845" s="26">
        <f>0.00051*M1845</f>
        <v>0</v>
      </c>
      <c r="Q1845" s="30"/>
      <c r="R1845" s="22" t="s">
        <v>6439</v>
      </c>
      <c r="S1845" s="22"/>
      <c r="T1845" s="21" t="str">
        <f>HYPERLINK("https://miland.ru/api/getInfo/image/4c2ca010-fa81-11ef-a274-00155d82e908")</f>
        <v>https://miland.ru/api/getInfo/image/4c2ca010-fa81-11ef-a274-00155d82e908</v>
      </c>
      <c r="U1845" s="21"/>
      <c r="V1845" s="21" t="s">
        <v>6429</v>
      </c>
      <c r="W1845" s="21" t="s">
        <v>5671</v>
      </c>
      <c r="X1845" s="21"/>
      <c r="Y1845" s="21" t="s">
        <v>41</v>
      </c>
      <c r="Z1845" s="21"/>
      <c r="AA1845" s="21" t="str">
        <f>HYPERLINK("https://miland.ru/api/getInfo/item/4c2ca010-fa81-11ef-a274-00155d82e908")</f>
        <v>https://miland.ru/api/getInfo/item/4c2ca010-fa81-11ef-a274-00155d82e908</v>
      </c>
      <c r="AB1845" s="21" t="s">
        <v>42</v>
      </c>
      <c r="AC1845" s="21" t="s">
        <v>6440</v>
      </c>
      <c r="AD1845" s="21"/>
    </row>
    <row r="1846" spans="2:30" ht="12" customHeight="1" outlineLevel="4">
      <c r="B1846" s="70" t="s">
        <v>6441</v>
      </c>
      <c r="C1846" s="70"/>
      <c r="D1846" s="70"/>
      <c r="E1846" s="70"/>
      <c r="F1846" s="70"/>
      <c r="G1846" s="70"/>
    </row>
    <row r="1847" spans="2:30" s="1" customFormat="1" ht="96.3" customHeight="1" outlineLevel="5">
      <c r="B1847" s="57">
        <v>1412</v>
      </c>
      <c r="C1847" s="21" t="s">
        <v>6442</v>
      </c>
      <c r="D1847" s="72" t="s">
        <v>6443</v>
      </c>
      <c r="E1847" s="72"/>
      <c r="F1847" s="72"/>
      <c r="G1847" s="72"/>
      <c r="H1847" s="22" t="s">
        <v>6444</v>
      </c>
      <c r="I1847" s="27">
        <v>71</v>
      </c>
      <c r="J1847" s="22"/>
      <c r="K1847" s="20">
        <v>5</v>
      </c>
      <c r="L1847" s="24">
        <v>130.61000000000001</v>
      </c>
      <c r="M1847" s="11"/>
      <c r="N1847" s="22">
        <f>L1847*M1847</f>
        <v>0</v>
      </c>
      <c r="O1847" s="28">
        <f>0.12*M1847</f>
        <v>0</v>
      </c>
      <c r="P1847" s="26">
        <f>0.00051*M1847</f>
        <v>0</v>
      </c>
      <c r="Q1847" s="30"/>
      <c r="R1847" s="22" t="s">
        <v>6445</v>
      </c>
      <c r="S1847" s="22" t="s">
        <v>435</v>
      </c>
      <c r="T1847" s="21" t="str">
        <f>HYPERLINK("https://miland.ru/api/getInfo/image/38527421-92ba-11eb-a233-0cc47a2bbb49")</f>
        <v>https://miland.ru/api/getInfo/image/38527421-92ba-11eb-a233-0cc47a2bbb49</v>
      </c>
      <c r="U1847" s="21"/>
      <c r="V1847" s="21" t="s">
        <v>6429</v>
      </c>
      <c r="W1847" s="21" t="s">
        <v>5671</v>
      </c>
      <c r="X1847" s="21"/>
      <c r="Y1847" s="21" t="s">
        <v>41</v>
      </c>
      <c r="Z1847" s="21"/>
      <c r="AA1847" s="21" t="str">
        <f>HYPERLINK("https://miland.ru/api/getInfo/item/38527421-92ba-11eb-a233-0cc47a2bbb49")</f>
        <v>https://miland.ru/api/getInfo/item/38527421-92ba-11eb-a233-0cc47a2bbb49</v>
      </c>
      <c r="AB1847" s="21" t="s">
        <v>42</v>
      </c>
      <c r="AC1847" s="21"/>
      <c r="AD1847" s="21"/>
    </row>
    <row r="1848" spans="2:30" s="1" customFormat="1" ht="96.3" customHeight="1" outlineLevel="5">
      <c r="B1848" s="57">
        <v>1413</v>
      </c>
      <c r="C1848" s="21" t="s">
        <v>6446</v>
      </c>
      <c r="D1848" s="72" t="s">
        <v>6447</v>
      </c>
      <c r="E1848" s="72"/>
      <c r="F1848" s="72"/>
      <c r="G1848" s="72"/>
      <c r="H1848" s="22" t="s">
        <v>6448</v>
      </c>
      <c r="I1848" s="23" t="s">
        <v>36</v>
      </c>
      <c r="J1848" s="22"/>
      <c r="K1848" s="20">
        <v>5</v>
      </c>
      <c r="L1848" s="24">
        <v>130.61000000000001</v>
      </c>
      <c r="M1848" s="11"/>
      <c r="N1848" s="22">
        <f>L1848*M1848</f>
        <v>0</v>
      </c>
      <c r="O1848" s="25">
        <f>0.123*M1848</f>
        <v>0</v>
      </c>
      <c r="P1848" s="29">
        <f>0.0007*M1848</f>
        <v>0</v>
      </c>
      <c r="Q1848" s="30"/>
      <c r="R1848" s="22" t="s">
        <v>6449</v>
      </c>
      <c r="S1848" s="22" t="s">
        <v>435</v>
      </c>
      <c r="T1848" s="21" t="str">
        <f>HYPERLINK("https://miland.ru/api/getInfo/image/6dc0a558-92ba-11eb-a233-0cc47a2bbb49")</f>
        <v>https://miland.ru/api/getInfo/image/6dc0a558-92ba-11eb-a233-0cc47a2bbb49</v>
      </c>
      <c r="U1848" s="21"/>
      <c r="V1848" s="21" t="s">
        <v>6429</v>
      </c>
      <c r="W1848" s="21" t="s">
        <v>5671</v>
      </c>
      <c r="X1848" s="21"/>
      <c r="Y1848" s="21" t="s">
        <v>41</v>
      </c>
      <c r="Z1848" s="21"/>
      <c r="AA1848" s="21" t="str">
        <f>HYPERLINK("https://miland.ru/api/getInfo/item/6dc0a558-92ba-11eb-a233-0cc47a2bbb49")</f>
        <v>https://miland.ru/api/getInfo/item/6dc0a558-92ba-11eb-a233-0cc47a2bbb49</v>
      </c>
      <c r="AB1848" s="21" t="s">
        <v>42</v>
      </c>
      <c r="AC1848" s="21"/>
      <c r="AD1848" s="21"/>
    </row>
    <row r="1849" spans="2:30" ht="12" customHeight="1" outlineLevel="4">
      <c r="B1849" s="70" t="s">
        <v>6450</v>
      </c>
      <c r="C1849" s="70"/>
      <c r="D1849" s="70"/>
      <c r="E1849" s="70"/>
      <c r="F1849" s="70"/>
      <c r="G1849" s="70"/>
    </row>
    <row r="1850" spans="2:30" s="1" customFormat="1" ht="96.3" customHeight="1" outlineLevel="5">
      <c r="B1850" s="57">
        <v>1414</v>
      </c>
      <c r="C1850" s="21" t="s">
        <v>6451</v>
      </c>
      <c r="D1850" s="72" t="s">
        <v>6452</v>
      </c>
      <c r="E1850" s="72"/>
      <c r="F1850" s="72"/>
      <c r="G1850" s="72"/>
      <c r="H1850" s="22" t="s">
        <v>6453</v>
      </c>
      <c r="I1850" s="23" t="s">
        <v>36</v>
      </c>
      <c r="J1850" s="22"/>
      <c r="K1850" s="20">
        <v>5</v>
      </c>
      <c r="L1850" s="24">
        <v>129.37</v>
      </c>
      <c r="M1850" s="11"/>
      <c r="N1850" s="22">
        <f>L1850*M1850</f>
        <v>0</v>
      </c>
      <c r="O1850" s="25">
        <f>0.121*M1850</f>
        <v>0</v>
      </c>
      <c r="P1850" s="26">
        <f>0.00073*M1850</f>
        <v>0</v>
      </c>
      <c r="Q1850" s="30"/>
      <c r="R1850" s="22" t="s">
        <v>6454</v>
      </c>
      <c r="S1850" s="22"/>
      <c r="T1850" s="21" t="str">
        <f>HYPERLINK("https://miland.ru/api/getInfo/image/e1eb82f6-fa86-11ef-a274-00155d82e908")</f>
        <v>https://miland.ru/api/getInfo/image/e1eb82f6-fa86-11ef-a274-00155d82e908</v>
      </c>
      <c r="U1850" s="21"/>
      <c r="V1850" s="21" t="s">
        <v>6429</v>
      </c>
      <c r="W1850" s="21" t="s">
        <v>5671</v>
      </c>
      <c r="X1850" s="21"/>
      <c r="Y1850" s="21" t="s">
        <v>41</v>
      </c>
      <c r="Z1850" s="21"/>
      <c r="AA1850" s="21" t="str">
        <f>HYPERLINK("https://miland.ru/api/getInfo/item/e1eb82f6-fa86-11ef-a274-00155d82e908")</f>
        <v>https://miland.ru/api/getInfo/item/e1eb82f6-fa86-11ef-a274-00155d82e908</v>
      </c>
      <c r="AB1850" s="21" t="s">
        <v>42</v>
      </c>
      <c r="AC1850" s="21"/>
      <c r="AD1850" s="21"/>
    </row>
    <row r="1851" spans="2:30" s="1" customFormat="1" ht="96.3" customHeight="1" outlineLevel="5">
      <c r="B1851" s="57">
        <v>1415</v>
      </c>
      <c r="C1851" s="21" t="s">
        <v>6455</v>
      </c>
      <c r="D1851" s="72" t="s">
        <v>6456</v>
      </c>
      <c r="E1851" s="72"/>
      <c r="F1851" s="72"/>
      <c r="G1851" s="72"/>
      <c r="H1851" s="22" t="s">
        <v>6457</v>
      </c>
      <c r="I1851" s="23" t="s">
        <v>36</v>
      </c>
      <c r="J1851" s="22"/>
      <c r="K1851" s="20">
        <v>5</v>
      </c>
      <c r="L1851" s="24">
        <v>129.37</v>
      </c>
      <c r="M1851" s="11"/>
      <c r="N1851" s="22">
        <f>L1851*M1851</f>
        <v>0</v>
      </c>
      <c r="O1851" s="25">
        <f>0.128*M1851</f>
        <v>0</v>
      </c>
      <c r="P1851" s="26">
        <f>0.00073*M1851</f>
        <v>0</v>
      </c>
      <c r="Q1851" s="30"/>
      <c r="R1851" s="22" t="s">
        <v>6458</v>
      </c>
      <c r="S1851" s="22"/>
      <c r="T1851" s="21" t="str">
        <f>HYPERLINK("https://miland.ru/api/getInfo/image/7accabe7-fa87-11ef-a274-00155d82e908")</f>
        <v>https://miland.ru/api/getInfo/image/7accabe7-fa87-11ef-a274-00155d82e908</v>
      </c>
      <c r="U1851" s="21"/>
      <c r="V1851" s="21" t="s">
        <v>6429</v>
      </c>
      <c r="W1851" s="21" t="s">
        <v>5671</v>
      </c>
      <c r="X1851" s="21"/>
      <c r="Y1851" s="21" t="s">
        <v>41</v>
      </c>
      <c r="Z1851" s="21"/>
      <c r="AA1851" s="21" t="str">
        <f>HYPERLINK("https://miland.ru/api/getInfo/item/7accabe7-fa87-11ef-a274-00155d82e908")</f>
        <v>https://miland.ru/api/getInfo/item/7accabe7-fa87-11ef-a274-00155d82e908</v>
      </c>
      <c r="AB1851" s="21" t="s">
        <v>42</v>
      </c>
      <c r="AC1851" s="21"/>
      <c r="AD1851" s="21"/>
    </row>
    <row r="1852" spans="2:30" s="1" customFormat="1" ht="96.3" customHeight="1" outlineLevel="5">
      <c r="B1852" s="57">
        <v>1416</v>
      </c>
      <c r="C1852" s="21" t="s">
        <v>6459</v>
      </c>
      <c r="D1852" s="72" t="s">
        <v>6460</v>
      </c>
      <c r="E1852" s="72"/>
      <c r="F1852" s="72"/>
      <c r="G1852" s="72"/>
      <c r="H1852" s="22" t="s">
        <v>6461</v>
      </c>
      <c r="I1852" s="27">
        <v>66</v>
      </c>
      <c r="J1852" s="22"/>
      <c r="K1852" s="20">
        <v>5</v>
      </c>
      <c r="L1852" s="24">
        <v>129.37</v>
      </c>
      <c r="M1852" s="11"/>
      <c r="N1852" s="22">
        <f>L1852*M1852</f>
        <v>0</v>
      </c>
      <c r="O1852" s="28">
        <f>0.12*M1852</f>
        <v>0</v>
      </c>
      <c r="P1852" s="26">
        <f>0.00057*M1852</f>
        <v>0</v>
      </c>
      <c r="Q1852" s="30"/>
      <c r="R1852" s="22" t="s">
        <v>6462</v>
      </c>
      <c r="S1852" s="22" t="s">
        <v>435</v>
      </c>
      <c r="T1852" s="21" t="str">
        <f>HYPERLINK("https://miland.ru/api/getInfo/image/8cf1ebca-e413-11e9-a235-ac1f6b442184")</f>
        <v>https://miland.ru/api/getInfo/image/8cf1ebca-e413-11e9-a235-ac1f6b442184</v>
      </c>
      <c r="U1852" s="21"/>
      <c r="V1852" s="21" t="s">
        <v>6429</v>
      </c>
      <c r="W1852" s="21" t="s">
        <v>5671</v>
      </c>
      <c r="X1852" s="21"/>
      <c r="Y1852" s="21" t="s">
        <v>41</v>
      </c>
      <c r="Z1852" s="21"/>
      <c r="AA1852" s="21" t="str">
        <f>HYPERLINK("https://miland.ru/api/getInfo/item/8cf1ebca-e413-11e9-a235-ac1f6b442184")</f>
        <v>https://miland.ru/api/getInfo/item/8cf1ebca-e413-11e9-a235-ac1f6b442184</v>
      </c>
      <c r="AB1852" s="21" t="s">
        <v>42</v>
      </c>
      <c r="AC1852" s="21"/>
      <c r="AD1852" s="21"/>
    </row>
    <row r="1853" spans="2:30" ht="12" customHeight="1" outlineLevel="4">
      <c r="B1853" s="70" t="s">
        <v>6463</v>
      </c>
      <c r="C1853" s="70"/>
      <c r="D1853" s="70"/>
      <c r="E1853" s="70"/>
      <c r="F1853" s="70"/>
      <c r="G1853" s="70"/>
    </row>
    <row r="1854" spans="2:30" s="1" customFormat="1" ht="96.3" customHeight="1" outlineLevel="5">
      <c r="B1854" s="57">
        <v>1417</v>
      </c>
      <c r="C1854" s="21" t="s">
        <v>6464</v>
      </c>
      <c r="D1854" s="72" t="s">
        <v>6465</v>
      </c>
      <c r="E1854" s="72"/>
      <c r="F1854" s="72"/>
      <c r="G1854" s="72"/>
      <c r="H1854" s="22" t="s">
        <v>6466</v>
      </c>
      <c r="I1854" s="27">
        <v>95</v>
      </c>
      <c r="J1854" s="22"/>
      <c r="K1854" s="20">
        <v>4</v>
      </c>
      <c r="L1854" s="24">
        <v>141.49</v>
      </c>
      <c r="M1854" s="11"/>
      <c r="N1854" s="22">
        <f t="shared" ref="N1854:N1859" si="81">L1854*M1854</f>
        <v>0</v>
      </c>
      <c r="O1854" s="28">
        <f>0.16*M1854</f>
        <v>0</v>
      </c>
      <c r="P1854" s="26">
        <f>0.00105*M1854</f>
        <v>0</v>
      </c>
      <c r="Q1854" s="30"/>
      <c r="R1854" s="22" t="s">
        <v>6467</v>
      </c>
      <c r="S1854" s="22"/>
      <c r="T1854" s="21" t="str">
        <f>HYPERLINK("https://miland.ru/api/getInfo/image/a700598c-fa88-11ef-a274-00155d82e908")</f>
        <v>https://miland.ru/api/getInfo/image/a700598c-fa88-11ef-a274-00155d82e908</v>
      </c>
      <c r="U1854" s="21"/>
      <c r="V1854" s="21" t="s">
        <v>6429</v>
      </c>
      <c r="W1854" s="21" t="s">
        <v>5671</v>
      </c>
      <c r="X1854" s="21"/>
      <c r="Y1854" s="21" t="s">
        <v>41</v>
      </c>
      <c r="Z1854" s="21"/>
      <c r="AA1854" s="21" t="str">
        <f>HYPERLINK("https://miland.ru/api/getInfo/item/a700598c-fa88-11ef-a274-00155d82e908")</f>
        <v>https://miland.ru/api/getInfo/item/a700598c-fa88-11ef-a274-00155d82e908</v>
      </c>
      <c r="AB1854" s="21" t="s">
        <v>42</v>
      </c>
      <c r="AC1854" s="21" t="s">
        <v>6468</v>
      </c>
      <c r="AD1854" s="21"/>
    </row>
    <row r="1855" spans="2:30" s="1" customFormat="1" ht="96.3" customHeight="1" outlineLevel="5">
      <c r="B1855" s="57">
        <v>1418</v>
      </c>
      <c r="C1855" s="21" t="s">
        <v>6469</v>
      </c>
      <c r="D1855" s="72" t="s">
        <v>6470</v>
      </c>
      <c r="E1855" s="72"/>
      <c r="F1855" s="72"/>
      <c r="G1855" s="72"/>
      <c r="H1855" s="22" t="s">
        <v>6471</v>
      </c>
      <c r="I1855" s="27">
        <v>351</v>
      </c>
      <c r="J1855" s="22"/>
      <c r="K1855" s="20">
        <v>4</v>
      </c>
      <c r="L1855" s="24">
        <v>141.49</v>
      </c>
      <c r="M1855" s="11"/>
      <c r="N1855" s="22">
        <f t="shared" si="81"/>
        <v>0</v>
      </c>
      <c r="O1855" s="25">
        <f>0.157*M1855</f>
        <v>0</v>
      </c>
      <c r="P1855" s="26">
        <f>0.00123*M1855</f>
        <v>0</v>
      </c>
      <c r="Q1855" s="30"/>
      <c r="R1855" s="22" t="s">
        <v>6472</v>
      </c>
      <c r="S1855" s="22"/>
      <c r="T1855" s="21" t="str">
        <f>HYPERLINK("https://miland.ru/api/getInfo/image/55e1916d-fa89-11ef-a274-00155d82e908")</f>
        <v>https://miland.ru/api/getInfo/image/55e1916d-fa89-11ef-a274-00155d82e908</v>
      </c>
      <c r="U1855" s="21"/>
      <c r="V1855" s="21" t="s">
        <v>6429</v>
      </c>
      <c r="W1855" s="21" t="s">
        <v>5671</v>
      </c>
      <c r="X1855" s="21"/>
      <c r="Y1855" s="21" t="s">
        <v>41</v>
      </c>
      <c r="Z1855" s="21"/>
      <c r="AA1855" s="21" t="str">
        <f>HYPERLINK("https://miland.ru/api/getInfo/item/55e1916d-fa89-11ef-a274-00155d82e908")</f>
        <v>https://miland.ru/api/getInfo/item/55e1916d-fa89-11ef-a274-00155d82e908</v>
      </c>
      <c r="AB1855" s="21" t="s">
        <v>42</v>
      </c>
      <c r="AC1855" s="21" t="s">
        <v>6468</v>
      </c>
      <c r="AD1855" s="21"/>
    </row>
    <row r="1856" spans="2:30" s="1" customFormat="1" ht="96.3" customHeight="1" outlineLevel="5">
      <c r="B1856" s="57">
        <v>1419</v>
      </c>
      <c r="C1856" s="21" t="s">
        <v>6473</v>
      </c>
      <c r="D1856" s="72" t="s">
        <v>6474</v>
      </c>
      <c r="E1856" s="72"/>
      <c r="F1856" s="72"/>
      <c r="G1856" s="72"/>
      <c r="H1856" s="22" t="s">
        <v>6475</v>
      </c>
      <c r="I1856" s="23" t="s">
        <v>36</v>
      </c>
      <c r="J1856" s="22"/>
      <c r="K1856" s="20">
        <v>4</v>
      </c>
      <c r="L1856" s="24">
        <v>141.49</v>
      </c>
      <c r="M1856" s="11"/>
      <c r="N1856" s="22">
        <f t="shared" si="81"/>
        <v>0</v>
      </c>
      <c r="O1856" s="25">
        <f>0.151*M1856</f>
        <v>0</v>
      </c>
      <c r="P1856" s="26">
        <f>0.00108*M1856</f>
        <v>0</v>
      </c>
      <c r="Q1856" s="30"/>
      <c r="R1856" s="22" t="s">
        <v>6476</v>
      </c>
      <c r="S1856" s="22"/>
      <c r="T1856" s="21" t="str">
        <f>HYPERLINK("https://miland.ru/api/getInfo/image/fef7b38e-fa89-11ef-a274-00155d82e908")</f>
        <v>https://miland.ru/api/getInfo/image/fef7b38e-fa89-11ef-a274-00155d82e908</v>
      </c>
      <c r="U1856" s="21"/>
      <c r="V1856" s="21" t="s">
        <v>6429</v>
      </c>
      <c r="W1856" s="21" t="s">
        <v>5671</v>
      </c>
      <c r="X1856" s="21"/>
      <c r="Y1856" s="21" t="s">
        <v>41</v>
      </c>
      <c r="Z1856" s="21"/>
      <c r="AA1856" s="21" t="str">
        <f>HYPERLINK("https://miland.ru/api/getInfo/item/fef7b38e-fa89-11ef-a274-00155d82e908")</f>
        <v>https://miland.ru/api/getInfo/item/fef7b38e-fa89-11ef-a274-00155d82e908</v>
      </c>
      <c r="AB1856" s="21" t="s">
        <v>42</v>
      </c>
      <c r="AC1856" s="21" t="s">
        <v>6468</v>
      </c>
      <c r="AD1856" s="21"/>
    </row>
    <row r="1857" spans="2:31" s="1" customFormat="1" ht="96.3" customHeight="1" outlineLevel="5">
      <c r="B1857" s="57">
        <v>1420</v>
      </c>
      <c r="C1857" s="21" t="s">
        <v>6477</v>
      </c>
      <c r="D1857" s="72" t="s">
        <v>6478</v>
      </c>
      <c r="E1857" s="72"/>
      <c r="F1857" s="72"/>
      <c r="G1857" s="72"/>
      <c r="H1857" s="22" t="s">
        <v>6479</v>
      </c>
      <c r="I1857" s="27">
        <v>154</v>
      </c>
      <c r="J1857" s="22"/>
      <c r="K1857" s="20">
        <v>4</v>
      </c>
      <c r="L1857" s="24">
        <v>141.49</v>
      </c>
      <c r="M1857" s="11"/>
      <c r="N1857" s="22">
        <f t="shared" si="81"/>
        <v>0</v>
      </c>
      <c r="O1857" s="25">
        <f>0.158*M1857</f>
        <v>0</v>
      </c>
      <c r="P1857" s="26">
        <f>0.00124*M1857</f>
        <v>0</v>
      </c>
      <c r="Q1857" s="30"/>
      <c r="R1857" s="22" t="s">
        <v>6480</v>
      </c>
      <c r="S1857" s="22"/>
      <c r="T1857" s="21" t="str">
        <f>HYPERLINK("https://miland.ru/api/getInfo/image/3a57fd23-fa8b-11ef-a274-00155d82e908")</f>
        <v>https://miland.ru/api/getInfo/image/3a57fd23-fa8b-11ef-a274-00155d82e908</v>
      </c>
      <c r="U1857" s="21"/>
      <c r="V1857" s="21" t="s">
        <v>6429</v>
      </c>
      <c r="W1857" s="21" t="s">
        <v>5671</v>
      </c>
      <c r="X1857" s="21"/>
      <c r="Y1857" s="21" t="s">
        <v>41</v>
      </c>
      <c r="Z1857" s="21"/>
      <c r="AA1857" s="21" t="str">
        <f>HYPERLINK("https://miland.ru/api/getInfo/item/3a57fd23-fa8b-11ef-a274-00155d82e908")</f>
        <v>https://miland.ru/api/getInfo/item/3a57fd23-fa8b-11ef-a274-00155d82e908</v>
      </c>
      <c r="AB1857" s="21" t="s">
        <v>42</v>
      </c>
      <c r="AC1857" s="21" t="s">
        <v>6468</v>
      </c>
      <c r="AD1857" s="21"/>
    </row>
    <row r="1858" spans="2:31" s="1" customFormat="1" ht="96.3" customHeight="1" outlineLevel="5">
      <c r="B1858" s="57">
        <v>1421</v>
      </c>
      <c r="C1858" s="21" t="s">
        <v>6481</v>
      </c>
      <c r="D1858" s="72" t="s">
        <v>6482</v>
      </c>
      <c r="E1858" s="72"/>
      <c r="F1858" s="72"/>
      <c r="G1858" s="72"/>
      <c r="H1858" s="22" t="s">
        <v>6483</v>
      </c>
      <c r="I1858" s="23" t="s">
        <v>36</v>
      </c>
      <c r="J1858" s="22"/>
      <c r="K1858" s="20">
        <v>4</v>
      </c>
      <c r="L1858" s="24">
        <v>141.49</v>
      </c>
      <c r="M1858" s="11"/>
      <c r="N1858" s="22">
        <f t="shared" si="81"/>
        <v>0</v>
      </c>
      <c r="O1858" s="25">
        <f>0.159*M1858</f>
        <v>0</v>
      </c>
      <c r="P1858" s="26">
        <f>0.00121*M1858</f>
        <v>0</v>
      </c>
      <c r="Q1858" s="30"/>
      <c r="R1858" s="22" t="s">
        <v>6484</v>
      </c>
      <c r="S1858" s="22"/>
      <c r="T1858" s="21" t="str">
        <f>HYPERLINK("https://miland.ru/api/getInfo/image/82647920-fa8a-11ef-a274-00155d82e908")</f>
        <v>https://miland.ru/api/getInfo/image/82647920-fa8a-11ef-a274-00155d82e908</v>
      </c>
      <c r="U1858" s="21"/>
      <c r="V1858" s="21" t="s">
        <v>6429</v>
      </c>
      <c r="W1858" s="21" t="s">
        <v>5671</v>
      </c>
      <c r="X1858" s="21"/>
      <c r="Y1858" s="21" t="s">
        <v>41</v>
      </c>
      <c r="Z1858" s="21"/>
      <c r="AA1858" s="21" t="str">
        <f>HYPERLINK("https://miland.ru/api/getInfo/item/82647920-fa8a-11ef-a274-00155d82e908")</f>
        <v>https://miland.ru/api/getInfo/item/82647920-fa8a-11ef-a274-00155d82e908</v>
      </c>
      <c r="AB1858" s="21" t="s">
        <v>42</v>
      </c>
      <c r="AC1858" s="21" t="s">
        <v>6468</v>
      </c>
      <c r="AD1858" s="21"/>
    </row>
    <row r="1859" spans="2:31" s="1" customFormat="1" ht="96.3" customHeight="1" outlineLevel="5">
      <c r="B1859" s="57">
        <v>1422</v>
      </c>
      <c r="C1859" s="21" t="s">
        <v>6485</v>
      </c>
      <c r="D1859" s="72" t="s">
        <v>6486</v>
      </c>
      <c r="E1859" s="72"/>
      <c r="F1859" s="72"/>
      <c r="G1859" s="72"/>
      <c r="H1859" s="22" t="s">
        <v>6487</v>
      </c>
      <c r="I1859" s="27">
        <v>14</v>
      </c>
      <c r="J1859" s="22"/>
      <c r="K1859" s="20">
        <v>4</v>
      </c>
      <c r="L1859" s="24">
        <v>141.49</v>
      </c>
      <c r="M1859" s="11"/>
      <c r="N1859" s="22">
        <f t="shared" si="81"/>
        <v>0</v>
      </c>
      <c r="O1859" s="28">
        <f>0.14*M1859</f>
        <v>0</v>
      </c>
      <c r="P1859" s="26">
        <f>0.00095*M1859</f>
        <v>0</v>
      </c>
      <c r="Q1859" s="30"/>
      <c r="R1859" s="22" t="s">
        <v>6488</v>
      </c>
      <c r="S1859" s="22" t="s">
        <v>435</v>
      </c>
      <c r="T1859" s="21" t="str">
        <f>HYPERLINK("https://miland.ru/api/getInfo/image/caf19c77-1432-11e6-b4aa-5cf3fc4a2490")</f>
        <v>https://miland.ru/api/getInfo/image/caf19c77-1432-11e6-b4aa-5cf3fc4a2490</v>
      </c>
      <c r="U1859" s="21"/>
      <c r="V1859" s="21" t="s">
        <v>6429</v>
      </c>
      <c r="W1859" s="21" t="s">
        <v>5671</v>
      </c>
      <c r="X1859" s="21"/>
      <c r="Y1859" s="21" t="s">
        <v>41</v>
      </c>
      <c r="Z1859" s="21"/>
      <c r="AA1859" s="21" t="str">
        <f>HYPERLINK("https://miland.ru/api/getInfo/item/caf19c77-1432-11e6-b4aa-5cf3fc4a2490")</f>
        <v>https://miland.ru/api/getInfo/item/caf19c77-1432-11e6-b4aa-5cf3fc4a2490</v>
      </c>
      <c r="AB1859" s="21" t="s">
        <v>42</v>
      </c>
      <c r="AC1859" s="21" t="s">
        <v>6468</v>
      </c>
      <c r="AD1859" s="21"/>
    </row>
    <row r="1860" spans="2:31" ht="12" customHeight="1" outlineLevel="4">
      <c r="B1860" s="70" t="s">
        <v>6489</v>
      </c>
      <c r="C1860" s="70"/>
      <c r="D1860" s="70"/>
      <c r="E1860" s="70"/>
      <c r="F1860" s="70"/>
      <c r="G1860" s="70"/>
    </row>
    <row r="1861" spans="2:31" s="1" customFormat="1" ht="96.3" customHeight="1" outlineLevel="5">
      <c r="B1861" s="57">
        <v>1423</v>
      </c>
      <c r="C1861" s="21" t="s">
        <v>6490</v>
      </c>
      <c r="D1861" s="72" t="s">
        <v>6491</v>
      </c>
      <c r="E1861" s="72"/>
      <c r="F1861" s="72"/>
      <c r="G1861" s="72"/>
      <c r="H1861" s="22" t="s">
        <v>6492</v>
      </c>
      <c r="I1861" s="23" t="s">
        <v>36</v>
      </c>
      <c r="J1861" s="22"/>
      <c r="K1861" s="20">
        <v>4</v>
      </c>
      <c r="L1861" s="24">
        <v>168.76</v>
      </c>
      <c r="M1861" s="11"/>
      <c r="N1861" s="22">
        <f>L1861*M1861</f>
        <v>0</v>
      </c>
      <c r="O1861" s="25">
        <f>0.185*M1861</f>
        <v>0</v>
      </c>
      <c r="P1861" s="26">
        <f>0.00139*M1861</f>
        <v>0</v>
      </c>
      <c r="Q1861" s="30"/>
      <c r="R1861" s="22" t="s">
        <v>6493</v>
      </c>
      <c r="S1861" s="22"/>
      <c r="T1861" s="21" t="str">
        <f>HYPERLINK("https://miland.ru/api/getInfo/image/595703d2-fa8d-11ef-a274-00155d82e908")</f>
        <v>https://miland.ru/api/getInfo/image/595703d2-fa8d-11ef-a274-00155d82e908</v>
      </c>
      <c r="U1861" s="21"/>
      <c r="V1861" s="21" t="s">
        <v>6429</v>
      </c>
      <c r="W1861" s="21" t="s">
        <v>5671</v>
      </c>
      <c r="X1861" s="21"/>
      <c r="Y1861" s="21" t="s">
        <v>41</v>
      </c>
      <c r="Z1861" s="21"/>
      <c r="AA1861" s="21" t="str">
        <f>HYPERLINK("https://miland.ru/api/getInfo/item/595703d2-fa8d-11ef-a274-00155d82e908")</f>
        <v>https://miland.ru/api/getInfo/item/595703d2-fa8d-11ef-a274-00155d82e908</v>
      </c>
      <c r="AB1861" s="21" t="s">
        <v>42</v>
      </c>
      <c r="AC1861" s="21" t="s">
        <v>6494</v>
      </c>
      <c r="AD1861" s="21"/>
    </row>
    <row r="1862" spans="2:31" ht="12" customHeight="1" outlineLevel="2">
      <c r="B1862" s="69" t="s">
        <v>6495</v>
      </c>
      <c r="C1862" s="69"/>
      <c r="D1862" s="69"/>
      <c r="E1862" s="69"/>
      <c r="F1862" s="69"/>
      <c r="G1862" s="69"/>
    </row>
    <row r="1863" spans="2:31" ht="12" customHeight="1" outlineLevel="3">
      <c r="B1863" s="70" t="s">
        <v>6496</v>
      </c>
      <c r="C1863" s="70"/>
      <c r="D1863" s="70"/>
      <c r="E1863" s="70"/>
      <c r="F1863" s="70"/>
      <c r="G1863" s="70"/>
    </row>
    <row r="1864" spans="2:31" ht="12" customHeight="1" outlineLevel="4">
      <c r="B1864" s="70" t="s">
        <v>6497</v>
      </c>
      <c r="C1864" s="70"/>
      <c r="D1864" s="70"/>
      <c r="E1864" s="70"/>
      <c r="F1864" s="70"/>
      <c r="G1864" s="70"/>
    </row>
    <row r="1865" spans="2:31" ht="12" customHeight="1" outlineLevel="5">
      <c r="B1865" s="70" t="s">
        <v>6498</v>
      </c>
      <c r="C1865" s="70"/>
      <c r="D1865" s="70"/>
      <c r="E1865" s="70"/>
      <c r="F1865" s="70"/>
      <c r="G1865" s="70"/>
    </row>
    <row r="1866" spans="2:31" ht="12" customHeight="1" outlineLevel="6">
      <c r="B1866" s="70" t="s">
        <v>6499</v>
      </c>
      <c r="C1866" s="70"/>
      <c r="D1866" s="70"/>
      <c r="E1866" s="70"/>
      <c r="F1866" s="70"/>
      <c r="G1866" s="70"/>
    </row>
    <row r="1867" spans="2:31" s="1" customFormat="1" ht="96.3" customHeight="1" outlineLevel="7">
      <c r="B1867" s="58">
        <v>1424</v>
      </c>
      <c r="C1867" s="7" t="s">
        <v>6500</v>
      </c>
      <c r="D1867" s="71" t="s">
        <v>6501</v>
      </c>
      <c r="E1867" s="71"/>
      <c r="F1867" s="71"/>
      <c r="G1867" s="71"/>
      <c r="H1867" s="8" t="s">
        <v>6502</v>
      </c>
      <c r="I1867" s="9" t="s">
        <v>36</v>
      </c>
      <c r="J1867" s="8"/>
      <c r="K1867" s="6">
        <v>12</v>
      </c>
      <c r="L1867" s="10">
        <v>48.32</v>
      </c>
      <c r="M1867" s="11"/>
      <c r="N1867" s="8">
        <f>L1867*M1867</f>
        <v>0</v>
      </c>
      <c r="O1867" s="12">
        <f>0.038*M1867</f>
        <v>0</v>
      </c>
      <c r="P1867" s="13">
        <f>0.00044*M1867</f>
        <v>0</v>
      </c>
      <c r="Q1867" s="17" t="s">
        <v>37</v>
      </c>
      <c r="R1867" s="8" t="s">
        <v>6503</v>
      </c>
      <c r="S1867" s="8"/>
      <c r="T1867" s="7" t="str">
        <f>HYPERLINK("https://miland.ru/api/getInfo/image/61d92eb8-fab3-11f0-a28e-00155d82e908")</f>
        <v>https://miland.ru/api/getInfo/image/61d92eb8-fab3-11f0-a28e-00155d82e908</v>
      </c>
      <c r="U1867" s="7"/>
      <c r="V1867" s="7"/>
      <c r="W1867" s="7" t="s">
        <v>378</v>
      </c>
      <c r="X1867" s="7"/>
      <c r="Y1867" s="7" t="s">
        <v>41</v>
      </c>
      <c r="Z1867" s="7"/>
      <c r="AA1867" s="7" t="str">
        <f>HYPERLINK("https://miland.ru/api/getInfo/item/61d92eb8-fab3-11f0-a28e-00155d82e908")</f>
        <v>https://miland.ru/api/getInfo/item/61d92eb8-fab3-11f0-a28e-00155d82e908</v>
      </c>
      <c r="AB1867" s="7" t="s">
        <v>42</v>
      </c>
      <c r="AC1867" s="7"/>
      <c r="AD1867" s="7"/>
      <c r="AE1867" s="54"/>
    </row>
    <row r="1868" spans="2:31" s="1" customFormat="1" ht="96.3" customHeight="1" outlineLevel="7">
      <c r="B1868" s="58">
        <v>1425</v>
      </c>
      <c r="C1868" s="7" t="s">
        <v>6504</v>
      </c>
      <c r="D1868" s="71" t="s">
        <v>6505</v>
      </c>
      <c r="E1868" s="71"/>
      <c r="F1868" s="71"/>
      <c r="G1868" s="71"/>
      <c r="H1868" s="8" t="s">
        <v>6506</v>
      </c>
      <c r="I1868" s="9" t="s">
        <v>36</v>
      </c>
      <c r="J1868" s="8"/>
      <c r="K1868" s="6">
        <v>12</v>
      </c>
      <c r="L1868" s="10">
        <v>48.32</v>
      </c>
      <c r="M1868" s="11"/>
      <c r="N1868" s="8">
        <f>L1868*M1868</f>
        <v>0</v>
      </c>
      <c r="O1868" s="12">
        <f>0.039*M1868</f>
        <v>0</v>
      </c>
      <c r="P1868" s="13">
        <f>0.00047*M1868</f>
        <v>0</v>
      </c>
      <c r="Q1868" s="17" t="s">
        <v>37</v>
      </c>
      <c r="R1868" s="8" t="s">
        <v>6507</v>
      </c>
      <c r="S1868" s="8"/>
      <c r="T1868" s="7" t="str">
        <f>HYPERLINK("https://miland.ru/api/getInfo/image/beb2de05-fab3-11f0-a28e-00155d82e908")</f>
        <v>https://miland.ru/api/getInfo/image/beb2de05-fab3-11f0-a28e-00155d82e908</v>
      </c>
      <c r="U1868" s="7"/>
      <c r="V1868" s="7"/>
      <c r="W1868" s="7" t="s">
        <v>378</v>
      </c>
      <c r="X1868" s="7"/>
      <c r="Y1868" s="7" t="s">
        <v>41</v>
      </c>
      <c r="Z1868" s="7"/>
      <c r="AA1868" s="7" t="str">
        <f>HYPERLINK("https://miland.ru/api/getInfo/item/beb2de05-fab3-11f0-a28e-00155d82e908")</f>
        <v>https://miland.ru/api/getInfo/item/beb2de05-fab3-11f0-a28e-00155d82e908</v>
      </c>
      <c r="AB1868" s="7" t="s">
        <v>42</v>
      </c>
      <c r="AC1868" s="7"/>
      <c r="AD1868" s="7"/>
      <c r="AE1868" s="54"/>
    </row>
    <row r="1869" spans="2:31" s="1" customFormat="1" ht="96.3" customHeight="1" outlineLevel="7">
      <c r="B1869" s="58">
        <v>1426</v>
      </c>
      <c r="C1869" s="7" t="s">
        <v>6508</v>
      </c>
      <c r="D1869" s="71" t="s">
        <v>6509</v>
      </c>
      <c r="E1869" s="71"/>
      <c r="F1869" s="71"/>
      <c r="G1869" s="71"/>
      <c r="H1869" s="8" t="s">
        <v>6510</v>
      </c>
      <c r="I1869" s="9" t="s">
        <v>36</v>
      </c>
      <c r="J1869" s="8"/>
      <c r="K1869" s="6">
        <v>12</v>
      </c>
      <c r="L1869" s="10">
        <v>48.32</v>
      </c>
      <c r="M1869" s="11"/>
      <c r="N1869" s="8">
        <f>L1869*M1869</f>
        <v>0</v>
      </c>
      <c r="O1869" s="12">
        <f>0.039*M1869</f>
        <v>0</v>
      </c>
      <c r="P1869" s="13">
        <f>0.00065*M1869</f>
        <v>0</v>
      </c>
      <c r="Q1869" s="17" t="s">
        <v>37</v>
      </c>
      <c r="R1869" s="8" t="s">
        <v>6511</v>
      </c>
      <c r="S1869" s="8"/>
      <c r="T1869" s="7" t="str">
        <f>HYPERLINK("https://miland.ru/api/getInfo/image/43b99890-fab3-11f0-a28e-00155d82e908")</f>
        <v>https://miland.ru/api/getInfo/image/43b99890-fab3-11f0-a28e-00155d82e908</v>
      </c>
      <c r="U1869" s="7"/>
      <c r="V1869" s="7"/>
      <c r="W1869" s="7" t="s">
        <v>378</v>
      </c>
      <c r="X1869" s="7"/>
      <c r="Y1869" s="7" t="s">
        <v>41</v>
      </c>
      <c r="Z1869" s="7"/>
      <c r="AA1869" s="7" t="str">
        <f>HYPERLINK("https://miland.ru/api/getInfo/item/43b99890-fab3-11f0-a28e-00155d82e908")</f>
        <v>https://miland.ru/api/getInfo/item/43b99890-fab3-11f0-a28e-00155d82e908</v>
      </c>
      <c r="AB1869" s="7" t="s">
        <v>42</v>
      </c>
      <c r="AC1869" s="7"/>
      <c r="AD1869" s="7"/>
      <c r="AE1869" s="54"/>
    </row>
    <row r="1870" spans="2:31" ht="12" customHeight="1" outlineLevel="6">
      <c r="B1870" s="70" t="s">
        <v>6512</v>
      </c>
      <c r="C1870" s="70"/>
      <c r="D1870" s="70"/>
      <c r="E1870" s="70"/>
      <c r="F1870" s="70"/>
      <c r="G1870" s="70"/>
    </row>
    <row r="1871" spans="2:31" s="1" customFormat="1" ht="96.3" customHeight="1" outlineLevel="7">
      <c r="B1871" s="58">
        <v>1427</v>
      </c>
      <c r="C1871" s="7" t="s">
        <v>6513</v>
      </c>
      <c r="D1871" s="71" t="s">
        <v>6514</v>
      </c>
      <c r="E1871" s="71"/>
      <c r="F1871" s="71"/>
      <c r="G1871" s="71"/>
      <c r="H1871" s="8" t="s">
        <v>6515</v>
      </c>
      <c r="I1871" s="9" t="s">
        <v>36</v>
      </c>
      <c r="J1871" s="8"/>
      <c r="K1871" s="6">
        <v>12</v>
      </c>
      <c r="L1871" s="10">
        <v>44.73</v>
      </c>
      <c r="M1871" s="11"/>
      <c r="N1871" s="8">
        <f t="shared" ref="N1871:N1880" si="82">L1871*M1871</f>
        <v>0</v>
      </c>
      <c r="O1871" s="12">
        <f>0.043*M1871</f>
        <v>0</v>
      </c>
      <c r="P1871" s="13">
        <f>0.00044*M1871</f>
        <v>0</v>
      </c>
      <c r="Q1871" s="17" t="s">
        <v>37</v>
      </c>
      <c r="R1871" s="8" t="s">
        <v>6516</v>
      </c>
      <c r="S1871" s="8"/>
      <c r="T1871" s="7" t="str">
        <f>HYPERLINK("https://miland.ru/api/getInfo/image/373e0ada-fab2-11f0-a28e-00155d82e908")</f>
        <v>https://miland.ru/api/getInfo/image/373e0ada-fab2-11f0-a28e-00155d82e908</v>
      </c>
      <c r="U1871" s="7"/>
      <c r="V1871" s="7"/>
      <c r="W1871" s="7" t="s">
        <v>378</v>
      </c>
      <c r="X1871" s="7"/>
      <c r="Y1871" s="7" t="s">
        <v>41</v>
      </c>
      <c r="Z1871" s="7"/>
      <c r="AA1871" s="7" t="str">
        <f>HYPERLINK("https://miland.ru/api/getInfo/item/373e0ada-fab2-11f0-a28e-00155d82e908")</f>
        <v>https://miland.ru/api/getInfo/item/373e0ada-fab2-11f0-a28e-00155d82e908</v>
      </c>
      <c r="AB1871" s="7" t="s">
        <v>42</v>
      </c>
      <c r="AC1871" s="7"/>
      <c r="AD1871" s="7"/>
      <c r="AE1871" s="54"/>
    </row>
    <row r="1872" spans="2:31" s="1" customFormat="1" ht="96.3" customHeight="1" outlineLevel="7">
      <c r="B1872" s="58">
        <v>1428</v>
      </c>
      <c r="C1872" s="7" t="s">
        <v>6517</v>
      </c>
      <c r="D1872" s="71" t="s">
        <v>6518</v>
      </c>
      <c r="E1872" s="71"/>
      <c r="F1872" s="71"/>
      <c r="G1872" s="71"/>
      <c r="H1872" s="8" t="s">
        <v>6519</v>
      </c>
      <c r="I1872" s="9" t="s">
        <v>36</v>
      </c>
      <c r="J1872" s="8"/>
      <c r="K1872" s="6">
        <v>12</v>
      </c>
      <c r="L1872" s="10">
        <v>44.73</v>
      </c>
      <c r="M1872" s="11"/>
      <c r="N1872" s="8">
        <f t="shared" si="82"/>
        <v>0</v>
      </c>
      <c r="O1872" s="12">
        <f>0.043*M1872</f>
        <v>0</v>
      </c>
      <c r="P1872" s="13">
        <f>0.00061*M1872</f>
        <v>0</v>
      </c>
      <c r="Q1872" s="17" t="s">
        <v>37</v>
      </c>
      <c r="R1872" s="8" t="s">
        <v>6520</v>
      </c>
      <c r="S1872" s="8"/>
      <c r="T1872" s="7" t="str">
        <f>HYPERLINK("https://miland.ru/api/getInfo/image/da0a1e9c-fab0-11f0-a28e-00155d82e908")</f>
        <v>https://miland.ru/api/getInfo/image/da0a1e9c-fab0-11f0-a28e-00155d82e908</v>
      </c>
      <c r="U1872" s="7"/>
      <c r="V1872" s="7"/>
      <c r="W1872" s="7" t="s">
        <v>378</v>
      </c>
      <c r="X1872" s="7"/>
      <c r="Y1872" s="7" t="s">
        <v>41</v>
      </c>
      <c r="Z1872" s="7"/>
      <c r="AA1872" s="7" t="str">
        <f>HYPERLINK("https://miland.ru/api/getInfo/item/da0a1e9c-fab0-11f0-a28e-00155d82e908")</f>
        <v>https://miland.ru/api/getInfo/item/da0a1e9c-fab0-11f0-a28e-00155d82e908</v>
      </c>
      <c r="AB1872" s="7" t="s">
        <v>42</v>
      </c>
      <c r="AC1872" s="7"/>
      <c r="AD1872" s="7"/>
      <c r="AE1872" s="54"/>
    </row>
    <row r="1873" spans="2:31" s="1" customFormat="1" ht="96.3" customHeight="1" outlineLevel="7">
      <c r="B1873" s="57">
        <v>1429</v>
      </c>
      <c r="C1873" s="21" t="s">
        <v>6521</v>
      </c>
      <c r="D1873" s="72" t="s">
        <v>6522</v>
      </c>
      <c r="E1873" s="72"/>
      <c r="F1873" s="72"/>
      <c r="G1873" s="72"/>
      <c r="H1873" s="22" t="s">
        <v>6523</v>
      </c>
      <c r="I1873" s="23" t="s">
        <v>36</v>
      </c>
      <c r="J1873" s="22"/>
      <c r="K1873" s="20">
        <v>12</v>
      </c>
      <c r="L1873" s="24">
        <v>44.73</v>
      </c>
      <c r="M1873" s="11"/>
      <c r="N1873" s="22">
        <f t="shared" si="82"/>
        <v>0</v>
      </c>
      <c r="O1873" s="28">
        <f>0.05*M1873</f>
        <v>0</v>
      </c>
      <c r="P1873" s="26">
        <f>0.00029*M1873</f>
        <v>0</v>
      </c>
      <c r="Q1873" s="30"/>
      <c r="R1873" s="22" t="s">
        <v>6524</v>
      </c>
      <c r="S1873" s="22" t="s">
        <v>435</v>
      </c>
      <c r="T1873" s="21" t="str">
        <f>HYPERLINK("https://miland.ru/api/getInfo/image/2face9c4-a323-11ef-a267-00155d82e908")</f>
        <v>https://miland.ru/api/getInfo/image/2face9c4-a323-11ef-a267-00155d82e908</v>
      </c>
      <c r="U1873" s="21"/>
      <c r="V1873" s="21" t="s">
        <v>6525</v>
      </c>
      <c r="W1873" s="21" t="s">
        <v>378</v>
      </c>
      <c r="X1873" s="21"/>
      <c r="Y1873" s="21" t="s">
        <v>41</v>
      </c>
      <c r="Z1873" s="21"/>
      <c r="AA1873" s="21" t="str">
        <f>HYPERLINK("https://miland.ru/api/getInfo/item/2face9c4-a323-11ef-a267-00155d82e908")</f>
        <v>https://miland.ru/api/getInfo/item/2face9c4-a323-11ef-a267-00155d82e908</v>
      </c>
      <c r="AB1873" s="21" t="s">
        <v>42</v>
      </c>
      <c r="AC1873" s="21" t="s">
        <v>6526</v>
      </c>
      <c r="AD1873" s="21"/>
    </row>
    <row r="1874" spans="2:31" s="1" customFormat="1" ht="96.3" customHeight="1" outlineLevel="7">
      <c r="B1874" s="58">
        <v>1430</v>
      </c>
      <c r="C1874" s="7" t="s">
        <v>6527</v>
      </c>
      <c r="D1874" s="71" t="s">
        <v>6528</v>
      </c>
      <c r="E1874" s="71"/>
      <c r="F1874" s="71"/>
      <c r="G1874" s="71"/>
      <c r="H1874" s="8" t="s">
        <v>6529</v>
      </c>
      <c r="I1874" s="9" t="s">
        <v>36</v>
      </c>
      <c r="J1874" s="8"/>
      <c r="K1874" s="6">
        <v>12</v>
      </c>
      <c r="L1874" s="10">
        <v>44.73</v>
      </c>
      <c r="M1874" s="11"/>
      <c r="N1874" s="8">
        <f t="shared" si="82"/>
        <v>0</v>
      </c>
      <c r="O1874" s="12">
        <f>0.038*M1874</f>
        <v>0</v>
      </c>
      <c r="P1874" s="13">
        <f>0.00054*M1874</f>
        <v>0</v>
      </c>
      <c r="Q1874" s="17" t="s">
        <v>37</v>
      </c>
      <c r="R1874" s="8" t="s">
        <v>6530</v>
      </c>
      <c r="S1874" s="8"/>
      <c r="T1874" s="7" t="str">
        <f>HYPERLINK("https://miland.ru/api/getInfo/image/50abd4b4-fab2-11f0-a28e-00155d82e908")</f>
        <v>https://miland.ru/api/getInfo/image/50abd4b4-fab2-11f0-a28e-00155d82e908</v>
      </c>
      <c r="U1874" s="7"/>
      <c r="V1874" s="7"/>
      <c r="W1874" s="7" t="s">
        <v>378</v>
      </c>
      <c r="X1874" s="7"/>
      <c r="Y1874" s="7" t="s">
        <v>41</v>
      </c>
      <c r="Z1874" s="7"/>
      <c r="AA1874" s="7" t="str">
        <f>HYPERLINK("https://miland.ru/api/getInfo/item/50abd4b4-fab2-11f0-a28e-00155d82e908")</f>
        <v>https://miland.ru/api/getInfo/item/50abd4b4-fab2-11f0-a28e-00155d82e908</v>
      </c>
      <c r="AB1874" s="7" t="s">
        <v>42</v>
      </c>
      <c r="AC1874" s="7"/>
      <c r="AD1874" s="7"/>
      <c r="AE1874" s="54"/>
    </row>
    <row r="1875" spans="2:31" s="1" customFormat="1" ht="96.3" customHeight="1" outlineLevel="7">
      <c r="B1875" s="58">
        <v>1431</v>
      </c>
      <c r="C1875" s="7" t="s">
        <v>6531</v>
      </c>
      <c r="D1875" s="71" t="s">
        <v>6532</v>
      </c>
      <c r="E1875" s="71"/>
      <c r="F1875" s="71"/>
      <c r="G1875" s="71"/>
      <c r="H1875" s="8" t="s">
        <v>6533</v>
      </c>
      <c r="I1875" s="9" t="s">
        <v>36</v>
      </c>
      <c r="J1875" s="8"/>
      <c r="K1875" s="6">
        <v>12</v>
      </c>
      <c r="L1875" s="10">
        <v>44.73</v>
      </c>
      <c r="M1875" s="11"/>
      <c r="N1875" s="8">
        <f t="shared" si="82"/>
        <v>0</v>
      </c>
      <c r="O1875" s="12">
        <f>0.041*M1875</f>
        <v>0</v>
      </c>
      <c r="P1875" s="13">
        <f>0.00079*M1875</f>
        <v>0</v>
      </c>
      <c r="Q1875" s="17" t="s">
        <v>37</v>
      </c>
      <c r="R1875" s="8" t="s">
        <v>6534</v>
      </c>
      <c r="S1875" s="8"/>
      <c r="T1875" s="7" t="str">
        <f>HYPERLINK("https://miland.ru/api/getInfo/image/2450ad27-fab1-11f0-a28e-00155d82e908")</f>
        <v>https://miland.ru/api/getInfo/image/2450ad27-fab1-11f0-a28e-00155d82e908</v>
      </c>
      <c r="U1875" s="7"/>
      <c r="V1875" s="7"/>
      <c r="W1875" s="7" t="s">
        <v>378</v>
      </c>
      <c r="X1875" s="7"/>
      <c r="Y1875" s="7" t="s">
        <v>41</v>
      </c>
      <c r="Z1875" s="7"/>
      <c r="AA1875" s="7" t="str">
        <f>HYPERLINK("https://miland.ru/api/getInfo/item/2450ad27-fab1-11f0-a28e-00155d82e908")</f>
        <v>https://miland.ru/api/getInfo/item/2450ad27-fab1-11f0-a28e-00155d82e908</v>
      </c>
      <c r="AB1875" s="7" t="s">
        <v>42</v>
      </c>
      <c r="AC1875" s="7"/>
      <c r="AD1875" s="7"/>
      <c r="AE1875" s="54"/>
    </row>
    <row r="1876" spans="2:31" s="1" customFormat="1" ht="96.3" customHeight="1" outlineLevel="7">
      <c r="B1876" s="58">
        <v>1432</v>
      </c>
      <c r="C1876" s="7" t="s">
        <v>6535</v>
      </c>
      <c r="D1876" s="71" t="s">
        <v>6536</v>
      </c>
      <c r="E1876" s="71"/>
      <c r="F1876" s="71"/>
      <c r="G1876" s="71"/>
      <c r="H1876" s="8" t="s">
        <v>6537</v>
      </c>
      <c r="I1876" s="9" t="s">
        <v>36</v>
      </c>
      <c r="J1876" s="8"/>
      <c r="K1876" s="6">
        <v>12</v>
      </c>
      <c r="L1876" s="10">
        <v>44.73</v>
      </c>
      <c r="M1876" s="11"/>
      <c r="N1876" s="8">
        <f t="shared" si="82"/>
        <v>0</v>
      </c>
      <c r="O1876" s="12">
        <f>0.043*M1876</f>
        <v>0</v>
      </c>
      <c r="P1876" s="13">
        <f>0.00094*M1876</f>
        <v>0</v>
      </c>
      <c r="Q1876" s="17" t="s">
        <v>37</v>
      </c>
      <c r="R1876" s="8" t="s">
        <v>6538</v>
      </c>
      <c r="S1876" s="8"/>
      <c r="T1876" s="7" t="str">
        <f>HYPERLINK("https://miland.ru/api/getInfo/image/f247e8ca-fab0-11f0-a28e-00155d82e908")</f>
        <v>https://miland.ru/api/getInfo/image/f247e8ca-fab0-11f0-a28e-00155d82e908</v>
      </c>
      <c r="U1876" s="7"/>
      <c r="V1876" s="7"/>
      <c r="W1876" s="7" t="s">
        <v>378</v>
      </c>
      <c r="X1876" s="7"/>
      <c r="Y1876" s="7" t="s">
        <v>41</v>
      </c>
      <c r="Z1876" s="7"/>
      <c r="AA1876" s="7" t="str">
        <f>HYPERLINK("https://miland.ru/api/getInfo/item/f247e8ca-fab0-11f0-a28e-00155d82e908")</f>
        <v>https://miland.ru/api/getInfo/item/f247e8ca-fab0-11f0-a28e-00155d82e908</v>
      </c>
      <c r="AB1876" s="7" t="s">
        <v>42</v>
      </c>
      <c r="AC1876" s="7"/>
      <c r="AD1876" s="7"/>
      <c r="AE1876" s="54"/>
    </row>
    <row r="1877" spans="2:31" s="1" customFormat="1" ht="96.3" customHeight="1" outlineLevel="7">
      <c r="B1877" s="58">
        <v>1433</v>
      </c>
      <c r="C1877" s="7" t="s">
        <v>6539</v>
      </c>
      <c r="D1877" s="71" t="s">
        <v>6540</v>
      </c>
      <c r="E1877" s="71"/>
      <c r="F1877" s="71"/>
      <c r="G1877" s="71"/>
      <c r="H1877" s="8" t="s">
        <v>6541</v>
      </c>
      <c r="I1877" s="9" t="s">
        <v>36</v>
      </c>
      <c r="J1877" s="8"/>
      <c r="K1877" s="6">
        <v>12</v>
      </c>
      <c r="L1877" s="10">
        <v>44.73</v>
      </c>
      <c r="M1877" s="11"/>
      <c r="N1877" s="8">
        <f t="shared" si="82"/>
        <v>0</v>
      </c>
      <c r="O1877" s="12">
        <f>0.039*M1877</f>
        <v>0</v>
      </c>
      <c r="P1877" s="13">
        <f>0.00065*M1877</f>
        <v>0</v>
      </c>
      <c r="Q1877" s="17" t="s">
        <v>37</v>
      </c>
      <c r="R1877" s="8" t="s">
        <v>6542</v>
      </c>
      <c r="S1877" s="8"/>
      <c r="T1877" s="7" t="str">
        <f>HYPERLINK("https://miland.ru/api/getInfo/image/63023092-fab0-11f0-a28e-00155d82e908")</f>
        <v>https://miland.ru/api/getInfo/image/63023092-fab0-11f0-a28e-00155d82e908</v>
      </c>
      <c r="U1877" s="7"/>
      <c r="V1877" s="7"/>
      <c r="W1877" s="7" t="s">
        <v>378</v>
      </c>
      <c r="X1877" s="7"/>
      <c r="Y1877" s="7" t="s">
        <v>41</v>
      </c>
      <c r="Z1877" s="7"/>
      <c r="AA1877" s="7" t="str">
        <f>HYPERLINK("https://miland.ru/api/getInfo/item/63023092-fab0-11f0-a28e-00155d82e908")</f>
        <v>https://miland.ru/api/getInfo/item/63023092-fab0-11f0-a28e-00155d82e908</v>
      </c>
      <c r="AB1877" s="7" t="s">
        <v>42</v>
      </c>
      <c r="AC1877" s="7"/>
      <c r="AD1877" s="7"/>
      <c r="AE1877" s="54"/>
    </row>
    <row r="1878" spans="2:31" s="1" customFormat="1" ht="96.3" customHeight="1" outlineLevel="7">
      <c r="B1878" s="57">
        <v>1434</v>
      </c>
      <c r="C1878" s="21" t="s">
        <v>6543</v>
      </c>
      <c r="D1878" s="72" t="s">
        <v>6544</v>
      </c>
      <c r="E1878" s="72"/>
      <c r="F1878" s="72"/>
      <c r="G1878" s="72"/>
      <c r="H1878" s="22" t="s">
        <v>6545</v>
      </c>
      <c r="I1878" s="23" t="s">
        <v>36</v>
      </c>
      <c r="J1878" s="22"/>
      <c r="K1878" s="20">
        <v>12</v>
      </c>
      <c r="L1878" s="24">
        <v>44.73</v>
      </c>
      <c r="M1878" s="11"/>
      <c r="N1878" s="22">
        <f t="shared" si="82"/>
        <v>0</v>
      </c>
      <c r="O1878" s="25">
        <f>0.065*M1878</f>
        <v>0</v>
      </c>
      <c r="P1878" s="26">
        <f>0.00013*M1878</f>
        <v>0</v>
      </c>
      <c r="Q1878" s="30"/>
      <c r="R1878" s="22" t="s">
        <v>6546</v>
      </c>
      <c r="S1878" s="22" t="s">
        <v>435</v>
      </c>
      <c r="T1878" s="21" t="str">
        <f>HYPERLINK("https://miland.ru/api/getInfo/image/4a672678-a323-11ef-a267-00155d82e908")</f>
        <v>https://miland.ru/api/getInfo/image/4a672678-a323-11ef-a267-00155d82e908</v>
      </c>
      <c r="U1878" s="21"/>
      <c r="V1878" s="21" t="s">
        <v>6525</v>
      </c>
      <c r="W1878" s="21" t="s">
        <v>378</v>
      </c>
      <c r="X1878" s="21"/>
      <c r="Y1878" s="21" t="s">
        <v>41</v>
      </c>
      <c r="Z1878" s="21"/>
      <c r="AA1878" s="21" t="str">
        <f>HYPERLINK("https://miland.ru/api/getInfo/item/4a672678-a323-11ef-a267-00155d82e908")</f>
        <v>https://miland.ru/api/getInfo/item/4a672678-a323-11ef-a267-00155d82e908</v>
      </c>
      <c r="AB1878" s="21" t="s">
        <v>42</v>
      </c>
      <c r="AC1878" s="21" t="s">
        <v>6526</v>
      </c>
      <c r="AD1878" s="21"/>
    </row>
    <row r="1879" spans="2:31" s="1" customFormat="1" ht="96.3" customHeight="1" outlineLevel="7">
      <c r="B1879" s="57">
        <v>1435</v>
      </c>
      <c r="C1879" s="21" t="s">
        <v>6547</v>
      </c>
      <c r="D1879" s="72" t="s">
        <v>6548</v>
      </c>
      <c r="E1879" s="72"/>
      <c r="F1879" s="72"/>
      <c r="G1879" s="72"/>
      <c r="H1879" s="22" t="s">
        <v>6549</v>
      </c>
      <c r="I1879" s="23" t="s">
        <v>36</v>
      </c>
      <c r="J1879" s="22"/>
      <c r="K1879" s="20">
        <v>12</v>
      </c>
      <c r="L1879" s="24">
        <v>44.73</v>
      </c>
      <c r="M1879" s="11"/>
      <c r="N1879" s="22">
        <f t="shared" si="82"/>
        <v>0</v>
      </c>
      <c r="O1879" s="25">
        <f>0.044*M1879</f>
        <v>0</v>
      </c>
      <c r="P1879" s="26">
        <f>0.00032*M1879</f>
        <v>0</v>
      </c>
      <c r="Q1879" s="30"/>
      <c r="R1879" s="22" t="s">
        <v>6550</v>
      </c>
      <c r="S1879" s="22" t="s">
        <v>435</v>
      </c>
      <c r="T1879" s="21" t="str">
        <f>HYPERLINK("https://miland.ru/api/getInfo/image/b15fa482-a322-11ef-a267-00155d82e908")</f>
        <v>https://miland.ru/api/getInfo/image/b15fa482-a322-11ef-a267-00155d82e908</v>
      </c>
      <c r="U1879" s="21"/>
      <c r="V1879" s="21" t="s">
        <v>6525</v>
      </c>
      <c r="W1879" s="21" t="s">
        <v>378</v>
      </c>
      <c r="X1879" s="21"/>
      <c r="Y1879" s="21" t="s">
        <v>41</v>
      </c>
      <c r="Z1879" s="21"/>
      <c r="AA1879" s="21" t="str">
        <f>HYPERLINK("https://miland.ru/api/getInfo/item/b15fa482-a322-11ef-a267-00155d82e908")</f>
        <v>https://miland.ru/api/getInfo/item/b15fa482-a322-11ef-a267-00155d82e908</v>
      </c>
      <c r="AB1879" s="21" t="s">
        <v>42</v>
      </c>
      <c r="AC1879" s="21" t="s">
        <v>6526</v>
      </c>
      <c r="AD1879" s="21"/>
    </row>
    <row r="1880" spans="2:31" s="1" customFormat="1" ht="96.3" customHeight="1" outlineLevel="7">
      <c r="B1880" s="58">
        <v>1436</v>
      </c>
      <c r="C1880" s="7" t="s">
        <v>6551</v>
      </c>
      <c r="D1880" s="71" t="s">
        <v>6552</v>
      </c>
      <c r="E1880" s="71"/>
      <c r="F1880" s="71"/>
      <c r="G1880" s="71"/>
      <c r="H1880" s="8" t="s">
        <v>6553</v>
      </c>
      <c r="I1880" s="9" t="s">
        <v>36</v>
      </c>
      <c r="J1880" s="8"/>
      <c r="K1880" s="6">
        <v>12</v>
      </c>
      <c r="L1880" s="10">
        <v>44.73</v>
      </c>
      <c r="M1880" s="11"/>
      <c r="N1880" s="8">
        <f t="shared" si="82"/>
        <v>0</v>
      </c>
      <c r="O1880" s="12">
        <f>0.041*M1880</f>
        <v>0</v>
      </c>
      <c r="P1880" s="13">
        <f>0.00073*M1880</f>
        <v>0</v>
      </c>
      <c r="Q1880" s="17" t="s">
        <v>37</v>
      </c>
      <c r="R1880" s="8" t="s">
        <v>6554</v>
      </c>
      <c r="S1880" s="8"/>
      <c r="T1880" s="7" t="str">
        <f>HYPERLINK("https://miland.ru/api/getInfo/image/ec75b5ef-fab2-11f0-a28e-00155d82e908")</f>
        <v>https://miland.ru/api/getInfo/image/ec75b5ef-fab2-11f0-a28e-00155d82e908</v>
      </c>
      <c r="U1880" s="7"/>
      <c r="V1880" s="7"/>
      <c r="W1880" s="7" t="s">
        <v>378</v>
      </c>
      <c r="X1880" s="7"/>
      <c r="Y1880" s="7" t="s">
        <v>41</v>
      </c>
      <c r="Z1880" s="7"/>
      <c r="AA1880" s="7" t="str">
        <f>HYPERLINK("https://miland.ru/api/getInfo/item/ec75b5ef-fab2-11f0-a28e-00155d82e908")</f>
        <v>https://miland.ru/api/getInfo/item/ec75b5ef-fab2-11f0-a28e-00155d82e908</v>
      </c>
      <c r="AB1880" s="7" t="s">
        <v>42</v>
      </c>
      <c r="AC1880" s="7"/>
      <c r="AD1880" s="7"/>
      <c r="AE1880" s="54"/>
    </row>
    <row r="1881" spans="2:31" ht="12" customHeight="1" outlineLevel="5">
      <c r="B1881" s="70" t="s">
        <v>6555</v>
      </c>
      <c r="C1881" s="70"/>
      <c r="D1881" s="70"/>
      <c r="E1881" s="70"/>
      <c r="F1881" s="70"/>
      <c r="G1881" s="70"/>
    </row>
    <row r="1882" spans="2:31" ht="12" customHeight="1" outlineLevel="6">
      <c r="B1882" s="70" t="s">
        <v>6556</v>
      </c>
      <c r="C1882" s="70"/>
      <c r="D1882" s="70"/>
      <c r="E1882" s="70"/>
      <c r="F1882" s="70"/>
      <c r="G1882" s="70"/>
    </row>
    <row r="1883" spans="2:31" s="1" customFormat="1" ht="96.3" customHeight="1" outlineLevel="7">
      <c r="B1883" s="59">
        <v>1437</v>
      </c>
      <c r="C1883" s="35" t="s">
        <v>6557</v>
      </c>
      <c r="D1883" s="73" t="s">
        <v>6558</v>
      </c>
      <c r="E1883" s="73"/>
      <c r="F1883" s="73"/>
      <c r="G1883" s="73"/>
      <c r="H1883" s="36" t="s">
        <v>6559</v>
      </c>
      <c r="I1883" s="56" t="s">
        <v>36</v>
      </c>
      <c r="J1883" s="36"/>
      <c r="K1883" s="34">
        <v>24</v>
      </c>
      <c r="L1883" s="41">
        <v>25.346666666666668</v>
      </c>
      <c r="M1883" s="11"/>
      <c r="N1883" s="36">
        <f t="shared" ref="N1883:N1888" si="83">L1883*M1883</f>
        <v>0</v>
      </c>
      <c r="O1883" s="42">
        <f>0.014*M1883</f>
        <v>0</v>
      </c>
      <c r="P1883" s="43">
        <f>0.00024*M1883</f>
        <v>0</v>
      </c>
      <c r="Q1883" s="50" t="s">
        <v>37</v>
      </c>
      <c r="R1883" s="36" t="s">
        <v>6560</v>
      </c>
      <c r="S1883" s="36"/>
      <c r="T1883" s="35" t="str">
        <f>HYPERLINK("https://miland.ru/api/getInfo/image/f38c8e7f-fb4f-11f0-a28e-00155d82e908")</f>
        <v>https://miland.ru/api/getInfo/image/f38c8e7f-fb4f-11f0-a28e-00155d82e908</v>
      </c>
      <c r="U1883" s="35"/>
      <c r="V1883" s="35"/>
      <c r="W1883" s="35" t="s">
        <v>378</v>
      </c>
      <c r="X1883" s="35"/>
      <c r="Y1883" s="35" t="s">
        <v>41</v>
      </c>
      <c r="Z1883" s="35"/>
      <c r="AA1883" s="35" t="str">
        <f>HYPERLINK("https://miland.ru/api/getInfo/item/f38c8e7f-fb4f-11f0-a28e-00155d82e908")</f>
        <v>https://miland.ru/api/getInfo/item/f38c8e7f-fb4f-11f0-a28e-00155d82e908</v>
      </c>
      <c r="AB1883" s="35" t="s">
        <v>42</v>
      </c>
      <c r="AC1883" s="35"/>
      <c r="AD1883" s="35"/>
      <c r="AE1883" s="52" t="s">
        <v>1251</v>
      </c>
    </row>
    <row r="1884" spans="2:31" s="1" customFormat="1" ht="96.3" customHeight="1" outlineLevel="7">
      <c r="B1884" s="59">
        <v>1438</v>
      </c>
      <c r="C1884" s="35" t="s">
        <v>6561</v>
      </c>
      <c r="D1884" s="73" t="s">
        <v>6562</v>
      </c>
      <c r="E1884" s="73"/>
      <c r="F1884" s="73"/>
      <c r="G1884" s="73"/>
      <c r="H1884" s="36" t="s">
        <v>6563</v>
      </c>
      <c r="I1884" s="56" t="s">
        <v>36</v>
      </c>
      <c r="J1884" s="36"/>
      <c r="K1884" s="34">
        <v>24</v>
      </c>
      <c r="L1884" s="41">
        <v>25.346666666666668</v>
      </c>
      <c r="M1884" s="11"/>
      <c r="N1884" s="36">
        <f t="shared" si="83"/>
        <v>0</v>
      </c>
      <c r="O1884" s="42">
        <f>0.015*M1884</f>
        <v>0</v>
      </c>
      <c r="P1884" s="43">
        <f>0.00018*M1884</f>
        <v>0</v>
      </c>
      <c r="Q1884" s="50" t="s">
        <v>37</v>
      </c>
      <c r="R1884" s="36" t="s">
        <v>6564</v>
      </c>
      <c r="S1884" s="36"/>
      <c r="T1884" s="35" t="str">
        <f>HYPERLINK("https://miland.ru/api/getInfo/image/b5f8aac3-fb4f-11f0-a28e-00155d82e908")</f>
        <v>https://miland.ru/api/getInfo/image/b5f8aac3-fb4f-11f0-a28e-00155d82e908</v>
      </c>
      <c r="U1884" s="35"/>
      <c r="V1884" s="35"/>
      <c r="W1884" s="35" t="s">
        <v>378</v>
      </c>
      <c r="X1884" s="35"/>
      <c r="Y1884" s="35" t="s">
        <v>41</v>
      </c>
      <c r="Z1884" s="35"/>
      <c r="AA1884" s="35" t="str">
        <f>HYPERLINK("https://miland.ru/api/getInfo/item/b5f8aac3-fb4f-11f0-a28e-00155d82e908")</f>
        <v>https://miland.ru/api/getInfo/item/b5f8aac3-fb4f-11f0-a28e-00155d82e908</v>
      </c>
      <c r="AB1884" s="35" t="s">
        <v>42</v>
      </c>
      <c r="AC1884" s="35"/>
      <c r="AD1884" s="35"/>
      <c r="AE1884" s="52" t="s">
        <v>1251</v>
      </c>
    </row>
    <row r="1885" spans="2:31" s="1" customFormat="1" ht="96.3" customHeight="1" outlineLevel="7">
      <c r="B1885" s="59">
        <v>1439</v>
      </c>
      <c r="C1885" s="35" t="s">
        <v>6565</v>
      </c>
      <c r="D1885" s="73" t="s">
        <v>6566</v>
      </c>
      <c r="E1885" s="73"/>
      <c r="F1885" s="73"/>
      <c r="G1885" s="73"/>
      <c r="H1885" s="36" t="s">
        <v>6567</v>
      </c>
      <c r="I1885" s="56" t="s">
        <v>36</v>
      </c>
      <c r="J1885" s="36"/>
      <c r="K1885" s="34">
        <v>24</v>
      </c>
      <c r="L1885" s="41">
        <v>25.346666666666668</v>
      </c>
      <c r="M1885" s="11"/>
      <c r="N1885" s="36">
        <f t="shared" si="83"/>
        <v>0</v>
      </c>
      <c r="O1885" s="42">
        <f>0.016*M1885</f>
        <v>0</v>
      </c>
      <c r="P1885" s="43">
        <f>0.00015*M1885</f>
        <v>0</v>
      </c>
      <c r="Q1885" s="50" t="s">
        <v>37</v>
      </c>
      <c r="R1885" s="36" t="s">
        <v>6568</v>
      </c>
      <c r="S1885" s="36"/>
      <c r="T1885" s="35" t="str">
        <f>HYPERLINK("https://miland.ru/api/getInfo/image/cd52a571-fb4f-11f0-a28e-00155d82e908")</f>
        <v>https://miland.ru/api/getInfo/image/cd52a571-fb4f-11f0-a28e-00155d82e908</v>
      </c>
      <c r="U1885" s="35"/>
      <c r="V1885" s="35"/>
      <c r="W1885" s="35" t="s">
        <v>378</v>
      </c>
      <c r="X1885" s="35"/>
      <c r="Y1885" s="35" t="s">
        <v>41</v>
      </c>
      <c r="Z1885" s="35"/>
      <c r="AA1885" s="35" t="str">
        <f>HYPERLINK("https://miland.ru/api/getInfo/item/cd52a571-fb4f-11f0-a28e-00155d82e908")</f>
        <v>https://miland.ru/api/getInfo/item/cd52a571-fb4f-11f0-a28e-00155d82e908</v>
      </c>
      <c r="AB1885" s="35" t="s">
        <v>42</v>
      </c>
      <c r="AC1885" s="35"/>
      <c r="AD1885" s="35"/>
      <c r="AE1885" s="52" t="s">
        <v>1251</v>
      </c>
    </row>
    <row r="1886" spans="2:31" s="1" customFormat="1" ht="96.3" customHeight="1" outlineLevel="7">
      <c r="B1886" s="59">
        <v>1440</v>
      </c>
      <c r="C1886" s="35" t="s">
        <v>6569</v>
      </c>
      <c r="D1886" s="73" t="s">
        <v>6570</v>
      </c>
      <c r="E1886" s="73"/>
      <c r="F1886" s="73"/>
      <c r="G1886" s="73"/>
      <c r="H1886" s="36" t="s">
        <v>6571</v>
      </c>
      <c r="I1886" s="56" t="s">
        <v>36</v>
      </c>
      <c r="J1886" s="36"/>
      <c r="K1886" s="34">
        <v>24</v>
      </c>
      <c r="L1886" s="41">
        <v>25.346666666666668</v>
      </c>
      <c r="M1886" s="11"/>
      <c r="N1886" s="36">
        <f t="shared" si="83"/>
        <v>0</v>
      </c>
      <c r="O1886" s="42">
        <f>0.017*M1886</f>
        <v>0</v>
      </c>
      <c r="P1886" s="43">
        <f>0.00005*M1886</f>
        <v>0</v>
      </c>
      <c r="Q1886" s="50" t="s">
        <v>37</v>
      </c>
      <c r="R1886" s="36" t="s">
        <v>6572</v>
      </c>
      <c r="S1886" s="36"/>
      <c r="T1886" s="35" t="str">
        <f>HYPERLINK("https://miland.ru/api/getInfo/image/7740b4c3-fb4f-11f0-a28e-00155d82e908")</f>
        <v>https://miland.ru/api/getInfo/image/7740b4c3-fb4f-11f0-a28e-00155d82e908</v>
      </c>
      <c r="U1886" s="35"/>
      <c r="V1886" s="35"/>
      <c r="W1886" s="35" t="s">
        <v>378</v>
      </c>
      <c r="X1886" s="35"/>
      <c r="Y1886" s="35" t="s">
        <v>41</v>
      </c>
      <c r="Z1886" s="35"/>
      <c r="AA1886" s="35" t="str">
        <f>HYPERLINK("https://miland.ru/api/getInfo/item/7740b4c3-fb4f-11f0-a28e-00155d82e908")</f>
        <v>https://miland.ru/api/getInfo/item/7740b4c3-fb4f-11f0-a28e-00155d82e908</v>
      </c>
      <c r="AB1886" s="35" t="s">
        <v>42</v>
      </c>
      <c r="AC1886" s="35"/>
      <c r="AD1886" s="35"/>
      <c r="AE1886" s="52" t="s">
        <v>1251</v>
      </c>
    </row>
    <row r="1887" spans="2:31" s="1" customFormat="1" ht="96.3" customHeight="1" outlineLevel="7">
      <c r="B1887" s="59">
        <v>1441</v>
      </c>
      <c r="C1887" s="35" t="s">
        <v>6573</v>
      </c>
      <c r="D1887" s="73" t="s">
        <v>6574</v>
      </c>
      <c r="E1887" s="73"/>
      <c r="F1887" s="73"/>
      <c r="G1887" s="73"/>
      <c r="H1887" s="36" t="s">
        <v>6575</v>
      </c>
      <c r="I1887" s="40">
        <v>300</v>
      </c>
      <c r="J1887" s="36"/>
      <c r="K1887" s="34">
        <v>24</v>
      </c>
      <c r="L1887" s="41">
        <v>25.346666666666668</v>
      </c>
      <c r="M1887" s="11"/>
      <c r="N1887" s="36">
        <f t="shared" si="83"/>
        <v>0</v>
      </c>
      <c r="O1887" s="42">
        <f>0.017*M1887</f>
        <v>0</v>
      </c>
      <c r="P1887" s="43">
        <f>0.00027*M1887</f>
        <v>0</v>
      </c>
      <c r="Q1887" s="50" t="s">
        <v>37</v>
      </c>
      <c r="R1887" s="36" t="s">
        <v>6576</v>
      </c>
      <c r="S1887" s="36"/>
      <c r="T1887" s="35" t="str">
        <f>HYPERLINK("https://miland.ru/api/getInfo/image/3107639b-fb50-11f0-a28e-00155d82e908")</f>
        <v>https://miland.ru/api/getInfo/image/3107639b-fb50-11f0-a28e-00155d82e908</v>
      </c>
      <c r="U1887" s="35"/>
      <c r="V1887" s="35"/>
      <c r="W1887" s="35" t="s">
        <v>378</v>
      </c>
      <c r="X1887" s="35"/>
      <c r="Y1887" s="35" t="s">
        <v>41</v>
      </c>
      <c r="Z1887" s="35"/>
      <c r="AA1887" s="35" t="str">
        <f>HYPERLINK("https://miland.ru/api/getInfo/item/3107639b-fb50-11f0-a28e-00155d82e908")</f>
        <v>https://miland.ru/api/getInfo/item/3107639b-fb50-11f0-a28e-00155d82e908</v>
      </c>
      <c r="AB1887" s="35" t="s">
        <v>42</v>
      </c>
      <c r="AC1887" s="35"/>
      <c r="AD1887" s="35"/>
      <c r="AE1887" s="52" t="s">
        <v>1251</v>
      </c>
    </row>
    <row r="1888" spans="2:31" s="1" customFormat="1" ht="96.3" customHeight="1" outlineLevel="7">
      <c r="B1888" s="59">
        <v>1442</v>
      </c>
      <c r="C1888" s="35" t="s">
        <v>6577</v>
      </c>
      <c r="D1888" s="73" t="s">
        <v>6578</v>
      </c>
      <c r="E1888" s="73"/>
      <c r="F1888" s="73"/>
      <c r="G1888" s="73"/>
      <c r="H1888" s="36" t="s">
        <v>6579</v>
      </c>
      <c r="I1888" s="56" t="s">
        <v>36</v>
      </c>
      <c r="J1888" s="36"/>
      <c r="K1888" s="34">
        <v>24</v>
      </c>
      <c r="L1888" s="41">
        <v>25.346666666666668</v>
      </c>
      <c r="M1888" s="11"/>
      <c r="N1888" s="36">
        <f t="shared" si="83"/>
        <v>0</v>
      </c>
      <c r="O1888" s="47">
        <f>0.02*M1888</f>
        <v>0</v>
      </c>
      <c r="P1888" s="43">
        <f>0.00032*M1888</f>
        <v>0</v>
      </c>
      <c r="Q1888" s="50" t="s">
        <v>37</v>
      </c>
      <c r="R1888" s="36" t="s">
        <v>6580</v>
      </c>
      <c r="S1888" s="36"/>
      <c r="T1888" s="35" t="str">
        <f>HYPERLINK("https://miland.ru/api/getInfo/image/994884d6-fb4f-11f0-a28e-00155d82e908")</f>
        <v>https://miland.ru/api/getInfo/image/994884d6-fb4f-11f0-a28e-00155d82e908</v>
      </c>
      <c r="U1888" s="35"/>
      <c r="V1888" s="35"/>
      <c r="W1888" s="35" t="s">
        <v>378</v>
      </c>
      <c r="X1888" s="35"/>
      <c r="Y1888" s="35" t="s">
        <v>41</v>
      </c>
      <c r="Z1888" s="35"/>
      <c r="AA1888" s="35" t="str">
        <f>HYPERLINK("https://miland.ru/api/getInfo/item/994884d6-fb4f-11f0-a28e-00155d82e908")</f>
        <v>https://miland.ru/api/getInfo/item/994884d6-fb4f-11f0-a28e-00155d82e908</v>
      </c>
      <c r="AB1888" s="35" t="s">
        <v>42</v>
      </c>
      <c r="AC1888" s="35"/>
      <c r="AD1888" s="35"/>
      <c r="AE1888" s="52" t="s">
        <v>1251</v>
      </c>
    </row>
    <row r="1889" spans="2:31" ht="12" customHeight="1" outlineLevel="6">
      <c r="B1889" s="70" t="s">
        <v>6581</v>
      </c>
      <c r="C1889" s="70"/>
      <c r="D1889" s="70"/>
      <c r="E1889" s="70"/>
      <c r="F1889" s="70"/>
      <c r="G1889" s="70"/>
    </row>
    <row r="1890" spans="2:31" s="1" customFormat="1" ht="96.3" customHeight="1" outlineLevel="7">
      <c r="B1890" s="59">
        <v>1443</v>
      </c>
      <c r="C1890" s="35" t="s">
        <v>6582</v>
      </c>
      <c r="D1890" s="73" t="s">
        <v>6583</v>
      </c>
      <c r="E1890" s="73"/>
      <c r="F1890" s="73"/>
      <c r="G1890" s="73"/>
      <c r="H1890" s="36" t="s">
        <v>6584</v>
      </c>
      <c r="I1890" s="56" t="s">
        <v>36</v>
      </c>
      <c r="J1890" s="36"/>
      <c r="K1890" s="34">
        <v>12</v>
      </c>
      <c r="L1890" s="41">
        <v>20.146666666666665</v>
      </c>
      <c r="M1890" s="11"/>
      <c r="N1890" s="36">
        <f t="shared" ref="N1890:N1915" si="84">L1890*M1890</f>
        <v>0</v>
      </c>
      <c r="O1890" s="42">
        <f>0.017*M1890</f>
        <v>0</v>
      </c>
      <c r="P1890" s="55">
        <f>0.0001*M1890</f>
        <v>0</v>
      </c>
      <c r="Q1890" s="50" t="s">
        <v>37</v>
      </c>
      <c r="R1890" s="36" t="s">
        <v>6585</v>
      </c>
      <c r="S1890" s="36"/>
      <c r="T1890" s="35" t="str">
        <f>HYPERLINK("https://miland.ru/api/getInfo/image/2a03f288-58ae-11f0-a27f-00155d82e908")</f>
        <v>https://miland.ru/api/getInfo/image/2a03f288-58ae-11f0-a27f-00155d82e908</v>
      </c>
      <c r="U1890" s="35"/>
      <c r="V1890" s="35"/>
      <c r="W1890" s="35" t="s">
        <v>378</v>
      </c>
      <c r="X1890" s="35"/>
      <c r="Y1890" s="35" t="s">
        <v>41</v>
      </c>
      <c r="Z1890" s="35"/>
      <c r="AA1890" s="35" t="str">
        <f>HYPERLINK("https://miland.ru/api/getInfo/item/2a03f288-58ae-11f0-a27f-00155d82e908")</f>
        <v>https://miland.ru/api/getInfo/item/2a03f288-58ae-11f0-a27f-00155d82e908</v>
      </c>
      <c r="AB1890" s="35" t="s">
        <v>42</v>
      </c>
      <c r="AC1890" s="35"/>
      <c r="AD1890" s="35"/>
      <c r="AE1890" s="52" t="s">
        <v>1251</v>
      </c>
    </row>
    <row r="1891" spans="2:31" s="1" customFormat="1" ht="96.3" customHeight="1" outlineLevel="7">
      <c r="B1891" s="59">
        <v>1444</v>
      </c>
      <c r="C1891" s="35" t="s">
        <v>6586</v>
      </c>
      <c r="D1891" s="73" t="s">
        <v>6587</v>
      </c>
      <c r="E1891" s="73"/>
      <c r="F1891" s="73"/>
      <c r="G1891" s="73"/>
      <c r="H1891" s="36" t="s">
        <v>6588</v>
      </c>
      <c r="I1891" s="56" t="s">
        <v>36</v>
      </c>
      <c r="J1891" s="36"/>
      <c r="K1891" s="34">
        <v>12</v>
      </c>
      <c r="L1891" s="41">
        <v>20.146666666666665</v>
      </c>
      <c r="M1891" s="11"/>
      <c r="N1891" s="36">
        <f t="shared" si="84"/>
        <v>0</v>
      </c>
      <c r="O1891" s="42">
        <f>0.017*M1891</f>
        <v>0</v>
      </c>
      <c r="P1891" s="55">
        <f>0.0001*M1891</f>
        <v>0</v>
      </c>
      <c r="Q1891" s="50" t="s">
        <v>37</v>
      </c>
      <c r="R1891" s="36" t="s">
        <v>6589</v>
      </c>
      <c r="S1891" s="36"/>
      <c r="T1891" s="35" t="str">
        <f>HYPERLINK("https://miland.ru/api/getInfo/image/5acdd0d6-58b1-11f0-a27f-00155d82e908")</f>
        <v>https://miland.ru/api/getInfo/image/5acdd0d6-58b1-11f0-a27f-00155d82e908</v>
      </c>
      <c r="U1891" s="35"/>
      <c r="V1891" s="35"/>
      <c r="W1891" s="35" t="s">
        <v>378</v>
      </c>
      <c r="X1891" s="35"/>
      <c r="Y1891" s="35" t="s">
        <v>41</v>
      </c>
      <c r="Z1891" s="35"/>
      <c r="AA1891" s="35" t="str">
        <f>HYPERLINK("https://miland.ru/api/getInfo/item/5acdd0d6-58b1-11f0-a27f-00155d82e908")</f>
        <v>https://miland.ru/api/getInfo/item/5acdd0d6-58b1-11f0-a27f-00155d82e908</v>
      </c>
      <c r="AB1891" s="35" t="s">
        <v>42</v>
      </c>
      <c r="AC1891" s="35"/>
      <c r="AD1891" s="35"/>
      <c r="AE1891" s="52" t="s">
        <v>1251</v>
      </c>
    </row>
    <row r="1892" spans="2:31" s="1" customFormat="1" ht="96.3" customHeight="1" outlineLevel="7">
      <c r="B1892" s="59">
        <v>1445</v>
      </c>
      <c r="C1892" s="35" t="s">
        <v>6590</v>
      </c>
      <c r="D1892" s="73" t="s">
        <v>6591</v>
      </c>
      <c r="E1892" s="73"/>
      <c r="F1892" s="73"/>
      <c r="G1892" s="73"/>
      <c r="H1892" s="36" t="s">
        <v>6592</v>
      </c>
      <c r="I1892" s="56" t="s">
        <v>36</v>
      </c>
      <c r="J1892" s="36"/>
      <c r="K1892" s="34">
        <v>12</v>
      </c>
      <c r="L1892" s="41">
        <v>20.146666666666665</v>
      </c>
      <c r="M1892" s="11"/>
      <c r="N1892" s="36">
        <f t="shared" si="84"/>
        <v>0</v>
      </c>
      <c r="O1892" s="42">
        <f>0.017*M1892</f>
        <v>0</v>
      </c>
      <c r="P1892" s="43">
        <f>0.00005*M1892</f>
        <v>0</v>
      </c>
      <c r="Q1892" s="50" t="s">
        <v>37</v>
      </c>
      <c r="R1892" s="36" t="s">
        <v>6593</v>
      </c>
      <c r="S1892" s="36"/>
      <c r="T1892" s="35" t="str">
        <f>HYPERLINK("https://miland.ru/api/getInfo/image/b5b96907-58b1-11f0-a27f-00155d82e908")</f>
        <v>https://miland.ru/api/getInfo/image/b5b96907-58b1-11f0-a27f-00155d82e908</v>
      </c>
      <c r="U1892" s="35"/>
      <c r="V1892" s="35"/>
      <c r="W1892" s="35" t="s">
        <v>378</v>
      </c>
      <c r="X1892" s="35"/>
      <c r="Y1892" s="35" t="s">
        <v>41</v>
      </c>
      <c r="Z1892" s="35"/>
      <c r="AA1892" s="35" t="str">
        <f>HYPERLINK("https://miland.ru/api/getInfo/item/b5b96907-58b1-11f0-a27f-00155d82e908")</f>
        <v>https://miland.ru/api/getInfo/item/b5b96907-58b1-11f0-a27f-00155d82e908</v>
      </c>
      <c r="AB1892" s="35" t="s">
        <v>42</v>
      </c>
      <c r="AC1892" s="35"/>
      <c r="AD1892" s="35"/>
      <c r="AE1892" s="52" t="s">
        <v>1251</v>
      </c>
    </row>
    <row r="1893" spans="2:31" s="1" customFormat="1" ht="96.3" customHeight="1" outlineLevel="7">
      <c r="B1893" s="59">
        <v>1446</v>
      </c>
      <c r="C1893" s="35" t="s">
        <v>6594</v>
      </c>
      <c r="D1893" s="73" t="s">
        <v>6595</v>
      </c>
      <c r="E1893" s="73"/>
      <c r="F1893" s="73"/>
      <c r="G1893" s="73"/>
      <c r="H1893" s="36" t="s">
        <v>6596</v>
      </c>
      <c r="I1893" s="40">
        <v>192</v>
      </c>
      <c r="J1893" s="36"/>
      <c r="K1893" s="34">
        <v>24</v>
      </c>
      <c r="L1893" s="41">
        <v>28.48</v>
      </c>
      <c r="M1893" s="11"/>
      <c r="N1893" s="36">
        <f t="shared" si="84"/>
        <v>0</v>
      </c>
      <c r="O1893" s="42">
        <f>0.003*M1893</f>
        <v>0</v>
      </c>
      <c r="P1893" s="43">
        <f>0.00033*M1893</f>
        <v>0</v>
      </c>
      <c r="Q1893" s="50"/>
      <c r="R1893" s="36" t="s">
        <v>6597</v>
      </c>
      <c r="S1893" s="36"/>
      <c r="T1893" s="35" t="str">
        <f>HYPERLINK("https://miland.ru/api/getInfo/image/ecb240af-2ef6-11f0-a27c-00155d82e908")</f>
        <v>https://miland.ru/api/getInfo/image/ecb240af-2ef6-11f0-a27c-00155d82e908</v>
      </c>
      <c r="U1893" s="35"/>
      <c r="V1893" s="35"/>
      <c r="W1893" s="35" t="s">
        <v>378</v>
      </c>
      <c r="X1893" s="35"/>
      <c r="Y1893" s="35"/>
      <c r="Z1893" s="35"/>
      <c r="AA1893" s="35" t="str">
        <f>HYPERLINK("https://miland.ru/api/getInfo/item/ecb240af-2ef6-11f0-a27c-00155d82e908")</f>
        <v>https://miland.ru/api/getInfo/item/ecb240af-2ef6-11f0-a27c-00155d82e908</v>
      </c>
      <c r="AB1893" s="35" t="s">
        <v>42</v>
      </c>
      <c r="AC1893" s="35"/>
      <c r="AD1893" s="35"/>
      <c r="AE1893" s="52" t="s">
        <v>1251</v>
      </c>
    </row>
    <row r="1894" spans="2:31" s="1" customFormat="1" ht="96.3" customHeight="1" outlineLevel="7">
      <c r="B1894" s="59">
        <v>1447</v>
      </c>
      <c r="C1894" s="35" t="s">
        <v>6598</v>
      </c>
      <c r="D1894" s="73" t="s">
        <v>6599</v>
      </c>
      <c r="E1894" s="73"/>
      <c r="F1894" s="73"/>
      <c r="G1894" s="73"/>
      <c r="H1894" s="36" t="s">
        <v>6600</v>
      </c>
      <c r="I1894" s="40">
        <v>120</v>
      </c>
      <c r="J1894" s="36"/>
      <c r="K1894" s="34">
        <v>24</v>
      </c>
      <c r="L1894" s="41">
        <v>28.48</v>
      </c>
      <c r="M1894" s="11"/>
      <c r="N1894" s="36">
        <f t="shared" si="84"/>
        <v>0</v>
      </c>
      <c r="O1894" s="42">
        <f>0.003*M1894</f>
        <v>0</v>
      </c>
      <c r="P1894" s="43">
        <f>0.00033*M1894</f>
        <v>0</v>
      </c>
      <c r="Q1894" s="50"/>
      <c r="R1894" s="36" t="s">
        <v>6601</v>
      </c>
      <c r="S1894" s="36"/>
      <c r="T1894" s="35" t="str">
        <f>HYPERLINK("https://miland.ru/api/getInfo/image/77012aa7-2ef7-11f0-a27c-00155d82e908")</f>
        <v>https://miland.ru/api/getInfo/image/77012aa7-2ef7-11f0-a27c-00155d82e908</v>
      </c>
      <c r="U1894" s="35"/>
      <c r="V1894" s="35"/>
      <c r="W1894" s="35" t="s">
        <v>378</v>
      </c>
      <c r="X1894" s="35"/>
      <c r="Y1894" s="35"/>
      <c r="Z1894" s="35"/>
      <c r="AA1894" s="35" t="str">
        <f>HYPERLINK("https://miland.ru/api/getInfo/item/77012aa7-2ef7-11f0-a27c-00155d82e908")</f>
        <v>https://miland.ru/api/getInfo/item/77012aa7-2ef7-11f0-a27c-00155d82e908</v>
      </c>
      <c r="AB1894" s="35" t="s">
        <v>42</v>
      </c>
      <c r="AC1894" s="35"/>
      <c r="AD1894" s="35"/>
      <c r="AE1894" s="52" t="s">
        <v>1251</v>
      </c>
    </row>
    <row r="1895" spans="2:31" s="1" customFormat="1" ht="96.3" customHeight="1" outlineLevel="7">
      <c r="B1895" s="58">
        <v>1448</v>
      </c>
      <c r="C1895" s="7" t="s">
        <v>6602</v>
      </c>
      <c r="D1895" s="71" t="s">
        <v>6603</v>
      </c>
      <c r="E1895" s="71"/>
      <c r="F1895" s="71"/>
      <c r="G1895" s="71"/>
      <c r="H1895" s="8" t="s">
        <v>6604</v>
      </c>
      <c r="I1895" s="14">
        <v>30</v>
      </c>
      <c r="J1895" s="8"/>
      <c r="K1895" s="6">
        <v>30</v>
      </c>
      <c r="L1895" s="10">
        <v>33.36</v>
      </c>
      <c r="M1895" s="11"/>
      <c r="N1895" s="8">
        <f t="shared" si="84"/>
        <v>0</v>
      </c>
      <c r="O1895" s="12">
        <f>0.005*M1895</f>
        <v>0</v>
      </c>
      <c r="P1895" s="13">
        <f>0.00003*M1895</f>
        <v>0</v>
      </c>
      <c r="Q1895" s="17" t="s">
        <v>37</v>
      </c>
      <c r="R1895" s="8"/>
      <c r="S1895" s="8" t="s">
        <v>435</v>
      </c>
      <c r="T1895" s="7" t="str">
        <f>HYPERLINK("https://miland.ru/api/getInfo/image/7f3992a5-da79-11f0-a28c-00155d82e908")</f>
        <v>https://miland.ru/api/getInfo/image/7f3992a5-da79-11f0-a28c-00155d82e908</v>
      </c>
      <c r="U1895" s="7"/>
      <c r="V1895" s="7"/>
      <c r="W1895" s="7"/>
      <c r="X1895" s="7"/>
      <c r="Y1895" s="7"/>
      <c r="Z1895" s="7"/>
      <c r="AA1895" s="7" t="str">
        <f>HYPERLINK("https://miland.ru/api/getInfo/item/7f3992a5-da79-11f0-a28c-00155d82e908")</f>
        <v>https://miland.ru/api/getInfo/item/7f3992a5-da79-11f0-a28c-00155d82e908</v>
      </c>
      <c r="AB1895" s="7" t="s">
        <v>42</v>
      </c>
      <c r="AC1895" s="7"/>
      <c r="AD1895" s="7"/>
      <c r="AE1895" s="54"/>
    </row>
    <row r="1896" spans="2:31" s="1" customFormat="1" ht="96.3" customHeight="1" outlineLevel="7">
      <c r="B1896" s="58">
        <v>1449</v>
      </c>
      <c r="C1896" s="7" t="s">
        <v>6605</v>
      </c>
      <c r="D1896" s="71" t="s">
        <v>6606</v>
      </c>
      <c r="E1896" s="71"/>
      <c r="F1896" s="71"/>
      <c r="G1896" s="71"/>
      <c r="H1896" s="8" t="s">
        <v>6607</v>
      </c>
      <c r="I1896" s="14">
        <v>90</v>
      </c>
      <c r="J1896" s="8"/>
      <c r="K1896" s="6">
        <v>30</v>
      </c>
      <c r="L1896" s="10">
        <v>33.36</v>
      </c>
      <c r="M1896" s="11"/>
      <c r="N1896" s="8">
        <f t="shared" si="84"/>
        <v>0</v>
      </c>
      <c r="O1896" s="12">
        <f>0.001*M1896</f>
        <v>0</v>
      </c>
      <c r="P1896" s="13">
        <f>0.00002*M1896</f>
        <v>0</v>
      </c>
      <c r="Q1896" s="17" t="s">
        <v>37</v>
      </c>
      <c r="R1896" s="8"/>
      <c r="S1896" s="8" t="s">
        <v>435</v>
      </c>
      <c r="T1896" s="7" t="str">
        <f>HYPERLINK("https://miland.ru/api/getInfo/image/2ccfb3ad-da75-11f0-a28c-00155d82e908")</f>
        <v>https://miland.ru/api/getInfo/image/2ccfb3ad-da75-11f0-a28c-00155d82e908</v>
      </c>
      <c r="U1896" s="7"/>
      <c r="V1896" s="7"/>
      <c r="W1896" s="7"/>
      <c r="X1896" s="7"/>
      <c r="Y1896" s="7"/>
      <c r="Z1896" s="7"/>
      <c r="AA1896" s="7" t="str">
        <f>HYPERLINK("https://miland.ru/api/getInfo/item/2ccfb3ad-da75-11f0-a28c-00155d82e908")</f>
        <v>https://miland.ru/api/getInfo/item/2ccfb3ad-da75-11f0-a28c-00155d82e908</v>
      </c>
      <c r="AB1896" s="7" t="s">
        <v>42</v>
      </c>
      <c r="AC1896" s="7"/>
      <c r="AD1896" s="7"/>
      <c r="AE1896" s="54"/>
    </row>
    <row r="1897" spans="2:31" s="1" customFormat="1" ht="96.3" customHeight="1" outlineLevel="7">
      <c r="B1897" s="57">
        <v>1450</v>
      </c>
      <c r="C1897" s="21" t="s">
        <v>6608</v>
      </c>
      <c r="D1897" s="72" t="s">
        <v>6609</v>
      </c>
      <c r="E1897" s="72"/>
      <c r="F1897" s="72"/>
      <c r="G1897" s="72"/>
      <c r="H1897" s="22" t="s">
        <v>6610</v>
      </c>
      <c r="I1897" s="23" t="s">
        <v>36</v>
      </c>
      <c r="J1897" s="22"/>
      <c r="K1897" s="20">
        <v>12</v>
      </c>
      <c r="L1897" s="24">
        <v>33.36</v>
      </c>
      <c r="M1897" s="11"/>
      <c r="N1897" s="22">
        <f t="shared" si="84"/>
        <v>0</v>
      </c>
      <c r="O1897" s="25">
        <f>0.022*M1897</f>
        <v>0</v>
      </c>
      <c r="P1897" s="26">
        <f>0.00026*M1897</f>
        <v>0</v>
      </c>
      <c r="Q1897" s="30"/>
      <c r="R1897" s="22" t="s">
        <v>6611</v>
      </c>
      <c r="S1897" s="22" t="s">
        <v>435</v>
      </c>
      <c r="T1897" s="21" t="str">
        <f>HYPERLINK("https://miland.ru/api/getInfo/image/e47df860-a323-11ef-a267-00155d82e908")</f>
        <v>https://miland.ru/api/getInfo/image/e47df860-a323-11ef-a267-00155d82e908</v>
      </c>
      <c r="U1897" s="21"/>
      <c r="V1897" s="21" t="s">
        <v>6525</v>
      </c>
      <c r="W1897" s="21" t="s">
        <v>378</v>
      </c>
      <c r="X1897" s="21"/>
      <c r="Y1897" s="21" t="s">
        <v>41</v>
      </c>
      <c r="Z1897" s="21"/>
      <c r="AA1897" s="21" t="str">
        <f>HYPERLINK("https://miland.ru/api/getInfo/item/e47df860-a323-11ef-a267-00155d82e908")</f>
        <v>https://miland.ru/api/getInfo/item/e47df860-a323-11ef-a267-00155d82e908</v>
      </c>
      <c r="AB1897" s="21" t="s">
        <v>42</v>
      </c>
      <c r="AC1897" s="21" t="s">
        <v>6612</v>
      </c>
      <c r="AD1897" s="21"/>
    </row>
    <row r="1898" spans="2:31" s="1" customFormat="1" ht="96.3" customHeight="1" outlineLevel="7">
      <c r="B1898" s="58">
        <v>1451</v>
      </c>
      <c r="C1898" s="7" t="s">
        <v>6613</v>
      </c>
      <c r="D1898" s="71" t="s">
        <v>6614</v>
      </c>
      <c r="E1898" s="71"/>
      <c r="F1898" s="71"/>
      <c r="G1898" s="71"/>
      <c r="H1898" s="8" t="s">
        <v>6615</v>
      </c>
      <c r="I1898" s="9" t="s">
        <v>36</v>
      </c>
      <c r="J1898" s="8"/>
      <c r="K1898" s="6">
        <v>24</v>
      </c>
      <c r="L1898" s="10">
        <v>28.7</v>
      </c>
      <c r="M1898" s="11"/>
      <c r="N1898" s="8">
        <f t="shared" si="84"/>
        <v>0</v>
      </c>
      <c r="O1898" s="12">
        <f>0.018*M1898</f>
        <v>0</v>
      </c>
      <c r="P1898" s="16">
        <f>0.0002*M1898</f>
        <v>0</v>
      </c>
      <c r="Q1898" s="17" t="s">
        <v>37</v>
      </c>
      <c r="R1898" s="8" t="s">
        <v>6616</v>
      </c>
      <c r="S1898" s="8"/>
      <c r="T1898" s="7" t="str">
        <f>HYPERLINK("https://miland.ru/api/getInfo/image/6ce3fdf5-fb4e-11f0-a28e-00155d82e908")</f>
        <v>https://miland.ru/api/getInfo/image/6ce3fdf5-fb4e-11f0-a28e-00155d82e908</v>
      </c>
      <c r="U1898" s="7"/>
      <c r="V1898" s="7"/>
      <c r="W1898" s="7" t="s">
        <v>378</v>
      </c>
      <c r="X1898" s="7"/>
      <c r="Y1898" s="7" t="s">
        <v>41</v>
      </c>
      <c r="Z1898" s="7"/>
      <c r="AA1898" s="7" t="str">
        <f>HYPERLINK("https://miland.ru/api/getInfo/item/6ce3fdf5-fb4e-11f0-a28e-00155d82e908")</f>
        <v>https://miland.ru/api/getInfo/item/6ce3fdf5-fb4e-11f0-a28e-00155d82e908</v>
      </c>
      <c r="AB1898" s="7" t="s">
        <v>42</v>
      </c>
      <c r="AC1898" s="7"/>
      <c r="AD1898" s="7"/>
      <c r="AE1898" s="54"/>
    </row>
    <row r="1899" spans="2:31" s="1" customFormat="1" ht="96.3" customHeight="1" outlineLevel="7">
      <c r="B1899" s="58">
        <v>1452</v>
      </c>
      <c r="C1899" s="7" t="s">
        <v>6617</v>
      </c>
      <c r="D1899" s="71" t="s">
        <v>6618</v>
      </c>
      <c r="E1899" s="71"/>
      <c r="F1899" s="71"/>
      <c r="G1899" s="71"/>
      <c r="H1899" s="8" t="s">
        <v>6619</v>
      </c>
      <c r="I1899" s="9" t="s">
        <v>36</v>
      </c>
      <c r="J1899" s="8"/>
      <c r="K1899" s="6">
        <v>24</v>
      </c>
      <c r="L1899" s="10">
        <v>28.7</v>
      </c>
      <c r="M1899" s="11"/>
      <c r="N1899" s="8">
        <f t="shared" si="84"/>
        <v>0</v>
      </c>
      <c r="O1899" s="18">
        <f>0.02*M1899</f>
        <v>0</v>
      </c>
      <c r="P1899" s="13">
        <f>0.00023*M1899</f>
        <v>0</v>
      </c>
      <c r="Q1899" s="17" t="s">
        <v>37</v>
      </c>
      <c r="R1899" s="8" t="s">
        <v>6620</v>
      </c>
      <c r="S1899" s="8"/>
      <c r="T1899" s="7" t="str">
        <f>HYPERLINK("https://miland.ru/api/getInfo/image/97ff5669-fb4e-11f0-a28e-00155d82e908")</f>
        <v>https://miland.ru/api/getInfo/image/97ff5669-fb4e-11f0-a28e-00155d82e908</v>
      </c>
      <c r="U1899" s="7"/>
      <c r="V1899" s="7"/>
      <c r="W1899" s="7" t="s">
        <v>378</v>
      </c>
      <c r="X1899" s="7"/>
      <c r="Y1899" s="7" t="s">
        <v>41</v>
      </c>
      <c r="Z1899" s="7"/>
      <c r="AA1899" s="7" t="str">
        <f>HYPERLINK("https://miland.ru/api/getInfo/item/97ff5669-fb4e-11f0-a28e-00155d82e908")</f>
        <v>https://miland.ru/api/getInfo/item/97ff5669-fb4e-11f0-a28e-00155d82e908</v>
      </c>
      <c r="AB1899" s="7" t="s">
        <v>42</v>
      </c>
      <c r="AC1899" s="7"/>
      <c r="AD1899" s="7"/>
      <c r="AE1899" s="54"/>
    </row>
    <row r="1900" spans="2:31" s="1" customFormat="1" ht="96.3" customHeight="1" outlineLevel="7">
      <c r="B1900" s="58">
        <v>1453</v>
      </c>
      <c r="C1900" s="7" t="s">
        <v>6621</v>
      </c>
      <c r="D1900" s="71" t="s">
        <v>6622</v>
      </c>
      <c r="E1900" s="71"/>
      <c r="F1900" s="71"/>
      <c r="G1900" s="71"/>
      <c r="H1900" s="8" t="s">
        <v>6623</v>
      </c>
      <c r="I1900" s="9" t="s">
        <v>36</v>
      </c>
      <c r="J1900" s="8"/>
      <c r="K1900" s="6">
        <v>24</v>
      </c>
      <c r="L1900" s="10">
        <v>28.7</v>
      </c>
      <c r="M1900" s="11"/>
      <c r="N1900" s="8">
        <f t="shared" si="84"/>
        <v>0</v>
      </c>
      <c r="O1900" s="12">
        <f>0.018*M1900</f>
        <v>0</v>
      </c>
      <c r="P1900" s="13">
        <f>0.00021*M1900</f>
        <v>0</v>
      </c>
      <c r="Q1900" s="17" t="s">
        <v>37</v>
      </c>
      <c r="R1900" s="8" t="s">
        <v>6624</v>
      </c>
      <c r="S1900" s="8"/>
      <c r="T1900" s="7" t="str">
        <f>HYPERLINK("https://miland.ru/api/getInfo/image/fbcdfc30-fb4b-11f0-a28e-00155d82e908")</f>
        <v>https://miland.ru/api/getInfo/image/fbcdfc30-fb4b-11f0-a28e-00155d82e908</v>
      </c>
      <c r="U1900" s="7"/>
      <c r="V1900" s="7"/>
      <c r="W1900" s="7" t="s">
        <v>378</v>
      </c>
      <c r="X1900" s="7"/>
      <c r="Y1900" s="7" t="s">
        <v>41</v>
      </c>
      <c r="Z1900" s="7"/>
      <c r="AA1900" s="7" t="str">
        <f>HYPERLINK("https://miland.ru/api/getInfo/item/fbcdfc30-fb4b-11f0-a28e-00155d82e908")</f>
        <v>https://miland.ru/api/getInfo/item/fbcdfc30-fb4b-11f0-a28e-00155d82e908</v>
      </c>
      <c r="AB1900" s="7" t="s">
        <v>42</v>
      </c>
      <c r="AC1900" s="7"/>
      <c r="AD1900" s="7"/>
      <c r="AE1900" s="54"/>
    </row>
    <row r="1901" spans="2:31" s="1" customFormat="1" ht="96.3" customHeight="1" outlineLevel="7">
      <c r="B1901" s="58">
        <v>1454</v>
      </c>
      <c r="C1901" s="7" t="s">
        <v>6625</v>
      </c>
      <c r="D1901" s="71" t="s">
        <v>6626</v>
      </c>
      <c r="E1901" s="71"/>
      <c r="F1901" s="71"/>
      <c r="G1901" s="71"/>
      <c r="H1901" s="8" t="s">
        <v>6627</v>
      </c>
      <c r="I1901" s="9" t="s">
        <v>36</v>
      </c>
      <c r="J1901" s="8"/>
      <c r="K1901" s="6">
        <v>24</v>
      </c>
      <c r="L1901" s="10">
        <v>28.7</v>
      </c>
      <c r="M1901" s="11"/>
      <c r="N1901" s="8">
        <f t="shared" si="84"/>
        <v>0</v>
      </c>
      <c r="O1901" s="12">
        <f>0.017*M1901</f>
        <v>0</v>
      </c>
      <c r="P1901" s="13">
        <f>0.00032*M1901</f>
        <v>0</v>
      </c>
      <c r="Q1901" s="17" t="s">
        <v>37</v>
      </c>
      <c r="R1901" s="8" t="s">
        <v>6628</v>
      </c>
      <c r="S1901" s="8"/>
      <c r="T1901" s="7" t="str">
        <f>HYPERLINK("https://miland.ru/api/getInfo/image/bef0c3e5-fb4e-11f0-a28e-00155d82e908")</f>
        <v>https://miland.ru/api/getInfo/image/bef0c3e5-fb4e-11f0-a28e-00155d82e908</v>
      </c>
      <c r="U1901" s="7"/>
      <c r="V1901" s="7"/>
      <c r="W1901" s="7" t="s">
        <v>378</v>
      </c>
      <c r="X1901" s="7"/>
      <c r="Y1901" s="7" t="s">
        <v>41</v>
      </c>
      <c r="Z1901" s="7"/>
      <c r="AA1901" s="7" t="str">
        <f>HYPERLINK("https://miland.ru/api/getInfo/item/bef0c3e5-fb4e-11f0-a28e-00155d82e908")</f>
        <v>https://miland.ru/api/getInfo/item/bef0c3e5-fb4e-11f0-a28e-00155d82e908</v>
      </c>
      <c r="AB1901" s="7" t="s">
        <v>42</v>
      </c>
      <c r="AC1901" s="7"/>
      <c r="AD1901" s="7"/>
      <c r="AE1901" s="54"/>
    </row>
    <row r="1902" spans="2:31" s="1" customFormat="1" ht="96.3" customHeight="1" outlineLevel="7">
      <c r="B1902" s="58">
        <v>1455</v>
      </c>
      <c r="C1902" s="7" t="s">
        <v>6629</v>
      </c>
      <c r="D1902" s="71" t="s">
        <v>6630</v>
      </c>
      <c r="E1902" s="71"/>
      <c r="F1902" s="71"/>
      <c r="G1902" s="71"/>
      <c r="H1902" s="8" t="s">
        <v>6604</v>
      </c>
      <c r="I1902" s="9" t="s">
        <v>36</v>
      </c>
      <c r="J1902" s="8"/>
      <c r="K1902" s="6">
        <v>36</v>
      </c>
      <c r="L1902" s="10">
        <v>20.82</v>
      </c>
      <c r="M1902" s="11"/>
      <c r="N1902" s="8">
        <f t="shared" si="84"/>
        <v>0</v>
      </c>
      <c r="O1902" s="12">
        <f>0.002*M1902</f>
        <v>0</v>
      </c>
      <c r="P1902" s="16">
        <f>0.0001*M1902</f>
        <v>0</v>
      </c>
      <c r="Q1902" s="17" t="s">
        <v>37</v>
      </c>
      <c r="R1902" s="8" t="s">
        <v>6631</v>
      </c>
      <c r="S1902" s="8"/>
      <c r="T1902" s="7"/>
      <c r="U1902" s="7"/>
      <c r="V1902" s="7"/>
      <c r="W1902" s="7" t="s">
        <v>378</v>
      </c>
      <c r="X1902" s="7"/>
      <c r="Y1902" s="7"/>
      <c r="Z1902" s="7"/>
      <c r="AA1902" s="7"/>
      <c r="AB1902" s="7" t="s">
        <v>42</v>
      </c>
      <c r="AC1902" s="7"/>
      <c r="AD1902" s="7"/>
      <c r="AE1902" s="54"/>
    </row>
    <row r="1903" spans="2:31" s="1" customFormat="1" ht="96.3" customHeight="1" outlineLevel="7">
      <c r="B1903" s="57">
        <v>1456</v>
      </c>
      <c r="C1903" s="21" t="s">
        <v>6632</v>
      </c>
      <c r="D1903" s="72" t="s">
        <v>6633</v>
      </c>
      <c r="E1903" s="72"/>
      <c r="F1903" s="72"/>
      <c r="G1903" s="72"/>
      <c r="H1903" s="22" t="s">
        <v>6634</v>
      </c>
      <c r="I1903" s="23" t="s">
        <v>36</v>
      </c>
      <c r="J1903" s="22"/>
      <c r="K1903" s="20">
        <v>36</v>
      </c>
      <c r="L1903" s="24">
        <v>20.82</v>
      </c>
      <c r="M1903" s="11"/>
      <c r="N1903" s="22">
        <f t="shared" si="84"/>
        <v>0</v>
      </c>
      <c r="O1903" s="25">
        <f>0.002*M1903</f>
        <v>0</v>
      </c>
      <c r="P1903" s="29">
        <f>0.0001*M1903</f>
        <v>0</v>
      </c>
      <c r="Q1903" s="30"/>
      <c r="R1903" s="22" t="s">
        <v>6635</v>
      </c>
      <c r="S1903" s="22"/>
      <c r="T1903" s="21"/>
      <c r="U1903" s="21"/>
      <c r="V1903" s="21"/>
      <c r="W1903" s="21" t="s">
        <v>378</v>
      </c>
      <c r="X1903" s="21"/>
      <c r="Y1903" s="21"/>
      <c r="Z1903" s="21"/>
      <c r="AA1903" s="21"/>
      <c r="AB1903" s="21" t="s">
        <v>42</v>
      </c>
      <c r="AC1903" s="21"/>
      <c r="AD1903" s="21"/>
    </row>
    <row r="1904" spans="2:31" s="1" customFormat="1" ht="96.3" customHeight="1" outlineLevel="7">
      <c r="B1904" s="57">
        <v>1457</v>
      </c>
      <c r="C1904" s="21" t="s">
        <v>6636</v>
      </c>
      <c r="D1904" s="72" t="s">
        <v>6637</v>
      </c>
      <c r="E1904" s="72"/>
      <c r="F1904" s="72"/>
      <c r="G1904" s="72"/>
      <c r="H1904" s="22" t="s">
        <v>6638</v>
      </c>
      <c r="I1904" s="23" t="s">
        <v>36</v>
      </c>
      <c r="J1904" s="22"/>
      <c r="K1904" s="20">
        <v>36</v>
      </c>
      <c r="L1904" s="24">
        <v>20.82</v>
      </c>
      <c r="M1904" s="11"/>
      <c r="N1904" s="22">
        <f t="shared" si="84"/>
        <v>0</v>
      </c>
      <c r="O1904" s="25">
        <f>0.002*M1904</f>
        <v>0</v>
      </c>
      <c r="P1904" s="29">
        <f>0.0001*M1904</f>
        <v>0</v>
      </c>
      <c r="Q1904" s="30"/>
      <c r="R1904" s="22" t="s">
        <v>6639</v>
      </c>
      <c r="S1904" s="22"/>
      <c r="T1904" s="21" t="str">
        <f>HYPERLINK("https://miland.ru/api/getInfo/image/7043ec30-2eef-11f0-a27c-00155d82e908")</f>
        <v>https://miland.ru/api/getInfo/image/7043ec30-2eef-11f0-a27c-00155d82e908</v>
      </c>
      <c r="U1904" s="21"/>
      <c r="V1904" s="21"/>
      <c r="W1904" s="21" t="s">
        <v>378</v>
      </c>
      <c r="X1904" s="21"/>
      <c r="Y1904" s="21"/>
      <c r="Z1904" s="21"/>
      <c r="AA1904" s="21" t="str">
        <f>HYPERLINK("https://miland.ru/api/getInfo/item/7043ec30-2eef-11f0-a27c-00155d82e908")</f>
        <v>https://miland.ru/api/getInfo/item/7043ec30-2eef-11f0-a27c-00155d82e908</v>
      </c>
      <c r="AB1904" s="21" t="s">
        <v>42</v>
      </c>
      <c r="AC1904" s="21"/>
      <c r="AD1904" s="21"/>
    </row>
    <row r="1905" spans="2:30" s="1" customFormat="1" ht="96.3" customHeight="1" outlineLevel="7">
      <c r="B1905" s="57">
        <v>1458</v>
      </c>
      <c r="C1905" s="21" t="s">
        <v>6640</v>
      </c>
      <c r="D1905" s="72" t="s">
        <v>6641</v>
      </c>
      <c r="E1905" s="72"/>
      <c r="F1905" s="72"/>
      <c r="G1905" s="72"/>
      <c r="H1905" s="22" t="s">
        <v>6642</v>
      </c>
      <c r="I1905" s="23" t="s">
        <v>36</v>
      </c>
      <c r="J1905" s="22"/>
      <c r="K1905" s="20">
        <v>36</v>
      </c>
      <c r="L1905" s="24">
        <v>20.82</v>
      </c>
      <c r="M1905" s="11"/>
      <c r="N1905" s="22">
        <f t="shared" si="84"/>
        <v>0</v>
      </c>
      <c r="O1905" s="25">
        <f>0.014*M1905</f>
        <v>0</v>
      </c>
      <c r="P1905" s="26">
        <f>0.00005*M1905</f>
        <v>0</v>
      </c>
      <c r="Q1905" s="30"/>
      <c r="R1905" s="22" t="s">
        <v>6643</v>
      </c>
      <c r="S1905" s="22"/>
      <c r="T1905" s="21" t="str">
        <f>HYPERLINK("https://miland.ru/api/getInfo/image/f9fe523b-2eef-11f0-a27c-00155d82e908")</f>
        <v>https://miland.ru/api/getInfo/image/f9fe523b-2eef-11f0-a27c-00155d82e908</v>
      </c>
      <c r="U1905" s="21"/>
      <c r="V1905" s="21"/>
      <c r="W1905" s="21" t="s">
        <v>378</v>
      </c>
      <c r="X1905" s="21"/>
      <c r="Y1905" s="21"/>
      <c r="Z1905" s="21"/>
      <c r="AA1905" s="21" t="str">
        <f>HYPERLINK("https://miland.ru/api/getInfo/item/f9fe523b-2eef-11f0-a27c-00155d82e908")</f>
        <v>https://miland.ru/api/getInfo/item/f9fe523b-2eef-11f0-a27c-00155d82e908</v>
      </c>
      <c r="AB1905" s="21" t="s">
        <v>42</v>
      </c>
      <c r="AC1905" s="21"/>
      <c r="AD1905" s="21"/>
    </row>
    <row r="1906" spans="2:30" s="1" customFormat="1" ht="96.3" customHeight="1" outlineLevel="7">
      <c r="B1906" s="57">
        <v>1459</v>
      </c>
      <c r="C1906" s="21" t="s">
        <v>6644</v>
      </c>
      <c r="D1906" s="72" t="s">
        <v>6645</v>
      </c>
      <c r="E1906" s="72"/>
      <c r="F1906" s="72"/>
      <c r="G1906" s="72"/>
      <c r="H1906" s="22" t="s">
        <v>6646</v>
      </c>
      <c r="I1906" s="27">
        <v>12</v>
      </c>
      <c r="J1906" s="22"/>
      <c r="K1906" s="20">
        <v>12</v>
      </c>
      <c r="L1906" s="24">
        <v>33.36</v>
      </c>
      <c r="M1906" s="11"/>
      <c r="N1906" s="22">
        <f t="shared" si="84"/>
        <v>0</v>
      </c>
      <c r="O1906" s="25">
        <f>0.018*M1906</f>
        <v>0</v>
      </c>
      <c r="P1906" s="26">
        <f>0.00005*M1906</f>
        <v>0</v>
      </c>
      <c r="Q1906" s="30"/>
      <c r="R1906" s="22" t="s">
        <v>6647</v>
      </c>
      <c r="S1906" s="22" t="s">
        <v>435</v>
      </c>
      <c r="T1906" s="21" t="str">
        <f>HYPERLINK("https://miland.ru/api/getInfo/image/31735eaa-a324-11ef-a267-00155d82e908")</f>
        <v>https://miland.ru/api/getInfo/image/31735eaa-a324-11ef-a267-00155d82e908</v>
      </c>
      <c r="U1906" s="21"/>
      <c r="V1906" s="21" t="s">
        <v>6525</v>
      </c>
      <c r="W1906" s="21" t="s">
        <v>378</v>
      </c>
      <c r="X1906" s="21"/>
      <c r="Y1906" s="21" t="s">
        <v>41</v>
      </c>
      <c r="Z1906" s="21"/>
      <c r="AA1906" s="21" t="str">
        <f>HYPERLINK("https://miland.ru/api/getInfo/item/31735eaa-a324-11ef-a267-00155d82e908")</f>
        <v>https://miland.ru/api/getInfo/item/31735eaa-a324-11ef-a267-00155d82e908</v>
      </c>
      <c r="AB1906" s="21" t="s">
        <v>42</v>
      </c>
      <c r="AC1906" s="21" t="s">
        <v>6612</v>
      </c>
      <c r="AD1906" s="21"/>
    </row>
    <row r="1907" spans="2:30" s="1" customFormat="1" ht="96.3" customHeight="1" outlineLevel="7">
      <c r="B1907" s="57">
        <v>1460</v>
      </c>
      <c r="C1907" s="21" t="s">
        <v>6648</v>
      </c>
      <c r="D1907" s="72" t="s">
        <v>6649</v>
      </c>
      <c r="E1907" s="72"/>
      <c r="F1907" s="72"/>
      <c r="G1907" s="72"/>
      <c r="H1907" s="22" t="s">
        <v>6650</v>
      </c>
      <c r="I1907" s="23" t="s">
        <v>36</v>
      </c>
      <c r="J1907" s="22"/>
      <c r="K1907" s="20">
        <v>36</v>
      </c>
      <c r="L1907" s="24">
        <v>20.82</v>
      </c>
      <c r="M1907" s="11"/>
      <c r="N1907" s="22">
        <f t="shared" si="84"/>
        <v>0</v>
      </c>
      <c r="O1907" s="25">
        <f>0.014*M1907</f>
        <v>0</v>
      </c>
      <c r="P1907" s="26">
        <f>0.00005*M1907</f>
        <v>0</v>
      </c>
      <c r="Q1907" s="30"/>
      <c r="R1907" s="22" t="s">
        <v>6651</v>
      </c>
      <c r="S1907" s="22"/>
      <c r="T1907" s="21"/>
      <c r="U1907" s="21"/>
      <c r="V1907" s="21"/>
      <c r="W1907" s="21" t="s">
        <v>378</v>
      </c>
      <c r="X1907" s="21"/>
      <c r="Y1907" s="21"/>
      <c r="Z1907" s="21"/>
      <c r="AA1907" s="21"/>
      <c r="AB1907" s="21" t="s">
        <v>42</v>
      </c>
      <c r="AC1907" s="21"/>
      <c r="AD1907" s="21"/>
    </row>
    <row r="1908" spans="2:30" s="1" customFormat="1" ht="96.3" customHeight="1" outlineLevel="7">
      <c r="B1908" s="57">
        <v>1461</v>
      </c>
      <c r="C1908" s="21" t="s">
        <v>6652</v>
      </c>
      <c r="D1908" s="72" t="s">
        <v>6653</v>
      </c>
      <c r="E1908" s="72"/>
      <c r="F1908" s="72"/>
      <c r="G1908" s="72"/>
      <c r="H1908" s="22" t="s">
        <v>6607</v>
      </c>
      <c r="I1908" s="23" t="s">
        <v>36</v>
      </c>
      <c r="J1908" s="22"/>
      <c r="K1908" s="20">
        <v>36</v>
      </c>
      <c r="L1908" s="24">
        <v>20.82</v>
      </c>
      <c r="M1908" s="11"/>
      <c r="N1908" s="22">
        <f t="shared" si="84"/>
        <v>0</v>
      </c>
      <c r="O1908" s="25">
        <f t="shared" ref="O1908:O1913" si="85">0.002*M1908</f>
        <v>0</v>
      </c>
      <c r="P1908" s="29">
        <f t="shared" ref="P1908:P1913" si="86">0.0001*M1908</f>
        <v>0</v>
      </c>
      <c r="Q1908" s="30"/>
      <c r="R1908" s="22" t="s">
        <v>6654</v>
      </c>
      <c r="S1908" s="22"/>
      <c r="T1908" s="21"/>
      <c r="U1908" s="21"/>
      <c r="V1908" s="21"/>
      <c r="W1908" s="21" t="s">
        <v>378</v>
      </c>
      <c r="X1908" s="21"/>
      <c r="Y1908" s="21"/>
      <c r="Z1908" s="21"/>
      <c r="AA1908" s="21"/>
      <c r="AB1908" s="21" t="s">
        <v>42</v>
      </c>
      <c r="AC1908" s="21"/>
      <c r="AD1908" s="21"/>
    </row>
    <row r="1909" spans="2:30" s="1" customFormat="1" ht="96.3" customHeight="1" outlineLevel="7">
      <c r="B1909" s="57">
        <v>1462</v>
      </c>
      <c r="C1909" s="21" t="s">
        <v>6655</v>
      </c>
      <c r="D1909" s="72" t="s">
        <v>6656</v>
      </c>
      <c r="E1909" s="72"/>
      <c r="F1909" s="72"/>
      <c r="G1909" s="72"/>
      <c r="H1909" s="22" t="s">
        <v>6657</v>
      </c>
      <c r="I1909" s="27">
        <v>144</v>
      </c>
      <c r="J1909" s="22"/>
      <c r="K1909" s="20">
        <v>36</v>
      </c>
      <c r="L1909" s="24">
        <v>20.82</v>
      </c>
      <c r="M1909" s="11"/>
      <c r="N1909" s="22">
        <f t="shared" si="84"/>
        <v>0</v>
      </c>
      <c r="O1909" s="25">
        <f t="shared" si="85"/>
        <v>0</v>
      </c>
      <c r="P1909" s="29">
        <f t="shared" si="86"/>
        <v>0</v>
      </c>
      <c r="Q1909" s="30"/>
      <c r="R1909" s="22" t="s">
        <v>6658</v>
      </c>
      <c r="S1909" s="22"/>
      <c r="T1909" s="21" t="str">
        <f>HYPERLINK("https://miland.ru/api/getInfo/image/f0ae2657-2ef2-11f0-a27c-00155d82e908")</f>
        <v>https://miland.ru/api/getInfo/image/f0ae2657-2ef2-11f0-a27c-00155d82e908</v>
      </c>
      <c r="U1909" s="21"/>
      <c r="V1909" s="21"/>
      <c r="W1909" s="21" t="s">
        <v>378</v>
      </c>
      <c r="X1909" s="21"/>
      <c r="Y1909" s="21"/>
      <c r="Z1909" s="21"/>
      <c r="AA1909" s="21" t="str">
        <f>HYPERLINK("https://miland.ru/api/getInfo/item/f0ae2657-2ef2-11f0-a27c-00155d82e908")</f>
        <v>https://miland.ru/api/getInfo/item/f0ae2657-2ef2-11f0-a27c-00155d82e908</v>
      </c>
      <c r="AB1909" s="21" t="s">
        <v>42</v>
      </c>
      <c r="AC1909" s="21"/>
      <c r="AD1909" s="21"/>
    </row>
    <row r="1910" spans="2:30" s="1" customFormat="1" ht="96.3" customHeight="1" outlineLevel="7">
      <c r="B1910" s="57">
        <v>1463</v>
      </c>
      <c r="C1910" s="21" t="s">
        <v>6655</v>
      </c>
      <c r="D1910" s="72" t="s">
        <v>6656</v>
      </c>
      <c r="E1910" s="72"/>
      <c r="F1910" s="72"/>
      <c r="G1910" s="72"/>
      <c r="H1910" s="22" t="s">
        <v>6657</v>
      </c>
      <c r="I1910" s="27">
        <v>144</v>
      </c>
      <c r="J1910" s="22"/>
      <c r="K1910" s="20">
        <v>36</v>
      </c>
      <c r="L1910" s="24">
        <v>20.82</v>
      </c>
      <c r="M1910" s="11"/>
      <c r="N1910" s="22">
        <f t="shared" si="84"/>
        <v>0</v>
      </c>
      <c r="O1910" s="25">
        <f t="shared" si="85"/>
        <v>0</v>
      </c>
      <c r="P1910" s="29">
        <f t="shared" si="86"/>
        <v>0</v>
      </c>
      <c r="Q1910" s="30"/>
      <c r="R1910" s="22" t="s">
        <v>6658</v>
      </c>
      <c r="S1910" s="22"/>
      <c r="T1910" s="21" t="str">
        <f>HYPERLINK("https://miland.ru/api/getInfo/image/f0ae2657-2ef2-11f0-a27c-00155d82e908")</f>
        <v>https://miland.ru/api/getInfo/image/f0ae2657-2ef2-11f0-a27c-00155d82e908</v>
      </c>
      <c r="U1910" s="21"/>
      <c r="V1910" s="21"/>
      <c r="W1910" s="21" t="s">
        <v>378</v>
      </c>
      <c r="X1910" s="21"/>
      <c r="Y1910" s="21"/>
      <c r="Z1910" s="21"/>
      <c r="AA1910" s="21" t="str">
        <f>HYPERLINK("https://miland.ru/api/getInfo/item/f0ae2657-2ef2-11f0-a27c-00155d82e908")</f>
        <v>https://miland.ru/api/getInfo/item/f0ae2657-2ef2-11f0-a27c-00155d82e908</v>
      </c>
      <c r="AB1910" s="21" t="s">
        <v>42</v>
      </c>
      <c r="AC1910" s="21"/>
      <c r="AD1910" s="21"/>
    </row>
    <row r="1911" spans="2:30" s="1" customFormat="1" ht="96.3" customHeight="1" outlineLevel="7">
      <c r="B1911" s="57">
        <v>1464</v>
      </c>
      <c r="C1911" s="21" t="s">
        <v>6659</v>
      </c>
      <c r="D1911" s="72" t="s">
        <v>6660</v>
      </c>
      <c r="E1911" s="72"/>
      <c r="F1911" s="72"/>
      <c r="G1911" s="72"/>
      <c r="H1911" s="22" t="s">
        <v>6661</v>
      </c>
      <c r="I1911" s="23" t="s">
        <v>36</v>
      </c>
      <c r="J1911" s="22"/>
      <c r="K1911" s="20">
        <v>36</v>
      </c>
      <c r="L1911" s="24">
        <v>21.14</v>
      </c>
      <c r="M1911" s="11"/>
      <c r="N1911" s="22">
        <f t="shared" si="84"/>
        <v>0</v>
      </c>
      <c r="O1911" s="25">
        <f t="shared" si="85"/>
        <v>0</v>
      </c>
      <c r="P1911" s="29">
        <f t="shared" si="86"/>
        <v>0</v>
      </c>
      <c r="Q1911" s="30"/>
      <c r="R1911" s="22" t="s">
        <v>6662</v>
      </c>
      <c r="S1911" s="22"/>
      <c r="T1911" s="21" t="str">
        <f>HYPERLINK("https://miland.ru/api/getInfo/image/9426a35d-2ef4-11f0-a27c-00155d82e908")</f>
        <v>https://miland.ru/api/getInfo/image/9426a35d-2ef4-11f0-a27c-00155d82e908</v>
      </c>
      <c r="U1911" s="21"/>
      <c r="V1911" s="21"/>
      <c r="W1911" s="21" t="s">
        <v>378</v>
      </c>
      <c r="X1911" s="21"/>
      <c r="Y1911" s="21"/>
      <c r="Z1911" s="21"/>
      <c r="AA1911" s="21" t="str">
        <f>HYPERLINK("https://miland.ru/api/getInfo/item/9426a35d-2ef4-11f0-a27c-00155d82e908")</f>
        <v>https://miland.ru/api/getInfo/item/9426a35d-2ef4-11f0-a27c-00155d82e908</v>
      </c>
      <c r="AB1911" s="21" t="s">
        <v>42</v>
      </c>
      <c r="AC1911" s="21"/>
      <c r="AD1911" s="21"/>
    </row>
    <row r="1912" spans="2:30" s="1" customFormat="1" ht="96.3" customHeight="1" outlineLevel="7">
      <c r="B1912" s="57">
        <v>1465</v>
      </c>
      <c r="C1912" s="21" t="s">
        <v>6663</v>
      </c>
      <c r="D1912" s="72" t="s">
        <v>6664</v>
      </c>
      <c r="E1912" s="72"/>
      <c r="F1912" s="72"/>
      <c r="G1912" s="72"/>
      <c r="H1912" s="22" t="s">
        <v>6665</v>
      </c>
      <c r="I1912" s="23" t="s">
        <v>36</v>
      </c>
      <c r="J1912" s="22"/>
      <c r="K1912" s="20">
        <v>36</v>
      </c>
      <c r="L1912" s="24">
        <v>20.82</v>
      </c>
      <c r="M1912" s="11"/>
      <c r="N1912" s="22">
        <f t="shared" si="84"/>
        <v>0</v>
      </c>
      <c r="O1912" s="25">
        <f t="shared" si="85"/>
        <v>0</v>
      </c>
      <c r="P1912" s="29">
        <f t="shared" si="86"/>
        <v>0</v>
      </c>
      <c r="Q1912" s="30"/>
      <c r="R1912" s="22" t="s">
        <v>6666</v>
      </c>
      <c r="S1912" s="22"/>
      <c r="T1912" s="21" t="str">
        <f>HYPERLINK("https://miland.ru/api/getInfo/image/21c75151-2ef3-11f0-a27c-00155d82e908")</f>
        <v>https://miland.ru/api/getInfo/image/21c75151-2ef3-11f0-a27c-00155d82e908</v>
      </c>
      <c r="U1912" s="21"/>
      <c r="V1912" s="21"/>
      <c r="W1912" s="21" t="s">
        <v>378</v>
      </c>
      <c r="X1912" s="21"/>
      <c r="Y1912" s="21"/>
      <c r="Z1912" s="21"/>
      <c r="AA1912" s="21" t="str">
        <f>HYPERLINK("https://miland.ru/api/getInfo/item/21c75151-2ef3-11f0-a27c-00155d82e908")</f>
        <v>https://miland.ru/api/getInfo/item/21c75151-2ef3-11f0-a27c-00155d82e908</v>
      </c>
      <c r="AB1912" s="21" t="s">
        <v>42</v>
      </c>
      <c r="AC1912" s="21"/>
      <c r="AD1912" s="21"/>
    </row>
    <row r="1913" spans="2:30" s="1" customFormat="1" ht="96.3" customHeight="1" outlineLevel="7">
      <c r="B1913" s="57">
        <v>1466</v>
      </c>
      <c r="C1913" s="21" t="s">
        <v>6667</v>
      </c>
      <c r="D1913" s="72" t="s">
        <v>6668</v>
      </c>
      <c r="E1913" s="72"/>
      <c r="F1913" s="72"/>
      <c r="G1913" s="72"/>
      <c r="H1913" s="22" t="s">
        <v>6669</v>
      </c>
      <c r="I1913" s="23" t="s">
        <v>36</v>
      </c>
      <c r="J1913" s="22"/>
      <c r="K1913" s="20">
        <v>36</v>
      </c>
      <c r="L1913" s="24">
        <v>21.14</v>
      </c>
      <c r="M1913" s="11"/>
      <c r="N1913" s="22">
        <f t="shared" si="84"/>
        <v>0</v>
      </c>
      <c r="O1913" s="25">
        <f t="shared" si="85"/>
        <v>0</v>
      </c>
      <c r="P1913" s="29">
        <f t="shared" si="86"/>
        <v>0</v>
      </c>
      <c r="Q1913" s="30"/>
      <c r="R1913" s="22" t="s">
        <v>6670</v>
      </c>
      <c r="S1913" s="22"/>
      <c r="T1913" s="21" t="str">
        <f>HYPERLINK("https://miland.ru/api/getInfo/image/65c650ee-2ef4-11f0-a27c-00155d82e908")</f>
        <v>https://miland.ru/api/getInfo/image/65c650ee-2ef4-11f0-a27c-00155d82e908</v>
      </c>
      <c r="U1913" s="21"/>
      <c r="V1913" s="21"/>
      <c r="W1913" s="21" t="s">
        <v>378</v>
      </c>
      <c r="X1913" s="21"/>
      <c r="Y1913" s="21"/>
      <c r="Z1913" s="21"/>
      <c r="AA1913" s="21" t="str">
        <f>HYPERLINK("https://miland.ru/api/getInfo/item/65c650ee-2ef4-11f0-a27c-00155d82e908")</f>
        <v>https://miland.ru/api/getInfo/item/65c650ee-2ef4-11f0-a27c-00155d82e908</v>
      </c>
      <c r="AB1913" s="21" t="s">
        <v>42</v>
      </c>
      <c r="AC1913" s="21"/>
      <c r="AD1913" s="21"/>
    </row>
    <row r="1914" spans="2:30" s="1" customFormat="1" ht="96.3" customHeight="1" outlineLevel="7">
      <c r="B1914" s="57">
        <v>1467</v>
      </c>
      <c r="C1914" s="21" t="s">
        <v>6671</v>
      </c>
      <c r="D1914" s="72" t="s">
        <v>6672</v>
      </c>
      <c r="E1914" s="72"/>
      <c r="F1914" s="72"/>
      <c r="G1914" s="72"/>
      <c r="H1914" s="22" t="s">
        <v>6673</v>
      </c>
      <c r="I1914" s="27">
        <v>492</v>
      </c>
      <c r="J1914" s="22"/>
      <c r="K1914" s="20">
        <v>36</v>
      </c>
      <c r="L1914" s="24">
        <v>20.82</v>
      </c>
      <c r="M1914" s="11"/>
      <c r="N1914" s="22">
        <f t="shared" si="84"/>
        <v>0</v>
      </c>
      <c r="O1914" s="25">
        <f>0.014*M1914</f>
        <v>0</v>
      </c>
      <c r="P1914" s="26">
        <f>0.00005*M1914</f>
        <v>0</v>
      </c>
      <c r="Q1914" s="30"/>
      <c r="R1914" s="22" t="s">
        <v>6674</v>
      </c>
      <c r="S1914" s="22"/>
      <c r="T1914" s="21"/>
      <c r="U1914" s="21"/>
      <c r="V1914" s="21"/>
      <c r="W1914" s="21" t="s">
        <v>378</v>
      </c>
      <c r="X1914" s="21"/>
      <c r="Y1914" s="21"/>
      <c r="Z1914" s="21"/>
      <c r="AA1914" s="21"/>
      <c r="AB1914" s="21" t="s">
        <v>42</v>
      </c>
      <c r="AC1914" s="21"/>
      <c r="AD1914" s="21"/>
    </row>
    <row r="1915" spans="2:30" s="1" customFormat="1" ht="96.3" customHeight="1" outlineLevel="7">
      <c r="B1915" s="57">
        <v>1468</v>
      </c>
      <c r="C1915" s="21" t="s">
        <v>6675</v>
      </c>
      <c r="D1915" s="72" t="s">
        <v>6676</v>
      </c>
      <c r="E1915" s="72"/>
      <c r="F1915" s="72"/>
      <c r="G1915" s="72"/>
      <c r="H1915" s="22" t="s">
        <v>6677</v>
      </c>
      <c r="I1915" s="23" t="s">
        <v>36</v>
      </c>
      <c r="J1915" s="22"/>
      <c r="K1915" s="20">
        <v>36</v>
      </c>
      <c r="L1915" s="24">
        <v>20.82</v>
      </c>
      <c r="M1915" s="11"/>
      <c r="N1915" s="22">
        <f t="shared" si="84"/>
        <v>0</v>
      </c>
      <c r="O1915" s="25">
        <f>0.002*M1915</f>
        <v>0</v>
      </c>
      <c r="P1915" s="29">
        <f>0.0001*M1915</f>
        <v>0</v>
      </c>
      <c r="Q1915" s="30"/>
      <c r="R1915" s="22" t="s">
        <v>6678</v>
      </c>
      <c r="S1915" s="22"/>
      <c r="T1915" s="21" t="str">
        <f>HYPERLINK("https://miland.ru/api/getInfo/image/4d3406f1-2ef1-11f0-a27c-00155d82e908")</f>
        <v>https://miland.ru/api/getInfo/image/4d3406f1-2ef1-11f0-a27c-00155d82e908</v>
      </c>
      <c r="U1915" s="21"/>
      <c r="V1915" s="21"/>
      <c r="W1915" s="21" t="s">
        <v>378</v>
      </c>
      <c r="X1915" s="21"/>
      <c r="Y1915" s="21"/>
      <c r="Z1915" s="21"/>
      <c r="AA1915" s="21" t="str">
        <f>HYPERLINK("https://miland.ru/api/getInfo/item/4d3406f1-2ef1-11f0-a27c-00155d82e908")</f>
        <v>https://miland.ru/api/getInfo/item/4d3406f1-2ef1-11f0-a27c-00155d82e908</v>
      </c>
      <c r="AB1915" s="21" t="s">
        <v>42</v>
      </c>
      <c r="AC1915" s="21"/>
      <c r="AD1915" s="21"/>
    </row>
    <row r="1916" spans="2:30" ht="12" customHeight="1" outlineLevel="6">
      <c r="B1916" s="70" t="s">
        <v>6679</v>
      </c>
      <c r="C1916" s="70"/>
      <c r="D1916" s="70"/>
      <c r="E1916" s="70"/>
      <c r="F1916" s="70"/>
      <c r="G1916" s="70"/>
    </row>
    <row r="1917" spans="2:30" s="1" customFormat="1" ht="96.3" customHeight="1" outlineLevel="7">
      <c r="B1917" s="57">
        <v>1469</v>
      </c>
      <c r="C1917" s="21" t="s">
        <v>6680</v>
      </c>
      <c r="D1917" s="72" t="s">
        <v>6681</v>
      </c>
      <c r="E1917" s="72"/>
      <c r="F1917" s="72"/>
      <c r="G1917" s="72"/>
      <c r="H1917" s="22" t="s">
        <v>6682</v>
      </c>
      <c r="I1917" s="27">
        <v>36</v>
      </c>
      <c r="J1917" s="22"/>
      <c r="K1917" s="20">
        <v>24</v>
      </c>
      <c r="L1917" s="24">
        <v>28.19</v>
      </c>
      <c r="M1917" s="11"/>
      <c r="N1917" s="22">
        <f>L1917*M1917</f>
        <v>0</v>
      </c>
      <c r="O1917" s="25">
        <f>0.043*M1917</f>
        <v>0</v>
      </c>
      <c r="P1917" s="26">
        <f>0.00021*M1917</f>
        <v>0</v>
      </c>
      <c r="Q1917" s="30"/>
      <c r="R1917" s="22" t="s">
        <v>6683</v>
      </c>
      <c r="S1917" s="22" t="s">
        <v>435</v>
      </c>
      <c r="T1917" s="21" t="str">
        <f>HYPERLINK("https://miland.ru/api/getInfo/image/2ffd8e36-e52c-11ee-a25a-00155d82e908")</f>
        <v>https://miland.ru/api/getInfo/image/2ffd8e36-e52c-11ee-a25a-00155d82e908</v>
      </c>
      <c r="U1917" s="21"/>
      <c r="V1917" s="21" t="s">
        <v>6525</v>
      </c>
      <c r="W1917" s="21" t="s">
        <v>378</v>
      </c>
      <c r="X1917" s="21"/>
      <c r="Y1917" s="21" t="s">
        <v>41</v>
      </c>
      <c r="Z1917" s="21"/>
      <c r="AA1917" s="21" t="str">
        <f>HYPERLINK("https://miland.ru/api/getInfo/item/2ffd8e36-e52c-11ee-a25a-00155d82e908")</f>
        <v>https://miland.ru/api/getInfo/item/2ffd8e36-e52c-11ee-a25a-00155d82e908</v>
      </c>
      <c r="AB1917" s="21" t="s">
        <v>42</v>
      </c>
      <c r="AC1917" s="21" t="s">
        <v>6684</v>
      </c>
      <c r="AD1917" s="21"/>
    </row>
    <row r="1918" spans="2:30" ht="12" customHeight="1" outlineLevel="6">
      <c r="B1918" s="70" t="s">
        <v>6685</v>
      </c>
      <c r="C1918" s="70"/>
      <c r="D1918" s="70"/>
      <c r="E1918" s="70"/>
      <c r="F1918" s="70"/>
      <c r="G1918" s="70"/>
    </row>
    <row r="1919" spans="2:30" ht="12" customHeight="1" outlineLevel="7">
      <c r="B1919" s="70" t="s">
        <v>6686</v>
      </c>
      <c r="C1919" s="70"/>
      <c r="D1919" s="70"/>
      <c r="E1919" s="70"/>
      <c r="F1919" s="70"/>
      <c r="G1919" s="70"/>
    </row>
    <row r="1920" spans="2:30" s="1" customFormat="1" ht="96.3" customHeight="1" outlineLevel="7">
      <c r="B1920" s="57">
        <v>1470</v>
      </c>
      <c r="C1920" s="21" t="s">
        <v>6687</v>
      </c>
      <c r="D1920" s="72" t="s">
        <v>6688</v>
      </c>
      <c r="E1920" s="72"/>
      <c r="F1920" s="72"/>
      <c r="G1920" s="72"/>
      <c r="H1920" s="22" t="s">
        <v>6689</v>
      </c>
      <c r="I1920" s="23" t="s">
        <v>36</v>
      </c>
      <c r="J1920" s="22"/>
      <c r="K1920" s="20">
        <v>24</v>
      </c>
      <c r="L1920" s="24">
        <v>21.53</v>
      </c>
      <c r="M1920" s="11"/>
      <c r="N1920" s="22">
        <f>L1920*M1920</f>
        <v>0</v>
      </c>
      <c r="O1920" s="25">
        <f>0.025*M1920</f>
        <v>0</v>
      </c>
      <c r="P1920" s="26">
        <f>0.00012*M1920</f>
        <v>0</v>
      </c>
      <c r="Q1920" s="30"/>
      <c r="R1920" s="22" t="s">
        <v>6690</v>
      </c>
      <c r="S1920" s="22" t="s">
        <v>435</v>
      </c>
      <c r="T1920" s="21" t="str">
        <f>HYPERLINK("https://miland.ru/api/getInfo/image/770544e5-03a3-11ef-a25d-00155d82e908")</f>
        <v>https://miland.ru/api/getInfo/image/770544e5-03a3-11ef-a25d-00155d82e908</v>
      </c>
      <c r="U1920" s="21"/>
      <c r="V1920" s="21" t="s">
        <v>6525</v>
      </c>
      <c r="W1920" s="21" t="s">
        <v>378</v>
      </c>
      <c r="X1920" s="21"/>
      <c r="Y1920" s="21" t="s">
        <v>41</v>
      </c>
      <c r="Z1920" s="21"/>
      <c r="AA1920" s="21" t="str">
        <f>HYPERLINK("https://miland.ru/api/getInfo/item/770544e5-03a3-11ef-a25d-00155d82e908")</f>
        <v>https://miland.ru/api/getInfo/item/770544e5-03a3-11ef-a25d-00155d82e908</v>
      </c>
      <c r="AB1920" s="21" t="s">
        <v>42</v>
      </c>
      <c r="AC1920" s="21" t="s">
        <v>6612</v>
      </c>
      <c r="AD1920" s="21"/>
    </row>
    <row r="1921" spans="2:31" s="1" customFormat="1" ht="96.3" customHeight="1" outlineLevel="7">
      <c r="B1921" s="57">
        <v>1471</v>
      </c>
      <c r="C1921" s="21" t="s">
        <v>6691</v>
      </c>
      <c r="D1921" s="72" t="s">
        <v>6692</v>
      </c>
      <c r="E1921" s="72"/>
      <c r="F1921" s="72"/>
      <c r="G1921" s="72"/>
      <c r="H1921" s="22" t="s">
        <v>6693</v>
      </c>
      <c r="I1921" s="23" t="s">
        <v>36</v>
      </c>
      <c r="J1921" s="22"/>
      <c r="K1921" s="20">
        <v>24</v>
      </c>
      <c r="L1921" s="24">
        <v>23.53</v>
      </c>
      <c r="M1921" s="11"/>
      <c r="N1921" s="22">
        <f>L1921*M1921</f>
        <v>0</v>
      </c>
      <c r="O1921" s="25">
        <f>0.025*M1921</f>
        <v>0</v>
      </c>
      <c r="P1921" s="26">
        <f>0.00012*M1921</f>
        <v>0</v>
      </c>
      <c r="Q1921" s="30"/>
      <c r="R1921" s="22" t="s">
        <v>6694</v>
      </c>
      <c r="S1921" s="22" t="s">
        <v>435</v>
      </c>
      <c r="T1921" s="21" t="str">
        <f>HYPERLINK("https://miland.ru/api/getInfo/image/8af37e14-03a3-11ef-a25d-00155d82e908")</f>
        <v>https://miland.ru/api/getInfo/image/8af37e14-03a3-11ef-a25d-00155d82e908</v>
      </c>
      <c r="U1921" s="21"/>
      <c r="V1921" s="21" t="s">
        <v>6525</v>
      </c>
      <c r="W1921" s="21" t="s">
        <v>378</v>
      </c>
      <c r="X1921" s="21"/>
      <c r="Y1921" s="21" t="s">
        <v>41</v>
      </c>
      <c r="Z1921" s="21"/>
      <c r="AA1921" s="21" t="str">
        <f>HYPERLINK("https://miland.ru/api/getInfo/item/8af37e14-03a3-11ef-a25d-00155d82e908")</f>
        <v>https://miland.ru/api/getInfo/item/8af37e14-03a3-11ef-a25d-00155d82e908</v>
      </c>
      <c r="AB1921" s="21" t="s">
        <v>42</v>
      </c>
      <c r="AC1921" s="21" t="s">
        <v>6612</v>
      </c>
      <c r="AD1921" s="21"/>
    </row>
    <row r="1922" spans="2:31" s="1" customFormat="1" ht="96.3" customHeight="1" outlineLevel="7">
      <c r="B1922" s="57">
        <v>1472</v>
      </c>
      <c r="C1922" s="21" t="s">
        <v>6695</v>
      </c>
      <c r="D1922" s="72" t="s">
        <v>6696</v>
      </c>
      <c r="E1922" s="72"/>
      <c r="F1922" s="72"/>
      <c r="G1922" s="72"/>
      <c r="H1922" s="22" t="s">
        <v>6697</v>
      </c>
      <c r="I1922" s="23" t="s">
        <v>36</v>
      </c>
      <c r="J1922" s="22"/>
      <c r="K1922" s="20">
        <v>24</v>
      </c>
      <c r="L1922" s="24">
        <v>21.53</v>
      </c>
      <c r="M1922" s="11"/>
      <c r="N1922" s="22">
        <f>L1922*M1922</f>
        <v>0</v>
      </c>
      <c r="O1922" s="25">
        <f>0.025*M1922</f>
        <v>0</v>
      </c>
      <c r="P1922" s="26">
        <f>0.00012*M1922</f>
        <v>0</v>
      </c>
      <c r="Q1922" s="30"/>
      <c r="R1922" s="22" t="s">
        <v>6698</v>
      </c>
      <c r="S1922" s="22" t="s">
        <v>435</v>
      </c>
      <c r="T1922" s="21" t="str">
        <f>HYPERLINK("https://miland.ru/api/getInfo/image/5ff5f30f-03a3-11ef-a25d-00155d82e908")</f>
        <v>https://miland.ru/api/getInfo/image/5ff5f30f-03a3-11ef-a25d-00155d82e908</v>
      </c>
      <c r="U1922" s="21"/>
      <c r="V1922" s="21" t="s">
        <v>6525</v>
      </c>
      <c r="W1922" s="21" t="s">
        <v>378</v>
      </c>
      <c r="X1922" s="21"/>
      <c r="Y1922" s="21" t="s">
        <v>41</v>
      </c>
      <c r="Z1922" s="21"/>
      <c r="AA1922" s="21" t="str">
        <f>HYPERLINK("https://miland.ru/api/getInfo/item/5ff5f30f-03a3-11ef-a25d-00155d82e908")</f>
        <v>https://miland.ru/api/getInfo/item/5ff5f30f-03a3-11ef-a25d-00155d82e908</v>
      </c>
      <c r="AB1922" s="21" t="s">
        <v>42</v>
      </c>
      <c r="AC1922" s="21" t="s">
        <v>6612</v>
      </c>
      <c r="AD1922" s="21"/>
    </row>
    <row r="1923" spans="2:31" ht="12" customHeight="1" outlineLevel="5">
      <c r="B1923" s="70" t="s">
        <v>6699</v>
      </c>
      <c r="C1923" s="70"/>
      <c r="D1923" s="70"/>
      <c r="E1923" s="70"/>
      <c r="F1923" s="70"/>
      <c r="G1923" s="70"/>
    </row>
    <row r="1924" spans="2:31" ht="12" customHeight="1" outlineLevel="6">
      <c r="B1924" s="70" t="s">
        <v>6700</v>
      </c>
      <c r="C1924" s="70"/>
      <c r="D1924" s="70"/>
      <c r="E1924" s="70"/>
      <c r="F1924" s="70"/>
      <c r="G1924" s="70"/>
    </row>
    <row r="1925" spans="2:31" s="1" customFormat="1" ht="96.3" customHeight="1" outlineLevel="7">
      <c r="B1925" s="59">
        <v>1473</v>
      </c>
      <c r="C1925" s="35" t="s">
        <v>6701</v>
      </c>
      <c r="D1925" s="73" t="s">
        <v>6702</v>
      </c>
      <c r="E1925" s="73"/>
      <c r="F1925" s="73"/>
      <c r="G1925" s="73"/>
      <c r="H1925" s="36" t="s">
        <v>6703</v>
      </c>
      <c r="I1925" s="56" t="s">
        <v>36</v>
      </c>
      <c r="J1925" s="36"/>
      <c r="K1925" s="34">
        <v>24</v>
      </c>
      <c r="L1925" s="41">
        <v>29.653333333333332</v>
      </c>
      <c r="M1925" s="11"/>
      <c r="N1925" s="36">
        <f t="shared" ref="N1925:N1931" si="87">L1925*M1925</f>
        <v>0</v>
      </c>
      <c r="O1925" s="42">
        <f>0.026*M1925</f>
        <v>0</v>
      </c>
      <c r="P1925" s="43">
        <f>0.00031*M1925</f>
        <v>0</v>
      </c>
      <c r="Q1925" s="50" t="s">
        <v>37</v>
      </c>
      <c r="R1925" s="36" t="s">
        <v>6704</v>
      </c>
      <c r="S1925" s="36"/>
      <c r="T1925" s="35" t="str">
        <f>HYPERLINK("https://miland.ru/api/getInfo/image/10c0ba15-fb55-11f0-a28e-00155d82e908")</f>
        <v>https://miland.ru/api/getInfo/image/10c0ba15-fb55-11f0-a28e-00155d82e908</v>
      </c>
      <c r="U1925" s="35"/>
      <c r="V1925" s="35"/>
      <c r="W1925" s="35" t="s">
        <v>378</v>
      </c>
      <c r="X1925" s="35"/>
      <c r="Y1925" s="35" t="s">
        <v>41</v>
      </c>
      <c r="Z1925" s="35"/>
      <c r="AA1925" s="35" t="str">
        <f>HYPERLINK("https://miland.ru/api/getInfo/item/10c0ba15-fb55-11f0-a28e-00155d82e908")</f>
        <v>https://miland.ru/api/getInfo/item/10c0ba15-fb55-11f0-a28e-00155d82e908</v>
      </c>
      <c r="AB1925" s="35" t="s">
        <v>42</v>
      </c>
      <c r="AC1925" s="35"/>
      <c r="AD1925" s="35"/>
      <c r="AE1925" s="52" t="s">
        <v>1251</v>
      </c>
    </row>
    <row r="1926" spans="2:31" s="1" customFormat="1" ht="96.3" customHeight="1" outlineLevel="7">
      <c r="B1926" s="59">
        <v>1474</v>
      </c>
      <c r="C1926" s="35" t="s">
        <v>6705</v>
      </c>
      <c r="D1926" s="73" t="s">
        <v>6706</v>
      </c>
      <c r="E1926" s="73"/>
      <c r="F1926" s="73"/>
      <c r="G1926" s="73"/>
      <c r="H1926" s="36" t="s">
        <v>6707</v>
      </c>
      <c r="I1926" s="40">
        <v>300</v>
      </c>
      <c r="J1926" s="36"/>
      <c r="K1926" s="34">
        <v>24</v>
      </c>
      <c r="L1926" s="41">
        <v>29.653333333333332</v>
      </c>
      <c r="M1926" s="11"/>
      <c r="N1926" s="36">
        <f t="shared" si="87"/>
        <v>0</v>
      </c>
      <c r="O1926" s="42">
        <f>0.023*M1926</f>
        <v>0</v>
      </c>
      <c r="P1926" s="43">
        <f>0.00026*M1926</f>
        <v>0</v>
      </c>
      <c r="Q1926" s="50" t="s">
        <v>37</v>
      </c>
      <c r="R1926" s="36" t="s">
        <v>6708</v>
      </c>
      <c r="S1926" s="36"/>
      <c r="T1926" s="35" t="str">
        <f>HYPERLINK("https://miland.ru/api/getInfo/image/33755bf6-fb54-11f0-a28e-00155d82e908")</f>
        <v>https://miland.ru/api/getInfo/image/33755bf6-fb54-11f0-a28e-00155d82e908</v>
      </c>
      <c r="U1926" s="35"/>
      <c r="V1926" s="35"/>
      <c r="W1926" s="35" t="s">
        <v>378</v>
      </c>
      <c r="X1926" s="35"/>
      <c r="Y1926" s="35" t="s">
        <v>41</v>
      </c>
      <c r="Z1926" s="35"/>
      <c r="AA1926" s="35" t="str">
        <f>HYPERLINK("https://miland.ru/api/getInfo/item/33755bf6-fb54-11f0-a28e-00155d82e908")</f>
        <v>https://miland.ru/api/getInfo/item/33755bf6-fb54-11f0-a28e-00155d82e908</v>
      </c>
      <c r="AB1926" s="35" t="s">
        <v>42</v>
      </c>
      <c r="AC1926" s="35"/>
      <c r="AD1926" s="35"/>
      <c r="AE1926" s="52" t="s">
        <v>1251</v>
      </c>
    </row>
    <row r="1927" spans="2:31" s="1" customFormat="1" ht="96.3" customHeight="1" outlineLevel="7">
      <c r="B1927" s="59">
        <v>1475</v>
      </c>
      <c r="C1927" s="35" t="s">
        <v>6709</v>
      </c>
      <c r="D1927" s="73" t="s">
        <v>6710</v>
      </c>
      <c r="E1927" s="73"/>
      <c r="F1927" s="73"/>
      <c r="G1927" s="73"/>
      <c r="H1927" s="36" t="s">
        <v>6711</v>
      </c>
      <c r="I1927" s="40">
        <v>360</v>
      </c>
      <c r="J1927" s="36"/>
      <c r="K1927" s="34">
        <v>24</v>
      </c>
      <c r="L1927" s="41">
        <v>29.653333333333332</v>
      </c>
      <c r="M1927" s="11"/>
      <c r="N1927" s="36">
        <f t="shared" si="87"/>
        <v>0</v>
      </c>
      <c r="O1927" s="42">
        <f>0.026*M1927</f>
        <v>0</v>
      </c>
      <c r="P1927" s="43">
        <f>0.00035*M1927</f>
        <v>0</v>
      </c>
      <c r="Q1927" s="50" t="s">
        <v>37</v>
      </c>
      <c r="R1927" s="36" t="s">
        <v>6712</v>
      </c>
      <c r="S1927" s="36"/>
      <c r="T1927" s="35" t="str">
        <f>HYPERLINK("https://miland.ru/api/getInfo/image/3183eafa-fb55-11f0-a28e-00155d82e908")</f>
        <v>https://miland.ru/api/getInfo/image/3183eafa-fb55-11f0-a28e-00155d82e908</v>
      </c>
      <c r="U1927" s="35"/>
      <c r="V1927" s="35"/>
      <c r="W1927" s="35" t="s">
        <v>378</v>
      </c>
      <c r="X1927" s="35"/>
      <c r="Y1927" s="35" t="s">
        <v>41</v>
      </c>
      <c r="Z1927" s="35"/>
      <c r="AA1927" s="35" t="str">
        <f>HYPERLINK("https://miland.ru/api/getInfo/item/3183eafa-fb55-11f0-a28e-00155d82e908")</f>
        <v>https://miland.ru/api/getInfo/item/3183eafa-fb55-11f0-a28e-00155d82e908</v>
      </c>
      <c r="AB1927" s="35" t="s">
        <v>42</v>
      </c>
      <c r="AC1927" s="35"/>
      <c r="AD1927" s="35"/>
      <c r="AE1927" s="52" t="s">
        <v>1251</v>
      </c>
    </row>
    <row r="1928" spans="2:31" s="1" customFormat="1" ht="96.3" customHeight="1" outlineLevel="7">
      <c r="B1928" s="59">
        <v>1476</v>
      </c>
      <c r="C1928" s="35" t="s">
        <v>6713</v>
      </c>
      <c r="D1928" s="73" t="s">
        <v>6714</v>
      </c>
      <c r="E1928" s="73"/>
      <c r="F1928" s="73"/>
      <c r="G1928" s="73"/>
      <c r="H1928" s="36" t="s">
        <v>6715</v>
      </c>
      <c r="I1928" s="40">
        <v>132</v>
      </c>
      <c r="J1928" s="36"/>
      <c r="K1928" s="34">
        <v>12</v>
      </c>
      <c r="L1928" s="41">
        <v>31.546666666666667</v>
      </c>
      <c r="M1928" s="11"/>
      <c r="N1928" s="36">
        <f t="shared" si="87"/>
        <v>0</v>
      </c>
      <c r="O1928" s="42">
        <f>0.024*M1928</f>
        <v>0</v>
      </c>
      <c r="P1928" s="43">
        <f>0.00005*M1928</f>
        <v>0</v>
      </c>
      <c r="Q1928" s="50"/>
      <c r="R1928" s="36" t="s">
        <v>6716</v>
      </c>
      <c r="S1928" s="36" t="s">
        <v>435</v>
      </c>
      <c r="T1928" s="35" t="str">
        <f>HYPERLINK("https://miland.ru/api/getInfo/image/6d7fdf21-a32e-11ef-a267-00155d82e908")</f>
        <v>https://miland.ru/api/getInfo/image/6d7fdf21-a32e-11ef-a267-00155d82e908</v>
      </c>
      <c r="U1928" s="35"/>
      <c r="V1928" s="35" t="s">
        <v>6525</v>
      </c>
      <c r="W1928" s="35" t="s">
        <v>378</v>
      </c>
      <c r="X1928" s="35"/>
      <c r="Y1928" s="35" t="s">
        <v>41</v>
      </c>
      <c r="Z1928" s="35"/>
      <c r="AA1928" s="35" t="str">
        <f>HYPERLINK("https://miland.ru/api/getInfo/item/6d7fdf21-a32e-11ef-a267-00155d82e908")</f>
        <v>https://miland.ru/api/getInfo/item/6d7fdf21-a32e-11ef-a267-00155d82e908</v>
      </c>
      <c r="AB1928" s="35" t="s">
        <v>42</v>
      </c>
      <c r="AC1928" s="35" t="s">
        <v>6717</v>
      </c>
      <c r="AD1928" s="35"/>
      <c r="AE1928" s="52" t="s">
        <v>1251</v>
      </c>
    </row>
    <row r="1929" spans="2:31" s="1" customFormat="1" ht="96.3" customHeight="1" outlineLevel="7">
      <c r="B1929" s="59">
        <v>1477</v>
      </c>
      <c r="C1929" s="35" t="s">
        <v>6718</v>
      </c>
      <c r="D1929" s="73" t="s">
        <v>6719</v>
      </c>
      <c r="E1929" s="73"/>
      <c r="F1929" s="73"/>
      <c r="G1929" s="73"/>
      <c r="H1929" s="36" t="s">
        <v>6720</v>
      </c>
      <c r="I1929" s="56" t="s">
        <v>36</v>
      </c>
      <c r="J1929" s="36"/>
      <c r="K1929" s="34">
        <v>24</v>
      </c>
      <c r="L1929" s="41">
        <v>29.653333333333332</v>
      </c>
      <c r="M1929" s="11"/>
      <c r="N1929" s="36">
        <f t="shared" si="87"/>
        <v>0</v>
      </c>
      <c r="O1929" s="42">
        <f>0.027*M1929</f>
        <v>0</v>
      </c>
      <c r="P1929" s="43">
        <f>0.00049*M1929</f>
        <v>0</v>
      </c>
      <c r="Q1929" s="50" t="s">
        <v>37</v>
      </c>
      <c r="R1929" s="36" t="s">
        <v>6721</v>
      </c>
      <c r="S1929" s="36"/>
      <c r="T1929" s="35" t="str">
        <f>HYPERLINK("https://miland.ru/api/getInfo/image/d2389428-fb54-11f0-a28e-00155d82e908")</f>
        <v>https://miland.ru/api/getInfo/image/d2389428-fb54-11f0-a28e-00155d82e908</v>
      </c>
      <c r="U1929" s="35"/>
      <c r="V1929" s="35"/>
      <c r="W1929" s="35" t="s">
        <v>378</v>
      </c>
      <c r="X1929" s="35"/>
      <c r="Y1929" s="35" t="s">
        <v>41</v>
      </c>
      <c r="Z1929" s="35"/>
      <c r="AA1929" s="35" t="str">
        <f>HYPERLINK("https://miland.ru/api/getInfo/item/d2389428-fb54-11f0-a28e-00155d82e908")</f>
        <v>https://miland.ru/api/getInfo/item/d2389428-fb54-11f0-a28e-00155d82e908</v>
      </c>
      <c r="AB1929" s="35" t="s">
        <v>42</v>
      </c>
      <c r="AC1929" s="35"/>
      <c r="AD1929" s="35"/>
      <c r="AE1929" s="52" t="s">
        <v>1251</v>
      </c>
    </row>
    <row r="1930" spans="2:31" s="1" customFormat="1" ht="96.3" customHeight="1" outlineLevel="7">
      <c r="B1930" s="59">
        <v>1478</v>
      </c>
      <c r="C1930" s="35" t="s">
        <v>6722</v>
      </c>
      <c r="D1930" s="73" t="s">
        <v>6723</v>
      </c>
      <c r="E1930" s="73"/>
      <c r="F1930" s="73"/>
      <c r="G1930" s="73"/>
      <c r="H1930" s="36" t="s">
        <v>6724</v>
      </c>
      <c r="I1930" s="56" t="s">
        <v>36</v>
      </c>
      <c r="J1930" s="36"/>
      <c r="K1930" s="34">
        <v>24</v>
      </c>
      <c r="L1930" s="41">
        <v>29.653333333333332</v>
      </c>
      <c r="M1930" s="11"/>
      <c r="N1930" s="36">
        <f t="shared" si="87"/>
        <v>0</v>
      </c>
      <c r="O1930" s="42">
        <f>0.025*M1930</f>
        <v>0</v>
      </c>
      <c r="P1930" s="55">
        <f>0.0005*M1930</f>
        <v>0</v>
      </c>
      <c r="Q1930" s="50" t="s">
        <v>37</v>
      </c>
      <c r="R1930" s="36" t="s">
        <v>6725</v>
      </c>
      <c r="S1930" s="36"/>
      <c r="T1930" s="35" t="str">
        <f>HYPERLINK("https://miland.ru/api/getInfo/image/a9f1c85e-fb54-11f0-a28e-00155d82e908")</f>
        <v>https://miland.ru/api/getInfo/image/a9f1c85e-fb54-11f0-a28e-00155d82e908</v>
      </c>
      <c r="U1930" s="35"/>
      <c r="V1930" s="35"/>
      <c r="W1930" s="35" t="s">
        <v>378</v>
      </c>
      <c r="X1930" s="35"/>
      <c r="Y1930" s="35" t="s">
        <v>41</v>
      </c>
      <c r="Z1930" s="35"/>
      <c r="AA1930" s="35" t="str">
        <f>HYPERLINK("https://miland.ru/api/getInfo/item/a9f1c85e-fb54-11f0-a28e-00155d82e908")</f>
        <v>https://miland.ru/api/getInfo/item/a9f1c85e-fb54-11f0-a28e-00155d82e908</v>
      </c>
      <c r="AB1930" s="35" t="s">
        <v>42</v>
      </c>
      <c r="AC1930" s="35"/>
      <c r="AD1930" s="35"/>
      <c r="AE1930" s="52" t="s">
        <v>1251</v>
      </c>
    </row>
    <row r="1931" spans="2:31" s="1" customFormat="1" ht="96.3" customHeight="1" outlineLevel="7">
      <c r="B1931" s="59">
        <v>1479</v>
      </c>
      <c r="C1931" s="35" t="s">
        <v>6726</v>
      </c>
      <c r="D1931" s="73" t="s">
        <v>6727</v>
      </c>
      <c r="E1931" s="73"/>
      <c r="F1931" s="73"/>
      <c r="G1931" s="73"/>
      <c r="H1931" s="36" t="s">
        <v>6728</v>
      </c>
      <c r="I1931" s="56" t="s">
        <v>36</v>
      </c>
      <c r="J1931" s="36"/>
      <c r="K1931" s="34">
        <v>24</v>
      </c>
      <c r="L1931" s="41">
        <v>29.653333333333332</v>
      </c>
      <c r="M1931" s="11"/>
      <c r="N1931" s="36">
        <f t="shared" si="87"/>
        <v>0</v>
      </c>
      <c r="O1931" s="42">
        <f>0.027*M1931</f>
        <v>0</v>
      </c>
      <c r="P1931" s="43">
        <f>0.00031*M1931</f>
        <v>0</v>
      </c>
      <c r="Q1931" s="50" t="s">
        <v>37</v>
      </c>
      <c r="R1931" s="36" t="s">
        <v>6729</v>
      </c>
      <c r="S1931" s="36"/>
      <c r="T1931" s="35" t="str">
        <f>HYPERLINK("https://miland.ru/api/getInfo/image/f9246da6-fb53-11f0-a28e-00155d82e908")</f>
        <v>https://miland.ru/api/getInfo/image/f9246da6-fb53-11f0-a28e-00155d82e908</v>
      </c>
      <c r="U1931" s="35"/>
      <c r="V1931" s="35"/>
      <c r="W1931" s="35" t="s">
        <v>378</v>
      </c>
      <c r="X1931" s="35"/>
      <c r="Y1931" s="35" t="s">
        <v>41</v>
      </c>
      <c r="Z1931" s="35"/>
      <c r="AA1931" s="35" t="str">
        <f>HYPERLINK("https://miland.ru/api/getInfo/item/f9246da6-fb53-11f0-a28e-00155d82e908")</f>
        <v>https://miland.ru/api/getInfo/item/f9246da6-fb53-11f0-a28e-00155d82e908</v>
      </c>
      <c r="AB1931" s="35" t="s">
        <v>42</v>
      </c>
      <c r="AC1931" s="35"/>
      <c r="AD1931" s="35"/>
      <c r="AE1931" s="52" t="s">
        <v>1251</v>
      </c>
    </row>
    <row r="1932" spans="2:31" ht="12" customHeight="1" outlineLevel="6">
      <c r="B1932" s="70" t="s">
        <v>6730</v>
      </c>
      <c r="C1932" s="70"/>
      <c r="D1932" s="70"/>
      <c r="E1932" s="70"/>
      <c r="F1932" s="70"/>
      <c r="G1932" s="70"/>
    </row>
    <row r="1933" spans="2:31" ht="12" customHeight="1" outlineLevel="7">
      <c r="B1933" s="70" t="s">
        <v>6731</v>
      </c>
      <c r="C1933" s="70"/>
      <c r="D1933" s="70"/>
      <c r="E1933" s="70"/>
      <c r="F1933" s="70"/>
      <c r="G1933" s="70"/>
    </row>
    <row r="1934" spans="2:31" s="1" customFormat="1" ht="96.3" customHeight="1" outlineLevel="7">
      <c r="B1934" s="58">
        <v>1480</v>
      </c>
      <c r="C1934" s="7" t="s">
        <v>6732</v>
      </c>
      <c r="D1934" s="71" t="s">
        <v>6733</v>
      </c>
      <c r="E1934" s="71"/>
      <c r="F1934" s="71"/>
      <c r="G1934" s="71"/>
      <c r="H1934" s="8" t="s">
        <v>6734</v>
      </c>
      <c r="I1934" s="9" t="s">
        <v>36</v>
      </c>
      <c r="J1934" s="8"/>
      <c r="K1934" s="6">
        <v>12</v>
      </c>
      <c r="L1934" s="10">
        <v>33.479999999999997</v>
      </c>
      <c r="M1934" s="11"/>
      <c r="N1934" s="8">
        <f>L1934*M1934</f>
        <v>0</v>
      </c>
      <c r="O1934" s="12">
        <f>0.031*M1934</f>
        <v>0</v>
      </c>
      <c r="P1934" s="13">
        <f>0.00056*M1934</f>
        <v>0</v>
      </c>
      <c r="Q1934" s="17" t="s">
        <v>37</v>
      </c>
      <c r="R1934" s="8" t="s">
        <v>6735</v>
      </c>
      <c r="S1934" s="8"/>
      <c r="T1934" s="7" t="str">
        <f>HYPERLINK("https://miland.ru/api/getInfo/image/132d94b2-fb5c-11f0-a28e-00155d82e908")</f>
        <v>https://miland.ru/api/getInfo/image/132d94b2-fb5c-11f0-a28e-00155d82e908</v>
      </c>
      <c r="U1934" s="7"/>
      <c r="V1934" s="7"/>
      <c r="W1934" s="7" t="s">
        <v>378</v>
      </c>
      <c r="X1934" s="7"/>
      <c r="Y1934" s="7" t="s">
        <v>41</v>
      </c>
      <c r="Z1934" s="7"/>
      <c r="AA1934" s="7" t="str">
        <f>HYPERLINK("https://miland.ru/api/getInfo/item/132d94b2-fb5c-11f0-a28e-00155d82e908")</f>
        <v>https://miland.ru/api/getInfo/item/132d94b2-fb5c-11f0-a28e-00155d82e908</v>
      </c>
      <c r="AB1934" s="7" t="s">
        <v>42</v>
      </c>
      <c r="AC1934" s="7"/>
      <c r="AD1934" s="7"/>
      <c r="AE1934" s="54"/>
    </row>
    <row r="1935" spans="2:31" s="1" customFormat="1" ht="96.3" customHeight="1" outlineLevel="7">
      <c r="B1935" s="58">
        <v>1481</v>
      </c>
      <c r="C1935" s="7" t="s">
        <v>6736</v>
      </c>
      <c r="D1935" s="71" t="s">
        <v>6737</v>
      </c>
      <c r="E1935" s="71"/>
      <c r="F1935" s="71"/>
      <c r="G1935" s="71"/>
      <c r="H1935" s="8" t="s">
        <v>6738</v>
      </c>
      <c r="I1935" s="9" t="s">
        <v>36</v>
      </c>
      <c r="J1935" s="8"/>
      <c r="K1935" s="6">
        <v>12</v>
      </c>
      <c r="L1935" s="10">
        <v>33.479999999999997</v>
      </c>
      <c r="M1935" s="11"/>
      <c r="N1935" s="8">
        <f>L1935*M1935</f>
        <v>0</v>
      </c>
      <c r="O1935" s="18">
        <f>0.03*M1935</f>
        <v>0</v>
      </c>
      <c r="P1935" s="13">
        <f>0.00049*M1935</f>
        <v>0</v>
      </c>
      <c r="Q1935" s="17" t="s">
        <v>37</v>
      </c>
      <c r="R1935" s="8" t="s">
        <v>6739</v>
      </c>
      <c r="S1935" s="8"/>
      <c r="T1935" s="7" t="str">
        <f>HYPERLINK("https://miland.ru/api/getInfo/image/50bad2a4-fb5c-11f0-a28e-00155d82e908")</f>
        <v>https://miland.ru/api/getInfo/image/50bad2a4-fb5c-11f0-a28e-00155d82e908</v>
      </c>
      <c r="U1935" s="7"/>
      <c r="V1935" s="7"/>
      <c r="W1935" s="7" t="s">
        <v>378</v>
      </c>
      <c r="X1935" s="7"/>
      <c r="Y1935" s="7" t="s">
        <v>41</v>
      </c>
      <c r="Z1935" s="7"/>
      <c r="AA1935" s="7" t="str">
        <f>HYPERLINK("https://miland.ru/api/getInfo/item/50bad2a4-fb5c-11f0-a28e-00155d82e908")</f>
        <v>https://miland.ru/api/getInfo/item/50bad2a4-fb5c-11f0-a28e-00155d82e908</v>
      </c>
      <c r="AB1935" s="7" t="s">
        <v>42</v>
      </c>
      <c r="AC1935" s="7"/>
      <c r="AD1935" s="7"/>
      <c r="AE1935" s="54"/>
    </row>
    <row r="1936" spans="2:31" s="1" customFormat="1" ht="96.3" customHeight="1" outlineLevel="7">
      <c r="B1936" s="58">
        <v>1482</v>
      </c>
      <c r="C1936" s="7" t="s">
        <v>6740</v>
      </c>
      <c r="D1936" s="71" t="s">
        <v>6741</v>
      </c>
      <c r="E1936" s="71"/>
      <c r="F1936" s="71"/>
      <c r="G1936" s="71"/>
      <c r="H1936" s="8" t="s">
        <v>6742</v>
      </c>
      <c r="I1936" s="9" t="s">
        <v>36</v>
      </c>
      <c r="J1936" s="8"/>
      <c r="K1936" s="6">
        <v>12</v>
      </c>
      <c r="L1936" s="10">
        <v>33.479999999999997</v>
      </c>
      <c r="M1936" s="11"/>
      <c r="N1936" s="8">
        <f>L1936*M1936</f>
        <v>0</v>
      </c>
      <c r="O1936" s="12">
        <f>0.029*M1936</f>
        <v>0</v>
      </c>
      <c r="P1936" s="13">
        <f>0.00036*M1936</f>
        <v>0</v>
      </c>
      <c r="Q1936" s="17" t="s">
        <v>37</v>
      </c>
      <c r="R1936" s="8" t="s">
        <v>6743</v>
      </c>
      <c r="S1936" s="8"/>
      <c r="T1936" s="7" t="str">
        <f>HYPERLINK("https://miland.ru/api/getInfo/image/3038c761-fb5c-11f0-a28e-00155d82e908")</f>
        <v>https://miland.ru/api/getInfo/image/3038c761-fb5c-11f0-a28e-00155d82e908</v>
      </c>
      <c r="U1936" s="7"/>
      <c r="V1936" s="7"/>
      <c r="W1936" s="7" t="s">
        <v>378</v>
      </c>
      <c r="X1936" s="7"/>
      <c r="Y1936" s="7" t="s">
        <v>41</v>
      </c>
      <c r="Z1936" s="7"/>
      <c r="AA1936" s="7" t="str">
        <f>HYPERLINK("https://miland.ru/api/getInfo/item/3038c761-fb5c-11f0-a28e-00155d82e908")</f>
        <v>https://miland.ru/api/getInfo/item/3038c761-fb5c-11f0-a28e-00155d82e908</v>
      </c>
      <c r="AB1936" s="7" t="s">
        <v>42</v>
      </c>
      <c r="AC1936" s="7"/>
      <c r="AD1936" s="7"/>
      <c r="AE1936" s="54"/>
    </row>
    <row r="1937" spans="2:31" s="1" customFormat="1" ht="96.3" customHeight="1" outlineLevel="7">
      <c r="B1937" s="58">
        <v>1483</v>
      </c>
      <c r="C1937" s="7" t="s">
        <v>6744</v>
      </c>
      <c r="D1937" s="71" t="s">
        <v>6745</v>
      </c>
      <c r="E1937" s="71"/>
      <c r="F1937" s="71"/>
      <c r="G1937" s="71"/>
      <c r="H1937" s="8" t="s">
        <v>6746</v>
      </c>
      <c r="I1937" s="9" t="s">
        <v>36</v>
      </c>
      <c r="J1937" s="8"/>
      <c r="K1937" s="6">
        <v>12</v>
      </c>
      <c r="L1937" s="10">
        <v>33.479999999999997</v>
      </c>
      <c r="M1937" s="11"/>
      <c r="N1937" s="8">
        <f>L1937*M1937</f>
        <v>0</v>
      </c>
      <c r="O1937" s="12">
        <f>0.034*M1937</f>
        <v>0</v>
      </c>
      <c r="P1937" s="13">
        <f>0.00759*M1937</f>
        <v>0</v>
      </c>
      <c r="Q1937" s="17" t="s">
        <v>37</v>
      </c>
      <c r="R1937" s="8" t="s">
        <v>6747</v>
      </c>
      <c r="S1937" s="8"/>
      <c r="T1937" s="7" t="str">
        <f>HYPERLINK("https://miland.ru/api/getInfo/image/fc9f9e3b-fb5b-11f0-a28e-00155d82e908")</f>
        <v>https://miland.ru/api/getInfo/image/fc9f9e3b-fb5b-11f0-a28e-00155d82e908</v>
      </c>
      <c r="U1937" s="7"/>
      <c r="V1937" s="7"/>
      <c r="W1937" s="7" t="s">
        <v>378</v>
      </c>
      <c r="X1937" s="7"/>
      <c r="Y1937" s="7" t="s">
        <v>41</v>
      </c>
      <c r="Z1937" s="7"/>
      <c r="AA1937" s="7" t="str">
        <f>HYPERLINK("https://miland.ru/api/getInfo/item/fc9f9e3b-fb5b-11f0-a28e-00155d82e908")</f>
        <v>https://miland.ru/api/getInfo/item/fc9f9e3b-fb5b-11f0-a28e-00155d82e908</v>
      </c>
      <c r="AB1937" s="7" t="s">
        <v>42</v>
      </c>
      <c r="AC1937" s="7"/>
      <c r="AD1937" s="7"/>
      <c r="AE1937" s="54"/>
    </row>
    <row r="1938" spans="2:31" s="1" customFormat="1" ht="96.3" customHeight="1" outlineLevel="7">
      <c r="B1938" s="58">
        <v>1484</v>
      </c>
      <c r="C1938" s="7" t="s">
        <v>6748</v>
      </c>
      <c r="D1938" s="71" t="s">
        <v>6749</v>
      </c>
      <c r="E1938" s="71"/>
      <c r="F1938" s="71"/>
      <c r="G1938" s="71"/>
      <c r="H1938" s="8" t="s">
        <v>6750</v>
      </c>
      <c r="I1938" s="9" t="s">
        <v>36</v>
      </c>
      <c r="J1938" s="8"/>
      <c r="K1938" s="6">
        <v>12</v>
      </c>
      <c r="L1938" s="10">
        <v>33.479999999999997</v>
      </c>
      <c r="M1938" s="11"/>
      <c r="N1938" s="8">
        <f>L1938*M1938</f>
        <v>0</v>
      </c>
      <c r="O1938" s="12">
        <f>0.031*M1938</f>
        <v>0</v>
      </c>
      <c r="P1938" s="13">
        <f>0.00042*M1938</f>
        <v>0</v>
      </c>
      <c r="Q1938" s="17" t="s">
        <v>37</v>
      </c>
      <c r="R1938" s="8" t="s">
        <v>6751</v>
      </c>
      <c r="S1938" s="8"/>
      <c r="T1938" s="7" t="str">
        <f>HYPERLINK("https://miland.ru/api/getInfo/image/650bf7c5-fb5c-11f0-a28e-00155d82e908")</f>
        <v>https://miland.ru/api/getInfo/image/650bf7c5-fb5c-11f0-a28e-00155d82e908</v>
      </c>
      <c r="U1938" s="7"/>
      <c r="V1938" s="7"/>
      <c r="W1938" s="7" t="s">
        <v>378</v>
      </c>
      <c r="X1938" s="7"/>
      <c r="Y1938" s="7" t="s">
        <v>41</v>
      </c>
      <c r="Z1938" s="7"/>
      <c r="AA1938" s="7" t="str">
        <f>HYPERLINK("https://miland.ru/api/getInfo/item/650bf7c5-fb5c-11f0-a28e-00155d82e908")</f>
        <v>https://miland.ru/api/getInfo/item/650bf7c5-fb5c-11f0-a28e-00155d82e908</v>
      </c>
      <c r="AB1938" s="7" t="s">
        <v>42</v>
      </c>
      <c r="AC1938" s="7"/>
      <c r="AD1938" s="7"/>
      <c r="AE1938" s="54"/>
    </row>
    <row r="1939" spans="2:31" ht="12" customHeight="1" outlineLevel="7">
      <c r="B1939" s="70" t="s">
        <v>6752</v>
      </c>
      <c r="C1939" s="70"/>
      <c r="D1939" s="70"/>
      <c r="E1939" s="70"/>
      <c r="F1939" s="70"/>
      <c r="G1939" s="70"/>
    </row>
    <row r="1940" spans="2:31" s="1" customFormat="1" ht="96.3" customHeight="1" outlineLevel="7">
      <c r="B1940" s="57">
        <v>1485</v>
      </c>
      <c r="C1940" s="21" t="s">
        <v>6753</v>
      </c>
      <c r="D1940" s="72" t="s">
        <v>6754</v>
      </c>
      <c r="E1940" s="72"/>
      <c r="F1940" s="72"/>
      <c r="G1940" s="72"/>
      <c r="H1940" s="22" t="s">
        <v>6755</v>
      </c>
      <c r="I1940" s="27">
        <v>168</v>
      </c>
      <c r="J1940" s="22"/>
      <c r="K1940" s="20">
        <v>12</v>
      </c>
      <c r="L1940" s="24">
        <v>36.9</v>
      </c>
      <c r="M1940" s="11"/>
      <c r="N1940" s="22">
        <f>L1940*M1940</f>
        <v>0</v>
      </c>
      <c r="O1940" s="25">
        <f>0.048*M1940</f>
        <v>0</v>
      </c>
      <c r="P1940" s="26">
        <f>0.00023*M1940</f>
        <v>0</v>
      </c>
      <c r="Q1940" s="30"/>
      <c r="R1940" s="22" t="s">
        <v>6756</v>
      </c>
      <c r="S1940" s="22" t="s">
        <v>435</v>
      </c>
      <c r="T1940" s="21" t="str">
        <f>HYPERLINK("https://miland.ru/api/getInfo/image/ab34fcd8-e522-11ee-a25a-00155d82e908")</f>
        <v>https://miland.ru/api/getInfo/image/ab34fcd8-e522-11ee-a25a-00155d82e908</v>
      </c>
      <c r="U1940" s="21"/>
      <c r="V1940" s="21" t="s">
        <v>6525</v>
      </c>
      <c r="W1940" s="21" t="s">
        <v>378</v>
      </c>
      <c r="X1940" s="21"/>
      <c r="Y1940" s="21" t="s">
        <v>41</v>
      </c>
      <c r="Z1940" s="21"/>
      <c r="AA1940" s="21" t="str">
        <f>HYPERLINK("https://miland.ru/api/getInfo/item/ab34fcd8-e522-11ee-a25a-00155d82e908")</f>
        <v>https://miland.ru/api/getInfo/item/ab34fcd8-e522-11ee-a25a-00155d82e908</v>
      </c>
      <c r="AB1940" s="21" t="s">
        <v>42</v>
      </c>
      <c r="AC1940" s="21" t="s">
        <v>6757</v>
      </c>
      <c r="AD1940" s="21"/>
    </row>
    <row r="1941" spans="2:31" ht="12" customHeight="1" outlineLevel="6">
      <c r="B1941" s="70" t="s">
        <v>384</v>
      </c>
      <c r="C1941" s="70"/>
      <c r="D1941" s="70"/>
      <c r="E1941" s="70"/>
      <c r="F1941" s="70"/>
      <c r="G1941" s="70"/>
    </row>
    <row r="1942" spans="2:31" s="1" customFormat="1" ht="96.3" customHeight="1" outlineLevel="7">
      <c r="B1942" s="58">
        <v>1486</v>
      </c>
      <c r="C1942" s="7" t="s">
        <v>6758</v>
      </c>
      <c r="D1942" s="71" t="s">
        <v>6759</v>
      </c>
      <c r="E1942" s="71"/>
      <c r="F1942" s="71"/>
      <c r="G1942" s="71"/>
      <c r="H1942" s="8" t="s">
        <v>6760</v>
      </c>
      <c r="I1942" s="9" t="s">
        <v>36</v>
      </c>
      <c r="J1942" s="8"/>
      <c r="K1942" s="6">
        <v>12</v>
      </c>
      <c r="L1942" s="10">
        <v>32.19</v>
      </c>
      <c r="M1942" s="11"/>
      <c r="N1942" s="8">
        <f>L1942*M1942</f>
        <v>0</v>
      </c>
      <c r="O1942" s="12">
        <f>0.028*M1942</f>
        <v>0</v>
      </c>
      <c r="P1942" s="13">
        <f>0.00067*M1942</f>
        <v>0</v>
      </c>
      <c r="Q1942" s="17" t="s">
        <v>37</v>
      </c>
      <c r="R1942" s="8" t="s">
        <v>6761</v>
      </c>
      <c r="S1942" s="8"/>
      <c r="T1942" s="7" t="str">
        <f>HYPERLINK("https://miland.ru/api/getInfo/image/9ae6ad29-fb5c-11f0-a28e-00155d82e908")</f>
        <v>https://miland.ru/api/getInfo/image/9ae6ad29-fb5c-11f0-a28e-00155d82e908</v>
      </c>
      <c r="U1942" s="7"/>
      <c r="V1942" s="7"/>
      <c r="W1942" s="7" t="s">
        <v>378</v>
      </c>
      <c r="X1942" s="7"/>
      <c r="Y1942" s="7" t="s">
        <v>41</v>
      </c>
      <c r="Z1942" s="7"/>
      <c r="AA1942" s="7" t="str">
        <f>HYPERLINK("https://miland.ru/api/getInfo/item/9ae6ad29-fb5c-11f0-a28e-00155d82e908")</f>
        <v>https://miland.ru/api/getInfo/item/9ae6ad29-fb5c-11f0-a28e-00155d82e908</v>
      </c>
      <c r="AB1942" s="7" t="s">
        <v>42</v>
      </c>
      <c r="AC1942" s="7"/>
      <c r="AD1942" s="7"/>
      <c r="AE1942" s="54"/>
    </row>
    <row r="1943" spans="2:31" s="1" customFormat="1" ht="96.3" customHeight="1" outlineLevel="7">
      <c r="B1943" s="58">
        <v>1487</v>
      </c>
      <c r="C1943" s="7" t="s">
        <v>6762</v>
      </c>
      <c r="D1943" s="71" t="s">
        <v>6763</v>
      </c>
      <c r="E1943" s="71"/>
      <c r="F1943" s="71"/>
      <c r="G1943" s="71"/>
      <c r="H1943" s="8" t="s">
        <v>6764</v>
      </c>
      <c r="I1943" s="9" t="s">
        <v>36</v>
      </c>
      <c r="J1943" s="8"/>
      <c r="K1943" s="6">
        <v>12</v>
      </c>
      <c r="L1943" s="10">
        <v>32.19</v>
      </c>
      <c r="M1943" s="11"/>
      <c r="N1943" s="8">
        <f>L1943*M1943</f>
        <v>0</v>
      </c>
      <c r="O1943" s="18">
        <f>0.03*M1943</f>
        <v>0</v>
      </c>
      <c r="P1943" s="13">
        <f>0.00028*M1943</f>
        <v>0</v>
      </c>
      <c r="Q1943" s="17" t="s">
        <v>37</v>
      </c>
      <c r="R1943" s="8" t="s">
        <v>6765</v>
      </c>
      <c r="S1943" s="8"/>
      <c r="T1943" s="7" t="str">
        <f>HYPERLINK("https://miland.ru/api/getInfo/image/18e448c0-fb5d-11f0-a28e-00155d82e908")</f>
        <v>https://miland.ru/api/getInfo/image/18e448c0-fb5d-11f0-a28e-00155d82e908</v>
      </c>
      <c r="U1943" s="7"/>
      <c r="V1943" s="7"/>
      <c r="W1943" s="7" t="s">
        <v>378</v>
      </c>
      <c r="X1943" s="7"/>
      <c r="Y1943" s="7" t="s">
        <v>41</v>
      </c>
      <c r="Z1943" s="7"/>
      <c r="AA1943" s="7" t="str">
        <f>HYPERLINK("https://miland.ru/api/getInfo/item/18e448c0-fb5d-11f0-a28e-00155d82e908")</f>
        <v>https://miland.ru/api/getInfo/item/18e448c0-fb5d-11f0-a28e-00155d82e908</v>
      </c>
      <c r="AB1943" s="7" t="s">
        <v>42</v>
      </c>
      <c r="AC1943" s="7"/>
      <c r="AD1943" s="7"/>
      <c r="AE1943" s="54"/>
    </row>
    <row r="1944" spans="2:31" s="1" customFormat="1" ht="96.3" customHeight="1" outlineLevel="7">
      <c r="B1944" s="58">
        <v>1488</v>
      </c>
      <c r="C1944" s="7" t="s">
        <v>6766</v>
      </c>
      <c r="D1944" s="71" t="s">
        <v>6767</v>
      </c>
      <c r="E1944" s="71"/>
      <c r="F1944" s="71"/>
      <c r="G1944" s="71"/>
      <c r="H1944" s="8" t="s">
        <v>6768</v>
      </c>
      <c r="I1944" s="9" t="s">
        <v>36</v>
      </c>
      <c r="J1944" s="8"/>
      <c r="K1944" s="6">
        <v>12</v>
      </c>
      <c r="L1944" s="10">
        <v>32.19</v>
      </c>
      <c r="M1944" s="11"/>
      <c r="N1944" s="8">
        <f>L1944*M1944</f>
        <v>0</v>
      </c>
      <c r="O1944" s="12">
        <f>0.026*M1944</f>
        <v>0</v>
      </c>
      <c r="P1944" s="13">
        <f>0.00043*M1944</f>
        <v>0</v>
      </c>
      <c r="Q1944" s="17" t="s">
        <v>37</v>
      </c>
      <c r="R1944" s="8" t="s">
        <v>6769</v>
      </c>
      <c r="S1944" s="8"/>
      <c r="T1944" s="7" t="str">
        <f>HYPERLINK("https://miland.ru/api/getInfo/image/add81b96-fb5c-11f0-a28e-00155d82e908")</f>
        <v>https://miland.ru/api/getInfo/image/add81b96-fb5c-11f0-a28e-00155d82e908</v>
      </c>
      <c r="U1944" s="7"/>
      <c r="V1944" s="7"/>
      <c r="W1944" s="7" t="s">
        <v>378</v>
      </c>
      <c r="X1944" s="7"/>
      <c r="Y1944" s="7" t="s">
        <v>41</v>
      </c>
      <c r="Z1944" s="7"/>
      <c r="AA1944" s="7" t="str">
        <f>HYPERLINK("https://miland.ru/api/getInfo/item/add81b96-fb5c-11f0-a28e-00155d82e908")</f>
        <v>https://miland.ru/api/getInfo/item/add81b96-fb5c-11f0-a28e-00155d82e908</v>
      </c>
      <c r="AB1944" s="7" t="s">
        <v>42</v>
      </c>
      <c r="AC1944" s="7"/>
      <c r="AD1944" s="7"/>
      <c r="AE1944" s="54"/>
    </row>
    <row r="1945" spans="2:31" s="1" customFormat="1" ht="96.3" customHeight="1" outlineLevel="7">
      <c r="B1945" s="58">
        <v>1489</v>
      </c>
      <c r="C1945" s="7" t="s">
        <v>6770</v>
      </c>
      <c r="D1945" s="71" t="s">
        <v>6771</v>
      </c>
      <c r="E1945" s="71"/>
      <c r="F1945" s="71"/>
      <c r="G1945" s="71"/>
      <c r="H1945" s="8" t="s">
        <v>6772</v>
      </c>
      <c r="I1945" s="9" t="s">
        <v>36</v>
      </c>
      <c r="J1945" s="8"/>
      <c r="K1945" s="6">
        <v>12</v>
      </c>
      <c r="L1945" s="10">
        <v>32.19</v>
      </c>
      <c r="M1945" s="11"/>
      <c r="N1945" s="8">
        <f>L1945*M1945</f>
        <v>0</v>
      </c>
      <c r="O1945" s="12">
        <f>0.031*M1945</f>
        <v>0</v>
      </c>
      <c r="P1945" s="13">
        <f>0.00059*M1945</f>
        <v>0</v>
      </c>
      <c r="Q1945" s="17" t="s">
        <v>37</v>
      </c>
      <c r="R1945" s="8" t="s">
        <v>6773</v>
      </c>
      <c r="S1945" s="8"/>
      <c r="T1945" s="7" t="str">
        <f>HYPERLINK("https://miland.ru/api/getInfo/image/02a6d9a7-fb5d-11f0-a28e-00155d82e908")</f>
        <v>https://miland.ru/api/getInfo/image/02a6d9a7-fb5d-11f0-a28e-00155d82e908</v>
      </c>
      <c r="U1945" s="7"/>
      <c r="V1945" s="7"/>
      <c r="W1945" s="7" t="s">
        <v>378</v>
      </c>
      <c r="X1945" s="7"/>
      <c r="Y1945" s="7" t="s">
        <v>41</v>
      </c>
      <c r="Z1945" s="7"/>
      <c r="AA1945" s="7" t="str">
        <f>HYPERLINK("https://miland.ru/api/getInfo/item/02a6d9a7-fb5d-11f0-a28e-00155d82e908")</f>
        <v>https://miland.ru/api/getInfo/item/02a6d9a7-fb5d-11f0-a28e-00155d82e908</v>
      </c>
      <c r="AB1945" s="7" t="s">
        <v>42</v>
      </c>
      <c r="AC1945" s="7"/>
      <c r="AD1945" s="7"/>
      <c r="AE1945" s="54"/>
    </row>
    <row r="1946" spans="2:31" s="1" customFormat="1" ht="96.3" customHeight="1" outlineLevel="7">
      <c r="B1946" s="58">
        <v>1490</v>
      </c>
      <c r="C1946" s="7" t="s">
        <v>6774</v>
      </c>
      <c r="D1946" s="71" t="s">
        <v>6775</v>
      </c>
      <c r="E1946" s="71"/>
      <c r="F1946" s="71"/>
      <c r="G1946" s="71"/>
      <c r="H1946" s="8" t="s">
        <v>6776</v>
      </c>
      <c r="I1946" s="9" t="s">
        <v>36</v>
      </c>
      <c r="J1946" s="8"/>
      <c r="K1946" s="6">
        <v>12</v>
      </c>
      <c r="L1946" s="10">
        <v>32.19</v>
      </c>
      <c r="M1946" s="11"/>
      <c r="N1946" s="8">
        <f>L1946*M1946</f>
        <v>0</v>
      </c>
      <c r="O1946" s="12">
        <f>0.029*M1946</f>
        <v>0</v>
      </c>
      <c r="P1946" s="13">
        <f>0.00017*M1946</f>
        <v>0</v>
      </c>
      <c r="Q1946" s="17" t="s">
        <v>37</v>
      </c>
      <c r="R1946" s="8" t="s">
        <v>6777</v>
      </c>
      <c r="S1946" s="8"/>
      <c r="T1946" s="7" t="str">
        <f>HYPERLINK("https://miland.ru/api/getInfo/image/367421d7-fb5d-11f0-a28e-00155d82e908")</f>
        <v>https://miland.ru/api/getInfo/image/367421d7-fb5d-11f0-a28e-00155d82e908</v>
      </c>
      <c r="U1946" s="7"/>
      <c r="V1946" s="7"/>
      <c r="W1946" s="7" t="s">
        <v>378</v>
      </c>
      <c r="X1946" s="7"/>
      <c r="Y1946" s="7" t="s">
        <v>41</v>
      </c>
      <c r="Z1946" s="7"/>
      <c r="AA1946" s="7" t="str">
        <f>HYPERLINK("https://miland.ru/api/getInfo/item/367421d7-fb5d-11f0-a28e-00155d82e908")</f>
        <v>https://miland.ru/api/getInfo/item/367421d7-fb5d-11f0-a28e-00155d82e908</v>
      </c>
      <c r="AB1946" s="7" t="s">
        <v>42</v>
      </c>
      <c r="AC1946" s="7"/>
      <c r="AD1946" s="7"/>
      <c r="AE1946" s="54"/>
    </row>
    <row r="1947" spans="2:31" ht="12" customHeight="1" outlineLevel="5">
      <c r="B1947" s="70" t="s">
        <v>6778</v>
      </c>
      <c r="C1947" s="70"/>
      <c r="D1947" s="70"/>
      <c r="E1947" s="70"/>
      <c r="F1947" s="70"/>
      <c r="G1947" s="70"/>
    </row>
    <row r="1948" spans="2:31" ht="12" customHeight="1" outlineLevel="6">
      <c r="B1948" s="70" t="s">
        <v>6779</v>
      </c>
      <c r="C1948" s="70"/>
      <c r="D1948" s="70"/>
      <c r="E1948" s="70"/>
      <c r="F1948" s="70"/>
      <c r="G1948" s="70"/>
    </row>
    <row r="1949" spans="2:31" ht="12" customHeight="1" outlineLevel="7">
      <c r="B1949" s="70" t="s">
        <v>6780</v>
      </c>
      <c r="C1949" s="70"/>
      <c r="D1949" s="70"/>
      <c r="E1949" s="70"/>
      <c r="F1949" s="70"/>
      <c r="G1949" s="70"/>
    </row>
    <row r="1950" spans="2:31" s="1" customFormat="1" ht="96.3" customHeight="1" outlineLevel="7">
      <c r="B1950" s="58">
        <v>1491</v>
      </c>
      <c r="C1950" s="7" t="s">
        <v>6781</v>
      </c>
      <c r="D1950" s="71" t="s">
        <v>6782</v>
      </c>
      <c r="E1950" s="71"/>
      <c r="F1950" s="71"/>
      <c r="G1950" s="71"/>
      <c r="H1950" s="8" t="s">
        <v>6783</v>
      </c>
      <c r="I1950" s="14">
        <v>348</v>
      </c>
      <c r="J1950" s="8"/>
      <c r="K1950" s="6">
        <v>12</v>
      </c>
      <c r="L1950" s="10">
        <v>47.46</v>
      </c>
      <c r="M1950" s="11"/>
      <c r="N1950" s="8">
        <f>L1950*M1950</f>
        <v>0</v>
      </c>
      <c r="O1950" s="12">
        <f>0.041*M1950</f>
        <v>0</v>
      </c>
      <c r="P1950" s="13">
        <f>0.00037*M1950</f>
        <v>0</v>
      </c>
      <c r="Q1950" s="17" t="s">
        <v>37</v>
      </c>
      <c r="R1950" s="8" t="s">
        <v>6784</v>
      </c>
      <c r="S1950" s="8"/>
      <c r="T1950" s="7" t="str">
        <f>HYPERLINK("https://miland.ru/api/getInfo/image/08ebb300-fb70-11f0-a28e-00155d82e908")</f>
        <v>https://miland.ru/api/getInfo/image/08ebb300-fb70-11f0-a28e-00155d82e908</v>
      </c>
      <c r="U1950" s="7"/>
      <c r="V1950" s="7"/>
      <c r="W1950" s="7" t="s">
        <v>378</v>
      </c>
      <c r="X1950" s="7"/>
      <c r="Y1950" s="7" t="s">
        <v>41</v>
      </c>
      <c r="Z1950" s="7"/>
      <c r="AA1950" s="7" t="str">
        <f>HYPERLINK("https://miland.ru/api/getInfo/item/08ebb300-fb70-11f0-a28e-00155d82e908")</f>
        <v>https://miland.ru/api/getInfo/item/08ebb300-fb70-11f0-a28e-00155d82e908</v>
      </c>
      <c r="AB1950" s="7" t="s">
        <v>42</v>
      </c>
      <c r="AC1950" s="7"/>
      <c r="AD1950" s="7"/>
      <c r="AE1950" s="54"/>
    </row>
    <row r="1951" spans="2:31" s="1" customFormat="1" ht="96.3" customHeight="1" outlineLevel="7">
      <c r="B1951" s="58">
        <v>1492</v>
      </c>
      <c r="C1951" s="7" t="s">
        <v>6785</v>
      </c>
      <c r="D1951" s="71" t="s">
        <v>6786</v>
      </c>
      <c r="E1951" s="71"/>
      <c r="F1951" s="71"/>
      <c r="G1951" s="71"/>
      <c r="H1951" s="8" t="s">
        <v>6787</v>
      </c>
      <c r="I1951" s="9" t="s">
        <v>36</v>
      </c>
      <c r="J1951" s="8"/>
      <c r="K1951" s="6">
        <v>12</v>
      </c>
      <c r="L1951" s="10">
        <v>47.46</v>
      </c>
      <c r="M1951" s="11"/>
      <c r="N1951" s="8">
        <f>L1951*M1951</f>
        <v>0</v>
      </c>
      <c r="O1951" s="18">
        <f>0.04*M1951</f>
        <v>0</v>
      </c>
      <c r="P1951" s="13">
        <f>0.00025*M1951</f>
        <v>0</v>
      </c>
      <c r="Q1951" s="17" t="s">
        <v>37</v>
      </c>
      <c r="R1951" s="8" t="s">
        <v>6788</v>
      </c>
      <c r="S1951" s="8"/>
      <c r="T1951" s="7" t="str">
        <f>HYPERLINK("https://miland.ru/api/getInfo/image/1e16e4a2-fb70-11f0-a28e-00155d82e908")</f>
        <v>https://miland.ru/api/getInfo/image/1e16e4a2-fb70-11f0-a28e-00155d82e908</v>
      </c>
      <c r="U1951" s="7"/>
      <c r="V1951" s="7"/>
      <c r="W1951" s="7" t="s">
        <v>378</v>
      </c>
      <c r="X1951" s="7"/>
      <c r="Y1951" s="7" t="s">
        <v>41</v>
      </c>
      <c r="Z1951" s="7"/>
      <c r="AA1951" s="7" t="str">
        <f>HYPERLINK("https://miland.ru/api/getInfo/item/1e16e4a2-fb70-11f0-a28e-00155d82e908")</f>
        <v>https://miland.ru/api/getInfo/item/1e16e4a2-fb70-11f0-a28e-00155d82e908</v>
      </c>
      <c r="AB1951" s="7" t="s">
        <v>42</v>
      </c>
      <c r="AC1951" s="7"/>
      <c r="AD1951" s="7"/>
      <c r="AE1951" s="54"/>
    </row>
    <row r="1952" spans="2:31" s="1" customFormat="1" ht="96.3" customHeight="1" outlineLevel="7">
      <c r="B1952" s="58">
        <v>1493</v>
      </c>
      <c r="C1952" s="7" t="s">
        <v>6789</v>
      </c>
      <c r="D1952" s="71" t="s">
        <v>6790</v>
      </c>
      <c r="E1952" s="71"/>
      <c r="F1952" s="71"/>
      <c r="G1952" s="71"/>
      <c r="H1952" s="8" t="s">
        <v>6791</v>
      </c>
      <c r="I1952" s="9" t="s">
        <v>36</v>
      </c>
      <c r="J1952" s="8"/>
      <c r="K1952" s="6">
        <v>12</v>
      </c>
      <c r="L1952" s="10">
        <v>47.46</v>
      </c>
      <c r="M1952" s="11"/>
      <c r="N1952" s="8">
        <f>L1952*M1952</f>
        <v>0</v>
      </c>
      <c r="O1952" s="12">
        <f>0.041*M1952</f>
        <v>0</v>
      </c>
      <c r="P1952" s="13">
        <f>0.00027*M1952</f>
        <v>0</v>
      </c>
      <c r="Q1952" s="17" t="s">
        <v>37</v>
      </c>
      <c r="R1952" s="8" t="s">
        <v>6792</v>
      </c>
      <c r="S1952" s="8"/>
      <c r="T1952" s="7" t="str">
        <f>HYPERLINK("https://miland.ru/api/getInfo/image/4a5394b3-fb70-11f0-a28e-00155d82e908")</f>
        <v>https://miland.ru/api/getInfo/image/4a5394b3-fb70-11f0-a28e-00155d82e908</v>
      </c>
      <c r="U1952" s="7"/>
      <c r="V1952" s="7"/>
      <c r="W1952" s="7" t="s">
        <v>378</v>
      </c>
      <c r="X1952" s="7"/>
      <c r="Y1952" s="7" t="s">
        <v>41</v>
      </c>
      <c r="Z1952" s="7"/>
      <c r="AA1952" s="7" t="str">
        <f>HYPERLINK("https://miland.ru/api/getInfo/item/4a5394b3-fb70-11f0-a28e-00155d82e908")</f>
        <v>https://miland.ru/api/getInfo/item/4a5394b3-fb70-11f0-a28e-00155d82e908</v>
      </c>
      <c r="AB1952" s="7" t="s">
        <v>42</v>
      </c>
      <c r="AC1952" s="7"/>
      <c r="AD1952" s="7"/>
      <c r="AE1952" s="54"/>
    </row>
    <row r="1953" spans="2:31" s="1" customFormat="1" ht="96.3" customHeight="1" outlineLevel="7">
      <c r="B1953" s="58">
        <v>1494</v>
      </c>
      <c r="C1953" s="7" t="s">
        <v>6793</v>
      </c>
      <c r="D1953" s="71" t="s">
        <v>6794</v>
      </c>
      <c r="E1953" s="71"/>
      <c r="F1953" s="71"/>
      <c r="G1953" s="71"/>
      <c r="H1953" s="8" t="s">
        <v>6795</v>
      </c>
      <c r="I1953" s="9" t="s">
        <v>36</v>
      </c>
      <c r="J1953" s="8"/>
      <c r="K1953" s="6">
        <v>12</v>
      </c>
      <c r="L1953" s="10">
        <v>47.46</v>
      </c>
      <c r="M1953" s="11"/>
      <c r="N1953" s="8">
        <f>L1953*M1953</f>
        <v>0</v>
      </c>
      <c r="O1953" s="12">
        <f>0.042*M1953</f>
        <v>0</v>
      </c>
      <c r="P1953" s="13">
        <f>0.00063*M1953</f>
        <v>0</v>
      </c>
      <c r="Q1953" s="17" t="s">
        <v>37</v>
      </c>
      <c r="R1953" s="8" t="s">
        <v>6796</v>
      </c>
      <c r="S1953" s="8"/>
      <c r="T1953" s="7" t="str">
        <f>HYPERLINK("https://miland.ru/api/getInfo/image/32e4659c-fb70-11f0-a28e-00155d82e908")</f>
        <v>https://miland.ru/api/getInfo/image/32e4659c-fb70-11f0-a28e-00155d82e908</v>
      </c>
      <c r="U1953" s="7"/>
      <c r="V1953" s="7"/>
      <c r="W1953" s="7" t="s">
        <v>378</v>
      </c>
      <c r="X1953" s="7"/>
      <c r="Y1953" s="7" t="s">
        <v>41</v>
      </c>
      <c r="Z1953" s="7"/>
      <c r="AA1953" s="7" t="str">
        <f>HYPERLINK("https://miland.ru/api/getInfo/item/32e4659c-fb70-11f0-a28e-00155d82e908")</f>
        <v>https://miland.ru/api/getInfo/item/32e4659c-fb70-11f0-a28e-00155d82e908</v>
      </c>
      <c r="AB1953" s="7" t="s">
        <v>42</v>
      </c>
      <c r="AC1953" s="7"/>
      <c r="AD1953" s="7"/>
      <c r="AE1953" s="54"/>
    </row>
    <row r="1954" spans="2:31" ht="12" customHeight="1" outlineLevel="7">
      <c r="B1954" s="70" t="s">
        <v>6797</v>
      </c>
      <c r="C1954" s="70"/>
      <c r="D1954" s="70"/>
      <c r="E1954" s="70"/>
      <c r="F1954" s="70"/>
      <c r="G1954" s="70"/>
    </row>
    <row r="1955" spans="2:31" s="1" customFormat="1" ht="96.3" customHeight="1" outlineLevel="7">
      <c r="B1955" s="58">
        <v>1495</v>
      </c>
      <c r="C1955" s="7" t="s">
        <v>6798</v>
      </c>
      <c r="D1955" s="71" t="s">
        <v>6799</v>
      </c>
      <c r="E1955" s="71"/>
      <c r="F1955" s="71"/>
      <c r="G1955" s="71"/>
      <c r="H1955" s="8" t="s">
        <v>6800</v>
      </c>
      <c r="I1955" s="9" t="s">
        <v>36</v>
      </c>
      <c r="J1955" s="8"/>
      <c r="K1955" s="6">
        <v>12</v>
      </c>
      <c r="L1955" s="10">
        <v>62.39</v>
      </c>
      <c r="M1955" s="11"/>
      <c r="N1955" s="8">
        <f t="shared" ref="N1955:N1974" si="88">L1955*M1955</f>
        <v>0</v>
      </c>
      <c r="O1955" s="12">
        <f>0.041*M1955</f>
        <v>0</v>
      </c>
      <c r="P1955" s="13">
        <f>0.00051*M1955</f>
        <v>0</v>
      </c>
      <c r="Q1955" s="17" t="s">
        <v>37</v>
      </c>
      <c r="R1955" s="8" t="s">
        <v>6801</v>
      </c>
      <c r="S1955" s="8"/>
      <c r="T1955" s="7" t="str">
        <f>HYPERLINK("https://miland.ru/api/getInfo/image/1ac94c57-fb5f-11f0-a28e-00155d82e908")</f>
        <v>https://miland.ru/api/getInfo/image/1ac94c57-fb5f-11f0-a28e-00155d82e908</v>
      </c>
      <c r="U1955" s="7"/>
      <c r="V1955" s="7"/>
      <c r="W1955" s="7" t="s">
        <v>378</v>
      </c>
      <c r="X1955" s="7"/>
      <c r="Y1955" s="7" t="s">
        <v>41</v>
      </c>
      <c r="Z1955" s="7"/>
      <c r="AA1955" s="7" t="str">
        <f>HYPERLINK("https://miland.ru/api/getInfo/item/1ac94c57-fb5f-11f0-a28e-00155d82e908")</f>
        <v>https://miland.ru/api/getInfo/item/1ac94c57-fb5f-11f0-a28e-00155d82e908</v>
      </c>
      <c r="AB1955" s="7" t="s">
        <v>42</v>
      </c>
      <c r="AC1955" s="7"/>
      <c r="AD1955" s="7"/>
      <c r="AE1955" s="54"/>
    </row>
    <row r="1956" spans="2:31" s="1" customFormat="1" ht="96.3" customHeight="1" outlineLevel="7">
      <c r="B1956" s="58">
        <v>1496</v>
      </c>
      <c r="C1956" s="7" t="s">
        <v>6802</v>
      </c>
      <c r="D1956" s="71" t="s">
        <v>6803</v>
      </c>
      <c r="E1956" s="71"/>
      <c r="F1956" s="71"/>
      <c r="G1956" s="71"/>
      <c r="H1956" s="8" t="s">
        <v>6804</v>
      </c>
      <c r="I1956" s="9" t="s">
        <v>36</v>
      </c>
      <c r="J1956" s="8"/>
      <c r="K1956" s="6">
        <v>12</v>
      </c>
      <c r="L1956" s="10">
        <v>62.39</v>
      </c>
      <c r="M1956" s="11"/>
      <c r="N1956" s="8">
        <f t="shared" si="88"/>
        <v>0</v>
      </c>
      <c r="O1956" s="12">
        <f>0.043*M1956</f>
        <v>0</v>
      </c>
      <c r="P1956" s="13">
        <f>0.00036*M1956</f>
        <v>0</v>
      </c>
      <c r="Q1956" s="17" t="s">
        <v>37</v>
      </c>
      <c r="R1956" s="8" t="s">
        <v>6805</v>
      </c>
      <c r="S1956" s="8"/>
      <c r="T1956" s="7" t="str">
        <f>HYPERLINK("https://miland.ru/api/getInfo/image/87940858-fb5e-11f0-a28e-00155d82e908")</f>
        <v>https://miland.ru/api/getInfo/image/87940858-fb5e-11f0-a28e-00155d82e908</v>
      </c>
      <c r="U1956" s="7"/>
      <c r="V1956" s="7"/>
      <c r="W1956" s="7" t="s">
        <v>378</v>
      </c>
      <c r="X1956" s="7"/>
      <c r="Y1956" s="7" t="s">
        <v>41</v>
      </c>
      <c r="Z1956" s="7"/>
      <c r="AA1956" s="7" t="str">
        <f>HYPERLINK("https://miland.ru/api/getInfo/item/87940858-fb5e-11f0-a28e-00155d82e908")</f>
        <v>https://miland.ru/api/getInfo/item/87940858-fb5e-11f0-a28e-00155d82e908</v>
      </c>
      <c r="AB1956" s="7" t="s">
        <v>42</v>
      </c>
      <c r="AC1956" s="7"/>
      <c r="AD1956" s="7"/>
      <c r="AE1956" s="54"/>
    </row>
    <row r="1957" spans="2:31" s="1" customFormat="1" ht="96.3" customHeight="1" outlineLevel="7">
      <c r="B1957" s="58">
        <v>1497</v>
      </c>
      <c r="C1957" s="7" t="s">
        <v>6806</v>
      </c>
      <c r="D1957" s="71" t="s">
        <v>6807</v>
      </c>
      <c r="E1957" s="71"/>
      <c r="F1957" s="71"/>
      <c r="G1957" s="71"/>
      <c r="H1957" s="8" t="s">
        <v>6808</v>
      </c>
      <c r="I1957" s="9" t="s">
        <v>36</v>
      </c>
      <c r="J1957" s="8"/>
      <c r="K1957" s="6">
        <v>12</v>
      </c>
      <c r="L1957" s="10">
        <v>62.39</v>
      </c>
      <c r="M1957" s="11"/>
      <c r="N1957" s="8">
        <f t="shared" si="88"/>
        <v>0</v>
      </c>
      <c r="O1957" s="12">
        <f>0.044*M1957</f>
        <v>0</v>
      </c>
      <c r="P1957" s="13">
        <f>0.00026*M1957</f>
        <v>0</v>
      </c>
      <c r="Q1957" s="17" t="s">
        <v>37</v>
      </c>
      <c r="R1957" s="8" t="s">
        <v>6809</v>
      </c>
      <c r="S1957" s="8"/>
      <c r="T1957" s="7" t="str">
        <f>HYPERLINK("https://miland.ru/api/getInfo/image/54e885c4-fb5e-11f0-a28e-00155d82e908")</f>
        <v>https://miland.ru/api/getInfo/image/54e885c4-fb5e-11f0-a28e-00155d82e908</v>
      </c>
      <c r="U1957" s="7"/>
      <c r="V1957" s="7"/>
      <c r="W1957" s="7" t="s">
        <v>378</v>
      </c>
      <c r="X1957" s="7"/>
      <c r="Y1957" s="7" t="s">
        <v>41</v>
      </c>
      <c r="Z1957" s="7"/>
      <c r="AA1957" s="7" t="str">
        <f>HYPERLINK("https://miland.ru/api/getInfo/item/54e885c4-fb5e-11f0-a28e-00155d82e908")</f>
        <v>https://miland.ru/api/getInfo/item/54e885c4-fb5e-11f0-a28e-00155d82e908</v>
      </c>
      <c r="AB1957" s="7" t="s">
        <v>42</v>
      </c>
      <c r="AC1957" s="7"/>
      <c r="AD1957" s="7"/>
      <c r="AE1957" s="54"/>
    </row>
    <row r="1958" spans="2:31" s="1" customFormat="1" ht="96.3" customHeight="1" outlineLevel="7">
      <c r="B1958" s="58">
        <v>1498</v>
      </c>
      <c r="C1958" s="7" t="s">
        <v>6810</v>
      </c>
      <c r="D1958" s="71" t="s">
        <v>6811</v>
      </c>
      <c r="E1958" s="71"/>
      <c r="F1958" s="71"/>
      <c r="G1958" s="71"/>
      <c r="H1958" s="8" t="s">
        <v>6812</v>
      </c>
      <c r="I1958" s="9" t="s">
        <v>36</v>
      </c>
      <c r="J1958" s="8"/>
      <c r="K1958" s="6">
        <v>12</v>
      </c>
      <c r="L1958" s="10">
        <v>62.39</v>
      </c>
      <c r="M1958" s="11"/>
      <c r="N1958" s="8">
        <f t="shared" si="88"/>
        <v>0</v>
      </c>
      <c r="O1958" s="12">
        <f>0.045*M1958</f>
        <v>0</v>
      </c>
      <c r="P1958" s="16">
        <f>0.0005*M1958</f>
        <v>0</v>
      </c>
      <c r="Q1958" s="17" t="s">
        <v>37</v>
      </c>
      <c r="R1958" s="8" t="s">
        <v>6813</v>
      </c>
      <c r="S1958" s="8"/>
      <c r="T1958" s="7" t="str">
        <f>HYPERLINK("https://miland.ru/api/getInfo/image/6f7d442b-fb5e-11f0-a28e-00155d82e908")</f>
        <v>https://miland.ru/api/getInfo/image/6f7d442b-fb5e-11f0-a28e-00155d82e908</v>
      </c>
      <c r="U1958" s="7"/>
      <c r="V1958" s="7"/>
      <c r="W1958" s="7" t="s">
        <v>378</v>
      </c>
      <c r="X1958" s="7"/>
      <c r="Y1958" s="7" t="s">
        <v>41</v>
      </c>
      <c r="Z1958" s="7"/>
      <c r="AA1958" s="7" t="str">
        <f>HYPERLINK("https://miland.ru/api/getInfo/item/6f7d442b-fb5e-11f0-a28e-00155d82e908")</f>
        <v>https://miland.ru/api/getInfo/item/6f7d442b-fb5e-11f0-a28e-00155d82e908</v>
      </c>
      <c r="AB1958" s="7" t="s">
        <v>42</v>
      </c>
      <c r="AC1958" s="7"/>
      <c r="AD1958" s="7"/>
      <c r="AE1958" s="54"/>
    </row>
    <row r="1959" spans="2:31" s="1" customFormat="1" ht="96.3" customHeight="1" outlineLevel="7">
      <c r="B1959" s="57">
        <v>1499</v>
      </c>
      <c r="C1959" s="21" t="s">
        <v>6814</v>
      </c>
      <c r="D1959" s="72" t="s">
        <v>6815</v>
      </c>
      <c r="E1959" s="72"/>
      <c r="F1959" s="72"/>
      <c r="G1959" s="72"/>
      <c r="H1959" s="22" t="s">
        <v>6816</v>
      </c>
      <c r="I1959" s="23" t="s">
        <v>36</v>
      </c>
      <c r="J1959" s="22"/>
      <c r="K1959" s="20">
        <v>12</v>
      </c>
      <c r="L1959" s="24">
        <v>62.39</v>
      </c>
      <c r="M1959" s="11"/>
      <c r="N1959" s="22">
        <f t="shared" si="88"/>
        <v>0</v>
      </c>
      <c r="O1959" s="25">
        <f>11.949*M1959</f>
        <v>0</v>
      </c>
      <c r="P1959" s="26">
        <f>0.04289*M1959</f>
        <v>0</v>
      </c>
      <c r="Q1959" s="30"/>
      <c r="R1959" s="22" t="s">
        <v>6817</v>
      </c>
      <c r="S1959" s="22" t="s">
        <v>435</v>
      </c>
      <c r="T1959" s="21" t="str">
        <f>HYPERLINK("https://miland.ru/api/getInfo/image/0d16f1e6-a332-11ef-a267-00155d82e908")</f>
        <v>https://miland.ru/api/getInfo/image/0d16f1e6-a332-11ef-a267-00155d82e908</v>
      </c>
      <c r="U1959" s="21"/>
      <c r="V1959" s="21" t="s">
        <v>6525</v>
      </c>
      <c r="W1959" s="21" t="s">
        <v>378</v>
      </c>
      <c r="X1959" s="21"/>
      <c r="Y1959" s="21" t="s">
        <v>41</v>
      </c>
      <c r="Z1959" s="21"/>
      <c r="AA1959" s="21" t="str">
        <f>HYPERLINK("https://miland.ru/api/getInfo/item/0d16f1e6-a332-11ef-a267-00155d82e908")</f>
        <v>https://miland.ru/api/getInfo/item/0d16f1e6-a332-11ef-a267-00155d82e908</v>
      </c>
      <c r="AB1959" s="21" t="s">
        <v>42</v>
      </c>
      <c r="AC1959" s="21" t="s">
        <v>6818</v>
      </c>
      <c r="AD1959" s="21"/>
    </row>
    <row r="1960" spans="2:31" s="1" customFormat="1" ht="96.3" customHeight="1" outlineLevel="7">
      <c r="B1960" s="58">
        <v>1500</v>
      </c>
      <c r="C1960" s="7" t="s">
        <v>6819</v>
      </c>
      <c r="D1960" s="71" t="s">
        <v>6820</v>
      </c>
      <c r="E1960" s="71"/>
      <c r="F1960" s="71"/>
      <c r="G1960" s="71"/>
      <c r="H1960" s="8" t="s">
        <v>6821</v>
      </c>
      <c r="I1960" s="9" t="s">
        <v>36</v>
      </c>
      <c r="J1960" s="8"/>
      <c r="K1960" s="6">
        <v>12</v>
      </c>
      <c r="L1960" s="10">
        <v>62.39</v>
      </c>
      <c r="M1960" s="11"/>
      <c r="N1960" s="8">
        <f t="shared" si="88"/>
        <v>0</v>
      </c>
      <c r="O1960" s="18">
        <f>0.04*M1960</f>
        <v>0</v>
      </c>
      <c r="P1960" s="13">
        <f>0.00043*M1960</f>
        <v>0</v>
      </c>
      <c r="Q1960" s="17" t="s">
        <v>37</v>
      </c>
      <c r="R1960" s="8" t="s">
        <v>6822</v>
      </c>
      <c r="S1960" s="8"/>
      <c r="T1960" s="7" t="str">
        <f>HYPERLINK("https://miland.ru/api/getInfo/image/71c13990-fb5f-11f0-a28e-00155d82e908")</f>
        <v>https://miland.ru/api/getInfo/image/71c13990-fb5f-11f0-a28e-00155d82e908</v>
      </c>
      <c r="U1960" s="7"/>
      <c r="V1960" s="7"/>
      <c r="W1960" s="7" t="s">
        <v>378</v>
      </c>
      <c r="X1960" s="7"/>
      <c r="Y1960" s="7" t="s">
        <v>41</v>
      </c>
      <c r="Z1960" s="7"/>
      <c r="AA1960" s="7" t="str">
        <f>HYPERLINK("https://miland.ru/api/getInfo/item/71c13990-fb5f-11f0-a28e-00155d82e908")</f>
        <v>https://miland.ru/api/getInfo/item/71c13990-fb5f-11f0-a28e-00155d82e908</v>
      </c>
      <c r="AB1960" s="7" t="s">
        <v>42</v>
      </c>
      <c r="AC1960" s="7"/>
      <c r="AD1960" s="7"/>
      <c r="AE1960" s="54"/>
    </row>
    <row r="1961" spans="2:31" s="1" customFormat="1" ht="96.3" customHeight="1" outlineLevel="7">
      <c r="B1961" s="57">
        <v>1501</v>
      </c>
      <c r="C1961" s="21" t="s">
        <v>6823</v>
      </c>
      <c r="D1961" s="72" t="s">
        <v>6824</v>
      </c>
      <c r="E1961" s="72"/>
      <c r="F1961" s="72"/>
      <c r="G1961" s="72"/>
      <c r="H1961" s="22" t="s">
        <v>6825</v>
      </c>
      <c r="I1961" s="23" t="s">
        <v>36</v>
      </c>
      <c r="J1961" s="22"/>
      <c r="K1961" s="20">
        <v>12</v>
      </c>
      <c r="L1961" s="24">
        <v>62.39</v>
      </c>
      <c r="M1961" s="11"/>
      <c r="N1961" s="22">
        <f t="shared" si="88"/>
        <v>0</v>
      </c>
      <c r="O1961" s="25">
        <f>0.048*M1961</f>
        <v>0</v>
      </c>
      <c r="P1961" s="26">
        <f>0.00012*M1961</f>
        <v>0</v>
      </c>
      <c r="Q1961" s="30"/>
      <c r="R1961" s="22" t="s">
        <v>6826</v>
      </c>
      <c r="S1961" s="22" t="s">
        <v>435</v>
      </c>
      <c r="T1961" s="21" t="str">
        <f>HYPERLINK("https://miland.ru/api/getInfo/image/e2ab0aad-a331-11ef-a267-00155d82e908")</f>
        <v>https://miland.ru/api/getInfo/image/e2ab0aad-a331-11ef-a267-00155d82e908</v>
      </c>
      <c r="U1961" s="21"/>
      <c r="V1961" s="21" t="s">
        <v>6525</v>
      </c>
      <c r="W1961" s="21" t="s">
        <v>378</v>
      </c>
      <c r="X1961" s="21"/>
      <c r="Y1961" s="21" t="s">
        <v>41</v>
      </c>
      <c r="Z1961" s="21"/>
      <c r="AA1961" s="21" t="str">
        <f>HYPERLINK("https://miland.ru/api/getInfo/item/e2ab0aad-a331-11ef-a267-00155d82e908")</f>
        <v>https://miland.ru/api/getInfo/item/e2ab0aad-a331-11ef-a267-00155d82e908</v>
      </c>
      <c r="AB1961" s="21" t="s">
        <v>42</v>
      </c>
      <c r="AC1961" s="21" t="s">
        <v>6818</v>
      </c>
      <c r="AD1961" s="21"/>
    </row>
    <row r="1962" spans="2:31" s="1" customFormat="1" ht="96.3" customHeight="1" outlineLevel="7">
      <c r="B1962" s="58">
        <v>1502</v>
      </c>
      <c r="C1962" s="7" t="s">
        <v>6827</v>
      </c>
      <c r="D1962" s="71" t="s">
        <v>6828</v>
      </c>
      <c r="E1962" s="71"/>
      <c r="F1962" s="71"/>
      <c r="G1962" s="71"/>
      <c r="H1962" s="8" t="s">
        <v>6829</v>
      </c>
      <c r="I1962" s="9" t="s">
        <v>36</v>
      </c>
      <c r="J1962" s="8"/>
      <c r="K1962" s="6">
        <v>12</v>
      </c>
      <c r="L1962" s="10">
        <v>62.39</v>
      </c>
      <c r="M1962" s="11"/>
      <c r="N1962" s="8">
        <f t="shared" si="88"/>
        <v>0</v>
      </c>
      <c r="O1962" s="12">
        <f>0.046*M1962</f>
        <v>0</v>
      </c>
      <c r="P1962" s="13">
        <f>0.00051*M1962</f>
        <v>0</v>
      </c>
      <c r="Q1962" s="17" t="s">
        <v>37</v>
      </c>
      <c r="R1962" s="8" t="s">
        <v>6830</v>
      </c>
      <c r="S1962" s="8"/>
      <c r="T1962" s="7" t="str">
        <f>HYPERLINK("https://miland.ru/api/getInfo/image/f775e8a4-fb5e-11f0-a28e-00155d82e908")</f>
        <v>https://miland.ru/api/getInfo/image/f775e8a4-fb5e-11f0-a28e-00155d82e908</v>
      </c>
      <c r="U1962" s="7"/>
      <c r="V1962" s="7"/>
      <c r="W1962" s="7" t="s">
        <v>378</v>
      </c>
      <c r="X1962" s="7"/>
      <c r="Y1962" s="7" t="s">
        <v>41</v>
      </c>
      <c r="Z1962" s="7"/>
      <c r="AA1962" s="7" t="str">
        <f>HYPERLINK("https://miland.ru/api/getInfo/item/f775e8a4-fb5e-11f0-a28e-00155d82e908")</f>
        <v>https://miland.ru/api/getInfo/item/f775e8a4-fb5e-11f0-a28e-00155d82e908</v>
      </c>
      <c r="AB1962" s="7" t="s">
        <v>42</v>
      </c>
      <c r="AC1962" s="7"/>
      <c r="AD1962" s="7"/>
      <c r="AE1962" s="54"/>
    </row>
    <row r="1963" spans="2:31" s="1" customFormat="1" ht="96.3" customHeight="1" outlineLevel="7">
      <c r="B1963" s="58">
        <v>1503</v>
      </c>
      <c r="C1963" s="7" t="s">
        <v>6831</v>
      </c>
      <c r="D1963" s="71" t="s">
        <v>6832</v>
      </c>
      <c r="E1963" s="71"/>
      <c r="F1963" s="71"/>
      <c r="G1963" s="71"/>
      <c r="H1963" s="8" t="s">
        <v>6833</v>
      </c>
      <c r="I1963" s="9" t="s">
        <v>36</v>
      </c>
      <c r="J1963" s="8"/>
      <c r="K1963" s="6">
        <v>12</v>
      </c>
      <c r="L1963" s="10">
        <v>62.39</v>
      </c>
      <c r="M1963" s="11"/>
      <c r="N1963" s="8">
        <f t="shared" si="88"/>
        <v>0</v>
      </c>
      <c r="O1963" s="12">
        <f>0.045*M1963</f>
        <v>0</v>
      </c>
      <c r="P1963" s="13">
        <f>0.00047*M1963</f>
        <v>0</v>
      </c>
      <c r="Q1963" s="17" t="s">
        <v>37</v>
      </c>
      <c r="R1963" s="8" t="s">
        <v>6834</v>
      </c>
      <c r="S1963" s="8"/>
      <c r="T1963" s="7" t="str">
        <f>HYPERLINK("https://miland.ru/api/getInfo/image/ac88c14d-fb5e-11f0-a28e-00155d82e908")</f>
        <v>https://miland.ru/api/getInfo/image/ac88c14d-fb5e-11f0-a28e-00155d82e908</v>
      </c>
      <c r="U1963" s="7"/>
      <c r="V1963" s="7"/>
      <c r="W1963" s="7" t="s">
        <v>378</v>
      </c>
      <c r="X1963" s="7"/>
      <c r="Y1963" s="7" t="s">
        <v>41</v>
      </c>
      <c r="Z1963" s="7"/>
      <c r="AA1963" s="7" t="str">
        <f>HYPERLINK("https://miland.ru/api/getInfo/item/ac88c14d-fb5e-11f0-a28e-00155d82e908")</f>
        <v>https://miland.ru/api/getInfo/item/ac88c14d-fb5e-11f0-a28e-00155d82e908</v>
      </c>
      <c r="AB1963" s="7" t="s">
        <v>42</v>
      </c>
      <c r="AC1963" s="7"/>
      <c r="AD1963" s="7"/>
      <c r="AE1963" s="54"/>
    </row>
    <row r="1964" spans="2:31" s="1" customFormat="1" ht="96.3" customHeight="1" outlineLevel="7">
      <c r="B1964" s="58">
        <v>1504</v>
      </c>
      <c r="C1964" s="7" t="s">
        <v>6835</v>
      </c>
      <c r="D1964" s="71" t="s">
        <v>6836</v>
      </c>
      <c r="E1964" s="71"/>
      <c r="F1964" s="71"/>
      <c r="G1964" s="71"/>
      <c r="H1964" s="8" t="s">
        <v>6837</v>
      </c>
      <c r="I1964" s="9" t="s">
        <v>36</v>
      </c>
      <c r="J1964" s="8"/>
      <c r="K1964" s="6">
        <v>12</v>
      </c>
      <c r="L1964" s="10">
        <v>62.39</v>
      </c>
      <c r="M1964" s="11"/>
      <c r="N1964" s="8">
        <f t="shared" si="88"/>
        <v>0</v>
      </c>
      <c r="O1964" s="12">
        <f>0.045*M1964</f>
        <v>0</v>
      </c>
      <c r="P1964" s="13">
        <f>0.00074*M1964</f>
        <v>0</v>
      </c>
      <c r="Q1964" s="17" t="s">
        <v>37</v>
      </c>
      <c r="R1964" s="8" t="s">
        <v>6838</v>
      </c>
      <c r="S1964" s="8"/>
      <c r="T1964" s="7" t="str">
        <f>HYPERLINK("https://miland.ru/api/getInfo/image/cbc9cd9f-fb5e-11f0-a28e-00155d82e908")</f>
        <v>https://miland.ru/api/getInfo/image/cbc9cd9f-fb5e-11f0-a28e-00155d82e908</v>
      </c>
      <c r="U1964" s="7"/>
      <c r="V1964" s="7"/>
      <c r="W1964" s="7" t="s">
        <v>378</v>
      </c>
      <c r="X1964" s="7"/>
      <c r="Y1964" s="7" t="s">
        <v>41</v>
      </c>
      <c r="Z1964" s="7"/>
      <c r="AA1964" s="7" t="str">
        <f>HYPERLINK("https://miland.ru/api/getInfo/item/cbc9cd9f-fb5e-11f0-a28e-00155d82e908")</f>
        <v>https://miland.ru/api/getInfo/item/cbc9cd9f-fb5e-11f0-a28e-00155d82e908</v>
      </c>
      <c r="AB1964" s="7" t="s">
        <v>42</v>
      </c>
      <c r="AC1964" s="7"/>
      <c r="AD1964" s="7"/>
      <c r="AE1964" s="54"/>
    </row>
    <row r="1965" spans="2:31" s="1" customFormat="1" ht="96.3" customHeight="1" outlineLevel="7">
      <c r="B1965" s="57">
        <v>1505</v>
      </c>
      <c r="C1965" s="21" t="s">
        <v>6839</v>
      </c>
      <c r="D1965" s="72" t="s">
        <v>6840</v>
      </c>
      <c r="E1965" s="72"/>
      <c r="F1965" s="72"/>
      <c r="G1965" s="72"/>
      <c r="H1965" s="22" t="s">
        <v>6841</v>
      </c>
      <c r="I1965" s="23" t="s">
        <v>36</v>
      </c>
      <c r="J1965" s="22"/>
      <c r="K1965" s="20">
        <v>12</v>
      </c>
      <c r="L1965" s="24">
        <v>62.39</v>
      </c>
      <c r="M1965" s="11"/>
      <c r="N1965" s="22">
        <f t="shared" si="88"/>
        <v>0</v>
      </c>
      <c r="O1965" s="25">
        <f>0.031*M1965</f>
        <v>0</v>
      </c>
      <c r="P1965" s="26">
        <f>0.00017*M1965</f>
        <v>0</v>
      </c>
      <c r="Q1965" s="30"/>
      <c r="R1965" s="22" t="s">
        <v>6842</v>
      </c>
      <c r="S1965" s="22" t="s">
        <v>435</v>
      </c>
      <c r="T1965" s="21" t="str">
        <f>HYPERLINK("https://miland.ru/api/getInfo/image/d87967d0-a333-11ef-a267-00155d82e908")</f>
        <v>https://miland.ru/api/getInfo/image/d87967d0-a333-11ef-a267-00155d82e908</v>
      </c>
      <c r="U1965" s="21"/>
      <c r="V1965" s="21" t="s">
        <v>6525</v>
      </c>
      <c r="W1965" s="21" t="s">
        <v>378</v>
      </c>
      <c r="X1965" s="21"/>
      <c r="Y1965" s="21" t="s">
        <v>41</v>
      </c>
      <c r="Z1965" s="21"/>
      <c r="AA1965" s="21" t="str">
        <f>HYPERLINK("https://miland.ru/api/getInfo/item/d87967d0-a333-11ef-a267-00155d82e908")</f>
        <v>https://miland.ru/api/getInfo/item/d87967d0-a333-11ef-a267-00155d82e908</v>
      </c>
      <c r="AB1965" s="21" t="s">
        <v>42</v>
      </c>
      <c r="AC1965" s="21" t="s">
        <v>6818</v>
      </c>
      <c r="AD1965" s="21"/>
    </row>
    <row r="1966" spans="2:31" s="1" customFormat="1" ht="96.3" customHeight="1" outlineLevel="7">
      <c r="B1966" s="57">
        <v>1506</v>
      </c>
      <c r="C1966" s="21" t="s">
        <v>6843</v>
      </c>
      <c r="D1966" s="72" t="s">
        <v>6844</v>
      </c>
      <c r="E1966" s="72"/>
      <c r="F1966" s="72"/>
      <c r="G1966" s="72"/>
      <c r="H1966" s="22" t="s">
        <v>6845</v>
      </c>
      <c r="I1966" s="23" t="s">
        <v>36</v>
      </c>
      <c r="J1966" s="22"/>
      <c r="K1966" s="20">
        <v>12</v>
      </c>
      <c r="L1966" s="24">
        <v>62.39</v>
      </c>
      <c r="M1966" s="11"/>
      <c r="N1966" s="22">
        <f t="shared" si="88"/>
        <v>0</v>
      </c>
      <c r="O1966" s="25">
        <f>0.048*M1966</f>
        <v>0</v>
      </c>
      <c r="P1966" s="26">
        <f>0.00012*M1966</f>
        <v>0</v>
      </c>
      <c r="Q1966" s="30"/>
      <c r="R1966" s="22" t="s">
        <v>6846</v>
      </c>
      <c r="S1966" s="22" t="s">
        <v>435</v>
      </c>
      <c r="T1966" s="21" t="str">
        <f>HYPERLINK("https://miland.ru/api/getInfo/image/60f28452-a333-11ef-a267-00155d82e908")</f>
        <v>https://miland.ru/api/getInfo/image/60f28452-a333-11ef-a267-00155d82e908</v>
      </c>
      <c r="U1966" s="21"/>
      <c r="V1966" s="21" t="s">
        <v>6525</v>
      </c>
      <c r="W1966" s="21" t="s">
        <v>378</v>
      </c>
      <c r="X1966" s="21"/>
      <c r="Y1966" s="21" t="s">
        <v>41</v>
      </c>
      <c r="Z1966" s="21"/>
      <c r="AA1966" s="21" t="str">
        <f>HYPERLINK("https://miland.ru/api/getInfo/item/60f28452-a333-11ef-a267-00155d82e908")</f>
        <v>https://miland.ru/api/getInfo/item/60f28452-a333-11ef-a267-00155d82e908</v>
      </c>
      <c r="AB1966" s="21" t="s">
        <v>42</v>
      </c>
      <c r="AC1966" s="21" t="s">
        <v>6818</v>
      </c>
      <c r="AD1966" s="21"/>
    </row>
    <row r="1967" spans="2:31" s="1" customFormat="1" ht="96.3" customHeight="1" outlineLevel="7">
      <c r="B1967" s="57">
        <v>1507</v>
      </c>
      <c r="C1967" s="21" t="s">
        <v>6847</v>
      </c>
      <c r="D1967" s="72" t="s">
        <v>6848</v>
      </c>
      <c r="E1967" s="72"/>
      <c r="F1967" s="72"/>
      <c r="G1967" s="72"/>
      <c r="H1967" s="22" t="s">
        <v>6849</v>
      </c>
      <c r="I1967" s="23" t="s">
        <v>36</v>
      </c>
      <c r="J1967" s="22"/>
      <c r="K1967" s="20">
        <v>12</v>
      </c>
      <c r="L1967" s="24">
        <v>62.39</v>
      </c>
      <c r="M1967" s="11"/>
      <c r="N1967" s="22">
        <f t="shared" si="88"/>
        <v>0</v>
      </c>
      <c r="O1967" s="25">
        <f>0.069*M1967</f>
        <v>0</v>
      </c>
      <c r="P1967" s="26">
        <f>0.00018*M1967</f>
        <v>0</v>
      </c>
      <c r="Q1967" s="30"/>
      <c r="R1967" s="22" t="s">
        <v>6850</v>
      </c>
      <c r="S1967" s="22" t="s">
        <v>435</v>
      </c>
      <c r="T1967" s="21" t="str">
        <f>HYPERLINK("https://miland.ru/api/getInfo/image/942b1688-a332-11ef-a267-00155d82e908")</f>
        <v>https://miland.ru/api/getInfo/image/942b1688-a332-11ef-a267-00155d82e908</v>
      </c>
      <c r="U1967" s="21"/>
      <c r="V1967" s="21" t="s">
        <v>6525</v>
      </c>
      <c r="W1967" s="21" t="s">
        <v>378</v>
      </c>
      <c r="X1967" s="21"/>
      <c r="Y1967" s="21" t="s">
        <v>41</v>
      </c>
      <c r="Z1967" s="21"/>
      <c r="AA1967" s="21" t="str">
        <f>HYPERLINK("https://miland.ru/api/getInfo/item/942b1688-a332-11ef-a267-00155d82e908")</f>
        <v>https://miland.ru/api/getInfo/item/942b1688-a332-11ef-a267-00155d82e908</v>
      </c>
      <c r="AB1967" s="21" t="s">
        <v>42</v>
      </c>
      <c r="AC1967" s="21" t="s">
        <v>6818</v>
      </c>
      <c r="AD1967" s="21"/>
    </row>
    <row r="1968" spans="2:31" s="1" customFormat="1" ht="96.3" customHeight="1" outlineLevel="7">
      <c r="B1968" s="57">
        <v>1508</v>
      </c>
      <c r="C1968" s="21" t="s">
        <v>6851</v>
      </c>
      <c r="D1968" s="72" t="s">
        <v>6852</v>
      </c>
      <c r="E1968" s="72"/>
      <c r="F1968" s="72"/>
      <c r="G1968" s="72"/>
      <c r="H1968" s="22" t="s">
        <v>6853</v>
      </c>
      <c r="I1968" s="27">
        <v>192</v>
      </c>
      <c r="J1968" s="22"/>
      <c r="K1968" s="20">
        <v>12</v>
      </c>
      <c r="L1968" s="24">
        <v>62.39</v>
      </c>
      <c r="M1968" s="11"/>
      <c r="N1968" s="22">
        <f t="shared" si="88"/>
        <v>0</v>
      </c>
      <c r="O1968" s="25">
        <f>0.036*M1968</f>
        <v>0</v>
      </c>
      <c r="P1968" s="26">
        <f>0.00018*M1968</f>
        <v>0</v>
      </c>
      <c r="Q1968" s="30"/>
      <c r="R1968" s="22" t="s">
        <v>6854</v>
      </c>
      <c r="S1968" s="22" t="s">
        <v>435</v>
      </c>
      <c r="T1968" s="21" t="str">
        <f>HYPERLINK("https://miland.ru/api/getInfo/image/6ca0f3fa-a332-11ef-a267-00155d82e908")</f>
        <v>https://miland.ru/api/getInfo/image/6ca0f3fa-a332-11ef-a267-00155d82e908</v>
      </c>
      <c r="U1968" s="21"/>
      <c r="V1968" s="21" t="s">
        <v>6525</v>
      </c>
      <c r="W1968" s="21" t="s">
        <v>378</v>
      </c>
      <c r="X1968" s="21"/>
      <c r="Y1968" s="21" t="s">
        <v>41</v>
      </c>
      <c r="Z1968" s="21"/>
      <c r="AA1968" s="21" t="str">
        <f>HYPERLINK("https://miland.ru/api/getInfo/item/6ca0f3fa-a332-11ef-a267-00155d82e908")</f>
        <v>https://miland.ru/api/getInfo/item/6ca0f3fa-a332-11ef-a267-00155d82e908</v>
      </c>
      <c r="AB1968" s="21" t="s">
        <v>42</v>
      </c>
      <c r="AC1968" s="21" t="s">
        <v>6818</v>
      </c>
      <c r="AD1968" s="21"/>
    </row>
    <row r="1969" spans="2:31" s="1" customFormat="1" ht="96.3" customHeight="1" outlineLevel="7">
      <c r="B1969" s="57">
        <v>1509</v>
      </c>
      <c r="C1969" s="21" t="s">
        <v>6855</v>
      </c>
      <c r="D1969" s="72" t="s">
        <v>6856</v>
      </c>
      <c r="E1969" s="72"/>
      <c r="F1969" s="72"/>
      <c r="G1969" s="72"/>
      <c r="H1969" s="22" t="s">
        <v>6857</v>
      </c>
      <c r="I1969" s="23" t="s">
        <v>36</v>
      </c>
      <c r="J1969" s="22"/>
      <c r="K1969" s="20">
        <v>12</v>
      </c>
      <c r="L1969" s="24">
        <v>62.39</v>
      </c>
      <c r="M1969" s="11"/>
      <c r="N1969" s="22">
        <f t="shared" si="88"/>
        <v>0</v>
      </c>
      <c r="O1969" s="25">
        <f>0.055*M1969</f>
        <v>0</v>
      </c>
      <c r="P1969" s="26">
        <f>0.00023*M1969</f>
        <v>0</v>
      </c>
      <c r="Q1969" s="30"/>
      <c r="R1969" s="22" t="s">
        <v>6858</v>
      </c>
      <c r="S1969" s="22" t="s">
        <v>435</v>
      </c>
      <c r="T1969" s="21" t="str">
        <f>HYPERLINK("https://miland.ru/api/getInfo/image/09a2898a-a333-11ef-a267-00155d82e908")</f>
        <v>https://miland.ru/api/getInfo/image/09a2898a-a333-11ef-a267-00155d82e908</v>
      </c>
      <c r="U1969" s="21"/>
      <c r="V1969" s="21" t="s">
        <v>6525</v>
      </c>
      <c r="W1969" s="21" t="s">
        <v>378</v>
      </c>
      <c r="X1969" s="21"/>
      <c r="Y1969" s="21" t="s">
        <v>41</v>
      </c>
      <c r="Z1969" s="21"/>
      <c r="AA1969" s="21" t="str">
        <f>HYPERLINK("https://miland.ru/api/getInfo/item/09a2898a-a333-11ef-a267-00155d82e908")</f>
        <v>https://miland.ru/api/getInfo/item/09a2898a-a333-11ef-a267-00155d82e908</v>
      </c>
      <c r="AB1969" s="21" t="s">
        <v>42</v>
      </c>
      <c r="AC1969" s="21" t="s">
        <v>6818</v>
      </c>
      <c r="AD1969" s="21"/>
    </row>
    <row r="1970" spans="2:31" s="1" customFormat="1" ht="96.3" customHeight="1" outlineLevel="7">
      <c r="B1970" s="57">
        <v>1510</v>
      </c>
      <c r="C1970" s="21" t="s">
        <v>6859</v>
      </c>
      <c r="D1970" s="72" t="s">
        <v>6860</v>
      </c>
      <c r="E1970" s="72"/>
      <c r="F1970" s="72"/>
      <c r="G1970" s="72"/>
      <c r="H1970" s="22" t="s">
        <v>6861</v>
      </c>
      <c r="I1970" s="23" t="s">
        <v>36</v>
      </c>
      <c r="J1970" s="22"/>
      <c r="K1970" s="20">
        <v>12</v>
      </c>
      <c r="L1970" s="24">
        <v>62.39</v>
      </c>
      <c r="M1970" s="11"/>
      <c r="N1970" s="22">
        <f t="shared" si="88"/>
        <v>0</v>
      </c>
      <c r="O1970" s="25">
        <f>0.041*M1970</f>
        <v>0</v>
      </c>
      <c r="P1970" s="26">
        <f>0.00036*M1970</f>
        <v>0</v>
      </c>
      <c r="Q1970" s="30"/>
      <c r="R1970" s="22" t="s">
        <v>6862</v>
      </c>
      <c r="S1970" s="22" t="s">
        <v>435</v>
      </c>
      <c r="T1970" s="21" t="str">
        <f>HYPERLINK("https://miland.ru/api/getInfo/image/39a40aed-a333-11ef-a267-00155d82e908")</f>
        <v>https://miland.ru/api/getInfo/image/39a40aed-a333-11ef-a267-00155d82e908</v>
      </c>
      <c r="U1970" s="21"/>
      <c r="V1970" s="21" t="s">
        <v>6525</v>
      </c>
      <c r="W1970" s="21" t="s">
        <v>378</v>
      </c>
      <c r="X1970" s="21"/>
      <c r="Y1970" s="21" t="s">
        <v>41</v>
      </c>
      <c r="Z1970" s="21"/>
      <c r="AA1970" s="21" t="str">
        <f>HYPERLINK("https://miland.ru/api/getInfo/item/39a40aed-a333-11ef-a267-00155d82e908")</f>
        <v>https://miland.ru/api/getInfo/item/39a40aed-a333-11ef-a267-00155d82e908</v>
      </c>
      <c r="AB1970" s="21" t="s">
        <v>42</v>
      </c>
      <c r="AC1970" s="21" t="s">
        <v>6818</v>
      </c>
      <c r="AD1970" s="21"/>
    </row>
    <row r="1971" spans="2:31" s="1" customFormat="1" ht="96.3" customHeight="1" outlineLevel="7">
      <c r="B1971" s="57">
        <v>1511</v>
      </c>
      <c r="C1971" s="21" t="s">
        <v>6863</v>
      </c>
      <c r="D1971" s="72" t="s">
        <v>6864</v>
      </c>
      <c r="E1971" s="72"/>
      <c r="F1971" s="72"/>
      <c r="G1971" s="72"/>
      <c r="H1971" s="22" t="s">
        <v>6865</v>
      </c>
      <c r="I1971" s="23" t="s">
        <v>36</v>
      </c>
      <c r="J1971" s="22"/>
      <c r="K1971" s="20">
        <v>12</v>
      </c>
      <c r="L1971" s="24">
        <v>62.39</v>
      </c>
      <c r="M1971" s="11"/>
      <c r="N1971" s="22">
        <f t="shared" si="88"/>
        <v>0</v>
      </c>
      <c r="O1971" s="25">
        <f>0.049*M1971</f>
        <v>0</v>
      </c>
      <c r="P1971" s="26">
        <f>0.00036*M1971</f>
        <v>0</v>
      </c>
      <c r="Q1971" s="30"/>
      <c r="R1971" s="22" t="s">
        <v>6866</v>
      </c>
      <c r="S1971" s="22" t="s">
        <v>435</v>
      </c>
      <c r="T1971" s="21" t="str">
        <f>HYPERLINK("https://miland.ru/api/getInfo/image/b994540c-a332-11ef-a267-00155d82e908")</f>
        <v>https://miland.ru/api/getInfo/image/b994540c-a332-11ef-a267-00155d82e908</v>
      </c>
      <c r="U1971" s="21"/>
      <c r="V1971" s="21" t="s">
        <v>6525</v>
      </c>
      <c r="W1971" s="21" t="s">
        <v>378</v>
      </c>
      <c r="X1971" s="21"/>
      <c r="Y1971" s="21" t="s">
        <v>41</v>
      </c>
      <c r="Z1971" s="21"/>
      <c r="AA1971" s="21" t="str">
        <f>HYPERLINK("https://miland.ru/api/getInfo/item/b994540c-a332-11ef-a267-00155d82e908")</f>
        <v>https://miland.ru/api/getInfo/item/b994540c-a332-11ef-a267-00155d82e908</v>
      </c>
      <c r="AB1971" s="21" t="s">
        <v>42</v>
      </c>
      <c r="AC1971" s="21" t="s">
        <v>6818</v>
      </c>
      <c r="AD1971" s="21"/>
    </row>
    <row r="1972" spans="2:31" s="1" customFormat="1" ht="96.3" customHeight="1" outlineLevel="7">
      <c r="B1972" s="57">
        <v>1512</v>
      </c>
      <c r="C1972" s="21" t="s">
        <v>6867</v>
      </c>
      <c r="D1972" s="72" t="s">
        <v>6868</v>
      </c>
      <c r="E1972" s="72"/>
      <c r="F1972" s="72"/>
      <c r="G1972" s="72"/>
      <c r="H1972" s="22" t="s">
        <v>6869</v>
      </c>
      <c r="I1972" s="23" t="s">
        <v>36</v>
      </c>
      <c r="J1972" s="22"/>
      <c r="K1972" s="20">
        <v>12</v>
      </c>
      <c r="L1972" s="24">
        <v>62.39</v>
      </c>
      <c r="M1972" s="11"/>
      <c r="N1972" s="22">
        <f t="shared" si="88"/>
        <v>0</v>
      </c>
      <c r="O1972" s="25">
        <f>0.054*M1972</f>
        <v>0</v>
      </c>
      <c r="P1972" s="26">
        <f>0.00027*M1972</f>
        <v>0</v>
      </c>
      <c r="Q1972" s="30"/>
      <c r="R1972" s="22" t="s">
        <v>6870</v>
      </c>
      <c r="S1972" s="22" t="s">
        <v>435</v>
      </c>
      <c r="T1972" s="21" t="str">
        <f>HYPERLINK("https://miland.ru/api/getInfo/image/ed626f6f-a332-11ef-a267-00155d82e908")</f>
        <v>https://miland.ru/api/getInfo/image/ed626f6f-a332-11ef-a267-00155d82e908</v>
      </c>
      <c r="U1972" s="21"/>
      <c r="V1972" s="21" t="s">
        <v>6525</v>
      </c>
      <c r="W1972" s="21" t="s">
        <v>378</v>
      </c>
      <c r="X1972" s="21"/>
      <c r="Y1972" s="21" t="s">
        <v>41</v>
      </c>
      <c r="Z1972" s="21"/>
      <c r="AA1972" s="21" t="str">
        <f>HYPERLINK("https://miland.ru/api/getInfo/item/ed626f6f-a332-11ef-a267-00155d82e908")</f>
        <v>https://miland.ru/api/getInfo/item/ed626f6f-a332-11ef-a267-00155d82e908</v>
      </c>
      <c r="AB1972" s="21" t="s">
        <v>42</v>
      </c>
      <c r="AC1972" s="21" t="s">
        <v>6818</v>
      </c>
      <c r="AD1972" s="21"/>
    </row>
    <row r="1973" spans="2:31" s="1" customFormat="1" ht="96.3" customHeight="1" outlineLevel="7">
      <c r="B1973" s="58">
        <v>1513</v>
      </c>
      <c r="C1973" s="7" t="s">
        <v>6871</v>
      </c>
      <c r="D1973" s="71" t="s">
        <v>6872</v>
      </c>
      <c r="E1973" s="71"/>
      <c r="F1973" s="71"/>
      <c r="G1973" s="71"/>
      <c r="H1973" s="8" t="s">
        <v>6873</v>
      </c>
      <c r="I1973" s="14">
        <v>468</v>
      </c>
      <c r="J1973" s="8"/>
      <c r="K1973" s="6">
        <v>12</v>
      </c>
      <c r="L1973" s="10">
        <v>62.39</v>
      </c>
      <c r="M1973" s="11"/>
      <c r="N1973" s="8">
        <f t="shared" si="88"/>
        <v>0</v>
      </c>
      <c r="O1973" s="12">
        <f>0.048*M1973</f>
        <v>0</v>
      </c>
      <c r="P1973" s="13">
        <f>0.00056*M1973</f>
        <v>0</v>
      </c>
      <c r="Q1973" s="17" t="s">
        <v>37</v>
      </c>
      <c r="R1973" s="8" t="s">
        <v>6874</v>
      </c>
      <c r="S1973" s="8"/>
      <c r="T1973" s="7" t="str">
        <f>HYPERLINK("https://miland.ru/api/getInfo/image/5684c8d7-fb5f-11f0-a28e-00155d82e908")</f>
        <v>https://miland.ru/api/getInfo/image/5684c8d7-fb5f-11f0-a28e-00155d82e908</v>
      </c>
      <c r="U1973" s="7"/>
      <c r="V1973" s="7"/>
      <c r="W1973" s="7" t="s">
        <v>378</v>
      </c>
      <c r="X1973" s="7"/>
      <c r="Y1973" s="7" t="s">
        <v>41</v>
      </c>
      <c r="Z1973" s="7"/>
      <c r="AA1973" s="7" t="str">
        <f>HYPERLINK("https://miland.ru/api/getInfo/item/5684c8d7-fb5f-11f0-a28e-00155d82e908")</f>
        <v>https://miland.ru/api/getInfo/item/5684c8d7-fb5f-11f0-a28e-00155d82e908</v>
      </c>
      <c r="AB1973" s="7" t="s">
        <v>42</v>
      </c>
      <c r="AC1973" s="7"/>
      <c r="AD1973" s="7"/>
      <c r="AE1973" s="54"/>
    </row>
    <row r="1974" spans="2:31" s="1" customFormat="1" ht="96.3" customHeight="1" outlineLevel="7">
      <c r="B1974" s="58">
        <v>1514</v>
      </c>
      <c r="C1974" s="7" t="s">
        <v>6875</v>
      </c>
      <c r="D1974" s="71" t="s">
        <v>6876</v>
      </c>
      <c r="E1974" s="71"/>
      <c r="F1974" s="71"/>
      <c r="G1974" s="71"/>
      <c r="H1974" s="8" t="s">
        <v>6877</v>
      </c>
      <c r="I1974" s="9" t="s">
        <v>36</v>
      </c>
      <c r="J1974" s="8"/>
      <c r="K1974" s="6">
        <v>12</v>
      </c>
      <c r="L1974" s="10">
        <v>62.39</v>
      </c>
      <c r="M1974" s="11"/>
      <c r="N1974" s="8">
        <f t="shared" si="88"/>
        <v>0</v>
      </c>
      <c r="O1974" s="12">
        <f>0.045*M1974</f>
        <v>0</v>
      </c>
      <c r="P1974" s="13">
        <f>0.00051*M1974</f>
        <v>0</v>
      </c>
      <c r="Q1974" s="17" t="s">
        <v>37</v>
      </c>
      <c r="R1974" s="8" t="s">
        <v>6878</v>
      </c>
      <c r="S1974" s="8"/>
      <c r="T1974" s="7" t="str">
        <f>HYPERLINK("https://miland.ru/api/getInfo/image/37d0e1a9-fb5f-11f0-a28e-00155d82e908")</f>
        <v>https://miland.ru/api/getInfo/image/37d0e1a9-fb5f-11f0-a28e-00155d82e908</v>
      </c>
      <c r="U1974" s="7"/>
      <c r="V1974" s="7"/>
      <c r="W1974" s="7" t="s">
        <v>378</v>
      </c>
      <c r="X1974" s="7"/>
      <c r="Y1974" s="7" t="s">
        <v>41</v>
      </c>
      <c r="Z1974" s="7"/>
      <c r="AA1974" s="7" t="str">
        <f>HYPERLINK("https://miland.ru/api/getInfo/item/37d0e1a9-fb5f-11f0-a28e-00155d82e908")</f>
        <v>https://miland.ru/api/getInfo/item/37d0e1a9-fb5f-11f0-a28e-00155d82e908</v>
      </c>
      <c r="AB1974" s="7" t="s">
        <v>42</v>
      </c>
      <c r="AC1974" s="7"/>
      <c r="AD1974" s="7"/>
      <c r="AE1974" s="54"/>
    </row>
    <row r="1975" spans="2:31" ht="12" customHeight="1" outlineLevel="7">
      <c r="B1975" s="70" t="s">
        <v>6879</v>
      </c>
      <c r="C1975" s="70"/>
      <c r="D1975" s="70"/>
      <c r="E1975" s="70"/>
      <c r="F1975" s="70"/>
      <c r="G1975" s="70"/>
    </row>
    <row r="1976" spans="2:31" s="1" customFormat="1" ht="96.3" customHeight="1" outlineLevel="7">
      <c r="B1976" s="58">
        <v>1515</v>
      </c>
      <c r="C1976" s="7" t="s">
        <v>6880</v>
      </c>
      <c r="D1976" s="71" t="s">
        <v>6881</v>
      </c>
      <c r="E1976" s="71"/>
      <c r="F1976" s="71"/>
      <c r="G1976" s="71"/>
      <c r="H1976" s="8" t="s">
        <v>6882</v>
      </c>
      <c r="I1976" s="9" t="s">
        <v>36</v>
      </c>
      <c r="J1976" s="8"/>
      <c r="K1976" s="6">
        <v>12</v>
      </c>
      <c r="L1976" s="10">
        <v>62.39</v>
      </c>
      <c r="M1976" s="11"/>
      <c r="N1976" s="8">
        <f t="shared" ref="N1976:N1992" si="89">L1976*M1976</f>
        <v>0</v>
      </c>
      <c r="O1976" s="18">
        <f>0.04*M1976</f>
        <v>0</v>
      </c>
      <c r="P1976" s="13">
        <f>0.00081*M1976</f>
        <v>0</v>
      </c>
      <c r="Q1976" s="17" t="s">
        <v>37</v>
      </c>
      <c r="R1976" s="8" t="s">
        <v>6883</v>
      </c>
      <c r="S1976" s="8"/>
      <c r="T1976" s="7" t="str">
        <f>HYPERLINK("https://miland.ru/api/getInfo/image/182fab5d-fb60-11f0-a28e-00155d82e908")</f>
        <v>https://miland.ru/api/getInfo/image/182fab5d-fb60-11f0-a28e-00155d82e908</v>
      </c>
      <c r="U1976" s="7"/>
      <c r="V1976" s="7"/>
      <c r="W1976" s="7" t="s">
        <v>378</v>
      </c>
      <c r="X1976" s="7"/>
      <c r="Y1976" s="7" t="s">
        <v>41</v>
      </c>
      <c r="Z1976" s="7"/>
      <c r="AA1976" s="7" t="str">
        <f>HYPERLINK("https://miland.ru/api/getInfo/item/182fab5d-fb60-11f0-a28e-00155d82e908")</f>
        <v>https://miland.ru/api/getInfo/item/182fab5d-fb60-11f0-a28e-00155d82e908</v>
      </c>
      <c r="AB1976" s="7" t="s">
        <v>42</v>
      </c>
      <c r="AC1976" s="7"/>
      <c r="AD1976" s="7"/>
      <c r="AE1976" s="54"/>
    </row>
    <row r="1977" spans="2:31" s="1" customFormat="1" ht="96.3" customHeight="1" outlineLevel="7">
      <c r="B1977" s="58">
        <v>1516</v>
      </c>
      <c r="C1977" s="7" t="s">
        <v>6884</v>
      </c>
      <c r="D1977" s="71" t="s">
        <v>6885</v>
      </c>
      <c r="E1977" s="71"/>
      <c r="F1977" s="71"/>
      <c r="G1977" s="71"/>
      <c r="H1977" s="8" t="s">
        <v>6886</v>
      </c>
      <c r="I1977" s="9" t="s">
        <v>36</v>
      </c>
      <c r="J1977" s="8"/>
      <c r="K1977" s="6">
        <v>12</v>
      </c>
      <c r="L1977" s="10">
        <v>62.39</v>
      </c>
      <c r="M1977" s="11"/>
      <c r="N1977" s="8">
        <f t="shared" si="89"/>
        <v>0</v>
      </c>
      <c r="O1977" s="12">
        <f>0.038*M1977</f>
        <v>0</v>
      </c>
      <c r="P1977" s="13">
        <f>0.00056*M1977</f>
        <v>0</v>
      </c>
      <c r="Q1977" s="17" t="s">
        <v>37</v>
      </c>
      <c r="R1977" s="8" t="s">
        <v>6887</v>
      </c>
      <c r="S1977" s="8"/>
      <c r="T1977" s="7" t="str">
        <f>HYPERLINK("https://miland.ru/api/getInfo/image/4cf423c1-fb60-11f0-a28e-00155d82e908")</f>
        <v>https://miland.ru/api/getInfo/image/4cf423c1-fb60-11f0-a28e-00155d82e908</v>
      </c>
      <c r="U1977" s="7"/>
      <c r="V1977" s="7"/>
      <c r="W1977" s="7" t="s">
        <v>378</v>
      </c>
      <c r="X1977" s="7"/>
      <c r="Y1977" s="7" t="s">
        <v>41</v>
      </c>
      <c r="Z1977" s="7"/>
      <c r="AA1977" s="7" t="str">
        <f>HYPERLINK("https://miland.ru/api/getInfo/item/4cf423c1-fb60-11f0-a28e-00155d82e908")</f>
        <v>https://miland.ru/api/getInfo/item/4cf423c1-fb60-11f0-a28e-00155d82e908</v>
      </c>
      <c r="AB1977" s="7" t="s">
        <v>42</v>
      </c>
      <c r="AC1977" s="7"/>
      <c r="AD1977" s="7"/>
      <c r="AE1977" s="54"/>
    </row>
    <row r="1978" spans="2:31" s="1" customFormat="1" ht="96.3" customHeight="1" outlineLevel="7">
      <c r="B1978" s="57">
        <v>1517</v>
      </c>
      <c r="C1978" s="21" t="s">
        <v>6888</v>
      </c>
      <c r="D1978" s="72" t="s">
        <v>6889</v>
      </c>
      <c r="E1978" s="72"/>
      <c r="F1978" s="72"/>
      <c r="G1978" s="72"/>
      <c r="H1978" s="22" t="s">
        <v>6890</v>
      </c>
      <c r="I1978" s="27">
        <v>420</v>
      </c>
      <c r="J1978" s="22"/>
      <c r="K1978" s="20">
        <v>12</v>
      </c>
      <c r="L1978" s="24">
        <v>44.01</v>
      </c>
      <c r="M1978" s="11"/>
      <c r="N1978" s="22">
        <f t="shared" si="89"/>
        <v>0</v>
      </c>
      <c r="O1978" s="25">
        <f>0.046*M1978</f>
        <v>0</v>
      </c>
      <c r="P1978" s="26">
        <f>0.00018*M1978</f>
        <v>0</v>
      </c>
      <c r="Q1978" s="30"/>
      <c r="R1978" s="22" t="s">
        <v>6891</v>
      </c>
      <c r="S1978" s="22" t="s">
        <v>435</v>
      </c>
      <c r="T1978" s="21" t="str">
        <f>HYPERLINK("https://miland.ru/api/getInfo/image/f8562819-b6cf-11ef-a267-00155d82e908")</f>
        <v>https://miland.ru/api/getInfo/image/f8562819-b6cf-11ef-a267-00155d82e908</v>
      </c>
      <c r="U1978" s="21"/>
      <c r="V1978" s="21" t="s">
        <v>6525</v>
      </c>
      <c r="W1978" s="21" t="s">
        <v>378</v>
      </c>
      <c r="X1978" s="21"/>
      <c r="Y1978" s="21" t="s">
        <v>41</v>
      </c>
      <c r="Z1978" s="21"/>
      <c r="AA1978" s="21" t="str">
        <f>HYPERLINK("https://miland.ru/api/getInfo/item/f8562819-b6cf-11ef-a267-00155d82e908")</f>
        <v>https://miland.ru/api/getInfo/item/f8562819-b6cf-11ef-a267-00155d82e908</v>
      </c>
      <c r="AB1978" s="21" t="s">
        <v>42</v>
      </c>
      <c r="AC1978" s="21"/>
      <c r="AD1978" s="21"/>
    </row>
    <row r="1979" spans="2:31" s="1" customFormat="1" ht="96.3" customHeight="1" outlineLevel="7">
      <c r="B1979" s="58">
        <v>1518</v>
      </c>
      <c r="C1979" s="7" t="s">
        <v>6892</v>
      </c>
      <c r="D1979" s="71" t="s">
        <v>6893</v>
      </c>
      <c r="E1979" s="71"/>
      <c r="F1979" s="71"/>
      <c r="G1979" s="71"/>
      <c r="H1979" s="8" t="s">
        <v>6894</v>
      </c>
      <c r="I1979" s="9" t="s">
        <v>36</v>
      </c>
      <c r="J1979" s="8"/>
      <c r="K1979" s="6">
        <v>12</v>
      </c>
      <c r="L1979" s="10">
        <v>62.39</v>
      </c>
      <c r="M1979" s="11"/>
      <c r="N1979" s="8">
        <f t="shared" si="89"/>
        <v>0</v>
      </c>
      <c r="O1979" s="12">
        <f>0.039*M1979</f>
        <v>0</v>
      </c>
      <c r="P1979" s="13">
        <f>0.00056*M1979</f>
        <v>0</v>
      </c>
      <c r="Q1979" s="17" t="s">
        <v>37</v>
      </c>
      <c r="R1979" s="8" t="s">
        <v>6895</v>
      </c>
      <c r="S1979" s="8"/>
      <c r="T1979" s="7" t="str">
        <f>HYPERLINK("https://miland.ru/api/getInfo/image/6a316fa4-fb60-11f0-a28e-00155d82e908")</f>
        <v>https://miland.ru/api/getInfo/image/6a316fa4-fb60-11f0-a28e-00155d82e908</v>
      </c>
      <c r="U1979" s="7"/>
      <c r="V1979" s="7"/>
      <c r="W1979" s="7" t="s">
        <v>378</v>
      </c>
      <c r="X1979" s="7"/>
      <c r="Y1979" s="7" t="s">
        <v>41</v>
      </c>
      <c r="Z1979" s="7"/>
      <c r="AA1979" s="7" t="str">
        <f>HYPERLINK("https://miland.ru/api/getInfo/item/6a316fa4-fb60-11f0-a28e-00155d82e908")</f>
        <v>https://miland.ru/api/getInfo/item/6a316fa4-fb60-11f0-a28e-00155d82e908</v>
      </c>
      <c r="AB1979" s="7" t="s">
        <v>42</v>
      </c>
      <c r="AC1979" s="7"/>
      <c r="AD1979" s="7"/>
      <c r="AE1979" s="54"/>
    </row>
    <row r="1980" spans="2:31" s="1" customFormat="1" ht="96.3" customHeight="1" outlineLevel="7">
      <c r="B1980" s="58">
        <v>1519</v>
      </c>
      <c r="C1980" s="7" t="s">
        <v>6896</v>
      </c>
      <c r="D1980" s="71" t="s">
        <v>6897</v>
      </c>
      <c r="E1980" s="71"/>
      <c r="F1980" s="71"/>
      <c r="G1980" s="71"/>
      <c r="H1980" s="8" t="s">
        <v>6898</v>
      </c>
      <c r="I1980" s="9" t="s">
        <v>36</v>
      </c>
      <c r="J1980" s="8"/>
      <c r="K1980" s="6">
        <v>12</v>
      </c>
      <c r="L1980" s="10">
        <v>62.39</v>
      </c>
      <c r="M1980" s="11"/>
      <c r="N1980" s="8">
        <f t="shared" si="89"/>
        <v>0</v>
      </c>
      <c r="O1980" s="12">
        <f>0.042*M1980</f>
        <v>0</v>
      </c>
      <c r="P1980" s="13">
        <f>0.00071*M1980</f>
        <v>0</v>
      </c>
      <c r="Q1980" s="17" t="s">
        <v>37</v>
      </c>
      <c r="R1980" s="8" t="s">
        <v>6899</v>
      </c>
      <c r="S1980" s="8"/>
      <c r="T1980" s="7" t="str">
        <f>HYPERLINK("https://miland.ru/api/getInfo/image/89d886fe-fb60-11f0-a28e-00155d82e908")</f>
        <v>https://miland.ru/api/getInfo/image/89d886fe-fb60-11f0-a28e-00155d82e908</v>
      </c>
      <c r="U1980" s="7"/>
      <c r="V1980" s="7"/>
      <c r="W1980" s="7" t="s">
        <v>378</v>
      </c>
      <c r="X1980" s="7"/>
      <c r="Y1980" s="7" t="s">
        <v>41</v>
      </c>
      <c r="Z1980" s="7"/>
      <c r="AA1980" s="7" t="str">
        <f>HYPERLINK("https://miland.ru/api/getInfo/item/89d886fe-fb60-11f0-a28e-00155d82e908")</f>
        <v>https://miland.ru/api/getInfo/item/89d886fe-fb60-11f0-a28e-00155d82e908</v>
      </c>
      <c r="AB1980" s="7" t="s">
        <v>42</v>
      </c>
      <c r="AC1980" s="7"/>
      <c r="AD1980" s="7"/>
      <c r="AE1980" s="54"/>
    </row>
    <row r="1981" spans="2:31" s="1" customFormat="1" ht="96.3" customHeight="1" outlineLevel="7">
      <c r="B1981" s="57">
        <v>1520</v>
      </c>
      <c r="C1981" s="21" t="s">
        <v>6900</v>
      </c>
      <c r="D1981" s="72" t="s">
        <v>6901</v>
      </c>
      <c r="E1981" s="72"/>
      <c r="F1981" s="72"/>
      <c r="G1981" s="72"/>
      <c r="H1981" s="22" t="s">
        <v>6902</v>
      </c>
      <c r="I1981" s="27">
        <v>24</v>
      </c>
      <c r="J1981" s="22"/>
      <c r="K1981" s="20">
        <v>12</v>
      </c>
      <c r="L1981" s="24">
        <v>43.46</v>
      </c>
      <c r="M1981" s="11"/>
      <c r="N1981" s="22">
        <f t="shared" si="89"/>
        <v>0</v>
      </c>
      <c r="O1981" s="25">
        <f>0.048*M1981</f>
        <v>0</v>
      </c>
      <c r="P1981" s="26">
        <f>0.00013*M1981</f>
        <v>0</v>
      </c>
      <c r="Q1981" s="30"/>
      <c r="R1981" s="22" t="s">
        <v>6903</v>
      </c>
      <c r="S1981" s="22" t="s">
        <v>435</v>
      </c>
      <c r="T1981" s="21" t="str">
        <f>HYPERLINK("https://miland.ru/api/getInfo/image/cbfcb62d-b6cf-11ef-a267-00155d82e908")</f>
        <v>https://miland.ru/api/getInfo/image/cbfcb62d-b6cf-11ef-a267-00155d82e908</v>
      </c>
      <c r="U1981" s="21"/>
      <c r="V1981" s="21" t="s">
        <v>6525</v>
      </c>
      <c r="W1981" s="21" t="s">
        <v>378</v>
      </c>
      <c r="X1981" s="21"/>
      <c r="Y1981" s="21" t="s">
        <v>41</v>
      </c>
      <c r="Z1981" s="21"/>
      <c r="AA1981" s="21" t="str">
        <f>HYPERLINK("https://miland.ru/api/getInfo/item/cbfcb62d-b6cf-11ef-a267-00155d82e908")</f>
        <v>https://miland.ru/api/getInfo/item/cbfcb62d-b6cf-11ef-a267-00155d82e908</v>
      </c>
      <c r="AB1981" s="21" t="s">
        <v>42</v>
      </c>
      <c r="AC1981" s="21"/>
      <c r="AD1981" s="21"/>
    </row>
    <row r="1982" spans="2:31" s="1" customFormat="1" ht="96.3" customHeight="1" outlineLevel="7">
      <c r="B1982" s="57">
        <v>1521</v>
      </c>
      <c r="C1982" s="21" t="s">
        <v>6904</v>
      </c>
      <c r="D1982" s="72" t="s">
        <v>6905</v>
      </c>
      <c r="E1982" s="72"/>
      <c r="F1982" s="72"/>
      <c r="G1982" s="72"/>
      <c r="H1982" s="22" t="s">
        <v>6906</v>
      </c>
      <c r="I1982" s="23" t="s">
        <v>36</v>
      </c>
      <c r="J1982" s="22"/>
      <c r="K1982" s="20">
        <v>12</v>
      </c>
      <c r="L1982" s="24">
        <v>62.39</v>
      </c>
      <c r="M1982" s="11"/>
      <c r="N1982" s="22">
        <f t="shared" si="89"/>
        <v>0</v>
      </c>
      <c r="O1982" s="25">
        <f>0.047*M1982</f>
        <v>0</v>
      </c>
      <c r="P1982" s="26">
        <f>0.00034*M1982</f>
        <v>0</v>
      </c>
      <c r="Q1982" s="30"/>
      <c r="R1982" s="22" t="s">
        <v>6907</v>
      </c>
      <c r="S1982" s="22" t="s">
        <v>435</v>
      </c>
      <c r="T1982" s="21" t="str">
        <f>HYPERLINK("https://miland.ru/api/getInfo/image/d9b578f1-a339-11ef-a267-00155d82e908")</f>
        <v>https://miland.ru/api/getInfo/image/d9b578f1-a339-11ef-a267-00155d82e908</v>
      </c>
      <c r="U1982" s="21"/>
      <c r="V1982" s="21" t="s">
        <v>6525</v>
      </c>
      <c r="W1982" s="21" t="s">
        <v>378</v>
      </c>
      <c r="X1982" s="21"/>
      <c r="Y1982" s="21" t="s">
        <v>41</v>
      </c>
      <c r="Z1982" s="21"/>
      <c r="AA1982" s="21" t="str">
        <f>HYPERLINK("https://miland.ru/api/getInfo/item/d9b578f1-a339-11ef-a267-00155d82e908")</f>
        <v>https://miland.ru/api/getInfo/item/d9b578f1-a339-11ef-a267-00155d82e908</v>
      </c>
      <c r="AB1982" s="21" t="s">
        <v>42</v>
      </c>
      <c r="AC1982" s="21" t="s">
        <v>6818</v>
      </c>
      <c r="AD1982" s="21"/>
    </row>
    <row r="1983" spans="2:31" s="1" customFormat="1" ht="96.3" customHeight="1" outlineLevel="7">
      <c r="B1983" s="57">
        <v>1522</v>
      </c>
      <c r="C1983" s="21" t="s">
        <v>6908</v>
      </c>
      <c r="D1983" s="72" t="s">
        <v>6909</v>
      </c>
      <c r="E1983" s="72"/>
      <c r="F1983" s="72"/>
      <c r="G1983" s="72"/>
      <c r="H1983" s="22" t="s">
        <v>6910</v>
      </c>
      <c r="I1983" s="23" t="s">
        <v>36</v>
      </c>
      <c r="J1983" s="22"/>
      <c r="K1983" s="20">
        <v>12</v>
      </c>
      <c r="L1983" s="24">
        <v>43.46</v>
      </c>
      <c r="M1983" s="11"/>
      <c r="N1983" s="22">
        <f t="shared" si="89"/>
        <v>0</v>
      </c>
      <c r="O1983" s="25">
        <f>0.048*M1983</f>
        <v>0</v>
      </c>
      <c r="P1983" s="26">
        <f>0.00012*M1983</f>
        <v>0</v>
      </c>
      <c r="Q1983" s="30"/>
      <c r="R1983" s="22" t="s">
        <v>6911</v>
      </c>
      <c r="S1983" s="22" t="s">
        <v>435</v>
      </c>
      <c r="T1983" s="21" t="str">
        <f>HYPERLINK("https://miland.ru/api/getInfo/image/1ad32808-b6d0-11ef-a267-00155d82e908")</f>
        <v>https://miland.ru/api/getInfo/image/1ad32808-b6d0-11ef-a267-00155d82e908</v>
      </c>
      <c r="U1983" s="21"/>
      <c r="V1983" s="21" t="s">
        <v>6525</v>
      </c>
      <c r="W1983" s="21" t="s">
        <v>378</v>
      </c>
      <c r="X1983" s="21"/>
      <c r="Y1983" s="21" t="s">
        <v>41</v>
      </c>
      <c r="Z1983" s="21"/>
      <c r="AA1983" s="21" t="str">
        <f>HYPERLINK("https://miland.ru/api/getInfo/item/1ad32808-b6d0-11ef-a267-00155d82e908")</f>
        <v>https://miland.ru/api/getInfo/item/1ad32808-b6d0-11ef-a267-00155d82e908</v>
      </c>
      <c r="AB1983" s="21" t="s">
        <v>42</v>
      </c>
      <c r="AC1983" s="21"/>
      <c r="AD1983" s="21"/>
    </row>
    <row r="1984" spans="2:31" s="1" customFormat="1" ht="96.3" customHeight="1" outlineLevel="7">
      <c r="B1984" s="57">
        <v>1523</v>
      </c>
      <c r="C1984" s="21" t="s">
        <v>6912</v>
      </c>
      <c r="D1984" s="72" t="s">
        <v>6913</v>
      </c>
      <c r="E1984" s="72"/>
      <c r="F1984" s="72"/>
      <c r="G1984" s="72"/>
      <c r="H1984" s="22" t="s">
        <v>6914</v>
      </c>
      <c r="I1984" s="23" t="s">
        <v>36</v>
      </c>
      <c r="J1984" s="22"/>
      <c r="K1984" s="20">
        <v>12</v>
      </c>
      <c r="L1984" s="24">
        <v>62.39</v>
      </c>
      <c r="M1984" s="11"/>
      <c r="N1984" s="22">
        <f t="shared" si="89"/>
        <v>0</v>
      </c>
      <c r="O1984" s="25">
        <f>0.045*M1984</f>
        <v>0</v>
      </c>
      <c r="P1984" s="26">
        <f>0.00084*M1984</f>
        <v>0</v>
      </c>
      <c r="Q1984" s="30"/>
      <c r="R1984" s="22" t="s">
        <v>6915</v>
      </c>
      <c r="S1984" s="22" t="s">
        <v>435</v>
      </c>
      <c r="T1984" s="21" t="str">
        <f>HYPERLINK("https://miland.ru/api/getInfo/image/5f1c8937-a339-11ef-a267-00155d82e908")</f>
        <v>https://miland.ru/api/getInfo/image/5f1c8937-a339-11ef-a267-00155d82e908</v>
      </c>
      <c r="U1984" s="21"/>
      <c r="V1984" s="21" t="s">
        <v>6525</v>
      </c>
      <c r="W1984" s="21" t="s">
        <v>378</v>
      </c>
      <c r="X1984" s="21"/>
      <c r="Y1984" s="21" t="s">
        <v>41</v>
      </c>
      <c r="Z1984" s="21"/>
      <c r="AA1984" s="21" t="str">
        <f>HYPERLINK("https://miland.ru/api/getInfo/item/5f1c8937-a339-11ef-a267-00155d82e908")</f>
        <v>https://miland.ru/api/getInfo/item/5f1c8937-a339-11ef-a267-00155d82e908</v>
      </c>
      <c r="AB1984" s="21" t="s">
        <v>42</v>
      </c>
      <c r="AC1984" s="21" t="s">
        <v>6818</v>
      </c>
      <c r="AD1984" s="21"/>
    </row>
    <row r="1985" spans="2:31" s="1" customFormat="1" ht="96.3" customHeight="1" outlineLevel="7">
      <c r="B1985" s="57">
        <v>1524</v>
      </c>
      <c r="C1985" s="21" t="s">
        <v>6916</v>
      </c>
      <c r="D1985" s="72" t="s">
        <v>6917</v>
      </c>
      <c r="E1985" s="72"/>
      <c r="F1985" s="72"/>
      <c r="G1985" s="72"/>
      <c r="H1985" s="22" t="s">
        <v>6918</v>
      </c>
      <c r="I1985" s="23" t="s">
        <v>36</v>
      </c>
      <c r="J1985" s="22"/>
      <c r="K1985" s="20">
        <v>12</v>
      </c>
      <c r="L1985" s="24">
        <v>62.39</v>
      </c>
      <c r="M1985" s="11"/>
      <c r="N1985" s="22">
        <f t="shared" si="89"/>
        <v>0</v>
      </c>
      <c r="O1985" s="25">
        <f>0.048*M1985</f>
        <v>0</v>
      </c>
      <c r="P1985" s="26">
        <f>0.00012*M1985</f>
        <v>0</v>
      </c>
      <c r="Q1985" s="30"/>
      <c r="R1985" s="22" t="s">
        <v>6919</v>
      </c>
      <c r="S1985" s="22" t="s">
        <v>435</v>
      </c>
      <c r="T1985" s="21" t="str">
        <f>HYPERLINK("https://miland.ru/api/getInfo/image/b870e0b1-a339-11ef-a267-00155d82e908")</f>
        <v>https://miland.ru/api/getInfo/image/b870e0b1-a339-11ef-a267-00155d82e908</v>
      </c>
      <c r="U1985" s="21"/>
      <c r="V1985" s="21" t="s">
        <v>6525</v>
      </c>
      <c r="W1985" s="21" t="s">
        <v>378</v>
      </c>
      <c r="X1985" s="21"/>
      <c r="Y1985" s="21" t="s">
        <v>41</v>
      </c>
      <c r="Z1985" s="21"/>
      <c r="AA1985" s="21" t="str">
        <f>HYPERLINK("https://miland.ru/api/getInfo/item/b870e0b1-a339-11ef-a267-00155d82e908")</f>
        <v>https://miland.ru/api/getInfo/item/b870e0b1-a339-11ef-a267-00155d82e908</v>
      </c>
      <c r="AB1985" s="21" t="s">
        <v>42</v>
      </c>
      <c r="AC1985" s="21" t="s">
        <v>6818</v>
      </c>
      <c r="AD1985" s="21"/>
    </row>
    <row r="1986" spans="2:31" s="1" customFormat="1" ht="96.3" customHeight="1" outlineLevel="7">
      <c r="B1986" s="57">
        <v>1525</v>
      </c>
      <c r="C1986" s="21" t="s">
        <v>6920</v>
      </c>
      <c r="D1986" s="72" t="s">
        <v>6921</v>
      </c>
      <c r="E1986" s="72"/>
      <c r="F1986" s="72"/>
      <c r="G1986" s="72"/>
      <c r="H1986" s="22" t="s">
        <v>6922</v>
      </c>
      <c r="I1986" s="23" t="s">
        <v>36</v>
      </c>
      <c r="J1986" s="22"/>
      <c r="K1986" s="20">
        <v>12</v>
      </c>
      <c r="L1986" s="24">
        <v>62.39</v>
      </c>
      <c r="M1986" s="11"/>
      <c r="N1986" s="22">
        <f t="shared" si="89"/>
        <v>0</v>
      </c>
      <c r="O1986" s="25">
        <f>0.578*M1986</f>
        <v>0</v>
      </c>
      <c r="P1986" s="26">
        <f>0.00198*M1986</f>
        <v>0</v>
      </c>
      <c r="Q1986" s="30"/>
      <c r="R1986" s="22" t="s">
        <v>6923</v>
      </c>
      <c r="S1986" s="22" t="s">
        <v>435</v>
      </c>
      <c r="T1986" s="21" t="str">
        <f>HYPERLINK("https://miland.ru/api/getInfo/image/1085d8bb-a339-11ef-a267-00155d82e908")</f>
        <v>https://miland.ru/api/getInfo/image/1085d8bb-a339-11ef-a267-00155d82e908</v>
      </c>
      <c r="U1986" s="21"/>
      <c r="V1986" s="21" t="s">
        <v>6525</v>
      </c>
      <c r="W1986" s="21" t="s">
        <v>378</v>
      </c>
      <c r="X1986" s="21"/>
      <c r="Y1986" s="21" t="s">
        <v>41</v>
      </c>
      <c r="Z1986" s="21"/>
      <c r="AA1986" s="21" t="str">
        <f>HYPERLINK("https://miland.ru/api/getInfo/item/1085d8bb-a339-11ef-a267-00155d82e908")</f>
        <v>https://miland.ru/api/getInfo/item/1085d8bb-a339-11ef-a267-00155d82e908</v>
      </c>
      <c r="AB1986" s="21" t="s">
        <v>42</v>
      </c>
      <c r="AC1986" s="21" t="s">
        <v>6818</v>
      </c>
      <c r="AD1986" s="21"/>
    </row>
    <row r="1987" spans="2:31" s="1" customFormat="1" ht="96.3" customHeight="1" outlineLevel="7">
      <c r="B1987" s="57">
        <v>1526</v>
      </c>
      <c r="C1987" s="21" t="s">
        <v>6924</v>
      </c>
      <c r="D1987" s="72" t="s">
        <v>6925</v>
      </c>
      <c r="E1987" s="72"/>
      <c r="F1987" s="72"/>
      <c r="G1987" s="72"/>
      <c r="H1987" s="22" t="s">
        <v>6926</v>
      </c>
      <c r="I1987" s="27">
        <v>432</v>
      </c>
      <c r="J1987" s="22"/>
      <c r="K1987" s="20">
        <v>12</v>
      </c>
      <c r="L1987" s="24">
        <v>62.39</v>
      </c>
      <c r="M1987" s="11"/>
      <c r="N1987" s="22">
        <f t="shared" si="89"/>
        <v>0</v>
      </c>
      <c r="O1987" s="25">
        <f>0.048*M1987</f>
        <v>0</v>
      </c>
      <c r="P1987" s="26">
        <f>0.00012*M1987</f>
        <v>0</v>
      </c>
      <c r="Q1987" s="30"/>
      <c r="R1987" s="22" t="s">
        <v>6927</v>
      </c>
      <c r="S1987" s="22" t="s">
        <v>435</v>
      </c>
      <c r="T1987" s="21" t="str">
        <f>HYPERLINK("https://miland.ru/api/getInfo/image/d3cefde8-a338-11ef-a267-00155d82e908")</f>
        <v>https://miland.ru/api/getInfo/image/d3cefde8-a338-11ef-a267-00155d82e908</v>
      </c>
      <c r="U1987" s="21"/>
      <c r="V1987" s="21" t="s">
        <v>6525</v>
      </c>
      <c r="W1987" s="21" t="s">
        <v>378</v>
      </c>
      <c r="X1987" s="21"/>
      <c r="Y1987" s="21" t="s">
        <v>41</v>
      </c>
      <c r="Z1987" s="21"/>
      <c r="AA1987" s="21" t="str">
        <f>HYPERLINK("https://miland.ru/api/getInfo/item/d3cefde8-a338-11ef-a267-00155d82e908")</f>
        <v>https://miland.ru/api/getInfo/item/d3cefde8-a338-11ef-a267-00155d82e908</v>
      </c>
      <c r="AB1987" s="21" t="s">
        <v>42</v>
      </c>
      <c r="AC1987" s="21" t="s">
        <v>6818</v>
      </c>
      <c r="AD1987" s="21"/>
    </row>
    <row r="1988" spans="2:31" s="1" customFormat="1" ht="96.3" customHeight="1" outlineLevel="7">
      <c r="B1988" s="57">
        <v>1527</v>
      </c>
      <c r="C1988" s="21" t="s">
        <v>6928</v>
      </c>
      <c r="D1988" s="72" t="s">
        <v>6929</v>
      </c>
      <c r="E1988" s="72"/>
      <c r="F1988" s="72"/>
      <c r="G1988" s="72"/>
      <c r="H1988" s="22" t="s">
        <v>6930</v>
      </c>
      <c r="I1988" s="23" t="s">
        <v>36</v>
      </c>
      <c r="J1988" s="22"/>
      <c r="K1988" s="20">
        <v>12</v>
      </c>
      <c r="L1988" s="24">
        <v>62.39</v>
      </c>
      <c r="M1988" s="11"/>
      <c r="N1988" s="22">
        <f t="shared" si="89"/>
        <v>0</v>
      </c>
      <c r="O1988" s="25">
        <f>0.051*M1988</f>
        <v>0</v>
      </c>
      <c r="P1988" s="26">
        <f>0.00067*M1988</f>
        <v>0</v>
      </c>
      <c r="Q1988" s="30"/>
      <c r="R1988" s="22" t="s">
        <v>6931</v>
      </c>
      <c r="S1988" s="22" t="s">
        <v>435</v>
      </c>
      <c r="T1988" s="21" t="str">
        <f>HYPERLINK("https://miland.ru/api/getInfo/image/23cedd09-a33a-11ef-a267-00155d82e908")</f>
        <v>https://miland.ru/api/getInfo/image/23cedd09-a33a-11ef-a267-00155d82e908</v>
      </c>
      <c r="U1988" s="21"/>
      <c r="V1988" s="21" t="s">
        <v>6525</v>
      </c>
      <c r="W1988" s="21" t="s">
        <v>378</v>
      </c>
      <c r="X1988" s="21"/>
      <c r="Y1988" s="21" t="s">
        <v>41</v>
      </c>
      <c r="Z1988" s="21"/>
      <c r="AA1988" s="21" t="str">
        <f>HYPERLINK("https://miland.ru/api/getInfo/item/23cedd09-a33a-11ef-a267-00155d82e908")</f>
        <v>https://miland.ru/api/getInfo/item/23cedd09-a33a-11ef-a267-00155d82e908</v>
      </c>
      <c r="AB1988" s="21" t="s">
        <v>42</v>
      </c>
      <c r="AC1988" s="21" t="s">
        <v>6818</v>
      </c>
      <c r="AD1988" s="21"/>
    </row>
    <row r="1989" spans="2:31" s="1" customFormat="1" ht="96.3" customHeight="1" outlineLevel="7">
      <c r="B1989" s="57">
        <v>1528</v>
      </c>
      <c r="C1989" s="21" t="s">
        <v>6932</v>
      </c>
      <c r="D1989" s="72" t="s">
        <v>6933</v>
      </c>
      <c r="E1989" s="72"/>
      <c r="F1989" s="72"/>
      <c r="G1989" s="72"/>
      <c r="H1989" s="22" t="s">
        <v>6934</v>
      </c>
      <c r="I1989" s="27">
        <v>192</v>
      </c>
      <c r="J1989" s="22"/>
      <c r="K1989" s="20">
        <v>12</v>
      </c>
      <c r="L1989" s="24">
        <v>62.39</v>
      </c>
      <c r="M1989" s="11"/>
      <c r="N1989" s="22">
        <f t="shared" si="89"/>
        <v>0</v>
      </c>
      <c r="O1989" s="25">
        <f>0.048*M1989</f>
        <v>0</v>
      </c>
      <c r="P1989" s="26">
        <f>0.00012*M1989</f>
        <v>0</v>
      </c>
      <c r="Q1989" s="30"/>
      <c r="R1989" s="22" t="s">
        <v>6935</v>
      </c>
      <c r="S1989" s="22" t="s">
        <v>435</v>
      </c>
      <c r="T1989" s="21" t="str">
        <f>HYPERLINK("https://miland.ru/api/getInfo/image/7f37e344-a339-11ef-a267-00155d82e908")</f>
        <v>https://miland.ru/api/getInfo/image/7f37e344-a339-11ef-a267-00155d82e908</v>
      </c>
      <c r="U1989" s="21"/>
      <c r="V1989" s="21" t="s">
        <v>6525</v>
      </c>
      <c r="W1989" s="21" t="s">
        <v>378</v>
      </c>
      <c r="X1989" s="21"/>
      <c r="Y1989" s="21" t="s">
        <v>41</v>
      </c>
      <c r="Z1989" s="21"/>
      <c r="AA1989" s="21" t="str">
        <f>HYPERLINK("https://miland.ru/api/getInfo/item/7f37e344-a339-11ef-a267-00155d82e908")</f>
        <v>https://miland.ru/api/getInfo/item/7f37e344-a339-11ef-a267-00155d82e908</v>
      </c>
      <c r="AB1989" s="21" t="s">
        <v>42</v>
      </c>
      <c r="AC1989" s="21" t="s">
        <v>6818</v>
      </c>
      <c r="AD1989" s="21"/>
    </row>
    <row r="1990" spans="2:31" s="1" customFormat="1" ht="96.3" customHeight="1" outlineLevel="7">
      <c r="B1990" s="57">
        <v>1529</v>
      </c>
      <c r="C1990" s="21" t="s">
        <v>6936</v>
      </c>
      <c r="D1990" s="72" t="s">
        <v>6937</v>
      </c>
      <c r="E1990" s="72"/>
      <c r="F1990" s="72"/>
      <c r="G1990" s="72"/>
      <c r="H1990" s="22" t="s">
        <v>6938</v>
      </c>
      <c r="I1990" s="23" t="s">
        <v>36</v>
      </c>
      <c r="J1990" s="22"/>
      <c r="K1990" s="20">
        <v>12</v>
      </c>
      <c r="L1990" s="24">
        <v>62.39</v>
      </c>
      <c r="M1990" s="11"/>
      <c r="N1990" s="22">
        <f t="shared" si="89"/>
        <v>0</v>
      </c>
      <c r="O1990" s="25">
        <f>0.049*M1990</f>
        <v>0</v>
      </c>
      <c r="P1990" s="26">
        <f>0.00031*M1990</f>
        <v>0</v>
      </c>
      <c r="Q1990" s="30"/>
      <c r="R1990" s="22" t="s">
        <v>6939</v>
      </c>
      <c r="S1990" s="22" t="s">
        <v>435</v>
      </c>
      <c r="T1990" s="21" t="str">
        <f>HYPERLINK("https://miland.ru/api/getInfo/image/9af7d0ab-a339-11ef-a267-00155d82e908")</f>
        <v>https://miland.ru/api/getInfo/image/9af7d0ab-a339-11ef-a267-00155d82e908</v>
      </c>
      <c r="U1990" s="21"/>
      <c r="V1990" s="21" t="s">
        <v>6525</v>
      </c>
      <c r="W1990" s="21" t="s">
        <v>378</v>
      </c>
      <c r="X1990" s="21"/>
      <c r="Y1990" s="21" t="s">
        <v>41</v>
      </c>
      <c r="Z1990" s="21"/>
      <c r="AA1990" s="21" t="str">
        <f>HYPERLINK("https://miland.ru/api/getInfo/item/9af7d0ab-a339-11ef-a267-00155d82e908")</f>
        <v>https://miland.ru/api/getInfo/item/9af7d0ab-a339-11ef-a267-00155d82e908</v>
      </c>
      <c r="AB1990" s="21" t="s">
        <v>42</v>
      </c>
      <c r="AC1990" s="21" t="s">
        <v>6818</v>
      </c>
      <c r="AD1990" s="21"/>
    </row>
    <row r="1991" spans="2:31" s="1" customFormat="1" ht="96.3" customHeight="1" outlineLevel="7">
      <c r="B1991" s="58">
        <v>1530</v>
      </c>
      <c r="C1991" s="7" t="s">
        <v>6940</v>
      </c>
      <c r="D1991" s="71" t="s">
        <v>6941</v>
      </c>
      <c r="E1991" s="71"/>
      <c r="F1991" s="71"/>
      <c r="G1991" s="71"/>
      <c r="H1991" s="8" t="s">
        <v>6942</v>
      </c>
      <c r="I1991" s="9" t="s">
        <v>36</v>
      </c>
      <c r="J1991" s="8"/>
      <c r="K1991" s="6">
        <v>12</v>
      </c>
      <c r="L1991" s="10">
        <v>62.39</v>
      </c>
      <c r="M1991" s="11"/>
      <c r="N1991" s="8">
        <f t="shared" si="89"/>
        <v>0</v>
      </c>
      <c r="O1991" s="12">
        <f>0.042*M1991</f>
        <v>0</v>
      </c>
      <c r="P1991" s="13">
        <f>0.00067*M1991</f>
        <v>0</v>
      </c>
      <c r="Q1991" s="17" t="s">
        <v>37</v>
      </c>
      <c r="R1991" s="8" t="s">
        <v>6943</v>
      </c>
      <c r="S1991" s="8"/>
      <c r="T1991" s="7" t="str">
        <f>HYPERLINK("https://miland.ru/api/getInfo/image/a965fa08-fb60-11f0-a28e-00155d82e908")</f>
        <v>https://miland.ru/api/getInfo/image/a965fa08-fb60-11f0-a28e-00155d82e908</v>
      </c>
      <c r="U1991" s="7"/>
      <c r="V1991" s="7"/>
      <c r="W1991" s="7" t="s">
        <v>378</v>
      </c>
      <c r="X1991" s="7"/>
      <c r="Y1991" s="7" t="s">
        <v>41</v>
      </c>
      <c r="Z1991" s="7"/>
      <c r="AA1991" s="7" t="str">
        <f>HYPERLINK("https://miland.ru/api/getInfo/item/a965fa08-fb60-11f0-a28e-00155d82e908")</f>
        <v>https://miland.ru/api/getInfo/item/a965fa08-fb60-11f0-a28e-00155d82e908</v>
      </c>
      <c r="AB1991" s="7" t="s">
        <v>42</v>
      </c>
      <c r="AC1991" s="7"/>
      <c r="AD1991" s="7"/>
      <c r="AE1991" s="54"/>
    </row>
    <row r="1992" spans="2:31" s="1" customFormat="1" ht="96.3" customHeight="1" outlineLevel="7">
      <c r="B1992" s="58">
        <v>1531</v>
      </c>
      <c r="C1992" s="7" t="s">
        <v>6944</v>
      </c>
      <c r="D1992" s="71" t="s">
        <v>6945</v>
      </c>
      <c r="E1992" s="71"/>
      <c r="F1992" s="71"/>
      <c r="G1992" s="71"/>
      <c r="H1992" s="8" t="s">
        <v>6946</v>
      </c>
      <c r="I1992" s="9" t="s">
        <v>36</v>
      </c>
      <c r="J1992" s="8"/>
      <c r="K1992" s="6">
        <v>12</v>
      </c>
      <c r="L1992" s="10">
        <v>62.39</v>
      </c>
      <c r="M1992" s="11"/>
      <c r="N1992" s="8">
        <f t="shared" si="89"/>
        <v>0</v>
      </c>
      <c r="O1992" s="12">
        <f>0.044*M1992</f>
        <v>0</v>
      </c>
      <c r="P1992" s="13">
        <f>0.00076*M1992</f>
        <v>0</v>
      </c>
      <c r="Q1992" s="17" t="s">
        <v>37</v>
      </c>
      <c r="R1992" s="8" t="s">
        <v>6947</v>
      </c>
      <c r="S1992" s="8"/>
      <c r="T1992" s="7" t="str">
        <f>HYPERLINK("https://miland.ru/api/getInfo/image/f20de232-fb5f-11f0-a28e-00155d82e908")</f>
        <v>https://miland.ru/api/getInfo/image/f20de232-fb5f-11f0-a28e-00155d82e908</v>
      </c>
      <c r="U1992" s="7"/>
      <c r="V1992" s="7"/>
      <c r="W1992" s="7" t="s">
        <v>378</v>
      </c>
      <c r="X1992" s="7"/>
      <c r="Y1992" s="7" t="s">
        <v>41</v>
      </c>
      <c r="Z1992" s="7"/>
      <c r="AA1992" s="7" t="str">
        <f>HYPERLINK("https://miland.ru/api/getInfo/item/f20de232-fb5f-11f0-a28e-00155d82e908")</f>
        <v>https://miland.ru/api/getInfo/item/f20de232-fb5f-11f0-a28e-00155d82e908</v>
      </c>
      <c r="AB1992" s="7" t="s">
        <v>42</v>
      </c>
      <c r="AC1992" s="7"/>
      <c r="AD1992" s="7"/>
      <c r="AE1992" s="54"/>
    </row>
    <row r="1993" spans="2:31" ht="12" customHeight="1" outlineLevel="6">
      <c r="B1993" s="70" t="s">
        <v>6556</v>
      </c>
      <c r="C1993" s="70"/>
      <c r="D1993" s="70"/>
      <c r="E1993" s="70"/>
      <c r="F1993" s="70"/>
      <c r="G1993" s="70"/>
    </row>
    <row r="1994" spans="2:31" s="1" customFormat="1" ht="96.3" customHeight="1" outlineLevel="7">
      <c r="B1994" s="59">
        <v>1532</v>
      </c>
      <c r="C1994" s="35" t="s">
        <v>6948</v>
      </c>
      <c r="D1994" s="73" t="s">
        <v>6949</v>
      </c>
      <c r="E1994" s="73"/>
      <c r="F1994" s="73"/>
      <c r="G1994" s="73"/>
      <c r="H1994" s="36" t="s">
        <v>6950</v>
      </c>
      <c r="I1994" s="40">
        <v>100</v>
      </c>
      <c r="J1994" s="36"/>
      <c r="K1994" s="34">
        <v>20</v>
      </c>
      <c r="L1994" s="41">
        <v>42.346666666666671</v>
      </c>
      <c r="M1994" s="11"/>
      <c r="N1994" s="36">
        <f t="shared" ref="N1994:N2022" si="90">L1994*M1994</f>
        <v>0</v>
      </c>
      <c r="O1994" s="47">
        <f>0.03*M1994</f>
        <v>0</v>
      </c>
      <c r="P1994" s="43">
        <f>0.00004*M1994</f>
        <v>0</v>
      </c>
      <c r="Q1994" s="50"/>
      <c r="R1994" s="36"/>
      <c r="S1994" s="36" t="s">
        <v>435</v>
      </c>
      <c r="T1994" s="35" t="str">
        <f>HYPERLINK("https://miland.ru/api/getInfo/image/f808ec80-d9ae-11f0-a28c-00155d82e908")</f>
        <v>https://miland.ru/api/getInfo/image/f808ec80-d9ae-11f0-a28c-00155d82e908</v>
      </c>
      <c r="U1994" s="35"/>
      <c r="V1994" s="35"/>
      <c r="W1994" s="35"/>
      <c r="X1994" s="35"/>
      <c r="Y1994" s="35"/>
      <c r="Z1994" s="35"/>
      <c r="AA1994" s="35" t="str">
        <f>HYPERLINK("https://miland.ru/api/getInfo/item/f808ec80-d9ae-11f0-a28c-00155d82e908")</f>
        <v>https://miland.ru/api/getInfo/item/f808ec80-d9ae-11f0-a28c-00155d82e908</v>
      </c>
      <c r="AB1994" s="35" t="s">
        <v>42</v>
      </c>
      <c r="AC1994" s="35"/>
      <c r="AD1994" s="35"/>
      <c r="AE1994" s="52" t="s">
        <v>1251</v>
      </c>
    </row>
    <row r="1995" spans="2:31" s="1" customFormat="1" ht="96.3" customHeight="1" outlineLevel="7">
      <c r="B1995" s="59">
        <v>1533</v>
      </c>
      <c r="C1995" s="35" t="s">
        <v>6951</v>
      </c>
      <c r="D1995" s="73" t="s">
        <v>6952</v>
      </c>
      <c r="E1995" s="73"/>
      <c r="F1995" s="73"/>
      <c r="G1995" s="73"/>
      <c r="H1995" s="36" t="s">
        <v>6953</v>
      </c>
      <c r="I1995" s="40">
        <v>80</v>
      </c>
      <c r="J1995" s="36"/>
      <c r="K1995" s="34">
        <v>20</v>
      </c>
      <c r="L1995" s="41">
        <v>42.346666666666671</v>
      </c>
      <c r="M1995" s="11"/>
      <c r="N1995" s="36">
        <f t="shared" si="90"/>
        <v>0</v>
      </c>
      <c r="O1995" s="47">
        <f>0.04*M1995</f>
        <v>0</v>
      </c>
      <c r="P1995" s="43">
        <f>0.00021*M1995</f>
        <v>0</v>
      </c>
      <c r="Q1995" s="50"/>
      <c r="R1995" s="36"/>
      <c r="S1995" s="36" t="s">
        <v>435</v>
      </c>
      <c r="T1995" s="35" t="str">
        <f>HYPERLINK("https://miland.ru/api/getInfo/image/b36fec09-d996-11f0-a28c-00155d82e908")</f>
        <v>https://miland.ru/api/getInfo/image/b36fec09-d996-11f0-a28c-00155d82e908</v>
      </c>
      <c r="U1995" s="35"/>
      <c r="V1995" s="35"/>
      <c r="W1995" s="35"/>
      <c r="X1995" s="35"/>
      <c r="Y1995" s="35"/>
      <c r="Z1995" s="35"/>
      <c r="AA1995" s="35" t="str">
        <f>HYPERLINK("https://miland.ru/api/getInfo/item/b36fec09-d996-11f0-a28c-00155d82e908")</f>
        <v>https://miland.ru/api/getInfo/item/b36fec09-d996-11f0-a28c-00155d82e908</v>
      </c>
      <c r="AB1995" s="35" t="s">
        <v>42</v>
      </c>
      <c r="AC1995" s="35"/>
      <c r="AD1995" s="35"/>
      <c r="AE1995" s="52" t="s">
        <v>1251</v>
      </c>
    </row>
    <row r="1996" spans="2:31" s="1" customFormat="1" ht="96.3" customHeight="1" outlineLevel="7">
      <c r="B1996" s="59">
        <v>1534</v>
      </c>
      <c r="C1996" s="35" t="s">
        <v>6954</v>
      </c>
      <c r="D1996" s="73" t="s">
        <v>6955</v>
      </c>
      <c r="E1996" s="73"/>
      <c r="F1996" s="73"/>
      <c r="G1996" s="73"/>
      <c r="H1996" s="36" t="s">
        <v>6956</v>
      </c>
      <c r="I1996" s="40">
        <v>48</v>
      </c>
      <c r="J1996" s="36"/>
      <c r="K1996" s="34">
        <v>36</v>
      </c>
      <c r="L1996" s="41">
        <v>28.48</v>
      </c>
      <c r="M1996" s="11"/>
      <c r="N1996" s="36">
        <f t="shared" si="90"/>
        <v>0</v>
      </c>
      <c r="O1996" s="42">
        <f>0.002*M1996</f>
        <v>0</v>
      </c>
      <c r="P1996" s="43">
        <f>0.00033*M1996</f>
        <v>0</v>
      </c>
      <c r="Q1996" s="50"/>
      <c r="R1996" s="36" t="s">
        <v>6957</v>
      </c>
      <c r="S1996" s="36"/>
      <c r="T1996" s="35" t="str">
        <f>HYPERLINK("https://miland.ru/api/getInfo/image/e2a46354-2efb-11f0-a27c-00155d82e908")</f>
        <v>https://miland.ru/api/getInfo/image/e2a46354-2efb-11f0-a27c-00155d82e908</v>
      </c>
      <c r="U1996" s="35"/>
      <c r="V1996" s="35"/>
      <c r="W1996" s="35" t="s">
        <v>378</v>
      </c>
      <c r="X1996" s="35"/>
      <c r="Y1996" s="35"/>
      <c r="Z1996" s="35"/>
      <c r="AA1996" s="35" t="str">
        <f>HYPERLINK("https://miland.ru/api/getInfo/item/e2a46354-2efb-11f0-a27c-00155d82e908")</f>
        <v>https://miland.ru/api/getInfo/item/e2a46354-2efb-11f0-a27c-00155d82e908</v>
      </c>
      <c r="AB1996" s="35" t="s">
        <v>42</v>
      </c>
      <c r="AC1996" s="35"/>
      <c r="AD1996" s="35"/>
      <c r="AE1996" s="52" t="s">
        <v>1251</v>
      </c>
    </row>
    <row r="1997" spans="2:31" s="1" customFormat="1" ht="96.3" customHeight="1" outlineLevel="7">
      <c r="B1997" s="59">
        <v>1535</v>
      </c>
      <c r="C1997" s="35" t="s">
        <v>6958</v>
      </c>
      <c r="D1997" s="73" t="s">
        <v>6959</v>
      </c>
      <c r="E1997" s="73"/>
      <c r="F1997" s="73"/>
      <c r="G1997" s="73"/>
      <c r="H1997" s="36" t="s">
        <v>6960</v>
      </c>
      <c r="I1997" s="40">
        <v>84</v>
      </c>
      <c r="J1997" s="36"/>
      <c r="K1997" s="34">
        <v>36</v>
      </c>
      <c r="L1997" s="41">
        <v>28.48</v>
      </c>
      <c r="M1997" s="11"/>
      <c r="N1997" s="36">
        <f t="shared" si="90"/>
        <v>0</v>
      </c>
      <c r="O1997" s="42">
        <f>0.002*M1997</f>
        <v>0</v>
      </c>
      <c r="P1997" s="43">
        <f>0.00033*M1997</f>
        <v>0</v>
      </c>
      <c r="Q1997" s="50"/>
      <c r="R1997" s="36" t="s">
        <v>6961</v>
      </c>
      <c r="S1997" s="36"/>
      <c r="T1997" s="35" t="str">
        <f>HYPERLINK("https://miland.ru/api/getInfo/image/6091e489-2efc-11f0-a27c-00155d82e908")</f>
        <v>https://miland.ru/api/getInfo/image/6091e489-2efc-11f0-a27c-00155d82e908</v>
      </c>
      <c r="U1997" s="35"/>
      <c r="V1997" s="35"/>
      <c r="W1997" s="35" t="s">
        <v>378</v>
      </c>
      <c r="X1997" s="35"/>
      <c r="Y1997" s="35"/>
      <c r="Z1997" s="35"/>
      <c r="AA1997" s="35" t="str">
        <f>HYPERLINK("https://miland.ru/api/getInfo/item/6091e489-2efc-11f0-a27c-00155d82e908")</f>
        <v>https://miland.ru/api/getInfo/item/6091e489-2efc-11f0-a27c-00155d82e908</v>
      </c>
      <c r="AB1997" s="35" t="s">
        <v>42</v>
      </c>
      <c r="AC1997" s="35"/>
      <c r="AD1997" s="35"/>
      <c r="AE1997" s="52" t="s">
        <v>1251</v>
      </c>
    </row>
    <row r="1998" spans="2:31" s="1" customFormat="1" ht="96.3" customHeight="1" outlineLevel="7">
      <c r="B1998" s="59">
        <v>1536</v>
      </c>
      <c r="C1998" s="35" t="s">
        <v>6962</v>
      </c>
      <c r="D1998" s="73" t="s">
        <v>6963</v>
      </c>
      <c r="E1998" s="73"/>
      <c r="F1998" s="73"/>
      <c r="G1998" s="73"/>
      <c r="H1998" s="36" t="s">
        <v>6964</v>
      </c>
      <c r="I1998" s="40">
        <v>120</v>
      </c>
      <c r="J1998" s="36"/>
      <c r="K1998" s="34">
        <v>36</v>
      </c>
      <c r="L1998" s="41">
        <v>28.48</v>
      </c>
      <c r="M1998" s="11"/>
      <c r="N1998" s="36">
        <f t="shared" si="90"/>
        <v>0</v>
      </c>
      <c r="O1998" s="42">
        <f>0.002*M1998</f>
        <v>0</v>
      </c>
      <c r="P1998" s="43">
        <f>0.00033*M1998</f>
        <v>0</v>
      </c>
      <c r="Q1998" s="50"/>
      <c r="R1998" s="36" t="s">
        <v>6965</v>
      </c>
      <c r="S1998" s="36"/>
      <c r="T1998" s="35" t="str">
        <f>HYPERLINK("https://miland.ru/api/getInfo/image/3c6c1357-2efc-11f0-a27c-00155d82e908")</f>
        <v>https://miland.ru/api/getInfo/image/3c6c1357-2efc-11f0-a27c-00155d82e908</v>
      </c>
      <c r="U1998" s="35"/>
      <c r="V1998" s="35"/>
      <c r="W1998" s="35" t="s">
        <v>378</v>
      </c>
      <c r="X1998" s="35"/>
      <c r="Y1998" s="35"/>
      <c r="Z1998" s="35"/>
      <c r="AA1998" s="35" t="str">
        <f>HYPERLINK("https://miland.ru/api/getInfo/item/3c6c1357-2efc-11f0-a27c-00155d82e908")</f>
        <v>https://miland.ru/api/getInfo/item/3c6c1357-2efc-11f0-a27c-00155d82e908</v>
      </c>
      <c r="AB1998" s="35" t="s">
        <v>42</v>
      </c>
      <c r="AC1998" s="35"/>
      <c r="AD1998" s="35"/>
      <c r="AE1998" s="52" t="s">
        <v>1251</v>
      </c>
    </row>
    <row r="1999" spans="2:31" s="1" customFormat="1" ht="96.3" customHeight="1" outlineLevel="7">
      <c r="B1999" s="59">
        <v>1537</v>
      </c>
      <c r="C1999" s="35" t="s">
        <v>6966</v>
      </c>
      <c r="D1999" s="73" t="s">
        <v>6967</v>
      </c>
      <c r="E1999" s="73"/>
      <c r="F1999" s="73"/>
      <c r="G1999" s="73"/>
      <c r="H1999" s="36" t="s">
        <v>6968</v>
      </c>
      <c r="I1999" s="40">
        <v>24</v>
      </c>
      <c r="J1999" s="36"/>
      <c r="K1999" s="34">
        <v>24</v>
      </c>
      <c r="L1999" s="41">
        <v>28.48</v>
      </c>
      <c r="M1999" s="11"/>
      <c r="N1999" s="36">
        <f t="shared" si="90"/>
        <v>0</v>
      </c>
      <c r="O1999" s="42">
        <f>0.002*M1999</f>
        <v>0</v>
      </c>
      <c r="P1999" s="43">
        <f>0.00033*M1999</f>
        <v>0</v>
      </c>
      <c r="Q1999" s="50"/>
      <c r="R1999" s="36" t="s">
        <v>6969</v>
      </c>
      <c r="S1999" s="36"/>
      <c r="T1999" s="35"/>
      <c r="U1999" s="35"/>
      <c r="V1999" s="35"/>
      <c r="W1999" s="35" t="s">
        <v>378</v>
      </c>
      <c r="X1999" s="35"/>
      <c r="Y1999" s="35"/>
      <c r="Z1999" s="35"/>
      <c r="AA1999" s="35"/>
      <c r="AB1999" s="35" t="s">
        <v>42</v>
      </c>
      <c r="AC1999" s="35"/>
      <c r="AD1999" s="35"/>
      <c r="AE1999" s="52" t="s">
        <v>1251</v>
      </c>
    </row>
    <row r="2000" spans="2:31" s="1" customFormat="1" ht="96.3" customHeight="1" outlineLevel="7">
      <c r="B2000" s="59">
        <v>1538</v>
      </c>
      <c r="C2000" s="35" t="s">
        <v>6970</v>
      </c>
      <c r="D2000" s="73" t="s">
        <v>6971</v>
      </c>
      <c r="E2000" s="73"/>
      <c r="F2000" s="73"/>
      <c r="G2000" s="73"/>
      <c r="H2000" s="36" t="s">
        <v>6972</v>
      </c>
      <c r="I2000" s="40">
        <v>48</v>
      </c>
      <c r="J2000" s="36"/>
      <c r="K2000" s="34">
        <v>36</v>
      </c>
      <c r="L2000" s="41">
        <v>28.48</v>
      </c>
      <c r="M2000" s="11"/>
      <c r="N2000" s="36">
        <f t="shared" si="90"/>
        <v>0</v>
      </c>
      <c r="O2000" s="42">
        <f>0.002*M2000</f>
        <v>0</v>
      </c>
      <c r="P2000" s="43">
        <f>0.00033*M2000</f>
        <v>0</v>
      </c>
      <c r="Q2000" s="50"/>
      <c r="R2000" s="36" t="s">
        <v>6973</v>
      </c>
      <c r="S2000" s="36"/>
      <c r="T2000" s="35" t="str">
        <f>HYPERLINK("https://miland.ru/api/getInfo/image/1880eac8-2efc-11f0-a27c-00155d82e908")</f>
        <v>https://miland.ru/api/getInfo/image/1880eac8-2efc-11f0-a27c-00155d82e908</v>
      </c>
      <c r="U2000" s="35"/>
      <c r="V2000" s="35"/>
      <c r="W2000" s="35" t="s">
        <v>378</v>
      </c>
      <c r="X2000" s="35"/>
      <c r="Y2000" s="35"/>
      <c r="Z2000" s="35"/>
      <c r="AA2000" s="35" t="str">
        <f>HYPERLINK("https://miland.ru/api/getInfo/item/1880eac8-2efc-11f0-a27c-00155d82e908")</f>
        <v>https://miland.ru/api/getInfo/item/1880eac8-2efc-11f0-a27c-00155d82e908</v>
      </c>
      <c r="AB2000" s="35" t="s">
        <v>42</v>
      </c>
      <c r="AC2000" s="35"/>
      <c r="AD2000" s="35"/>
      <c r="AE2000" s="52" t="s">
        <v>1251</v>
      </c>
    </row>
    <row r="2001" spans="2:31" s="1" customFormat="1" ht="96.3" customHeight="1" outlineLevel="7">
      <c r="B2001" s="59">
        <v>1539</v>
      </c>
      <c r="C2001" s="35" t="s">
        <v>6974</v>
      </c>
      <c r="D2001" s="73" t="s">
        <v>6975</v>
      </c>
      <c r="E2001" s="73"/>
      <c r="F2001" s="73"/>
      <c r="G2001" s="73"/>
      <c r="H2001" s="36" t="s">
        <v>6976</v>
      </c>
      <c r="I2001" s="40">
        <v>40</v>
      </c>
      <c r="J2001" s="36"/>
      <c r="K2001" s="34">
        <v>20</v>
      </c>
      <c r="L2001" s="41">
        <v>42.346666666666671</v>
      </c>
      <c r="M2001" s="11"/>
      <c r="N2001" s="36">
        <f t="shared" si="90"/>
        <v>0</v>
      </c>
      <c r="O2001" s="47">
        <f>0.04*M2001</f>
        <v>0</v>
      </c>
      <c r="P2001" s="43">
        <f>0.00021*M2001</f>
        <v>0</v>
      </c>
      <c r="Q2001" s="50"/>
      <c r="R2001" s="36"/>
      <c r="S2001" s="36" t="s">
        <v>435</v>
      </c>
      <c r="T2001" s="35" t="str">
        <f>HYPERLINK("https://miland.ru/api/getInfo/image/ee32165c-d9ba-11f0-a28c-00155d82e908")</f>
        <v>https://miland.ru/api/getInfo/image/ee32165c-d9ba-11f0-a28c-00155d82e908</v>
      </c>
      <c r="U2001" s="35"/>
      <c r="V2001" s="35"/>
      <c r="W2001" s="35"/>
      <c r="X2001" s="35"/>
      <c r="Y2001" s="35"/>
      <c r="Z2001" s="35"/>
      <c r="AA2001" s="35" t="str">
        <f>HYPERLINK("https://miland.ru/api/getInfo/item/ee32165c-d9ba-11f0-a28c-00155d82e908")</f>
        <v>https://miland.ru/api/getInfo/item/ee32165c-d9ba-11f0-a28c-00155d82e908</v>
      </c>
      <c r="AB2001" s="35" t="s">
        <v>42</v>
      </c>
      <c r="AC2001" s="35"/>
      <c r="AD2001" s="35"/>
      <c r="AE2001" s="52" t="s">
        <v>1251</v>
      </c>
    </row>
    <row r="2002" spans="2:31" s="1" customFormat="1" ht="96.3" customHeight="1" outlineLevel="7">
      <c r="B2002" s="59">
        <v>1540</v>
      </c>
      <c r="C2002" s="35" t="s">
        <v>6977</v>
      </c>
      <c r="D2002" s="73" t="s">
        <v>6978</v>
      </c>
      <c r="E2002" s="73"/>
      <c r="F2002" s="73"/>
      <c r="G2002" s="73"/>
      <c r="H2002" s="36" t="s">
        <v>6979</v>
      </c>
      <c r="I2002" s="56" t="s">
        <v>36</v>
      </c>
      <c r="J2002" s="36"/>
      <c r="K2002" s="34">
        <v>12</v>
      </c>
      <c r="L2002" s="41">
        <v>42.346666666666671</v>
      </c>
      <c r="M2002" s="11"/>
      <c r="N2002" s="36">
        <f t="shared" si="90"/>
        <v>0</v>
      </c>
      <c r="O2002" s="42">
        <f>0.047*M2002</f>
        <v>0</v>
      </c>
      <c r="P2002" s="43">
        <f>0.00009*M2002</f>
        <v>0</v>
      </c>
      <c r="Q2002" s="50"/>
      <c r="R2002" s="36" t="s">
        <v>6980</v>
      </c>
      <c r="S2002" s="36" t="s">
        <v>435</v>
      </c>
      <c r="T2002" s="35" t="str">
        <f>HYPERLINK("https://miland.ru/api/getInfo/image/03571fd3-a33b-11ef-a267-00155d82e908")</f>
        <v>https://miland.ru/api/getInfo/image/03571fd3-a33b-11ef-a267-00155d82e908</v>
      </c>
      <c r="U2002" s="35"/>
      <c r="V2002" s="35" t="s">
        <v>6525</v>
      </c>
      <c r="W2002" s="35" t="s">
        <v>378</v>
      </c>
      <c r="X2002" s="35"/>
      <c r="Y2002" s="35" t="s">
        <v>41</v>
      </c>
      <c r="Z2002" s="35"/>
      <c r="AA2002" s="35" t="str">
        <f>HYPERLINK("https://miland.ru/api/getInfo/item/03571fd3-a33b-11ef-a267-00155d82e908")</f>
        <v>https://miland.ru/api/getInfo/item/03571fd3-a33b-11ef-a267-00155d82e908</v>
      </c>
      <c r="AB2002" s="35" t="s">
        <v>42</v>
      </c>
      <c r="AC2002" s="35" t="s">
        <v>6981</v>
      </c>
      <c r="AD2002" s="35"/>
      <c r="AE2002" s="52" t="s">
        <v>1251</v>
      </c>
    </row>
    <row r="2003" spans="2:31" s="1" customFormat="1" ht="96.3" customHeight="1" outlineLevel="7">
      <c r="B2003" s="59">
        <v>1541</v>
      </c>
      <c r="C2003" s="35" t="s">
        <v>6982</v>
      </c>
      <c r="D2003" s="73" t="s">
        <v>6983</v>
      </c>
      <c r="E2003" s="73"/>
      <c r="F2003" s="73"/>
      <c r="G2003" s="73"/>
      <c r="H2003" s="36" t="s">
        <v>6984</v>
      </c>
      <c r="I2003" s="40">
        <v>12</v>
      </c>
      <c r="J2003" s="36"/>
      <c r="K2003" s="34">
        <v>12</v>
      </c>
      <c r="L2003" s="41">
        <v>42.346666666666671</v>
      </c>
      <c r="M2003" s="11"/>
      <c r="N2003" s="36">
        <f t="shared" si="90"/>
        <v>0</v>
      </c>
      <c r="O2003" s="42">
        <f>0.047*M2003</f>
        <v>0</v>
      </c>
      <c r="P2003" s="43">
        <f>0.00014*M2003</f>
        <v>0</v>
      </c>
      <c r="Q2003" s="50"/>
      <c r="R2003" s="36" t="s">
        <v>6985</v>
      </c>
      <c r="S2003" s="36" t="s">
        <v>435</v>
      </c>
      <c r="T2003" s="35" t="str">
        <f>HYPERLINK("https://miland.ru/api/getInfo/image/ae0922ce-a33a-11ef-a267-00155d82e908")</f>
        <v>https://miland.ru/api/getInfo/image/ae0922ce-a33a-11ef-a267-00155d82e908</v>
      </c>
      <c r="U2003" s="35"/>
      <c r="V2003" s="35" t="s">
        <v>6525</v>
      </c>
      <c r="W2003" s="35" t="s">
        <v>378</v>
      </c>
      <c r="X2003" s="35"/>
      <c r="Y2003" s="35" t="s">
        <v>41</v>
      </c>
      <c r="Z2003" s="35"/>
      <c r="AA2003" s="35" t="str">
        <f>HYPERLINK("https://miland.ru/api/getInfo/item/ae0922ce-a33a-11ef-a267-00155d82e908")</f>
        <v>https://miland.ru/api/getInfo/item/ae0922ce-a33a-11ef-a267-00155d82e908</v>
      </c>
      <c r="AB2003" s="35" t="s">
        <v>42</v>
      </c>
      <c r="AC2003" s="35" t="s">
        <v>6981</v>
      </c>
      <c r="AD2003" s="35"/>
      <c r="AE2003" s="52" t="s">
        <v>1251</v>
      </c>
    </row>
    <row r="2004" spans="2:31" s="1" customFormat="1" ht="96.3" customHeight="1" outlineLevel="7">
      <c r="B2004" s="59">
        <v>1542</v>
      </c>
      <c r="C2004" s="35" t="s">
        <v>6986</v>
      </c>
      <c r="D2004" s="73" t="s">
        <v>6987</v>
      </c>
      <c r="E2004" s="73"/>
      <c r="F2004" s="73"/>
      <c r="G2004" s="73"/>
      <c r="H2004" s="36" t="s">
        <v>6988</v>
      </c>
      <c r="I2004" s="40">
        <v>160</v>
      </c>
      <c r="J2004" s="36"/>
      <c r="K2004" s="34">
        <v>20</v>
      </c>
      <c r="L2004" s="41">
        <v>42.346666666666671</v>
      </c>
      <c r="M2004" s="11"/>
      <c r="N2004" s="36">
        <f t="shared" si="90"/>
        <v>0</v>
      </c>
      <c r="O2004" s="47">
        <f>0.04*M2004</f>
        <v>0</v>
      </c>
      <c r="P2004" s="43">
        <f>0.00021*M2004</f>
        <v>0</v>
      </c>
      <c r="Q2004" s="50"/>
      <c r="R2004" s="36"/>
      <c r="S2004" s="36" t="s">
        <v>435</v>
      </c>
      <c r="T2004" s="35" t="str">
        <f>HYPERLINK("https://miland.ru/api/getInfo/image/53d9f19c-d9ba-11f0-a28c-00155d82e908")</f>
        <v>https://miland.ru/api/getInfo/image/53d9f19c-d9ba-11f0-a28c-00155d82e908</v>
      </c>
      <c r="U2004" s="35"/>
      <c r="V2004" s="35"/>
      <c r="W2004" s="35"/>
      <c r="X2004" s="35"/>
      <c r="Y2004" s="35" t="s">
        <v>41</v>
      </c>
      <c r="Z2004" s="35"/>
      <c r="AA2004" s="35" t="str">
        <f>HYPERLINK("https://miland.ru/api/getInfo/item/53d9f19c-d9ba-11f0-a28c-00155d82e908")</f>
        <v>https://miland.ru/api/getInfo/item/53d9f19c-d9ba-11f0-a28c-00155d82e908</v>
      </c>
      <c r="AB2004" s="35" t="s">
        <v>42</v>
      </c>
      <c r="AC2004" s="35" t="s">
        <v>6981</v>
      </c>
      <c r="AD2004" s="35"/>
      <c r="AE2004" s="52" t="s">
        <v>1251</v>
      </c>
    </row>
    <row r="2005" spans="2:31" s="1" customFormat="1" ht="96.3" customHeight="1" outlineLevel="7">
      <c r="B2005" s="59">
        <v>1543</v>
      </c>
      <c r="C2005" s="35" t="s">
        <v>6989</v>
      </c>
      <c r="D2005" s="73" t="s">
        <v>6990</v>
      </c>
      <c r="E2005" s="73"/>
      <c r="F2005" s="73"/>
      <c r="G2005" s="73"/>
      <c r="H2005" s="36" t="s">
        <v>6991</v>
      </c>
      <c r="I2005" s="56" t="s">
        <v>36</v>
      </c>
      <c r="J2005" s="36"/>
      <c r="K2005" s="34">
        <v>12</v>
      </c>
      <c r="L2005" s="41">
        <v>34.533333333333331</v>
      </c>
      <c r="M2005" s="11"/>
      <c r="N2005" s="36">
        <f t="shared" si="90"/>
        <v>0</v>
      </c>
      <c r="O2005" s="47">
        <f>0.04*M2005</f>
        <v>0</v>
      </c>
      <c r="P2005" s="43">
        <f>0.00023*M2005</f>
        <v>0</v>
      </c>
      <c r="Q2005" s="50" t="s">
        <v>37</v>
      </c>
      <c r="R2005" s="36" t="s">
        <v>6992</v>
      </c>
      <c r="S2005" s="36"/>
      <c r="T2005" s="35" t="str">
        <f>HYPERLINK("https://miland.ru/api/getInfo/image/fddf4a29-fb70-11f0-a28e-00155d82e908")</f>
        <v>https://miland.ru/api/getInfo/image/fddf4a29-fb70-11f0-a28e-00155d82e908</v>
      </c>
      <c r="U2005" s="35"/>
      <c r="V2005" s="35"/>
      <c r="W2005" s="35" t="s">
        <v>378</v>
      </c>
      <c r="X2005" s="35"/>
      <c r="Y2005" s="35" t="s">
        <v>41</v>
      </c>
      <c r="Z2005" s="35"/>
      <c r="AA2005" s="35" t="str">
        <f>HYPERLINK("https://miland.ru/api/getInfo/item/fddf4a29-fb70-11f0-a28e-00155d82e908")</f>
        <v>https://miland.ru/api/getInfo/item/fddf4a29-fb70-11f0-a28e-00155d82e908</v>
      </c>
      <c r="AB2005" s="35" t="s">
        <v>42</v>
      </c>
      <c r="AC2005" s="35"/>
      <c r="AD2005" s="35"/>
      <c r="AE2005" s="52" t="s">
        <v>1251</v>
      </c>
    </row>
    <row r="2006" spans="2:31" s="1" customFormat="1" ht="96.3" customHeight="1" outlineLevel="7">
      <c r="B2006" s="59">
        <v>1544</v>
      </c>
      <c r="C2006" s="35" t="s">
        <v>6993</v>
      </c>
      <c r="D2006" s="73" t="s">
        <v>6994</v>
      </c>
      <c r="E2006" s="73"/>
      <c r="F2006" s="73"/>
      <c r="G2006" s="73"/>
      <c r="H2006" s="36" t="s">
        <v>6995</v>
      </c>
      <c r="I2006" s="40">
        <v>300</v>
      </c>
      <c r="J2006" s="36"/>
      <c r="K2006" s="34">
        <v>12</v>
      </c>
      <c r="L2006" s="41">
        <v>42.346666666666671</v>
      </c>
      <c r="M2006" s="11"/>
      <c r="N2006" s="36">
        <f t="shared" si="90"/>
        <v>0</v>
      </c>
      <c r="O2006" s="42">
        <f>0.044*M2006</f>
        <v>0</v>
      </c>
      <c r="P2006" s="43">
        <f>0.00013*M2006</f>
        <v>0</v>
      </c>
      <c r="Q2006" s="50"/>
      <c r="R2006" s="36" t="s">
        <v>6996</v>
      </c>
      <c r="S2006" s="36" t="s">
        <v>435</v>
      </c>
      <c r="T2006" s="35" t="str">
        <f>HYPERLINK("https://miland.ru/api/getInfo/image/258d6766-a33b-11ef-a267-00155d82e908")</f>
        <v>https://miland.ru/api/getInfo/image/258d6766-a33b-11ef-a267-00155d82e908</v>
      </c>
      <c r="U2006" s="35"/>
      <c r="V2006" s="35" t="s">
        <v>6525</v>
      </c>
      <c r="W2006" s="35" t="s">
        <v>378</v>
      </c>
      <c r="X2006" s="35"/>
      <c r="Y2006" s="35" t="s">
        <v>41</v>
      </c>
      <c r="Z2006" s="35"/>
      <c r="AA2006" s="35" t="str">
        <f>HYPERLINK("https://miland.ru/api/getInfo/item/258d6766-a33b-11ef-a267-00155d82e908")</f>
        <v>https://miland.ru/api/getInfo/item/258d6766-a33b-11ef-a267-00155d82e908</v>
      </c>
      <c r="AB2006" s="35" t="s">
        <v>42</v>
      </c>
      <c r="AC2006" s="35" t="s">
        <v>6981</v>
      </c>
      <c r="AD2006" s="35"/>
      <c r="AE2006" s="52" t="s">
        <v>1251</v>
      </c>
    </row>
    <row r="2007" spans="2:31" s="1" customFormat="1" ht="96.3" customHeight="1" outlineLevel="7">
      <c r="B2007" s="59">
        <v>1545</v>
      </c>
      <c r="C2007" s="35" t="s">
        <v>6997</v>
      </c>
      <c r="D2007" s="73" t="s">
        <v>6998</v>
      </c>
      <c r="E2007" s="73"/>
      <c r="F2007" s="73"/>
      <c r="G2007" s="73"/>
      <c r="H2007" s="36" t="s">
        <v>6999</v>
      </c>
      <c r="I2007" s="56" t="s">
        <v>36</v>
      </c>
      <c r="J2007" s="36"/>
      <c r="K2007" s="34">
        <v>12</v>
      </c>
      <c r="L2007" s="41">
        <v>34.533333333333331</v>
      </c>
      <c r="M2007" s="11"/>
      <c r="N2007" s="36">
        <f t="shared" si="90"/>
        <v>0</v>
      </c>
      <c r="O2007" s="47">
        <f>0.04*M2007</f>
        <v>0</v>
      </c>
      <c r="P2007" s="55">
        <f>0.0003*M2007</f>
        <v>0</v>
      </c>
      <c r="Q2007" s="50" t="s">
        <v>37</v>
      </c>
      <c r="R2007" s="36" t="s">
        <v>7000</v>
      </c>
      <c r="S2007" s="36"/>
      <c r="T2007" s="35" t="str">
        <f>HYPERLINK("https://miland.ru/api/getInfo/image/9b6d6f1e-fb70-11f0-a28e-00155d82e908")</f>
        <v>https://miland.ru/api/getInfo/image/9b6d6f1e-fb70-11f0-a28e-00155d82e908</v>
      </c>
      <c r="U2007" s="35"/>
      <c r="V2007" s="35"/>
      <c r="W2007" s="35" t="s">
        <v>378</v>
      </c>
      <c r="X2007" s="35"/>
      <c r="Y2007" s="35" t="s">
        <v>41</v>
      </c>
      <c r="Z2007" s="35"/>
      <c r="AA2007" s="35" t="str">
        <f>HYPERLINK("https://miland.ru/api/getInfo/item/9b6d6f1e-fb70-11f0-a28e-00155d82e908")</f>
        <v>https://miland.ru/api/getInfo/item/9b6d6f1e-fb70-11f0-a28e-00155d82e908</v>
      </c>
      <c r="AB2007" s="35" t="s">
        <v>42</v>
      </c>
      <c r="AC2007" s="35"/>
      <c r="AD2007" s="35"/>
      <c r="AE2007" s="52" t="s">
        <v>1251</v>
      </c>
    </row>
    <row r="2008" spans="2:31" s="1" customFormat="1" ht="96.3" customHeight="1" outlineLevel="7">
      <c r="B2008" s="59">
        <v>1546</v>
      </c>
      <c r="C2008" s="35" t="s">
        <v>7001</v>
      </c>
      <c r="D2008" s="73" t="s">
        <v>7002</v>
      </c>
      <c r="E2008" s="73"/>
      <c r="F2008" s="73"/>
      <c r="G2008" s="73"/>
      <c r="H2008" s="36" t="s">
        <v>7003</v>
      </c>
      <c r="I2008" s="56" t="s">
        <v>36</v>
      </c>
      <c r="J2008" s="36"/>
      <c r="K2008" s="34">
        <v>12</v>
      </c>
      <c r="L2008" s="41">
        <v>34.533333333333331</v>
      </c>
      <c r="M2008" s="11"/>
      <c r="N2008" s="36">
        <f t="shared" si="90"/>
        <v>0</v>
      </c>
      <c r="O2008" s="42">
        <f>0.036*M2008</f>
        <v>0</v>
      </c>
      <c r="P2008" s="43">
        <f>0.00012*M2008</f>
        <v>0</v>
      </c>
      <c r="Q2008" s="50" t="s">
        <v>37</v>
      </c>
      <c r="R2008" s="36" t="s">
        <v>7004</v>
      </c>
      <c r="S2008" s="36"/>
      <c r="T2008" s="35" t="str">
        <f>HYPERLINK("https://miland.ru/api/getInfo/image/e154d51d-fb70-11f0-a28e-00155d82e908")</f>
        <v>https://miland.ru/api/getInfo/image/e154d51d-fb70-11f0-a28e-00155d82e908</v>
      </c>
      <c r="U2008" s="35"/>
      <c r="V2008" s="35"/>
      <c r="W2008" s="35" t="s">
        <v>378</v>
      </c>
      <c r="X2008" s="35"/>
      <c r="Y2008" s="35" t="s">
        <v>41</v>
      </c>
      <c r="Z2008" s="35"/>
      <c r="AA2008" s="35" t="str">
        <f>HYPERLINK("https://miland.ru/api/getInfo/item/e154d51d-fb70-11f0-a28e-00155d82e908")</f>
        <v>https://miland.ru/api/getInfo/item/e154d51d-fb70-11f0-a28e-00155d82e908</v>
      </c>
      <c r="AB2008" s="35" t="s">
        <v>42</v>
      </c>
      <c r="AC2008" s="35"/>
      <c r="AD2008" s="35"/>
      <c r="AE2008" s="52" t="s">
        <v>1251</v>
      </c>
    </row>
    <row r="2009" spans="2:31" s="1" customFormat="1" ht="96.3" customHeight="1" outlineLevel="7">
      <c r="B2009" s="59">
        <v>1547</v>
      </c>
      <c r="C2009" s="35" t="s">
        <v>7005</v>
      </c>
      <c r="D2009" s="73" t="s">
        <v>7006</v>
      </c>
      <c r="E2009" s="73"/>
      <c r="F2009" s="73"/>
      <c r="G2009" s="73"/>
      <c r="H2009" s="36" t="s">
        <v>7007</v>
      </c>
      <c r="I2009" s="56" t="s">
        <v>36</v>
      </c>
      <c r="J2009" s="36"/>
      <c r="K2009" s="34">
        <v>12</v>
      </c>
      <c r="L2009" s="41">
        <v>34.533333333333331</v>
      </c>
      <c r="M2009" s="11"/>
      <c r="N2009" s="36">
        <f t="shared" si="90"/>
        <v>0</v>
      </c>
      <c r="O2009" s="47">
        <f>0.04*M2009</f>
        <v>0</v>
      </c>
      <c r="P2009" s="43">
        <f>0.00019*M2009</f>
        <v>0</v>
      </c>
      <c r="Q2009" s="50" t="s">
        <v>37</v>
      </c>
      <c r="R2009" s="36" t="s">
        <v>7008</v>
      </c>
      <c r="S2009" s="36"/>
      <c r="T2009" s="35" t="str">
        <f>HYPERLINK("https://miland.ru/api/getInfo/image/b5c9d67b-fb70-11f0-a28e-00155d82e908")</f>
        <v>https://miland.ru/api/getInfo/image/b5c9d67b-fb70-11f0-a28e-00155d82e908</v>
      </c>
      <c r="U2009" s="35"/>
      <c r="V2009" s="35"/>
      <c r="W2009" s="35" t="s">
        <v>378</v>
      </c>
      <c r="X2009" s="35"/>
      <c r="Y2009" s="35" t="s">
        <v>41</v>
      </c>
      <c r="Z2009" s="35"/>
      <c r="AA2009" s="35" t="str">
        <f>HYPERLINK("https://miland.ru/api/getInfo/item/b5c9d67b-fb70-11f0-a28e-00155d82e908")</f>
        <v>https://miland.ru/api/getInfo/item/b5c9d67b-fb70-11f0-a28e-00155d82e908</v>
      </c>
      <c r="AB2009" s="35" t="s">
        <v>42</v>
      </c>
      <c r="AC2009" s="35"/>
      <c r="AD2009" s="35"/>
      <c r="AE2009" s="52" t="s">
        <v>1251</v>
      </c>
    </row>
    <row r="2010" spans="2:31" s="1" customFormat="1" ht="96.3" customHeight="1" outlineLevel="7">
      <c r="B2010" s="59">
        <v>1548</v>
      </c>
      <c r="C2010" s="35" t="s">
        <v>7009</v>
      </c>
      <c r="D2010" s="73" t="s">
        <v>7010</v>
      </c>
      <c r="E2010" s="73"/>
      <c r="F2010" s="73"/>
      <c r="G2010" s="73"/>
      <c r="H2010" s="36" t="s">
        <v>7011</v>
      </c>
      <c r="I2010" s="56" t="s">
        <v>36</v>
      </c>
      <c r="J2010" s="36"/>
      <c r="K2010" s="34">
        <v>12</v>
      </c>
      <c r="L2010" s="41">
        <v>34.533333333333331</v>
      </c>
      <c r="M2010" s="11"/>
      <c r="N2010" s="36">
        <f t="shared" si="90"/>
        <v>0</v>
      </c>
      <c r="O2010" s="61">
        <f>7.7*M2010</f>
        <v>0</v>
      </c>
      <c r="P2010" s="55">
        <f>0.0351*M2010</f>
        <v>0</v>
      </c>
      <c r="Q2010" s="50" t="s">
        <v>37</v>
      </c>
      <c r="R2010" s="36" t="s">
        <v>7012</v>
      </c>
      <c r="S2010" s="36"/>
      <c r="T2010" s="35" t="str">
        <f>HYPERLINK("https://miland.ru/api/getInfo/image/882dbaa7-fb70-11f0-a28e-00155d82e908")</f>
        <v>https://miland.ru/api/getInfo/image/882dbaa7-fb70-11f0-a28e-00155d82e908</v>
      </c>
      <c r="U2010" s="35"/>
      <c r="V2010" s="35"/>
      <c r="W2010" s="35" t="s">
        <v>378</v>
      </c>
      <c r="X2010" s="35"/>
      <c r="Y2010" s="35" t="s">
        <v>41</v>
      </c>
      <c r="Z2010" s="35"/>
      <c r="AA2010" s="35" t="str">
        <f>HYPERLINK("https://miland.ru/api/getInfo/item/882dbaa7-fb70-11f0-a28e-00155d82e908")</f>
        <v>https://miland.ru/api/getInfo/item/882dbaa7-fb70-11f0-a28e-00155d82e908</v>
      </c>
      <c r="AB2010" s="35" t="s">
        <v>42</v>
      </c>
      <c r="AC2010" s="35"/>
      <c r="AD2010" s="35"/>
      <c r="AE2010" s="52" t="s">
        <v>1251</v>
      </c>
    </row>
    <row r="2011" spans="2:31" s="1" customFormat="1" ht="96.3" customHeight="1" outlineLevel="7">
      <c r="B2011" s="59">
        <v>1549</v>
      </c>
      <c r="C2011" s="35" t="s">
        <v>7013</v>
      </c>
      <c r="D2011" s="73" t="s">
        <v>7014</v>
      </c>
      <c r="E2011" s="73"/>
      <c r="F2011" s="73"/>
      <c r="G2011" s="73"/>
      <c r="H2011" s="36" t="s">
        <v>7015</v>
      </c>
      <c r="I2011" s="56" t="s">
        <v>36</v>
      </c>
      <c r="J2011" s="36"/>
      <c r="K2011" s="34">
        <v>12</v>
      </c>
      <c r="L2011" s="41">
        <v>34.533333333333331</v>
      </c>
      <c r="M2011" s="11"/>
      <c r="N2011" s="36">
        <f t="shared" si="90"/>
        <v>0</v>
      </c>
      <c r="O2011" s="47">
        <f>0.04*M2011</f>
        <v>0</v>
      </c>
      <c r="P2011" s="43">
        <f>0.00014*M2011</f>
        <v>0</v>
      </c>
      <c r="Q2011" s="50" t="s">
        <v>37</v>
      </c>
      <c r="R2011" s="36" t="s">
        <v>7016</v>
      </c>
      <c r="S2011" s="36"/>
      <c r="T2011" s="35" t="str">
        <f>HYPERLINK("https://miland.ru/api/getInfo/image/ca2193df-fb70-11f0-a28e-00155d82e908")</f>
        <v>https://miland.ru/api/getInfo/image/ca2193df-fb70-11f0-a28e-00155d82e908</v>
      </c>
      <c r="U2011" s="35"/>
      <c r="V2011" s="35"/>
      <c r="W2011" s="35" t="s">
        <v>378</v>
      </c>
      <c r="X2011" s="35"/>
      <c r="Y2011" s="35" t="s">
        <v>41</v>
      </c>
      <c r="Z2011" s="35"/>
      <c r="AA2011" s="35" t="str">
        <f>HYPERLINK("https://miland.ru/api/getInfo/item/ca2193df-fb70-11f0-a28e-00155d82e908")</f>
        <v>https://miland.ru/api/getInfo/item/ca2193df-fb70-11f0-a28e-00155d82e908</v>
      </c>
      <c r="AB2011" s="35" t="s">
        <v>42</v>
      </c>
      <c r="AC2011" s="35"/>
      <c r="AD2011" s="35"/>
      <c r="AE2011" s="52" t="s">
        <v>1251</v>
      </c>
    </row>
    <row r="2012" spans="2:31" s="1" customFormat="1" ht="96.3" customHeight="1" outlineLevel="7">
      <c r="B2012" s="59">
        <v>1550</v>
      </c>
      <c r="C2012" s="35" t="s">
        <v>7017</v>
      </c>
      <c r="D2012" s="73" t="s">
        <v>7018</v>
      </c>
      <c r="E2012" s="73"/>
      <c r="F2012" s="73"/>
      <c r="G2012" s="73"/>
      <c r="H2012" s="36" t="s">
        <v>7019</v>
      </c>
      <c r="I2012" s="56" t="s">
        <v>36</v>
      </c>
      <c r="J2012" s="36"/>
      <c r="K2012" s="34">
        <v>12</v>
      </c>
      <c r="L2012" s="41">
        <v>34.533333333333331</v>
      </c>
      <c r="M2012" s="11"/>
      <c r="N2012" s="36">
        <f t="shared" si="90"/>
        <v>0</v>
      </c>
      <c r="O2012" s="42">
        <f>0.036*M2012</f>
        <v>0</v>
      </c>
      <c r="P2012" s="43">
        <f>0.00029*M2012</f>
        <v>0</v>
      </c>
      <c r="Q2012" s="50" t="s">
        <v>37</v>
      </c>
      <c r="R2012" s="36" t="s">
        <v>7020</v>
      </c>
      <c r="S2012" s="36"/>
      <c r="T2012" s="35" t="str">
        <f>HYPERLINK("https://miland.ru/api/getInfo/image/6f70d588-fb70-11f0-a28e-00155d82e908")</f>
        <v>https://miland.ru/api/getInfo/image/6f70d588-fb70-11f0-a28e-00155d82e908</v>
      </c>
      <c r="U2012" s="35"/>
      <c r="V2012" s="35"/>
      <c r="W2012" s="35" t="s">
        <v>378</v>
      </c>
      <c r="X2012" s="35"/>
      <c r="Y2012" s="35" t="s">
        <v>41</v>
      </c>
      <c r="Z2012" s="35"/>
      <c r="AA2012" s="35" t="str">
        <f>HYPERLINK("https://miland.ru/api/getInfo/item/6f70d588-fb70-11f0-a28e-00155d82e908")</f>
        <v>https://miland.ru/api/getInfo/item/6f70d588-fb70-11f0-a28e-00155d82e908</v>
      </c>
      <c r="AB2012" s="35" t="s">
        <v>42</v>
      </c>
      <c r="AC2012" s="35"/>
      <c r="AD2012" s="35"/>
      <c r="AE2012" s="52" t="s">
        <v>1251</v>
      </c>
    </row>
    <row r="2013" spans="2:31" s="1" customFormat="1" ht="96.3" customHeight="1" outlineLevel="7">
      <c r="B2013" s="59">
        <v>1551</v>
      </c>
      <c r="C2013" s="35" t="s">
        <v>7021</v>
      </c>
      <c r="D2013" s="73" t="s">
        <v>7022</v>
      </c>
      <c r="E2013" s="73"/>
      <c r="F2013" s="73"/>
      <c r="G2013" s="73"/>
      <c r="H2013" s="36" t="s">
        <v>7023</v>
      </c>
      <c r="I2013" s="56" t="s">
        <v>36</v>
      </c>
      <c r="J2013" s="36"/>
      <c r="K2013" s="34">
        <v>12</v>
      </c>
      <c r="L2013" s="41">
        <v>34.533333333333331</v>
      </c>
      <c r="M2013" s="11"/>
      <c r="N2013" s="36">
        <f t="shared" si="90"/>
        <v>0</v>
      </c>
      <c r="O2013" s="47">
        <f>0.04*M2013</f>
        <v>0</v>
      </c>
      <c r="P2013" s="43">
        <f>0.00024*M2013</f>
        <v>0</v>
      </c>
      <c r="Q2013" s="50" t="s">
        <v>37</v>
      </c>
      <c r="R2013" s="36" t="s">
        <v>7024</v>
      </c>
      <c r="S2013" s="36"/>
      <c r="T2013" s="35" t="str">
        <f>HYPERLINK("https://miland.ru/api/getInfo/image/18642a01-fb71-11f0-a28e-00155d82e908")</f>
        <v>https://miland.ru/api/getInfo/image/18642a01-fb71-11f0-a28e-00155d82e908</v>
      </c>
      <c r="U2013" s="35"/>
      <c r="V2013" s="35"/>
      <c r="W2013" s="35" t="s">
        <v>378</v>
      </c>
      <c r="X2013" s="35"/>
      <c r="Y2013" s="35" t="s">
        <v>41</v>
      </c>
      <c r="Z2013" s="35"/>
      <c r="AA2013" s="35" t="str">
        <f>HYPERLINK("https://miland.ru/api/getInfo/item/18642a01-fb71-11f0-a28e-00155d82e908")</f>
        <v>https://miland.ru/api/getInfo/item/18642a01-fb71-11f0-a28e-00155d82e908</v>
      </c>
      <c r="AB2013" s="35" t="s">
        <v>42</v>
      </c>
      <c r="AC2013" s="35"/>
      <c r="AD2013" s="35"/>
      <c r="AE2013" s="52" t="s">
        <v>1251</v>
      </c>
    </row>
    <row r="2014" spans="2:31" s="1" customFormat="1" ht="96.3" customHeight="1" outlineLevel="7">
      <c r="B2014" s="59">
        <v>1552</v>
      </c>
      <c r="C2014" s="35" t="s">
        <v>7025</v>
      </c>
      <c r="D2014" s="73" t="s">
        <v>7026</v>
      </c>
      <c r="E2014" s="73"/>
      <c r="F2014" s="73"/>
      <c r="G2014" s="73"/>
      <c r="H2014" s="36" t="s">
        <v>6964</v>
      </c>
      <c r="I2014" s="40">
        <v>120</v>
      </c>
      <c r="J2014" s="36"/>
      <c r="K2014" s="34">
        <v>30</v>
      </c>
      <c r="L2014" s="41">
        <v>42.346666666666671</v>
      </c>
      <c r="M2014" s="11"/>
      <c r="N2014" s="36">
        <f t="shared" si="90"/>
        <v>0</v>
      </c>
      <c r="O2014" s="47">
        <f>4.04*M2014</f>
        <v>0</v>
      </c>
      <c r="P2014" s="43">
        <f>0.01889*M2014</f>
        <v>0</v>
      </c>
      <c r="Q2014" s="50"/>
      <c r="R2014" s="36"/>
      <c r="S2014" s="36" t="s">
        <v>435</v>
      </c>
      <c r="T2014" s="35" t="str">
        <f>HYPERLINK("https://miland.ru/api/getInfo/image/eb257463-d9b8-11f0-a28c-00155d82e908")</f>
        <v>https://miland.ru/api/getInfo/image/eb257463-d9b8-11f0-a28c-00155d82e908</v>
      </c>
      <c r="U2014" s="35"/>
      <c r="V2014" s="35"/>
      <c r="W2014" s="35"/>
      <c r="X2014" s="35"/>
      <c r="Y2014" s="35"/>
      <c r="Z2014" s="35"/>
      <c r="AA2014" s="35" t="str">
        <f>HYPERLINK("https://miland.ru/api/getInfo/item/eb257463-d9b8-11f0-a28c-00155d82e908")</f>
        <v>https://miland.ru/api/getInfo/item/eb257463-d9b8-11f0-a28c-00155d82e908</v>
      </c>
      <c r="AB2014" s="35" t="s">
        <v>42</v>
      </c>
      <c r="AC2014" s="35"/>
      <c r="AD2014" s="35"/>
      <c r="AE2014" s="52" t="s">
        <v>1251</v>
      </c>
    </row>
    <row r="2015" spans="2:31" s="1" customFormat="1" ht="96.3" customHeight="1" outlineLevel="7">
      <c r="B2015" s="59">
        <v>1553</v>
      </c>
      <c r="C2015" s="35" t="s">
        <v>7027</v>
      </c>
      <c r="D2015" s="73" t="s">
        <v>7028</v>
      </c>
      <c r="E2015" s="73"/>
      <c r="F2015" s="73"/>
      <c r="G2015" s="73"/>
      <c r="H2015" s="36" t="s">
        <v>6960</v>
      </c>
      <c r="I2015" s="40">
        <v>120</v>
      </c>
      <c r="J2015" s="36"/>
      <c r="K2015" s="34">
        <v>30</v>
      </c>
      <c r="L2015" s="41">
        <v>42.346666666666671</v>
      </c>
      <c r="M2015" s="11"/>
      <c r="N2015" s="36">
        <f t="shared" si="90"/>
        <v>0</v>
      </c>
      <c r="O2015" s="47">
        <f>0.04*M2015</f>
        <v>0</v>
      </c>
      <c r="P2015" s="43">
        <f>0.00008*M2015</f>
        <v>0</v>
      </c>
      <c r="Q2015" s="50"/>
      <c r="R2015" s="36"/>
      <c r="S2015" s="36" t="s">
        <v>435</v>
      </c>
      <c r="T2015" s="35" t="str">
        <f>HYPERLINK("https://miland.ru/api/getInfo/image/4fae0250-d9b9-11f0-a28c-00155d82e908")</f>
        <v>https://miland.ru/api/getInfo/image/4fae0250-d9b9-11f0-a28c-00155d82e908</v>
      </c>
      <c r="U2015" s="35"/>
      <c r="V2015" s="35"/>
      <c r="W2015" s="35"/>
      <c r="X2015" s="35"/>
      <c r="Y2015" s="35"/>
      <c r="Z2015" s="35"/>
      <c r="AA2015" s="35" t="str">
        <f>HYPERLINK("https://miland.ru/api/getInfo/item/4fae0250-d9b9-11f0-a28c-00155d82e908")</f>
        <v>https://miland.ru/api/getInfo/item/4fae0250-d9b9-11f0-a28c-00155d82e908</v>
      </c>
      <c r="AB2015" s="35" t="s">
        <v>42</v>
      </c>
      <c r="AC2015" s="35"/>
      <c r="AD2015" s="35"/>
      <c r="AE2015" s="52" t="s">
        <v>1251</v>
      </c>
    </row>
    <row r="2016" spans="2:31" s="1" customFormat="1" ht="96.3" customHeight="1" outlineLevel="7">
      <c r="B2016" s="59">
        <v>1554</v>
      </c>
      <c r="C2016" s="35" t="s">
        <v>7029</v>
      </c>
      <c r="D2016" s="73" t="s">
        <v>7030</v>
      </c>
      <c r="E2016" s="73"/>
      <c r="F2016" s="73"/>
      <c r="G2016" s="73"/>
      <c r="H2016" s="36" t="s">
        <v>6979</v>
      </c>
      <c r="I2016" s="40">
        <v>60</v>
      </c>
      <c r="J2016" s="36"/>
      <c r="K2016" s="34">
        <v>20</v>
      </c>
      <c r="L2016" s="41">
        <v>42.346666666666671</v>
      </c>
      <c r="M2016" s="11"/>
      <c r="N2016" s="36">
        <f t="shared" si="90"/>
        <v>0</v>
      </c>
      <c r="O2016" s="42">
        <f>0.005*M2016</f>
        <v>0</v>
      </c>
      <c r="P2016" s="43">
        <f>0.00008*M2016</f>
        <v>0</v>
      </c>
      <c r="Q2016" s="50" t="s">
        <v>37</v>
      </c>
      <c r="R2016" s="36"/>
      <c r="S2016" s="36" t="s">
        <v>435</v>
      </c>
      <c r="T2016" s="35" t="str">
        <f>HYPERLINK("https://miland.ru/api/getInfo/image/c0e160e4-d998-11f0-a28c-00155d82e908")</f>
        <v>https://miland.ru/api/getInfo/image/c0e160e4-d998-11f0-a28c-00155d82e908</v>
      </c>
      <c r="U2016" s="35"/>
      <c r="V2016" s="35"/>
      <c r="W2016" s="35"/>
      <c r="X2016" s="35"/>
      <c r="Y2016" s="35" t="s">
        <v>41</v>
      </c>
      <c r="Z2016" s="35"/>
      <c r="AA2016" s="35" t="str">
        <f>HYPERLINK("https://miland.ru/api/getInfo/item/c0e160e4-d998-11f0-a28c-00155d82e908")</f>
        <v>https://miland.ru/api/getInfo/item/c0e160e4-d998-11f0-a28c-00155d82e908</v>
      </c>
      <c r="AB2016" s="35" t="s">
        <v>42</v>
      </c>
      <c r="AC2016" s="35" t="s">
        <v>6981</v>
      </c>
      <c r="AD2016" s="35"/>
      <c r="AE2016" s="52" t="s">
        <v>1251</v>
      </c>
    </row>
    <row r="2017" spans="2:31" s="1" customFormat="1" ht="96.3" customHeight="1" outlineLevel="7">
      <c r="B2017" s="59">
        <v>1555</v>
      </c>
      <c r="C2017" s="35" t="s">
        <v>7031</v>
      </c>
      <c r="D2017" s="73" t="s">
        <v>7032</v>
      </c>
      <c r="E2017" s="73"/>
      <c r="F2017" s="73"/>
      <c r="G2017" s="73"/>
      <c r="H2017" s="36" t="s">
        <v>6956</v>
      </c>
      <c r="I2017" s="40">
        <v>120</v>
      </c>
      <c r="J2017" s="36"/>
      <c r="K2017" s="34">
        <v>30</v>
      </c>
      <c r="L2017" s="41">
        <v>42.346666666666671</v>
      </c>
      <c r="M2017" s="11"/>
      <c r="N2017" s="36">
        <f t="shared" si="90"/>
        <v>0</v>
      </c>
      <c r="O2017" s="47">
        <f>0.04*M2017</f>
        <v>0</v>
      </c>
      <c r="P2017" s="43">
        <f>0.00008*M2017</f>
        <v>0</v>
      </c>
      <c r="Q2017" s="50"/>
      <c r="R2017" s="36"/>
      <c r="S2017" s="36" t="s">
        <v>435</v>
      </c>
      <c r="T2017" s="35" t="str">
        <f>HYPERLINK("https://miland.ru/api/getInfo/image/2308e028-d9b3-11f0-a28c-00155d82e908")</f>
        <v>https://miland.ru/api/getInfo/image/2308e028-d9b3-11f0-a28c-00155d82e908</v>
      </c>
      <c r="U2017" s="35"/>
      <c r="V2017" s="35"/>
      <c r="W2017" s="35"/>
      <c r="X2017" s="35"/>
      <c r="Y2017" s="35"/>
      <c r="Z2017" s="35"/>
      <c r="AA2017" s="35" t="str">
        <f>HYPERLINK("https://miland.ru/api/getInfo/item/2308e028-d9b3-11f0-a28c-00155d82e908")</f>
        <v>https://miland.ru/api/getInfo/item/2308e028-d9b3-11f0-a28c-00155d82e908</v>
      </c>
      <c r="AB2017" s="35" t="s">
        <v>42</v>
      </c>
      <c r="AC2017" s="35"/>
      <c r="AD2017" s="35"/>
      <c r="AE2017" s="52" t="s">
        <v>1251</v>
      </c>
    </row>
    <row r="2018" spans="2:31" s="1" customFormat="1" ht="96.3" customHeight="1" outlineLevel="7">
      <c r="B2018" s="59">
        <v>1556</v>
      </c>
      <c r="C2018" s="35" t="s">
        <v>7033</v>
      </c>
      <c r="D2018" s="73" t="s">
        <v>7034</v>
      </c>
      <c r="E2018" s="73"/>
      <c r="F2018" s="73"/>
      <c r="G2018" s="73"/>
      <c r="H2018" s="36" t="s">
        <v>7035</v>
      </c>
      <c r="I2018" s="40">
        <v>12</v>
      </c>
      <c r="J2018" s="36"/>
      <c r="K2018" s="34">
        <v>12</v>
      </c>
      <c r="L2018" s="41">
        <v>28.48</v>
      </c>
      <c r="M2018" s="11"/>
      <c r="N2018" s="36">
        <f t="shared" si="90"/>
        <v>0</v>
      </c>
      <c r="O2018" s="42">
        <f>0.003*M2018</f>
        <v>0</v>
      </c>
      <c r="P2018" s="43">
        <f>0.00033*M2018</f>
        <v>0</v>
      </c>
      <c r="Q2018" s="50" t="s">
        <v>37</v>
      </c>
      <c r="R2018" s="36" t="s">
        <v>7036</v>
      </c>
      <c r="S2018" s="36"/>
      <c r="T2018" s="35" t="str">
        <f>HYPERLINK("https://miland.ru/api/getInfo/image/54739dc7-2efa-11f0-a27c-00155d82e908")</f>
        <v>https://miland.ru/api/getInfo/image/54739dc7-2efa-11f0-a27c-00155d82e908</v>
      </c>
      <c r="U2018" s="35"/>
      <c r="V2018" s="35"/>
      <c r="W2018" s="35" t="s">
        <v>378</v>
      </c>
      <c r="X2018" s="35"/>
      <c r="Y2018" s="35"/>
      <c r="Z2018" s="35"/>
      <c r="AA2018" s="35" t="str">
        <f>HYPERLINK("https://miland.ru/api/getInfo/item/54739dc7-2efa-11f0-a27c-00155d82e908")</f>
        <v>https://miland.ru/api/getInfo/item/54739dc7-2efa-11f0-a27c-00155d82e908</v>
      </c>
      <c r="AB2018" s="35" t="s">
        <v>42</v>
      </c>
      <c r="AC2018" s="35"/>
      <c r="AD2018" s="35"/>
      <c r="AE2018" s="52" t="s">
        <v>1251</v>
      </c>
    </row>
    <row r="2019" spans="2:31" s="1" customFormat="1" ht="96.3" customHeight="1" outlineLevel="7">
      <c r="B2019" s="59">
        <v>1557</v>
      </c>
      <c r="C2019" s="35" t="s">
        <v>7037</v>
      </c>
      <c r="D2019" s="73" t="s">
        <v>7038</v>
      </c>
      <c r="E2019" s="73"/>
      <c r="F2019" s="73"/>
      <c r="G2019" s="73"/>
      <c r="H2019" s="36" t="s">
        <v>7035</v>
      </c>
      <c r="I2019" s="40">
        <v>100</v>
      </c>
      <c r="J2019" s="36"/>
      <c r="K2019" s="34">
        <v>20</v>
      </c>
      <c r="L2019" s="41">
        <v>42.346666666666671</v>
      </c>
      <c r="M2019" s="11"/>
      <c r="N2019" s="36">
        <f t="shared" si="90"/>
        <v>0</v>
      </c>
      <c r="O2019" s="47">
        <f>0.04*M2019</f>
        <v>0</v>
      </c>
      <c r="P2019" s="43">
        <f>0.00021*M2019</f>
        <v>0</v>
      </c>
      <c r="Q2019" s="50" t="s">
        <v>37</v>
      </c>
      <c r="R2019" s="36"/>
      <c r="S2019" s="36" t="s">
        <v>435</v>
      </c>
      <c r="T2019" s="35" t="str">
        <f>HYPERLINK("https://miland.ru/api/getInfo/image/820fc6ca-d75d-11f0-a28c-00155d82e908")</f>
        <v>https://miland.ru/api/getInfo/image/820fc6ca-d75d-11f0-a28c-00155d82e908</v>
      </c>
      <c r="U2019" s="35"/>
      <c r="V2019" s="35"/>
      <c r="W2019" s="35"/>
      <c r="X2019" s="35"/>
      <c r="Y2019" s="35"/>
      <c r="Z2019" s="35"/>
      <c r="AA2019" s="35" t="str">
        <f>HYPERLINK("https://miland.ru/api/getInfo/item/820fc6ca-d75d-11f0-a28c-00155d82e908")</f>
        <v>https://miland.ru/api/getInfo/item/820fc6ca-d75d-11f0-a28c-00155d82e908</v>
      </c>
      <c r="AB2019" s="35" t="s">
        <v>42</v>
      </c>
      <c r="AC2019" s="35"/>
      <c r="AD2019" s="35"/>
      <c r="AE2019" s="52" t="s">
        <v>1251</v>
      </c>
    </row>
    <row r="2020" spans="2:31" s="1" customFormat="1" ht="96.3" customHeight="1" outlineLevel="7">
      <c r="B2020" s="59">
        <v>1558</v>
      </c>
      <c r="C2020" s="35" t="s">
        <v>7039</v>
      </c>
      <c r="D2020" s="73" t="s">
        <v>7040</v>
      </c>
      <c r="E2020" s="73"/>
      <c r="F2020" s="73"/>
      <c r="G2020" s="73"/>
      <c r="H2020" s="36" t="s">
        <v>7041</v>
      </c>
      <c r="I2020" s="40">
        <v>40</v>
      </c>
      <c r="J2020" s="36"/>
      <c r="K2020" s="34">
        <v>20</v>
      </c>
      <c r="L2020" s="41">
        <v>42.346666666666671</v>
      </c>
      <c r="M2020" s="11"/>
      <c r="N2020" s="36">
        <f t="shared" si="90"/>
        <v>0</v>
      </c>
      <c r="O2020" s="47">
        <f>0.04*M2020</f>
        <v>0</v>
      </c>
      <c r="P2020" s="43">
        <f>0.00021*M2020</f>
        <v>0</v>
      </c>
      <c r="Q2020" s="50"/>
      <c r="R2020" s="36"/>
      <c r="S2020" s="36" t="s">
        <v>435</v>
      </c>
      <c r="T2020" s="35" t="str">
        <f>HYPERLINK("https://miland.ru/api/getInfo/image/03182c73-d9ba-11f0-a28c-00155d82e908")</f>
        <v>https://miland.ru/api/getInfo/image/03182c73-d9ba-11f0-a28c-00155d82e908</v>
      </c>
      <c r="U2020" s="35"/>
      <c r="V2020" s="35"/>
      <c r="W2020" s="35"/>
      <c r="X2020" s="35"/>
      <c r="Y2020" s="35"/>
      <c r="Z2020" s="35"/>
      <c r="AA2020" s="35" t="str">
        <f>HYPERLINK("https://miland.ru/api/getInfo/item/03182c73-d9ba-11f0-a28c-00155d82e908")</f>
        <v>https://miland.ru/api/getInfo/item/03182c73-d9ba-11f0-a28c-00155d82e908</v>
      </c>
      <c r="AB2020" s="35" t="s">
        <v>42</v>
      </c>
      <c r="AC2020" s="35"/>
      <c r="AD2020" s="35"/>
      <c r="AE2020" s="52" t="s">
        <v>1251</v>
      </c>
    </row>
    <row r="2021" spans="2:31" s="1" customFormat="1" ht="96.3" customHeight="1" outlineLevel="7">
      <c r="B2021" s="59">
        <v>1559</v>
      </c>
      <c r="C2021" s="35" t="s">
        <v>7042</v>
      </c>
      <c r="D2021" s="73" t="s">
        <v>7043</v>
      </c>
      <c r="E2021" s="73"/>
      <c r="F2021" s="73"/>
      <c r="G2021" s="73"/>
      <c r="H2021" s="36" t="s">
        <v>7044</v>
      </c>
      <c r="I2021" s="40">
        <v>40</v>
      </c>
      <c r="J2021" s="36"/>
      <c r="K2021" s="34">
        <v>20</v>
      </c>
      <c r="L2021" s="41">
        <v>42.346666666666671</v>
      </c>
      <c r="M2021" s="11"/>
      <c r="N2021" s="36">
        <f t="shared" si="90"/>
        <v>0</v>
      </c>
      <c r="O2021" s="47">
        <f>0.04*M2021</f>
        <v>0</v>
      </c>
      <c r="P2021" s="43">
        <f>0.00021*M2021</f>
        <v>0</v>
      </c>
      <c r="Q2021" s="50"/>
      <c r="R2021" s="36"/>
      <c r="S2021" s="36" t="s">
        <v>435</v>
      </c>
      <c r="T2021" s="35" t="str">
        <f>HYPERLINK("https://miland.ru/api/getInfo/image/8c59e075-d9b9-11f0-a28c-00155d82e908")</f>
        <v>https://miland.ru/api/getInfo/image/8c59e075-d9b9-11f0-a28c-00155d82e908</v>
      </c>
      <c r="U2021" s="35"/>
      <c r="V2021" s="35"/>
      <c r="W2021" s="35"/>
      <c r="X2021" s="35"/>
      <c r="Y2021" s="35"/>
      <c r="Z2021" s="35"/>
      <c r="AA2021" s="35" t="str">
        <f>HYPERLINK("https://miland.ru/api/getInfo/item/8c59e075-d9b9-11f0-a28c-00155d82e908")</f>
        <v>https://miland.ru/api/getInfo/item/8c59e075-d9b9-11f0-a28c-00155d82e908</v>
      </c>
      <c r="AB2021" s="35" t="s">
        <v>42</v>
      </c>
      <c r="AC2021" s="35"/>
      <c r="AD2021" s="35"/>
      <c r="AE2021" s="52" t="s">
        <v>1251</v>
      </c>
    </row>
    <row r="2022" spans="2:31" s="1" customFormat="1" ht="96.3" customHeight="1" outlineLevel="7">
      <c r="B2022" s="59">
        <v>1560</v>
      </c>
      <c r="C2022" s="35" t="s">
        <v>7045</v>
      </c>
      <c r="D2022" s="73" t="s">
        <v>7046</v>
      </c>
      <c r="E2022" s="73"/>
      <c r="F2022" s="73"/>
      <c r="G2022" s="73"/>
      <c r="H2022" s="36" t="s">
        <v>7047</v>
      </c>
      <c r="I2022" s="40">
        <v>40</v>
      </c>
      <c r="J2022" s="36"/>
      <c r="K2022" s="34">
        <v>20</v>
      </c>
      <c r="L2022" s="41">
        <v>42.346666666666671</v>
      </c>
      <c r="M2022" s="11"/>
      <c r="N2022" s="36">
        <f t="shared" si="90"/>
        <v>0</v>
      </c>
      <c r="O2022" s="47">
        <f>0.04*M2022</f>
        <v>0</v>
      </c>
      <c r="P2022" s="43">
        <f>0.00248*M2022</f>
        <v>0</v>
      </c>
      <c r="Q2022" s="50"/>
      <c r="R2022" s="36"/>
      <c r="S2022" s="36" t="s">
        <v>435</v>
      </c>
      <c r="T2022" s="35" t="str">
        <f>HYPERLINK("https://miland.ru/api/getInfo/image/ca6612ce-d9b9-11f0-a28c-00155d82e908")</f>
        <v>https://miland.ru/api/getInfo/image/ca6612ce-d9b9-11f0-a28c-00155d82e908</v>
      </c>
      <c r="U2022" s="35"/>
      <c r="V2022" s="35"/>
      <c r="W2022" s="35"/>
      <c r="X2022" s="35"/>
      <c r="Y2022" s="35"/>
      <c r="Z2022" s="35"/>
      <c r="AA2022" s="35" t="str">
        <f>HYPERLINK("https://miland.ru/api/getInfo/item/ca6612ce-d9b9-11f0-a28c-00155d82e908")</f>
        <v>https://miland.ru/api/getInfo/item/ca6612ce-d9b9-11f0-a28c-00155d82e908</v>
      </c>
      <c r="AB2022" s="35" t="s">
        <v>42</v>
      </c>
      <c r="AC2022" s="35"/>
      <c r="AD2022" s="35"/>
      <c r="AE2022" s="52" t="s">
        <v>1251</v>
      </c>
    </row>
    <row r="2023" spans="2:31" ht="12" customHeight="1" outlineLevel="6">
      <c r="B2023" s="70" t="s">
        <v>7048</v>
      </c>
      <c r="C2023" s="70"/>
      <c r="D2023" s="70"/>
      <c r="E2023" s="70"/>
      <c r="F2023" s="70"/>
      <c r="G2023" s="70"/>
    </row>
    <row r="2024" spans="2:31" s="1" customFormat="1" ht="96.3" customHeight="1" outlineLevel="7">
      <c r="B2024" s="57">
        <v>1561</v>
      </c>
      <c r="C2024" s="21" t="s">
        <v>7049</v>
      </c>
      <c r="D2024" s="72" t="s">
        <v>7050</v>
      </c>
      <c r="E2024" s="72"/>
      <c r="F2024" s="72"/>
      <c r="G2024" s="72"/>
      <c r="H2024" s="22" t="s">
        <v>7051</v>
      </c>
      <c r="I2024" s="27">
        <v>240</v>
      </c>
      <c r="J2024" s="22"/>
      <c r="K2024" s="20">
        <v>24</v>
      </c>
      <c r="L2024" s="24">
        <v>31.48</v>
      </c>
      <c r="M2024" s="11"/>
      <c r="N2024" s="22">
        <f t="shared" ref="N2024:N2040" si="91">L2024*M2024</f>
        <v>0</v>
      </c>
      <c r="O2024" s="25">
        <f>0.003*M2024</f>
        <v>0</v>
      </c>
      <c r="P2024" s="26">
        <f>0.00041*M2024</f>
        <v>0</v>
      </c>
      <c r="Q2024" s="30"/>
      <c r="R2024" s="22" t="s">
        <v>7052</v>
      </c>
      <c r="S2024" s="22"/>
      <c r="T2024" s="21" t="str">
        <f>HYPERLINK("https://miland.ru/api/getInfo/image/0f4ae5f1-2ef8-11f0-a27c-00155d82e908")</f>
        <v>https://miland.ru/api/getInfo/image/0f4ae5f1-2ef8-11f0-a27c-00155d82e908</v>
      </c>
      <c r="U2024" s="21"/>
      <c r="V2024" s="21"/>
      <c r="W2024" s="21" t="s">
        <v>378</v>
      </c>
      <c r="X2024" s="21"/>
      <c r="Y2024" s="21"/>
      <c r="Z2024" s="21"/>
      <c r="AA2024" s="21" t="str">
        <f>HYPERLINK("https://miland.ru/api/getInfo/item/0f4ae5f1-2ef8-11f0-a27c-00155d82e908")</f>
        <v>https://miland.ru/api/getInfo/item/0f4ae5f1-2ef8-11f0-a27c-00155d82e908</v>
      </c>
      <c r="AB2024" s="21" t="s">
        <v>42</v>
      </c>
      <c r="AC2024" s="21"/>
      <c r="AD2024" s="21"/>
    </row>
    <row r="2025" spans="2:31" s="1" customFormat="1" ht="96.3" customHeight="1" outlineLevel="7">
      <c r="B2025" s="57">
        <v>1562</v>
      </c>
      <c r="C2025" s="21" t="s">
        <v>7053</v>
      </c>
      <c r="D2025" s="72" t="s">
        <v>7054</v>
      </c>
      <c r="E2025" s="72"/>
      <c r="F2025" s="72"/>
      <c r="G2025" s="72"/>
      <c r="H2025" s="22" t="s">
        <v>7055</v>
      </c>
      <c r="I2025" s="27">
        <v>396</v>
      </c>
      <c r="J2025" s="22"/>
      <c r="K2025" s="20">
        <v>24</v>
      </c>
      <c r="L2025" s="24">
        <v>31.48</v>
      </c>
      <c r="M2025" s="11"/>
      <c r="N2025" s="22">
        <f t="shared" si="91"/>
        <v>0</v>
      </c>
      <c r="O2025" s="25">
        <f>0.003*M2025</f>
        <v>0</v>
      </c>
      <c r="P2025" s="26">
        <f>0.00041*M2025</f>
        <v>0</v>
      </c>
      <c r="Q2025" s="30"/>
      <c r="R2025" s="22" t="s">
        <v>7056</v>
      </c>
      <c r="S2025" s="22"/>
      <c r="T2025" s="21" t="str">
        <f>HYPERLINK("https://miland.ru/api/getInfo/image/cadd48ff-2ef8-11f0-a27c-00155d82e908")</f>
        <v>https://miland.ru/api/getInfo/image/cadd48ff-2ef8-11f0-a27c-00155d82e908</v>
      </c>
      <c r="U2025" s="21"/>
      <c r="V2025" s="21"/>
      <c r="W2025" s="21" t="s">
        <v>378</v>
      </c>
      <c r="X2025" s="21"/>
      <c r="Y2025" s="21"/>
      <c r="Z2025" s="21"/>
      <c r="AA2025" s="21" t="str">
        <f>HYPERLINK("https://miland.ru/api/getInfo/item/cadd48ff-2ef8-11f0-a27c-00155d82e908")</f>
        <v>https://miland.ru/api/getInfo/item/cadd48ff-2ef8-11f0-a27c-00155d82e908</v>
      </c>
      <c r="AB2025" s="21" t="s">
        <v>42</v>
      </c>
      <c r="AC2025" s="21"/>
      <c r="AD2025" s="21"/>
    </row>
    <row r="2026" spans="2:31" s="1" customFormat="1" ht="96.3" customHeight="1" outlineLevel="7">
      <c r="B2026" s="57">
        <v>1563</v>
      </c>
      <c r="C2026" s="21" t="s">
        <v>7057</v>
      </c>
      <c r="D2026" s="72" t="s">
        <v>7058</v>
      </c>
      <c r="E2026" s="72"/>
      <c r="F2026" s="72"/>
      <c r="G2026" s="72"/>
      <c r="H2026" s="22" t="s">
        <v>7059</v>
      </c>
      <c r="I2026" s="27">
        <v>300</v>
      </c>
      <c r="J2026" s="22"/>
      <c r="K2026" s="20">
        <v>24</v>
      </c>
      <c r="L2026" s="24">
        <v>31.48</v>
      </c>
      <c r="M2026" s="11"/>
      <c r="N2026" s="22">
        <f t="shared" si="91"/>
        <v>0</v>
      </c>
      <c r="O2026" s="25">
        <f>0.003*M2026</f>
        <v>0</v>
      </c>
      <c r="P2026" s="26">
        <f>0.00041*M2026</f>
        <v>0</v>
      </c>
      <c r="Q2026" s="30"/>
      <c r="R2026" s="22" t="s">
        <v>7060</v>
      </c>
      <c r="S2026" s="22"/>
      <c r="T2026" s="21" t="str">
        <f>HYPERLINK("https://miland.ru/api/getInfo/image/0780ab50-2efa-11f0-a27c-00155d82e908")</f>
        <v>https://miland.ru/api/getInfo/image/0780ab50-2efa-11f0-a27c-00155d82e908</v>
      </c>
      <c r="U2026" s="21"/>
      <c r="V2026" s="21"/>
      <c r="W2026" s="21" t="s">
        <v>378</v>
      </c>
      <c r="X2026" s="21"/>
      <c r="Y2026" s="21"/>
      <c r="Z2026" s="21"/>
      <c r="AA2026" s="21" t="str">
        <f>HYPERLINK("https://miland.ru/api/getInfo/item/0780ab50-2efa-11f0-a27c-00155d82e908")</f>
        <v>https://miland.ru/api/getInfo/item/0780ab50-2efa-11f0-a27c-00155d82e908</v>
      </c>
      <c r="AB2026" s="21" t="s">
        <v>42</v>
      </c>
      <c r="AC2026" s="21"/>
      <c r="AD2026" s="21"/>
    </row>
    <row r="2027" spans="2:31" s="1" customFormat="1" ht="96.3" customHeight="1" outlineLevel="7">
      <c r="B2027" s="57">
        <v>1564</v>
      </c>
      <c r="C2027" s="21" t="s">
        <v>7061</v>
      </c>
      <c r="D2027" s="72" t="s">
        <v>7062</v>
      </c>
      <c r="E2027" s="72"/>
      <c r="F2027" s="72"/>
      <c r="G2027" s="72"/>
      <c r="H2027" s="22" t="s">
        <v>7063</v>
      </c>
      <c r="I2027" s="27">
        <v>96</v>
      </c>
      <c r="J2027" s="22"/>
      <c r="K2027" s="20">
        <v>24</v>
      </c>
      <c r="L2027" s="24">
        <v>31.48</v>
      </c>
      <c r="M2027" s="11"/>
      <c r="N2027" s="22">
        <f t="shared" si="91"/>
        <v>0</v>
      </c>
      <c r="O2027" s="25">
        <f>0.003*M2027</f>
        <v>0</v>
      </c>
      <c r="P2027" s="26">
        <f>0.00041*M2027</f>
        <v>0</v>
      </c>
      <c r="Q2027" s="30"/>
      <c r="R2027" s="22" t="s">
        <v>7064</v>
      </c>
      <c r="S2027" s="22"/>
      <c r="T2027" s="21" t="str">
        <f>HYPERLINK("https://miland.ru/api/getInfo/image/b7ad9aeb-2ef9-11f0-a27c-00155d82e908")</f>
        <v>https://miland.ru/api/getInfo/image/b7ad9aeb-2ef9-11f0-a27c-00155d82e908</v>
      </c>
      <c r="U2027" s="21"/>
      <c r="V2027" s="21"/>
      <c r="W2027" s="21" t="s">
        <v>378</v>
      </c>
      <c r="X2027" s="21"/>
      <c r="Y2027" s="21"/>
      <c r="Z2027" s="21"/>
      <c r="AA2027" s="21" t="str">
        <f>HYPERLINK("https://miland.ru/api/getInfo/item/b7ad9aeb-2ef9-11f0-a27c-00155d82e908")</f>
        <v>https://miland.ru/api/getInfo/item/b7ad9aeb-2ef9-11f0-a27c-00155d82e908</v>
      </c>
      <c r="AB2027" s="21" t="s">
        <v>42</v>
      </c>
      <c r="AC2027" s="21"/>
      <c r="AD2027" s="21"/>
    </row>
    <row r="2028" spans="2:31" s="1" customFormat="1" ht="96.3" customHeight="1" outlineLevel="7">
      <c r="B2028" s="57">
        <v>1565</v>
      </c>
      <c r="C2028" s="21" t="s">
        <v>7065</v>
      </c>
      <c r="D2028" s="72" t="s">
        <v>7066</v>
      </c>
      <c r="E2028" s="72"/>
      <c r="F2028" s="72"/>
      <c r="G2028" s="72"/>
      <c r="H2028" s="22" t="s">
        <v>7067</v>
      </c>
      <c r="I2028" s="23" t="s">
        <v>36</v>
      </c>
      <c r="J2028" s="22"/>
      <c r="K2028" s="20">
        <v>12</v>
      </c>
      <c r="L2028" s="24">
        <v>50.68</v>
      </c>
      <c r="M2028" s="11"/>
      <c r="N2028" s="22">
        <f t="shared" si="91"/>
        <v>0</v>
      </c>
      <c r="O2028" s="25">
        <f>0.041*M2028</f>
        <v>0</v>
      </c>
      <c r="P2028" s="26">
        <f>0.00018*M2028</f>
        <v>0</v>
      </c>
      <c r="Q2028" s="30"/>
      <c r="R2028" s="22" t="s">
        <v>7068</v>
      </c>
      <c r="S2028" s="22" t="s">
        <v>435</v>
      </c>
      <c r="T2028" s="21" t="str">
        <f>HYPERLINK("https://miland.ru/api/getInfo/image/f2f46330-a33c-11ef-a267-00155d82e908")</f>
        <v>https://miland.ru/api/getInfo/image/f2f46330-a33c-11ef-a267-00155d82e908</v>
      </c>
      <c r="U2028" s="21"/>
      <c r="V2028" s="21" t="s">
        <v>6525</v>
      </c>
      <c r="W2028" s="21" t="s">
        <v>378</v>
      </c>
      <c r="X2028" s="21"/>
      <c r="Y2028" s="21" t="s">
        <v>41</v>
      </c>
      <c r="Z2028" s="21"/>
      <c r="AA2028" s="21" t="str">
        <f>HYPERLINK("https://miland.ru/api/getInfo/item/f2f46330-a33c-11ef-a267-00155d82e908")</f>
        <v>https://miland.ru/api/getInfo/item/f2f46330-a33c-11ef-a267-00155d82e908</v>
      </c>
      <c r="AB2028" s="21" t="s">
        <v>42</v>
      </c>
      <c r="AC2028" s="21" t="s">
        <v>7069</v>
      </c>
      <c r="AD2028" s="21"/>
    </row>
    <row r="2029" spans="2:31" s="1" customFormat="1" ht="96.3" customHeight="1" outlineLevel="7">
      <c r="B2029" s="57">
        <v>1566</v>
      </c>
      <c r="C2029" s="21" t="s">
        <v>7070</v>
      </c>
      <c r="D2029" s="72" t="s">
        <v>7071</v>
      </c>
      <c r="E2029" s="72"/>
      <c r="F2029" s="72"/>
      <c r="G2029" s="72"/>
      <c r="H2029" s="22" t="s">
        <v>7072</v>
      </c>
      <c r="I2029" s="27">
        <v>372</v>
      </c>
      <c r="J2029" s="22"/>
      <c r="K2029" s="20">
        <v>24</v>
      </c>
      <c r="L2029" s="24">
        <v>31.48</v>
      </c>
      <c r="M2029" s="11"/>
      <c r="N2029" s="22">
        <f t="shared" si="91"/>
        <v>0</v>
      </c>
      <c r="O2029" s="25">
        <f>0.003*M2029</f>
        <v>0</v>
      </c>
      <c r="P2029" s="26">
        <f>0.00041*M2029</f>
        <v>0</v>
      </c>
      <c r="Q2029" s="30"/>
      <c r="R2029" s="22" t="s">
        <v>7073</v>
      </c>
      <c r="S2029" s="22"/>
      <c r="T2029" s="21" t="str">
        <f>HYPERLINK("https://miland.ru/api/getInfo/image/8dfc2ab0-2ef9-11f0-a27c-00155d82e908")</f>
        <v>https://miland.ru/api/getInfo/image/8dfc2ab0-2ef9-11f0-a27c-00155d82e908</v>
      </c>
      <c r="U2029" s="21"/>
      <c r="V2029" s="21"/>
      <c r="W2029" s="21" t="s">
        <v>378</v>
      </c>
      <c r="X2029" s="21"/>
      <c r="Y2029" s="21"/>
      <c r="Z2029" s="21"/>
      <c r="AA2029" s="21" t="str">
        <f>HYPERLINK("https://miland.ru/api/getInfo/item/8dfc2ab0-2ef9-11f0-a27c-00155d82e908")</f>
        <v>https://miland.ru/api/getInfo/item/8dfc2ab0-2ef9-11f0-a27c-00155d82e908</v>
      </c>
      <c r="AB2029" s="21" t="s">
        <v>42</v>
      </c>
      <c r="AC2029" s="21"/>
      <c r="AD2029" s="21"/>
    </row>
    <row r="2030" spans="2:31" s="1" customFormat="1" ht="96.3" customHeight="1" outlineLevel="7">
      <c r="B2030" s="58">
        <v>1567</v>
      </c>
      <c r="C2030" s="7" t="s">
        <v>7074</v>
      </c>
      <c r="D2030" s="71" t="s">
        <v>7075</v>
      </c>
      <c r="E2030" s="71"/>
      <c r="F2030" s="71"/>
      <c r="G2030" s="71"/>
      <c r="H2030" s="8" t="s">
        <v>7076</v>
      </c>
      <c r="I2030" s="14">
        <v>132</v>
      </c>
      <c r="J2030" s="8"/>
      <c r="K2030" s="6">
        <v>12</v>
      </c>
      <c r="L2030" s="10">
        <v>41.34</v>
      </c>
      <c r="M2030" s="11"/>
      <c r="N2030" s="8">
        <f t="shared" si="91"/>
        <v>0</v>
      </c>
      <c r="O2030" s="18">
        <f>0.04*M2030</f>
        <v>0</v>
      </c>
      <c r="P2030" s="13">
        <f>0.00017*M2030</f>
        <v>0</v>
      </c>
      <c r="Q2030" s="17" t="s">
        <v>37</v>
      </c>
      <c r="R2030" s="8" t="s">
        <v>7077</v>
      </c>
      <c r="S2030" s="8"/>
      <c r="T2030" s="7" t="str">
        <f>HYPERLINK("https://miland.ru/api/getInfo/image/c661430e-fb71-11f0-a28e-00155d82e908")</f>
        <v>https://miland.ru/api/getInfo/image/c661430e-fb71-11f0-a28e-00155d82e908</v>
      </c>
      <c r="U2030" s="7"/>
      <c r="V2030" s="7"/>
      <c r="W2030" s="7" t="s">
        <v>378</v>
      </c>
      <c r="X2030" s="7"/>
      <c r="Y2030" s="7" t="s">
        <v>41</v>
      </c>
      <c r="Z2030" s="7"/>
      <c r="AA2030" s="7" t="str">
        <f>HYPERLINK("https://miland.ru/api/getInfo/item/c661430e-fb71-11f0-a28e-00155d82e908")</f>
        <v>https://miland.ru/api/getInfo/item/c661430e-fb71-11f0-a28e-00155d82e908</v>
      </c>
      <c r="AB2030" s="7" t="s">
        <v>42</v>
      </c>
      <c r="AC2030" s="7"/>
      <c r="AD2030" s="7"/>
      <c r="AE2030" s="54"/>
    </row>
    <row r="2031" spans="2:31" s="1" customFormat="1" ht="96.3" customHeight="1" outlineLevel="7">
      <c r="B2031" s="58">
        <v>1568</v>
      </c>
      <c r="C2031" s="7" t="s">
        <v>7078</v>
      </c>
      <c r="D2031" s="71" t="s">
        <v>7079</v>
      </c>
      <c r="E2031" s="71"/>
      <c r="F2031" s="71"/>
      <c r="G2031" s="71"/>
      <c r="H2031" s="8" t="s">
        <v>7080</v>
      </c>
      <c r="I2031" s="9" t="s">
        <v>36</v>
      </c>
      <c r="J2031" s="8"/>
      <c r="K2031" s="6">
        <v>12</v>
      </c>
      <c r="L2031" s="10">
        <v>41.34</v>
      </c>
      <c r="M2031" s="11"/>
      <c r="N2031" s="8">
        <f t="shared" si="91"/>
        <v>0</v>
      </c>
      <c r="O2031" s="18">
        <f>0.04*M2031</f>
        <v>0</v>
      </c>
      <c r="P2031" s="13">
        <f>0.00017*M2031</f>
        <v>0</v>
      </c>
      <c r="Q2031" s="17" t="s">
        <v>37</v>
      </c>
      <c r="R2031" s="8" t="s">
        <v>7081</v>
      </c>
      <c r="S2031" s="8"/>
      <c r="T2031" s="7" t="str">
        <f>HYPERLINK("https://miland.ru/api/getInfo/image/743d584d-fb71-11f0-a28e-00155d82e908")</f>
        <v>https://miland.ru/api/getInfo/image/743d584d-fb71-11f0-a28e-00155d82e908</v>
      </c>
      <c r="U2031" s="7"/>
      <c r="V2031" s="7"/>
      <c r="W2031" s="7" t="s">
        <v>378</v>
      </c>
      <c r="X2031" s="7"/>
      <c r="Y2031" s="7" t="s">
        <v>41</v>
      </c>
      <c r="Z2031" s="7"/>
      <c r="AA2031" s="7" t="str">
        <f>HYPERLINK("https://miland.ru/api/getInfo/item/743d584d-fb71-11f0-a28e-00155d82e908")</f>
        <v>https://miland.ru/api/getInfo/item/743d584d-fb71-11f0-a28e-00155d82e908</v>
      </c>
      <c r="AB2031" s="7" t="s">
        <v>42</v>
      </c>
      <c r="AC2031" s="7"/>
      <c r="AD2031" s="7"/>
      <c r="AE2031" s="54"/>
    </row>
    <row r="2032" spans="2:31" s="1" customFormat="1" ht="96.3" customHeight="1" outlineLevel="7">
      <c r="B2032" s="58">
        <v>1569</v>
      </c>
      <c r="C2032" s="7" t="s">
        <v>7082</v>
      </c>
      <c r="D2032" s="71" t="s">
        <v>7083</v>
      </c>
      <c r="E2032" s="71"/>
      <c r="F2032" s="71"/>
      <c r="G2032" s="71"/>
      <c r="H2032" s="8" t="s">
        <v>7084</v>
      </c>
      <c r="I2032" s="9" t="s">
        <v>36</v>
      </c>
      <c r="J2032" s="8"/>
      <c r="K2032" s="6">
        <v>12</v>
      </c>
      <c r="L2032" s="10">
        <v>41.34</v>
      </c>
      <c r="M2032" s="11"/>
      <c r="N2032" s="8">
        <f t="shared" si="91"/>
        <v>0</v>
      </c>
      <c r="O2032" s="18">
        <f>0.04*M2032</f>
        <v>0</v>
      </c>
      <c r="P2032" s="13">
        <f>0.00028*M2032</f>
        <v>0</v>
      </c>
      <c r="Q2032" s="17" t="s">
        <v>37</v>
      </c>
      <c r="R2032" s="8" t="s">
        <v>7085</v>
      </c>
      <c r="S2032" s="8"/>
      <c r="T2032" s="7" t="str">
        <f>HYPERLINK("https://miland.ru/api/getInfo/image/3ae30861-fb71-11f0-a28e-00155d82e908")</f>
        <v>https://miland.ru/api/getInfo/image/3ae30861-fb71-11f0-a28e-00155d82e908</v>
      </c>
      <c r="U2032" s="7"/>
      <c r="V2032" s="7"/>
      <c r="W2032" s="7" t="s">
        <v>378</v>
      </c>
      <c r="X2032" s="7"/>
      <c r="Y2032" s="7" t="s">
        <v>41</v>
      </c>
      <c r="Z2032" s="7"/>
      <c r="AA2032" s="7" t="str">
        <f>HYPERLINK("https://miland.ru/api/getInfo/item/3ae30861-fb71-11f0-a28e-00155d82e908")</f>
        <v>https://miland.ru/api/getInfo/item/3ae30861-fb71-11f0-a28e-00155d82e908</v>
      </c>
      <c r="AB2032" s="7" t="s">
        <v>42</v>
      </c>
      <c r="AC2032" s="7"/>
      <c r="AD2032" s="7"/>
      <c r="AE2032" s="54"/>
    </row>
    <row r="2033" spans="2:31" s="1" customFormat="1" ht="96.3" customHeight="1" outlineLevel="7">
      <c r="B2033" s="58">
        <v>1570</v>
      </c>
      <c r="C2033" s="7" t="s">
        <v>7086</v>
      </c>
      <c r="D2033" s="71" t="s">
        <v>7087</v>
      </c>
      <c r="E2033" s="71"/>
      <c r="F2033" s="71"/>
      <c r="G2033" s="71"/>
      <c r="H2033" s="8" t="s">
        <v>7088</v>
      </c>
      <c r="I2033" s="9" t="s">
        <v>36</v>
      </c>
      <c r="J2033" s="8"/>
      <c r="K2033" s="6">
        <v>12</v>
      </c>
      <c r="L2033" s="10">
        <v>41.34</v>
      </c>
      <c r="M2033" s="11"/>
      <c r="N2033" s="8">
        <f t="shared" si="91"/>
        <v>0</v>
      </c>
      <c r="O2033" s="12">
        <f>0.048*M2033</f>
        <v>0</v>
      </c>
      <c r="P2033" s="13">
        <f>0.00019*M2033</f>
        <v>0</v>
      </c>
      <c r="Q2033" s="17" t="s">
        <v>37</v>
      </c>
      <c r="R2033" s="8" t="s">
        <v>7089</v>
      </c>
      <c r="S2033" s="8"/>
      <c r="T2033" s="7" t="str">
        <f>HYPERLINK("https://miland.ru/api/getInfo/image/e8000988-fb71-11f0-a28e-00155d82e908")</f>
        <v>https://miland.ru/api/getInfo/image/e8000988-fb71-11f0-a28e-00155d82e908</v>
      </c>
      <c r="U2033" s="7"/>
      <c r="V2033" s="7"/>
      <c r="W2033" s="7" t="s">
        <v>378</v>
      </c>
      <c r="X2033" s="7"/>
      <c r="Y2033" s="7" t="s">
        <v>41</v>
      </c>
      <c r="Z2033" s="7"/>
      <c r="AA2033" s="7" t="str">
        <f>HYPERLINK("https://miland.ru/api/getInfo/item/e8000988-fb71-11f0-a28e-00155d82e908")</f>
        <v>https://miland.ru/api/getInfo/item/e8000988-fb71-11f0-a28e-00155d82e908</v>
      </c>
      <c r="AB2033" s="7" t="s">
        <v>42</v>
      </c>
      <c r="AC2033" s="7"/>
      <c r="AD2033" s="7"/>
      <c r="AE2033" s="54"/>
    </row>
    <row r="2034" spans="2:31" s="1" customFormat="1" ht="96.3" customHeight="1" outlineLevel="7">
      <c r="B2034" s="58">
        <v>1571</v>
      </c>
      <c r="C2034" s="7" t="s">
        <v>7090</v>
      </c>
      <c r="D2034" s="71" t="s">
        <v>7091</v>
      </c>
      <c r="E2034" s="71"/>
      <c r="F2034" s="71"/>
      <c r="G2034" s="71"/>
      <c r="H2034" s="8" t="s">
        <v>7092</v>
      </c>
      <c r="I2034" s="9" t="s">
        <v>36</v>
      </c>
      <c r="J2034" s="8"/>
      <c r="K2034" s="6">
        <v>12</v>
      </c>
      <c r="L2034" s="10">
        <v>41.34</v>
      </c>
      <c r="M2034" s="11"/>
      <c r="N2034" s="8">
        <f t="shared" si="91"/>
        <v>0</v>
      </c>
      <c r="O2034" s="12">
        <f>0.048*M2034</f>
        <v>0</v>
      </c>
      <c r="P2034" s="13">
        <f>0.00024*M2034</f>
        <v>0</v>
      </c>
      <c r="Q2034" s="17" t="s">
        <v>37</v>
      </c>
      <c r="R2034" s="8" t="s">
        <v>7093</v>
      </c>
      <c r="S2034" s="8"/>
      <c r="T2034" s="7" t="str">
        <f>HYPERLINK("https://miland.ru/api/getInfo/image/54289b43-fb71-11f0-a28e-00155d82e908")</f>
        <v>https://miland.ru/api/getInfo/image/54289b43-fb71-11f0-a28e-00155d82e908</v>
      </c>
      <c r="U2034" s="7"/>
      <c r="V2034" s="7"/>
      <c r="W2034" s="7" t="s">
        <v>378</v>
      </c>
      <c r="X2034" s="7"/>
      <c r="Y2034" s="7" t="s">
        <v>41</v>
      </c>
      <c r="Z2034" s="7"/>
      <c r="AA2034" s="7" t="str">
        <f>HYPERLINK("https://miland.ru/api/getInfo/item/54289b43-fb71-11f0-a28e-00155d82e908")</f>
        <v>https://miland.ru/api/getInfo/item/54289b43-fb71-11f0-a28e-00155d82e908</v>
      </c>
      <c r="AB2034" s="7" t="s">
        <v>42</v>
      </c>
      <c r="AC2034" s="7"/>
      <c r="AD2034" s="7"/>
      <c r="AE2034" s="54"/>
    </row>
    <row r="2035" spans="2:31" s="1" customFormat="1" ht="96.3" customHeight="1" outlineLevel="7">
      <c r="B2035" s="57">
        <v>1572</v>
      </c>
      <c r="C2035" s="21" t="s">
        <v>7094</v>
      </c>
      <c r="D2035" s="72" t="s">
        <v>7095</v>
      </c>
      <c r="E2035" s="72"/>
      <c r="F2035" s="72"/>
      <c r="G2035" s="72"/>
      <c r="H2035" s="22" t="s">
        <v>7096</v>
      </c>
      <c r="I2035" s="27">
        <v>360</v>
      </c>
      <c r="J2035" s="22"/>
      <c r="K2035" s="20">
        <v>24</v>
      </c>
      <c r="L2035" s="24">
        <v>31.48</v>
      </c>
      <c r="M2035" s="11"/>
      <c r="N2035" s="22">
        <f t="shared" si="91"/>
        <v>0</v>
      </c>
      <c r="O2035" s="25">
        <f t="shared" ref="O2035:O2040" si="92">0.003*M2035</f>
        <v>0</v>
      </c>
      <c r="P2035" s="26">
        <f t="shared" ref="P2035:P2040" si="93">0.00041*M2035</f>
        <v>0</v>
      </c>
      <c r="Q2035" s="30"/>
      <c r="R2035" s="22" t="s">
        <v>7097</v>
      </c>
      <c r="S2035" s="22"/>
      <c r="T2035" s="21" t="str">
        <f>HYPERLINK("https://miland.ru/api/getInfo/image/9b312682-2ef8-11f0-a27c-00155d82e908")</f>
        <v>https://miland.ru/api/getInfo/image/9b312682-2ef8-11f0-a27c-00155d82e908</v>
      </c>
      <c r="U2035" s="21"/>
      <c r="V2035" s="21"/>
      <c r="W2035" s="21" t="s">
        <v>378</v>
      </c>
      <c r="X2035" s="21"/>
      <c r="Y2035" s="21"/>
      <c r="Z2035" s="21"/>
      <c r="AA2035" s="21" t="str">
        <f>HYPERLINK("https://miland.ru/api/getInfo/item/9b312682-2ef8-11f0-a27c-00155d82e908")</f>
        <v>https://miland.ru/api/getInfo/item/9b312682-2ef8-11f0-a27c-00155d82e908</v>
      </c>
      <c r="AB2035" s="21" t="s">
        <v>42</v>
      </c>
      <c r="AC2035" s="21"/>
      <c r="AD2035" s="21"/>
    </row>
    <row r="2036" spans="2:31" s="1" customFormat="1" ht="96.3" customHeight="1" outlineLevel="7">
      <c r="B2036" s="57">
        <v>1573</v>
      </c>
      <c r="C2036" s="21" t="s">
        <v>7098</v>
      </c>
      <c r="D2036" s="72" t="s">
        <v>7099</v>
      </c>
      <c r="E2036" s="72"/>
      <c r="F2036" s="72"/>
      <c r="G2036" s="72"/>
      <c r="H2036" s="22" t="s">
        <v>7100</v>
      </c>
      <c r="I2036" s="27">
        <v>300</v>
      </c>
      <c r="J2036" s="22"/>
      <c r="K2036" s="20">
        <v>24</v>
      </c>
      <c r="L2036" s="24">
        <v>31.48</v>
      </c>
      <c r="M2036" s="11"/>
      <c r="N2036" s="22">
        <f t="shared" si="91"/>
        <v>0</v>
      </c>
      <c r="O2036" s="25">
        <f t="shared" si="92"/>
        <v>0</v>
      </c>
      <c r="P2036" s="26">
        <f t="shared" si="93"/>
        <v>0</v>
      </c>
      <c r="Q2036" s="30"/>
      <c r="R2036" s="22" t="s">
        <v>7101</v>
      </c>
      <c r="S2036" s="22"/>
      <c r="T2036" s="21" t="str">
        <f>HYPERLINK("https://miland.ru/api/getInfo/image/2c7c1b31-2efa-11f0-a27c-00155d82e908")</f>
        <v>https://miland.ru/api/getInfo/image/2c7c1b31-2efa-11f0-a27c-00155d82e908</v>
      </c>
      <c r="U2036" s="21"/>
      <c r="V2036" s="21"/>
      <c r="W2036" s="21" t="s">
        <v>378</v>
      </c>
      <c r="X2036" s="21"/>
      <c r="Y2036" s="21"/>
      <c r="Z2036" s="21"/>
      <c r="AA2036" s="21" t="str">
        <f>HYPERLINK("https://miland.ru/api/getInfo/item/2c7c1b31-2efa-11f0-a27c-00155d82e908")</f>
        <v>https://miland.ru/api/getInfo/item/2c7c1b31-2efa-11f0-a27c-00155d82e908</v>
      </c>
      <c r="AB2036" s="21" t="s">
        <v>42</v>
      </c>
      <c r="AC2036" s="21"/>
      <c r="AD2036" s="21"/>
    </row>
    <row r="2037" spans="2:31" s="1" customFormat="1" ht="96.3" customHeight="1" outlineLevel="7">
      <c r="B2037" s="57">
        <v>1574</v>
      </c>
      <c r="C2037" s="21" t="s">
        <v>7102</v>
      </c>
      <c r="D2037" s="72" t="s">
        <v>7103</v>
      </c>
      <c r="E2037" s="72"/>
      <c r="F2037" s="72"/>
      <c r="G2037" s="72"/>
      <c r="H2037" s="22" t="s">
        <v>7104</v>
      </c>
      <c r="I2037" s="27">
        <v>396</v>
      </c>
      <c r="J2037" s="22"/>
      <c r="K2037" s="20">
        <v>24</v>
      </c>
      <c r="L2037" s="24">
        <v>50.68</v>
      </c>
      <c r="M2037" s="11"/>
      <c r="N2037" s="22">
        <f t="shared" si="91"/>
        <v>0</v>
      </c>
      <c r="O2037" s="25">
        <f t="shared" si="92"/>
        <v>0</v>
      </c>
      <c r="P2037" s="26">
        <f t="shared" si="93"/>
        <v>0</v>
      </c>
      <c r="Q2037" s="30"/>
      <c r="R2037" s="22" t="s">
        <v>7105</v>
      </c>
      <c r="S2037" s="22" t="s">
        <v>435</v>
      </c>
      <c r="T2037" s="21" t="str">
        <f>HYPERLINK("https://miland.ru/api/getInfo/image/e2617c98-2ef7-11f0-a27c-00155d82e908")</f>
        <v>https://miland.ru/api/getInfo/image/e2617c98-2ef7-11f0-a27c-00155d82e908</v>
      </c>
      <c r="U2037" s="21"/>
      <c r="V2037" s="21"/>
      <c r="W2037" s="21" t="s">
        <v>378</v>
      </c>
      <c r="X2037" s="21"/>
      <c r="Y2037" s="21"/>
      <c r="Z2037" s="21"/>
      <c r="AA2037" s="21" t="str">
        <f>HYPERLINK("https://miland.ru/api/getInfo/item/e2617c98-2ef7-11f0-a27c-00155d82e908")</f>
        <v>https://miland.ru/api/getInfo/item/e2617c98-2ef7-11f0-a27c-00155d82e908</v>
      </c>
      <c r="AB2037" s="21" t="s">
        <v>42</v>
      </c>
      <c r="AC2037" s="21"/>
      <c r="AD2037" s="21"/>
    </row>
    <row r="2038" spans="2:31" s="1" customFormat="1" ht="96.3" customHeight="1" outlineLevel="7">
      <c r="B2038" s="57">
        <v>1575</v>
      </c>
      <c r="C2038" s="21" t="s">
        <v>7102</v>
      </c>
      <c r="D2038" s="72" t="s">
        <v>7103</v>
      </c>
      <c r="E2038" s="72"/>
      <c r="F2038" s="72"/>
      <c r="G2038" s="72"/>
      <c r="H2038" s="22" t="s">
        <v>7104</v>
      </c>
      <c r="I2038" s="27">
        <v>396</v>
      </c>
      <c r="J2038" s="22"/>
      <c r="K2038" s="20">
        <v>24</v>
      </c>
      <c r="L2038" s="24">
        <v>50.68</v>
      </c>
      <c r="M2038" s="11"/>
      <c r="N2038" s="22">
        <f t="shared" si="91"/>
        <v>0</v>
      </c>
      <c r="O2038" s="25">
        <f t="shared" si="92"/>
        <v>0</v>
      </c>
      <c r="P2038" s="26">
        <f t="shared" si="93"/>
        <v>0</v>
      </c>
      <c r="Q2038" s="30"/>
      <c r="R2038" s="22" t="s">
        <v>7105</v>
      </c>
      <c r="S2038" s="22" t="s">
        <v>435</v>
      </c>
      <c r="T2038" s="21" t="str">
        <f>HYPERLINK("https://miland.ru/api/getInfo/image/e2617c98-2ef7-11f0-a27c-00155d82e908")</f>
        <v>https://miland.ru/api/getInfo/image/e2617c98-2ef7-11f0-a27c-00155d82e908</v>
      </c>
      <c r="U2038" s="21"/>
      <c r="V2038" s="21"/>
      <c r="W2038" s="21" t="s">
        <v>378</v>
      </c>
      <c r="X2038" s="21"/>
      <c r="Y2038" s="21"/>
      <c r="Z2038" s="21"/>
      <c r="AA2038" s="21" t="str">
        <f>HYPERLINK("https://miland.ru/api/getInfo/item/e2617c98-2ef7-11f0-a27c-00155d82e908")</f>
        <v>https://miland.ru/api/getInfo/item/e2617c98-2ef7-11f0-a27c-00155d82e908</v>
      </c>
      <c r="AB2038" s="21" t="s">
        <v>42</v>
      </c>
      <c r="AC2038" s="21"/>
      <c r="AD2038" s="21"/>
    </row>
    <row r="2039" spans="2:31" s="1" customFormat="1" ht="96.3" customHeight="1" outlineLevel="7">
      <c r="B2039" s="57">
        <v>1576</v>
      </c>
      <c r="C2039" s="21" t="s">
        <v>7106</v>
      </c>
      <c r="D2039" s="72" t="s">
        <v>7107</v>
      </c>
      <c r="E2039" s="72"/>
      <c r="F2039" s="72"/>
      <c r="G2039" s="72"/>
      <c r="H2039" s="22" t="s">
        <v>7108</v>
      </c>
      <c r="I2039" s="27">
        <v>168</v>
      </c>
      <c r="J2039" s="22"/>
      <c r="K2039" s="20">
        <v>24</v>
      </c>
      <c r="L2039" s="24">
        <v>31.48</v>
      </c>
      <c r="M2039" s="11"/>
      <c r="N2039" s="22">
        <f t="shared" si="91"/>
        <v>0</v>
      </c>
      <c r="O2039" s="25">
        <f t="shared" si="92"/>
        <v>0</v>
      </c>
      <c r="P2039" s="26">
        <f t="shared" si="93"/>
        <v>0</v>
      </c>
      <c r="Q2039" s="30"/>
      <c r="R2039" s="22" t="s">
        <v>7109</v>
      </c>
      <c r="S2039" s="22"/>
      <c r="T2039" s="21" t="str">
        <f>HYPERLINK("https://miland.ru/api/getInfo/image/dccbeca8-2ef9-11f0-a27c-00155d82e908")</f>
        <v>https://miland.ru/api/getInfo/image/dccbeca8-2ef9-11f0-a27c-00155d82e908</v>
      </c>
      <c r="U2039" s="21"/>
      <c r="V2039" s="21"/>
      <c r="W2039" s="21" t="s">
        <v>378</v>
      </c>
      <c r="X2039" s="21"/>
      <c r="Y2039" s="21"/>
      <c r="Z2039" s="21"/>
      <c r="AA2039" s="21" t="str">
        <f>HYPERLINK("https://miland.ru/api/getInfo/item/dccbeca8-2ef9-11f0-a27c-00155d82e908")</f>
        <v>https://miland.ru/api/getInfo/item/dccbeca8-2ef9-11f0-a27c-00155d82e908</v>
      </c>
      <c r="AB2039" s="21" t="s">
        <v>42</v>
      </c>
      <c r="AC2039" s="21"/>
      <c r="AD2039" s="21"/>
    </row>
    <row r="2040" spans="2:31" s="1" customFormat="1" ht="96.3" customHeight="1" outlineLevel="7">
      <c r="B2040" s="57">
        <v>1577</v>
      </c>
      <c r="C2040" s="21" t="s">
        <v>7110</v>
      </c>
      <c r="D2040" s="72" t="s">
        <v>7111</v>
      </c>
      <c r="E2040" s="72"/>
      <c r="F2040" s="72"/>
      <c r="G2040" s="72"/>
      <c r="H2040" s="22" t="s">
        <v>7112</v>
      </c>
      <c r="I2040" s="27">
        <v>312</v>
      </c>
      <c r="J2040" s="22"/>
      <c r="K2040" s="20">
        <v>24</v>
      </c>
      <c r="L2040" s="24">
        <v>31.48</v>
      </c>
      <c r="M2040" s="11"/>
      <c r="N2040" s="22">
        <f t="shared" si="91"/>
        <v>0</v>
      </c>
      <c r="O2040" s="25">
        <f t="shared" si="92"/>
        <v>0</v>
      </c>
      <c r="P2040" s="26">
        <f t="shared" si="93"/>
        <v>0</v>
      </c>
      <c r="Q2040" s="30"/>
      <c r="R2040" s="22" t="s">
        <v>7113</v>
      </c>
      <c r="S2040" s="22"/>
      <c r="T2040" s="21" t="str">
        <f>HYPERLINK("https://miland.ru/api/getInfo/image/5d72daee-2ef9-11f0-a27c-00155d82e908")</f>
        <v>https://miland.ru/api/getInfo/image/5d72daee-2ef9-11f0-a27c-00155d82e908</v>
      </c>
      <c r="U2040" s="21"/>
      <c r="V2040" s="21"/>
      <c r="W2040" s="21" t="s">
        <v>378</v>
      </c>
      <c r="X2040" s="21"/>
      <c r="Y2040" s="21"/>
      <c r="Z2040" s="21"/>
      <c r="AA2040" s="21" t="str">
        <f>HYPERLINK("https://miland.ru/api/getInfo/item/5d72daee-2ef9-11f0-a27c-00155d82e908")</f>
        <v>https://miland.ru/api/getInfo/item/5d72daee-2ef9-11f0-a27c-00155d82e908</v>
      </c>
      <c r="AB2040" s="21" t="s">
        <v>42</v>
      </c>
      <c r="AC2040" s="21"/>
      <c r="AD2040" s="21"/>
    </row>
    <row r="2041" spans="2:31" ht="12" customHeight="1" outlineLevel="6">
      <c r="B2041" s="70" t="s">
        <v>7114</v>
      </c>
      <c r="C2041" s="70"/>
      <c r="D2041" s="70"/>
      <c r="E2041" s="70"/>
      <c r="F2041" s="70"/>
      <c r="G2041" s="70"/>
    </row>
    <row r="2042" spans="2:31" s="1" customFormat="1" ht="96.3" customHeight="1" outlineLevel="7">
      <c r="B2042" s="57">
        <v>1578</v>
      </c>
      <c r="C2042" s="21" t="s">
        <v>7115</v>
      </c>
      <c r="D2042" s="72" t="s">
        <v>7116</v>
      </c>
      <c r="E2042" s="72"/>
      <c r="F2042" s="72"/>
      <c r="G2042" s="72"/>
      <c r="H2042" s="22" t="s">
        <v>7117</v>
      </c>
      <c r="I2042" s="27">
        <v>48</v>
      </c>
      <c r="J2042" s="22"/>
      <c r="K2042" s="20">
        <v>12</v>
      </c>
      <c r="L2042" s="24">
        <v>45.97</v>
      </c>
      <c r="M2042" s="11"/>
      <c r="N2042" s="22">
        <f t="shared" ref="N2042:N2047" si="94">L2042*M2042</f>
        <v>0</v>
      </c>
      <c r="O2042" s="25">
        <f>0.423*M2042</f>
        <v>0</v>
      </c>
      <c r="P2042" s="26">
        <f>0.00173*M2042</f>
        <v>0</v>
      </c>
      <c r="Q2042" s="30"/>
      <c r="R2042" s="22" t="s">
        <v>7118</v>
      </c>
      <c r="S2042" s="22" t="s">
        <v>435</v>
      </c>
      <c r="T2042" s="21" t="str">
        <f>HYPERLINK("https://miland.ru/api/getInfo/image/c7d3e875-c02e-11ee-a25a-00155d82e908")</f>
        <v>https://miland.ru/api/getInfo/image/c7d3e875-c02e-11ee-a25a-00155d82e908</v>
      </c>
      <c r="U2042" s="21"/>
      <c r="V2042" s="21" t="s">
        <v>6525</v>
      </c>
      <c r="W2042" s="21" t="s">
        <v>378</v>
      </c>
      <c r="X2042" s="21"/>
      <c r="Y2042" s="21" t="s">
        <v>41</v>
      </c>
      <c r="Z2042" s="21"/>
      <c r="AA2042" s="21" t="str">
        <f>HYPERLINK("https://miland.ru/api/getInfo/item/c7d3e875-c02e-11ee-a25a-00155d82e908")</f>
        <v>https://miland.ru/api/getInfo/item/c7d3e875-c02e-11ee-a25a-00155d82e908</v>
      </c>
      <c r="AB2042" s="21" t="s">
        <v>42</v>
      </c>
      <c r="AC2042" s="21" t="s">
        <v>7119</v>
      </c>
      <c r="AD2042" s="21"/>
    </row>
    <row r="2043" spans="2:31" s="1" customFormat="1" ht="96.3" customHeight="1" outlineLevel="7">
      <c r="B2043" s="57">
        <v>1579</v>
      </c>
      <c r="C2043" s="21" t="s">
        <v>7120</v>
      </c>
      <c r="D2043" s="72" t="s">
        <v>7121</v>
      </c>
      <c r="E2043" s="72"/>
      <c r="F2043" s="72"/>
      <c r="G2043" s="72"/>
      <c r="H2043" s="22" t="s">
        <v>7122</v>
      </c>
      <c r="I2043" s="23" t="s">
        <v>36</v>
      </c>
      <c r="J2043" s="22"/>
      <c r="K2043" s="20">
        <v>12</v>
      </c>
      <c r="L2043" s="24">
        <v>45.97</v>
      </c>
      <c r="M2043" s="11"/>
      <c r="N2043" s="22">
        <f t="shared" si="94"/>
        <v>0</v>
      </c>
      <c r="O2043" s="25">
        <f>0.042*M2043</f>
        <v>0</v>
      </c>
      <c r="P2043" s="26">
        <f>0.00014*M2043</f>
        <v>0</v>
      </c>
      <c r="Q2043" s="30"/>
      <c r="R2043" s="22" t="s">
        <v>7123</v>
      </c>
      <c r="S2043" s="22" t="s">
        <v>435</v>
      </c>
      <c r="T2043" s="21" t="str">
        <f>HYPERLINK("https://miland.ru/api/getInfo/image/bfdb1d5e-a33e-11ef-a267-00155d82e908")</f>
        <v>https://miland.ru/api/getInfo/image/bfdb1d5e-a33e-11ef-a267-00155d82e908</v>
      </c>
      <c r="U2043" s="21"/>
      <c r="V2043" s="21" t="s">
        <v>6525</v>
      </c>
      <c r="W2043" s="21" t="s">
        <v>378</v>
      </c>
      <c r="X2043" s="21"/>
      <c r="Y2043" s="21" t="s">
        <v>41</v>
      </c>
      <c r="Z2043" s="21"/>
      <c r="AA2043" s="21" t="str">
        <f>HYPERLINK("https://miland.ru/api/getInfo/item/bfdb1d5e-a33e-11ef-a267-00155d82e908")</f>
        <v>https://miland.ru/api/getInfo/item/bfdb1d5e-a33e-11ef-a267-00155d82e908</v>
      </c>
      <c r="AB2043" s="21" t="s">
        <v>42</v>
      </c>
      <c r="AC2043" s="21" t="s">
        <v>7119</v>
      </c>
      <c r="AD2043" s="21"/>
    </row>
    <row r="2044" spans="2:31" s="1" customFormat="1" ht="96.3" customHeight="1" outlineLevel="7">
      <c r="B2044" s="57">
        <v>1580</v>
      </c>
      <c r="C2044" s="21" t="s">
        <v>7124</v>
      </c>
      <c r="D2044" s="72" t="s">
        <v>7125</v>
      </c>
      <c r="E2044" s="72"/>
      <c r="F2044" s="72"/>
      <c r="G2044" s="72"/>
      <c r="H2044" s="22" t="s">
        <v>7126</v>
      </c>
      <c r="I2044" s="27">
        <v>276</v>
      </c>
      <c r="J2044" s="22"/>
      <c r="K2044" s="20">
        <v>12</v>
      </c>
      <c r="L2044" s="24">
        <v>45.97</v>
      </c>
      <c r="M2044" s="11"/>
      <c r="N2044" s="22">
        <f t="shared" si="94"/>
        <v>0</v>
      </c>
      <c r="O2044" s="25">
        <f>0.041*M2044</f>
        <v>0</v>
      </c>
      <c r="P2044" s="26">
        <f>0.00014*M2044</f>
        <v>0</v>
      </c>
      <c r="Q2044" s="30"/>
      <c r="R2044" s="22" t="s">
        <v>7127</v>
      </c>
      <c r="S2044" s="22" t="s">
        <v>435</v>
      </c>
      <c r="T2044" s="21" t="str">
        <f>HYPERLINK("https://miland.ru/api/getInfo/image/a30b95d9-a33e-11ef-a267-00155d82e908")</f>
        <v>https://miland.ru/api/getInfo/image/a30b95d9-a33e-11ef-a267-00155d82e908</v>
      </c>
      <c r="U2044" s="21"/>
      <c r="V2044" s="21" t="s">
        <v>6525</v>
      </c>
      <c r="W2044" s="21" t="s">
        <v>378</v>
      </c>
      <c r="X2044" s="21"/>
      <c r="Y2044" s="21" t="s">
        <v>41</v>
      </c>
      <c r="Z2044" s="21"/>
      <c r="AA2044" s="21" t="str">
        <f>HYPERLINK("https://miland.ru/api/getInfo/item/a30b95d9-a33e-11ef-a267-00155d82e908")</f>
        <v>https://miland.ru/api/getInfo/item/a30b95d9-a33e-11ef-a267-00155d82e908</v>
      </c>
      <c r="AB2044" s="21" t="s">
        <v>42</v>
      </c>
      <c r="AC2044" s="21" t="s">
        <v>7119</v>
      </c>
      <c r="AD2044" s="21"/>
    </row>
    <row r="2045" spans="2:31" s="1" customFormat="1" ht="96.3" customHeight="1" outlineLevel="7">
      <c r="B2045" s="58">
        <v>1581</v>
      </c>
      <c r="C2045" s="7" t="s">
        <v>7128</v>
      </c>
      <c r="D2045" s="71" t="s">
        <v>7129</v>
      </c>
      <c r="E2045" s="71"/>
      <c r="F2045" s="71"/>
      <c r="G2045" s="71"/>
      <c r="H2045" s="8" t="s">
        <v>7130</v>
      </c>
      <c r="I2045" s="9" t="s">
        <v>36</v>
      </c>
      <c r="J2045" s="8"/>
      <c r="K2045" s="6">
        <v>12</v>
      </c>
      <c r="L2045" s="10">
        <v>38.46</v>
      </c>
      <c r="M2045" s="11"/>
      <c r="N2045" s="8">
        <f t="shared" si="94"/>
        <v>0</v>
      </c>
      <c r="O2045" s="12">
        <f>0.004*M2045</f>
        <v>0</v>
      </c>
      <c r="P2045" s="13">
        <f>0.00024*M2045</f>
        <v>0</v>
      </c>
      <c r="Q2045" s="17" t="s">
        <v>37</v>
      </c>
      <c r="R2045" s="8" t="s">
        <v>7131</v>
      </c>
      <c r="S2045" s="8"/>
      <c r="T2045" s="7" t="str">
        <f>HYPERLINK("https://miland.ru/api/getInfo/image/03095482-fb74-11f0-a28e-00155d82e908")</f>
        <v>https://miland.ru/api/getInfo/image/03095482-fb74-11f0-a28e-00155d82e908</v>
      </c>
      <c r="U2045" s="7"/>
      <c r="V2045" s="7"/>
      <c r="W2045" s="7" t="s">
        <v>378</v>
      </c>
      <c r="X2045" s="7"/>
      <c r="Y2045" s="7" t="s">
        <v>41</v>
      </c>
      <c r="Z2045" s="7"/>
      <c r="AA2045" s="7" t="str">
        <f>HYPERLINK("https://miland.ru/api/getInfo/item/03095482-fb74-11f0-a28e-00155d82e908")</f>
        <v>https://miland.ru/api/getInfo/item/03095482-fb74-11f0-a28e-00155d82e908</v>
      </c>
      <c r="AB2045" s="7" t="s">
        <v>42</v>
      </c>
      <c r="AC2045" s="7"/>
      <c r="AD2045" s="7"/>
      <c r="AE2045" s="54"/>
    </row>
    <row r="2046" spans="2:31" s="1" customFormat="1" ht="96.3" customHeight="1" outlineLevel="7">
      <c r="B2046" s="58">
        <v>1582</v>
      </c>
      <c r="C2046" s="7" t="s">
        <v>7132</v>
      </c>
      <c r="D2046" s="71" t="s">
        <v>7133</v>
      </c>
      <c r="E2046" s="71"/>
      <c r="F2046" s="71"/>
      <c r="G2046" s="71"/>
      <c r="H2046" s="8" t="s">
        <v>7134</v>
      </c>
      <c r="I2046" s="9" t="s">
        <v>36</v>
      </c>
      <c r="J2046" s="8"/>
      <c r="K2046" s="6">
        <v>12</v>
      </c>
      <c r="L2046" s="10">
        <v>38.46</v>
      </c>
      <c r="M2046" s="11"/>
      <c r="N2046" s="8">
        <f t="shared" si="94"/>
        <v>0</v>
      </c>
      <c r="O2046" s="18">
        <f>0.04*M2046</f>
        <v>0</v>
      </c>
      <c r="P2046" s="13">
        <f>0.00024*M2046</f>
        <v>0</v>
      </c>
      <c r="Q2046" s="17" t="s">
        <v>37</v>
      </c>
      <c r="R2046" s="8" t="s">
        <v>7135</v>
      </c>
      <c r="S2046" s="8"/>
      <c r="T2046" s="7" t="str">
        <f>HYPERLINK("https://miland.ru/api/getInfo/image/1b2e8d76-fb74-11f0-a28e-00155d82e908")</f>
        <v>https://miland.ru/api/getInfo/image/1b2e8d76-fb74-11f0-a28e-00155d82e908</v>
      </c>
      <c r="U2046" s="7"/>
      <c r="V2046" s="7"/>
      <c r="W2046" s="7" t="s">
        <v>378</v>
      </c>
      <c r="X2046" s="7"/>
      <c r="Y2046" s="7" t="s">
        <v>41</v>
      </c>
      <c r="Z2046" s="7"/>
      <c r="AA2046" s="7" t="str">
        <f>HYPERLINK("https://miland.ru/api/getInfo/item/1b2e8d76-fb74-11f0-a28e-00155d82e908")</f>
        <v>https://miland.ru/api/getInfo/item/1b2e8d76-fb74-11f0-a28e-00155d82e908</v>
      </c>
      <c r="AB2046" s="7" t="s">
        <v>42</v>
      </c>
      <c r="AC2046" s="7"/>
      <c r="AD2046" s="7"/>
      <c r="AE2046" s="54"/>
    </row>
    <row r="2047" spans="2:31" s="1" customFormat="1" ht="96.3" customHeight="1" outlineLevel="7">
      <c r="B2047" s="58">
        <v>1583</v>
      </c>
      <c r="C2047" s="7" t="s">
        <v>7136</v>
      </c>
      <c r="D2047" s="71" t="s">
        <v>7137</v>
      </c>
      <c r="E2047" s="71"/>
      <c r="F2047" s="71"/>
      <c r="G2047" s="71"/>
      <c r="H2047" s="8" t="s">
        <v>7138</v>
      </c>
      <c r="I2047" s="9" t="s">
        <v>36</v>
      </c>
      <c r="J2047" s="8"/>
      <c r="K2047" s="6">
        <v>12</v>
      </c>
      <c r="L2047" s="10">
        <v>38.46</v>
      </c>
      <c r="M2047" s="11"/>
      <c r="N2047" s="8">
        <f t="shared" si="94"/>
        <v>0</v>
      </c>
      <c r="O2047" s="12">
        <f>0.042*M2047</f>
        <v>0</v>
      </c>
      <c r="P2047" s="13">
        <f>0.00023*M2047</f>
        <v>0</v>
      </c>
      <c r="Q2047" s="17" t="s">
        <v>37</v>
      </c>
      <c r="R2047" s="8" t="s">
        <v>7139</v>
      </c>
      <c r="S2047" s="8"/>
      <c r="T2047" s="7" t="str">
        <f>HYPERLINK("https://miland.ru/api/getInfo/image/eb566595-fb73-11f0-a28e-00155d82e908")</f>
        <v>https://miland.ru/api/getInfo/image/eb566595-fb73-11f0-a28e-00155d82e908</v>
      </c>
      <c r="U2047" s="7"/>
      <c r="V2047" s="7"/>
      <c r="W2047" s="7" t="s">
        <v>378</v>
      </c>
      <c r="X2047" s="7"/>
      <c r="Y2047" s="7" t="s">
        <v>41</v>
      </c>
      <c r="Z2047" s="7"/>
      <c r="AA2047" s="7" t="str">
        <f>HYPERLINK("https://miland.ru/api/getInfo/item/eb566595-fb73-11f0-a28e-00155d82e908")</f>
        <v>https://miland.ru/api/getInfo/item/eb566595-fb73-11f0-a28e-00155d82e908</v>
      </c>
      <c r="AB2047" s="7" t="s">
        <v>42</v>
      </c>
      <c r="AC2047" s="7"/>
      <c r="AD2047" s="7"/>
      <c r="AE2047" s="54"/>
    </row>
    <row r="2048" spans="2:31" ht="12" customHeight="1" outlineLevel="6">
      <c r="B2048" s="70" t="s">
        <v>6685</v>
      </c>
      <c r="C2048" s="70"/>
      <c r="D2048" s="70"/>
      <c r="E2048" s="70"/>
      <c r="F2048" s="70"/>
      <c r="G2048" s="70"/>
    </row>
    <row r="2049" spans="2:31" ht="12" customHeight="1" outlineLevel="7">
      <c r="B2049" s="70" t="s">
        <v>7140</v>
      </c>
      <c r="C2049" s="70"/>
      <c r="D2049" s="70"/>
      <c r="E2049" s="70"/>
      <c r="F2049" s="70"/>
      <c r="G2049" s="70"/>
    </row>
    <row r="2050" spans="2:31" s="1" customFormat="1" ht="96.3" customHeight="1" outlineLevel="7">
      <c r="B2050" s="57">
        <v>1584</v>
      </c>
      <c r="C2050" s="21" t="s">
        <v>7141</v>
      </c>
      <c r="D2050" s="72" t="s">
        <v>7142</v>
      </c>
      <c r="E2050" s="72"/>
      <c r="F2050" s="72"/>
      <c r="G2050" s="72"/>
      <c r="H2050" s="22" t="s">
        <v>7143</v>
      </c>
      <c r="I2050" s="27">
        <v>432</v>
      </c>
      <c r="J2050" s="22"/>
      <c r="K2050" s="20">
        <v>12</v>
      </c>
      <c r="L2050" s="24">
        <v>45.26</v>
      </c>
      <c r="M2050" s="11"/>
      <c r="N2050" s="22">
        <f>L2050*M2050</f>
        <v>0</v>
      </c>
      <c r="O2050" s="25">
        <f>0.044*M2050</f>
        <v>0</v>
      </c>
      <c r="P2050" s="26">
        <f>0.00045*M2050</f>
        <v>0</v>
      </c>
      <c r="Q2050" s="30"/>
      <c r="R2050" s="22" t="s">
        <v>7144</v>
      </c>
      <c r="S2050" s="22" t="s">
        <v>435</v>
      </c>
      <c r="T2050" s="21" t="str">
        <f>HYPERLINK("https://miland.ru/api/getInfo/image/ee80fa33-fe4a-11ef-a275-00155d82e908")</f>
        <v>https://miland.ru/api/getInfo/image/ee80fa33-fe4a-11ef-a275-00155d82e908</v>
      </c>
      <c r="U2050" s="21"/>
      <c r="V2050" s="21" t="s">
        <v>6525</v>
      </c>
      <c r="W2050" s="21" t="s">
        <v>378</v>
      </c>
      <c r="X2050" s="21"/>
      <c r="Y2050" s="21" t="s">
        <v>41</v>
      </c>
      <c r="Z2050" s="21"/>
      <c r="AA2050" s="21" t="str">
        <f>HYPERLINK("https://miland.ru/api/getInfo/item/ee80fa33-fe4a-11ef-a275-00155d82e908")</f>
        <v>https://miland.ru/api/getInfo/item/ee80fa33-fe4a-11ef-a275-00155d82e908</v>
      </c>
      <c r="AB2050" s="21" t="s">
        <v>42</v>
      </c>
      <c r="AC2050" s="21"/>
      <c r="AD2050" s="21"/>
    </row>
    <row r="2051" spans="2:31" s="1" customFormat="1" ht="96.3" customHeight="1" outlineLevel="7">
      <c r="B2051" s="57">
        <v>1585</v>
      </c>
      <c r="C2051" s="21" t="s">
        <v>7145</v>
      </c>
      <c r="D2051" s="72" t="s">
        <v>7146</v>
      </c>
      <c r="E2051" s="72"/>
      <c r="F2051" s="72"/>
      <c r="G2051" s="72"/>
      <c r="H2051" s="22" t="s">
        <v>7147</v>
      </c>
      <c r="I2051" s="23" t="s">
        <v>36</v>
      </c>
      <c r="J2051" s="22"/>
      <c r="K2051" s="20">
        <v>12</v>
      </c>
      <c r="L2051" s="24">
        <v>45.26</v>
      </c>
      <c r="M2051" s="11"/>
      <c r="N2051" s="22">
        <f>L2051*M2051</f>
        <v>0</v>
      </c>
      <c r="O2051" s="25">
        <f>0.046*M2051</f>
        <v>0</v>
      </c>
      <c r="P2051" s="26">
        <f>0.00022*M2051</f>
        <v>0</v>
      </c>
      <c r="Q2051" s="30"/>
      <c r="R2051" s="22" t="s">
        <v>7148</v>
      </c>
      <c r="S2051" s="22" t="s">
        <v>435</v>
      </c>
      <c r="T2051" s="21" t="str">
        <f>HYPERLINK("https://miland.ru/api/getInfo/image/67efd2a2-fe4a-11ef-a275-00155d82e908")</f>
        <v>https://miland.ru/api/getInfo/image/67efd2a2-fe4a-11ef-a275-00155d82e908</v>
      </c>
      <c r="U2051" s="21"/>
      <c r="V2051" s="21" t="s">
        <v>6525</v>
      </c>
      <c r="W2051" s="21" t="s">
        <v>378</v>
      </c>
      <c r="X2051" s="21"/>
      <c r="Y2051" s="21" t="s">
        <v>41</v>
      </c>
      <c r="Z2051" s="21"/>
      <c r="AA2051" s="21" t="str">
        <f>HYPERLINK("https://miland.ru/api/getInfo/item/67efd2a2-fe4a-11ef-a275-00155d82e908")</f>
        <v>https://miland.ru/api/getInfo/item/67efd2a2-fe4a-11ef-a275-00155d82e908</v>
      </c>
      <c r="AB2051" s="21" t="s">
        <v>42</v>
      </c>
      <c r="AC2051" s="21"/>
      <c r="AD2051" s="21"/>
    </row>
    <row r="2052" spans="2:31" ht="12" customHeight="1" outlineLevel="7">
      <c r="B2052" s="70" t="s">
        <v>7149</v>
      </c>
      <c r="C2052" s="70"/>
      <c r="D2052" s="70"/>
      <c r="E2052" s="70"/>
      <c r="F2052" s="70"/>
      <c r="G2052" s="70"/>
    </row>
    <row r="2053" spans="2:31" s="1" customFormat="1" ht="96.3" customHeight="1" outlineLevel="7">
      <c r="B2053" s="57">
        <v>1586</v>
      </c>
      <c r="C2053" s="21" t="s">
        <v>7150</v>
      </c>
      <c r="D2053" s="72" t="s">
        <v>7151</v>
      </c>
      <c r="E2053" s="72"/>
      <c r="F2053" s="72"/>
      <c r="G2053" s="72"/>
      <c r="H2053" s="22" t="s">
        <v>7152</v>
      </c>
      <c r="I2053" s="23" t="s">
        <v>36</v>
      </c>
      <c r="J2053" s="22"/>
      <c r="K2053" s="20">
        <v>12</v>
      </c>
      <c r="L2053" s="24">
        <v>45.26</v>
      </c>
      <c r="M2053" s="11"/>
      <c r="N2053" s="22">
        <f>L2053*M2053</f>
        <v>0</v>
      </c>
      <c r="O2053" s="25">
        <f>0.044*M2053</f>
        <v>0</v>
      </c>
      <c r="P2053" s="26">
        <f>0.00044*M2053</f>
        <v>0</v>
      </c>
      <c r="Q2053" s="30"/>
      <c r="R2053" s="22" t="s">
        <v>7153</v>
      </c>
      <c r="S2053" s="22"/>
      <c r="T2053" s="21" t="str">
        <f>HYPERLINK("https://miland.ru/api/getInfo/image/bd4000f7-fe49-11ef-a275-00155d82e908")</f>
        <v>https://miland.ru/api/getInfo/image/bd4000f7-fe49-11ef-a275-00155d82e908</v>
      </c>
      <c r="U2053" s="21"/>
      <c r="V2053" s="21" t="s">
        <v>6525</v>
      </c>
      <c r="W2053" s="21" t="s">
        <v>378</v>
      </c>
      <c r="X2053" s="21"/>
      <c r="Y2053" s="21" t="s">
        <v>41</v>
      </c>
      <c r="Z2053" s="21"/>
      <c r="AA2053" s="21" t="str">
        <f>HYPERLINK("https://miland.ru/api/getInfo/item/bd4000f7-fe49-11ef-a275-00155d82e908")</f>
        <v>https://miland.ru/api/getInfo/item/bd4000f7-fe49-11ef-a275-00155d82e908</v>
      </c>
      <c r="AB2053" s="21" t="s">
        <v>42</v>
      </c>
      <c r="AC2053" s="21"/>
      <c r="AD2053" s="21"/>
    </row>
    <row r="2054" spans="2:31" s="1" customFormat="1" ht="96.3" customHeight="1" outlineLevel="7">
      <c r="B2054" s="57">
        <v>1587</v>
      </c>
      <c r="C2054" s="21" t="s">
        <v>7154</v>
      </c>
      <c r="D2054" s="72" t="s">
        <v>7155</v>
      </c>
      <c r="E2054" s="72"/>
      <c r="F2054" s="72"/>
      <c r="G2054" s="72"/>
      <c r="H2054" s="22" t="s">
        <v>7156</v>
      </c>
      <c r="I2054" s="23" t="s">
        <v>36</v>
      </c>
      <c r="J2054" s="22"/>
      <c r="K2054" s="20">
        <v>12</v>
      </c>
      <c r="L2054" s="24">
        <v>45.26</v>
      </c>
      <c r="M2054" s="11"/>
      <c r="N2054" s="22">
        <f>L2054*M2054</f>
        <v>0</v>
      </c>
      <c r="O2054" s="25">
        <f>0.054*M2054</f>
        <v>0</v>
      </c>
      <c r="P2054" s="26">
        <f>0.00048*M2054</f>
        <v>0</v>
      </c>
      <c r="Q2054" s="30"/>
      <c r="R2054" s="22" t="s">
        <v>7157</v>
      </c>
      <c r="S2054" s="22" t="s">
        <v>435</v>
      </c>
      <c r="T2054" s="21" t="str">
        <f>HYPERLINK("https://miland.ru/api/getInfo/image/0154afe4-fe49-11ef-a275-00155d82e908")</f>
        <v>https://miland.ru/api/getInfo/image/0154afe4-fe49-11ef-a275-00155d82e908</v>
      </c>
      <c r="U2054" s="21"/>
      <c r="V2054" s="21" t="s">
        <v>6525</v>
      </c>
      <c r="W2054" s="21" t="s">
        <v>378</v>
      </c>
      <c r="X2054" s="21"/>
      <c r="Y2054" s="21" t="s">
        <v>41</v>
      </c>
      <c r="Z2054" s="21"/>
      <c r="AA2054" s="21" t="str">
        <f>HYPERLINK("https://miland.ru/api/getInfo/item/0154afe4-fe49-11ef-a275-00155d82e908")</f>
        <v>https://miland.ru/api/getInfo/item/0154afe4-fe49-11ef-a275-00155d82e908</v>
      </c>
      <c r="AB2054" s="21" t="s">
        <v>42</v>
      </c>
      <c r="AC2054" s="21"/>
      <c r="AD2054" s="21"/>
    </row>
    <row r="2055" spans="2:31" ht="12" customHeight="1" outlineLevel="7">
      <c r="B2055" s="70" t="s">
        <v>6686</v>
      </c>
      <c r="C2055" s="70"/>
      <c r="D2055" s="70"/>
      <c r="E2055" s="70"/>
      <c r="F2055" s="70"/>
      <c r="G2055" s="70"/>
    </row>
    <row r="2056" spans="2:31" s="1" customFormat="1" ht="96.3" customHeight="1" outlineLevel="7">
      <c r="B2056" s="57">
        <v>1588</v>
      </c>
      <c r="C2056" s="21" t="s">
        <v>7158</v>
      </c>
      <c r="D2056" s="72" t="s">
        <v>7159</v>
      </c>
      <c r="E2056" s="72"/>
      <c r="F2056" s="72"/>
      <c r="G2056" s="72"/>
      <c r="H2056" s="22" t="s">
        <v>7160</v>
      </c>
      <c r="I2056" s="23" t="s">
        <v>36</v>
      </c>
      <c r="J2056" s="22"/>
      <c r="K2056" s="20">
        <v>12</v>
      </c>
      <c r="L2056" s="24">
        <v>37.409999999999997</v>
      </c>
      <c r="M2056" s="11"/>
      <c r="N2056" s="22">
        <f>L2056*M2056</f>
        <v>0</v>
      </c>
      <c r="O2056" s="28">
        <f>0.65*M2056</f>
        <v>0</v>
      </c>
      <c r="P2056" s="26">
        <f>0.00313*M2056</f>
        <v>0</v>
      </c>
      <c r="Q2056" s="30"/>
      <c r="R2056" s="22" t="s">
        <v>7161</v>
      </c>
      <c r="S2056" s="22" t="s">
        <v>435</v>
      </c>
      <c r="T2056" s="21" t="str">
        <f>HYPERLINK("https://miland.ru/api/getInfo/image/bb86849a-03a4-11ef-a25d-00155d82e908")</f>
        <v>https://miland.ru/api/getInfo/image/bb86849a-03a4-11ef-a25d-00155d82e908</v>
      </c>
      <c r="U2056" s="21"/>
      <c r="V2056" s="21" t="s">
        <v>6525</v>
      </c>
      <c r="W2056" s="21" t="s">
        <v>378</v>
      </c>
      <c r="X2056" s="21"/>
      <c r="Y2056" s="21" t="s">
        <v>41</v>
      </c>
      <c r="Z2056" s="21"/>
      <c r="AA2056" s="21" t="str">
        <f>HYPERLINK("https://miland.ru/api/getInfo/item/bb86849a-03a4-11ef-a25d-00155d82e908")</f>
        <v>https://miland.ru/api/getInfo/item/bb86849a-03a4-11ef-a25d-00155d82e908</v>
      </c>
      <c r="AB2056" s="21" t="s">
        <v>42</v>
      </c>
      <c r="AC2056" s="21" t="s">
        <v>7162</v>
      </c>
      <c r="AD2056" s="21"/>
    </row>
    <row r="2057" spans="2:31" s="1" customFormat="1" ht="96.3" customHeight="1" outlineLevel="7">
      <c r="B2057" s="57">
        <v>1589</v>
      </c>
      <c r="C2057" s="21" t="s">
        <v>7163</v>
      </c>
      <c r="D2057" s="72" t="s">
        <v>7164</v>
      </c>
      <c r="E2057" s="72"/>
      <c r="F2057" s="72"/>
      <c r="G2057" s="72"/>
      <c r="H2057" s="22" t="s">
        <v>7165</v>
      </c>
      <c r="I2057" s="23" t="s">
        <v>36</v>
      </c>
      <c r="J2057" s="22"/>
      <c r="K2057" s="20">
        <v>24</v>
      </c>
      <c r="L2057" s="24">
        <v>31.78</v>
      </c>
      <c r="M2057" s="11"/>
      <c r="N2057" s="22">
        <f>L2057*M2057</f>
        <v>0</v>
      </c>
      <c r="O2057" s="25">
        <f>0.044*M2057</f>
        <v>0</v>
      </c>
      <c r="P2057" s="26">
        <f>0.00054*M2057</f>
        <v>0</v>
      </c>
      <c r="Q2057" s="30"/>
      <c r="R2057" s="22" t="s">
        <v>7166</v>
      </c>
      <c r="S2057" s="22" t="s">
        <v>435</v>
      </c>
      <c r="T2057" s="21" t="str">
        <f>HYPERLINK("https://miland.ru/api/getInfo/image/125107a6-03a5-11ef-a25d-00155d82e908")</f>
        <v>https://miland.ru/api/getInfo/image/125107a6-03a5-11ef-a25d-00155d82e908</v>
      </c>
      <c r="U2057" s="21"/>
      <c r="V2057" s="21" t="s">
        <v>6525</v>
      </c>
      <c r="W2057" s="21" t="s">
        <v>378</v>
      </c>
      <c r="X2057" s="21"/>
      <c r="Y2057" s="21" t="s">
        <v>41</v>
      </c>
      <c r="Z2057" s="21"/>
      <c r="AA2057" s="21" t="str">
        <f>HYPERLINK("https://miland.ru/api/getInfo/item/125107a6-03a5-11ef-a25d-00155d82e908")</f>
        <v>https://miland.ru/api/getInfo/item/125107a6-03a5-11ef-a25d-00155d82e908</v>
      </c>
      <c r="AB2057" s="21" t="s">
        <v>42</v>
      </c>
      <c r="AC2057" s="21" t="s">
        <v>7162</v>
      </c>
      <c r="AD2057" s="21"/>
    </row>
    <row r="2058" spans="2:31" ht="12" customHeight="1" outlineLevel="5">
      <c r="B2058" s="70" t="s">
        <v>7167</v>
      </c>
      <c r="C2058" s="70"/>
      <c r="D2058" s="70"/>
      <c r="E2058" s="70"/>
      <c r="F2058" s="70"/>
      <c r="G2058" s="70"/>
    </row>
    <row r="2059" spans="2:31" ht="12" customHeight="1" outlineLevel="6">
      <c r="B2059" s="70" t="s">
        <v>6700</v>
      </c>
      <c r="C2059" s="70"/>
      <c r="D2059" s="70"/>
      <c r="E2059" s="70"/>
      <c r="F2059" s="70"/>
      <c r="G2059" s="70"/>
    </row>
    <row r="2060" spans="2:31" s="1" customFormat="1" ht="96.3" customHeight="1" outlineLevel="7">
      <c r="B2060" s="59">
        <v>1590</v>
      </c>
      <c r="C2060" s="35" t="s">
        <v>7168</v>
      </c>
      <c r="D2060" s="73" t="s">
        <v>7169</v>
      </c>
      <c r="E2060" s="73"/>
      <c r="F2060" s="73"/>
      <c r="G2060" s="73"/>
      <c r="H2060" s="36" t="s">
        <v>7170</v>
      </c>
      <c r="I2060" s="56" t="s">
        <v>36</v>
      </c>
      <c r="J2060" s="36"/>
      <c r="K2060" s="34">
        <v>12</v>
      </c>
      <c r="L2060" s="41">
        <v>45.44</v>
      </c>
      <c r="M2060" s="11"/>
      <c r="N2060" s="36">
        <f>L2060*M2060</f>
        <v>0</v>
      </c>
      <c r="O2060" s="47">
        <f>0.05*M2060</f>
        <v>0</v>
      </c>
      <c r="P2060" s="43">
        <f>0.00037*M2060</f>
        <v>0</v>
      </c>
      <c r="Q2060" s="50" t="s">
        <v>37</v>
      </c>
      <c r="R2060" s="36" t="s">
        <v>7171</v>
      </c>
      <c r="S2060" s="36"/>
      <c r="T2060" s="35" t="str">
        <f>HYPERLINK("https://miland.ru/api/getInfo/image/49125f37-fb74-11f0-a28e-00155d82e908")</f>
        <v>https://miland.ru/api/getInfo/image/49125f37-fb74-11f0-a28e-00155d82e908</v>
      </c>
      <c r="U2060" s="35"/>
      <c r="V2060" s="35"/>
      <c r="W2060" s="35" t="s">
        <v>378</v>
      </c>
      <c r="X2060" s="35"/>
      <c r="Y2060" s="35" t="s">
        <v>41</v>
      </c>
      <c r="Z2060" s="35"/>
      <c r="AA2060" s="35" t="str">
        <f>HYPERLINK("https://miland.ru/api/getInfo/item/49125f37-fb74-11f0-a28e-00155d82e908")</f>
        <v>https://miland.ru/api/getInfo/item/49125f37-fb74-11f0-a28e-00155d82e908</v>
      </c>
      <c r="AB2060" s="35" t="s">
        <v>42</v>
      </c>
      <c r="AC2060" s="35"/>
      <c r="AD2060" s="35"/>
      <c r="AE2060" s="52" t="s">
        <v>1251</v>
      </c>
    </row>
    <row r="2061" spans="2:31" s="1" customFormat="1" ht="96.3" customHeight="1" outlineLevel="7">
      <c r="B2061" s="59">
        <v>1591</v>
      </c>
      <c r="C2061" s="35" t="s">
        <v>7172</v>
      </c>
      <c r="D2061" s="73" t="s">
        <v>7173</v>
      </c>
      <c r="E2061" s="73"/>
      <c r="F2061" s="73"/>
      <c r="G2061" s="73"/>
      <c r="H2061" s="36" t="s">
        <v>7174</v>
      </c>
      <c r="I2061" s="40">
        <v>420</v>
      </c>
      <c r="J2061" s="36"/>
      <c r="K2061" s="34">
        <v>12</v>
      </c>
      <c r="L2061" s="41">
        <v>45.44</v>
      </c>
      <c r="M2061" s="11"/>
      <c r="N2061" s="36">
        <f>L2061*M2061</f>
        <v>0</v>
      </c>
      <c r="O2061" s="47">
        <f>0.06*M2061</f>
        <v>0</v>
      </c>
      <c r="P2061" s="43">
        <f>0.00049*M2061</f>
        <v>0</v>
      </c>
      <c r="Q2061" s="50" t="s">
        <v>37</v>
      </c>
      <c r="R2061" s="36" t="s">
        <v>7175</v>
      </c>
      <c r="S2061" s="36"/>
      <c r="T2061" s="35" t="str">
        <f>HYPERLINK("https://miland.ru/api/getInfo/image/8c23f9be-fb74-11f0-a28e-00155d82e908")</f>
        <v>https://miland.ru/api/getInfo/image/8c23f9be-fb74-11f0-a28e-00155d82e908</v>
      </c>
      <c r="U2061" s="35"/>
      <c r="V2061" s="35"/>
      <c r="W2061" s="35" t="s">
        <v>378</v>
      </c>
      <c r="X2061" s="35"/>
      <c r="Y2061" s="35" t="s">
        <v>41</v>
      </c>
      <c r="Z2061" s="35"/>
      <c r="AA2061" s="35" t="str">
        <f>HYPERLINK("https://miland.ru/api/getInfo/item/8c23f9be-fb74-11f0-a28e-00155d82e908")</f>
        <v>https://miland.ru/api/getInfo/item/8c23f9be-fb74-11f0-a28e-00155d82e908</v>
      </c>
      <c r="AB2061" s="35" t="s">
        <v>42</v>
      </c>
      <c r="AC2061" s="35"/>
      <c r="AD2061" s="35"/>
      <c r="AE2061" s="52" t="s">
        <v>1251</v>
      </c>
    </row>
    <row r="2062" spans="2:31" s="1" customFormat="1" ht="96.3" customHeight="1" outlineLevel="7">
      <c r="B2062" s="59">
        <v>1592</v>
      </c>
      <c r="C2062" s="35" t="s">
        <v>7176</v>
      </c>
      <c r="D2062" s="73" t="s">
        <v>7177</v>
      </c>
      <c r="E2062" s="73"/>
      <c r="F2062" s="73"/>
      <c r="G2062" s="73"/>
      <c r="H2062" s="36" t="s">
        <v>7178</v>
      </c>
      <c r="I2062" s="40">
        <v>336</v>
      </c>
      <c r="J2062" s="36"/>
      <c r="K2062" s="34">
        <v>12</v>
      </c>
      <c r="L2062" s="41">
        <v>45.44</v>
      </c>
      <c r="M2062" s="11"/>
      <c r="N2062" s="36">
        <f>L2062*M2062</f>
        <v>0</v>
      </c>
      <c r="O2062" s="47">
        <f>0.06*M2062</f>
        <v>0</v>
      </c>
      <c r="P2062" s="43">
        <f>0.00038*M2062</f>
        <v>0</v>
      </c>
      <c r="Q2062" s="50" t="s">
        <v>37</v>
      </c>
      <c r="R2062" s="36" t="s">
        <v>7179</v>
      </c>
      <c r="S2062" s="36"/>
      <c r="T2062" s="35" t="str">
        <f>HYPERLINK("https://miland.ru/api/getInfo/image/76d2c934-fb74-11f0-a28e-00155d82e908")</f>
        <v>https://miland.ru/api/getInfo/image/76d2c934-fb74-11f0-a28e-00155d82e908</v>
      </c>
      <c r="U2062" s="35"/>
      <c r="V2062" s="35"/>
      <c r="W2062" s="35" t="s">
        <v>378</v>
      </c>
      <c r="X2062" s="35"/>
      <c r="Y2062" s="35" t="s">
        <v>41</v>
      </c>
      <c r="Z2062" s="35"/>
      <c r="AA2062" s="35" t="str">
        <f>HYPERLINK("https://miland.ru/api/getInfo/item/76d2c934-fb74-11f0-a28e-00155d82e908")</f>
        <v>https://miland.ru/api/getInfo/item/76d2c934-fb74-11f0-a28e-00155d82e908</v>
      </c>
      <c r="AB2062" s="35" t="s">
        <v>42</v>
      </c>
      <c r="AC2062" s="35"/>
      <c r="AD2062" s="35"/>
      <c r="AE2062" s="52" t="s">
        <v>1251</v>
      </c>
    </row>
    <row r="2063" spans="2:31" s="1" customFormat="1" ht="96.3" customHeight="1" outlineLevel="7">
      <c r="B2063" s="59">
        <v>1593</v>
      </c>
      <c r="C2063" s="35" t="s">
        <v>7180</v>
      </c>
      <c r="D2063" s="73" t="s">
        <v>7181</v>
      </c>
      <c r="E2063" s="73"/>
      <c r="F2063" s="73"/>
      <c r="G2063" s="73"/>
      <c r="H2063" s="36" t="s">
        <v>7182</v>
      </c>
      <c r="I2063" s="40">
        <v>300</v>
      </c>
      <c r="J2063" s="36"/>
      <c r="K2063" s="34">
        <v>12</v>
      </c>
      <c r="L2063" s="41">
        <v>45.44</v>
      </c>
      <c r="M2063" s="11"/>
      <c r="N2063" s="36">
        <f>L2063*M2063</f>
        <v>0</v>
      </c>
      <c r="O2063" s="42">
        <f>0.066*M2063</f>
        <v>0</v>
      </c>
      <c r="P2063" s="43">
        <f>0.00414*M2063</f>
        <v>0</v>
      </c>
      <c r="Q2063" s="50" t="s">
        <v>37</v>
      </c>
      <c r="R2063" s="36" t="s">
        <v>7183</v>
      </c>
      <c r="S2063" s="36"/>
      <c r="T2063" s="35" t="str">
        <f>HYPERLINK("https://miland.ru/api/getInfo/image/607e80ce-fb74-11f0-a28e-00155d82e908")</f>
        <v>https://miland.ru/api/getInfo/image/607e80ce-fb74-11f0-a28e-00155d82e908</v>
      </c>
      <c r="U2063" s="35"/>
      <c r="V2063" s="35"/>
      <c r="W2063" s="35" t="s">
        <v>378</v>
      </c>
      <c r="X2063" s="35"/>
      <c r="Y2063" s="35" t="s">
        <v>41</v>
      </c>
      <c r="Z2063" s="35"/>
      <c r="AA2063" s="35" t="str">
        <f>HYPERLINK("https://miland.ru/api/getInfo/item/607e80ce-fb74-11f0-a28e-00155d82e908")</f>
        <v>https://miland.ru/api/getInfo/item/607e80ce-fb74-11f0-a28e-00155d82e908</v>
      </c>
      <c r="AB2063" s="35" t="s">
        <v>42</v>
      </c>
      <c r="AC2063" s="35"/>
      <c r="AD2063" s="35"/>
      <c r="AE2063" s="52" t="s">
        <v>1251</v>
      </c>
    </row>
    <row r="2064" spans="2:31" ht="12" customHeight="1" outlineLevel="6">
      <c r="B2064" s="70" t="s">
        <v>6731</v>
      </c>
      <c r="C2064" s="70"/>
      <c r="D2064" s="70"/>
      <c r="E2064" s="70"/>
      <c r="F2064" s="70"/>
      <c r="G2064" s="70"/>
    </row>
    <row r="2065" spans="2:31" s="1" customFormat="1" ht="96.3" customHeight="1" outlineLevel="7">
      <c r="B2065" s="58">
        <v>1594</v>
      </c>
      <c r="C2065" s="7" t="s">
        <v>7184</v>
      </c>
      <c r="D2065" s="71" t="s">
        <v>7185</v>
      </c>
      <c r="E2065" s="71"/>
      <c r="F2065" s="71"/>
      <c r="G2065" s="71"/>
      <c r="H2065" s="8" t="s">
        <v>7186</v>
      </c>
      <c r="I2065" s="9" t="s">
        <v>36</v>
      </c>
      <c r="J2065" s="8"/>
      <c r="K2065" s="6">
        <v>12</v>
      </c>
      <c r="L2065" s="10">
        <v>64.52</v>
      </c>
      <c r="M2065" s="11"/>
      <c r="N2065" s="8">
        <f>L2065*M2065</f>
        <v>0</v>
      </c>
      <c r="O2065" s="18">
        <f>0.08*M2065</f>
        <v>0</v>
      </c>
      <c r="P2065" s="13">
        <f>0.00037*M2065</f>
        <v>0</v>
      </c>
      <c r="Q2065" s="17" t="s">
        <v>37</v>
      </c>
      <c r="R2065" s="8" t="s">
        <v>7187</v>
      </c>
      <c r="S2065" s="8"/>
      <c r="T2065" s="7" t="str">
        <f>HYPERLINK("https://miland.ru/api/getInfo/image/d4bf1352-fb74-11f0-a28e-00155d82e908")</f>
        <v>https://miland.ru/api/getInfo/image/d4bf1352-fb74-11f0-a28e-00155d82e908</v>
      </c>
      <c r="U2065" s="7"/>
      <c r="V2065" s="7"/>
      <c r="W2065" s="7" t="s">
        <v>378</v>
      </c>
      <c r="X2065" s="7"/>
      <c r="Y2065" s="7" t="s">
        <v>41</v>
      </c>
      <c r="Z2065" s="7"/>
      <c r="AA2065" s="7" t="str">
        <f>HYPERLINK("https://miland.ru/api/getInfo/item/d4bf1352-fb74-11f0-a28e-00155d82e908")</f>
        <v>https://miland.ru/api/getInfo/item/d4bf1352-fb74-11f0-a28e-00155d82e908</v>
      </c>
      <c r="AB2065" s="7" t="s">
        <v>42</v>
      </c>
      <c r="AC2065" s="7"/>
      <c r="AD2065" s="7"/>
      <c r="AE2065" s="54"/>
    </row>
    <row r="2066" spans="2:31" s="1" customFormat="1" ht="96.3" customHeight="1" outlineLevel="7">
      <c r="B2066" s="58">
        <v>1595</v>
      </c>
      <c r="C2066" s="7" t="s">
        <v>7188</v>
      </c>
      <c r="D2066" s="71" t="s">
        <v>7189</v>
      </c>
      <c r="E2066" s="71"/>
      <c r="F2066" s="71"/>
      <c r="G2066" s="71"/>
      <c r="H2066" s="8" t="s">
        <v>7190</v>
      </c>
      <c r="I2066" s="14">
        <v>324</v>
      </c>
      <c r="J2066" s="8"/>
      <c r="K2066" s="6">
        <v>12</v>
      </c>
      <c r="L2066" s="10">
        <v>64.52</v>
      </c>
      <c r="M2066" s="11"/>
      <c r="N2066" s="8">
        <f>L2066*M2066</f>
        <v>0</v>
      </c>
      <c r="O2066" s="18">
        <f>0.07*M2066</f>
        <v>0</v>
      </c>
      <c r="P2066" s="13">
        <f>0.00031*M2066</f>
        <v>0</v>
      </c>
      <c r="Q2066" s="17" t="s">
        <v>37</v>
      </c>
      <c r="R2066" s="8" t="s">
        <v>7191</v>
      </c>
      <c r="S2066" s="8"/>
      <c r="T2066" s="7" t="str">
        <f>HYPERLINK("https://miland.ru/api/getInfo/image/f38e7163-fb74-11f0-a28e-00155d82e908")</f>
        <v>https://miland.ru/api/getInfo/image/f38e7163-fb74-11f0-a28e-00155d82e908</v>
      </c>
      <c r="U2066" s="7"/>
      <c r="V2066" s="7"/>
      <c r="W2066" s="7" t="s">
        <v>378</v>
      </c>
      <c r="X2066" s="7"/>
      <c r="Y2066" s="7" t="s">
        <v>41</v>
      </c>
      <c r="Z2066" s="7"/>
      <c r="AA2066" s="7" t="str">
        <f>HYPERLINK("https://miland.ru/api/getInfo/item/f38e7163-fb74-11f0-a28e-00155d82e908")</f>
        <v>https://miland.ru/api/getInfo/item/f38e7163-fb74-11f0-a28e-00155d82e908</v>
      </c>
      <c r="AB2066" s="7" t="s">
        <v>42</v>
      </c>
      <c r="AC2066" s="7"/>
      <c r="AD2066" s="7"/>
      <c r="AE2066" s="54"/>
    </row>
    <row r="2067" spans="2:31" s="1" customFormat="1" ht="96.3" customHeight="1" outlineLevel="7">
      <c r="B2067" s="58">
        <v>1596</v>
      </c>
      <c r="C2067" s="7" t="s">
        <v>7192</v>
      </c>
      <c r="D2067" s="71" t="s">
        <v>7193</v>
      </c>
      <c r="E2067" s="71"/>
      <c r="F2067" s="71"/>
      <c r="G2067" s="71"/>
      <c r="H2067" s="8" t="s">
        <v>7194</v>
      </c>
      <c r="I2067" s="9" t="s">
        <v>36</v>
      </c>
      <c r="J2067" s="8"/>
      <c r="K2067" s="6">
        <v>12</v>
      </c>
      <c r="L2067" s="10">
        <v>64.52</v>
      </c>
      <c r="M2067" s="11"/>
      <c r="N2067" s="8">
        <f>L2067*M2067</f>
        <v>0</v>
      </c>
      <c r="O2067" s="18">
        <f>0.08*M2067</f>
        <v>0</v>
      </c>
      <c r="P2067" s="13">
        <f>0.00029*M2067</f>
        <v>0</v>
      </c>
      <c r="Q2067" s="17" t="s">
        <v>37</v>
      </c>
      <c r="R2067" s="8" t="s">
        <v>7195</v>
      </c>
      <c r="S2067" s="8"/>
      <c r="T2067" s="7" t="str">
        <f>HYPERLINK("https://miland.ru/api/getInfo/image/b5bac10a-fb74-11f0-a28e-00155d82e908")</f>
        <v>https://miland.ru/api/getInfo/image/b5bac10a-fb74-11f0-a28e-00155d82e908</v>
      </c>
      <c r="U2067" s="7"/>
      <c r="V2067" s="7"/>
      <c r="W2067" s="7" t="s">
        <v>378</v>
      </c>
      <c r="X2067" s="7"/>
      <c r="Y2067" s="7" t="s">
        <v>41</v>
      </c>
      <c r="Z2067" s="7"/>
      <c r="AA2067" s="7" t="str">
        <f>HYPERLINK("https://miland.ru/api/getInfo/item/b5bac10a-fb74-11f0-a28e-00155d82e908")</f>
        <v>https://miland.ru/api/getInfo/item/b5bac10a-fb74-11f0-a28e-00155d82e908</v>
      </c>
      <c r="AB2067" s="7" t="s">
        <v>42</v>
      </c>
      <c r="AC2067" s="7"/>
      <c r="AD2067" s="7"/>
      <c r="AE2067" s="54"/>
    </row>
    <row r="2068" spans="2:31" s="1" customFormat="1" ht="96.3" customHeight="1" outlineLevel="7">
      <c r="B2068" s="58">
        <v>1597</v>
      </c>
      <c r="C2068" s="7" t="s">
        <v>7196</v>
      </c>
      <c r="D2068" s="71" t="s">
        <v>7197</v>
      </c>
      <c r="E2068" s="71"/>
      <c r="F2068" s="71"/>
      <c r="G2068" s="71"/>
      <c r="H2068" s="8" t="s">
        <v>7198</v>
      </c>
      <c r="I2068" s="9" t="s">
        <v>36</v>
      </c>
      <c r="J2068" s="8"/>
      <c r="K2068" s="6">
        <v>12</v>
      </c>
      <c r="L2068" s="10">
        <v>64.52</v>
      </c>
      <c r="M2068" s="11"/>
      <c r="N2068" s="8">
        <f>L2068*M2068</f>
        <v>0</v>
      </c>
      <c r="O2068" s="12">
        <f>0.079*M2068</f>
        <v>0</v>
      </c>
      <c r="P2068" s="13">
        <f>0.00029*M2068</f>
        <v>0</v>
      </c>
      <c r="Q2068" s="17" t="s">
        <v>37</v>
      </c>
      <c r="R2068" s="8" t="s">
        <v>7199</v>
      </c>
      <c r="S2068" s="8"/>
      <c r="T2068" s="7" t="str">
        <f>HYPERLINK("https://miland.ru/api/getInfo/image/0a9e738a-fb75-11f0-a28e-00155d82e908")</f>
        <v>https://miland.ru/api/getInfo/image/0a9e738a-fb75-11f0-a28e-00155d82e908</v>
      </c>
      <c r="U2068" s="7"/>
      <c r="V2068" s="7"/>
      <c r="W2068" s="7" t="s">
        <v>378</v>
      </c>
      <c r="X2068" s="7"/>
      <c r="Y2068" s="7" t="s">
        <v>41</v>
      </c>
      <c r="Z2068" s="7"/>
      <c r="AA2068" s="7" t="str">
        <f>HYPERLINK("https://miland.ru/api/getInfo/item/0a9e738a-fb75-11f0-a28e-00155d82e908")</f>
        <v>https://miland.ru/api/getInfo/item/0a9e738a-fb75-11f0-a28e-00155d82e908</v>
      </c>
      <c r="AB2068" s="7" t="s">
        <v>42</v>
      </c>
      <c r="AC2068" s="7"/>
      <c r="AD2068" s="7"/>
      <c r="AE2068" s="54"/>
    </row>
    <row r="2069" spans="2:31" ht="12" customHeight="1" outlineLevel="6">
      <c r="B2069" s="70" t="s">
        <v>384</v>
      </c>
      <c r="C2069" s="70"/>
      <c r="D2069" s="70"/>
      <c r="E2069" s="70"/>
      <c r="F2069" s="70"/>
      <c r="G2069" s="70"/>
    </row>
    <row r="2070" spans="2:31" s="1" customFormat="1" ht="96.3" customHeight="1" outlineLevel="7">
      <c r="B2070" s="58">
        <v>1598</v>
      </c>
      <c r="C2070" s="7" t="s">
        <v>7200</v>
      </c>
      <c r="D2070" s="71" t="s">
        <v>7201</v>
      </c>
      <c r="E2070" s="71"/>
      <c r="F2070" s="71"/>
      <c r="G2070" s="71"/>
      <c r="H2070" s="8" t="s">
        <v>7202</v>
      </c>
      <c r="I2070" s="9" t="s">
        <v>36</v>
      </c>
      <c r="J2070" s="8"/>
      <c r="K2070" s="6">
        <v>12</v>
      </c>
      <c r="L2070" s="10">
        <v>51.64</v>
      </c>
      <c r="M2070" s="11"/>
      <c r="N2070" s="8">
        <f>L2070*M2070</f>
        <v>0</v>
      </c>
      <c r="O2070" s="12">
        <f>0.067*M2070</f>
        <v>0</v>
      </c>
      <c r="P2070" s="13">
        <f>0.00039*M2070</f>
        <v>0</v>
      </c>
      <c r="Q2070" s="17" t="s">
        <v>37</v>
      </c>
      <c r="R2070" s="8" t="s">
        <v>7203</v>
      </c>
      <c r="S2070" s="8"/>
      <c r="T2070" s="7" t="str">
        <f>HYPERLINK("https://miland.ru/api/getInfo/image/eb718135-fb77-11f0-a28e-00155d82e908")</f>
        <v>https://miland.ru/api/getInfo/image/eb718135-fb77-11f0-a28e-00155d82e908</v>
      </c>
      <c r="U2070" s="7"/>
      <c r="V2070" s="7"/>
      <c r="W2070" s="7" t="s">
        <v>378</v>
      </c>
      <c r="X2070" s="7"/>
      <c r="Y2070" s="7" t="s">
        <v>41</v>
      </c>
      <c r="Z2070" s="7"/>
      <c r="AA2070" s="7" t="str">
        <f>HYPERLINK("https://miland.ru/api/getInfo/item/eb718135-fb77-11f0-a28e-00155d82e908")</f>
        <v>https://miland.ru/api/getInfo/item/eb718135-fb77-11f0-a28e-00155d82e908</v>
      </c>
      <c r="AB2070" s="7" t="s">
        <v>42</v>
      </c>
      <c r="AC2070" s="7"/>
      <c r="AD2070" s="7"/>
      <c r="AE2070" s="54"/>
    </row>
    <row r="2071" spans="2:31" s="1" customFormat="1" ht="96.3" customHeight="1" outlineLevel="7">
      <c r="B2071" s="58">
        <v>1599</v>
      </c>
      <c r="C2071" s="7" t="s">
        <v>7204</v>
      </c>
      <c r="D2071" s="71" t="s">
        <v>7205</v>
      </c>
      <c r="E2071" s="71"/>
      <c r="F2071" s="71"/>
      <c r="G2071" s="71"/>
      <c r="H2071" s="8" t="s">
        <v>7206</v>
      </c>
      <c r="I2071" s="9" t="s">
        <v>36</v>
      </c>
      <c r="J2071" s="8"/>
      <c r="K2071" s="6">
        <v>12</v>
      </c>
      <c r="L2071" s="10">
        <v>51.64</v>
      </c>
      <c r="M2071" s="11"/>
      <c r="N2071" s="8">
        <f>L2071*M2071</f>
        <v>0</v>
      </c>
      <c r="O2071" s="18">
        <f>0.06*M2071</f>
        <v>0</v>
      </c>
      <c r="P2071" s="13">
        <f>0.00046*M2071</f>
        <v>0</v>
      </c>
      <c r="Q2071" s="17" t="s">
        <v>37</v>
      </c>
      <c r="R2071" s="8" t="s">
        <v>7207</v>
      </c>
      <c r="S2071" s="8"/>
      <c r="T2071" s="7" t="str">
        <f>HYPERLINK("https://miland.ru/api/getInfo/image/cb6f473b-fb77-11f0-a28e-00155d82e908")</f>
        <v>https://miland.ru/api/getInfo/image/cb6f473b-fb77-11f0-a28e-00155d82e908</v>
      </c>
      <c r="U2071" s="7"/>
      <c r="V2071" s="7"/>
      <c r="W2071" s="7" t="s">
        <v>378</v>
      </c>
      <c r="X2071" s="7"/>
      <c r="Y2071" s="7" t="s">
        <v>41</v>
      </c>
      <c r="Z2071" s="7"/>
      <c r="AA2071" s="7" t="str">
        <f>HYPERLINK("https://miland.ru/api/getInfo/item/cb6f473b-fb77-11f0-a28e-00155d82e908")</f>
        <v>https://miland.ru/api/getInfo/item/cb6f473b-fb77-11f0-a28e-00155d82e908</v>
      </c>
      <c r="AB2071" s="7" t="s">
        <v>42</v>
      </c>
      <c r="AC2071" s="7"/>
      <c r="AD2071" s="7"/>
      <c r="AE2071" s="54"/>
    </row>
    <row r="2072" spans="2:31" s="1" customFormat="1" ht="96.3" customHeight="1" outlineLevel="7">
      <c r="B2072" s="58">
        <v>1600</v>
      </c>
      <c r="C2072" s="7" t="s">
        <v>7208</v>
      </c>
      <c r="D2072" s="71" t="s">
        <v>7209</v>
      </c>
      <c r="E2072" s="71"/>
      <c r="F2072" s="71"/>
      <c r="G2072" s="71"/>
      <c r="H2072" s="8" t="s">
        <v>7210</v>
      </c>
      <c r="I2072" s="9" t="s">
        <v>36</v>
      </c>
      <c r="J2072" s="8"/>
      <c r="K2072" s="6">
        <v>12</v>
      </c>
      <c r="L2072" s="10">
        <v>51.64</v>
      </c>
      <c r="M2072" s="11"/>
      <c r="N2072" s="8">
        <f>L2072*M2072</f>
        <v>0</v>
      </c>
      <c r="O2072" s="12">
        <f>0.065*M2072</f>
        <v>0</v>
      </c>
      <c r="P2072" s="13">
        <f>0.00031*M2072</f>
        <v>0</v>
      </c>
      <c r="Q2072" s="17" t="s">
        <v>37</v>
      </c>
      <c r="R2072" s="8" t="s">
        <v>7211</v>
      </c>
      <c r="S2072" s="8"/>
      <c r="T2072" s="7" t="str">
        <f>HYPERLINK("https://miland.ru/api/getInfo/image/b3e5a7b0-fb77-11f0-a28e-00155d82e908")</f>
        <v>https://miland.ru/api/getInfo/image/b3e5a7b0-fb77-11f0-a28e-00155d82e908</v>
      </c>
      <c r="U2072" s="7"/>
      <c r="V2072" s="7"/>
      <c r="W2072" s="7" t="s">
        <v>378</v>
      </c>
      <c r="X2072" s="7"/>
      <c r="Y2072" s="7" t="s">
        <v>41</v>
      </c>
      <c r="Z2072" s="7"/>
      <c r="AA2072" s="7" t="str">
        <f>HYPERLINK("https://miland.ru/api/getInfo/item/b3e5a7b0-fb77-11f0-a28e-00155d82e908")</f>
        <v>https://miland.ru/api/getInfo/item/b3e5a7b0-fb77-11f0-a28e-00155d82e908</v>
      </c>
      <c r="AB2072" s="7" t="s">
        <v>42</v>
      </c>
      <c r="AC2072" s="7"/>
      <c r="AD2072" s="7"/>
      <c r="AE2072" s="54"/>
    </row>
    <row r="2073" spans="2:31" ht="12" customHeight="1" outlineLevel="5">
      <c r="B2073" s="70" t="s">
        <v>7212</v>
      </c>
      <c r="C2073" s="70"/>
      <c r="D2073" s="70"/>
      <c r="E2073" s="70"/>
      <c r="F2073" s="70"/>
      <c r="G2073" s="70"/>
    </row>
    <row r="2074" spans="2:31" ht="12" customHeight="1" outlineLevel="6">
      <c r="B2074" s="70" t="s">
        <v>7213</v>
      </c>
      <c r="C2074" s="70"/>
      <c r="D2074" s="70"/>
      <c r="E2074" s="70"/>
      <c r="F2074" s="70"/>
      <c r="G2074" s="70"/>
    </row>
    <row r="2075" spans="2:31" ht="12" customHeight="1" outlineLevel="7">
      <c r="B2075" s="70" t="s">
        <v>7214</v>
      </c>
      <c r="C2075" s="70"/>
      <c r="D2075" s="70"/>
      <c r="E2075" s="70"/>
      <c r="F2075" s="70"/>
      <c r="G2075" s="70"/>
    </row>
    <row r="2076" spans="2:31" s="1" customFormat="1" ht="96.3" customHeight="1" outlineLevel="7">
      <c r="B2076" s="57">
        <v>1601</v>
      </c>
      <c r="C2076" s="21" t="s">
        <v>7215</v>
      </c>
      <c r="D2076" s="72" t="s">
        <v>7216</v>
      </c>
      <c r="E2076" s="72"/>
      <c r="F2076" s="72"/>
      <c r="G2076" s="72"/>
      <c r="H2076" s="22" t="s">
        <v>7217</v>
      </c>
      <c r="I2076" s="27">
        <v>444</v>
      </c>
      <c r="J2076" s="22"/>
      <c r="K2076" s="20">
        <v>12</v>
      </c>
      <c r="L2076" s="24">
        <v>86.31</v>
      </c>
      <c r="M2076" s="11"/>
      <c r="N2076" s="22">
        <f>L2076*M2076</f>
        <v>0</v>
      </c>
      <c r="O2076" s="25">
        <f>0.073*M2076</f>
        <v>0</v>
      </c>
      <c r="P2076" s="26">
        <f>0.00017*M2076</f>
        <v>0</v>
      </c>
      <c r="Q2076" s="30"/>
      <c r="R2076" s="22" t="s">
        <v>7218</v>
      </c>
      <c r="S2076" s="22" t="s">
        <v>435</v>
      </c>
      <c r="T2076" s="21" t="str">
        <f>HYPERLINK("https://miland.ru/api/getInfo/image/76a87f6b-f58a-11ee-a25b-00155d82e908")</f>
        <v>https://miland.ru/api/getInfo/image/76a87f6b-f58a-11ee-a25b-00155d82e908</v>
      </c>
      <c r="U2076" s="21"/>
      <c r="V2076" s="21" t="s">
        <v>6525</v>
      </c>
      <c r="W2076" s="21" t="s">
        <v>378</v>
      </c>
      <c r="X2076" s="21"/>
      <c r="Y2076" s="21" t="s">
        <v>41</v>
      </c>
      <c r="Z2076" s="21"/>
      <c r="AA2076" s="21" t="str">
        <f>HYPERLINK("https://miland.ru/api/getInfo/item/76a87f6b-f58a-11ee-a25b-00155d82e908")</f>
        <v>https://miland.ru/api/getInfo/item/76a87f6b-f58a-11ee-a25b-00155d82e908</v>
      </c>
      <c r="AB2076" s="21" t="s">
        <v>42</v>
      </c>
      <c r="AC2076" s="21"/>
      <c r="AD2076" s="21"/>
    </row>
    <row r="2077" spans="2:31" s="1" customFormat="1" ht="96.3" customHeight="1" outlineLevel="7">
      <c r="B2077" s="57">
        <v>1602</v>
      </c>
      <c r="C2077" s="21" t="s">
        <v>7219</v>
      </c>
      <c r="D2077" s="72" t="s">
        <v>7220</v>
      </c>
      <c r="E2077" s="72"/>
      <c r="F2077" s="72"/>
      <c r="G2077" s="72"/>
      <c r="H2077" s="22" t="s">
        <v>7221</v>
      </c>
      <c r="I2077" s="27">
        <v>360</v>
      </c>
      <c r="J2077" s="22"/>
      <c r="K2077" s="20">
        <v>12</v>
      </c>
      <c r="L2077" s="24">
        <v>86.31</v>
      </c>
      <c r="M2077" s="11"/>
      <c r="N2077" s="22">
        <f>L2077*M2077</f>
        <v>0</v>
      </c>
      <c r="O2077" s="25">
        <f>0.073*M2077</f>
        <v>0</v>
      </c>
      <c r="P2077" s="26">
        <f>0.00017*M2077</f>
        <v>0</v>
      </c>
      <c r="Q2077" s="30"/>
      <c r="R2077" s="22" t="s">
        <v>7222</v>
      </c>
      <c r="S2077" s="22" t="s">
        <v>435</v>
      </c>
      <c r="T2077" s="21" t="str">
        <f>HYPERLINK("https://miland.ru/api/getInfo/image/51b3fd76-f58a-11ee-a25b-00155d82e908")</f>
        <v>https://miland.ru/api/getInfo/image/51b3fd76-f58a-11ee-a25b-00155d82e908</v>
      </c>
      <c r="U2077" s="21"/>
      <c r="V2077" s="21" t="s">
        <v>6525</v>
      </c>
      <c r="W2077" s="21" t="s">
        <v>378</v>
      </c>
      <c r="X2077" s="21"/>
      <c r="Y2077" s="21" t="s">
        <v>41</v>
      </c>
      <c r="Z2077" s="21"/>
      <c r="AA2077" s="21" t="str">
        <f>HYPERLINK("https://miland.ru/api/getInfo/item/51b3fd76-f58a-11ee-a25b-00155d82e908")</f>
        <v>https://miland.ru/api/getInfo/item/51b3fd76-f58a-11ee-a25b-00155d82e908</v>
      </c>
      <c r="AB2077" s="21" t="s">
        <v>42</v>
      </c>
      <c r="AC2077" s="21"/>
      <c r="AD2077" s="21"/>
    </row>
    <row r="2078" spans="2:31" s="1" customFormat="1" ht="96.3" customHeight="1" outlineLevel="7">
      <c r="B2078" s="57">
        <v>1603</v>
      </c>
      <c r="C2078" s="21" t="s">
        <v>7223</v>
      </c>
      <c r="D2078" s="72" t="s">
        <v>7224</v>
      </c>
      <c r="E2078" s="72"/>
      <c r="F2078" s="72"/>
      <c r="G2078" s="72"/>
      <c r="H2078" s="22" t="s">
        <v>7225</v>
      </c>
      <c r="I2078" s="27">
        <v>48</v>
      </c>
      <c r="J2078" s="22"/>
      <c r="K2078" s="20">
        <v>12</v>
      </c>
      <c r="L2078" s="24">
        <v>86.31</v>
      </c>
      <c r="M2078" s="11"/>
      <c r="N2078" s="22">
        <f>L2078*M2078</f>
        <v>0</v>
      </c>
      <c r="O2078" s="25">
        <f>0.073*M2078</f>
        <v>0</v>
      </c>
      <c r="P2078" s="26">
        <f>0.00017*M2078</f>
        <v>0</v>
      </c>
      <c r="Q2078" s="30"/>
      <c r="R2078" s="22" t="s">
        <v>7226</v>
      </c>
      <c r="S2078" s="22" t="s">
        <v>435</v>
      </c>
      <c r="T2078" s="21" t="str">
        <f>HYPERLINK("https://miland.ru/api/getInfo/image/3247b210-f58a-11ee-a25b-00155d82e908")</f>
        <v>https://miland.ru/api/getInfo/image/3247b210-f58a-11ee-a25b-00155d82e908</v>
      </c>
      <c r="U2078" s="21"/>
      <c r="V2078" s="21" t="s">
        <v>6525</v>
      </c>
      <c r="W2078" s="21" t="s">
        <v>378</v>
      </c>
      <c r="X2078" s="21"/>
      <c r="Y2078" s="21" t="s">
        <v>41</v>
      </c>
      <c r="Z2078" s="21"/>
      <c r="AA2078" s="21" t="str">
        <f>HYPERLINK("https://miland.ru/api/getInfo/item/3247b210-f58a-11ee-a25b-00155d82e908")</f>
        <v>https://miland.ru/api/getInfo/item/3247b210-f58a-11ee-a25b-00155d82e908</v>
      </c>
      <c r="AB2078" s="21" t="s">
        <v>42</v>
      </c>
      <c r="AC2078" s="21"/>
      <c r="AD2078" s="21"/>
    </row>
    <row r="2079" spans="2:31" s="1" customFormat="1" ht="96.3" customHeight="1" outlineLevel="7">
      <c r="B2079" s="57">
        <v>1604</v>
      </c>
      <c r="C2079" s="21" t="s">
        <v>7227</v>
      </c>
      <c r="D2079" s="72" t="s">
        <v>7228</v>
      </c>
      <c r="E2079" s="72"/>
      <c r="F2079" s="72"/>
      <c r="G2079" s="72"/>
      <c r="H2079" s="22" t="s">
        <v>7229</v>
      </c>
      <c r="I2079" s="23" t="s">
        <v>36</v>
      </c>
      <c r="J2079" s="22"/>
      <c r="K2079" s="20">
        <v>12</v>
      </c>
      <c r="L2079" s="24">
        <v>86.31</v>
      </c>
      <c r="M2079" s="11"/>
      <c r="N2079" s="22">
        <f>L2079*M2079</f>
        <v>0</v>
      </c>
      <c r="O2079" s="25">
        <f>0.073*M2079</f>
        <v>0</v>
      </c>
      <c r="P2079" s="26">
        <f>0.00017*M2079</f>
        <v>0</v>
      </c>
      <c r="Q2079" s="30"/>
      <c r="R2079" s="22" t="s">
        <v>7230</v>
      </c>
      <c r="S2079" s="22" t="s">
        <v>435</v>
      </c>
      <c r="T2079" s="21" t="str">
        <f>HYPERLINK("https://miland.ru/api/getInfo/image/159d2022-f58a-11ee-a25b-00155d82e908")</f>
        <v>https://miland.ru/api/getInfo/image/159d2022-f58a-11ee-a25b-00155d82e908</v>
      </c>
      <c r="U2079" s="21"/>
      <c r="V2079" s="21" t="s">
        <v>6525</v>
      </c>
      <c r="W2079" s="21" t="s">
        <v>378</v>
      </c>
      <c r="X2079" s="21"/>
      <c r="Y2079" s="21" t="s">
        <v>41</v>
      </c>
      <c r="Z2079" s="21"/>
      <c r="AA2079" s="21" t="str">
        <f>HYPERLINK("https://miland.ru/api/getInfo/item/159d2022-f58a-11ee-a25b-00155d82e908")</f>
        <v>https://miland.ru/api/getInfo/item/159d2022-f58a-11ee-a25b-00155d82e908</v>
      </c>
      <c r="AB2079" s="21" t="s">
        <v>42</v>
      </c>
      <c r="AC2079" s="21"/>
      <c r="AD2079" s="21"/>
    </row>
    <row r="2080" spans="2:31" ht="12" customHeight="1" outlineLevel="7">
      <c r="B2080" s="70" t="s">
        <v>7231</v>
      </c>
      <c r="C2080" s="70"/>
      <c r="D2080" s="70"/>
      <c r="E2080" s="70"/>
      <c r="F2080" s="70"/>
      <c r="G2080" s="70"/>
    </row>
    <row r="2081" spans="2:31" s="1" customFormat="1" ht="96.3" customHeight="1" outlineLevel="7">
      <c r="B2081" s="57">
        <v>1605</v>
      </c>
      <c r="C2081" s="21" t="s">
        <v>7232</v>
      </c>
      <c r="D2081" s="72" t="s">
        <v>7233</v>
      </c>
      <c r="E2081" s="72"/>
      <c r="F2081" s="72"/>
      <c r="G2081" s="72"/>
      <c r="H2081" s="22" t="s">
        <v>7234</v>
      </c>
      <c r="I2081" s="23" t="s">
        <v>36</v>
      </c>
      <c r="J2081" s="22"/>
      <c r="K2081" s="20">
        <v>12</v>
      </c>
      <c r="L2081" s="24">
        <v>86.31</v>
      </c>
      <c r="M2081" s="11"/>
      <c r="N2081" s="22">
        <f>L2081*M2081</f>
        <v>0</v>
      </c>
      <c r="O2081" s="25">
        <f>0.129*M2081</f>
        <v>0</v>
      </c>
      <c r="P2081" s="26">
        <f>0.00027*M2081</f>
        <v>0</v>
      </c>
      <c r="Q2081" s="30"/>
      <c r="R2081" s="22" t="s">
        <v>7235</v>
      </c>
      <c r="S2081" s="22" t="s">
        <v>435</v>
      </c>
      <c r="T2081" s="21" t="str">
        <f>HYPERLINK("https://miland.ru/api/getInfo/image/12b6e05f-ce54-11ef-a268-00155d82e908")</f>
        <v>https://miland.ru/api/getInfo/image/12b6e05f-ce54-11ef-a268-00155d82e908</v>
      </c>
      <c r="U2081" s="21"/>
      <c r="V2081" s="21" t="s">
        <v>6525</v>
      </c>
      <c r="W2081" s="21" t="s">
        <v>378</v>
      </c>
      <c r="X2081" s="21"/>
      <c r="Y2081" s="21" t="s">
        <v>41</v>
      </c>
      <c r="Z2081" s="21"/>
      <c r="AA2081" s="21" t="str">
        <f>HYPERLINK("https://miland.ru/api/getInfo/item/12b6e05f-ce54-11ef-a268-00155d82e908")</f>
        <v>https://miland.ru/api/getInfo/item/12b6e05f-ce54-11ef-a268-00155d82e908</v>
      </c>
      <c r="AB2081" s="21" t="s">
        <v>42</v>
      </c>
      <c r="AC2081" s="21"/>
      <c r="AD2081" s="21"/>
    </row>
    <row r="2082" spans="2:31" s="1" customFormat="1" ht="96.3" customHeight="1" outlineLevel="7">
      <c r="B2082" s="57">
        <v>1606</v>
      </c>
      <c r="C2082" s="21" t="s">
        <v>7236</v>
      </c>
      <c r="D2082" s="72" t="s">
        <v>7237</v>
      </c>
      <c r="E2082" s="72"/>
      <c r="F2082" s="72"/>
      <c r="G2082" s="72"/>
      <c r="H2082" s="22" t="s">
        <v>7238</v>
      </c>
      <c r="I2082" s="23" t="s">
        <v>36</v>
      </c>
      <c r="J2082" s="22"/>
      <c r="K2082" s="20">
        <v>12</v>
      </c>
      <c r="L2082" s="24">
        <v>86.31</v>
      </c>
      <c r="M2082" s="11"/>
      <c r="N2082" s="22">
        <f>L2082*M2082</f>
        <v>0</v>
      </c>
      <c r="O2082" s="25">
        <f>0.082*M2082</f>
        <v>0</v>
      </c>
      <c r="P2082" s="26">
        <f>0.00146*M2082</f>
        <v>0</v>
      </c>
      <c r="Q2082" s="30"/>
      <c r="R2082" s="22" t="s">
        <v>7239</v>
      </c>
      <c r="S2082" s="22" t="s">
        <v>435</v>
      </c>
      <c r="T2082" s="21" t="str">
        <f>HYPERLINK("https://miland.ru/api/getInfo/image/343a487f-ce54-11ef-a268-00155d82e908")</f>
        <v>https://miland.ru/api/getInfo/image/343a487f-ce54-11ef-a268-00155d82e908</v>
      </c>
      <c r="U2082" s="21"/>
      <c r="V2082" s="21" t="s">
        <v>6525</v>
      </c>
      <c r="W2082" s="21" t="s">
        <v>378</v>
      </c>
      <c r="X2082" s="21"/>
      <c r="Y2082" s="21" t="s">
        <v>41</v>
      </c>
      <c r="Z2082" s="21"/>
      <c r="AA2082" s="21" t="str">
        <f>HYPERLINK("https://miland.ru/api/getInfo/item/343a487f-ce54-11ef-a268-00155d82e908")</f>
        <v>https://miland.ru/api/getInfo/item/343a487f-ce54-11ef-a268-00155d82e908</v>
      </c>
      <c r="AB2082" s="21" t="s">
        <v>42</v>
      </c>
      <c r="AC2082" s="21"/>
      <c r="AD2082" s="21"/>
    </row>
    <row r="2083" spans="2:31" s="1" customFormat="1" ht="96.3" customHeight="1" outlineLevel="7">
      <c r="B2083" s="57">
        <v>1607</v>
      </c>
      <c r="C2083" s="21" t="s">
        <v>7240</v>
      </c>
      <c r="D2083" s="72" t="s">
        <v>7241</v>
      </c>
      <c r="E2083" s="72"/>
      <c r="F2083" s="72"/>
      <c r="G2083" s="72"/>
      <c r="H2083" s="22" t="s">
        <v>7242</v>
      </c>
      <c r="I2083" s="23" t="s">
        <v>36</v>
      </c>
      <c r="J2083" s="22"/>
      <c r="K2083" s="20">
        <v>12</v>
      </c>
      <c r="L2083" s="24">
        <v>86.31</v>
      </c>
      <c r="M2083" s="11"/>
      <c r="N2083" s="22">
        <f>L2083*M2083</f>
        <v>0</v>
      </c>
      <c r="O2083" s="33">
        <f>0.1*M2083</f>
        <v>0</v>
      </c>
      <c r="P2083" s="26">
        <f>0.00027*M2083</f>
        <v>0</v>
      </c>
      <c r="Q2083" s="30"/>
      <c r="R2083" s="22" t="s">
        <v>7243</v>
      </c>
      <c r="S2083" s="22" t="s">
        <v>435</v>
      </c>
      <c r="T2083" s="21" t="str">
        <f>HYPERLINK("https://miland.ru/api/getInfo/image/63b74b0b-ce54-11ef-a268-00155d82e908")</f>
        <v>https://miland.ru/api/getInfo/image/63b74b0b-ce54-11ef-a268-00155d82e908</v>
      </c>
      <c r="U2083" s="21"/>
      <c r="V2083" s="21" t="s">
        <v>6525</v>
      </c>
      <c r="W2083" s="21" t="s">
        <v>378</v>
      </c>
      <c r="X2083" s="21"/>
      <c r="Y2083" s="21" t="s">
        <v>41</v>
      </c>
      <c r="Z2083" s="21"/>
      <c r="AA2083" s="21" t="str">
        <f>HYPERLINK("https://miland.ru/api/getInfo/item/63b74b0b-ce54-11ef-a268-00155d82e908")</f>
        <v>https://miland.ru/api/getInfo/item/63b74b0b-ce54-11ef-a268-00155d82e908</v>
      </c>
      <c r="AB2083" s="21" t="s">
        <v>42</v>
      </c>
      <c r="AC2083" s="21"/>
      <c r="AD2083" s="21"/>
    </row>
    <row r="2084" spans="2:31" s="1" customFormat="1" ht="96.3" customHeight="1" outlineLevel="7">
      <c r="B2084" s="57">
        <v>1608</v>
      </c>
      <c r="C2084" s="21" t="s">
        <v>7244</v>
      </c>
      <c r="D2084" s="72" t="s">
        <v>7245</v>
      </c>
      <c r="E2084" s="72"/>
      <c r="F2084" s="72"/>
      <c r="G2084" s="72"/>
      <c r="H2084" s="22" t="s">
        <v>7246</v>
      </c>
      <c r="I2084" s="27">
        <v>228</v>
      </c>
      <c r="J2084" s="22"/>
      <c r="K2084" s="20">
        <v>12</v>
      </c>
      <c r="L2084" s="24">
        <v>86.31</v>
      </c>
      <c r="M2084" s="11"/>
      <c r="N2084" s="22">
        <f>L2084*M2084</f>
        <v>0</v>
      </c>
      <c r="O2084" s="25">
        <f>0.091*M2084</f>
        <v>0</v>
      </c>
      <c r="P2084" s="26">
        <f>0.00103*M2084</f>
        <v>0</v>
      </c>
      <c r="Q2084" s="30"/>
      <c r="R2084" s="22" t="s">
        <v>7247</v>
      </c>
      <c r="S2084" s="22" t="s">
        <v>435</v>
      </c>
      <c r="T2084" s="21" t="str">
        <f>HYPERLINK("https://miland.ru/api/getInfo/image/f75d730b-ce52-11ef-a268-00155d82e908")</f>
        <v>https://miland.ru/api/getInfo/image/f75d730b-ce52-11ef-a268-00155d82e908</v>
      </c>
      <c r="U2084" s="21"/>
      <c r="V2084" s="21" t="s">
        <v>6525</v>
      </c>
      <c r="W2084" s="21" t="s">
        <v>378</v>
      </c>
      <c r="X2084" s="21"/>
      <c r="Y2084" s="21" t="s">
        <v>41</v>
      </c>
      <c r="Z2084" s="21"/>
      <c r="AA2084" s="21" t="str">
        <f>HYPERLINK("https://miland.ru/api/getInfo/item/f75d730b-ce52-11ef-a268-00155d82e908")</f>
        <v>https://miland.ru/api/getInfo/item/f75d730b-ce52-11ef-a268-00155d82e908</v>
      </c>
      <c r="AB2084" s="21" t="s">
        <v>42</v>
      </c>
      <c r="AC2084" s="21"/>
      <c r="AD2084" s="21"/>
    </row>
    <row r="2085" spans="2:31" ht="12" customHeight="1" outlineLevel="7">
      <c r="B2085" s="70" t="s">
        <v>7248</v>
      </c>
      <c r="C2085" s="70"/>
      <c r="D2085" s="70"/>
      <c r="E2085" s="70"/>
      <c r="F2085" s="70"/>
      <c r="G2085" s="70"/>
    </row>
    <row r="2086" spans="2:31" s="1" customFormat="1" ht="96.3" customHeight="1" outlineLevel="7">
      <c r="B2086" s="58">
        <v>1609</v>
      </c>
      <c r="C2086" s="7" t="s">
        <v>7249</v>
      </c>
      <c r="D2086" s="71" t="s">
        <v>7250</v>
      </c>
      <c r="E2086" s="71"/>
      <c r="F2086" s="71"/>
      <c r="G2086" s="71"/>
      <c r="H2086" s="8" t="s">
        <v>7251</v>
      </c>
      <c r="I2086" s="9" t="s">
        <v>36</v>
      </c>
      <c r="J2086" s="8"/>
      <c r="K2086" s="6">
        <v>12</v>
      </c>
      <c r="L2086" s="10">
        <v>77.900000000000006</v>
      </c>
      <c r="M2086" s="11"/>
      <c r="N2086" s="8">
        <f t="shared" ref="N2086:N2092" si="95">L2086*M2086</f>
        <v>0</v>
      </c>
      <c r="O2086" s="19">
        <f>0.1*M2086</f>
        <v>0</v>
      </c>
      <c r="P2086" s="13">
        <f>0.00037*M2086</f>
        <v>0</v>
      </c>
      <c r="Q2086" s="17" t="s">
        <v>37</v>
      </c>
      <c r="R2086" s="8" t="s">
        <v>7252</v>
      </c>
      <c r="S2086" s="8"/>
      <c r="T2086" s="7" t="str">
        <f>HYPERLINK("https://miland.ru/api/getInfo/image/b291e827-fb7d-11f0-a28e-00155d82e908")</f>
        <v>https://miland.ru/api/getInfo/image/b291e827-fb7d-11f0-a28e-00155d82e908</v>
      </c>
      <c r="U2086" s="7"/>
      <c r="V2086" s="7"/>
      <c r="W2086" s="7" t="s">
        <v>378</v>
      </c>
      <c r="X2086" s="7"/>
      <c r="Y2086" s="7" t="s">
        <v>41</v>
      </c>
      <c r="Z2086" s="7"/>
      <c r="AA2086" s="7" t="str">
        <f>HYPERLINK("https://miland.ru/api/getInfo/item/b291e827-fb7d-11f0-a28e-00155d82e908")</f>
        <v>https://miland.ru/api/getInfo/item/b291e827-fb7d-11f0-a28e-00155d82e908</v>
      </c>
      <c r="AB2086" s="7" t="s">
        <v>42</v>
      </c>
      <c r="AC2086" s="7"/>
      <c r="AD2086" s="7"/>
      <c r="AE2086" s="54"/>
    </row>
    <row r="2087" spans="2:31" s="1" customFormat="1" ht="96.3" customHeight="1" outlineLevel="7">
      <c r="B2087" s="58">
        <v>1610</v>
      </c>
      <c r="C2087" s="7" t="s">
        <v>7253</v>
      </c>
      <c r="D2087" s="71" t="s">
        <v>7254</v>
      </c>
      <c r="E2087" s="71"/>
      <c r="F2087" s="71"/>
      <c r="G2087" s="71"/>
      <c r="H2087" s="8" t="s">
        <v>7255</v>
      </c>
      <c r="I2087" s="9" t="s">
        <v>36</v>
      </c>
      <c r="J2087" s="8"/>
      <c r="K2087" s="6">
        <v>12</v>
      </c>
      <c r="L2087" s="10">
        <v>77.900000000000006</v>
      </c>
      <c r="M2087" s="11"/>
      <c r="N2087" s="8">
        <f t="shared" si="95"/>
        <v>0</v>
      </c>
      <c r="O2087" s="19">
        <f>0.1*M2087</f>
        <v>0</v>
      </c>
      <c r="P2087" s="13">
        <f>0.00037*M2087</f>
        <v>0</v>
      </c>
      <c r="Q2087" s="17" t="s">
        <v>37</v>
      </c>
      <c r="R2087" s="8" t="s">
        <v>7256</v>
      </c>
      <c r="S2087" s="8"/>
      <c r="T2087" s="7" t="str">
        <f>HYPERLINK("https://miland.ru/api/getInfo/image/8490424b-fb7d-11f0-a28e-00155d82e908")</f>
        <v>https://miland.ru/api/getInfo/image/8490424b-fb7d-11f0-a28e-00155d82e908</v>
      </c>
      <c r="U2087" s="7"/>
      <c r="V2087" s="7"/>
      <c r="W2087" s="7" t="s">
        <v>378</v>
      </c>
      <c r="X2087" s="7"/>
      <c r="Y2087" s="7" t="s">
        <v>41</v>
      </c>
      <c r="Z2087" s="7"/>
      <c r="AA2087" s="7" t="str">
        <f>HYPERLINK("https://miland.ru/api/getInfo/item/8490424b-fb7d-11f0-a28e-00155d82e908")</f>
        <v>https://miland.ru/api/getInfo/item/8490424b-fb7d-11f0-a28e-00155d82e908</v>
      </c>
      <c r="AB2087" s="7" t="s">
        <v>42</v>
      </c>
      <c r="AC2087" s="7"/>
      <c r="AD2087" s="7"/>
      <c r="AE2087" s="54"/>
    </row>
    <row r="2088" spans="2:31" s="1" customFormat="1" ht="96.3" customHeight="1" outlineLevel="7">
      <c r="B2088" s="58">
        <v>1611</v>
      </c>
      <c r="C2088" s="7" t="s">
        <v>7257</v>
      </c>
      <c r="D2088" s="71" t="s">
        <v>7258</v>
      </c>
      <c r="E2088" s="71"/>
      <c r="F2088" s="71"/>
      <c r="G2088" s="71"/>
      <c r="H2088" s="8" t="s">
        <v>7259</v>
      </c>
      <c r="I2088" s="9" t="s">
        <v>36</v>
      </c>
      <c r="J2088" s="8"/>
      <c r="K2088" s="6">
        <v>12</v>
      </c>
      <c r="L2088" s="10">
        <v>77.900000000000006</v>
      </c>
      <c r="M2088" s="11"/>
      <c r="N2088" s="8">
        <f t="shared" si="95"/>
        <v>0</v>
      </c>
      <c r="O2088" s="19">
        <f>0.1*M2088</f>
        <v>0</v>
      </c>
      <c r="P2088" s="13">
        <f>0.00038*M2088</f>
        <v>0</v>
      </c>
      <c r="Q2088" s="17" t="s">
        <v>37</v>
      </c>
      <c r="R2088" s="8" t="s">
        <v>7260</v>
      </c>
      <c r="S2088" s="8"/>
      <c r="T2088" s="7" t="str">
        <f>HYPERLINK("https://miland.ru/api/getInfo/image/9ff9dd3c-fb7d-11f0-a28e-00155d82e908")</f>
        <v>https://miland.ru/api/getInfo/image/9ff9dd3c-fb7d-11f0-a28e-00155d82e908</v>
      </c>
      <c r="U2088" s="7"/>
      <c r="V2088" s="7"/>
      <c r="W2088" s="7" t="s">
        <v>378</v>
      </c>
      <c r="X2088" s="7"/>
      <c r="Y2088" s="7" t="s">
        <v>41</v>
      </c>
      <c r="Z2088" s="7"/>
      <c r="AA2088" s="7" t="str">
        <f>HYPERLINK("https://miland.ru/api/getInfo/item/9ff9dd3c-fb7d-11f0-a28e-00155d82e908")</f>
        <v>https://miland.ru/api/getInfo/item/9ff9dd3c-fb7d-11f0-a28e-00155d82e908</v>
      </c>
      <c r="AB2088" s="7" t="s">
        <v>42</v>
      </c>
      <c r="AC2088" s="7"/>
      <c r="AD2088" s="7"/>
      <c r="AE2088" s="54"/>
    </row>
    <row r="2089" spans="2:31" s="1" customFormat="1" ht="96.3" customHeight="1" outlineLevel="7">
      <c r="B2089" s="58">
        <v>1612</v>
      </c>
      <c r="C2089" s="7" t="s">
        <v>7261</v>
      </c>
      <c r="D2089" s="71" t="s">
        <v>7262</v>
      </c>
      <c r="E2089" s="71"/>
      <c r="F2089" s="71"/>
      <c r="G2089" s="71"/>
      <c r="H2089" s="8" t="s">
        <v>7263</v>
      </c>
      <c r="I2089" s="9" t="s">
        <v>36</v>
      </c>
      <c r="J2089" s="8"/>
      <c r="K2089" s="6">
        <v>12</v>
      </c>
      <c r="L2089" s="10">
        <v>77.900000000000006</v>
      </c>
      <c r="M2089" s="11"/>
      <c r="N2089" s="8">
        <f t="shared" si="95"/>
        <v>0</v>
      </c>
      <c r="O2089" s="19">
        <f>0.1*M2089</f>
        <v>0</v>
      </c>
      <c r="P2089" s="13">
        <f>0.00037*M2089</f>
        <v>0</v>
      </c>
      <c r="Q2089" s="17" t="s">
        <v>37</v>
      </c>
      <c r="R2089" s="8" t="s">
        <v>7264</v>
      </c>
      <c r="S2089" s="8"/>
      <c r="T2089" s="7" t="str">
        <f>HYPERLINK("https://miland.ru/api/getInfo/image/cde49f6e-fb7d-11f0-a28e-00155d82e908")</f>
        <v>https://miland.ru/api/getInfo/image/cde49f6e-fb7d-11f0-a28e-00155d82e908</v>
      </c>
      <c r="U2089" s="7"/>
      <c r="V2089" s="7"/>
      <c r="W2089" s="7" t="s">
        <v>378</v>
      </c>
      <c r="X2089" s="7"/>
      <c r="Y2089" s="7" t="s">
        <v>41</v>
      </c>
      <c r="Z2089" s="7"/>
      <c r="AA2089" s="7" t="str">
        <f>HYPERLINK("https://miland.ru/api/getInfo/item/cde49f6e-fb7d-11f0-a28e-00155d82e908")</f>
        <v>https://miland.ru/api/getInfo/item/cde49f6e-fb7d-11f0-a28e-00155d82e908</v>
      </c>
      <c r="AB2089" s="7" t="s">
        <v>42</v>
      </c>
      <c r="AC2089" s="7"/>
      <c r="AD2089" s="7"/>
      <c r="AE2089" s="54"/>
    </row>
    <row r="2090" spans="2:31" s="1" customFormat="1" ht="96.3" customHeight="1" outlineLevel="7">
      <c r="B2090" s="57">
        <v>1613</v>
      </c>
      <c r="C2090" s="21" t="s">
        <v>7265</v>
      </c>
      <c r="D2090" s="72" t="s">
        <v>7266</v>
      </c>
      <c r="E2090" s="72"/>
      <c r="F2090" s="72"/>
      <c r="G2090" s="72"/>
      <c r="H2090" s="22" t="s">
        <v>7267</v>
      </c>
      <c r="I2090" s="23" t="s">
        <v>36</v>
      </c>
      <c r="J2090" s="22"/>
      <c r="K2090" s="20">
        <v>12</v>
      </c>
      <c r="L2090" s="24">
        <v>77.900000000000006</v>
      </c>
      <c r="M2090" s="11"/>
      <c r="N2090" s="22">
        <f t="shared" si="95"/>
        <v>0</v>
      </c>
      <c r="O2090" s="25">
        <f>0.097*M2090</f>
        <v>0</v>
      </c>
      <c r="P2090" s="26">
        <f>0.00037*M2090</f>
        <v>0</v>
      </c>
      <c r="Q2090" s="30"/>
      <c r="R2090" s="22" t="s">
        <v>7268</v>
      </c>
      <c r="S2090" s="22" t="s">
        <v>435</v>
      </c>
      <c r="T2090" s="21" t="str">
        <f>HYPERLINK("https://miland.ru/api/getInfo/image/5f83c939-a346-11ef-a267-00155d82e908")</f>
        <v>https://miland.ru/api/getInfo/image/5f83c939-a346-11ef-a267-00155d82e908</v>
      </c>
      <c r="U2090" s="21"/>
      <c r="V2090" s="21" t="s">
        <v>6525</v>
      </c>
      <c r="W2090" s="21" t="s">
        <v>378</v>
      </c>
      <c r="X2090" s="21"/>
      <c r="Y2090" s="21" t="s">
        <v>41</v>
      </c>
      <c r="Z2090" s="21"/>
      <c r="AA2090" s="21" t="str">
        <f>HYPERLINK("https://miland.ru/api/getInfo/item/5f83c939-a346-11ef-a267-00155d82e908")</f>
        <v>https://miland.ru/api/getInfo/item/5f83c939-a346-11ef-a267-00155d82e908</v>
      </c>
      <c r="AB2090" s="21" t="s">
        <v>42</v>
      </c>
      <c r="AC2090" s="21" t="s">
        <v>7269</v>
      </c>
      <c r="AD2090" s="21"/>
    </row>
    <row r="2091" spans="2:31" s="1" customFormat="1" ht="96.3" customHeight="1" outlineLevel="7">
      <c r="B2091" s="57">
        <v>1614</v>
      </c>
      <c r="C2091" s="21" t="s">
        <v>7270</v>
      </c>
      <c r="D2091" s="72" t="s">
        <v>7271</v>
      </c>
      <c r="E2091" s="72"/>
      <c r="F2091" s="72"/>
      <c r="G2091" s="72"/>
      <c r="H2091" s="22" t="s">
        <v>7272</v>
      </c>
      <c r="I2091" s="23" t="s">
        <v>36</v>
      </c>
      <c r="J2091" s="22"/>
      <c r="K2091" s="20">
        <v>12</v>
      </c>
      <c r="L2091" s="24">
        <v>77.900000000000006</v>
      </c>
      <c r="M2091" s="11"/>
      <c r="N2091" s="22">
        <f t="shared" si="95"/>
        <v>0</v>
      </c>
      <c r="O2091" s="25">
        <f>0.088*M2091</f>
        <v>0</v>
      </c>
      <c r="P2091" s="26">
        <f>0.00036*M2091</f>
        <v>0</v>
      </c>
      <c r="Q2091" s="30"/>
      <c r="R2091" s="22" t="s">
        <v>7273</v>
      </c>
      <c r="S2091" s="22" t="s">
        <v>435</v>
      </c>
      <c r="T2091" s="21" t="str">
        <f>HYPERLINK("https://miland.ru/api/getInfo/image/403cd668-a346-11ef-a267-00155d82e908")</f>
        <v>https://miland.ru/api/getInfo/image/403cd668-a346-11ef-a267-00155d82e908</v>
      </c>
      <c r="U2091" s="21"/>
      <c r="V2091" s="21" t="s">
        <v>6525</v>
      </c>
      <c r="W2091" s="21" t="s">
        <v>378</v>
      </c>
      <c r="X2091" s="21"/>
      <c r="Y2091" s="21" t="s">
        <v>41</v>
      </c>
      <c r="Z2091" s="21"/>
      <c r="AA2091" s="21" t="str">
        <f>HYPERLINK("https://miland.ru/api/getInfo/item/403cd668-a346-11ef-a267-00155d82e908")</f>
        <v>https://miland.ru/api/getInfo/item/403cd668-a346-11ef-a267-00155d82e908</v>
      </c>
      <c r="AB2091" s="21" t="s">
        <v>42</v>
      </c>
      <c r="AC2091" s="21" t="s">
        <v>7269</v>
      </c>
      <c r="AD2091" s="21"/>
    </row>
    <row r="2092" spans="2:31" s="1" customFormat="1" ht="96.3" customHeight="1" outlineLevel="7">
      <c r="B2092" s="57">
        <v>1615</v>
      </c>
      <c r="C2092" s="21" t="s">
        <v>7274</v>
      </c>
      <c r="D2092" s="72" t="s">
        <v>7275</v>
      </c>
      <c r="E2092" s="72"/>
      <c r="F2092" s="72"/>
      <c r="G2092" s="72"/>
      <c r="H2092" s="22" t="s">
        <v>7276</v>
      </c>
      <c r="I2092" s="23" t="s">
        <v>36</v>
      </c>
      <c r="J2092" s="22"/>
      <c r="K2092" s="20">
        <v>12</v>
      </c>
      <c r="L2092" s="24">
        <v>77.900000000000006</v>
      </c>
      <c r="M2092" s="11"/>
      <c r="N2092" s="22">
        <f t="shared" si="95"/>
        <v>0</v>
      </c>
      <c r="O2092" s="25">
        <f>0.095*M2092</f>
        <v>0</v>
      </c>
      <c r="P2092" s="26">
        <f>0.00036*M2092</f>
        <v>0</v>
      </c>
      <c r="Q2092" s="30"/>
      <c r="R2092" s="22" t="s">
        <v>7277</v>
      </c>
      <c r="S2092" s="22" t="s">
        <v>435</v>
      </c>
      <c r="T2092" s="21" t="str">
        <f>HYPERLINK("https://miland.ru/api/getInfo/image/174f5293-a346-11ef-a267-00155d82e908")</f>
        <v>https://miland.ru/api/getInfo/image/174f5293-a346-11ef-a267-00155d82e908</v>
      </c>
      <c r="U2092" s="21"/>
      <c r="V2092" s="21" t="s">
        <v>6525</v>
      </c>
      <c r="W2092" s="21" t="s">
        <v>378</v>
      </c>
      <c r="X2092" s="21"/>
      <c r="Y2092" s="21" t="s">
        <v>41</v>
      </c>
      <c r="Z2092" s="21"/>
      <c r="AA2092" s="21" t="str">
        <f>HYPERLINK("https://miland.ru/api/getInfo/item/174f5293-a346-11ef-a267-00155d82e908")</f>
        <v>https://miland.ru/api/getInfo/item/174f5293-a346-11ef-a267-00155d82e908</v>
      </c>
      <c r="AB2092" s="21" t="s">
        <v>42</v>
      </c>
      <c r="AC2092" s="21" t="s">
        <v>7269</v>
      </c>
      <c r="AD2092" s="21"/>
    </row>
    <row r="2093" spans="2:31" ht="12" customHeight="1" outlineLevel="7">
      <c r="B2093" s="70" t="s">
        <v>7278</v>
      </c>
      <c r="C2093" s="70"/>
      <c r="D2093" s="70"/>
      <c r="E2093" s="70"/>
      <c r="F2093" s="70"/>
      <c r="G2093" s="70"/>
    </row>
    <row r="2094" spans="2:31" s="1" customFormat="1" ht="96.3" customHeight="1" outlineLevel="7">
      <c r="B2094" s="57">
        <v>1616</v>
      </c>
      <c r="C2094" s="21" t="s">
        <v>7279</v>
      </c>
      <c r="D2094" s="72" t="s">
        <v>7280</v>
      </c>
      <c r="E2094" s="72"/>
      <c r="F2094" s="72"/>
      <c r="G2094" s="72"/>
      <c r="H2094" s="22" t="s">
        <v>7281</v>
      </c>
      <c r="I2094" s="27">
        <v>36</v>
      </c>
      <c r="J2094" s="22"/>
      <c r="K2094" s="20">
        <v>12</v>
      </c>
      <c r="L2094" s="24">
        <v>102.42</v>
      </c>
      <c r="M2094" s="11"/>
      <c r="N2094" s="22">
        <f>L2094*M2094</f>
        <v>0</v>
      </c>
      <c r="O2094" s="25">
        <f>0.073*M2094</f>
        <v>0</v>
      </c>
      <c r="P2094" s="26">
        <f>0.00051*M2094</f>
        <v>0</v>
      </c>
      <c r="Q2094" s="30"/>
      <c r="R2094" s="22" t="s">
        <v>7282</v>
      </c>
      <c r="S2094" s="22" t="s">
        <v>435</v>
      </c>
      <c r="T2094" s="21" t="str">
        <f>HYPERLINK("https://miland.ru/api/getInfo/image/12006d59-9dce-11eb-a201-ac1f6b442185")</f>
        <v>https://miland.ru/api/getInfo/image/12006d59-9dce-11eb-a201-ac1f6b442185</v>
      </c>
      <c r="U2094" s="21"/>
      <c r="V2094" s="21" t="s">
        <v>6525</v>
      </c>
      <c r="W2094" s="21" t="s">
        <v>378</v>
      </c>
      <c r="X2094" s="21"/>
      <c r="Y2094" s="21" t="s">
        <v>41</v>
      </c>
      <c r="Z2094" s="21"/>
      <c r="AA2094" s="21" t="str">
        <f>HYPERLINK("https://miland.ru/api/getInfo/item/12006d59-9dce-11eb-a201-ac1f6b442185")</f>
        <v>https://miland.ru/api/getInfo/item/12006d59-9dce-11eb-a201-ac1f6b442185</v>
      </c>
      <c r="AB2094" s="21" t="s">
        <v>42</v>
      </c>
      <c r="AC2094" s="21" t="s">
        <v>7283</v>
      </c>
      <c r="AD2094" s="21"/>
    </row>
    <row r="2095" spans="2:31" ht="12" customHeight="1" outlineLevel="7">
      <c r="B2095" s="70" t="s">
        <v>7284</v>
      </c>
      <c r="C2095" s="70"/>
      <c r="D2095" s="70"/>
      <c r="E2095" s="70"/>
      <c r="F2095" s="70"/>
      <c r="G2095" s="70"/>
    </row>
    <row r="2096" spans="2:31" s="1" customFormat="1" ht="96.3" customHeight="1" outlineLevel="7">
      <c r="B2096" s="58">
        <v>1617</v>
      </c>
      <c r="C2096" s="7" t="s">
        <v>7285</v>
      </c>
      <c r="D2096" s="71" t="s">
        <v>7286</v>
      </c>
      <c r="E2096" s="71"/>
      <c r="F2096" s="71"/>
      <c r="G2096" s="71"/>
      <c r="H2096" s="8" t="s">
        <v>7287</v>
      </c>
      <c r="I2096" s="14">
        <v>360</v>
      </c>
      <c r="J2096" s="8"/>
      <c r="K2096" s="6">
        <v>12</v>
      </c>
      <c r="L2096" s="10">
        <v>73.8</v>
      </c>
      <c r="M2096" s="11"/>
      <c r="N2096" s="8">
        <f>L2096*M2096</f>
        <v>0</v>
      </c>
      <c r="O2096" s="12">
        <f>0.098*M2096</f>
        <v>0</v>
      </c>
      <c r="P2096" s="13">
        <f>0.00037*M2096</f>
        <v>0</v>
      </c>
      <c r="Q2096" s="17" t="s">
        <v>37</v>
      </c>
      <c r="R2096" s="8" t="s">
        <v>7288</v>
      </c>
      <c r="S2096" s="8"/>
      <c r="T2096" s="7" t="str">
        <f>HYPERLINK("https://miland.ru/api/getInfo/image/3df03120-fb7d-11f0-a28e-00155d82e908")</f>
        <v>https://miland.ru/api/getInfo/image/3df03120-fb7d-11f0-a28e-00155d82e908</v>
      </c>
      <c r="U2096" s="7"/>
      <c r="V2096" s="7"/>
      <c r="W2096" s="7" t="s">
        <v>378</v>
      </c>
      <c r="X2096" s="7"/>
      <c r="Y2096" s="7" t="s">
        <v>41</v>
      </c>
      <c r="Z2096" s="7"/>
      <c r="AA2096" s="7" t="str">
        <f>HYPERLINK("https://miland.ru/api/getInfo/item/3df03120-fb7d-11f0-a28e-00155d82e908")</f>
        <v>https://miland.ru/api/getInfo/item/3df03120-fb7d-11f0-a28e-00155d82e908</v>
      </c>
      <c r="AB2096" s="7" t="s">
        <v>42</v>
      </c>
      <c r="AC2096" s="7"/>
      <c r="AD2096" s="7"/>
      <c r="AE2096" s="54"/>
    </row>
    <row r="2097" spans="2:31" s="1" customFormat="1" ht="96.3" customHeight="1" outlineLevel="7">
      <c r="B2097" s="58">
        <v>1618</v>
      </c>
      <c r="C2097" s="7" t="s">
        <v>7289</v>
      </c>
      <c r="D2097" s="71" t="s">
        <v>7290</v>
      </c>
      <c r="E2097" s="71"/>
      <c r="F2097" s="71"/>
      <c r="G2097" s="71"/>
      <c r="H2097" s="8" t="s">
        <v>7291</v>
      </c>
      <c r="I2097" s="9" t="s">
        <v>36</v>
      </c>
      <c r="J2097" s="8"/>
      <c r="K2097" s="6">
        <v>12</v>
      </c>
      <c r="L2097" s="10">
        <v>73.8</v>
      </c>
      <c r="M2097" s="11"/>
      <c r="N2097" s="8">
        <f>L2097*M2097</f>
        <v>0</v>
      </c>
      <c r="O2097" s="18">
        <f>0.03*M2097</f>
        <v>0</v>
      </c>
      <c r="P2097" s="13">
        <f>0.00037*M2097</f>
        <v>0</v>
      </c>
      <c r="Q2097" s="17" t="s">
        <v>37</v>
      </c>
      <c r="R2097" s="8" t="s">
        <v>7292</v>
      </c>
      <c r="S2097" s="8"/>
      <c r="T2097" s="7" t="str">
        <f>HYPERLINK("https://miland.ru/api/getInfo/image/5384b50f-fb7d-11f0-a28e-00155d82e908")</f>
        <v>https://miland.ru/api/getInfo/image/5384b50f-fb7d-11f0-a28e-00155d82e908</v>
      </c>
      <c r="U2097" s="7"/>
      <c r="V2097" s="7"/>
      <c r="W2097" s="7" t="s">
        <v>378</v>
      </c>
      <c r="X2097" s="7"/>
      <c r="Y2097" s="7" t="s">
        <v>41</v>
      </c>
      <c r="Z2097" s="7"/>
      <c r="AA2097" s="7" t="str">
        <f>HYPERLINK("https://miland.ru/api/getInfo/item/5384b50f-fb7d-11f0-a28e-00155d82e908")</f>
        <v>https://miland.ru/api/getInfo/item/5384b50f-fb7d-11f0-a28e-00155d82e908</v>
      </c>
      <c r="AB2097" s="7" t="s">
        <v>42</v>
      </c>
      <c r="AC2097" s="7"/>
      <c r="AD2097" s="7"/>
      <c r="AE2097" s="54"/>
    </row>
    <row r="2098" spans="2:31" ht="12" customHeight="1" outlineLevel="7">
      <c r="B2098" s="70" t="s">
        <v>7293</v>
      </c>
      <c r="C2098" s="70"/>
      <c r="D2098" s="70"/>
      <c r="E2098" s="70"/>
      <c r="F2098" s="70"/>
      <c r="G2098" s="70"/>
    </row>
    <row r="2099" spans="2:31" s="1" customFormat="1" ht="96.3" customHeight="1" outlineLevel="7">
      <c r="B2099" s="58">
        <v>1619</v>
      </c>
      <c r="C2099" s="7" t="s">
        <v>7294</v>
      </c>
      <c r="D2099" s="71" t="s">
        <v>7295</v>
      </c>
      <c r="E2099" s="71"/>
      <c r="F2099" s="71"/>
      <c r="G2099" s="71"/>
      <c r="H2099" s="8" t="s">
        <v>7296</v>
      </c>
      <c r="I2099" s="9" t="s">
        <v>36</v>
      </c>
      <c r="J2099" s="8"/>
      <c r="K2099" s="6">
        <v>12</v>
      </c>
      <c r="L2099" s="10">
        <v>86.31</v>
      </c>
      <c r="M2099" s="11"/>
      <c r="N2099" s="8">
        <f t="shared" ref="N2099:N2115" si="96">L2099*M2099</f>
        <v>0</v>
      </c>
      <c r="O2099" s="19">
        <f>0.1*M2099</f>
        <v>0</v>
      </c>
      <c r="P2099" s="13">
        <f>0.00037*M2099</f>
        <v>0</v>
      </c>
      <c r="Q2099" s="17" t="s">
        <v>37</v>
      </c>
      <c r="R2099" s="8" t="s">
        <v>7297</v>
      </c>
      <c r="S2099" s="8"/>
      <c r="T2099" s="7" t="str">
        <f>HYPERLINK("https://miland.ru/api/getInfo/image/a0a0272b-fb7e-11f0-a28e-00155d82e908")</f>
        <v>https://miland.ru/api/getInfo/image/a0a0272b-fb7e-11f0-a28e-00155d82e908</v>
      </c>
      <c r="U2099" s="7"/>
      <c r="V2099" s="7"/>
      <c r="W2099" s="7" t="s">
        <v>378</v>
      </c>
      <c r="X2099" s="7"/>
      <c r="Y2099" s="7" t="s">
        <v>41</v>
      </c>
      <c r="Z2099" s="7"/>
      <c r="AA2099" s="7" t="str">
        <f>HYPERLINK("https://miland.ru/api/getInfo/item/a0a0272b-fb7e-11f0-a28e-00155d82e908")</f>
        <v>https://miland.ru/api/getInfo/item/a0a0272b-fb7e-11f0-a28e-00155d82e908</v>
      </c>
      <c r="AB2099" s="7" t="s">
        <v>42</v>
      </c>
      <c r="AC2099" s="7"/>
      <c r="AD2099" s="7"/>
      <c r="AE2099" s="54"/>
    </row>
    <row r="2100" spans="2:31" s="1" customFormat="1" ht="96.3" customHeight="1" outlineLevel="7">
      <c r="B2100" s="58">
        <v>1620</v>
      </c>
      <c r="C2100" s="7" t="s">
        <v>7298</v>
      </c>
      <c r="D2100" s="71" t="s">
        <v>7299</v>
      </c>
      <c r="E2100" s="71"/>
      <c r="F2100" s="71"/>
      <c r="G2100" s="71"/>
      <c r="H2100" s="8" t="s">
        <v>7300</v>
      </c>
      <c r="I2100" s="9" t="s">
        <v>36</v>
      </c>
      <c r="J2100" s="8"/>
      <c r="K2100" s="6">
        <v>12</v>
      </c>
      <c r="L2100" s="10">
        <v>86.31</v>
      </c>
      <c r="M2100" s="11"/>
      <c r="N2100" s="8">
        <f t="shared" si="96"/>
        <v>0</v>
      </c>
      <c r="O2100" s="19">
        <f>0.1*M2100</f>
        <v>0</v>
      </c>
      <c r="P2100" s="13">
        <f>0.00027*M2100</f>
        <v>0</v>
      </c>
      <c r="Q2100" s="17" t="s">
        <v>37</v>
      </c>
      <c r="R2100" s="8" t="s">
        <v>7301</v>
      </c>
      <c r="S2100" s="8"/>
      <c r="T2100" s="7" t="str">
        <f>HYPERLINK("https://miland.ru/api/getInfo/image/64dce23d-fb7e-11f0-a28e-00155d82e908")</f>
        <v>https://miland.ru/api/getInfo/image/64dce23d-fb7e-11f0-a28e-00155d82e908</v>
      </c>
      <c r="U2100" s="7"/>
      <c r="V2100" s="7"/>
      <c r="W2100" s="7" t="s">
        <v>378</v>
      </c>
      <c r="X2100" s="7"/>
      <c r="Y2100" s="7" t="s">
        <v>41</v>
      </c>
      <c r="Z2100" s="7"/>
      <c r="AA2100" s="7" t="str">
        <f>HYPERLINK("https://miland.ru/api/getInfo/item/64dce23d-fb7e-11f0-a28e-00155d82e908")</f>
        <v>https://miland.ru/api/getInfo/item/64dce23d-fb7e-11f0-a28e-00155d82e908</v>
      </c>
      <c r="AB2100" s="7" t="s">
        <v>42</v>
      </c>
      <c r="AC2100" s="7"/>
      <c r="AD2100" s="7"/>
      <c r="AE2100" s="54"/>
    </row>
    <row r="2101" spans="2:31" s="1" customFormat="1" ht="96.3" customHeight="1" outlineLevel="7">
      <c r="B2101" s="58">
        <v>1621</v>
      </c>
      <c r="C2101" s="7" t="s">
        <v>7302</v>
      </c>
      <c r="D2101" s="71" t="s">
        <v>7303</v>
      </c>
      <c r="E2101" s="71"/>
      <c r="F2101" s="71"/>
      <c r="G2101" s="71"/>
      <c r="H2101" s="8" t="s">
        <v>7304</v>
      </c>
      <c r="I2101" s="14">
        <v>60</v>
      </c>
      <c r="J2101" s="8"/>
      <c r="K2101" s="6">
        <v>20</v>
      </c>
      <c r="L2101" s="10">
        <v>86.31</v>
      </c>
      <c r="M2101" s="11"/>
      <c r="N2101" s="8">
        <f t="shared" si="96"/>
        <v>0</v>
      </c>
      <c r="O2101" s="18">
        <f>0.09*M2101</f>
        <v>0</v>
      </c>
      <c r="P2101" s="13">
        <f>0.00043*M2101</f>
        <v>0</v>
      </c>
      <c r="Q2101" s="17" t="s">
        <v>37</v>
      </c>
      <c r="R2101" s="8"/>
      <c r="S2101" s="8" t="s">
        <v>435</v>
      </c>
      <c r="T2101" s="7" t="str">
        <f>HYPERLINK("https://miland.ru/api/getInfo/image/da11b5c4-da57-11f0-a28c-00155d82e908")</f>
        <v>https://miland.ru/api/getInfo/image/da11b5c4-da57-11f0-a28c-00155d82e908</v>
      </c>
      <c r="U2101" s="7"/>
      <c r="V2101" s="7"/>
      <c r="W2101" s="7"/>
      <c r="X2101" s="7"/>
      <c r="Y2101" s="7"/>
      <c r="Z2101" s="7"/>
      <c r="AA2101" s="7" t="str">
        <f>HYPERLINK("https://miland.ru/api/getInfo/item/da11b5c4-da57-11f0-a28c-00155d82e908")</f>
        <v>https://miland.ru/api/getInfo/item/da11b5c4-da57-11f0-a28c-00155d82e908</v>
      </c>
      <c r="AB2101" s="7" t="s">
        <v>42</v>
      </c>
      <c r="AC2101" s="7"/>
      <c r="AD2101" s="7"/>
      <c r="AE2101" s="54"/>
    </row>
    <row r="2102" spans="2:31" s="1" customFormat="1" ht="96.3" customHeight="1" outlineLevel="7">
      <c r="B2102" s="58">
        <v>1622</v>
      </c>
      <c r="C2102" s="7" t="s">
        <v>7305</v>
      </c>
      <c r="D2102" s="71" t="s">
        <v>7306</v>
      </c>
      <c r="E2102" s="71"/>
      <c r="F2102" s="71"/>
      <c r="G2102" s="71"/>
      <c r="H2102" s="8" t="s">
        <v>7307</v>
      </c>
      <c r="I2102" s="14">
        <v>60</v>
      </c>
      <c r="J2102" s="8"/>
      <c r="K2102" s="6">
        <v>20</v>
      </c>
      <c r="L2102" s="10">
        <v>86.31</v>
      </c>
      <c r="M2102" s="11"/>
      <c r="N2102" s="8">
        <f t="shared" si="96"/>
        <v>0</v>
      </c>
      <c r="O2102" s="19">
        <f>0.9*M2102</f>
        <v>0</v>
      </c>
      <c r="P2102" s="13">
        <f>0.00017*M2102</f>
        <v>0</v>
      </c>
      <c r="Q2102" s="17" t="s">
        <v>37</v>
      </c>
      <c r="R2102" s="8"/>
      <c r="S2102" s="8" t="s">
        <v>435</v>
      </c>
      <c r="T2102" s="7" t="str">
        <f>HYPERLINK("https://miland.ru/api/getInfo/image/2033542f-da59-11f0-a28c-00155d82e908")</f>
        <v>https://miland.ru/api/getInfo/image/2033542f-da59-11f0-a28c-00155d82e908</v>
      </c>
      <c r="U2102" s="7"/>
      <c r="V2102" s="7"/>
      <c r="W2102" s="7"/>
      <c r="X2102" s="7"/>
      <c r="Y2102" s="7" t="s">
        <v>41</v>
      </c>
      <c r="Z2102" s="7"/>
      <c r="AA2102" s="7" t="str">
        <f>HYPERLINK("https://miland.ru/api/getInfo/item/2033542f-da59-11f0-a28c-00155d82e908")</f>
        <v>https://miland.ru/api/getInfo/item/2033542f-da59-11f0-a28c-00155d82e908</v>
      </c>
      <c r="AB2102" s="7" t="s">
        <v>42</v>
      </c>
      <c r="AC2102" s="7" t="s">
        <v>7269</v>
      </c>
      <c r="AD2102" s="7"/>
      <c r="AE2102" s="54"/>
    </row>
    <row r="2103" spans="2:31" s="1" customFormat="1" ht="96.3" customHeight="1" outlineLevel="7">
      <c r="B2103" s="57">
        <v>1623</v>
      </c>
      <c r="C2103" s="21" t="s">
        <v>7308</v>
      </c>
      <c r="D2103" s="72" t="s">
        <v>7309</v>
      </c>
      <c r="E2103" s="72"/>
      <c r="F2103" s="72"/>
      <c r="G2103" s="72"/>
      <c r="H2103" s="22" t="s">
        <v>7310</v>
      </c>
      <c r="I2103" s="27">
        <v>24</v>
      </c>
      <c r="J2103" s="22"/>
      <c r="K2103" s="20">
        <v>12</v>
      </c>
      <c r="L2103" s="24">
        <v>86.31</v>
      </c>
      <c r="M2103" s="11"/>
      <c r="N2103" s="22">
        <f t="shared" si="96"/>
        <v>0</v>
      </c>
      <c r="O2103" s="25">
        <f>0.074*M2103</f>
        <v>0</v>
      </c>
      <c r="P2103" s="26">
        <f>0.00081*M2103</f>
        <v>0</v>
      </c>
      <c r="Q2103" s="30"/>
      <c r="R2103" s="22" t="s">
        <v>7311</v>
      </c>
      <c r="S2103" s="22" t="s">
        <v>435</v>
      </c>
      <c r="T2103" s="21" t="str">
        <f>HYPERLINK("https://miland.ru/api/getInfo/image/005471f9-e523-11ee-a25a-00155d82e908")</f>
        <v>https://miland.ru/api/getInfo/image/005471f9-e523-11ee-a25a-00155d82e908</v>
      </c>
      <c r="U2103" s="21"/>
      <c r="V2103" s="21" t="s">
        <v>6525</v>
      </c>
      <c r="W2103" s="21" t="s">
        <v>378</v>
      </c>
      <c r="X2103" s="21"/>
      <c r="Y2103" s="21" t="s">
        <v>41</v>
      </c>
      <c r="Z2103" s="21"/>
      <c r="AA2103" s="21" t="str">
        <f>HYPERLINK("https://miland.ru/api/getInfo/item/005471f9-e523-11ee-a25a-00155d82e908")</f>
        <v>https://miland.ru/api/getInfo/item/005471f9-e523-11ee-a25a-00155d82e908</v>
      </c>
      <c r="AB2103" s="21" t="s">
        <v>42</v>
      </c>
      <c r="AC2103" s="21" t="s">
        <v>7312</v>
      </c>
      <c r="AD2103" s="21" t="s">
        <v>7311</v>
      </c>
    </row>
    <row r="2104" spans="2:31" s="1" customFormat="1" ht="96.3" customHeight="1" outlineLevel="7">
      <c r="B2104" s="57">
        <v>1624</v>
      </c>
      <c r="C2104" s="21" t="s">
        <v>7313</v>
      </c>
      <c r="D2104" s="72" t="s">
        <v>7314</v>
      </c>
      <c r="E2104" s="72"/>
      <c r="F2104" s="72"/>
      <c r="G2104" s="72"/>
      <c r="H2104" s="22" t="s">
        <v>7315</v>
      </c>
      <c r="I2104" s="27">
        <v>12</v>
      </c>
      <c r="J2104" s="22"/>
      <c r="K2104" s="20">
        <v>12</v>
      </c>
      <c r="L2104" s="24">
        <v>86.31</v>
      </c>
      <c r="M2104" s="11"/>
      <c r="N2104" s="22">
        <f t="shared" si="96"/>
        <v>0</v>
      </c>
      <c r="O2104" s="25">
        <f>0.073*M2104</f>
        <v>0</v>
      </c>
      <c r="P2104" s="29">
        <f>0.0006*M2104</f>
        <v>0</v>
      </c>
      <c r="Q2104" s="30"/>
      <c r="R2104" s="22" t="s">
        <v>7316</v>
      </c>
      <c r="S2104" s="22" t="s">
        <v>435</v>
      </c>
      <c r="T2104" s="21" t="str">
        <f>HYPERLINK("https://miland.ru/api/getInfo/image/8312a6e2-f591-11ee-a25b-00155d82e908")</f>
        <v>https://miland.ru/api/getInfo/image/8312a6e2-f591-11ee-a25b-00155d82e908</v>
      </c>
      <c r="U2104" s="21"/>
      <c r="V2104" s="21" t="s">
        <v>6525</v>
      </c>
      <c r="W2104" s="21" t="s">
        <v>378</v>
      </c>
      <c r="X2104" s="21"/>
      <c r="Y2104" s="21" t="s">
        <v>41</v>
      </c>
      <c r="Z2104" s="21"/>
      <c r="AA2104" s="21" t="str">
        <f>HYPERLINK("https://miland.ru/api/getInfo/item/8312a6e2-f591-11ee-a25b-00155d82e908")</f>
        <v>https://miland.ru/api/getInfo/item/8312a6e2-f591-11ee-a25b-00155d82e908</v>
      </c>
      <c r="AB2104" s="21" t="s">
        <v>42</v>
      </c>
      <c r="AC2104" s="21"/>
      <c r="AD2104" s="21"/>
    </row>
    <row r="2105" spans="2:31" s="1" customFormat="1" ht="96.3" customHeight="1" outlineLevel="7">
      <c r="B2105" s="57">
        <v>1625</v>
      </c>
      <c r="C2105" s="21" t="s">
        <v>7317</v>
      </c>
      <c r="D2105" s="72" t="s">
        <v>7318</v>
      </c>
      <c r="E2105" s="72"/>
      <c r="F2105" s="72"/>
      <c r="G2105" s="72"/>
      <c r="H2105" s="22" t="s">
        <v>7319</v>
      </c>
      <c r="I2105" s="23" t="s">
        <v>36</v>
      </c>
      <c r="J2105" s="22"/>
      <c r="K2105" s="20">
        <v>12</v>
      </c>
      <c r="L2105" s="24">
        <v>86.31</v>
      </c>
      <c r="M2105" s="11"/>
      <c r="N2105" s="22">
        <f t="shared" si="96"/>
        <v>0</v>
      </c>
      <c r="O2105" s="25">
        <f>0.088*M2105</f>
        <v>0</v>
      </c>
      <c r="P2105" s="26">
        <f>0.00055*M2105</f>
        <v>0</v>
      </c>
      <c r="Q2105" s="30"/>
      <c r="R2105" s="22" t="s">
        <v>7320</v>
      </c>
      <c r="S2105" s="22" t="s">
        <v>435</v>
      </c>
      <c r="T2105" s="21" t="str">
        <f>HYPERLINK("https://miland.ru/api/getInfo/image/801ccd60-a347-11ef-a267-00155d82e908")</f>
        <v>https://miland.ru/api/getInfo/image/801ccd60-a347-11ef-a267-00155d82e908</v>
      </c>
      <c r="U2105" s="21"/>
      <c r="V2105" s="21" t="s">
        <v>6525</v>
      </c>
      <c r="W2105" s="21" t="s">
        <v>378</v>
      </c>
      <c r="X2105" s="21"/>
      <c r="Y2105" s="21" t="s">
        <v>41</v>
      </c>
      <c r="Z2105" s="21"/>
      <c r="AA2105" s="21" t="str">
        <f>HYPERLINK("https://miland.ru/api/getInfo/item/801ccd60-a347-11ef-a267-00155d82e908")</f>
        <v>https://miland.ru/api/getInfo/item/801ccd60-a347-11ef-a267-00155d82e908</v>
      </c>
      <c r="AB2105" s="21" t="s">
        <v>42</v>
      </c>
      <c r="AC2105" s="21" t="s">
        <v>7269</v>
      </c>
      <c r="AD2105" s="21"/>
    </row>
    <row r="2106" spans="2:31" s="1" customFormat="1" ht="96.3" customHeight="1" outlineLevel="7">
      <c r="B2106" s="57">
        <v>1626</v>
      </c>
      <c r="C2106" s="21" t="s">
        <v>7321</v>
      </c>
      <c r="D2106" s="72" t="s">
        <v>7322</v>
      </c>
      <c r="E2106" s="72"/>
      <c r="F2106" s="72"/>
      <c r="G2106" s="72"/>
      <c r="H2106" s="22" t="s">
        <v>7323</v>
      </c>
      <c r="I2106" s="23" t="s">
        <v>36</v>
      </c>
      <c r="J2106" s="22"/>
      <c r="K2106" s="20">
        <v>12</v>
      </c>
      <c r="L2106" s="24">
        <v>86.31</v>
      </c>
      <c r="M2106" s="11"/>
      <c r="N2106" s="22">
        <f t="shared" si="96"/>
        <v>0</v>
      </c>
      <c r="O2106" s="25">
        <f>0.095*M2106</f>
        <v>0</v>
      </c>
      <c r="P2106" s="26">
        <f>0.00046*M2106</f>
        <v>0</v>
      </c>
      <c r="Q2106" s="30"/>
      <c r="R2106" s="22" t="s">
        <v>7324</v>
      </c>
      <c r="S2106" s="22" t="s">
        <v>435</v>
      </c>
      <c r="T2106" s="21" t="str">
        <f>HYPERLINK("https://miland.ru/api/getInfo/image/4c5aa13d-a347-11ef-a267-00155d82e908")</f>
        <v>https://miland.ru/api/getInfo/image/4c5aa13d-a347-11ef-a267-00155d82e908</v>
      </c>
      <c r="U2106" s="21"/>
      <c r="V2106" s="21" t="s">
        <v>6525</v>
      </c>
      <c r="W2106" s="21" t="s">
        <v>378</v>
      </c>
      <c r="X2106" s="21"/>
      <c r="Y2106" s="21" t="s">
        <v>41</v>
      </c>
      <c r="Z2106" s="21"/>
      <c r="AA2106" s="21" t="str">
        <f>HYPERLINK("https://miland.ru/api/getInfo/item/4c5aa13d-a347-11ef-a267-00155d82e908")</f>
        <v>https://miland.ru/api/getInfo/item/4c5aa13d-a347-11ef-a267-00155d82e908</v>
      </c>
      <c r="AB2106" s="21" t="s">
        <v>42</v>
      </c>
      <c r="AC2106" s="21" t="s">
        <v>7269</v>
      </c>
      <c r="AD2106" s="21"/>
    </row>
    <row r="2107" spans="2:31" s="1" customFormat="1" ht="96.3" customHeight="1" outlineLevel="7">
      <c r="B2107" s="57">
        <v>1627</v>
      </c>
      <c r="C2107" s="21" t="s">
        <v>7325</v>
      </c>
      <c r="D2107" s="72" t="s">
        <v>7326</v>
      </c>
      <c r="E2107" s="72"/>
      <c r="F2107" s="72"/>
      <c r="G2107" s="72"/>
      <c r="H2107" s="22" t="s">
        <v>7327</v>
      </c>
      <c r="I2107" s="23" t="s">
        <v>36</v>
      </c>
      <c r="J2107" s="22"/>
      <c r="K2107" s="20">
        <v>12</v>
      </c>
      <c r="L2107" s="24">
        <v>86.31</v>
      </c>
      <c r="M2107" s="11"/>
      <c r="N2107" s="22">
        <f t="shared" si="96"/>
        <v>0</v>
      </c>
      <c r="O2107" s="25">
        <f>0.084*M2107</f>
        <v>0</v>
      </c>
      <c r="P2107" s="26">
        <f>0.00064*M2107</f>
        <v>0</v>
      </c>
      <c r="Q2107" s="30"/>
      <c r="R2107" s="22" t="s">
        <v>7328</v>
      </c>
      <c r="S2107" s="22" t="s">
        <v>435</v>
      </c>
      <c r="T2107" s="21" t="str">
        <f>HYPERLINK("https://miland.ru/api/getInfo/image/17beff7d-a348-11ef-a267-00155d82e908")</f>
        <v>https://miland.ru/api/getInfo/image/17beff7d-a348-11ef-a267-00155d82e908</v>
      </c>
      <c r="U2107" s="21"/>
      <c r="V2107" s="21" t="s">
        <v>6525</v>
      </c>
      <c r="W2107" s="21" t="s">
        <v>378</v>
      </c>
      <c r="X2107" s="21"/>
      <c r="Y2107" s="21" t="s">
        <v>41</v>
      </c>
      <c r="Z2107" s="21"/>
      <c r="AA2107" s="21" t="str">
        <f>HYPERLINK("https://miland.ru/api/getInfo/item/17beff7d-a348-11ef-a267-00155d82e908")</f>
        <v>https://miland.ru/api/getInfo/item/17beff7d-a348-11ef-a267-00155d82e908</v>
      </c>
      <c r="AB2107" s="21" t="s">
        <v>42</v>
      </c>
      <c r="AC2107" s="21" t="s">
        <v>7269</v>
      </c>
      <c r="AD2107" s="21"/>
    </row>
    <row r="2108" spans="2:31" s="1" customFormat="1" ht="96.3" customHeight="1" outlineLevel="7">
      <c r="B2108" s="57">
        <v>1628</v>
      </c>
      <c r="C2108" s="21" t="s">
        <v>7329</v>
      </c>
      <c r="D2108" s="72" t="s">
        <v>7330</v>
      </c>
      <c r="E2108" s="72"/>
      <c r="F2108" s="72"/>
      <c r="G2108" s="72"/>
      <c r="H2108" s="22" t="s">
        <v>7331</v>
      </c>
      <c r="I2108" s="23" t="s">
        <v>36</v>
      </c>
      <c r="J2108" s="22"/>
      <c r="K2108" s="20">
        <v>12</v>
      </c>
      <c r="L2108" s="24">
        <v>86.31</v>
      </c>
      <c r="M2108" s="11"/>
      <c r="N2108" s="22">
        <f t="shared" si="96"/>
        <v>0</v>
      </c>
      <c r="O2108" s="25">
        <f>0.091*M2108</f>
        <v>0</v>
      </c>
      <c r="P2108" s="26">
        <f>0.00045*M2108</f>
        <v>0</v>
      </c>
      <c r="Q2108" s="30"/>
      <c r="R2108" s="22" t="s">
        <v>7332</v>
      </c>
      <c r="S2108" s="22" t="s">
        <v>435</v>
      </c>
      <c r="T2108" s="21" t="str">
        <f>HYPERLINK("https://miland.ru/api/getInfo/image/08e4c7af-a349-11ef-a267-00155d82e908")</f>
        <v>https://miland.ru/api/getInfo/image/08e4c7af-a349-11ef-a267-00155d82e908</v>
      </c>
      <c r="U2108" s="21"/>
      <c r="V2108" s="21" t="s">
        <v>6525</v>
      </c>
      <c r="W2108" s="21" t="s">
        <v>378</v>
      </c>
      <c r="X2108" s="21"/>
      <c r="Y2108" s="21" t="s">
        <v>41</v>
      </c>
      <c r="Z2108" s="21"/>
      <c r="AA2108" s="21" t="str">
        <f>HYPERLINK("https://miland.ru/api/getInfo/item/08e4c7af-a349-11ef-a267-00155d82e908")</f>
        <v>https://miland.ru/api/getInfo/item/08e4c7af-a349-11ef-a267-00155d82e908</v>
      </c>
      <c r="AB2108" s="21" t="s">
        <v>42</v>
      </c>
      <c r="AC2108" s="21" t="s">
        <v>7269</v>
      </c>
      <c r="AD2108" s="21"/>
    </row>
    <row r="2109" spans="2:31" s="1" customFormat="1" ht="96.3" customHeight="1" outlineLevel="7">
      <c r="B2109" s="57">
        <v>1629</v>
      </c>
      <c r="C2109" s="21" t="s">
        <v>7333</v>
      </c>
      <c r="D2109" s="72" t="s">
        <v>7334</v>
      </c>
      <c r="E2109" s="72"/>
      <c r="F2109" s="72"/>
      <c r="G2109" s="72"/>
      <c r="H2109" s="22" t="s">
        <v>7307</v>
      </c>
      <c r="I2109" s="23" t="s">
        <v>36</v>
      </c>
      <c r="J2109" s="22"/>
      <c r="K2109" s="20">
        <v>12</v>
      </c>
      <c r="L2109" s="24">
        <v>86.31</v>
      </c>
      <c r="M2109" s="11"/>
      <c r="N2109" s="22">
        <f t="shared" si="96"/>
        <v>0</v>
      </c>
      <c r="O2109" s="25">
        <f>0.108*M2109</f>
        <v>0</v>
      </c>
      <c r="P2109" s="26">
        <f>0.00082*M2109</f>
        <v>0</v>
      </c>
      <c r="Q2109" s="30"/>
      <c r="R2109" s="22" t="s">
        <v>7335</v>
      </c>
      <c r="S2109" s="22" t="s">
        <v>435</v>
      </c>
      <c r="T2109" s="21" t="str">
        <f>HYPERLINK("https://miland.ru/api/getInfo/image/a89299e5-a347-11ef-a267-00155d82e908")</f>
        <v>https://miland.ru/api/getInfo/image/a89299e5-a347-11ef-a267-00155d82e908</v>
      </c>
      <c r="U2109" s="21"/>
      <c r="V2109" s="21" t="s">
        <v>6525</v>
      </c>
      <c r="W2109" s="21" t="s">
        <v>378</v>
      </c>
      <c r="X2109" s="21"/>
      <c r="Y2109" s="21" t="s">
        <v>41</v>
      </c>
      <c r="Z2109" s="21"/>
      <c r="AA2109" s="21" t="str">
        <f>HYPERLINK("https://miland.ru/api/getInfo/item/a89299e5-a347-11ef-a267-00155d82e908")</f>
        <v>https://miland.ru/api/getInfo/item/a89299e5-a347-11ef-a267-00155d82e908</v>
      </c>
      <c r="AB2109" s="21" t="s">
        <v>42</v>
      </c>
      <c r="AC2109" s="21" t="s">
        <v>7269</v>
      </c>
      <c r="AD2109" s="21"/>
    </row>
    <row r="2110" spans="2:31" s="1" customFormat="1" ht="96.3" customHeight="1" outlineLevel="7">
      <c r="B2110" s="57">
        <v>1630</v>
      </c>
      <c r="C2110" s="21" t="s">
        <v>7336</v>
      </c>
      <c r="D2110" s="72" t="s">
        <v>7337</v>
      </c>
      <c r="E2110" s="72"/>
      <c r="F2110" s="72"/>
      <c r="G2110" s="72"/>
      <c r="H2110" s="22" t="s">
        <v>7338</v>
      </c>
      <c r="I2110" s="27">
        <v>288</v>
      </c>
      <c r="J2110" s="22"/>
      <c r="K2110" s="20">
        <v>24</v>
      </c>
      <c r="L2110" s="24">
        <v>65.680000000000007</v>
      </c>
      <c r="M2110" s="11"/>
      <c r="N2110" s="22">
        <f t="shared" si="96"/>
        <v>0</v>
      </c>
      <c r="O2110" s="25">
        <f>0.004*M2110</f>
        <v>0</v>
      </c>
      <c r="P2110" s="26">
        <f>0.00112*M2110</f>
        <v>0</v>
      </c>
      <c r="Q2110" s="30"/>
      <c r="R2110" s="22" t="s">
        <v>7339</v>
      </c>
      <c r="S2110" s="22"/>
      <c r="T2110" s="21" t="str">
        <f>HYPERLINK("https://miland.ru/api/getInfo/image/39eec22a-2f08-11f0-a27c-00155d82e908")</f>
        <v>https://miland.ru/api/getInfo/image/39eec22a-2f08-11f0-a27c-00155d82e908</v>
      </c>
      <c r="U2110" s="21"/>
      <c r="V2110" s="21"/>
      <c r="W2110" s="21" t="s">
        <v>378</v>
      </c>
      <c r="X2110" s="21"/>
      <c r="Y2110" s="21"/>
      <c r="Z2110" s="21"/>
      <c r="AA2110" s="21" t="str">
        <f>HYPERLINK("https://miland.ru/api/getInfo/item/39eec22a-2f08-11f0-a27c-00155d82e908")</f>
        <v>https://miland.ru/api/getInfo/item/39eec22a-2f08-11f0-a27c-00155d82e908</v>
      </c>
      <c r="AB2110" s="21" t="s">
        <v>42</v>
      </c>
      <c r="AC2110" s="21"/>
      <c r="AD2110" s="21"/>
    </row>
    <row r="2111" spans="2:31" s="1" customFormat="1" ht="96.3" customHeight="1" outlineLevel="7">
      <c r="B2111" s="57">
        <v>1631</v>
      </c>
      <c r="C2111" s="21" t="s">
        <v>7340</v>
      </c>
      <c r="D2111" s="72" t="s">
        <v>7341</v>
      </c>
      <c r="E2111" s="72"/>
      <c r="F2111" s="72"/>
      <c r="G2111" s="72"/>
      <c r="H2111" s="22" t="s">
        <v>7342</v>
      </c>
      <c r="I2111" s="27">
        <v>372</v>
      </c>
      <c r="J2111" s="22"/>
      <c r="K2111" s="20">
        <v>24</v>
      </c>
      <c r="L2111" s="24">
        <v>65.680000000000007</v>
      </c>
      <c r="M2111" s="11"/>
      <c r="N2111" s="22">
        <f t="shared" si="96"/>
        <v>0</v>
      </c>
      <c r="O2111" s="25">
        <f>0.004*M2111</f>
        <v>0</v>
      </c>
      <c r="P2111" s="26">
        <f>0.00112*M2111</f>
        <v>0</v>
      </c>
      <c r="Q2111" s="30"/>
      <c r="R2111" s="22" t="s">
        <v>7343</v>
      </c>
      <c r="S2111" s="22"/>
      <c r="T2111" s="21" t="str">
        <f>HYPERLINK("https://miland.ru/api/getInfo/image/a9061efe-2f08-11f0-a27c-00155d82e908")</f>
        <v>https://miland.ru/api/getInfo/image/a9061efe-2f08-11f0-a27c-00155d82e908</v>
      </c>
      <c r="U2111" s="21"/>
      <c r="V2111" s="21"/>
      <c r="W2111" s="21" t="s">
        <v>378</v>
      </c>
      <c r="X2111" s="21"/>
      <c r="Y2111" s="21"/>
      <c r="Z2111" s="21"/>
      <c r="AA2111" s="21" t="str">
        <f>HYPERLINK("https://miland.ru/api/getInfo/item/a9061efe-2f08-11f0-a27c-00155d82e908")</f>
        <v>https://miland.ru/api/getInfo/item/a9061efe-2f08-11f0-a27c-00155d82e908</v>
      </c>
      <c r="AB2111" s="21" t="s">
        <v>42</v>
      </c>
      <c r="AC2111" s="21"/>
      <c r="AD2111" s="21"/>
    </row>
    <row r="2112" spans="2:31" s="1" customFormat="1" ht="96.3" customHeight="1" outlineLevel="7">
      <c r="B2112" s="57">
        <v>1632</v>
      </c>
      <c r="C2112" s="21" t="s">
        <v>7344</v>
      </c>
      <c r="D2112" s="72" t="s">
        <v>7345</v>
      </c>
      <c r="E2112" s="72"/>
      <c r="F2112" s="72"/>
      <c r="G2112" s="72"/>
      <c r="H2112" s="22" t="s">
        <v>7346</v>
      </c>
      <c r="I2112" s="23" t="s">
        <v>36</v>
      </c>
      <c r="J2112" s="22"/>
      <c r="K2112" s="20">
        <v>12</v>
      </c>
      <c r="L2112" s="24">
        <v>86.31</v>
      </c>
      <c r="M2112" s="11"/>
      <c r="N2112" s="22">
        <f t="shared" si="96"/>
        <v>0</v>
      </c>
      <c r="O2112" s="25">
        <f>0.083*M2112</f>
        <v>0</v>
      </c>
      <c r="P2112" s="26">
        <f>0.00037*M2112</f>
        <v>0</v>
      </c>
      <c r="Q2112" s="30"/>
      <c r="R2112" s="22" t="s">
        <v>7347</v>
      </c>
      <c r="S2112" s="22" t="s">
        <v>435</v>
      </c>
      <c r="T2112" s="21" t="str">
        <f>HYPERLINK("https://miland.ru/api/getInfo/image/44e6f8f9-a348-11ef-a267-00155d82e908")</f>
        <v>https://miland.ru/api/getInfo/image/44e6f8f9-a348-11ef-a267-00155d82e908</v>
      </c>
      <c r="U2112" s="21"/>
      <c r="V2112" s="21" t="s">
        <v>6525</v>
      </c>
      <c r="W2112" s="21" t="s">
        <v>378</v>
      </c>
      <c r="X2112" s="21"/>
      <c r="Y2112" s="21" t="s">
        <v>41</v>
      </c>
      <c r="Z2112" s="21"/>
      <c r="AA2112" s="21" t="str">
        <f>HYPERLINK("https://miland.ru/api/getInfo/item/44e6f8f9-a348-11ef-a267-00155d82e908")</f>
        <v>https://miland.ru/api/getInfo/item/44e6f8f9-a348-11ef-a267-00155d82e908</v>
      </c>
      <c r="AB2112" s="21" t="s">
        <v>42</v>
      </c>
      <c r="AC2112" s="21" t="s">
        <v>7269</v>
      </c>
      <c r="AD2112" s="21"/>
    </row>
    <row r="2113" spans="2:31" s="1" customFormat="1" ht="96.3" customHeight="1" outlineLevel="7">
      <c r="B2113" s="58">
        <v>1633</v>
      </c>
      <c r="C2113" s="7" t="s">
        <v>7348</v>
      </c>
      <c r="D2113" s="71" t="s">
        <v>7349</v>
      </c>
      <c r="E2113" s="71"/>
      <c r="F2113" s="71"/>
      <c r="G2113" s="71"/>
      <c r="H2113" s="8" t="s">
        <v>7304</v>
      </c>
      <c r="I2113" s="14">
        <v>300</v>
      </c>
      <c r="J2113" s="8"/>
      <c r="K2113" s="6">
        <v>24</v>
      </c>
      <c r="L2113" s="10">
        <v>65.680000000000007</v>
      </c>
      <c r="M2113" s="11"/>
      <c r="N2113" s="8">
        <f t="shared" si="96"/>
        <v>0</v>
      </c>
      <c r="O2113" s="12">
        <f>0.004*M2113</f>
        <v>0</v>
      </c>
      <c r="P2113" s="13">
        <f>0.00112*M2113</f>
        <v>0</v>
      </c>
      <c r="Q2113" s="17" t="s">
        <v>37</v>
      </c>
      <c r="R2113" s="8" t="s">
        <v>7350</v>
      </c>
      <c r="S2113" s="8"/>
      <c r="T2113" s="7" t="str">
        <f>HYPERLINK("https://miland.ru/api/getInfo/image/180501b6-2f08-11f0-a27c-00155d82e908")</f>
        <v>https://miland.ru/api/getInfo/image/180501b6-2f08-11f0-a27c-00155d82e908</v>
      </c>
      <c r="U2113" s="7"/>
      <c r="V2113" s="7"/>
      <c r="W2113" s="7" t="s">
        <v>378</v>
      </c>
      <c r="X2113" s="7"/>
      <c r="Y2113" s="7"/>
      <c r="Z2113" s="7"/>
      <c r="AA2113" s="7" t="str">
        <f>HYPERLINK("https://miland.ru/api/getInfo/item/180501b6-2f08-11f0-a27c-00155d82e908")</f>
        <v>https://miland.ru/api/getInfo/item/180501b6-2f08-11f0-a27c-00155d82e908</v>
      </c>
      <c r="AB2113" s="7" t="s">
        <v>42</v>
      </c>
      <c r="AC2113" s="7"/>
      <c r="AD2113" s="7"/>
      <c r="AE2113" s="54"/>
    </row>
    <row r="2114" spans="2:31" s="1" customFormat="1" ht="96.3" customHeight="1" outlineLevel="7">
      <c r="B2114" s="58">
        <v>1634</v>
      </c>
      <c r="C2114" s="7" t="s">
        <v>7351</v>
      </c>
      <c r="D2114" s="71" t="s">
        <v>7352</v>
      </c>
      <c r="E2114" s="71"/>
      <c r="F2114" s="71"/>
      <c r="G2114" s="71"/>
      <c r="H2114" s="8" t="s">
        <v>7353</v>
      </c>
      <c r="I2114" s="9" t="s">
        <v>36</v>
      </c>
      <c r="J2114" s="8"/>
      <c r="K2114" s="6">
        <v>12</v>
      </c>
      <c r="L2114" s="10">
        <v>86.31</v>
      </c>
      <c r="M2114" s="11"/>
      <c r="N2114" s="8">
        <f t="shared" si="96"/>
        <v>0</v>
      </c>
      <c r="O2114" s="19">
        <f>0.1*M2114</f>
        <v>0</v>
      </c>
      <c r="P2114" s="13">
        <f>0.00045*M2114</f>
        <v>0</v>
      </c>
      <c r="Q2114" s="17" t="s">
        <v>37</v>
      </c>
      <c r="R2114" s="8" t="s">
        <v>7354</v>
      </c>
      <c r="S2114" s="8"/>
      <c r="T2114" s="7" t="str">
        <f>HYPERLINK("https://miland.ru/api/getInfo/image/4c91524b-fb7e-11f0-a28e-00155d82e908")</f>
        <v>https://miland.ru/api/getInfo/image/4c91524b-fb7e-11f0-a28e-00155d82e908</v>
      </c>
      <c r="U2114" s="7"/>
      <c r="V2114" s="7"/>
      <c r="W2114" s="7" t="s">
        <v>378</v>
      </c>
      <c r="X2114" s="7"/>
      <c r="Y2114" s="7" t="s">
        <v>41</v>
      </c>
      <c r="Z2114" s="7"/>
      <c r="AA2114" s="7" t="str">
        <f>HYPERLINK("https://miland.ru/api/getInfo/item/4c91524b-fb7e-11f0-a28e-00155d82e908")</f>
        <v>https://miland.ru/api/getInfo/item/4c91524b-fb7e-11f0-a28e-00155d82e908</v>
      </c>
      <c r="AB2114" s="7" t="s">
        <v>42</v>
      </c>
      <c r="AC2114" s="7"/>
      <c r="AD2114" s="7"/>
      <c r="AE2114" s="54"/>
    </row>
    <row r="2115" spans="2:31" s="1" customFormat="1" ht="96.3" customHeight="1" outlineLevel="7">
      <c r="B2115" s="58">
        <v>1635</v>
      </c>
      <c r="C2115" s="7" t="s">
        <v>7355</v>
      </c>
      <c r="D2115" s="71" t="s">
        <v>7356</v>
      </c>
      <c r="E2115" s="71"/>
      <c r="F2115" s="71"/>
      <c r="G2115" s="71"/>
      <c r="H2115" s="8" t="s">
        <v>7357</v>
      </c>
      <c r="I2115" s="9" t="s">
        <v>36</v>
      </c>
      <c r="J2115" s="8"/>
      <c r="K2115" s="6">
        <v>12</v>
      </c>
      <c r="L2115" s="10">
        <v>86.31</v>
      </c>
      <c r="M2115" s="11"/>
      <c r="N2115" s="8">
        <f t="shared" si="96"/>
        <v>0</v>
      </c>
      <c r="O2115" s="19">
        <f>0.1*M2115</f>
        <v>0</v>
      </c>
      <c r="P2115" s="13">
        <f>0.00037*M2115</f>
        <v>0</v>
      </c>
      <c r="Q2115" s="17" t="s">
        <v>37</v>
      </c>
      <c r="R2115" s="8" t="s">
        <v>7358</v>
      </c>
      <c r="S2115" s="8"/>
      <c r="T2115" s="7" t="str">
        <f>HYPERLINK("https://miland.ru/api/getInfo/image/7dcf132c-fb7e-11f0-a28e-00155d82e908")</f>
        <v>https://miland.ru/api/getInfo/image/7dcf132c-fb7e-11f0-a28e-00155d82e908</v>
      </c>
      <c r="U2115" s="7"/>
      <c r="V2115" s="7"/>
      <c r="W2115" s="7" t="s">
        <v>378</v>
      </c>
      <c r="X2115" s="7"/>
      <c r="Y2115" s="7" t="s">
        <v>41</v>
      </c>
      <c r="Z2115" s="7"/>
      <c r="AA2115" s="7" t="str">
        <f>HYPERLINK("https://miland.ru/api/getInfo/item/7dcf132c-fb7e-11f0-a28e-00155d82e908")</f>
        <v>https://miland.ru/api/getInfo/item/7dcf132c-fb7e-11f0-a28e-00155d82e908</v>
      </c>
      <c r="AB2115" s="7" t="s">
        <v>42</v>
      </c>
      <c r="AC2115" s="7"/>
      <c r="AD2115" s="7"/>
      <c r="AE2115" s="54"/>
    </row>
    <row r="2116" spans="2:31" ht="12" customHeight="1" outlineLevel="7">
      <c r="B2116" s="70" t="s">
        <v>7359</v>
      </c>
      <c r="C2116" s="70"/>
      <c r="D2116" s="70"/>
      <c r="E2116" s="70"/>
      <c r="F2116" s="70"/>
      <c r="G2116" s="70"/>
    </row>
    <row r="2117" spans="2:31" s="1" customFormat="1" ht="96.3" customHeight="1" outlineLevel="7">
      <c r="B2117" s="58">
        <v>1636</v>
      </c>
      <c r="C2117" s="7" t="s">
        <v>7360</v>
      </c>
      <c r="D2117" s="71" t="s">
        <v>7361</v>
      </c>
      <c r="E2117" s="71"/>
      <c r="F2117" s="71"/>
      <c r="G2117" s="71"/>
      <c r="H2117" s="8" t="s">
        <v>7362</v>
      </c>
      <c r="I2117" s="9" t="s">
        <v>36</v>
      </c>
      <c r="J2117" s="8"/>
      <c r="K2117" s="6">
        <v>12</v>
      </c>
      <c r="L2117" s="10">
        <v>86.31</v>
      </c>
      <c r="M2117" s="11"/>
      <c r="N2117" s="8">
        <f t="shared" ref="N2117:N2139" si="97">L2117*M2117</f>
        <v>0</v>
      </c>
      <c r="O2117" s="19">
        <f>0.1*M2117</f>
        <v>0</v>
      </c>
      <c r="P2117" s="13">
        <f>0.00036*M2117</f>
        <v>0</v>
      </c>
      <c r="Q2117" s="17" t="s">
        <v>37</v>
      </c>
      <c r="R2117" s="8" t="s">
        <v>7363</v>
      </c>
      <c r="S2117" s="8"/>
      <c r="T2117" s="7" t="str">
        <f>HYPERLINK("https://miland.ru/api/getInfo/image/1e5d03c3-fb7e-11f0-a28e-00155d82e908")</f>
        <v>https://miland.ru/api/getInfo/image/1e5d03c3-fb7e-11f0-a28e-00155d82e908</v>
      </c>
      <c r="U2117" s="7"/>
      <c r="V2117" s="7"/>
      <c r="W2117" s="7" t="s">
        <v>378</v>
      </c>
      <c r="X2117" s="7"/>
      <c r="Y2117" s="7" t="s">
        <v>41</v>
      </c>
      <c r="Z2117" s="7"/>
      <c r="AA2117" s="7" t="str">
        <f>HYPERLINK("https://miland.ru/api/getInfo/item/1e5d03c3-fb7e-11f0-a28e-00155d82e908")</f>
        <v>https://miland.ru/api/getInfo/item/1e5d03c3-fb7e-11f0-a28e-00155d82e908</v>
      </c>
      <c r="AB2117" s="7" t="s">
        <v>42</v>
      </c>
      <c r="AC2117" s="7"/>
      <c r="AD2117" s="7"/>
      <c r="AE2117" s="54"/>
    </row>
    <row r="2118" spans="2:31" s="1" customFormat="1" ht="96.3" customHeight="1" outlineLevel="7">
      <c r="B2118" s="58">
        <v>1637</v>
      </c>
      <c r="C2118" s="7" t="s">
        <v>7364</v>
      </c>
      <c r="D2118" s="71" t="s">
        <v>7365</v>
      </c>
      <c r="E2118" s="71"/>
      <c r="F2118" s="71"/>
      <c r="G2118" s="71"/>
      <c r="H2118" s="8" t="s">
        <v>7366</v>
      </c>
      <c r="I2118" s="9" t="s">
        <v>36</v>
      </c>
      <c r="J2118" s="8"/>
      <c r="K2118" s="6">
        <v>12</v>
      </c>
      <c r="L2118" s="10">
        <v>86.31</v>
      </c>
      <c r="M2118" s="11"/>
      <c r="N2118" s="8">
        <f t="shared" si="97"/>
        <v>0</v>
      </c>
      <c r="O2118" s="18">
        <f>0.09*M2118</f>
        <v>0</v>
      </c>
      <c r="P2118" s="13">
        <f>0.00039*M2118</f>
        <v>0</v>
      </c>
      <c r="Q2118" s="17" t="s">
        <v>37</v>
      </c>
      <c r="R2118" s="8" t="s">
        <v>7367</v>
      </c>
      <c r="S2118" s="8"/>
      <c r="T2118" s="7" t="str">
        <f>HYPERLINK("https://miland.ru/api/getInfo/image/e616b41c-fb7d-11f0-a28e-00155d82e908")</f>
        <v>https://miland.ru/api/getInfo/image/e616b41c-fb7d-11f0-a28e-00155d82e908</v>
      </c>
      <c r="U2118" s="7"/>
      <c r="V2118" s="7"/>
      <c r="W2118" s="7" t="s">
        <v>378</v>
      </c>
      <c r="X2118" s="7"/>
      <c r="Y2118" s="7" t="s">
        <v>41</v>
      </c>
      <c r="Z2118" s="7"/>
      <c r="AA2118" s="7" t="str">
        <f>HYPERLINK("https://miland.ru/api/getInfo/item/e616b41c-fb7d-11f0-a28e-00155d82e908")</f>
        <v>https://miland.ru/api/getInfo/item/e616b41c-fb7d-11f0-a28e-00155d82e908</v>
      </c>
      <c r="AB2118" s="7" t="s">
        <v>42</v>
      </c>
      <c r="AC2118" s="7"/>
      <c r="AD2118" s="7"/>
      <c r="AE2118" s="54"/>
    </row>
    <row r="2119" spans="2:31" s="1" customFormat="1" ht="96.3" customHeight="1" outlineLevel="7">
      <c r="B2119" s="57">
        <v>1638</v>
      </c>
      <c r="C2119" s="21" t="s">
        <v>7368</v>
      </c>
      <c r="D2119" s="72" t="s">
        <v>7369</v>
      </c>
      <c r="E2119" s="72"/>
      <c r="F2119" s="72"/>
      <c r="G2119" s="72"/>
      <c r="H2119" s="22" t="s">
        <v>7370</v>
      </c>
      <c r="I2119" s="23" t="s">
        <v>36</v>
      </c>
      <c r="J2119" s="22"/>
      <c r="K2119" s="20">
        <v>12</v>
      </c>
      <c r="L2119" s="24">
        <v>70.010000000000005</v>
      </c>
      <c r="M2119" s="11"/>
      <c r="N2119" s="22">
        <f t="shared" si="97"/>
        <v>0</v>
      </c>
      <c r="O2119" s="25">
        <f>0.089*M2119</f>
        <v>0</v>
      </c>
      <c r="P2119" s="26">
        <f>0.00026*M2119</f>
        <v>0</v>
      </c>
      <c r="Q2119" s="30"/>
      <c r="R2119" s="22" t="s">
        <v>7371</v>
      </c>
      <c r="S2119" s="22" t="s">
        <v>435</v>
      </c>
      <c r="T2119" s="21" t="str">
        <f>HYPERLINK("https://miland.ru/api/getInfo/image/f21f3806-b6d0-11ef-a267-00155d82e908")</f>
        <v>https://miland.ru/api/getInfo/image/f21f3806-b6d0-11ef-a267-00155d82e908</v>
      </c>
      <c r="U2119" s="21"/>
      <c r="V2119" s="21" t="s">
        <v>6525</v>
      </c>
      <c r="W2119" s="21" t="s">
        <v>378</v>
      </c>
      <c r="X2119" s="21"/>
      <c r="Y2119" s="21" t="s">
        <v>41</v>
      </c>
      <c r="Z2119" s="21"/>
      <c r="AA2119" s="21" t="str">
        <f>HYPERLINK("https://miland.ru/api/getInfo/item/f21f3806-b6d0-11ef-a267-00155d82e908")</f>
        <v>https://miland.ru/api/getInfo/item/f21f3806-b6d0-11ef-a267-00155d82e908</v>
      </c>
      <c r="AB2119" s="21" t="s">
        <v>42</v>
      </c>
      <c r="AC2119" s="21"/>
      <c r="AD2119" s="21"/>
    </row>
    <row r="2120" spans="2:31" s="1" customFormat="1" ht="96.3" customHeight="1" outlineLevel="7">
      <c r="B2120" s="57">
        <v>1639</v>
      </c>
      <c r="C2120" s="21" t="s">
        <v>7372</v>
      </c>
      <c r="D2120" s="72" t="s">
        <v>7373</v>
      </c>
      <c r="E2120" s="72"/>
      <c r="F2120" s="72"/>
      <c r="G2120" s="72"/>
      <c r="H2120" s="22" t="s">
        <v>7374</v>
      </c>
      <c r="I2120" s="23" t="s">
        <v>36</v>
      </c>
      <c r="J2120" s="22"/>
      <c r="K2120" s="20">
        <v>12</v>
      </c>
      <c r="L2120" s="24">
        <v>70.010000000000005</v>
      </c>
      <c r="M2120" s="11"/>
      <c r="N2120" s="22">
        <f t="shared" si="97"/>
        <v>0</v>
      </c>
      <c r="O2120" s="25">
        <f>22.646*M2120</f>
        <v>0</v>
      </c>
      <c r="P2120" s="26">
        <f>0.07087*M2120</f>
        <v>0</v>
      </c>
      <c r="Q2120" s="30"/>
      <c r="R2120" s="22" t="s">
        <v>7375</v>
      </c>
      <c r="S2120" s="22" t="s">
        <v>435</v>
      </c>
      <c r="T2120" s="21" t="str">
        <f>HYPERLINK("https://miland.ru/api/getInfo/image/37245c0a-b6d1-11ef-a267-00155d82e908")</f>
        <v>https://miland.ru/api/getInfo/image/37245c0a-b6d1-11ef-a267-00155d82e908</v>
      </c>
      <c r="U2120" s="21"/>
      <c r="V2120" s="21" t="s">
        <v>6525</v>
      </c>
      <c r="W2120" s="21" t="s">
        <v>378</v>
      </c>
      <c r="X2120" s="21"/>
      <c r="Y2120" s="21" t="s">
        <v>41</v>
      </c>
      <c r="Z2120" s="21"/>
      <c r="AA2120" s="21" t="str">
        <f>HYPERLINK("https://miland.ru/api/getInfo/item/37245c0a-b6d1-11ef-a267-00155d82e908")</f>
        <v>https://miland.ru/api/getInfo/item/37245c0a-b6d1-11ef-a267-00155d82e908</v>
      </c>
      <c r="AB2120" s="21" t="s">
        <v>42</v>
      </c>
      <c r="AC2120" s="21"/>
      <c r="AD2120" s="21"/>
    </row>
    <row r="2121" spans="2:31" s="1" customFormat="1" ht="96.3" customHeight="1" outlineLevel="7">
      <c r="B2121" s="57">
        <v>1640</v>
      </c>
      <c r="C2121" s="21" t="s">
        <v>7376</v>
      </c>
      <c r="D2121" s="72" t="s">
        <v>7377</v>
      </c>
      <c r="E2121" s="72"/>
      <c r="F2121" s="72"/>
      <c r="G2121" s="72"/>
      <c r="H2121" s="22" t="s">
        <v>7378</v>
      </c>
      <c r="I2121" s="23" t="s">
        <v>36</v>
      </c>
      <c r="J2121" s="22"/>
      <c r="K2121" s="20">
        <v>12</v>
      </c>
      <c r="L2121" s="24">
        <v>70.010000000000005</v>
      </c>
      <c r="M2121" s="11"/>
      <c r="N2121" s="22">
        <f t="shared" si="97"/>
        <v>0</v>
      </c>
      <c r="O2121" s="25">
        <f>0.089*M2121</f>
        <v>0</v>
      </c>
      <c r="P2121" s="26">
        <f>0.00026*M2121</f>
        <v>0</v>
      </c>
      <c r="Q2121" s="30"/>
      <c r="R2121" s="22" t="s">
        <v>7379</v>
      </c>
      <c r="S2121" s="22" t="s">
        <v>435</v>
      </c>
      <c r="T2121" s="21" t="str">
        <f>HYPERLINK("https://miland.ru/api/getInfo/image/163a8077-b6d1-11ef-a267-00155d82e908")</f>
        <v>https://miland.ru/api/getInfo/image/163a8077-b6d1-11ef-a267-00155d82e908</v>
      </c>
      <c r="U2121" s="21"/>
      <c r="V2121" s="21" t="s">
        <v>6525</v>
      </c>
      <c r="W2121" s="21" t="s">
        <v>378</v>
      </c>
      <c r="X2121" s="21"/>
      <c r="Y2121" s="21" t="s">
        <v>41</v>
      </c>
      <c r="Z2121" s="21"/>
      <c r="AA2121" s="21" t="str">
        <f>HYPERLINK("https://miland.ru/api/getInfo/item/163a8077-b6d1-11ef-a267-00155d82e908")</f>
        <v>https://miland.ru/api/getInfo/item/163a8077-b6d1-11ef-a267-00155d82e908</v>
      </c>
      <c r="AB2121" s="21" t="s">
        <v>42</v>
      </c>
      <c r="AC2121" s="21"/>
      <c r="AD2121" s="21"/>
    </row>
    <row r="2122" spans="2:31" s="1" customFormat="1" ht="96.3" customHeight="1" outlineLevel="7">
      <c r="B2122" s="57">
        <v>1641</v>
      </c>
      <c r="C2122" s="21" t="s">
        <v>7380</v>
      </c>
      <c r="D2122" s="72" t="s">
        <v>7381</v>
      </c>
      <c r="E2122" s="72"/>
      <c r="F2122" s="72"/>
      <c r="G2122" s="72"/>
      <c r="H2122" s="22" t="s">
        <v>7382</v>
      </c>
      <c r="I2122" s="23" t="s">
        <v>36</v>
      </c>
      <c r="J2122" s="22"/>
      <c r="K2122" s="20">
        <v>12</v>
      </c>
      <c r="L2122" s="24">
        <v>86.31</v>
      </c>
      <c r="M2122" s="11"/>
      <c r="N2122" s="22">
        <f t="shared" si="97"/>
        <v>0</v>
      </c>
      <c r="O2122" s="25">
        <f>0.088*M2122</f>
        <v>0</v>
      </c>
      <c r="P2122" s="26">
        <f>0.00028*M2122</f>
        <v>0</v>
      </c>
      <c r="Q2122" s="30"/>
      <c r="R2122" s="22" t="s">
        <v>7383</v>
      </c>
      <c r="S2122" s="22" t="s">
        <v>435</v>
      </c>
      <c r="T2122" s="21" t="str">
        <f>HYPERLINK("https://miland.ru/api/getInfo/image/0cb0c22e-a342-11ef-a267-00155d82e908")</f>
        <v>https://miland.ru/api/getInfo/image/0cb0c22e-a342-11ef-a267-00155d82e908</v>
      </c>
      <c r="U2122" s="21"/>
      <c r="V2122" s="21" t="s">
        <v>6525</v>
      </c>
      <c r="W2122" s="21" t="s">
        <v>378</v>
      </c>
      <c r="X2122" s="21"/>
      <c r="Y2122" s="21" t="s">
        <v>41</v>
      </c>
      <c r="Z2122" s="21"/>
      <c r="AA2122" s="21" t="str">
        <f>HYPERLINK("https://miland.ru/api/getInfo/item/0cb0c22e-a342-11ef-a267-00155d82e908")</f>
        <v>https://miland.ru/api/getInfo/item/0cb0c22e-a342-11ef-a267-00155d82e908</v>
      </c>
      <c r="AB2122" s="21" t="s">
        <v>42</v>
      </c>
      <c r="AC2122" s="21" t="s">
        <v>7384</v>
      </c>
      <c r="AD2122" s="21"/>
    </row>
    <row r="2123" spans="2:31" s="1" customFormat="1" ht="96.3" customHeight="1" outlineLevel="7">
      <c r="B2123" s="57">
        <v>1642</v>
      </c>
      <c r="C2123" s="21" t="s">
        <v>7385</v>
      </c>
      <c r="D2123" s="72" t="s">
        <v>7386</v>
      </c>
      <c r="E2123" s="72"/>
      <c r="F2123" s="72"/>
      <c r="G2123" s="72"/>
      <c r="H2123" s="22" t="s">
        <v>7387</v>
      </c>
      <c r="I2123" s="23" t="s">
        <v>36</v>
      </c>
      <c r="J2123" s="22"/>
      <c r="K2123" s="20">
        <v>12</v>
      </c>
      <c r="L2123" s="24">
        <v>86.31</v>
      </c>
      <c r="M2123" s="11"/>
      <c r="N2123" s="22">
        <f t="shared" si="97"/>
        <v>0</v>
      </c>
      <c r="O2123" s="25">
        <f>0.091*M2123</f>
        <v>0</v>
      </c>
      <c r="P2123" s="26">
        <f>0.00035*M2123</f>
        <v>0</v>
      </c>
      <c r="Q2123" s="30"/>
      <c r="R2123" s="22" t="s">
        <v>7388</v>
      </c>
      <c r="S2123" s="22" t="s">
        <v>435</v>
      </c>
      <c r="T2123" s="21" t="str">
        <f>HYPERLINK("https://miland.ru/api/getInfo/image/bab423cb-a341-11ef-a267-00155d82e908")</f>
        <v>https://miland.ru/api/getInfo/image/bab423cb-a341-11ef-a267-00155d82e908</v>
      </c>
      <c r="U2123" s="21"/>
      <c r="V2123" s="21" t="s">
        <v>6525</v>
      </c>
      <c r="W2123" s="21" t="s">
        <v>378</v>
      </c>
      <c r="X2123" s="21"/>
      <c r="Y2123" s="21" t="s">
        <v>41</v>
      </c>
      <c r="Z2123" s="21"/>
      <c r="AA2123" s="21" t="str">
        <f>HYPERLINK("https://miland.ru/api/getInfo/item/bab423cb-a341-11ef-a267-00155d82e908")</f>
        <v>https://miland.ru/api/getInfo/item/bab423cb-a341-11ef-a267-00155d82e908</v>
      </c>
      <c r="AB2123" s="21" t="s">
        <v>42</v>
      </c>
      <c r="AC2123" s="21" t="s">
        <v>7384</v>
      </c>
      <c r="AD2123" s="21"/>
    </row>
    <row r="2124" spans="2:31" s="1" customFormat="1" ht="96.3" customHeight="1" outlineLevel="7">
      <c r="B2124" s="57">
        <v>1643</v>
      </c>
      <c r="C2124" s="21" t="s">
        <v>7389</v>
      </c>
      <c r="D2124" s="72" t="s">
        <v>7390</v>
      </c>
      <c r="E2124" s="72"/>
      <c r="F2124" s="72"/>
      <c r="G2124" s="72"/>
      <c r="H2124" s="22" t="s">
        <v>7391</v>
      </c>
      <c r="I2124" s="23" t="s">
        <v>36</v>
      </c>
      <c r="J2124" s="22"/>
      <c r="K2124" s="20">
        <v>12</v>
      </c>
      <c r="L2124" s="24">
        <v>86.31</v>
      </c>
      <c r="M2124" s="11"/>
      <c r="N2124" s="22">
        <f t="shared" si="97"/>
        <v>0</v>
      </c>
      <c r="O2124" s="25">
        <f>0.045*M2124</f>
        <v>0</v>
      </c>
      <c r="P2124" s="26">
        <f>0.00117*M2124</f>
        <v>0</v>
      </c>
      <c r="Q2124" s="30"/>
      <c r="R2124" s="22" t="s">
        <v>7392</v>
      </c>
      <c r="S2124" s="22" t="s">
        <v>435</v>
      </c>
      <c r="T2124" s="21" t="str">
        <f>HYPERLINK("https://miland.ru/api/getInfo/image/361856d6-a342-11ef-a267-00155d82e908")</f>
        <v>https://miland.ru/api/getInfo/image/361856d6-a342-11ef-a267-00155d82e908</v>
      </c>
      <c r="U2124" s="21"/>
      <c r="V2124" s="21" t="s">
        <v>6525</v>
      </c>
      <c r="W2124" s="21" t="s">
        <v>378</v>
      </c>
      <c r="X2124" s="21"/>
      <c r="Y2124" s="21" t="s">
        <v>41</v>
      </c>
      <c r="Z2124" s="21"/>
      <c r="AA2124" s="21" t="str">
        <f>HYPERLINK("https://miland.ru/api/getInfo/item/361856d6-a342-11ef-a267-00155d82e908")</f>
        <v>https://miland.ru/api/getInfo/item/361856d6-a342-11ef-a267-00155d82e908</v>
      </c>
      <c r="AB2124" s="21" t="s">
        <v>42</v>
      </c>
      <c r="AC2124" s="21" t="s">
        <v>7384</v>
      </c>
      <c r="AD2124" s="21"/>
    </row>
    <row r="2125" spans="2:31" s="1" customFormat="1" ht="96.3" customHeight="1" outlineLevel="7">
      <c r="B2125" s="57">
        <v>1644</v>
      </c>
      <c r="C2125" s="21" t="s">
        <v>7393</v>
      </c>
      <c r="D2125" s="72" t="s">
        <v>7394</v>
      </c>
      <c r="E2125" s="72"/>
      <c r="F2125" s="72"/>
      <c r="G2125" s="72"/>
      <c r="H2125" s="22" t="s">
        <v>7395</v>
      </c>
      <c r="I2125" s="23" t="s">
        <v>36</v>
      </c>
      <c r="J2125" s="22"/>
      <c r="K2125" s="20">
        <v>12</v>
      </c>
      <c r="L2125" s="24">
        <v>86.31</v>
      </c>
      <c r="M2125" s="11"/>
      <c r="N2125" s="22">
        <f t="shared" si="97"/>
        <v>0</v>
      </c>
      <c r="O2125" s="25">
        <f>0.061*M2125</f>
        <v>0</v>
      </c>
      <c r="P2125" s="26">
        <f>0.00119*M2125</f>
        <v>0</v>
      </c>
      <c r="Q2125" s="30"/>
      <c r="R2125" s="22" t="s">
        <v>7396</v>
      </c>
      <c r="S2125" s="22" t="s">
        <v>435</v>
      </c>
      <c r="T2125" s="21" t="str">
        <f>HYPERLINK("https://miland.ru/api/getInfo/image/91dfcd2a-a341-11ef-a267-00155d82e908")</f>
        <v>https://miland.ru/api/getInfo/image/91dfcd2a-a341-11ef-a267-00155d82e908</v>
      </c>
      <c r="U2125" s="21"/>
      <c r="V2125" s="21" t="s">
        <v>6525</v>
      </c>
      <c r="W2125" s="21" t="s">
        <v>378</v>
      </c>
      <c r="X2125" s="21"/>
      <c r="Y2125" s="21" t="s">
        <v>41</v>
      </c>
      <c r="Z2125" s="21"/>
      <c r="AA2125" s="21" t="str">
        <f>HYPERLINK("https://miland.ru/api/getInfo/item/91dfcd2a-a341-11ef-a267-00155d82e908")</f>
        <v>https://miland.ru/api/getInfo/item/91dfcd2a-a341-11ef-a267-00155d82e908</v>
      </c>
      <c r="AB2125" s="21" t="s">
        <v>42</v>
      </c>
      <c r="AC2125" s="21" t="s">
        <v>7384</v>
      </c>
      <c r="AD2125" s="21"/>
    </row>
    <row r="2126" spans="2:31" s="1" customFormat="1" ht="22.05" customHeight="1" outlineLevel="7">
      <c r="B2126" s="57">
        <v>1645</v>
      </c>
      <c r="C2126" s="21" t="s">
        <v>7397</v>
      </c>
      <c r="D2126" s="72" t="s">
        <v>7398</v>
      </c>
      <c r="E2126" s="72"/>
      <c r="F2126" s="72"/>
      <c r="G2126" s="72"/>
      <c r="H2126" s="22" t="s">
        <v>7399</v>
      </c>
      <c r="I2126" s="27">
        <v>372</v>
      </c>
      <c r="J2126" s="22"/>
      <c r="K2126" s="20">
        <v>36</v>
      </c>
      <c r="L2126" s="24">
        <v>63.76</v>
      </c>
      <c r="M2126" s="11"/>
      <c r="N2126" s="22">
        <f t="shared" si="97"/>
        <v>0</v>
      </c>
      <c r="O2126" s="25">
        <f>0.005*M2126</f>
        <v>0</v>
      </c>
      <c r="P2126" s="26">
        <f>0.00083*M2126</f>
        <v>0</v>
      </c>
      <c r="Q2126" s="30"/>
      <c r="R2126" s="22" t="s">
        <v>7400</v>
      </c>
      <c r="S2126" s="22"/>
      <c r="T2126" s="21"/>
      <c r="U2126" s="21"/>
      <c r="V2126" s="21"/>
      <c r="W2126" s="21" t="s">
        <v>378</v>
      </c>
      <c r="X2126" s="21"/>
      <c r="Y2126" s="21"/>
      <c r="Z2126" s="21"/>
      <c r="AA2126" s="21"/>
      <c r="AB2126" s="21" t="s">
        <v>42</v>
      </c>
      <c r="AC2126" s="21"/>
      <c r="AD2126" s="21"/>
    </row>
    <row r="2127" spans="2:31" s="1" customFormat="1" ht="22.05" customHeight="1" outlineLevel="7">
      <c r="B2127" s="57">
        <v>1646</v>
      </c>
      <c r="C2127" s="21" t="s">
        <v>7401</v>
      </c>
      <c r="D2127" s="72" t="s">
        <v>7402</v>
      </c>
      <c r="E2127" s="72"/>
      <c r="F2127" s="72"/>
      <c r="G2127" s="72"/>
      <c r="H2127" s="22" t="s">
        <v>7403</v>
      </c>
      <c r="I2127" s="27">
        <v>408</v>
      </c>
      <c r="J2127" s="22"/>
      <c r="K2127" s="20">
        <v>48</v>
      </c>
      <c r="L2127" s="24">
        <v>63.76</v>
      </c>
      <c r="M2127" s="11"/>
      <c r="N2127" s="22">
        <f t="shared" si="97"/>
        <v>0</v>
      </c>
      <c r="O2127" s="25">
        <f>0.005*M2127</f>
        <v>0</v>
      </c>
      <c r="P2127" s="26">
        <f>0.00083*M2127</f>
        <v>0</v>
      </c>
      <c r="Q2127" s="30"/>
      <c r="R2127" s="22" t="s">
        <v>7404</v>
      </c>
      <c r="S2127" s="22"/>
      <c r="T2127" s="21"/>
      <c r="U2127" s="21"/>
      <c r="V2127" s="21"/>
      <c r="W2127" s="21" t="s">
        <v>378</v>
      </c>
      <c r="X2127" s="21"/>
      <c r="Y2127" s="21"/>
      <c r="Z2127" s="21"/>
      <c r="AA2127" s="21"/>
      <c r="AB2127" s="21" t="s">
        <v>42</v>
      </c>
      <c r="AC2127" s="21"/>
      <c r="AD2127" s="21"/>
    </row>
    <row r="2128" spans="2:31" s="1" customFormat="1" ht="22.05" customHeight="1" outlineLevel="7">
      <c r="B2128" s="57">
        <v>1647</v>
      </c>
      <c r="C2128" s="21" t="s">
        <v>7405</v>
      </c>
      <c r="D2128" s="72" t="s">
        <v>7406</v>
      </c>
      <c r="E2128" s="72"/>
      <c r="F2128" s="72"/>
      <c r="G2128" s="72"/>
      <c r="H2128" s="22" t="s">
        <v>7407</v>
      </c>
      <c r="I2128" s="27">
        <v>240</v>
      </c>
      <c r="J2128" s="22"/>
      <c r="K2128" s="20">
        <v>36</v>
      </c>
      <c r="L2128" s="24">
        <v>63.76</v>
      </c>
      <c r="M2128" s="11"/>
      <c r="N2128" s="22">
        <f t="shared" si="97"/>
        <v>0</v>
      </c>
      <c r="O2128" s="25">
        <f>0.086*M2128</f>
        <v>0</v>
      </c>
      <c r="P2128" s="26">
        <f>0.00033*M2128</f>
        <v>0</v>
      </c>
      <c r="Q2128" s="30"/>
      <c r="R2128" s="22" t="s">
        <v>7408</v>
      </c>
      <c r="S2128" s="22"/>
      <c r="T2128" s="21"/>
      <c r="U2128" s="21"/>
      <c r="V2128" s="21"/>
      <c r="W2128" s="21" t="s">
        <v>378</v>
      </c>
      <c r="X2128" s="21"/>
      <c r="Y2128" s="21"/>
      <c r="Z2128" s="21"/>
      <c r="AA2128" s="21"/>
      <c r="AB2128" s="21" t="s">
        <v>42</v>
      </c>
      <c r="AC2128" s="21"/>
      <c r="AD2128" s="21"/>
    </row>
    <row r="2129" spans="2:31" s="1" customFormat="1" ht="22.05" customHeight="1" outlineLevel="7">
      <c r="B2129" s="57">
        <v>1648</v>
      </c>
      <c r="C2129" s="21" t="s">
        <v>7409</v>
      </c>
      <c r="D2129" s="72" t="s">
        <v>7410</v>
      </c>
      <c r="E2129" s="72"/>
      <c r="F2129" s="72"/>
      <c r="G2129" s="72"/>
      <c r="H2129" s="22" t="s">
        <v>7411</v>
      </c>
      <c r="I2129" s="23" t="s">
        <v>36</v>
      </c>
      <c r="J2129" s="22"/>
      <c r="K2129" s="20">
        <v>48</v>
      </c>
      <c r="L2129" s="24">
        <v>63.76</v>
      </c>
      <c r="M2129" s="11"/>
      <c r="N2129" s="22">
        <f t="shared" si="97"/>
        <v>0</v>
      </c>
      <c r="O2129" s="25">
        <f t="shared" ref="O2129:O2138" si="98">0.005*M2129</f>
        <v>0</v>
      </c>
      <c r="P2129" s="26">
        <f>0.00074*M2129</f>
        <v>0</v>
      </c>
      <c r="Q2129" s="30"/>
      <c r="R2129" s="22" t="s">
        <v>7412</v>
      </c>
      <c r="S2129" s="22"/>
      <c r="T2129" s="21"/>
      <c r="U2129" s="21"/>
      <c r="V2129" s="21"/>
      <c r="W2129" s="21" t="s">
        <v>378</v>
      </c>
      <c r="X2129" s="21"/>
      <c r="Y2129" s="21"/>
      <c r="Z2129" s="21"/>
      <c r="AA2129" s="21"/>
      <c r="AB2129" s="21" t="s">
        <v>42</v>
      </c>
      <c r="AC2129" s="21"/>
      <c r="AD2129" s="21"/>
    </row>
    <row r="2130" spans="2:31" s="1" customFormat="1" ht="22.05" customHeight="1" outlineLevel="7">
      <c r="B2130" s="57">
        <v>1649</v>
      </c>
      <c r="C2130" s="21" t="s">
        <v>7413</v>
      </c>
      <c r="D2130" s="72" t="s">
        <v>7414</v>
      </c>
      <c r="E2130" s="72"/>
      <c r="F2130" s="72"/>
      <c r="G2130" s="72"/>
      <c r="H2130" s="22" t="s">
        <v>7415</v>
      </c>
      <c r="I2130" s="27">
        <v>300</v>
      </c>
      <c r="J2130" s="22"/>
      <c r="K2130" s="20">
        <v>36</v>
      </c>
      <c r="L2130" s="24">
        <v>63.76</v>
      </c>
      <c r="M2130" s="11"/>
      <c r="N2130" s="22">
        <f t="shared" si="97"/>
        <v>0</v>
      </c>
      <c r="O2130" s="25">
        <f t="shared" si="98"/>
        <v>0</v>
      </c>
      <c r="P2130" s="26">
        <f>0.00083*M2130</f>
        <v>0</v>
      </c>
      <c r="Q2130" s="30"/>
      <c r="R2130" s="22" t="s">
        <v>7416</v>
      </c>
      <c r="S2130" s="22"/>
      <c r="T2130" s="21"/>
      <c r="U2130" s="21"/>
      <c r="V2130" s="21"/>
      <c r="W2130" s="21" t="s">
        <v>378</v>
      </c>
      <c r="X2130" s="21"/>
      <c r="Y2130" s="21"/>
      <c r="Z2130" s="21"/>
      <c r="AA2130" s="21"/>
      <c r="AB2130" s="21" t="s">
        <v>42</v>
      </c>
      <c r="AC2130" s="21"/>
      <c r="AD2130" s="21"/>
    </row>
    <row r="2131" spans="2:31" s="1" customFormat="1" ht="22.05" customHeight="1" outlineLevel="7">
      <c r="B2131" s="57">
        <v>1650</v>
      </c>
      <c r="C2131" s="21" t="s">
        <v>7417</v>
      </c>
      <c r="D2131" s="72" t="s">
        <v>7418</v>
      </c>
      <c r="E2131" s="72"/>
      <c r="F2131" s="72"/>
      <c r="G2131" s="72"/>
      <c r="H2131" s="22" t="s">
        <v>7419</v>
      </c>
      <c r="I2131" s="27">
        <v>372</v>
      </c>
      <c r="J2131" s="22"/>
      <c r="K2131" s="20">
        <v>36</v>
      </c>
      <c r="L2131" s="24">
        <v>68.16</v>
      </c>
      <c r="M2131" s="11"/>
      <c r="N2131" s="22">
        <f t="shared" si="97"/>
        <v>0</v>
      </c>
      <c r="O2131" s="25">
        <f t="shared" si="98"/>
        <v>0</v>
      </c>
      <c r="P2131" s="26">
        <f>0.00083*M2131</f>
        <v>0</v>
      </c>
      <c r="Q2131" s="30"/>
      <c r="R2131" s="22" t="s">
        <v>7420</v>
      </c>
      <c r="S2131" s="22"/>
      <c r="T2131" s="21"/>
      <c r="U2131" s="21"/>
      <c r="V2131" s="21"/>
      <c r="W2131" s="21" t="s">
        <v>378</v>
      </c>
      <c r="X2131" s="21"/>
      <c r="Y2131" s="21"/>
      <c r="Z2131" s="21"/>
      <c r="AA2131" s="21"/>
      <c r="AB2131" s="21" t="s">
        <v>42</v>
      </c>
      <c r="AC2131" s="21"/>
      <c r="AD2131" s="21"/>
    </row>
    <row r="2132" spans="2:31" s="1" customFormat="1" ht="22.05" customHeight="1" outlineLevel="7">
      <c r="B2132" s="57">
        <v>1651</v>
      </c>
      <c r="C2132" s="21" t="s">
        <v>7421</v>
      </c>
      <c r="D2132" s="72" t="s">
        <v>7422</v>
      </c>
      <c r="E2132" s="72"/>
      <c r="F2132" s="72"/>
      <c r="G2132" s="72"/>
      <c r="H2132" s="22" t="s">
        <v>7423</v>
      </c>
      <c r="I2132" s="27">
        <v>336</v>
      </c>
      <c r="J2132" s="22"/>
      <c r="K2132" s="20">
        <v>48</v>
      </c>
      <c r="L2132" s="24">
        <v>63.76</v>
      </c>
      <c r="M2132" s="11"/>
      <c r="N2132" s="22">
        <f t="shared" si="97"/>
        <v>0</v>
      </c>
      <c r="O2132" s="25">
        <f t="shared" si="98"/>
        <v>0</v>
      </c>
      <c r="P2132" s="26">
        <f>0.00083*M2132</f>
        <v>0</v>
      </c>
      <c r="Q2132" s="30"/>
      <c r="R2132" s="22" t="s">
        <v>7424</v>
      </c>
      <c r="S2132" s="22"/>
      <c r="T2132" s="21"/>
      <c r="U2132" s="21"/>
      <c r="V2132" s="21"/>
      <c r="W2132" s="21" t="s">
        <v>378</v>
      </c>
      <c r="X2132" s="21"/>
      <c r="Y2132" s="21"/>
      <c r="Z2132" s="21"/>
      <c r="AA2132" s="21"/>
      <c r="AB2132" s="21" t="s">
        <v>42</v>
      </c>
      <c r="AC2132" s="21"/>
      <c r="AD2132" s="21"/>
    </row>
    <row r="2133" spans="2:31" s="1" customFormat="1" ht="22.05" customHeight="1" outlineLevel="7">
      <c r="B2133" s="57">
        <v>1652</v>
      </c>
      <c r="C2133" s="21" t="s">
        <v>7425</v>
      </c>
      <c r="D2133" s="72" t="s">
        <v>7426</v>
      </c>
      <c r="E2133" s="72"/>
      <c r="F2133" s="72"/>
      <c r="G2133" s="72"/>
      <c r="H2133" s="22" t="s">
        <v>7427</v>
      </c>
      <c r="I2133" s="23" t="s">
        <v>36</v>
      </c>
      <c r="J2133" s="22"/>
      <c r="K2133" s="20">
        <v>36</v>
      </c>
      <c r="L2133" s="24">
        <v>63.76</v>
      </c>
      <c r="M2133" s="11"/>
      <c r="N2133" s="22">
        <f t="shared" si="97"/>
        <v>0</v>
      </c>
      <c r="O2133" s="25">
        <f t="shared" si="98"/>
        <v>0</v>
      </c>
      <c r="P2133" s="25">
        <f>0.001*M2133</f>
        <v>0</v>
      </c>
      <c r="Q2133" s="30"/>
      <c r="R2133" s="22" t="s">
        <v>7428</v>
      </c>
      <c r="S2133" s="22"/>
      <c r="T2133" s="21"/>
      <c r="U2133" s="21"/>
      <c r="V2133" s="21"/>
      <c r="W2133" s="21" t="s">
        <v>378</v>
      </c>
      <c r="X2133" s="21"/>
      <c r="Y2133" s="21"/>
      <c r="Z2133" s="21"/>
      <c r="AA2133" s="21"/>
      <c r="AB2133" s="21" t="s">
        <v>42</v>
      </c>
      <c r="AC2133" s="21"/>
      <c r="AD2133" s="21"/>
    </row>
    <row r="2134" spans="2:31" s="1" customFormat="1" ht="22.05" customHeight="1" outlineLevel="7">
      <c r="B2134" s="57">
        <v>1653</v>
      </c>
      <c r="C2134" s="21" t="s">
        <v>7429</v>
      </c>
      <c r="D2134" s="72" t="s">
        <v>7430</v>
      </c>
      <c r="E2134" s="72"/>
      <c r="F2134" s="72"/>
      <c r="G2134" s="72"/>
      <c r="H2134" s="22" t="s">
        <v>7431</v>
      </c>
      <c r="I2134" s="27">
        <v>420</v>
      </c>
      <c r="J2134" s="22"/>
      <c r="K2134" s="20">
        <v>48</v>
      </c>
      <c r="L2134" s="24">
        <v>63.76</v>
      </c>
      <c r="M2134" s="11"/>
      <c r="N2134" s="22">
        <f t="shared" si="97"/>
        <v>0</v>
      </c>
      <c r="O2134" s="25">
        <f t="shared" si="98"/>
        <v>0</v>
      </c>
      <c r="P2134" s="26">
        <f>0.00083*M2134</f>
        <v>0</v>
      </c>
      <c r="Q2134" s="30"/>
      <c r="R2134" s="22" t="s">
        <v>7432</v>
      </c>
      <c r="S2134" s="22"/>
      <c r="T2134" s="21"/>
      <c r="U2134" s="21"/>
      <c r="V2134" s="21"/>
      <c r="W2134" s="21" t="s">
        <v>378</v>
      </c>
      <c r="X2134" s="21"/>
      <c r="Y2134" s="21"/>
      <c r="Z2134" s="21"/>
      <c r="AA2134" s="21"/>
      <c r="AB2134" s="21" t="s">
        <v>42</v>
      </c>
      <c r="AC2134" s="21"/>
      <c r="AD2134" s="21"/>
    </row>
    <row r="2135" spans="2:31" s="1" customFormat="1" ht="22.05" customHeight="1" outlineLevel="7">
      <c r="B2135" s="57">
        <v>1654</v>
      </c>
      <c r="C2135" s="21" t="s">
        <v>7433</v>
      </c>
      <c r="D2135" s="72" t="s">
        <v>7434</v>
      </c>
      <c r="E2135" s="72"/>
      <c r="F2135" s="72"/>
      <c r="G2135" s="72"/>
      <c r="H2135" s="22" t="s">
        <v>7435</v>
      </c>
      <c r="I2135" s="27">
        <v>360</v>
      </c>
      <c r="J2135" s="22"/>
      <c r="K2135" s="20">
        <v>36</v>
      </c>
      <c r="L2135" s="24">
        <v>63.76</v>
      </c>
      <c r="M2135" s="11"/>
      <c r="N2135" s="22">
        <f t="shared" si="97"/>
        <v>0</v>
      </c>
      <c r="O2135" s="25">
        <f t="shared" si="98"/>
        <v>0</v>
      </c>
      <c r="P2135" s="26">
        <f>0.00083*M2135</f>
        <v>0</v>
      </c>
      <c r="Q2135" s="30"/>
      <c r="R2135" s="22" t="s">
        <v>7436</v>
      </c>
      <c r="S2135" s="22"/>
      <c r="T2135" s="21"/>
      <c r="U2135" s="21"/>
      <c r="V2135" s="21"/>
      <c r="W2135" s="21" t="s">
        <v>378</v>
      </c>
      <c r="X2135" s="21"/>
      <c r="Y2135" s="21"/>
      <c r="Z2135" s="21"/>
      <c r="AA2135" s="21"/>
      <c r="AB2135" s="21" t="s">
        <v>42</v>
      </c>
      <c r="AC2135" s="21"/>
      <c r="AD2135" s="21"/>
    </row>
    <row r="2136" spans="2:31" s="1" customFormat="1" ht="22.05" customHeight="1" outlineLevel="7">
      <c r="B2136" s="57">
        <v>1655</v>
      </c>
      <c r="C2136" s="21" t="s">
        <v>7437</v>
      </c>
      <c r="D2136" s="72" t="s">
        <v>7438</v>
      </c>
      <c r="E2136" s="72"/>
      <c r="F2136" s="72"/>
      <c r="G2136" s="72"/>
      <c r="H2136" s="22" t="s">
        <v>7439</v>
      </c>
      <c r="I2136" s="27">
        <v>72</v>
      </c>
      <c r="J2136" s="22"/>
      <c r="K2136" s="20">
        <v>48</v>
      </c>
      <c r="L2136" s="24">
        <v>63.76</v>
      </c>
      <c r="M2136" s="11"/>
      <c r="N2136" s="22">
        <f t="shared" si="97"/>
        <v>0</v>
      </c>
      <c r="O2136" s="25">
        <f t="shared" si="98"/>
        <v>0</v>
      </c>
      <c r="P2136" s="26">
        <f>0.00083*M2136</f>
        <v>0</v>
      </c>
      <c r="Q2136" s="30"/>
      <c r="R2136" s="22" t="s">
        <v>7440</v>
      </c>
      <c r="S2136" s="22"/>
      <c r="T2136" s="21"/>
      <c r="U2136" s="21"/>
      <c r="V2136" s="21"/>
      <c r="W2136" s="21" t="s">
        <v>378</v>
      </c>
      <c r="X2136" s="21"/>
      <c r="Y2136" s="21"/>
      <c r="Z2136" s="21"/>
      <c r="AA2136" s="21"/>
      <c r="AB2136" s="21" t="s">
        <v>42</v>
      </c>
      <c r="AC2136" s="21"/>
      <c r="AD2136" s="21"/>
    </row>
    <row r="2137" spans="2:31" s="1" customFormat="1" ht="22.05" customHeight="1" outlineLevel="7">
      <c r="B2137" s="57">
        <v>1656</v>
      </c>
      <c r="C2137" s="21" t="s">
        <v>7441</v>
      </c>
      <c r="D2137" s="72" t="s">
        <v>7442</v>
      </c>
      <c r="E2137" s="72"/>
      <c r="F2137" s="72"/>
      <c r="G2137" s="72"/>
      <c r="H2137" s="22" t="s">
        <v>7443</v>
      </c>
      <c r="I2137" s="23" t="s">
        <v>36</v>
      </c>
      <c r="J2137" s="22"/>
      <c r="K2137" s="20">
        <v>48</v>
      </c>
      <c r="L2137" s="24">
        <v>63.76</v>
      </c>
      <c r="M2137" s="11"/>
      <c r="N2137" s="22">
        <f t="shared" si="97"/>
        <v>0</v>
      </c>
      <c r="O2137" s="25">
        <f t="shared" si="98"/>
        <v>0</v>
      </c>
      <c r="P2137" s="26">
        <f>0.00083*M2137</f>
        <v>0</v>
      </c>
      <c r="Q2137" s="30"/>
      <c r="R2137" s="22" t="s">
        <v>7444</v>
      </c>
      <c r="S2137" s="22"/>
      <c r="T2137" s="21"/>
      <c r="U2137" s="21"/>
      <c r="V2137" s="21"/>
      <c r="W2137" s="21" t="s">
        <v>378</v>
      </c>
      <c r="X2137" s="21"/>
      <c r="Y2137" s="21"/>
      <c r="Z2137" s="21"/>
      <c r="AA2137" s="21"/>
      <c r="AB2137" s="21" t="s">
        <v>42</v>
      </c>
      <c r="AC2137" s="21"/>
      <c r="AD2137" s="21"/>
    </row>
    <row r="2138" spans="2:31" s="1" customFormat="1" ht="22.05" customHeight="1" outlineLevel="7">
      <c r="B2138" s="57">
        <v>1657</v>
      </c>
      <c r="C2138" s="21" t="s">
        <v>7445</v>
      </c>
      <c r="D2138" s="72" t="s">
        <v>7446</v>
      </c>
      <c r="E2138" s="72"/>
      <c r="F2138" s="72"/>
      <c r="G2138" s="72"/>
      <c r="H2138" s="22" t="s">
        <v>7447</v>
      </c>
      <c r="I2138" s="27">
        <v>264</v>
      </c>
      <c r="J2138" s="22"/>
      <c r="K2138" s="20">
        <v>36</v>
      </c>
      <c r="L2138" s="24">
        <v>63.76</v>
      </c>
      <c r="M2138" s="11"/>
      <c r="N2138" s="22">
        <f t="shared" si="97"/>
        <v>0</v>
      </c>
      <c r="O2138" s="25">
        <f t="shared" si="98"/>
        <v>0</v>
      </c>
      <c r="P2138" s="26">
        <f>0.00083*M2138</f>
        <v>0</v>
      </c>
      <c r="Q2138" s="30"/>
      <c r="R2138" s="22" t="s">
        <v>7448</v>
      </c>
      <c r="S2138" s="22"/>
      <c r="T2138" s="21"/>
      <c r="U2138" s="21"/>
      <c r="V2138" s="21"/>
      <c r="W2138" s="21" t="s">
        <v>378</v>
      </c>
      <c r="X2138" s="21"/>
      <c r="Y2138" s="21"/>
      <c r="Z2138" s="21"/>
      <c r="AA2138" s="21"/>
      <c r="AB2138" s="21" t="s">
        <v>42</v>
      </c>
      <c r="AC2138" s="21"/>
      <c r="AD2138" s="21"/>
    </row>
    <row r="2139" spans="2:31" s="1" customFormat="1" ht="96.3" customHeight="1" outlineLevel="7">
      <c r="B2139" s="57">
        <v>1658</v>
      </c>
      <c r="C2139" s="21" t="s">
        <v>7449</v>
      </c>
      <c r="D2139" s="72" t="s">
        <v>7450</v>
      </c>
      <c r="E2139" s="72"/>
      <c r="F2139" s="72"/>
      <c r="G2139" s="72"/>
      <c r="H2139" s="22" t="s">
        <v>7451</v>
      </c>
      <c r="I2139" s="27">
        <v>396</v>
      </c>
      <c r="J2139" s="22"/>
      <c r="K2139" s="20">
        <v>12</v>
      </c>
      <c r="L2139" s="24">
        <v>86.31</v>
      </c>
      <c r="M2139" s="11"/>
      <c r="N2139" s="22">
        <f t="shared" si="97"/>
        <v>0</v>
      </c>
      <c r="O2139" s="25">
        <f>0.024*M2139</f>
        <v>0</v>
      </c>
      <c r="P2139" s="26">
        <f>0.00017*M2139</f>
        <v>0</v>
      </c>
      <c r="Q2139" s="30"/>
      <c r="R2139" s="22" t="s">
        <v>7452</v>
      </c>
      <c r="S2139" s="22" t="s">
        <v>435</v>
      </c>
      <c r="T2139" s="21" t="str">
        <f>HYPERLINK("https://miland.ru/api/getInfo/image/e9646ccb-a341-11ef-a267-00155d82e908")</f>
        <v>https://miland.ru/api/getInfo/image/e9646ccb-a341-11ef-a267-00155d82e908</v>
      </c>
      <c r="U2139" s="21"/>
      <c r="V2139" s="21" t="s">
        <v>6525</v>
      </c>
      <c r="W2139" s="21" t="s">
        <v>378</v>
      </c>
      <c r="X2139" s="21"/>
      <c r="Y2139" s="21" t="s">
        <v>41</v>
      </c>
      <c r="Z2139" s="21"/>
      <c r="AA2139" s="21" t="str">
        <f>HYPERLINK("https://miland.ru/api/getInfo/item/e9646ccb-a341-11ef-a267-00155d82e908")</f>
        <v>https://miland.ru/api/getInfo/item/e9646ccb-a341-11ef-a267-00155d82e908</v>
      </c>
      <c r="AB2139" s="21" t="s">
        <v>42</v>
      </c>
      <c r="AC2139" s="21" t="s">
        <v>7384</v>
      </c>
      <c r="AD2139" s="21"/>
    </row>
    <row r="2140" spans="2:31" ht="12" customHeight="1" outlineLevel="6">
      <c r="B2140" s="70" t="s">
        <v>6556</v>
      </c>
      <c r="C2140" s="70"/>
      <c r="D2140" s="70"/>
      <c r="E2140" s="70"/>
      <c r="F2140" s="70"/>
      <c r="G2140" s="70"/>
    </row>
    <row r="2141" spans="2:31" s="1" customFormat="1" ht="96.3" customHeight="1" outlineLevel="7">
      <c r="B2141" s="59">
        <v>1659</v>
      </c>
      <c r="C2141" s="35" t="s">
        <v>7453</v>
      </c>
      <c r="D2141" s="73" t="s">
        <v>7454</v>
      </c>
      <c r="E2141" s="73"/>
      <c r="F2141" s="73"/>
      <c r="G2141" s="73"/>
      <c r="H2141" s="36" t="s">
        <v>7455</v>
      </c>
      <c r="I2141" s="56" t="s">
        <v>36</v>
      </c>
      <c r="J2141" s="36"/>
      <c r="K2141" s="34">
        <v>12</v>
      </c>
      <c r="L2141" s="41">
        <v>53.586666666666666</v>
      </c>
      <c r="M2141" s="11"/>
      <c r="N2141" s="36">
        <f t="shared" ref="N2141:N2163" si="99">L2141*M2141</f>
        <v>0</v>
      </c>
      <c r="O2141" s="42">
        <f>0.059*M2141</f>
        <v>0</v>
      </c>
      <c r="P2141" s="43">
        <f>0.00006*M2141</f>
        <v>0</v>
      </c>
      <c r="Q2141" s="50" t="s">
        <v>37</v>
      </c>
      <c r="R2141" s="36" t="s">
        <v>7456</v>
      </c>
      <c r="S2141" s="36"/>
      <c r="T2141" s="35" t="str">
        <f>HYPERLINK("https://miland.ru/api/getInfo/image/cc18ba6a-fb81-11f0-a28e-00155d82e908")</f>
        <v>https://miland.ru/api/getInfo/image/cc18ba6a-fb81-11f0-a28e-00155d82e908</v>
      </c>
      <c r="U2141" s="35"/>
      <c r="V2141" s="35"/>
      <c r="W2141" s="35" t="s">
        <v>378</v>
      </c>
      <c r="X2141" s="35"/>
      <c r="Y2141" s="35" t="s">
        <v>41</v>
      </c>
      <c r="Z2141" s="35"/>
      <c r="AA2141" s="35" t="str">
        <f>HYPERLINK("https://miland.ru/api/getInfo/item/cc18ba6a-fb81-11f0-a28e-00155d82e908")</f>
        <v>https://miland.ru/api/getInfo/item/cc18ba6a-fb81-11f0-a28e-00155d82e908</v>
      </c>
      <c r="AB2141" s="35" t="s">
        <v>42</v>
      </c>
      <c r="AC2141" s="35"/>
      <c r="AD2141" s="35"/>
      <c r="AE2141" s="52" t="s">
        <v>1251</v>
      </c>
    </row>
    <row r="2142" spans="2:31" s="1" customFormat="1" ht="22.05" customHeight="1" outlineLevel="7">
      <c r="B2142" s="59">
        <v>1660</v>
      </c>
      <c r="C2142" s="35" t="s">
        <v>7457</v>
      </c>
      <c r="D2142" s="73" t="s">
        <v>7458</v>
      </c>
      <c r="E2142" s="73"/>
      <c r="F2142" s="73"/>
      <c r="G2142" s="73"/>
      <c r="H2142" s="36" t="s">
        <v>7459</v>
      </c>
      <c r="I2142" s="40">
        <v>444</v>
      </c>
      <c r="J2142" s="36"/>
      <c r="K2142" s="34">
        <v>24</v>
      </c>
      <c r="L2142" s="41">
        <v>38.813333333333333</v>
      </c>
      <c r="M2142" s="11"/>
      <c r="N2142" s="36">
        <f t="shared" si="99"/>
        <v>0</v>
      </c>
      <c r="O2142" s="42">
        <f>0.003*M2142</f>
        <v>0</v>
      </c>
      <c r="P2142" s="43">
        <f t="shared" ref="P2142:P2147" si="100">0.00069*M2142</f>
        <v>0</v>
      </c>
      <c r="Q2142" s="50"/>
      <c r="R2142" s="36" t="s">
        <v>7460</v>
      </c>
      <c r="S2142" s="36"/>
      <c r="T2142" s="35"/>
      <c r="U2142" s="35"/>
      <c r="V2142" s="35"/>
      <c r="W2142" s="35" t="s">
        <v>378</v>
      </c>
      <c r="X2142" s="35"/>
      <c r="Y2142" s="35"/>
      <c r="Z2142" s="35"/>
      <c r="AA2142" s="35"/>
      <c r="AB2142" s="35" t="s">
        <v>42</v>
      </c>
      <c r="AC2142" s="35"/>
      <c r="AD2142" s="35"/>
      <c r="AE2142" s="52" t="s">
        <v>1251</v>
      </c>
    </row>
    <row r="2143" spans="2:31" s="1" customFormat="1" ht="22.05" customHeight="1" outlineLevel="7">
      <c r="B2143" s="59">
        <v>1661</v>
      </c>
      <c r="C2143" s="35" t="s">
        <v>7461</v>
      </c>
      <c r="D2143" s="73" t="s">
        <v>7462</v>
      </c>
      <c r="E2143" s="73"/>
      <c r="F2143" s="73"/>
      <c r="G2143" s="73"/>
      <c r="H2143" s="36" t="s">
        <v>7463</v>
      </c>
      <c r="I2143" s="40">
        <v>324</v>
      </c>
      <c r="J2143" s="36"/>
      <c r="K2143" s="34">
        <v>24</v>
      </c>
      <c r="L2143" s="41">
        <v>38.813333333333333</v>
      </c>
      <c r="M2143" s="11"/>
      <c r="N2143" s="36">
        <f t="shared" si="99"/>
        <v>0</v>
      </c>
      <c r="O2143" s="42">
        <f>0.004*M2143</f>
        <v>0</v>
      </c>
      <c r="P2143" s="43">
        <f t="shared" si="100"/>
        <v>0</v>
      </c>
      <c r="Q2143" s="50"/>
      <c r="R2143" s="36" t="s">
        <v>7464</v>
      </c>
      <c r="S2143" s="36"/>
      <c r="T2143" s="35"/>
      <c r="U2143" s="35"/>
      <c r="V2143" s="35"/>
      <c r="W2143" s="35" t="s">
        <v>378</v>
      </c>
      <c r="X2143" s="35"/>
      <c r="Y2143" s="35"/>
      <c r="Z2143" s="35"/>
      <c r="AA2143" s="35"/>
      <c r="AB2143" s="35" t="s">
        <v>42</v>
      </c>
      <c r="AC2143" s="35"/>
      <c r="AD2143" s="35"/>
      <c r="AE2143" s="52" t="s">
        <v>1251</v>
      </c>
    </row>
    <row r="2144" spans="2:31" s="1" customFormat="1" ht="22.05" customHeight="1" outlineLevel="7">
      <c r="B2144" s="59">
        <v>1662</v>
      </c>
      <c r="C2144" s="35" t="s">
        <v>7465</v>
      </c>
      <c r="D2144" s="73" t="s">
        <v>7466</v>
      </c>
      <c r="E2144" s="73"/>
      <c r="F2144" s="73"/>
      <c r="G2144" s="73"/>
      <c r="H2144" s="36" t="s">
        <v>7467</v>
      </c>
      <c r="I2144" s="40">
        <v>348</v>
      </c>
      <c r="J2144" s="36"/>
      <c r="K2144" s="34">
        <v>24</v>
      </c>
      <c r="L2144" s="41">
        <v>38.813333333333333</v>
      </c>
      <c r="M2144" s="11"/>
      <c r="N2144" s="36">
        <f t="shared" si="99"/>
        <v>0</v>
      </c>
      <c r="O2144" s="42">
        <f>0.004*M2144</f>
        <v>0</v>
      </c>
      <c r="P2144" s="43">
        <f t="shared" si="100"/>
        <v>0</v>
      </c>
      <c r="Q2144" s="50"/>
      <c r="R2144" s="36" t="s">
        <v>7468</v>
      </c>
      <c r="S2144" s="36"/>
      <c r="T2144" s="35"/>
      <c r="U2144" s="35"/>
      <c r="V2144" s="35"/>
      <c r="W2144" s="35" t="s">
        <v>378</v>
      </c>
      <c r="X2144" s="35"/>
      <c r="Y2144" s="35"/>
      <c r="Z2144" s="35"/>
      <c r="AA2144" s="35"/>
      <c r="AB2144" s="35" t="s">
        <v>42</v>
      </c>
      <c r="AC2144" s="35"/>
      <c r="AD2144" s="35"/>
      <c r="AE2144" s="52" t="s">
        <v>1251</v>
      </c>
    </row>
    <row r="2145" spans="2:31" s="1" customFormat="1" ht="96.3" customHeight="1" outlineLevel="7">
      <c r="B2145" s="59">
        <v>1663</v>
      </c>
      <c r="C2145" s="35" t="s">
        <v>7469</v>
      </c>
      <c r="D2145" s="73" t="s">
        <v>7470</v>
      </c>
      <c r="E2145" s="73"/>
      <c r="F2145" s="73"/>
      <c r="G2145" s="73"/>
      <c r="H2145" s="36" t="s">
        <v>7471</v>
      </c>
      <c r="I2145" s="40">
        <v>420</v>
      </c>
      <c r="J2145" s="36"/>
      <c r="K2145" s="34">
        <v>24</v>
      </c>
      <c r="L2145" s="41">
        <v>39.706666666666671</v>
      </c>
      <c r="M2145" s="11"/>
      <c r="N2145" s="36">
        <f t="shared" si="99"/>
        <v>0</v>
      </c>
      <c r="O2145" s="42">
        <f>0.003*M2145</f>
        <v>0</v>
      </c>
      <c r="P2145" s="43">
        <f t="shared" si="100"/>
        <v>0</v>
      </c>
      <c r="Q2145" s="50"/>
      <c r="R2145" s="36" t="s">
        <v>7472</v>
      </c>
      <c r="S2145" s="36"/>
      <c r="T2145" s="35" t="str">
        <f>HYPERLINK("https://miland.ru/api/getInfo/image/2d5d2862-2efd-11f0-a27c-00155d82e908")</f>
        <v>https://miland.ru/api/getInfo/image/2d5d2862-2efd-11f0-a27c-00155d82e908</v>
      </c>
      <c r="U2145" s="35"/>
      <c r="V2145" s="35"/>
      <c r="W2145" s="35" t="s">
        <v>378</v>
      </c>
      <c r="X2145" s="35"/>
      <c r="Y2145" s="35"/>
      <c r="Z2145" s="35"/>
      <c r="AA2145" s="35" t="str">
        <f>HYPERLINK("https://miland.ru/api/getInfo/item/2d5d2862-2efd-11f0-a27c-00155d82e908")</f>
        <v>https://miland.ru/api/getInfo/item/2d5d2862-2efd-11f0-a27c-00155d82e908</v>
      </c>
      <c r="AB2145" s="35" t="s">
        <v>42</v>
      </c>
      <c r="AC2145" s="35"/>
      <c r="AD2145" s="35"/>
      <c r="AE2145" s="52" t="s">
        <v>1251</v>
      </c>
    </row>
    <row r="2146" spans="2:31" s="1" customFormat="1" ht="96.3" customHeight="1" outlineLevel="7">
      <c r="B2146" s="59">
        <v>1664</v>
      </c>
      <c r="C2146" s="35" t="s">
        <v>7473</v>
      </c>
      <c r="D2146" s="73" t="s">
        <v>7474</v>
      </c>
      <c r="E2146" s="73"/>
      <c r="F2146" s="73"/>
      <c r="G2146" s="73"/>
      <c r="H2146" s="36" t="s">
        <v>7475</v>
      </c>
      <c r="I2146" s="40">
        <v>300</v>
      </c>
      <c r="J2146" s="36"/>
      <c r="K2146" s="34">
        <v>24</v>
      </c>
      <c r="L2146" s="41">
        <v>39.706666666666671</v>
      </c>
      <c r="M2146" s="11"/>
      <c r="N2146" s="36">
        <f t="shared" si="99"/>
        <v>0</v>
      </c>
      <c r="O2146" s="42">
        <f>0.003*M2146</f>
        <v>0</v>
      </c>
      <c r="P2146" s="43">
        <f t="shared" si="100"/>
        <v>0</v>
      </c>
      <c r="Q2146" s="50"/>
      <c r="R2146" s="36" t="s">
        <v>7476</v>
      </c>
      <c r="S2146" s="36"/>
      <c r="T2146" s="35" t="str">
        <f>HYPERLINK("https://miland.ru/api/getInfo/image/4b47e946-2efd-11f0-a27c-00155d82e908")</f>
        <v>https://miland.ru/api/getInfo/image/4b47e946-2efd-11f0-a27c-00155d82e908</v>
      </c>
      <c r="U2146" s="35"/>
      <c r="V2146" s="35"/>
      <c r="W2146" s="35" t="s">
        <v>378</v>
      </c>
      <c r="X2146" s="35"/>
      <c r="Y2146" s="35"/>
      <c r="Z2146" s="35"/>
      <c r="AA2146" s="35" t="str">
        <f>HYPERLINK("https://miland.ru/api/getInfo/item/4b47e946-2efd-11f0-a27c-00155d82e908")</f>
        <v>https://miland.ru/api/getInfo/item/4b47e946-2efd-11f0-a27c-00155d82e908</v>
      </c>
      <c r="AB2146" s="35" t="s">
        <v>42</v>
      </c>
      <c r="AC2146" s="35"/>
      <c r="AD2146" s="35"/>
      <c r="AE2146" s="52" t="s">
        <v>1251</v>
      </c>
    </row>
    <row r="2147" spans="2:31" s="1" customFormat="1" ht="22.05" customHeight="1" outlineLevel="7">
      <c r="B2147" s="59">
        <v>1665</v>
      </c>
      <c r="C2147" s="35" t="s">
        <v>7477</v>
      </c>
      <c r="D2147" s="73" t="s">
        <v>7478</v>
      </c>
      <c r="E2147" s="73"/>
      <c r="F2147" s="73"/>
      <c r="G2147" s="73"/>
      <c r="H2147" s="36" t="s">
        <v>7479</v>
      </c>
      <c r="I2147" s="40">
        <v>300</v>
      </c>
      <c r="J2147" s="36"/>
      <c r="K2147" s="34">
        <v>24</v>
      </c>
      <c r="L2147" s="41">
        <v>38.813333333333333</v>
      </c>
      <c r="M2147" s="11"/>
      <c r="N2147" s="36">
        <f t="shared" si="99"/>
        <v>0</v>
      </c>
      <c r="O2147" s="42">
        <f>0.004*M2147</f>
        <v>0</v>
      </c>
      <c r="P2147" s="43">
        <f t="shared" si="100"/>
        <v>0</v>
      </c>
      <c r="Q2147" s="50"/>
      <c r="R2147" s="36" t="s">
        <v>7480</v>
      </c>
      <c r="S2147" s="36"/>
      <c r="T2147" s="35"/>
      <c r="U2147" s="35"/>
      <c r="V2147" s="35"/>
      <c r="W2147" s="35" t="s">
        <v>378</v>
      </c>
      <c r="X2147" s="35"/>
      <c r="Y2147" s="35"/>
      <c r="Z2147" s="35"/>
      <c r="AA2147" s="35"/>
      <c r="AB2147" s="35" t="s">
        <v>42</v>
      </c>
      <c r="AC2147" s="35"/>
      <c r="AD2147" s="35"/>
      <c r="AE2147" s="52" t="s">
        <v>1251</v>
      </c>
    </row>
    <row r="2148" spans="2:31" s="1" customFormat="1" ht="96.3" customHeight="1" outlineLevel="7">
      <c r="B2148" s="59">
        <v>1666</v>
      </c>
      <c r="C2148" s="35" t="s">
        <v>7481</v>
      </c>
      <c r="D2148" s="73" t="s">
        <v>7482</v>
      </c>
      <c r="E2148" s="73"/>
      <c r="F2148" s="73"/>
      <c r="G2148" s="73"/>
      <c r="H2148" s="36" t="s">
        <v>7471</v>
      </c>
      <c r="I2148" s="40">
        <v>24</v>
      </c>
      <c r="J2148" s="36"/>
      <c r="K2148" s="34">
        <v>24</v>
      </c>
      <c r="L2148" s="41">
        <v>64.733333333333334</v>
      </c>
      <c r="M2148" s="11"/>
      <c r="N2148" s="36">
        <f t="shared" si="99"/>
        <v>0</v>
      </c>
      <c r="O2148" s="47">
        <f>0.05*M2148</f>
        <v>0</v>
      </c>
      <c r="P2148" s="43">
        <f>0.00017*M2148</f>
        <v>0</v>
      </c>
      <c r="Q2148" s="50"/>
      <c r="R2148" s="36"/>
      <c r="S2148" s="36" t="s">
        <v>435</v>
      </c>
      <c r="T2148" s="35" t="str">
        <f>HYPERLINK("https://miland.ru/api/getInfo/image/32f080bb-da82-11f0-a28c-00155d82e908")</f>
        <v>https://miland.ru/api/getInfo/image/32f080bb-da82-11f0-a28c-00155d82e908</v>
      </c>
      <c r="U2148" s="35"/>
      <c r="V2148" s="35"/>
      <c r="W2148" s="35"/>
      <c r="X2148" s="35"/>
      <c r="Y2148" s="35"/>
      <c r="Z2148" s="35"/>
      <c r="AA2148" s="35" t="str">
        <f>HYPERLINK("https://miland.ru/api/getInfo/item/32f080bb-da82-11f0-a28c-00155d82e908")</f>
        <v>https://miland.ru/api/getInfo/item/32f080bb-da82-11f0-a28c-00155d82e908</v>
      </c>
      <c r="AB2148" s="35" t="s">
        <v>42</v>
      </c>
      <c r="AC2148" s="35"/>
      <c r="AD2148" s="35"/>
      <c r="AE2148" s="52" t="s">
        <v>1251</v>
      </c>
    </row>
    <row r="2149" spans="2:31" s="1" customFormat="1" ht="96.3" customHeight="1" outlineLevel="7">
      <c r="B2149" s="59">
        <v>1667</v>
      </c>
      <c r="C2149" s="35" t="s">
        <v>7483</v>
      </c>
      <c r="D2149" s="73" t="s">
        <v>7484</v>
      </c>
      <c r="E2149" s="73"/>
      <c r="F2149" s="73"/>
      <c r="G2149" s="73"/>
      <c r="H2149" s="36" t="s">
        <v>7485</v>
      </c>
      <c r="I2149" s="40">
        <v>228</v>
      </c>
      <c r="J2149" s="36"/>
      <c r="K2149" s="34">
        <v>24</v>
      </c>
      <c r="L2149" s="41">
        <v>39.706666666666671</v>
      </c>
      <c r="M2149" s="11"/>
      <c r="N2149" s="36">
        <f t="shared" si="99"/>
        <v>0</v>
      </c>
      <c r="O2149" s="42">
        <f>0.003*M2149</f>
        <v>0</v>
      </c>
      <c r="P2149" s="43">
        <f>0.00069*M2149</f>
        <v>0</v>
      </c>
      <c r="Q2149" s="50"/>
      <c r="R2149" s="36" t="s">
        <v>7486</v>
      </c>
      <c r="S2149" s="36"/>
      <c r="T2149" s="35" t="str">
        <f>HYPERLINK("https://miland.ru/api/getInfo/image/a2c1e536-2efc-11f0-a27c-00155d82e908")</f>
        <v>https://miland.ru/api/getInfo/image/a2c1e536-2efc-11f0-a27c-00155d82e908</v>
      </c>
      <c r="U2149" s="35"/>
      <c r="V2149" s="35"/>
      <c r="W2149" s="35" t="s">
        <v>378</v>
      </c>
      <c r="X2149" s="35"/>
      <c r="Y2149" s="35"/>
      <c r="Z2149" s="35"/>
      <c r="AA2149" s="35" t="str">
        <f>HYPERLINK("https://miland.ru/api/getInfo/item/a2c1e536-2efc-11f0-a27c-00155d82e908")</f>
        <v>https://miland.ru/api/getInfo/item/a2c1e536-2efc-11f0-a27c-00155d82e908</v>
      </c>
      <c r="AB2149" s="35" t="s">
        <v>42</v>
      </c>
      <c r="AC2149" s="35"/>
      <c r="AD2149" s="35"/>
      <c r="AE2149" s="52" t="s">
        <v>1251</v>
      </c>
    </row>
    <row r="2150" spans="2:31" s="1" customFormat="1" ht="22.05" customHeight="1" outlineLevel="7">
      <c r="B2150" s="59">
        <v>1668</v>
      </c>
      <c r="C2150" s="35" t="s">
        <v>7487</v>
      </c>
      <c r="D2150" s="73" t="s">
        <v>7488</v>
      </c>
      <c r="E2150" s="73"/>
      <c r="F2150" s="73"/>
      <c r="G2150" s="73"/>
      <c r="H2150" s="36" t="s">
        <v>7489</v>
      </c>
      <c r="I2150" s="40">
        <v>204</v>
      </c>
      <c r="J2150" s="36"/>
      <c r="K2150" s="34">
        <v>24</v>
      </c>
      <c r="L2150" s="41">
        <v>38.813333333333333</v>
      </c>
      <c r="M2150" s="11"/>
      <c r="N2150" s="36">
        <f t="shared" si="99"/>
        <v>0</v>
      </c>
      <c r="O2150" s="42">
        <f>0.004*M2150</f>
        <v>0</v>
      </c>
      <c r="P2150" s="43">
        <f>0.00069*M2150</f>
        <v>0</v>
      </c>
      <c r="Q2150" s="50"/>
      <c r="R2150" s="36" t="s">
        <v>7490</v>
      </c>
      <c r="S2150" s="36"/>
      <c r="T2150" s="35"/>
      <c r="U2150" s="35"/>
      <c r="V2150" s="35"/>
      <c r="W2150" s="35" t="s">
        <v>378</v>
      </c>
      <c r="X2150" s="35"/>
      <c r="Y2150" s="35"/>
      <c r="Z2150" s="35"/>
      <c r="AA2150" s="35"/>
      <c r="AB2150" s="35" t="s">
        <v>42</v>
      </c>
      <c r="AC2150" s="35"/>
      <c r="AD2150" s="35"/>
      <c r="AE2150" s="52" t="s">
        <v>1251</v>
      </c>
    </row>
    <row r="2151" spans="2:31" s="1" customFormat="1" ht="96.3" customHeight="1" outlineLevel="7">
      <c r="B2151" s="59">
        <v>1669</v>
      </c>
      <c r="C2151" s="35" t="s">
        <v>7491</v>
      </c>
      <c r="D2151" s="73" t="s">
        <v>7492</v>
      </c>
      <c r="E2151" s="73"/>
      <c r="F2151" s="73"/>
      <c r="G2151" s="73"/>
      <c r="H2151" s="36" t="s">
        <v>7493</v>
      </c>
      <c r="I2151" s="40">
        <v>240</v>
      </c>
      <c r="J2151" s="36"/>
      <c r="K2151" s="34">
        <v>24</v>
      </c>
      <c r="L2151" s="41">
        <v>39.706666666666671</v>
      </c>
      <c r="M2151" s="11"/>
      <c r="N2151" s="36">
        <f t="shared" si="99"/>
        <v>0</v>
      </c>
      <c r="O2151" s="42">
        <f>0.003*M2151</f>
        <v>0</v>
      </c>
      <c r="P2151" s="43">
        <f>0.00069*M2151</f>
        <v>0</v>
      </c>
      <c r="Q2151" s="50"/>
      <c r="R2151" s="36" t="s">
        <v>7494</v>
      </c>
      <c r="S2151" s="36"/>
      <c r="T2151" s="35" t="str">
        <f>HYPERLINK("https://miland.ru/api/getInfo/image/ccfac1e7-2efc-11f0-a27c-00155d82e908")</f>
        <v>https://miland.ru/api/getInfo/image/ccfac1e7-2efc-11f0-a27c-00155d82e908</v>
      </c>
      <c r="U2151" s="35"/>
      <c r="V2151" s="35"/>
      <c r="W2151" s="35" t="s">
        <v>378</v>
      </c>
      <c r="X2151" s="35"/>
      <c r="Y2151" s="35"/>
      <c r="Z2151" s="35"/>
      <c r="AA2151" s="35" t="str">
        <f>HYPERLINK("https://miland.ru/api/getInfo/item/ccfac1e7-2efc-11f0-a27c-00155d82e908")</f>
        <v>https://miland.ru/api/getInfo/item/ccfac1e7-2efc-11f0-a27c-00155d82e908</v>
      </c>
      <c r="AB2151" s="35" t="s">
        <v>42</v>
      </c>
      <c r="AC2151" s="35"/>
      <c r="AD2151" s="35"/>
      <c r="AE2151" s="52" t="s">
        <v>1251</v>
      </c>
    </row>
    <row r="2152" spans="2:31" s="1" customFormat="1" ht="96.3" customHeight="1" outlineLevel="7">
      <c r="B2152" s="59">
        <v>1670</v>
      </c>
      <c r="C2152" s="35" t="s">
        <v>7495</v>
      </c>
      <c r="D2152" s="73" t="s">
        <v>7496</v>
      </c>
      <c r="E2152" s="73"/>
      <c r="F2152" s="73"/>
      <c r="G2152" s="73"/>
      <c r="H2152" s="36" t="s">
        <v>7497</v>
      </c>
      <c r="I2152" s="56" t="s">
        <v>36</v>
      </c>
      <c r="J2152" s="36"/>
      <c r="K2152" s="34">
        <v>12</v>
      </c>
      <c r="L2152" s="41">
        <v>53.586666666666666</v>
      </c>
      <c r="M2152" s="11"/>
      <c r="N2152" s="36">
        <f t="shared" si="99"/>
        <v>0</v>
      </c>
      <c r="O2152" s="42">
        <f>0.059*M2152</f>
        <v>0</v>
      </c>
      <c r="P2152" s="43">
        <f>0.00058*M2152</f>
        <v>0</v>
      </c>
      <c r="Q2152" s="50" t="s">
        <v>37</v>
      </c>
      <c r="R2152" s="36" t="s">
        <v>7498</v>
      </c>
      <c r="S2152" s="36"/>
      <c r="T2152" s="35" t="str">
        <f>HYPERLINK("https://miland.ru/api/getInfo/image/0d70daba-fb82-11f0-a28e-00155d82e908")</f>
        <v>https://miland.ru/api/getInfo/image/0d70daba-fb82-11f0-a28e-00155d82e908</v>
      </c>
      <c r="U2152" s="35"/>
      <c r="V2152" s="35"/>
      <c r="W2152" s="35" t="s">
        <v>378</v>
      </c>
      <c r="X2152" s="35"/>
      <c r="Y2152" s="35" t="s">
        <v>41</v>
      </c>
      <c r="Z2152" s="35"/>
      <c r="AA2152" s="35" t="str">
        <f>HYPERLINK("https://miland.ru/api/getInfo/item/0d70daba-fb82-11f0-a28e-00155d82e908")</f>
        <v>https://miland.ru/api/getInfo/item/0d70daba-fb82-11f0-a28e-00155d82e908</v>
      </c>
      <c r="AB2152" s="35" t="s">
        <v>42</v>
      </c>
      <c r="AC2152" s="35"/>
      <c r="AD2152" s="35"/>
      <c r="AE2152" s="52" t="s">
        <v>1251</v>
      </c>
    </row>
    <row r="2153" spans="2:31" s="1" customFormat="1" ht="96.3" customHeight="1" outlineLevel="7">
      <c r="B2153" s="59">
        <v>1671</v>
      </c>
      <c r="C2153" s="35" t="s">
        <v>7499</v>
      </c>
      <c r="D2153" s="73" t="s">
        <v>7500</v>
      </c>
      <c r="E2153" s="73"/>
      <c r="F2153" s="73"/>
      <c r="G2153" s="73"/>
      <c r="H2153" s="36" t="s">
        <v>7501</v>
      </c>
      <c r="I2153" s="56" t="s">
        <v>36</v>
      </c>
      <c r="J2153" s="36"/>
      <c r="K2153" s="34">
        <v>12</v>
      </c>
      <c r="L2153" s="41">
        <v>53.586666666666666</v>
      </c>
      <c r="M2153" s="11"/>
      <c r="N2153" s="36">
        <f t="shared" si="99"/>
        <v>0</v>
      </c>
      <c r="O2153" s="47">
        <f>0.07*M2153</f>
        <v>0</v>
      </c>
      <c r="P2153" s="43">
        <f>0.00038*M2153</f>
        <v>0</v>
      </c>
      <c r="Q2153" s="50" t="s">
        <v>37</v>
      </c>
      <c r="R2153" s="36" t="s">
        <v>7502</v>
      </c>
      <c r="S2153" s="36"/>
      <c r="T2153" s="35" t="str">
        <f>HYPERLINK("https://miland.ru/api/getInfo/image/f9e086c5-fb81-11f0-a28e-00155d82e908")</f>
        <v>https://miland.ru/api/getInfo/image/f9e086c5-fb81-11f0-a28e-00155d82e908</v>
      </c>
      <c r="U2153" s="35"/>
      <c r="V2153" s="35"/>
      <c r="W2153" s="35" t="s">
        <v>378</v>
      </c>
      <c r="X2153" s="35"/>
      <c r="Y2153" s="35" t="s">
        <v>41</v>
      </c>
      <c r="Z2153" s="35"/>
      <c r="AA2153" s="35" t="str">
        <f>HYPERLINK("https://miland.ru/api/getInfo/item/f9e086c5-fb81-11f0-a28e-00155d82e908")</f>
        <v>https://miland.ru/api/getInfo/item/f9e086c5-fb81-11f0-a28e-00155d82e908</v>
      </c>
      <c r="AB2153" s="35" t="s">
        <v>42</v>
      </c>
      <c r="AC2153" s="35"/>
      <c r="AD2153" s="35"/>
      <c r="AE2153" s="52" t="s">
        <v>1251</v>
      </c>
    </row>
    <row r="2154" spans="2:31" s="1" customFormat="1" ht="96.3" customHeight="1" outlineLevel="7">
      <c r="B2154" s="59">
        <v>1672</v>
      </c>
      <c r="C2154" s="35" t="s">
        <v>7503</v>
      </c>
      <c r="D2154" s="73" t="s">
        <v>7504</v>
      </c>
      <c r="E2154" s="73"/>
      <c r="F2154" s="73"/>
      <c r="G2154" s="73"/>
      <c r="H2154" s="36" t="s">
        <v>7505</v>
      </c>
      <c r="I2154" s="56" t="s">
        <v>36</v>
      </c>
      <c r="J2154" s="36"/>
      <c r="K2154" s="34">
        <v>12</v>
      </c>
      <c r="L2154" s="41">
        <v>53.586666666666666</v>
      </c>
      <c r="M2154" s="11"/>
      <c r="N2154" s="36">
        <f t="shared" si="99"/>
        <v>0</v>
      </c>
      <c r="O2154" s="42">
        <f>0.059*M2154</f>
        <v>0</v>
      </c>
      <c r="P2154" s="43">
        <f>0.00058*M2154</f>
        <v>0</v>
      </c>
      <c r="Q2154" s="50" t="s">
        <v>37</v>
      </c>
      <c r="R2154" s="36" t="s">
        <v>7506</v>
      </c>
      <c r="S2154" s="36"/>
      <c r="T2154" s="35" t="str">
        <f>HYPERLINK("https://miland.ru/api/getInfo/image/84fb3bd4-fb81-11f0-a28e-00155d82e908")</f>
        <v>https://miland.ru/api/getInfo/image/84fb3bd4-fb81-11f0-a28e-00155d82e908</v>
      </c>
      <c r="U2154" s="35"/>
      <c r="V2154" s="35"/>
      <c r="W2154" s="35" t="s">
        <v>378</v>
      </c>
      <c r="X2154" s="35"/>
      <c r="Y2154" s="35" t="s">
        <v>41</v>
      </c>
      <c r="Z2154" s="35"/>
      <c r="AA2154" s="35" t="str">
        <f>HYPERLINK("https://miland.ru/api/getInfo/item/84fb3bd4-fb81-11f0-a28e-00155d82e908")</f>
        <v>https://miland.ru/api/getInfo/item/84fb3bd4-fb81-11f0-a28e-00155d82e908</v>
      </c>
      <c r="AB2154" s="35" t="s">
        <v>42</v>
      </c>
      <c r="AC2154" s="35"/>
      <c r="AD2154" s="35"/>
      <c r="AE2154" s="52" t="s">
        <v>1251</v>
      </c>
    </row>
    <row r="2155" spans="2:31" s="1" customFormat="1" ht="22.05" customHeight="1" outlineLevel="7">
      <c r="B2155" s="59">
        <v>1673</v>
      </c>
      <c r="C2155" s="35" t="s">
        <v>7507</v>
      </c>
      <c r="D2155" s="73" t="s">
        <v>7508</v>
      </c>
      <c r="E2155" s="73"/>
      <c r="F2155" s="73"/>
      <c r="G2155" s="73"/>
      <c r="H2155" s="36" t="s">
        <v>7509</v>
      </c>
      <c r="I2155" s="40">
        <v>120</v>
      </c>
      <c r="J2155" s="36"/>
      <c r="K2155" s="34">
        <v>24</v>
      </c>
      <c r="L2155" s="41">
        <v>38.813333333333333</v>
      </c>
      <c r="M2155" s="11"/>
      <c r="N2155" s="36">
        <f t="shared" si="99"/>
        <v>0</v>
      </c>
      <c r="O2155" s="42">
        <f>0.004*M2155</f>
        <v>0</v>
      </c>
      <c r="P2155" s="43">
        <f>0.00069*M2155</f>
        <v>0</v>
      </c>
      <c r="Q2155" s="50"/>
      <c r="R2155" s="36" t="s">
        <v>7510</v>
      </c>
      <c r="S2155" s="36"/>
      <c r="T2155" s="35"/>
      <c r="U2155" s="35"/>
      <c r="V2155" s="35"/>
      <c r="W2155" s="35" t="s">
        <v>378</v>
      </c>
      <c r="X2155" s="35"/>
      <c r="Y2155" s="35"/>
      <c r="Z2155" s="35"/>
      <c r="AA2155" s="35"/>
      <c r="AB2155" s="35" t="s">
        <v>42</v>
      </c>
      <c r="AC2155" s="35"/>
      <c r="AD2155" s="35"/>
      <c r="AE2155" s="52" t="s">
        <v>1251</v>
      </c>
    </row>
    <row r="2156" spans="2:31" s="1" customFormat="1" ht="96.3" customHeight="1" outlineLevel="7">
      <c r="B2156" s="59">
        <v>1674</v>
      </c>
      <c r="C2156" s="35" t="s">
        <v>7511</v>
      </c>
      <c r="D2156" s="73" t="s">
        <v>7512</v>
      </c>
      <c r="E2156" s="73"/>
      <c r="F2156" s="73"/>
      <c r="G2156" s="73"/>
      <c r="H2156" s="36" t="s">
        <v>7475</v>
      </c>
      <c r="I2156" s="40">
        <v>24</v>
      </c>
      <c r="J2156" s="36"/>
      <c r="K2156" s="34">
        <v>24</v>
      </c>
      <c r="L2156" s="41">
        <v>64.733333333333334</v>
      </c>
      <c r="M2156" s="11"/>
      <c r="N2156" s="36">
        <f t="shared" si="99"/>
        <v>0</v>
      </c>
      <c r="O2156" s="47">
        <f>0.05*M2156</f>
        <v>0</v>
      </c>
      <c r="P2156" s="43">
        <f>0.00017*M2156</f>
        <v>0</v>
      </c>
      <c r="Q2156" s="50"/>
      <c r="R2156" s="36"/>
      <c r="S2156" s="36" t="s">
        <v>435</v>
      </c>
      <c r="T2156" s="35" t="str">
        <f>HYPERLINK("https://miland.ru/api/getInfo/image/749a69b2-da82-11f0-a28c-00155d82e908")</f>
        <v>https://miland.ru/api/getInfo/image/749a69b2-da82-11f0-a28c-00155d82e908</v>
      </c>
      <c r="U2156" s="35"/>
      <c r="V2156" s="35"/>
      <c r="W2156" s="35"/>
      <c r="X2156" s="35"/>
      <c r="Y2156" s="35"/>
      <c r="Z2156" s="35"/>
      <c r="AA2156" s="35" t="str">
        <f>HYPERLINK("https://miland.ru/api/getInfo/item/749a69b2-da82-11f0-a28c-00155d82e908")</f>
        <v>https://miland.ru/api/getInfo/item/749a69b2-da82-11f0-a28c-00155d82e908</v>
      </c>
      <c r="AB2156" s="35" t="s">
        <v>42</v>
      </c>
      <c r="AC2156" s="35"/>
      <c r="AD2156" s="35"/>
      <c r="AE2156" s="52" t="s">
        <v>1251</v>
      </c>
    </row>
    <row r="2157" spans="2:31" s="1" customFormat="1" ht="96.3" customHeight="1" outlineLevel="7">
      <c r="B2157" s="59">
        <v>1675</v>
      </c>
      <c r="C2157" s="35" t="s">
        <v>7511</v>
      </c>
      <c r="D2157" s="73" t="s">
        <v>7512</v>
      </c>
      <c r="E2157" s="73"/>
      <c r="F2157" s="73"/>
      <c r="G2157" s="73"/>
      <c r="H2157" s="36" t="s">
        <v>7475</v>
      </c>
      <c r="I2157" s="40">
        <v>24</v>
      </c>
      <c r="J2157" s="36"/>
      <c r="K2157" s="34">
        <v>24</v>
      </c>
      <c r="L2157" s="41">
        <v>64.733333333333334</v>
      </c>
      <c r="M2157" s="11"/>
      <c r="N2157" s="36">
        <f t="shared" si="99"/>
        <v>0</v>
      </c>
      <c r="O2157" s="47">
        <f>0.05*M2157</f>
        <v>0</v>
      </c>
      <c r="P2157" s="43">
        <f>0.00017*M2157</f>
        <v>0</v>
      </c>
      <c r="Q2157" s="50"/>
      <c r="R2157" s="36"/>
      <c r="S2157" s="36" t="s">
        <v>435</v>
      </c>
      <c r="T2157" s="35" t="str">
        <f>HYPERLINK("https://miland.ru/api/getInfo/image/749a69b2-da82-11f0-a28c-00155d82e908")</f>
        <v>https://miland.ru/api/getInfo/image/749a69b2-da82-11f0-a28c-00155d82e908</v>
      </c>
      <c r="U2157" s="35"/>
      <c r="V2157" s="35"/>
      <c r="W2157" s="35"/>
      <c r="X2157" s="35"/>
      <c r="Y2157" s="35"/>
      <c r="Z2157" s="35"/>
      <c r="AA2157" s="35" t="str">
        <f>HYPERLINK("https://miland.ru/api/getInfo/item/749a69b2-da82-11f0-a28c-00155d82e908")</f>
        <v>https://miland.ru/api/getInfo/item/749a69b2-da82-11f0-a28c-00155d82e908</v>
      </c>
      <c r="AB2157" s="35" t="s">
        <v>42</v>
      </c>
      <c r="AC2157" s="35"/>
      <c r="AD2157" s="35"/>
      <c r="AE2157" s="52" t="s">
        <v>1251</v>
      </c>
    </row>
    <row r="2158" spans="2:31" s="1" customFormat="1" ht="96.3" customHeight="1" outlineLevel="7">
      <c r="B2158" s="59">
        <v>1676</v>
      </c>
      <c r="C2158" s="35" t="s">
        <v>7513</v>
      </c>
      <c r="D2158" s="73" t="s">
        <v>7514</v>
      </c>
      <c r="E2158" s="73"/>
      <c r="F2158" s="73"/>
      <c r="G2158" s="73"/>
      <c r="H2158" s="36" t="s">
        <v>7485</v>
      </c>
      <c r="I2158" s="40">
        <v>24</v>
      </c>
      <c r="J2158" s="36"/>
      <c r="K2158" s="34">
        <v>24</v>
      </c>
      <c r="L2158" s="41">
        <v>64.733333333333334</v>
      </c>
      <c r="M2158" s="11"/>
      <c r="N2158" s="36">
        <f t="shared" si="99"/>
        <v>0</v>
      </c>
      <c r="O2158" s="47">
        <f>0.05*M2158</f>
        <v>0</v>
      </c>
      <c r="P2158" s="43">
        <f>0.00017*M2158</f>
        <v>0</v>
      </c>
      <c r="Q2158" s="50"/>
      <c r="R2158" s="36"/>
      <c r="S2158" s="36" t="s">
        <v>435</v>
      </c>
      <c r="T2158" s="35" t="str">
        <f>HYPERLINK("https://miland.ru/api/getInfo/image/da7b3437-da7f-11f0-a28c-00155d82e908")</f>
        <v>https://miland.ru/api/getInfo/image/da7b3437-da7f-11f0-a28c-00155d82e908</v>
      </c>
      <c r="U2158" s="35"/>
      <c r="V2158" s="35"/>
      <c r="W2158" s="35"/>
      <c r="X2158" s="35"/>
      <c r="Y2158" s="35"/>
      <c r="Z2158" s="35"/>
      <c r="AA2158" s="35" t="str">
        <f>HYPERLINK("https://miland.ru/api/getInfo/item/da7b3437-da7f-11f0-a28c-00155d82e908")</f>
        <v>https://miland.ru/api/getInfo/item/da7b3437-da7f-11f0-a28c-00155d82e908</v>
      </c>
      <c r="AB2158" s="35" t="s">
        <v>42</v>
      </c>
      <c r="AC2158" s="35"/>
      <c r="AD2158" s="35"/>
      <c r="AE2158" s="52" t="s">
        <v>1251</v>
      </c>
    </row>
    <row r="2159" spans="2:31" s="1" customFormat="1" ht="96.3" customHeight="1" outlineLevel="7">
      <c r="B2159" s="59">
        <v>1677</v>
      </c>
      <c r="C2159" s="35" t="s">
        <v>7515</v>
      </c>
      <c r="D2159" s="73" t="s">
        <v>7516</v>
      </c>
      <c r="E2159" s="73"/>
      <c r="F2159" s="73"/>
      <c r="G2159" s="73"/>
      <c r="H2159" s="36" t="s">
        <v>7517</v>
      </c>
      <c r="I2159" s="40">
        <v>300</v>
      </c>
      <c r="J2159" s="36"/>
      <c r="K2159" s="34">
        <v>12</v>
      </c>
      <c r="L2159" s="41">
        <v>64.733333333333334</v>
      </c>
      <c r="M2159" s="11"/>
      <c r="N2159" s="36">
        <f t="shared" si="99"/>
        <v>0</v>
      </c>
      <c r="O2159" s="42">
        <f>0.077*M2159</f>
        <v>0</v>
      </c>
      <c r="P2159" s="43">
        <f>0.00036*M2159</f>
        <v>0</v>
      </c>
      <c r="Q2159" s="50"/>
      <c r="R2159" s="36" t="s">
        <v>7518</v>
      </c>
      <c r="S2159" s="36" t="s">
        <v>435</v>
      </c>
      <c r="T2159" s="35" t="str">
        <f>HYPERLINK("https://miland.ru/api/getInfo/image/9952f8d2-a349-11ef-a267-00155d82e908")</f>
        <v>https://miland.ru/api/getInfo/image/9952f8d2-a349-11ef-a267-00155d82e908</v>
      </c>
      <c r="U2159" s="35"/>
      <c r="V2159" s="35" t="s">
        <v>6525</v>
      </c>
      <c r="W2159" s="35" t="s">
        <v>378</v>
      </c>
      <c r="X2159" s="35"/>
      <c r="Y2159" s="35" t="s">
        <v>41</v>
      </c>
      <c r="Z2159" s="35"/>
      <c r="AA2159" s="35" t="str">
        <f>HYPERLINK("https://miland.ru/api/getInfo/item/9952f8d2-a349-11ef-a267-00155d82e908")</f>
        <v>https://miland.ru/api/getInfo/item/9952f8d2-a349-11ef-a267-00155d82e908</v>
      </c>
      <c r="AB2159" s="35" t="s">
        <v>42</v>
      </c>
      <c r="AC2159" s="35" t="s">
        <v>7519</v>
      </c>
      <c r="AD2159" s="35"/>
      <c r="AE2159" s="52" t="s">
        <v>1251</v>
      </c>
    </row>
    <row r="2160" spans="2:31" s="1" customFormat="1" ht="96.3" customHeight="1" outlineLevel="7">
      <c r="B2160" s="59">
        <v>1678</v>
      </c>
      <c r="C2160" s="35" t="s">
        <v>7520</v>
      </c>
      <c r="D2160" s="73" t="s">
        <v>7521</v>
      </c>
      <c r="E2160" s="73"/>
      <c r="F2160" s="73"/>
      <c r="G2160" s="73"/>
      <c r="H2160" s="36" t="s">
        <v>7522</v>
      </c>
      <c r="I2160" s="40">
        <v>300</v>
      </c>
      <c r="J2160" s="36"/>
      <c r="K2160" s="34">
        <v>12</v>
      </c>
      <c r="L2160" s="41">
        <v>64.733333333333334</v>
      </c>
      <c r="M2160" s="11"/>
      <c r="N2160" s="36">
        <f t="shared" si="99"/>
        <v>0</v>
      </c>
      <c r="O2160" s="42">
        <f>0.066*M2160</f>
        <v>0</v>
      </c>
      <c r="P2160" s="43">
        <f>0.00027*M2160</f>
        <v>0</v>
      </c>
      <c r="Q2160" s="50"/>
      <c r="R2160" s="36" t="s">
        <v>7523</v>
      </c>
      <c r="S2160" s="36" t="s">
        <v>435</v>
      </c>
      <c r="T2160" s="35" t="str">
        <f>HYPERLINK("https://miland.ru/api/getInfo/image/e0fbd9ea-a349-11ef-a267-00155d82e908")</f>
        <v>https://miland.ru/api/getInfo/image/e0fbd9ea-a349-11ef-a267-00155d82e908</v>
      </c>
      <c r="U2160" s="35"/>
      <c r="V2160" s="35" t="s">
        <v>6525</v>
      </c>
      <c r="W2160" s="35" t="s">
        <v>378</v>
      </c>
      <c r="X2160" s="35"/>
      <c r="Y2160" s="35" t="s">
        <v>41</v>
      </c>
      <c r="Z2160" s="35"/>
      <c r="AA2160" s="35" t="str">
        <f>HYPERLINK("https://miland.ru/api/getInfo/item/e0fbd9ea-a349-11ef-a267-00155d82e908")</f>
        <v>https://miland.ru/api/getInfo/item/e0fbd9ea-a349-11ef-a267-00155d82e908</v>
      </c>
      <c r="AB2160" s="35" t="s">
        <v>42</v>
      </c>
      <c r="AC2160" s="35" t="s">
        <v>7519</v>
      </c>
      <c r="AD2160" s="35"/>
      <c r="AE2160" s="52" t="s">
        <v>1251</v>
      </c>
    </row>
    <row r="2161" spans="2:31" s="1" customFormat="1" ht="96.3" customHeight="1" outlineLevel="7">
      <c r="B2161" s="59">
        <v>1679</v>
      </c>
      <c r="C2161" s="35" t="s">
        <v>7524</v>
      </c>
      <c r="D2161" s="73" t="s">
        <v>7525</v>
      </c>
      <c r="E2161" s="73"/>
      <c r="F2161" s="73"/>
      <c r="G2161" s="73"/>
      <c r="H2161" s="36" t="s">
        <v>7526</v>
      </c>
      <c r="I2161" s="40">
        <v>300</v>
      </c>
      <c r="J2161" s="36"/>
      <c r="K2161" s="34">
        <v>12</v>
      </c>
      <c r="L2161" s="41">
        <v>64.733333333333334</v>
      </c>
      <c r="M2161" s="11"/>
      <c r="N2161" s="36">
        <f t="shared" si="99"/>
        <v>0</v>
      </c>
      <c r="O2161" s="42">
        <f>0.062*M2161</f>
        <v>0</v>
      </c>
      <c r="P2161" s="43">
        <f>0.00037*M2161</f>
        <v>0</v>
      </c>
      <c r="Q2161" s="50"/>
      <c r="R2161" s="36" t="s">
        <v>7527</v>
      </c>
      <c r="S2161" s="36" t="s">
        <v>435</v>
      </c>
      <c r="T2161" s="35" t="str">
        <f>HYPERLINK("https://miland.ru/api/getInfo/image/713d6f8b-a349-11ef-a267-00155d82e908")</f>
        <v>https://miland.ru/api/getInfo/image/713d6f8b-a349-11ef-a267-00155d82e908</v>
      </c>
      <c r="U2161" s="35"/>
      <c r="V2161" s="35" t="s">
        <v>6525</v>
      </c>
      <c r="W2161" s="35" t="s">
        <v>378</v>
      </c>
      <c r="X2161" s="35"/>
      <c r="Y2161" s="35" t="s">
        <v>41</v>
      </c>
      <c r="Z2161" s="35"/>
      <c r="AA2161" s="35" t="str">
        <f>HYPERLINK("https://miland.ru/api/getInfo/item/713d6f8b-a349-11ef-a267-00155d82e908")</f>
        <v>https://miland.ru/api/getInfo/item/713d6f8b-a349-11ef-a267-00155d82e908</v>
      </c>
      <c r="AB2161" s="35" t="s">
        <v>42</v>
      </c>
      <c r="AC2161" s="35" t="s">
        <v>7519</v>
      </c>
      <c r="AD2161" s="35"/>
      <c r="AE2161" s="52" t="s">
        <v>1251</v>
      </c>
    </row>
    <row r="2162" spans="2:31" s="1" customFormat="1" ht="96.3" customHeight="1" outlineLevel="7">
      <c r="B2162" s="59">
        <v>1680</v>
      </c>
      <c r="C2162" s="35" t="s">
        <v>7528</v>
      </c>
      <c r="D2162" s="73" t="s">
        <v>7529</v>
      </c>
      <c r="E2162" s="73"/>
      <c r="F2162" s="73"/>
      <c r="G2162" s="73"/>
      <c r="H2162" s="36" t="s">
        <v>7530</v>
      </c>
      <c r="I2162" s="56" t="s">
        <v>36</v>
      </c>
      <c r="J2162" s="36"/>
      <c r="K2162" s="34">
        <v>12</v>
      </c>
      <c r="L2162" s="41">
        <v>53.586666666666666</v>
      </c>
      <c r="M2162" s="11"/>
      <c r="N2162" s="36">
        <f t="shared" si="99"/>
        <v>0</v>
      </c>
      <c r="O2162" s="47">
        <f>0.07*M2162</f>
        <v>0</v>
      </c>
      <c r="P2162" s="43">
        <f>0.00724*M2162</f>
        <v>0</v>
      </c>
      <c r="Q2162" s="50" t="s">
        <v>37</v>
      </c>
      <c r="R2162" s="36" t="s">
        <v>7531</v>
      </c>
      <c r="S2162" s="36"/>
      <c r="T2162" s="35" t="str">
        <f>HYPERLINK("https://miland.ru/api/getInfo/image/e41744e5-fb81-11f0-a28e-00155d82e908")</f>
        <v>https://miland.ru/api/getInfo/image/e41744e5-fb81-11f0-a28e-00155d82e908</v>
      </c>
      <c r="U2162" s="35"/>
      <c r="V2162" s="35"/>
      <c r="W2162" s="35" t="s">
        <v>378</v>
      </c>
      <c r="X2162" s="35"/>
      <c r="Y2162" s="35" t="s">
        <v>41</v>
      </c>
      <c r="Z2162" s="35"/>
      <c r="AA2162" s="35" t="str">
        <f>HYPERLINK("https://miland.ru/api/getInfo/item/e41744e5-fb81-11f0-a28e-00155d82e908")</f>
        <v>https://miland.ru/api/getInfo/item/e41744e5-fb81-11f0-a28e-00155d82e908</v>
      </c>
      <c r="AB2162" s="35" t="s">
        <v>42</v>
      </c>
      <c r="AC2162" s="35"/>
      <c r="AD2162" s="35"/>
      <c r="AE2162" s="52" t="s">
        <v>1251</v>
      </c>
    </row>
    <row r="2163" spans="2:31" s="1" customFormat="1" ht="96.3" customHeight="1" outlineLevel="7">
      <c r="B2163" s="59">
        <v>1681</v>
      </c>
      <c r="C2163" s="35" t="s">
        <v>7532</v>
      </c>
      <c r="D2163" s="73" t="s">
        <v>7533</v>
      </c>
      <c r="E2163" s="73"/>
      <c r="F2163" s="73"/>
      <c r="G2163" s="73"/>
      <c r="H2163" s="36" t="s">
        <v>7534</v>
      </c>
      <c r="I2163" s="56" t="s">
        <v>36</v>
      </c>
      <c r="J2163" s="36"/>
      <c r="K2163" s="34">
        <v>12</v>
      </c>
      <c r="L2163" s="41">
        <v>53.586666666666666</v>
      </c>
      <c r="M2163" s="11"/>
      <c r="N2163" s="36">
        <f t="shared" si="99"/>
        <v>0</v>
      </c>
      <c r="O2163" s="47">
        <f>0.07*M2163</f>
        <v>0</v>
      </c>
      <c r="P2163" s="43">
        <f>0.00057*M2163</f>
        <v>0</v>
      </c>
      <c r="Q2163" s="50" t="s">
        <v>37</v>
      </c>
      <c r="R2163" s="36" t="s">
        <v>7535</v>
      </c>
      <c r="S2163" s="36"/>
      <c r="T2163" s="35" t="str">
        <f>HYPERLINK("https://miland.ru/api/getInfo/image/b14fcc5e-fb81-11f0-a28e-00155d82e908")</f>
        <v>https://miland.ru/api/getInfo/image/b14fcc5e-fb81-11f0-a28e-00155d82e908</v>
      </c>
      <c r="U2163" s="35"/>
      <c r="V2163" s="35"/>
      <c r="W2163" s="35" t="s">
        <v>378</v>
      </c>
      <c r="X2163" s="35"/>
      <c r="Y2163" s="35" t="s">
        <v>41</v>
      </c>
      <c r="Z2163" s="35"/>
      <c r="AA2163" s="35" t="str">
        <f>HYPERLINK("https://miland.ru/api/getInfo/item/b14fcc5e-fb81-11f0-a28e-00155d82e908")</f>
        <v>https://miland.ru/api/getInfo/item/b14fcc5e-fb81-11f0-a28e-00155d82e908</v>
      </c>
      <c r="AB2163" s="35" t="s">
        <v>42</v>
      </c>
      <c r="AC2163" s="35"/>
      <c r="AD2163" s="35"/>
      <c r="AE2163" s="52" t="s">
        <v>1251</v>
      </c>
    </row>
    <row r="2164" spans="2:31" ht="12" customHeight="1" outlineLevel="6">
      <c r="B2164" s="70" t="s">
        <v>7536</v>
      </c>
      <c r="C2164" s="70"/>
      <c r="D2164" s="70"/>
      <c r="E2164" s="70"/>
      <c r="F2164" s="70"/>
      <c r="G2164" s="70"/>
    </row>
    <row r="2165" spans="2:31" s="1" customFormat="1" ht="96.3" customHeight="1" outlineLevel="7">
      <c r="B2165" s="57">
        <v>1682</v>
      </c>
      <c r="C2165" s="21" t="s">
        <v>7537</v>
      </c>
      <c r="D2165" s="72" t="s">
        <v>7538</v>
      </c>
      <c r="E2165" s="72"/>
      <c r="F2165" s="72"/>
      <c r="G2165" s="72"/>
      <c r="H2165" s="22" t="s">
        <v>7539</v>
      </c>
      <c r="I2165" s="23" t="s">
        <v>36</v>
      </c>
      <c r="J2165" s="22"/>
      <c r="K2165" s="20">
        <v>24</v>
      </c>
      <c r="L2165" s="24">
        <v>48.32</v>
      </c>
      <c r="M2165" s="11"/>
      <c r="N2165" s="22">
        <f t="shared" ref="N2165:N2184" si="101">L2165*M2165</f>
        <v>0</v>
      </c>
      <c r="O2165" s="25">
        <f>0.004*M2165</f>
        <v>0</v>
      </c>
      <c r="P2165" s="26">
        <f>0.00112*M2165</f>
        <v>0</v>
      </c>
      <c r="Q2165" s="30"/>
      <c r="R2165" s="22" t="s">
        <v>7540</v>
      </c>
      <c r="S2165" s="22"/>
      <c r="T2165" s="21"/>
      <c r="U2165" s="21"/>
      <c r="V2165" s="21"/>
      <c r="W2165" s="21" t="s">
        <v>378</v>
      </c>
      <c r="X2165" s="21"/>
      <c r="Y2165" s="21"/>
      <c r="Z2165" s="21"/>
      <c r="AA2165" s="21"/>
      <c r="AB2165" s="21" t="s">
        <v>42</v>
      </c>
      <c r="AC2165" s="21"/>
      <c r="AD2165" s="21"/>
    </row>
    <row r="2166" spans="2:31" s="1" customFormat="1" ht="96.3" customHeight="1" outlineLevel="7">
      <c r="B2166" s="57">
        <v>1683</v>
      </c>
      <c r="C2166" s="21" t="s">
        <v>7541</v>
      </c>
      <c r="D2166" s="72" t="s">
        <v>7542</v>
      </c>
      <c r="E2166" s="72"/>
      <c r="F2166" s="72"/>
      <c r="G2166" s="72"/>
      <c r="H2166" s="22" t="s">
        <v>7543</v>
      </c>
      <c r="I2166" s="23" t="s">
        <v>36</v>
      </c>
      <c r="J2166" s="22"/>
      <c r="K2166" s="20">
        <v>24</v>
      </c>
      <c r="L2166" s="24">
        <v>48.28</v>
      </c>
      <c r="M2166" s="11"/>
      <c r="N2166" s="22">
        <f t="shared" si="101"/>
        <v>0</v>
      </c>
      <c r="O2166" s="25">
        <f>0.004*M2166</f>
        <v>0</v>
      </c>
      <c r="P2166" s="26">
        <f>0.00112*M2166</f>
        <v>0</v>
      </c>
      <c r="Q2166" s="30"/>
      <c r="R2166" s="22" t="s">
        <v>7544</v>
      </c>
      <c r="S2166" s="22"/>
      <c r="T2166" s="21" t="str">
        <f>HYPERLINK("https://miland.ru/api/getInfo/image/9a7fb324-2efd-11f0-a27c-00155d82e908")</f>
        <v>https://miland.ru/api/getInfo/image/9a7fb324-2efd-11f0-a27c-00155d82e908</v>
      </c>
      <c r="U2166" s="21"/>
      <c r="V2166" s="21"/>
      <c r="W2166" s="21" t="s">
        <v>378</v>
      </c>
      <c r="X2166" s="21"/>
      <c r="Y2166" s="21"/>
      <c r="Z2166" s="21"/>
      <c r="AA2166" s="21" t="str">
        <f>HYPERLINK("https://miland.ru/api/getInfo/item/9a7fb324-2efd-11f0-a27c-00155d82e908")</f>
        <v>https://miland.ru/api/getInfo/item/9a7fb324-2efd-11f0-a27c-00155d82e908</v>
      </c>
      <c r="AB2166" s="21" t="s">
        <v>42</v>
      </c>
      <c r="AC2166" s="21"/>
      <c r="AD2166" s="21"/>
    </row>
    <row r="2167" spans="2:31" s="1" customFormat="1" ht="96.3" customHeight="1" outlineLevel="7">
      <c r="B2167" s="57">
        <v>1684</v>
      </c>
      <c r="C2167" s="21" t="s">
        <v>7545</v>
      </c>
      <c r="D2167" s="72" t="s">
        <v>7546</v>
      </c>
      <c r="E2167" s="72"/>
      <c r="F2167" s="72"/>
      <c r="G2167" s="72"/>
      <c r="H2167" s="22" t="s">
        <v>7547</v>
      </c>
      <c r="I2167" s="23" t="s">
        <v>36</v>
      </c>
      <c r="J2167" s="22"/>
      <c r="K2167" s="20">
        <v>24</v>
      </c>
      <c r="L2167" s="24">
        <v>48.32</v>
      </c>
      <c r="M2167" s="11"/>
      <c r="N2167" s="22">
        <f t="shared" si="101"/>
        <v>0</v>
      </c>
      <c r="O2167" s="25">
        <f>0.004*M2167</f>
        <v>0</v>
      </c>
      <c r="P2167" s="26">
        <f>0.00112*M2167</f>
        <v>0</v>
      </c>
      <c r="Q2167" s="30"/>
      <c r="R2167" s="22" t="s">
        <v>7548</v>
      </c>
      <c r="S2167" s="22"/>
      <c r="T2167" s="21" t="str">
        <f>HYPERLINK("https://miland.ru/api/getInfo/image/704e6437-2efd-11f0-a27c-00155d82e908")</f>
        <v>https://miland.ru/api/getInfo/image/704e6437-2efd-11f0-a27c-00155d82e908</v>
      </c>
      <c r="U2167" s="21"/>
      <c r="V2167" s="21"/>
      <c r="W2167" s="21" t="s">
        <v>378</v>
      </c>
      <c r="X2167" s="21"/>
      <c r="Y2167" s="21"/>
      <c r="Z2167" s="21"/>
      <c r="AA2167" s="21" t="str">
        <f>HYPERLINK("https://miland.ru/api/getInfo/item/704e6437-2efd-11f0-a27c-00155d82e908")</f>
        <v>https://miland.ru/api/getInfo/item/704e6437-2efd-11f0-a27c-00155d82e908</v>
      </c>
      <c r="AB2167" s="21" t="s">
        <v>42</v>
      </c>
      <c r="AC2167" s="21"/>
      <c r="AD2167" s="21"/>
    </row>
    <row r="2168" spans="2:31" s="1" customFormat="1" ht="96.3" customHeight="1" outlineLevel="7">
      <c r="B2168" s="57">
        <v>1685</v>
      </c>
      <c r="C2168" s="21" t="s">
        <v>7549</v>
      </c>
      <c r="D2168" s="72" t="s">
        <v>7550</v>
      </c>
      <c r="E2168" s="72"/>
      <c r="F2168" s="72"/>
      <c r="G2168" s="72"/>
      <c r="H2168" s="22" t="s">
        <v>7551</v>
      </c>
      <c r="I2168" s="23" t="s">
        <v>36</v>
      </c>
      <c r="J2168" s="22"/>
      <c r="K2168" s="20">
        <v>24</v>
      </c>
      <c r="L2168" s="24">
        <v>48.32</v>
      </c>
      <c r="M2168" s="11"/>
      <c r="N2168" s="22">
        <f t="shared" si="101"/>
        <v>0</v>
      </c>
      <c r="O2168" s="25">
        <f>0.004*M2168</f>
        <v>0</v>
      </c>
      <c r="P2168" s="26">
        <f>0.00112*M2168</f>
        <v>0</v>
      </c>
      <c r="Q2168" s="30"/>
      <c r="R2168" s="22" t="s">
        <v>7552</v>
      </c>
      <c r="S2168" s="22"/>
      <c r="T2168" s="21" t="str">
        <f>HYPERLINK("https://miland.ru/api/getInfo/image/392853ea-2efe-11f0-a27c-00155d82e908")</f>
        <v>https://miland.ru/api/getInfo/image/392853ea-2efe-11f0-a27c-00155d82e908</v>
      </c>
      <c r="U2168" s="21"/>
      <c r="V2168" s="21"/>
      <c r="W2168" s="21" t="s">
        <v>378</v>
      </c>
      <c r="X2168" s="21"/>
      <c r="Y2168" s="21"/>
      <c r="Z2168" s="21"/>
      <c r="AA2168" s="21" t="str">
        <f>HYPERLINK("https://miland.ru/api/getInfo/item/392853ea-2efe-11f0-a27c-00155d82e908")</f>
        <v>https://miland.ru/api/getInfo/item/392853ea-2efe-11f0-a27c-00155d82e908</v>
      </c>
      <c r="AB2168" s="21" t="s">
        <v>42</v>
      </c>
      <c r="AC2168" s="21"/>
      <c r="AD2168" s="21"/>
    </row>
    <row r="2169" spans="2:31" s="1" customFormat="1" ht="96.3" customHeight="1" outlineLevel="7">
      <c r="B2169" s="57">
        <v>1686</v>
      </c>
      <c r="C2169" s="21" t="s">
        <v>7553</v>
      </c>
      <c r="D2169" s="72" t="s">
        <v>7554</v>
      </c>
      <c r="E2169" s="72"/>
      <c r="F2169" s="72"/>
      <c r="G2169" s="72"/>
      <c r="H2169" s="22" t="s">
        <v>7555</v>
      </c>
      <c r="I2169" s="23" t="s">
        <v>36</v>
      </c>
      <c r="J2169" s="22"/>
      <c r="K2169" s="20">
        <v>12</v>
      </c>
      <c r="L2169" s="24">
        <v>70.73</v>
      </c>
      <c r="M2169" s="11"/>
      <c r="N2169" s="22">
        <f t="shared" si="101"/>
        <v>0</v>
      </c>
      <c r="O2169" s="25">
        <f>0.077*M2169</f>
        <v>0</v>
      </c>
      <c r="P2169" s="26">
        <f>0.00035*M2169</f>
        <v>0</v>
      </c>
      <c r="Q2169" s="30"/>
      <c r="R2169" s="22" t="s">
        <v>7556</v>
      </c>
      <c r="S2169" s="22" t="s">
        <v>435</v>
      </c>
      <c r="T2169" s="21" t="str">
        <f>HYPERLINK("https://miland.ru/api/getInfo/image/46b952bd-a34b-11ef-a267-00155d82e908")</f>
        <v>https://miland.ru/api/getInfo/image/46b952bd-a34b-11ef-a267-00155d82e908</v>
      </c>
      <c r="U2169" s="21"/>
      <c r="V2169" s="21" t="s">
        <v>6525</v>
      </c>
      <c r="W2169" s="21" t="s">
        <v>378</v>
      </c>
      <c r="X2169" s="21"/>
      <c r="Y2169" s="21" t="s">
        <v>41</v>
      </c>
      <c r="Z2169" s="21"/>
      <c r="AA2169" s="21" t="str">
        <f>HYPERLINK("https://miland.ru/api/getInfo/item/46b952bd-a34b-11ef-a267-00155d82e908")</f>
        <v>https://miland.ru/api/getInfo/item/46b952bd-a34b-11ef-a267-00155d82e908</v>
      </c>
      <c r="AB2169" s="21" t="s">
        <v>42</v>
      </c>
      <c r="AC2169" s="21" t="s">
        <v>7557</v>
      </c>
      <c r="AD2169" s="21"/>
    </row>
    <row r="2170" spans="2:31" s="1" customFormat="1" ht="96.3" customHeight="1" outlineLevel="7">
      <c r="B2170" s="57">
        <v>1687</v>
      </c>
      <c r="C2170" s="21" t="s">
        <v>7558</v>
      </c>
      <c r="D2170" s="72" t="s">
        <v>7559</v>
      </c>
      <c r="E2170" s="72"/>
      <c r="F2170" s="72"/>
      <c r="G2170" s="72"/>
      <c r="H2170" s="22" t="s">
        <v>7560</v>
      </c>
      <c r="I2170" s="27">
        <v>360</v>
      </c>
      <c r="J2170" s="22"/>
      <c r="K2170" s="20">
        <v>12</v>
      </c>
      <c r="L2170" s="24">
        <v>70.73</v>
      </c>
      <c r="M2170" s="11"/>
      <c r="N2170" s="22">
        <f t="shared" si="101"/>
        <v>0</v>
      </c>
      <c r="O2170" s="25">
        <f>0.077*M2170</f>
        <v>0</v>
      </c>
      <c r="P2170" s="26">
        <f>0.00045*M2170</f>
        <v>0</v>
      </c>
      <c r="Q2170" s="30"/>
      <c r="R2170" s="22" t="s">
        <v>7561</v>
      </c>
      <c r="S2170" s="22" t="s">
        <v>435</v>
      </c>
      <c r="T2170" s="21" t="str">
        <f>HYPERLINK("https://miland.ru/api/getInfo/image/21047554-a34b-11ef-a267-00155d82e908")</f>
        <v>https://miland.ru/api/getInfo/image/21047554-a34b-11ef-a267-00155d82e908</v>
      </c>
      <c r="U2170" s="21"/>
      <c r="V2170" s="21" t="s">
        <v>6525</v>
      </c>
      <c r="W2170" s="21" t="s">
        <v>378</v>
      </c>
      <c r="X2170" s="21"/>
      <c r="Y2170" s="21" t="s">
        <v>41</v>
      </c>
      <c r="Z2170" s="21"/>
      <c r="AA2170" s="21" t="str">
        <f>HYPERLINK("https://miland.ru/api/getInfo/item/21047554-a34b-11ef-a267-00155d82e908")</f>
        <v>https://miland.ru/api/getInfo/item/21047554-a34b-11ef-a267-00155d82e908</v>
      </c>
      <c r="AB2170" s="21" t="s">
        <v>42</v>
      </c>
      <c r="AC2170" s="21" t="s">
        <v>7557</v>
      </c>
      <c r="AD2170" s="21"/>
    </row>
    <row r="2171" spans="2:31" s="1" customFormat="1" ht="96.3" customHeight="1" outlineLevel="7">
      <c r="B2171" s="57">
        <v>1688</v>
      </c>
      <c r="C2171" s="21" t="s">
        <v>7562</v>
      </c>
      <c r="D2171" s="72" t="s">
        <v>7563</v>
      </c>
      <c r="E2171" s="72"/>
      <c r="F2171" s="72"/>
      <c r="G2171" s="72"/>
      <c r="H2171" s="22" t="s">
        <v>7564</v>
      </c>
      <c r="I2171" s="23" t="s">
        <v>36</v>
      </c>
      <c r="J2171" s="22"/>
      <c r="K2171" s="20">
        <v>24</v>
      </c>
      <c r="L2171" s="24">
        <v>48.32</v>
      </c>
      <c r="M2171" s="11"/>
      <c r="N2171" s="22">
        <f t="shared" si="101"/>
        <v>0</v>
      </c>
      <c r="O2171" s="25">
        <f>0.004*M2171</f>
        <v>0</v>
      </c>
      <c r="P2171" s="26">
        <f>0.00112*M2171</f>
        <v>0</v>
      </c>
      <c r="Q2171" s="30"/>
      <c r="R2171" s="22" t="s">
        <v>7565</v>
      </c>
      <c r="S2171" s="22"/>
      <c r="T2171" s="21" t="str">
        <f>HYPERLINK("https://miland.ru/api/getInfo/image/f5e36338-2efd-11f0-a27c-00155d82e908")</f>
        <v>https://miland.ru/api/getInfo/image/f5e36338-2efd-11f0-a27c-00155d82e908</v>
      </c>
      <c r="U2171" s="21"/>
      <c r="V2171" s="21"/>
      <c r="W2171" s="21" t="s">
        <v>378</v>
      </c>
      <c r="X2171" s="21"/>
      <c r="Y2171" s="21"/>
      <c r="Z2171" s="21"/>
      <c r="AA2171" s="21" t="str">
        <f>HYPERLINK("https://miland.ru/api/getInfo/item/f5e36338-2efd-11f0-a27c-00155d82e908")</f>
        <v>https://miland.ru/api/getInfo/item/f5e36338-2efd-11f0-a27c-00155d82e908</v>
      </c>
      <c r="AB2171" s="21" t="s">
        <v>42</v>
      </c>
      <c r="AC2171" s="21"/>
      <c r="AD2171" s="21"/>
    </row>
    <row r="2172" spans="2:31" s="1" customFormat="1" ht="96.3" customHeight="1" outlineLevel="7">
      <c r="B2172" s="58">
        <v>1689</v>
      </c>
      <c r="C2172" s="7" t="s">
        <v>7566</v>
      </c>
      <c r="D2172" s="71" t="s">
        <v>7567</v>
      </c>
      <c r="E2172" s="71"/>
      <c r="F2172" s="71"/>
      <c r="G2172" s="71"/>
      <c r="H2172" s="8" t="s">
        <v>7555</v>
      </c>
      <c r="I2172" s="14">
        <v>24</v>
      </c>
      <c r="J2172" s="8"/>
      <c r="K2172" s="6">
        <v>24</v>
      </c>
      <c r="L2172" s="10">
        <v>70.73</v>
      </c>
      <c r="M2172" s="11"/>
      <c r="N2172" s="8">
        <f t="shared" si="101"/>
        <v>0</v>
      </c>
      <c r="O2172" s="18">
        <f>0.07*M2172</f>
        <v>0</v>
      </c>
      <c r="P2172" s="13">
        <f>0.00026*M2172</f>
        <v>0</v>
      </c>
      <c r="Q2172" s="17" t="s">
        <v>37</v>
      </c>
      <c r="R2172" s="8"/>
      <c r="S2172" s="8" t="s">
        <v>435</v>
      </c>
      <c r="T2172" s="7" t="str">
        <f>HYPERLINK("https://miland.ru/api/getInfo/image/d6c20224-da64-11f0-a28c-00155d82e908")</f>
        <v>https://miland.ru/api/getInfo/image/d6c20224-da64-11f0-a28c-00155d82e908</v>
      </c>
      <c r="U2172" s="7"/>
      <c r="V2172" s="7"/>
      <c r="W2172" s="7"/>
      <c r="X2172" s="7"/>
      <c r="Y2172" s="7" t="s">
        <v>41</v>
      </c>
      <c r="Z2172" s="7"/>
      <c r="AA2172" s="7" t="str">
        <f>HYPERLINK("https://miland.ru/api/getInfo/item/d6c20224-da64-11f0-a28c-00155d82e908")</f>
        <v>https://miland.ru/api/getInfo/item/d6c20224-da64-11f0-a28c-00155d82e908</v>
      </c>
      <c r="AB2172" s="7" t="s">
        <v>42</v>
      </c>
      <c r="AC2172" s="7" t="s">
        <v>7557</v>
      </c>
      <c r="AD2172" s="7"/>
      <c r="AE2172" s="54"/>
    </row>
    <row r="2173" spans="2:31" s="1" customFormat="1" ht="96.3" customHeight="1" outlineLevel="7">
      <c r="B2173" s="58">
        <v>1690</v>
      </c>
      <c r="C2173" s="7" t="s">
        <v>7568</v>
      </c>
      <c r="D2173" s="71" t="s">
        <v>7569</v>
      </c>
      <c r="E2173" s="71"/>
      <c r="F2173" s="71"/>
      <c r="G2173" s="71"/>
      <c r="H2173" s="8" t="s">
        <v>7570</v>
      </c>
      <c r="I2173" s="9" t="s">
        <v>36</v>
      </c>
      <c r="J2173" s="8"/>
      <c r="K2173" s="6">
        <v>12</v>
      </c>
      <c r="L2173" s="10">
        <v>70.73</v>
      </c>
      <c r="M2173" s="11"/>
      <c r="N2173" s="8">
        <f t="shared" si="101"/>
        <v>0</v>
      </c>
      <c r="O2173" s="12">
        <f>0.072*M2173</f>
        <v>0</v>
      </c>
      <c r="P2173" s="13">
        <f>0.00026*M2173</f>
        <v>0</v>
      </c>
      <c r="Q2173" s="17" t="s">
        <v>37</v>
      </c>
      <c r="R2173" s="8" t="s">
        <v>7571</v>
      </c>
      <c r="S2173" s="8"/>
      <c r="T2173" s="7" t="str">
        <f>HYPERLINK("https://miland.ru/api/getInfo/image/b4ab43c7-fb82-11f0-a28e-00155d82e908")</f>
        <v>https://miland.ru/api/getInfo/image/b4ab43c7-fb82-11f0-a28e-00155d82e908</v>
      </c>
      <c r="U2173" s="7"/>
      <c r="V2173" s="7"/>
      <c r="W2173" s="7" t="s">
        <v>378</v>
      </c>
      <c r="X2173" s="7"/>
      <c r="Y2173" s="7" t="s">
        <v>41</v>
      </c>
      <c r="Z2173" s="7"/>
      <c r="AA2173" s="7" t="str">
        <f>HYPERLINK("https://miland.ru/api/getInfo/item/b4ab43c7-fb82-11f0-a28e-00155d82e908")</f>
        <v>https://miland.ru/api/getInfo/item/b4ab43c7-fb82-11f0-a28e-00155d82e908</v>
      </c>
      <c r="AB2173" s="7" t="s">
        <v>42</v>
      </c>
      <c r="AC2173" s="7"/>
      <c r="AD2173" s="7"/>
      <c r="AE2173" s="54"/>
    </row>
    <row r="2174" spans="2:31" s="1" customFormat="1" ht="96.3" customHeight="1" outlineLevel="7">
      <c r="B2174" s="58">
        <v>1691</v>
      </c>
      <c r="C2174" s="7" t="s">
        <v>7572</v>
      </c>
      <c r="D2174" s="71" t="s">
        <v>7573</v>
      </c>
      <c r="E2174" s="71"/>
      <c r="F2174" s="71"/>
      <c r="G2174" s="71"/>
      <c r="H2174" s="8" t="s">
        <v>7574</v>
      </c>
      <c r="I2174" s="9" t="s">
        <v>36</v>
      </c>
      <c r="J2174" s="8"/>
      <c r="K2174" s="6">
        <v>12</v>
      </c>
      <c r="L2174" s="10">
        <v>70.73</v>
      </c>
      <c r="M2174" s="11"/>
      <c r="N2174" s="8">
        <f t="shared" si="101"/>
        <v>0</v>
      </c>
      <c r="O2174" s="18">
        <f>0.08*M2174</f>
        <v>0</v>
      </c>
      <c r="P2174" s="13">
        <f>0.00036*M2174</f>
        <v>0</v>
      </c>
      <c r="Q2174" s="17" t="s">
        <v>37</v>
      </c>
      <c r="R2174" s="8" t="s">
        <v>7575</v>
      </c>
      <c r="S2174" s="8"/>
      <c r="T2174" s="7" t="str">
        <f>HYPERLINK("https://miland.ru/api/getInfo/image/648d8d40-fb82-11f0-a28e-00155d82e908")</f>
        <v>https://miland.ru/api/getInfo/image/648d8d40-fb82-11f0-a28e-00155d82e908</v>
      </c>
      <c r="U2174" s="7"/>
      <c r="V2174" s="7"/>
      <c r="W2174" s="7" t="s">
        <v>378</v>
      </c>
      <c r="X2174" s="7"/>
      <c r="Y2174" s="7" t="s">
        <v>41</v>
      </c>
      <c r="Z2174" s="7"/>
      <c r="AA2174" s="7" t="str">
        <f>HYPERLINK("https://miland.ru/api/getInfo/item/648d8d40-fb82-11f0-a28e-00155d82e908")</f>
        <v>https://miland.ru/api/getInfo/item/648d8d40-fb82-11f0-a28e-00155d82e908</v>
      </c>
      <c r="AB2174" s="7" t="s">
        <v>42</v>
      </c>
      <c r="AC2174" s="7"/>
      <c r="AD2174" s="7"/>
      <c r="AE2174" s="54"/>
    </row>
    <row r="2175" spans="2:31" s="1" customFormat="1" ht="96.3" customHeight="1" outlineLevel="7">
      <c r="B2175" s="58">
        <v>1692</v>
      </c>
      <c r="C2175" s="7" t="s">
        <v>7576</v>
      </c>
      <c r="D2175" s="71" t="s">
        <v>7577</v>
      </c>
      <c r="E2175" s="71"/>
      <c r="F2175" s="71"/>
      <c r="G2175" s="71"/>
      <c r="H2175" s="8" t="s">
        <v>7578</v>
      </c>
      <c r="I2175" s="9" t="s">
        <v>36</v>
      </c>
      <c r="J2175" s="8"/>
      <c r="K2175" s="6">
        <v>12</v>
      </c>
      <c r="L2175" s="10">
        <v>70.73</v>
      </c>
      <c r="M2175" s="11"/>
      <c r="N2175" s="8">
        <f t="shared" si="101"/>
        <v>0</v>
      </c>
      <c r="O2175" s="18">
        <f>0.08*M2175</f>
        <v>0</v>
      </c>
      <c r="P2175" s="13">
        <f>0.00037*M2175</f>
        <v>0</v>
      </c>
      <c r="Q2175" s="17" t="s">
        <v>37</v>
      </c>
      <c r="R2175" s="8" t="s">
        <v>7579</v>
      </c>
      <c r="S2175" s="8"/>
      <c r="T2175" s="7" t="str">
        <f>HYPERLINK("https://miland.ru/api/getInfo/image/419df5ef-fb82-11f0-a28e-00155d82e908")</f>
        <v>https://miland.ru/api/getInfo/image/419df5ef-fb82-11f0-a28e-00155d82e908</v>
      </c>
      <c r="U2175" s="7"/>
      <c r="V2175" s="7"/>
      <c r="W2175" s="7" t="s">
        <v>378</v>
      </c>
      <c r="X2175" s="7"/>
      <c r="Y2175" s="7" t="s">
        <v>41</v>
      </c>
      <c r="Z2175" s="7"/>
      <c r="AA2175" s="7" t="str">
        <f>HYPERLINK("https://miland.ru/api/getInfo/item/419df5ef-fb82-11f0-a28e-00155d82e908")</f>
        <v>https://miland.ru/api/getInfo/item/419df5ef-fb82-11f0-a28e-00155d82e908</v>
      </c>
      <c r="AB2175" s="7" t="s">
        <v>42</v>
      </c>
      <c r="AC2175" s="7"/>
      <c r="AD2175" s="7"/>
      <c r="AE2175" s="54"/>
    </row>
    <row r="2176" spans="2:31" s="1" customFormat="1" ht="96.3" customHeight="1" outlineLevel="7">
      <c r="B2176" s="58">
        <v>1693</v>
      </c>
      <c r="C2176" s="7" t="s">
        <v>7580</v>
      </c>
      <c r="D2176" s="71" t="s">
        <v>7581</v>
      </c>
      <c r="E2176" s="71"/>
      <c r="F2176" s="71"/>
      <c r="G2176" s="71"/>
      <c r="H2176" s="8" t="s">
        <v>7582</v>
      </c>
      <c r="I2176" s="9" t="s">
        <v>36</v>
      </c>
      <c r="J2176" s="8"/>
      <c r="K2176" s="6">
        <v>12</v>
      </c>
      <c r="L2176" s="10">
        <v>70.73</v>
      </c>
      <c r="M2176" s="11"/>
      <c r="N2176" s="8">
        <f t="shared" si="101"/>
        <v>0</v>
      </c>
      <c r="O2176" s="18">
        <f>0.08*M2176</f>
        <v>0</v>
      </c>
      <c r="P2176" s="13">
        <f>0.00038*M2176</f>
        <v>0</v>
      </c>
      <c r="Q2176" s="17" t="s">
        <v>37</v>
      </c>
      <c r="R2176" s="8" t="s">
        <v>7583</v>
      </c>
      <c r="S2176" s="8"/>
      <c r="T2176" s="7" t="str">
        <f>HYPERLINK("https://miland.ru/api/getInfo/image/7c1af749-fb82-11f0-a28e-00155d82e908")</f>
        <v>https://miland.ru/api/getInfo/image/7c1af749-fb82-11f0-a28e-00155d82e908</v>
      </c>
      <c r="U2176" s="7"/>
      <c r="V2176" s="7"/>
      <c r="W2176" s="7" t="s">
        <v>378</v>
      </c>
      <c r="X2176" s="7"/>
      <c r="Y2176" s="7" t="s">
        <v>41</v>
      </c>
      <c r="Z2176" s="7"/>
      <c r="AA2176" s="7" t="str">
        <f>HYPERLINK("https://miland.ru/api/getInfo/item/7c1af749-fb82-11f0-a28e-00155d82e908")</f>
        <v>https://miland.ru/api/getInfo/item/7c1af749-fb82-11f0-a28e-00155d82e908</v>
      </c>
      <c r="AB2176" s="7" t="s">
        <v>42</v>
      </c>
      <c r="AC2176" s="7"/>
      <c r="AD2176" s="7"/>
      <c r="AE2176" s="54"/>
    </row>
    <row r="2177" spans="2:31" s="1" customFormat="1" ht="96.3" customHeight="1" outlineLevel="7">
      <c r="B2177" s="58">
        <v>1694</v>
      </c>
      <c r="C2177" s="7" t="s">
        <v>7584</v>
      </c>
      <c r="D2177" s="71" t="s">
        <v>7585</v>
      </c>
      <c r="E2177" s="71"/>
      <c r="F2177" s="71"/>
      <c r="G2177" s="71"/>
      <c r="H2177" s="8" t="s">
        <v>7586</v>
      </c>
      <c r="I2177" s="9" t="s">
        <v>36</v>
      </c>
      <c r="J2177" s="8"/>
      <c r="K2177" s="6">
        <v>12</v>
      </c>
      <c r="L2177" s="10">
        <v>70.73</v>
      </c>
      <c r="M2177" s="11"/>
      <c r="N2177" s="8">
        <f t="shared" si="101"/>
        <v>0</v>
      </c>
      <c r="O2177" s="18">
        <f>0.08*M2177</f>
        <v>0</v>
      </c>
      <c r="P2177" s="13">
        <f>0.00037*M2177</f>
        <v>0</v>
      </c>
      <c r="Q2177" s="17" t="s">
        <v>37</v>
      </c>
      <c r="R2177" s="8" t="s">
        <v>7587</v>
      </c>
      <c r="S2177" s="8"/>
      <c r="T2177" s="7" t="str">
        <f>HYPERLINK("https://miland.ru/api/getInfo/image/120208f1-fb83-11f0-a28e-00155d82e908")</f>
        <v>https://miland.ru/api/getInfo/image/120208f1-fb83-11f0-a28e-00155d82e908</v>
      </c>
      <c r="U2177" s="7"/>
      <c r="V2177" s="7"/>
      <c r="W2177" s="7" t="s">
        <v>378</v>
      </c>
      <c r="X2177" s="7"/>
      <c r="Y2177" s="7" t="s">
        <v>41</v>
      </c>
      <c r="Z2177" s="7"/>
      <c r="AA2177" s="7" t="str">
        <f>HYPERLINK("https://miland.ru/api/getInfo/item/120208f1-fb83-11f0-a28e-00155d82e908")</f>
        <v>https://miland.ru/api/getInfo/item/120208f1-fb83-11f0-a28e-00155d82e908</v>
      </c>
      <c r="AB2177" s="7" t="s">
        <v>42</v>
      </c>
      <c r="AC2177" s="7"/>
      <c r="AD2177" s="7"/>
      <c r="AE2177" s="54"/>
    </row>
    <row r="2178" spans="2:31" s="1" customFormat="1" ht="96.3" customHeight="1" outlineLevel="7">
      <c r="B2178" s="58">
        <v>1695</v>
      </c>
      <c r="C2178" s="7" t="s">
        <v>7588</v>
      </c>
      <c r="D2178" s="71" t="s">
        <v>7589</v>
      </c>
      <c r="E2178" s="71"/>
      <c r="F2178" s="71"/>
      <c r="G2178" s="71"/>
      <c r="H2178" s="8" t="s">
        <v>7590</v>
      </c>
      <c r="I2178" s="9" t="s">
        <v>36</v>
      </c>
      <c r="J2178" s="8"/>
      <c r="K2178" s="6">
        <v>12</v>
      </c>
      <c r="L2178" s="10">
        <v>70.73</v>
      </c>
      <c r="M2178" s="11"/>
      <c r="N2178" s="8">
        <f t="shared" si="101"/>
        <v>0</v>
      </c>
      <c r="O2178" s="12">
        <f>0.073*M2178</f>
        <v>0</v>
      </c>
      <c r="P2178" s="12">
        <f>0.001*M2178</f>
        <v>0</v>
      </c>
      <c r="Q2178" s="17" t="s">
        <v>37</v>
      </c>
      <c r="R2178" s="8" t="s">
        <v>7591</v>
      </c>
      <c r="S2178" s="8"/>
      <c r="T2178" s="7" t="str">
        <f>HYPERLINK("https://miland.ru/api/getInfo/image/9c2317bc-fb82-11f0-a28e-00155d82e908")</f>
        <v>https://miland.ru/api/getInfo/image/9c2317bc-fb82-11f0-a28e-00155d82e908</v>
      </c>
      <c r="U2178" s="7"/>
      <c r="V2178" s="7"/>
      <c r="W2178" s="7" t="s">
        <v>378</v>
      </c>
      <c r="X2178" s="7"/>
      <c r="Y2178" s="7" t="s">
        <v>41</v>
      </c>
      <c r="Z2178" s="7"/>
      <c r="AA2178" s="7" t="str">
        <f>HYPERLINK("https://miland.ru/api/getInfo/item/9c2317bc-fb82-11f0-a28e-00155d82e908")</f>
        <v>https://miland.ru/api/getInfo/item/9c2317bc-fb82-11f0-a28e-00155d82e908</v>
      </c>
      <c r="AB2178" s="7" t="s">
        <v>42</v>
      </c>
      <c r="AC2178" s="7"/>
      <c r="AD2178" s="7"/>
      <c r="AE2178" s="54"/>
    </row>
    <row r="2179" spans="2:31" s="1" customFormat="1" ht="96.3" customHeight="1" outlineLevel="7">
      <c r="B2179" s="57">
        <v>1696</v>
      </c>
      <c r="C2179" s="21" t="s">
        <v>7592</v>
      </c>
      <c r="D2179" s="72" t="s">
        <v>7593</v>
      </c>
      <c r="E2179" s="72"/>
      <c r="F2179" s="72"/>
      <c r="G2179" s="72"/>
      <c r="H2179" s="22" t="s">
        <v>7594</v>
      </c>
      <c r="I2179" s="27">
        <v>240</v>
      </c>
      <c r="J2179" s="22"/>
      <c r="K2179" s="20">
        <v>12</v>
      </c>
      <c r="L2179" s="24">
        <v>70.73</v>
      </c>
      <c r="M2179" s="11"/>
      <c r="N2179" s="22">
        <f t="shared" si="101"/>
        <v>0</v>
      </c>
      <c r="O2179" s="25">
        <f>0.103*M2179</f>
        <v>0</v>
      </c>
      <c r="P2179" s="26">
        <f>0.00028*M2179</f>
        <v>0</v>
      </c>
      <c r="Q2179" s="30"/>
      <c r="R2179" s="22" t="s">
        <v>7595</v>
      </c>
      <c r="S2179" s="22" t="s">
        <v>435</v>
      </c>
      <c r="T2179" s="21" t="str">
        <f>HYPERLINK("https://miland.ru/api/getInfo/image/601c99a4-a34b-11ef-a267-00155d82e908")</f>
        <v>https://miland.ru/api/getInfo/image/601c99a4-a34b-11ef-a267-00155d82e908</v>
      </c>
      <c r="U2179" s="21"/>
      <c r="V2179" s="21" t="s">
        <v>6525</v>
      </c>
      <c r="W2179" s="21" t="s">
        <v>378</v>
      </c>
      <c r="X2179" s="21"/>
      <c r="Y2179" s="21" t="s">
        <v>41</v>
      </c>
      <c r="Z2179" s="21"/>
      <c r="AA2179" s="21" t="str">
        <f>HYPERLINK("https://miland.ru/api/getInfo/item/601c99a4-a34b-11ef-a267-00155d82e908")</f>
        <v>https://miland.ru/api/getInfo/item/601c99a4-a34b-11ef-a267-00155d82e908</v>
      </c>
      <c r="AB2179" s="21" t="s">
        <v>42</v>
      </c>
      <c r="AC2179" s="21" t="s">
        <v>7557</v>
      </c>
      <c r="AD2179" s="21"/>
    </row>
    <row r="2180" spans="2:31" s="1" customFormat="1" ht="96.3" customHeight="1" outlineLevel="7">
      <c r="B2180" s="58">
        <v>1697</v>
      </c>
      <c r="C2180" s="7" t="s">
        <v>7596</v>
      </c>
      <c r="D2180" s="71" t="s">
        <v>7597</v>
      </c>
      <c r="E2180" s="71"/>
      <c r="F2180" s="71"/>
      <c r="G2180" s="71"/>
      <c r="H2180" s="8" t="s">
        <v>7598</v>
      </c>
      <c r="I2180" s="9" t="s">
        <v>36</v>
      </c>
      <c r="J2180" s="8"/>
      <c r="K2180" s="6">
        <v>12</v>
      </c>
      <c r="L2180" s="10">
        <v>70.73</v>
      </c>
      <c r="M2180" s="11"/>
      <c r="N2180" s="8">
        <f t="shared" si="101"/>
        <v>0</v>
      </c>
      <c r="O2180" s="12">
        <f>0.088*M2180</f>
        <v>0</v>
      </c>
      <c r="P2180" s="13">
        <f>0.00039*M2180</f>
        <v>0</v>
      </c>
      <c r="Q2180" s="17" t="s">
        <v>37</v>
      </c>
      <c r="R2180" s="8" t="s">
        <v>7599</v>
      </c>
      <c r="S2180" s="8"/>
      <c r="T2180" s="7" t="str">
        <f>HYPERLINK("https://miland.ru/api/getInfo/image/f12763f6-fb82-11f0-a28e-00155d82e908")</f>
        <v>https://miland.ru/api/getInfo/image/f12763f6-fb82-11f0-a28e-00155d82e908</v>
      </c>
      <c r="U2180" s="7"/>
      <c r="V2180" s="7"/>
      <c r="W2180" s="7" t="s">
        <v>378</v>
      </c>
      <c r="X2180" s="7"/>
      <c r="Y2180" s="7" t="s">
        <v>41</v>
      </c>
      <c r="Z2180" s="7"/>
      <c r="AA2180" s="7" t="str">
        <f>HYPERLINK("https://miland.ru/api/getInfo/item/f12763f6-fb82-11f0-a28e-00155d82e908")</f>
        <v>https://miland.ru/api/getInfo/item/f12763f6-fb82-11f0-a28e-00155d82e908</v>
      </c>
      <c r="AB2180" s="7" t="s">
        <v>42</v>
      </c>
      <c r="AC2180" s="7"/>
      <c r="AD2180" s="7"/>
      <c r="AE2180" s="54"/>
    </row>
    <row r="2181" spans="2:31" s="1" customFormat="1" ht="96.3" customHeight="1" outlineLevel="7">
      <c r="B2181" s="57">
        <v>1698</v>
      </c>
      <c r="C2181" s="21" t="s">
        <v>7600</v>
      </c>
      <c r="D2181" s="72" t="s">
        <v>7601</v>
      </c>
      <c r="E2181" s="72"/>
      <c r="F2181" s="72"/>
      <c r="G2181" s="72"/>
      <c r="H2181" s="22" t="s">
        <v>7602</v>
      </c>
      <c r="I2181" s="27">
        <v>72</v>
      </c>
      <c r="J2181" s="22"/>
      <c r="K2181" s="20">
        <v>24</v>
      </c>
      <c r="L2181" s="24">
        <v>70.73</v>
      </c>
      <c r="M2181" s="11"/>
      <c r="N2181" s="22">
        <f t="shared" si="101"/>
        <v>0</v>
      </c>
      <c r="O2181" s="28">
        <f>0.08*M2181</f>
        <v>0</v>
      </c>
      <c r="P2181" s="26">
        <f>0.00043*M2181</f>
        <v>0</v>
      </c>
      <c r="Q2181" s="30"/>
      <c r="R2181" s="22"/>
      <c r="S2181" s="22" t="s">
        <v>435</v>
      </c>
      <c r="T2181" s="21" t="str">
        <f>HYPERLINK("https://miland.ru/api/getInfo/image/32c9c794-da62-11f0-a28c-00155d82e908")</f>
        <v>https://miland.ru/api/getInfo/image/32c9c794-da62-11f0-a28c-00155d82e908</v>
      </c>
      <c r="U2181" s="21"/>
      <c r="V2181" s="21"/>
      <c r="W2181" s="21"/>
      <c r="X2181" s="21"/>
      <c r="Y2181" s="21"/>
      <c r="Z2181" s="21"/>
      <c r="AA2181" s="21" t="str">
        <f>HYPERLINK("https://miland.ru/api/getInfo/item/32c9c794-da62-11f0-a28c-00155d82e908")</f>
        <v>https://miland.ru/api/getInfo/item/32c9c794-da62-11f0-a28c-00155d82e908</v>
      </c>
      <c r="AB2181" s="21" t="s">
        <v>42</v>
      </c>
      <c r="AC2181" s="21"/>
      <c r="AD2181" s="21"/>
    </row>
    <row r="2182" spans="2:31" s="1" customFormat="1" ht="96.3" customHeight="1" outlineLevel="7">
      <c r="B2182" s="57">
        <v>1699</v>
      </c>
      <c r="C2182" s="21" t="s">
        <v>7600</v>
      </c>
      <c r="D2182" s="72" t="s">
        <v>7601</v>
      </c>
      <c r="E2182" s="72"/>
      <c r="F2182" s="72"/>
      <c r="G2182" s="72"/>
      <c r="H2182" s="22" t="s">
        <v>7602</v>
      </c>
      <c r="I2182" s="27">
        <v>72</v>
      </c>
      <c r="J2182" s="22"/>
      <c r="K2182" s="20">
        <v>24</v>
      </c>
      <c r="L2182" s="24">
        <v>70.73</v>
      </c>
      <c r="M2182" s="11"/>
      <c r="N2182" s="22">
        <f t="shared" si="101"/>
        <v>0</v>
      </c>
      <c r="O2182" s="28">
        <f>0.08*M2182</f>
        <v>0</v>
      </c>
      <c r="P2182" s="26">
        <f>0.00043*M2182</f>
        <v>0</v>
      </c>
      <c r="Q2182" s="30"/>
      <c r="R2182" s="22"/>
      <c r="S2182" s="22" t="s">
        <v>435</v>
      </c>
      <c r="T2182" s="21" t="str">
        <f>HYPERLINK("https://miland.ru/api/getInfo/image/32c9c794-da62-11f0-a28c-00155d82e908")</f>
        <v>https://miland.ru/api/getInfo/image/32c9c794-da62-11f0-a28c-00155d82e908</v>
      </c>
      <c r="U2182" s="21"/>
      <c r="V2182" s="21"/>
      <c r="W2182" s="21"/>
      <c r="X2182" s="21"/>
      <c r="Y2182" s="21"/>
      <c r="Z2182" s="21"/>
      <c r="AA2182" s="21" t="str">
        <f>HYPERLINK("https://miland.ru/api/getInfo/item/32c9c794-da62-11f0-a28c-00155d82e908")</f>
        <v>https://miland.ru/api/getInfo/item/32c9c794-da62-11f0-a28c-00155d82e908</v>
      </c>
      <c r="AB2182" s="21" t="s">
        <v>42</v>
      </c>
      <c r="AC2182" s="21"/>
      <c r="AD2182" s="21"/>
    </row>
    <row r="2183" spans="2:31" s="1" customFormat="1" ht="96.3" customHeight="1" outlineLevel="7">
      <c r="B2183" s="57">
        <v>1700</v>
      </c>
      <c r="C2183" s="21" t="s">
        <v>7603</v>
      </c>
      <c r="D2183" s="72" t="s">
        <v>7604</v>
      </c>
      <c r="E2183" s="72"/>
      <c r="F2183" s="72"/>
      <c r="G2183" s="72"/>
      <c r="H2183" s="22" t="s">
        <v>7602</v>
      </c>
      <c r="I2183" s="23" t="s">
        <v>36</v>
      </c>
      <c r="J2183" s="22"/>
      <c r="K2183" s="20">
        <v>24</v>
      </c>
      <c r="L2183" s="24">
        <v>48.32</v>
      </c>
      <c r="M2183" s="11"/>
      <c r="N2183" s="22">
        <f t="shared" si="101"/>
        <v>0</v>
      </c>
      <c r="O2183" s="25">
        <f>0.004*M2183</f>
        <v>0</v>
      </c>
      <c r="P2183" s="26">
        <f>0.00112*M2183</f>
        <v>0</v>
      </c>
      <c r="Q2183" s="30"/>
      <c r="R2183" s="22" t="s">
        <v>7605</v>
      </c>
      <c r="S2183" s="22"/>
      <c r="T2183" s="21" t="str">
        <f>HYPERLINK("https://miland.ru/api/getInfo/image/1a2895fd-2efe-11f0-a27c-00155d82e908")</f>
        <v>https://miland.ru/api/getInfo/image/1a2895fd-2efe-11f0-a27c-00155d82e908</v>
      </c>
      <c r="U2183" s="21"/>
      <c r="V2183" s="21"/>
      <c r="W2183" s="21" t="s">
        <v>378</v>
      </c>
      <c r="X2183" s="21"/>
      <c r="Y2183" s="21"/>
      <c r="Z2183" s="21"/>
      <c r="AA2183" s="21" t="str">
        <f>HYPERLINK("https://miland.ru/api/getInfo/item/1a2895fd-2efe-11f0-a27c-00155d82e908")</f>
        <v>https://miland.ru/api/getInfo/item/1a2895fd-2efe-11f0-a27c-00155d82e908</v>
      </c>
      <c r="AB2183" s="21" t="s">
        <v>42</v>
      </c>
      <c r="AC2183" s="21"/>
      <c r="AD2183" s="21"/>
    </row>
    <row r="2184" spans="2:31" s="1" customFormat="1" ht="96.3" customHeight="1" outlineLevel="7">
      <c r="B2184" s="57">
        <v>1701</v>
      </c>
      <c r="C2184" s="21" t="s">
        <v>7606</v>
      </c>
      <c r="D2184" s="72" t="s">
        <v>7607</v>
      </c>
      <c r="E2184" s="72"/>
      <c r="F2184" s="72"/>
      <c r="G2184" s="72"/>
      <c r="H2184" s="22" t="s">
        <v>7547</v>
      </c>
      <c r="I2184" s="27">
        <v>72</v>
      </c>
      <c r="J2184" s="22"/>
      <c r="K2184" s="20">
        <v>24</v>
      </c>
      <c r="L2184" s="24">
        <v>70.73</v>
      </c>
      <c r="M2184" s="11"/>
      <c r="N2184" s="22">
        <f t="shared" si="101"/>
        <v>0</v>
      </c>
      <c r="O2184" s="28">
        <f>0.07*M2184</f>
        <v>0</v>
      </c>
      <c r="P2184" s="26">
        <f>0.00017*M2184</f>
        <v>0</v>
      </c>
      <c r="Q2184" s="30"/>
      <c r="R2184" s="22"/>
      <c r="S2184" s="22" t="s">
        <v>435</v>
      </c>
      <c r="T2184" s="21" t="str">
        <f>HYPERLINK("https://miland.ru/api/getInfo/image/64f2ed00-da63-11f0-a28c-00155d82e908")</f>
        <v>https://miland.ru/api/getInfo/image/64f2ed00-da63-11f0-a28c-00155d82e908</v>
      </c>
      <c r="U2184" s="21"/>
      <c r="V2184" s="21"/>
      <c r="W2184" s="21"/>
      <c r="X2184" s="21"/>
      <c r="Y2184" s="21"/>
      <c r="Z2184" s="21"/>
      <c r="AA2184" s="21" t="str">
        <f>HYPERLINK("https://miland.ru/api/getInfo/item/64f2ed00-da63-11f0-a28c-00155d82e908")</f>
        <v>https://miland.ru/api/getInfo/item/64f2ed00-da63-11f0-a28c-00155d82e908</v>
      </c>
      <c r="AB2184" s="21" t="s">
        <v>42</v>
      </c>
      <c r="AC2184" s="21"/>
      <c r="AD2184" s="21"/>
    </row>
    <row r="2185" spans="2:31" ht="12" customHeight="1" outlineLevel="6">
      <c r="B2185" s="70" t="s">
        <v>7608</v>
      </c>
      <c r="C2185" s="70"/>
      <c r="D2185" s="70"/>
      <c r="E2185" s="70"/>
      <c r="F2185" s="70"/>
      <c r="G2185" s="70"/>
    </row>
    <row r="2186" spans="2:31" s="1" customFormat="1" ht="96.3" customHeight="1" outlineLevel="7">
      <c r="B2186" s="57">
        <v>1702</v>
      </c>
      <c r="C2186" s="21" t="s">
        <v>7609</v>
      </c>
      <c r="D2186" s="72" t="s">
        <v>7610</v>
      </c>
      <c r="E2186" s="72"/>
      <c r="F2186" s="72"/>
      <c r="G2186" s="72"/>
      <c r="H2186" s="22" t="s">
        <v>7611</v>
      </c>
      <c r="I2186" s="27">
        <v>24</v>
      </c>
      <c r="J2186" s="22"/>
      <c r="K2186" s="20">
        <v>12</v>
      </c>
      <c r="L2186" s="24">
        <v>62.36</v>
      </c>
      <c r="M2186" s="11"/>
      <c r="N2186" s="22">
        <f>L2186*M2186</f>
        <v>0</v>
      </c>
      <c r="O2186" s="28">
        <f>0.07*M2186</f>
        <v>0</v>
      </c>
      <c r="P2186" s="26">
        <f>0.00001*M2186</f>
        <v>0</v>
      </c>
      <c r="Q2186" s="30"/>
      <c r="R2186" s="22" t="s">
        <v>7612</v>
      </c>
      <c r="S2186" s="22" t="s">
        <v>435</v>
      </c>
      <c r="T2186" s="21" t="str">
        <f>HYPERLINK("https://miland.ru/api/getInfo/image/a9a413c5-e52c-11ee-a25a-00155d82e908")</f>
        <v>https://miland.ru/api/getInfo/image/a9a413c5-e52c-11ee-a25a-00155d82e908</v>
      </c>
      <c r="U2186" s="21"/>
      <c r="V2186" s="21" t="s">
        <v>6525</v>
      </c>
      <c r="W2186" s="21" t="s">
        <v>378</v>
      </c>
      <c r="X2186" s="21"/>
      <c r="Y2186" s="21" t="s">
        <v>41</v>
      </c>
      <c r="Z2186" s="21"/>
      <c r="AA2186" s="21" t="str">
        <f>HYPERLINK("https://miland.ru/api/getInfo/item/a9a413c5-e52c-11ee-a25a-00155d82e908")</f>
        <v>https://miland.ru/api/getInfo/item/a9a413c5-e52c-11ee-a25a-00155d82e908</v>
      </c>
      <c r="AB2186" s="21" t="s">
        <v>42</v>
      </c>
      <c r="AC2186" s="21" t="s">
        <v>7613</v>
      </c>
      <c r="AD2186" s="21"/>
    </row>
    <row r="2187" spans="2:31" s="1" customFormat="1" ht="96.3" customHeight="1" outlineLevel="7">
      <c r="B2187" s="57">
        <v>1703</v>
      </c>
      <c r="C2187" s="21" t="s">
        <v>7614</v>
      </c>
      <c r="D2187" s="72" t="s">
        <v>7615</v>
      </c>
      <c r="E2187" s="72"/>
      <c r="F2187" s="72"/>
      <c r="G2187" s="72"/>
      <c r="H2187" s="22" t="s">
        <v>7616</v>
      </c>
      <c r="I2187" s="27">
        <v>180</v>
      </c>
      <c r="J2187" s="22"/>
      <c r="K2187" s="20">
        <v>12</v>
      </c>
      <c r="L2187" s="24">
        <v>62.36</v>
      </c>
      <c r="M2187" s="11"/>
      <c r="N2187" s="22">
        <f>L2187*M2187</f>
        <v>0</v>
      </c>
      <c r="O2187" s="28">
        <f>0.07*M2187</f>
        <v>0</v>
      </c>
      <c r="P2187" s="26">
        <f>0.00017*M2187</f>
        <v>0</v>
      </c>
      <c r="Q2187" s="30"/>
      <c r="R2187" s="22" t="s">
        <v>7617</v>
      </c>
      <c r="S2187" s="22" t="s">
        <v>435</v>
      </c>
      <c r="T2187" s="21" t="str">
        <f>HYPERLINK("https://miland.ru/api/getInfo/image/9f431273-e52b-11ee-a25a-00155d82e908")</f>
        <v>https://miland.ru/api/getInfo/image/9f431273-e52b-11ee-a25a-00155d82e908</v>
      </c>
      <c r="U2187" s="21"/>
      <c r="V2187" s="21" t="s">
        <v>6525</v>
      </c>
      <c r="W2187" s="21" t="s">
        <v>378</v>
      </c>
      <c r="X2187" s="21"/>
      <c r="Y2187" s="21" t="s">
        <v>41</v>
      </c>
      <c r="Z2187" s="21"/>
      <c r="AA2187" s="21" t="str">
        <f>HYPERLINK("https://miland.ru/api/getInfo/item/9f431273-e52b-11ee-a25a-00155d82e908")</f>
        <v>https://miland.ru/api/getInfo/item/9f431273-e52b-11ee-a25a-00155d82e908</v>
      </c>
      <c r="AB2187" s="21" t="s">
        <v>42</v>
      </c>
      <c r="AC2187" s="21" t="s">
        <v>7618</v>
      </c>
      <c r="AD2187" s="21"/>
    </row>
    <row r="2188" spans="2:31" ht="12" customHeight="1" outlineLevel="6">
      <c r="B2188" s="70" t="s">
        <v>6685</v>
      </c>
      <c r="C2188" s="70"/>
      <c r="D2188" s="70"/>
      <c r="E2188" s="70"/>
      <c r="F2188" s="70"/>
      <c r="G2188" s="70"/>
    </row>
    <row r="2189" spans="2:31" ht="12" customHeight="1" outlineLevel="7">
      <c r="B2189" s="70" t="s">
        <v>7619</v>
      </c>
      <c r="C2189" s="70"/>
      <c r="D2189" s="70"/>
      <c r="E2189" s="70"/>
      <c r="F2189" s="70"/>
      <c r="G2189" s="70"/>
    </row>
    <row r="2190" spans="2:31" s="1" customFormat="1" ht="96.3" customHeight="1" outlineLevel="7">
      <c r="B2190" s="57">
        <v>1704</v>
      </c>
      <c r="C2190" s="21" t="s">
        <v>7620</v>
      </c>
      <c r="D2190" s="72" t="s">
        <v>7621</v>
      </c>
      <c r="E2190" s="72"/>
      <c r="F2190" s="72"/>
      <c r="G2190" s="72"/>
      <c r="H2190" s="22" t="s">
        <v>7622</v>
      </c>
      <c r="I2190" s="23" t="s">
        <v>36</v>
      </c>
      <c r="J2190" s="22"/>
      <c r="K2190" s="20">
        <v>12</v>
      </c>
      <c r="L2190" s="24">
        <v>73.64</v>
      </c>
      <c r="M2190" s="11"/>
      <c r="N2190" s="22">
        <f>L2190*M2190</f>
        <v>0</v>
      </c>
      <c r="O2190" s="28">
        <f>0.08*M2190</f>
        <v>0</v>
      </c>
      <c r="P2190" s="26">
        <f>0.00156*M2190</f>
        <v>0</v>
      </c>
      <c r="Q2190" s="30"/>
      <c r="R2190" s="22" t="s">
        <v>7623</v>
      </c>
      <c r="S2190" s="22" t="s">
        <v>435</v>
      </c>
      <c r="T2190" s="21" t="str">
        <f>HYPERLINK("https://miland.ru/api/getInfo/image/92574eab-fe4c-11ef-a275-00155d82e908")</f>
        <v>https://miland.ru/api/getInfo/image/92574eab-fe4c-11ef-a275-00155d82e908</v>
      </c>
      <c r="U2190" s="21"/>
      <c r="V2190" s="21" t="s">
        <v>6525</v>
      </c>
      <c r="W2190" s="21" t="s">
        <v>378</v>
      </c>
      <c r="X2190" s="21"/>
      <c r="Y2190" s="21" t="s">
        <v>41</v>
      </c>
      <c r="Z2190" s="21"/>
      <c r="AA2190" s="21" t="str">
        <f>HYPERLINK("https://miland.ru/api/getInfo/item/92574eab-fe4c-11ef-a275-00155d82e908")</f>
        <v>https://miland.ru/api/getInfo/item/92574eab-fe4c-11ef-a275-00155d82e908</v>
      </c>
      <c r="AB2190" s="21" t="s">
        <v>42</v>
      </c>
      <c r="AC2190" s="21"/>
      <c r="AD2190" s="21"/>
    </row>
    <row r="2191" spans="2:31" s="1" customFormat="1" ht="96.3" customHeight="1" outlineLevel="7">
      <c r="B2191" s="57">
        <v>1705</v>
      </c>
      <c r="C2191" s="21" t="s">
        <v>7624</v>
      </c>
      <c r="D2191" s="72" t="s">
        <v>7625</v>
      </c>
      <c r="E2191" s="72"/>
      <c r="F2191" s="72"/>
      <c r="G2191" s="72"/>
      <c r="H2191" s="22" t="s">
        <v>7626</v>
      </c>
      <c r="I2191" s="27">
        <v>60</v>
      </c>
      <c r="J2191" s="22"/>
      <c r="K2191" s="20">
        <v>12</v>
      </c>
      <c r="L2191" s="24">
        <v>73.64</v>
      </c>
      <c r="M2191" s="11"/>
      <c r="N2191" s="22">
        <f>L2191*M2191</f>
        <v>0</v>
      </c>
      <c r="O2191" s="25">
        <f>0.927*M2191</f>
        <v>0</v>
      </c>
      <c r="P2191" s="29">
        <f>0.0028*M2191</f>
        <v>0</v>
      </c>
      <c r="Q2191" s="30"/>
      <c r="R2191" s="22" t="s">
        <v>7627</v>
      </c>
      <c r="S2191" s="22" t="s">
        <v>435</v>
      </c>
      <c r="T2191" s="21" t="str">
        <f>HYPERLINK("https://miland.ru/api/getInfo/image/f919b0f1-fe4c-11ef-a275-00155d82e908")</f>
        <v>https://miland.ru/api/getInfo/image/f919b0f1-fe4c-11ef-a275-00155d82e908</v>
      </c>
      <c r="U2191" s="21"/>
      <c r="V2191" s="21" t="s">
        <v>6525</v>
      </c>
      <c r="W2191" s="21" t="s">
        <v>378</v>
      </c>
      <c r="X2191" s="21"/>
      <c r="Y2191" s="21" t="s">
        <v>41</v>
      </c>
      <c r="Z2191" s="21"/>
      <c r="AA2191" s="21" t="str">
        <f>HYPERLINK("https://miland.ru/api/getInfo/item/f919b0f1-fe4c-11ef-a275-00155d82e908")</f>
        <v>https://miland.ru/api/getInfo/item/f919b0f1-fe4c-11ef-a275-00155d82e908</v>
      </c>
      <c r="AB2191" s="21" t="s">
        <v>42</v>
      </c>
      <c r="AC2191" s="21"/>
      <c r="AD2191" s="21"/>
    </row>
    <row r="2192" spans="2:31" ht="12" customHeight="1" outlineLevel="7">
      <c r="B2192" s="70" t="s">
        <v>7149</v>
      </c>
      <c r="C2192" s="70"/>
      <c r="D2192" s="70"/>
      <c r="E2192" s="70"/>
      <c r="F2192" s="70"/>
      <c r="G2192" s="70"/>
    </row>
    <row r="2193" spans="2:31" s="1" customFormat="1" ht="96.3" customHeight="1" outlineLevel="7">
      <c r="B2193" s="57">
        <v>1706</v>
      </c>
      <c r="C2193" s="21" t="s">
        <v>7628</v>
      </c>
      <c r="D2193" s="72" t="s">
        <v>7629</v>
      </c>
      <c r="E2193" s="72"/>
      <c r="F2193" s="72"/>
      <c r="G2193" s="72"/>
      <c r="H2193" s="22" t="s">
        <v>7630</v>
      </c>
      <c r="I2193" s="23" t="s">
        <v>36</v>
      </c>
      <c r="J2193" s="22"/>
      <c r="K2193" s="20">
        <v>12</v>
      </c>
      <c r="L2193" s="24">
        <v>73.64</v>
      </c>
      <c r="M2193" s="11"/>
      <c r="N2193" s="22">
        <f>L2193*M2193</f>
        <v>0</v>
      </c>
      <c r="O2193" s="25">
        <f>0.077*M2193</f>
        <v>0</v>
      </c>
      <c r="P2193" s="29">
        <f>0.0016*M2193</f>
        <v>0</v>
      </c>
      <c r="Q2193" s="30"/>
      <c r="R2193" s="22" t="s">
        <v>7631</v>
      </c>
      <c r="S2193" s="22" t="s">
        <v>435</v>
      </c>
      <c r="T2193" s="21" t="str">
        <f>HYPERLINK("https://miland.ru/api/getInfo/image/bcca679f-fe4b-11ef-a275-00155d82e908")</f>
        <v>https://miland.ru/api/getInfo/image/bcca679f-fe4b-11ef-a275-00155d82e908</v>
      </c>
      <c r="U2193" s="21"/>
      <c r="V2193" s="21" t="s">
        <v>6525</v>
      </c>
      <c r="W2193" s="21" t="s">
        <v>378</v>
      </c>
      <c r="X2193" s="21"/>
      <c r="Y2193" s="21" t="s">
        <v>41</v>
      </c>
      <c r="Z2193" s="21"/>
      <c r="AA2193" s="21" t="str">
        <f>HYPERLINK("https://miland.ru/api/getInfo/item/bcca679f-fe4b-11ef-a275-00155d82e908")</f>
        <v>https://miland.ru/api/getInfo/item/bcca679f-fe4b-11ef-a275-00155d82e908</v>
      </c>
      <c r="AB2193" s="21" t="s">
        <v>42</v>
      </c>
      <c r="AC2193" s="21"/>
      <c r="AD2193" s="21"/>
    </row>
    <row r="2194" spans="2:31" s="1" customFormat="1" ht="96.3" customHeight="1" outlineLevel="7">
      <c r="B2194" s="57">
        <v>1707</v>
      </c>
      <c r="C2194" s="21" t="s">
        <v>7632</v>
      </c>
      <c r="D2194" s="72" t="s">
        <v>7633</v>
      </c>
      <c r="E2194" s="72"/>
      <c r="F2194" s="72"/>
      <c r="G2194" s="72"/>
      <c r="H2194" s="22" t="s">
        <v>7634</v>
      </c>
      <c r="I2194" s="27">
        <v>204</v>
      </c>
      <c r="J2194" s="22"/>
      <c r="K2194" s="20">
        <v>12</v>
      </c>
      <c r="L2194" s="24">
        <v>73.64</v>
      </c>
      <c r="M2194" s="11"/>
      <c r="N2194" s="22">
        <f>L2194*M2194</f>
        <v>0</v>
      </c>
      <c r="O2194" s="25">
        <f>0.098*M2194</f>
        <v>0</v>
      </c>
      <c r="P2194" s="26">
        <f>0.00136*M2194</f>
        <v>0</v>
      </c>
      <c r="Q2194" s="30"/>
      <c r="R2194" s="22" t="s">
        <v>7635</v>
      </c>
      <c r="S2194" s="22"/>
      <c r="T2194" s="21" t="str">
        <f>HYPERLINK("https://miland.ru/api/getInfo/image/5f051e0a-fe4b-11ef-a275-00155d82e908")</f>
        <v>https://miland.ru/api/getInfo/image/5f051e0a-fe4b-11ef-a275-00155d82e908</v>
      </c>
      <c r="U2194" s="21"/>
      <c r="V2194" s="21" t="s">
        <v>6525</v>
      </c>
      <c r="W2194" s="21" t="s">
        <v>378</v>
      </c>
      <c r="X2194" s="21"/>
      <c r="Y2194" s="21" t="s">
        <v>41</v>
      </c>
      <c r="Z2194" s="21"/>
      <c r="AA2194" s="21" t="str">
        <f>HYPERLINK("https://miland.ru/api/getInfo/item/5f051e0a-fe4b-11ef-a275-00155d82e908")</f>
        <v>https://miland.ru/api/getInfo/item/5f051e0a-fe4b-11ef-a275-00155d82e908</v>
      </c>
      <c r="AB2194" s="21" t="s">
        <v>42</v>
      </c>
      <c r="AC2194" s="21"/>
      <c r="AD2194" s="21"/>
    </row>
    <row r="2195" spans="2:31" ht="12" customHeight="1" outlineLevel="7">
      <c r="B2195" s="70" t="s">
        <v>6686</v>
      </c>
      <c r="C2195" s="70"/>
      <c r="D2195" s="70"/>
      <c r="E2195" s="70"/>
      <c r="F2195" s="70"/>
      <c r="G2195" s="70"/>
    </row>
    <row r="2196" spans="2:31" s="1" customFormat="1" ht="96.3" customHeight="1" outlineLevel="7">
      <c r="B2196" s="57">
        <v>1708</v>
      </c>
      <c r="C2196" s="21" t="s">
        <v>7636</v>
      </c>
      <c r="D2196" s="72" t="s">
        <v>7637</v>
      </c>
      <c r="E2196" s="72"/>
      <c r="F2196" s="72"/>
      <c r="G2196" s="72"/>
      <c r="H2196" s="22" t="s">
        <v>7638</v>
      </c>
      <c r="I2196" s="23" t="s">
        <v>36</v>
      </c>
      <c r="J2196" s="22"/>
      <c r="K2196" s="20">
        <v>12</v>
      </c>
      <c r="L2196" s="24">
        <v>53.3</v>
      </c>
      <c r="M2196" s="11"/>
      <c r="N2196" s="22">
        <f>L2196*M2196</f>
        <v>0</v>
      </c>
      <c r="O2196" s="25">
        <f>0.076*M2196</f>
        <v>0</v>
      </c>
      <c r="P2196" s="26">
        <f>0.00183*M2196</f>
        <v>0</v>
      </c>
      <c r="Q2196" s="30"/>
      <c r="R2196" s="22" t="s">
        <v>7639</v>
      </c>
      <c r="S2196" s="22" t="s">
        <v>435</v>
      </c>
      <c r="T2196" s="21" t="str">
        <f>HYPERLINK("https://miland.ru/api/getInfo/image/55b01e87-03a6-11ef-a25d-00155d82e908")</f>
        <v>https://miland.ru/api/getInfo/image/55b01e87-03a6-11ef-a25d-00155d82e908</v>
      </c>
      <c r="U2196" s="21"/>
      <c r="V2196" s="21" t="s">
        <v>6525</v>
      </c>
      <c r="W2196" s="21" t="s">
        <v>378</v>
      </c>
      <c r="X2196" s="21"/>
      <c r="Y2196" s="21" t="s">
        <v>41</v>
      </c>
      <c r="Z2196" s="21"/>
      <c r="AA2196" s="21" t="str">
        <f>HYPERLINK("https://miland.ru/api/getInfo/item/55b01e87-03a6-11ef-a25d-00155d82e908")</f>
        <v>https://miland.ru/api/getInfo/item/55b01e87-03a6-11ef-a25d-00155d82e908</v>
      </c>
      <c r="AB2196" s="21" t="s">
        <v>42</v>
      </c>
      <c r="AC2196" s="21"/>
      <c r="AD2196" s="21"/>
    </row>
    <row r="2197" spans="2:31" s="1" customFormat="1" ht="96.3" customHeight="1" outlineLevel="7">
      <c r="B2197" s="57">
        <v>1709</v>
      </c>
      <c r="C2197" s="21" t="s">
        <v>7640</v>
      </c>
      <c r="D2197" s="72" t="s">
        <v>7641</v>
      </c>
      <c r="E2197" s="72"/>
      <c r="F2197" s="72"/>
      <c r="G2197" s="72"/>
      <c r="H2197" s="22" t="s">
        <v>7642</v>
      </c>
      <c r="I2197" s="23" t="s">
        <v>36</v>
      </c>
      <c r="J2197" s="22"/>
      <c r="K2197" s="20">
        <v>12</v>
      </c>
      <c r="L2197" s="24">
        <v>53.3</v>
      </c>
      <c r="M2197" s="11"/>
      <c r="N2197" s="22">
        <f>L2197*M2197</f>
        <v>0</v>
      </c>
      <c r="O2197" s="25">
        <f>0.074*M2197</f>
        <v>0</v>
      </c>
      <c r="P2197" s="26">
        <f>0.00063*M2197</f>
        <v>0</v>
      </c>
      <c r="Q2197" s="30"/>
      <c r="R2197" s="22" t="s">
        <v>7643</v>
      </c>
      <c r="S2197" s="22" t="s">
        <v>435</v>
      </c>
      <c r="T2197" s="21" t="str">
        <f>HYPERLINK("https://miland.ru/api/getInfo/image/3fe5168a-03a6-11ef-a25d-00155d82e908")</f>
        <v>https://miland.ru/api/getInfo/image/3fe5168a-03a6-11ef-a25d-00155d82e908</v>
      </c>
      <c r="U2197" s="21"/>
      <c r="V2197" s="21" t="s">
        <v>6525</v>
      </c>
      <c r="W2197" s="21" t="s">
        <v>378</v>
      </c>
      <c r="X2197" s="21"/>
      <c r="Y2197" s="21" t="s">
        <v>41</v>
      </c>
      <c r="Z2197" s="21"/>
      <c r="AA2197" s="21" t="str">
        <f>HYPERLINK("https://miland.ru/api/getInfo/item/3fe5168a-03a6-11ef-a25d-00155d82e908")</f>
        <v>https://miland.ru/api/getInfo/item/3fe5168a-03a6-11ef-a25d-00155d82e908</v>
      </c>
      <c r="AB2197" s="21" t="s">
        <v>42</v>
      </c>
      <c r="AC2197" s="21"/>
      <c r="AD2197" s="21"/>
    </row>
    <row r="2198" spans="2:31" ht="12" customHeight="1" outlineLevel="6">
      <c r="B2198" s="70" t="s">
        <v>7644</v>
      </c>
      <c r="C2198" s="70"/>
      <c r="D2198" s="70"/>
      <c r="E2198" s="70"/>
      <c r="F2198" s="70"/>
      <c r="G2198" s="70"/>
    </row>
    <row r="2199" spans="2:31" s="1" customFormat="1" ht="96.3" customHeight="1" outlineLevel="7">
      <c r="B2199" s="57">
        <v>1710</v>
      </c>
      <c r="C2199" s="21" t="s">
        <v>7645</v>
      </c>
      <c r="D2199" s="72" t="s">
        <v>7646</v>
      </c>
      <c r="E2199" s="72"/>
      <c r="F2199" s="72"/>
      <c r="G2199" s="72"/>
      <c r="H2199" s="22" t="s">
        <v>7647</v>
      </c>
      <c r="I2199" s="23" t="s">
        <v>36</v>
      </c>
      <c r="J2199" s="22"/>
      <c r="K2199" s="20">
        <v>12</v>
      </c>
      <c r="L2199" s="24">
        <v>70.73</v>
      </c>
      <c r="M2199" s="11"/>
      <c r="N2199" s="22">
        <f>L2199*M2199</f>
        <v>0</v>
      </c>
      <c r="O2199" s="25">
        <f>0.079*M2199</f>
        <v>0</v>
      </c>
      <c r="P2199" s="26">
        <f>0.00028*M2199</f>
        <v>0</v>
      </c>
      <c r="Q2199" s="30"/>
      <c r="R2199" s="22" t="s">
        <v>7648</v>
      </c>
      <c r="S2199" s="22" t="s">
        <v>435</v>
      </c>
      <c r="T2199" s="21" t="str">
        <f>HYPERLINK("https://miland.ru/api/getInfo/image/a2218ed6-a34b-11ef-a267-00155d82e908")</f>
        <v>https://miland.ru/api/getInfo/image/a2218ed6-a34b-11ef-a267-00155d82e908</v>
      </c>
      <c r="U2199" s="21"/>
      <c r="V2199" s="21" t="s">
        <v>6525</v>
      </c>
      <c r="W2199" s="21" t="s">
        <v>378</v>
      </c>
      <c r="X2199" s="21"/>
      <c r="Y2199" s="21" t="s">
        <v>41</v>
      </c>
      <c r="Z2199" s="21"/>
      <c r="AA2199" s="21" t="str">
        <f>HYPERLINK("https://miland.ru/api/getInfo/item/a2218ed6-a34b-11ef-a267-00155d82e908")</f>
        <v>https://miland.ru/api/getInfo/item/a2218ed6-a34b-11ef-a267-00155d82e908</v>
      </c>
      <c r="AB2199" s="21" t="s">
        <v>42</v>
      </c>
      <c r="AC2199" s="21" t="s">
        <v>7649</v>
      </c>
      <c r="AD2199" s="21"/>
    </row>
    <row r="2200" spans="2:31" ht="12" customHeight="1" outlineLevel="5">
      <c r="B2200" s="70" t="s">
        <v>7650</v>
      </c>
      <c r="C2200" s="70"/>
      <c r="D2200" s="70"/>
      <c r="E2200" s="70"/>
      <c r="F2200" s="70"/>
      <c r="G2200" s="70"/>
    </row>
    <row r="2201" spans="2:31" ht="12" customHeight="1" outlineLevel="6">
      <c r="B2201" s="70" t="s">
        <v>7651</v>
      </c>
      <c r="C2201" s="70"/>
      <c r="D2201" s="70"/>
      <c r="E2201" s="70"/>
      <c r="F2201" s="70"/>
      <c r="G2201" s="70"/>
    </row>
    <row r="2202" spans="2:31" ht="12" customHeight="1" outlineLevel="7">
      <c r="B2202" s="70" t="s">
        <v>7652</v>
      </c>
      <c r="C2202" s="70"/>
      <c r="D2202" s="70"/>
      <c r="E2202" s="70"/>
      <c r="F2202" s="70"/>
      <c r="G2202" s="70"/>
    </row>
    <row r="2203" spans="2:31" s="1" customFormat="1" ht="96.3" customHeight="1" outlineLevel="7">
      <c r="B2203" s="57">
        <v>1711</v>
      </c>
      <c r="C2203" s="21" t="s">
        <v>7653</v>
      </c>
      <c r="D2203" s="72" t="s">
        <v>7654</v>
      </c>
      <c r="E2203" s="72"/>
      <c r="F2203" s="72"/>
      <c r="G2203" s="72"/>
      <c r="H2203" s="22" t="s">
        <v>7655</v>
      </c>
      <c r="I2203" s="23" t="s">
        <v>36</v>
      </c>
      <c r="J2203" s="22"/>
      <c r="K2203" s="20">
        <v>12</v>
      </c>
      <c r="L2203" s="24">
        <v>86.85</v>
      </c>
      <c r="M2203" s="11"/>
      <c r="N2203" s="22">
        <f t="shared" ref="N2203:N2219" si="102">L2203*M2203</f>
        <v>0</v>
      </c>
      <c r="O2203" s="25">
        <f>0.114*M2203</f>
        <v>0</v>
      </c>
      <c r="P2203" s="26">
        <f>0.00163*M2203</f>
        <v>0</v>
      </c>
      <c r="Q2203" s="30"/>
      <c r="R2203" s="22" t="s">
        <v>7656</v>
      </c>
      <c r="S2203" s="22" t="s">
        <v>435</v>
      </c>
      <c r="T2203" s="21" t="str">
        <f>HYPERLINK("https://miland.ru/api/getInfo/image/a40974c5-b6d1-11ef-a267-00155d82e908")</f>
        <v>https://miland.ru/api/getInfo/image/a40974c5-b6d1-11ef-a267-00155d82e908</v>
      </c>
      <c r="U2203" s="21"/>
      <c r="V2203" s="21" t="s">
        <v>6525</v>
      </c>
      <c r="W2203" s="21" t="s">
        <v>7657</v>
      </c>
      <c r="X2203" s="21"/>
      <c r="Y2203" s="21" t="s">
        <v>41</v>
      </c>
      <c r="Z2203" s="21"/>
      <c r="AA2203" s="21" t="str">
        <f>HYPERLINK("https://miland.ru/api/getInfo/item/a40974c5-b6d1-11ef-a267-00155d82e908")</f>
        <v>https://miland.ru/api/getInfo/item/a40974c5-b6d1-11ef-a267-00155d82e908</v>
      </c>
      <c r="AB2203" s="21" t="s">
        <v>42</v>
      </c>
      <c r="AC2203" s="21"/>
      <c r="AD2203" s="21"/>
    </row>
    <row r="2204" spans="2:31" s="1" customFormat="1" ht="96.3" customHeight="1" outlineLevel="7">
      <c r="B2204" s="58">
        <v>1712</v>
      </c>
      <c r="C2204" s="7" t="s">
        <v>7658</v>
      </c>
      <c r="D2204" s="71" t="s">
        <v>7659</v>
      </c>
      <c r="E2204" s="71"/>
      <c r="F2204" s="71"/>
      <c r="G2204" s="71"/>
      <c r="H2204" s="8" t="s">
        <v>7660</v>
      </c>
      <c r="I2204" s="9" t="s">
        <v>36</v>
      </c>
      <c r="J2204" s="8"/>
      <c r="K2204" s="6">
        <v>12</v>
      </c>
      <c r="L2204" s="10">
        <v>111.34</v>
      </c>
      <c r="M2204" s="11"/>
      <c r="N2204" s="8">
        <f t="shared" si="102"/>
        <v>0</v>
      </c>
      <c r="O2204" s="12">
        <f>0.105*M2204</f>
        <v>0</v>
      </c>
      <c r="P2204" s="13">
        <f>0.00131*M2204</f>
        <v>0</v>
      </c>
      <c r="Q2204" s="17" t="s">
        <v>37</v>
      </c>
      <c r="R2204" s="8" t="s">
        <v>7661</v>
      </c>
      <c r="S2204" s="8"/>
      <c r="T2204" s="7" t="str">
        <f>HYPERLINK("https://miland.ru/api/getInfo/image/5f69b4ad-fb85-11f0-a28e-00155d82e908")</f>
        <v>https://miland.ru/api/getInfo/image/5f69b4ad-fb85-11f0-a28e-00155d82e908</v>
      </c>
      <c r="U2204" s="7"/>
      <c r="V2204" s="7"/>
      <c r="W2204" s="7" t="s">
        <v>378</v>
      </c>
      <c r="X2204" s="7"/>
      <c r="Y2204" s="7" t="s">
        <v>41</v>
      </c>
      <c r="Z2204" s="7"/>
      <c r="AA2204" s="7" t="str">
        <f>HYPERLINK("https://miland.ru/api/getInfo/item/5f69b4ad-fb85-11f0-a28e-00155d82e908")</f>
        <v>https://miland.ru/api/getInfo/item/5f69b4ad-fb85-11f0-a28e-00155d82e908</v>
      </c>
      <c r="AB2204" s="7" t="s">
        <v>42</v>
      </c>
      <c r="AC2204" s="7"/>
      <c r="AD2204" s="7"/>
      <c r="AE2204" s="54"/>
    </row>
    <row r="2205" spans="2:31" s="1" customFormat="1" ht="96.3" customHeight="1" outlineLevel="7">
      <c r="B2205" s="57">
        <v>1713</v>
      </c>
      <c r="C2205" s="21" t="s">
        <v>7662</v>
      </c>
      <c r="D2205" s="72" t="s">
        <v>7663</v>
      </c>
      <c r="E2205" s="72"/>
      <c r="F2205" s="72"/>
      <c r="G2205" s="72"/>
      <c r="H2205" s="22" t="s">
        <v>7664</v>
      </c>
      <c r="I2205" s="27">
        <v>396</v>
      </c>
      <c r="J2205" s="22"/>
      <c r="K2205" s="20">
        <v>36</v>
      </c>
      <c r="L2205" s="24">
        <v>80.739999999999995</v>
      </c>
      <c r="M2205" s="11"/>
      <c r="N2205" s="22">
        <f t="shared" si="102"/>
        <v>0</v>
      </c>
      <c r="O2205" s="25">
        <f>0.007*M2205</f>
        <v>0</v>
      </c>
      <c r="P2205" s="26">
        <f>0.00149*M2205</f>
        <v>0</v>
      </c>
      <c r="Q2205" s="30"/>
      <c r="R2205" s="22" t="s">
        <v>7665</v>
      </c>
      <c r="S2205" s="22"/>
      <c r="T2205" s="21" t="str">
        <f>HYPERLINK("https://miland.ru/api/getInfo/image/e824fde6-2f04-11f0-a27c-00155d82e908")</f>
        <v>https://miland.ru/api/getInfo/image/e824fde6-2f04-11f0-a27c-00155d82e908</v>
      </c>
      <c r="U2205" s="21"/>
      <c r="V2205" s="21"/>
      <c r="W2205" s="21" t="s">
        <v>7657</v>
      </c>
      <c r="X2205" s="21"/>
      <c r="Y2205" s="21"/>
      <c r="Z2205" s="21"/>
      <c r="AA2205" s="21" t="str">
        <f>HYPERLINK("https://miland.ru/api/getInfo/item/e824fde6-2f04-11f0-a27c-00155d82e908")</f>
        <v>https://miland.ru/api/getInfo/item/e824fde6-2f04-11f0-a27c-00155d82e908</v>
      </c>
      <c r="AB2205" s="21" t="s">
        <v>42</v>
      </c>
      <c r="AC2205" s="21"/>
      <c r="AD2205" s="21"/>
    </row>
    <row r="2206" spans="2:31" s="1" customFormat="1" ht="96.3" customHeight="1" outlineLevel="7">
      <c r="B2206" s="57">
        <v>1714</v>
      </c>
      <c r="C2206" s="21" t="s">
        <v>7666</v>
      </c>
      <c r="D2206" s="72" t="s">
        <v>7667</v>
      </c>
      <c r="E2206" s="72"/>
      <c r="F2206" s="72"/>
      <c r="G2206" s="72"/>
      <c r="H2206" s="22" t="s">
        <v>7668</v>
      </c>
      <c r="I2206" s="23" t="s">
        <v>36</v>
      </c>
      <c r="J2206" s="22"/>
      <c r="K2206" s="20">
        <v>12</v>
      </c>
      <c r="L2206" s="24">
        <v>111.34</v>
      </c>
      <c r="M2206" s="11"/>
      <c r="N2206" s="22">
        <f t="shared" si="102"/>
        <v>0</v>
      </c>
      <c r="O2206" s="25">
        <f>0.115*M2206</f>
        <v>0</v>
      </c>
      <c r="P2206" s="26">
        <f>0.00152*M2206</f>
        <v>0</v>
      </c>
      <c r="Q2206" s="30"/>
      <c r="R2206" s="22" t="s">
        <v>7669</v>
      </c>
      <c r="S2206" s="22" t="s">
        <v>435</v>
      </c>
      <c r="T2206" s="21" t="str">
        <f>HYPERLINK("https://miland.ru/api/getInfo/image/a88aac5f-a34c-11ef-a267-00155d82e908")</f>
        <v>https://miland.ru/api/getInfo/image/a88aac5f-a34c-11ef-a267-00155d82e908</v>
      </c>
      <c r="U2206" s="21"/>
      <c r="V2206" s="21" t="s">
        <v>6525</v>
      </c>
      <c r="W2206" s="21" t="s">
        <v>7657</v>
      </c>
      <c r="X2206" s="21"/>
      <c r="Y2206" s="21" t="s">
        <v>41</v>
      </c>
      <c r="Z2206" s="21"/>
      <c r="AA2206" s="21" t="str">
        <f>HYPERLINK("https://miland.ru/api/getInfo/item/a88aac5f-a34c-11ef-a267-00155d82e908")</f>
        <v>https://miland.ru/api/getInfo/item/a88aac5f-a34c-11ef-a267-00155d82e908</v>
      </c>
      <c r="AB2206" s="21" t="s">
        <v>42</v>
      </c>
      <c r="AC2206" s="21" t="s">
        <v>7670</v>
      </c>
      <c r="AD2206" s="21"/>
    </row>
    <row r="2207" spans="2:31" s="1" customFormat="1" ht="96.3" customHeight="1" outlineLevel="7">
      <c r="B2207" s="57">
        <v>1715</v>
      </c>
      <c r="C2207" s="21" t="s">
        <v>7671</v>
      </c>
      <c r="D2207" s="72" t="s">
        <v>7672</v>
      </c>
      <c r="E2207" s="72"/>
      <c r="F2207" s="72"/>
      <c r="G2207" s="72"/>
      <c r="H2207" s="22" t="s">
        <v>7673</v>
      </c>
      <c r="I2207" s="27">
        <v>396</v>
      </c>
      <c r="J2207" s="22"/>
      <c r="K2207" s="20">
        <v>36</v>
      </c>
      <c r="L2207" s="24">
        <v>80.739999999999995</v>
      </c>
      <c r="M2207" s="11"/>
      <c r="N2207" s="22">
        <f t="shared" si="102"/>
        <v>0</v>
      </c>
      <c r="O2207" s="25">
        <f t="shared" ref="O2207:O2213" si="103">0.007*M2207</f>
        <v>0</v>
      </c>
      <c r="P2207" s="26">
        <f t="shared" ref="P2207:P2213" si="104">0.00149*M2207</f>
        <v>0</v>
      </c>
      <c r="Q2207" s="30"/>
      <c r="R2207" s="22" t="s">
        <v>7674</v>
      </c>
      <c r="S2207" s="22"/>
      <c r="T2207" s="21"/>
      <c r="U2207" s="21"/>
      <c r="V2207" s="21"/>
      <c r="W2207" s="21" t="s">
        <v>7657</v>
      </c>
      <c r="X2207" s="21"/>
      <c r="Y2207" s="21"/>
      <c r="Z2207" s="21"/>
      <c r="AA2207" s="21"/>
      <c r="AB2207" s="21" t="s">
        <v>42</v>
      </c>
      <c r="AC2207" s="21"/>
      <c r="AD2207" s="21"/>
    </row>
    <row r="2208" spans="2:31" s="1" customFormat="1" ht="96.3" customHeight="1" outlineLevel="7">
      <c r="B2208" s="57">
        <v>1716</v>
      </c>
      <c r="C2208" s="21" t="s">
        <v>7675</v>
      </c>
      <c r="D2208" s="72" t="s">
        <v>7676</v>
      </c>
      <c r="E2208" s="72"/>
      <c r="F2208" s="72"/>
      <c r="G2208" s="72"/>
      <c r="H2208" s="22" t="s">
        <v>7677</v>
      </c>
      <c r="I2208" s="27">
        <v>372</v>
      </c>
      <c r="J2208" s="22"/>
      <c r="K2208" s="20">
        <v>36</v>
      </c>
      <c r="L2208" s="24">
        <v>80.739999999999995</v>
      </c>
      <c r="M2208" s="11"/>
      <c r="N2208" s="22">
        <f t="shared" si="102"/>
        <v>0</v>
      </c>
      <c r="O2208" s="25">
        <f t="shared" si="103"/>
        <v>0</v>
      </c>
      <c r="P2208" s="26">
        <f t="shared" si="104"/>
        <v>0</v>
      </c>
      <c r="Q2208" s="30"/>
      <c r="R2208" s="22" t="s">
        <v>7678</v>
      </c>
      <c r="S2208" s="22"/>
      <c r="T2208" s="21" t="str">
        <f>HYPERLINK("https://miland.ru/api/getInfo/image/1899de3a-2f05-11f0-a27c-00155d82e908")</f>
        <v>https://miland.ru/api/getInfo/image/1899de3a-2f05-11f0-a27c-00155d82e908</v>
      </c>
      <c r="U2208" s="21"/>
      <c r="V2208" s="21"/>
      <c r="W2208" s="21" t="s">
        <v>7657</v>
      </c>
      <c r="X2208" s="21"/>
      <c r="Y2208" s="21"/>
      <c r="Z2208" s="21"/>
      <c r="AA2208" s="21" t="str">
        <f>HYPERLINK("https://miland.ru/api/getInfo/item/1899de3a-2f05-11f0-a27c-00155d82e908")</f>
        <v>https://miland.ru/api/getInfo/item/1899de3a-2f05-11f0-a27c-00155d82e908</v>
      </c>
      <c r="AB2208" s="21" t="s">
        <v>42</v>
      </c>
      <c r="AC2208" s="21"/>
      <c r="AD2208" s="21"/>
    </row>
    <row r="2209" spans="2:31" s="1" customFormat="1" ht="96.3" customHeight="1" outlineLevel="7">
      <c r="B2209" s="57">
        <v>1717</v>
      </c>
      <c r="C2209" s="21" t="s">
        <v>7679</v>
      </c>
      <c r="D2209" s="72" t="s">
        <v>7680</v>
      </c>
      <c r="E2209" s="72"/>
      <c r="F2209" s="72"/>
      <c r="G2209" s="72"/>
      <c r="H2209" s="22" t="s">
        <v>7681</v>
      </c>
      <c r="I2209" s="27">
        <v>288</v>
      </c>
      <c r="J2209" s="22"/>
      <c r="K2209" s="20">
        <v>36</v>
      </c>
      <c r="L2209" s="24">
        <v>80.739999999999995</v>
      </c>
      <c r="M2209" s="11"/>
      <c r="N2209" s="22">
        <f t="shared" si="102"/>
        <v>0</v>
      </c>
      <c r="O2209" s="25">
        <f t="shared" si="103"/>
        <v>0</v>
      </c>
      <c r="P2209" s="26">
        <f t="shared" si="104"/>
        <v>0</v>
      </c>
      <c r="Q2209" s="30"/>
      <c r="R2209" s="22" t="s">
        <v>7682</v>
      </c>
      <c r="S2209" s="22"/>
      <c r="T2209" s="21" t="str">
        <f>HYPERLINK("https://miland.ru/api/getInfo/image/3f83538f-2f05-11f0-a27c-00155d82e908")</f>
        <v>https://miland.ru/api/getInfo/image/3f83538f-2f05-11f0-a27c-00155d82e908</v>
      </c>
      <c r="U2209" s="21"/>
      <c r="V2209" s="21"/>
      <c r="W2209" s="21" t="s">
        <v>7657</v>
      </c>
      <c r="X2209" s="21"/>
      <c r="Y2209" s="21"/>
      <c r="Z2209" s="21"/>
      <c r="AA2209" s="21" t="str">
        <f>HYPERLINK("https://miland.ru/api/getInfo/item/3f83538f-2f05-11f0-a27c-00155d82e908")</f>
        <v>https://miland.ru/api/getInfo/item/3f83538f-2f05-11f0-a27c-00155d82e908</v>
      </c>
      <c r="AB2209" s="21" t="s">
        <v>42</v>
      </c>
      <c r="AC2209" s="21"/>
      <c r="AD2209" s="21"/>
    </row>
    <row r="2210" spans="2:31" s="1" customFormat="1" ht="22.05" customHeight="1" outlineLevel="7">
      <c r="B2210" s="57">
        <v>1718</v>
      </c>
      <c r="C2210" s="21" t="s">
        <v>7683</v>
      </c>
      <c r="D2210" s="72" t="s">
        <v>7684</v>
      </c>
      <c r="E2210" s="72"/>
      <c r="F2210" s="72"/>
      <c r="G2210" s="72"/>
      <c r="H2210" s="22" t="s">
        <v>7685</v>
      </c>
      <c r="I2210" s="27">
        <v>312</v>
      </c>
      <c r="J2210" s="22"/>
      <c r="K2210" s="20">
        <v>48</v>
      </c>
      <c r="L2210" s="24">
        <v>80.739999999999995</v>
      </c>
      <c r="M2210" s="11"/>
      <c r="N2210" s="22">
        <f t="shared" si="102"/>
        <v>0</v>
      </c>
      <c r="O2210" s="25">
        <f t="shared" si="103"/>
        <v>0</v>
      </c>
      <c r="P2210" s="26">
        <f t="shared" si="104"/>
        <v>0</v>
      </c>
      <c r="Q2210" s="30"/>
      <c r="R2210" s="22" t="s">
        <v>7686</v>
      </c>
      <c r="S2210" s="22"/>
      <c r="T2210" s="21"/>
      <c r="U2210" s="21"/>
      <c r="V2210" s="21"/>
      <c r="W2210" s="21" t="s">
        <v>7657</v>
      </c>
      <c r="X2210" s="21"/>
      <c r="Y2210" s="21"/>
      <c r="Z2210" s="21"/>
      <c r="AA2210" s="21"/>
      <c r="AB2210" s="21" t="s">
        <v>42</v>
      </c>
      <c r="AC2210" s="21"/>
      <c r="AD2210" s="21"/>
    </row>
    <row r="2211" spans="2:31" s="1" customFormat="1" ht="96.3" customHeight="1" outlineLevel="7">
      <c r="B2211" s="57">
        <v>1719</v>
      </c>
      <c r="C2211" s="21" t="s">
        <v>7687</v>
      </c>
      <c r="D2211" s="72" t="s">
        <v>7688</v>
      </c>
      <c r="E2211" s="72"/>
      <c r="F2211" s="72"/>
      <c r="G2211" s="72"/>
      <c r="H2211" s="22" t="s">
        <v>7689</v>
      </c>
      <c r="I2211" s="23" t="s">
        <v>36</v>
      </c>
      <c r="J2211" s="22"/>
      <c r="K2211" s="20">
        <v>36</v>
      </c>
      <c r="L2211" s="24">
        <v>80.739999999999995</v>
      </c>
      <c r="M2211" s="11"/>
      <c r="N2211" s="22">
        <f t="shared" si="102"/>
        <v>0</v>
      </c>
      <c r="O2211" s="25">
        <f t="shared" si="103"/>
        <v>0</v>
      </c>
      <c r="P2211" s="26">
        <f t="shared" si="104"/>
        <v>0</v>
      </c>
      <c r="Q2211" s="30"/>
      <c r="R2211" s="22" t="s">
        <v>7690</v>
      </c>
      <c r="S2211" s="22"/>
      <c r="T2211" s="21" t="str">
        <f>HYPERLINK("https://miland.ru/api/getInfo/image/cb568611-2f04-11f0-a27c-00155d82e908")</f>
        <v>https://miland.ru/api/getInfo/image/cb568611-2f04-11f0-a27c-00155d82e908</v>
      </c>
      <c r="U2211" s="21"/>
      <c r="V2211" s="21"/>
      <c r="W2211" s="21" t="s">
        <v>7657</v>
      </c>
      <c r="X2211" s="21"/>
      <c r="Y2211" s="21"/>
      <c r="Z2211" s="21"/>
      <c r="AA2211" s="21" t="str">
        <f>HYPERLINK("https://miland.ru/api/getInfo/item/cb568611-2f04-11f0-a27c-00155d82e908")</f>
        <v>https://miland.ru/api/getInfo/item/cb568611-2f04-11f0-a27c-00155d82e908</v>
      </c>
      <c r="AB2211" s="21" t="s">
        <v>42</v>
      </c>
      <c r="AC2211" s="21"/>
      <c r="AD2211" s="21"/>
    </row>
    <row r="2212" spans="2:31" s="1" customFormat="1" ht="22.05" customHeight="1" outlineLevel="7">
      <c r="B2212" s="57">
        <v>1720</v>
      </c>
      <c r="C2212" s="21" t="s">
        <v>7691</v>
      </c>
      <c r="D2212" s="72" t="s">
        <v>7692</v>
      </c>
      <c r="E2212" s="72"/>
      <c r="F2212" s="72"/>
      <c r="G2212" s="72"/>
      <c r="H2212" s="22" t="s">
        <v>7693</v>
      </c>
      <c r="I2212" s="23" t="s">
        <v>36</v>
      </c>
      <c r="J2212" s="22"/>
      <c r="K2212" s="20">
        <v>48</v>
      </c>
      <c r="L2212" s="24">
        <v>80.739999999999995</v>
      </c>
      <c r="M2212" s="11"/>
      <c r="N2212" s="22">
        <f t="shared" si="102"/>
        <v>0</v>
      </c>
      <c r="O2212" s="25">
        <f t="shared" si="103"/>
        <v>0</v>
      </c>
      <c r="P2212" s="26">
        <f t="shared" si="104"/>
        <v>0</v>
      </c>
      <c r="Q2212" s="30"/>
      <c r="R2212" s="22" t="s">
        <v>7694</v>
      </c>
      <c r="S2212" s="22"/>
      <c r="T2212" s="21"/>
      <c r="U2212" s="21"/>
      <c r="V2212" s="21"/>
      <c r="W2212" s="21" t="s">
        <v>7657</v>
      </c>
      <c r="X2212" s="21"/>
      <c r="Y2212" s="21"/>
      <c r="Z2212" s="21"/>
      <c r="AA2212" s="21"/>
      <c r="AB2212" s="21" t="s">
        <v>42</v>
      </c>
      <c r="AC2212" s="21"/>
      <c r="AD2212" s="21"/>
    </row>
    <row r="2213" spans="2:31" s="1" customFormat="1" ht="96.3" customHeight="1" outlineLevel="7">
      <c r="B2213" s="57">
        <v>1721</v>
      </c>
      <c r="C2213" s="21" t="s">
        <v>7695</v>
      </c>
      <c r="D2213" s="72" t="s">
        <v>7696</v>
      </c>
      <c r="E2213" s="72"/>
      <c r="F2213" s="72"/>
      <c r="G2213" s="72"/>
      <c r="H2213" s="22" t="s">
        <v>7697</v>
      </c>
      <c r="I2213" s="27">
        <v>360</v>
      </c>
      <c r="J2213" s="22"/>
      <c r="K2213" s="20">
        <v>36</v>
      </c>
      <c r="L2213" s="24">
        <v>80.739999999999995</v>
      </c>
      <c r="M2213" s="11"/>
      <c r="N2213" s="22">
        <f t="shared" si="102"/>
        <v>0</v>
      </c>
      <c r="O2213" s="25">
        <f t="shared" si="103"/>
        <v>0</v>
      </c>
      <c r="P2213" s="26">
        <f t="shared" si="104"/>
        <v>0</v>
      </c>
      <c r="Q2213" s="30"/>
      <c r="R2213" s="22" t="s">
        <v>7698</v>
      </c>
      <c r="S2213" s="22"/>
      <c r="T2213" s="21" t="str">
        <f>HYPERLINK("https://miland.ru/api/getInfo/image/6823ae25-2f05-11f0-a27c-00155d82e908")</f>
        <v>https://miland.ru/api/getInfo/image/6823ae25-2f05-11f0-a27c-00155d82e908</v>
      </c>
      <c r="U2213" s="21"/>
      <c r="V2213" s="21"/>
      <c r="W2213" s="21" t="s">
        <v>7657</v>
      </c>
      <c r="X2213" s="21"/>
      <c r="Y2213" s="21"/>
      <c r="Z2213" s="21"/>
      <c r="AA2213" s="21" t="str">
        <f>HYPERLINK("https://miland.ru/api/getInfo/item/6823ae25-2f05-11f0-a27c-00155d82e908")</f>
        <v>https://miland.ru/api/getInfo/item/6823ae25-2f05-11f0-a27c-00155d82e908</v>
      </c>
      <c r="AB2213" s="21" t="s">
        <v>42</v>
      </c>
      <c r="AC2213" s="21"/>
      <c r="AD2213" s="21"/>
    </row>
    <row r="2214" spans="2:31" s="1" customFormat="1" ht="96.3" customHeight="1" outlineLevel="7">
      <c r="B2214" s="57">
        <v>1722</v>
      </c>
      <c r="C2214" s="21" t="s">
        <v>7699</v>
      </c>
      <c r="D2214" s="72" t="s">
        <v>7700</v>
      </c>
      <c r="E2214" s="72"/>
      <c r="F2214" s="72"/>
      <c r="G2214" s="72"/>
      <c r="H2214" s="22" t="s">
        <v>7701</v>
      </c>
      <c r="I2214" s="23" t="s">
        <v>36</v>
      </c>
      <c r="J2214" s="22"/>
      <c r="K2214" s="20">
        <v>12</v>
      </c>
      <c r="L2214" s="24">
        <v>111.34</v>
      </c>
      <c r="M2214" s="11"/>
      <c r="N2214" s="22">
        <f t="shared" si="102"/>
        <v>0</v>
      </c>
      <c r="O2214" s="25">
        <f>0.137*M2214</f>
        <v>0</v>
      </c>
      <c r="P2214" s="26">
        <f>0.00186*M2214</f>
        <v>0</v>
      </c>
      <c r="Q2214" s="30"/>
      <c r="R2214" s="22" t="s">
        <v>7702</v>
      </c>
      <c r="S2214" s="22" t="s">
        <v>435</v>
      </c>
      <c r="T2214" s="21" t="str">
        <f>HYPERLINK("https://miland.ru/api/getInfo/image/69802939-a34c-11ef-a267-00155d82e908")</f>
        <v>https://miland.ru/api/getInfo/image/69802939-a34c-11ef-a267-00155d82e908</v>
      </c>
      <c r="U2214" s="21"/>
      <c r="V2214" s="21" t="s">
        <v>6525</v>
      </c>
      <c r="W2214" s="21" t="s">
        <v>7657</v>
      </c>
      <c r="X2214" s="21"/>
      <c r="Y2214" s="21" t="s">
        <v>41</v>
      </c>
      <c r="Z2214" s="21"/>
      <c r="AA2214" s="21" t="str">
        <f>HYPERLINK("https://miland.ru/api/getInfo/item/69802939-a34c-11ef-a267-00155d82e908")</f>
        <v>https://miland.ru/api/getInfo/item/69802939-a34c-11ef-a267-00155d82e908</v>
      </c>
      <c r="AB2214" s="21" t="s">
        <v>42</v>
      </c>
      <c r="AC2214" s="21" t="s">
        <v>7703</v>
      </c>
      <c r="AD2214" s="21"/>
    </row>
    <row r="2215" spans="2:31" s="1" customFormat="1" ht="22.05" customHeight="1" outlineLevel="7">
      <c r="B2215" s="57">
        <v>1723</v>
      </c>
      <c r="C2215" s="21" t="s">
        <v>7704</v>
      </c>
      <c r="D2215" s="72" t="s">
        <v>7705</v>
      </c>
      <c r="E2215" s="72"/>
      <c r="F2215" s="72"/>
      <c r="G2215" s="72"/>
      <c r="H2215" s="22" t="s">
        <v>7706</v>
      </c>
      <c r="I2215" s="27">
        <v>192</v>
      </c>
      <c r="J2215" s="22"/>
      <c r="K2215" s="20">
        <v>60</v>
      </c>
      <c r="L2215" s="24">
        <v>80.739999999999995</v>
      </c>
      <c r="M2215" s="11"/>
      <c r="N2215" s="22">
        <f t="shared" si="102"/>
        <v>0</v>
      </c>
      <c r="O2215" s="25">
        <f>0.007*M2215</f>
        <v>0</v>
      </c>
      <c r="P2215" s="26">
        <f>0.00149*M2215</f>
        <v>0</v>
      </c>
      <c r="Q2215" s="30"/>
      <c r="R2215" s="22" t="s">
        <v>7707</v>
      </c>
      <c r="S2215" s="22"/>
      <c r="T2215" s="21"/>
      <c r="U2215" s="21"/>
      <c r="V2215" s="21"/>
      <c r="W2215" s="21" t="s">
        <v>7657</v>
      </c>
      <c r="X2215" s="21"/>
      <c r="Y2215" s="21"/>
      <c r="Z2215" s="21"/>
      <c r="AA2215" s="21"/>
      <c r="AB2215" s="21" t="s">
        <v>42</v>
      </c>
      <c r="AC2215" s="21"/>
      <c r="AD2215" s="21"/>
    </row>
    <row r="2216" spans="2:31" s="1" customFormat="1" ht="96.3" customHeight="1" outlineLevel="7">
      <c r="B2216" s="58">
        <v>1724</v>
      </c>
      <c r="C2216" s="7" t="s">
        <v>7708</v>
      </c>
      <c r="D2216" s="71" t="s">
        <v>7709</v>
      </c>
      <c r="E2216" s="71"/>
      <c r="F2216" s="71"/>
      <c r="G2216" s="71"/>
      <c r="H2216" s="8" t="s">
        <v>7710</v>
      </c>
      <c r="I2216" s="9" t="s">
        <v>36</v>
      </c>
      <c r="J2216" s="8"/>
      <c r="K2216" s="6">
        <v>12</v>
      </c>
      <c r="L2216" s="10">
        <v>111.34</v>
      </c>
      <c r="M2216" s="11"/>
      <c r="N2216" s="8">
        <f t="shared" si="102"/>
        <v>0</v>
      </c>
      <c r="O2216" s="12">
        <f>0.101*M2216</f>
        <v>0</v>
      </c>
      <c r="P2216" s="13">
        <f>0.00074*M2216</f>
        <v>0</v>
      </c>
      <c r="Q2216" s="17" t="s">
        <v>37</v>
      </c>
      <c r="R2216" s="8" t="s">
        <v>7711</v>
      </c>
      <c r="S2216" s="8"/>
      <c r="T2216" s="7" t="str">
        <f>HYPERLINK("https://miland.ru/api/getInfo/image/87a7dec1-fb83-11f0-a28e-00155d82e908")</f>
        <v>https://miland.ru/api/getInfo/image/87a7dec1-fb83-11f0-a28e-00155d82e908</v>
      </c>
      <c r="U2216" s="7"/>
      <c r="V2216" s="7"/>
      <c r="W2216" s="7" t="s">
        <v>378</v>
      </c>
      <c r="X2216" s="7"/>
      <c r="Y2216" s="7" t="s">
        <v>41</v>
      </c>
      <c r="Z2216" s="7"/>
      <c r="AA2216" s="7" t="str">
        <f>HYPERLINK("https://miland.ru/api/getInfo/item/87a7dec1-fb83-11f0-a28e-00155d82e908")</f>
        <v>https://miland.ru/api/getInfo/item/87a7dec1-fb83-11f0-a28e-00155d82e908</v>
      </c>
      <c r="AB2216" s="7" t="s">
        <v>42</v>
      </c>
      <c r="AC2216" s="7"/>
      <c r="AD2216" s="7"/>
      <c r="AE2216" s="54"/>
    </row>
    <row r="2217" spans="2:31" s="1" customFormat="1" ht="96.3" customHeight="1" outlineLevel="7">
      <c r="B2217" s="58">
        <v>1725</v>
      </c>
      <c r="C2217" s="7" t="s">
        <v>7712</v>
      </c>
      <c r="D2217" s="71" t="s">
        <v>7713</v>
      </c>
      <c r="E2217" s="71"/>
      <c r="F2217" s="71"/>
      <c r="G2217" s="71"/>
      <c r="H2217" s="8" t="s">
        <v>7714</v>
      </c>
      <c r="I2217" s="9" t="s">
        <v>36</v>
      </c>
      <c r="J2217" s="8"/>
      <c r="K2217" s="6">
        <v>12</v>
      </c>
      <c r="L2217" s="10">
        <v>111.34</v>
      </c>
      <c r="M2217" s="11"/>
      <c r="N2217" s="8">
        <f t="shared" si="102"/>
        <v>0</v>
      </c>
      <c r="O2217" s="19">
        <f>0.1*M2217</f>
        <v>0</v>
      </c>
      <c r="P2217" s="13">
        <f>0.00022*M2217</f>
        <v>0</v>
      </c>
      <c r="Q2217" s="17" t="s">
        <v>37</v>
      </c>
      <c r="R2217" s="8" t="s">
        <v>7715</v>
      </c>
      <c r="S2217" s="8"/>
      <c r="T2217" s="7" t="str">
        <f>HYPERLINK("https://miland.ru/api/getInfo/image/36f8fb9b-fb83-11f0-a28e-00155d82e908")</f>
        <v>https://miland.ru/api/getInfo/image/36f8fb9b-fb83-11f0-a28e-00155d82e908</v>
      </c>
      <c r="U2217" s="7"/>
      <c r="V2217" s="7"/>
      <c r="W2217" s="7" t="s">
        <v>378</v>
      </c>
      <c r="X2217" s="7"/>
      <c r="Y2217" s="7" t="s">
        <v>41</v>
      </c>
      <c r="Z2217" s="7"/>
      <c r="AA2217" s="7" t="str">
        <f>HYPERLINK("https://miland.ru/api/getInfo/item/36f8fb9b-fb83-11f0-a28e-00155d82e908")</f>
        <v>https://miland.ru/api/getInfo/item/36f8fb9b-fb83-11f0-a28e-00155d82e908</v>
      </c>
      <c r="AB2217" s="7" t="s">
        <v>42</v>
      </c>
      <c r="AC2217" s="7"/>
      <c r="AD2217" s="7"/>
      <c r="AE2217" s="54"/>
    </row>
    <row r="2218" spans="2:31" s="1" customFormat="1" ht="96.3" customHeight="1" outlineLevel="7">
      <c r="B2218" s="58">
        <v>1726</v>
      </c>
      <c r="C2218" s="7" t="s">
        <v>7716</v>
      </c>
      <c r="D2218" s="71" t="s">
        <v>7717</v>
      </c>
      <c r="E2218" s="71"/>
      <c r="F2218" s="71"/>
      <c r="G2218" s="71"/>
      <c r="H2218" s="8" t="s">
        <v>7718</v>
      </c>
      <c r="I2218" s="9" t="s">
        <v>36</v>
      </c>
      <c r="J2218" s="8"/>
      <c r="K2218" s="6">
        <v>12</v>
      </c>
      <c r="L2218" s="10">
        <v>111.34</v>
      </c>
      <c r="M2218" s="11"/>
      <c r="N2218" s="8">
        <f t="shared" si="102"/>
        <v>0</v>
      </c>
      <c r="O2218" s="12">
        <f>0.099*M2218</f>
        <v>0</v>
      </c>
      <c r="P2218" s="13">
        <f>0.00227*M2218</f>
        <v>0</v>
      </c>
      <c r="Q2218" s="17" t="s">
        <v>37</v>
      </c>
      <c r="R2218" s="8" t="s">
        <v>7719</v>
      </c>
      <c r="S2218" s="8"/>
      <c r="T2218" s="7" t="str">
        <f>HYPERLINK("https://miland.ru/api/getInfo/image/830a0076-fb85-11f0-a28e-00155d82e908")</f>
        <v>https://miland.ru/api/getInfo/image/830a0076-fb85-11f0-a28e-00155d82e908</v>
      </c>
      <c r="U2218" s="7"/>
      <c r="V2218" s="7"/>
      <c r="W2218" s="7" t="s">
        <v>378</v>
      </c>
      <c r="X2218" s="7"/>
      <c r="Y2218" s="7" t="s">
        <v>41</v>
      </c>
      <c r="Z2218" s="7"/>
      <c r="AA2218" s="7" t="str">
        <f>HYPERLINK("https://miland.ru/api/getInfo/item/830a0076-fb85-11f0-a28e-00155d82e908")</f>
        <v>https://miland.ru/api/getInfo/item/830a0076-fb85-11f0-a28e-00155d82e908</v>
      </c>
      <c r="AB2218" s="7" t="s">
        <v>42</v>
      </c>
      <c r="AC2218" s="7"/>
      <c r="AD2218" s="7"/>
      <c r="AE2218" s="54"/>
    </row>
    <row r="2219" spans="2:31" s="1" customFormat="1" ht="96.3" customHeight="1" outlineLevel="7">
      <c r="B2219" s="57">
        <v>1727</v>
      </c>
      <c r="C2219" s="21" t="s">
        <v>7720</v>
      </c>
      <c r="D2219" s="72" t="s">
        <v>7721</v>
      </c>
      <c r="E2219" s="72"/>
      <c r="F2219" s="72"/>
      <c r="G2219" s="72"/>
      <c r="H2219" s="22" t="s">
        <v>7722</v>
      </c>
      <c r="I2219" s="23" t="s">
        <v>36</v>
      </c>
      <c r="J2219" s="22"/>
      <c r="K2219" s="20">
        <v>12</v>
      </c>
      <c r="L2219" s="24">
        <v>111.34</v>
      </c>
      <c r="M2219" s="11"/>
      <c r="N2219" s="22">
        <f t="shared" si="102"/>
        <v>0</v>
      </c>
      <c r="O2219" s="25">
        <f>0.114*M2219</f>
        <v>0</v>
      </c>
      <c r="P2219" s="26">
        <f>0.00182*M2219</f>
        <v>0</v>
      </c>
      <c r="Q2219" s="30"/>
      <c r="R2219" s="22" t="s">
        <v>7723</v>
      </c>
      <c r="S2219" s="22" t="s">
        <v>435</v>
      </c>
      <c r="T2219" s="21" t="str">
        <f>HYPERLINK("https://miland.ru/api/getInfo/image/f2700f81-a34c-11ef-a267-00155d82e908")</f>
        <v>https://miland.ru/api/getInfo/image/f2700f81-a34c-11ef-a267-00155d82e908</v>
      </c>
      <c r="U2219" s="21"/>
      <c r="V2219" s="21" t="s">
        <v>6525</v>
      </c>
      <c r="W2219" s="21" t="s">
        <v>7657</v>
      </c>
      <c r="X2219" s="21"/>
      <c r="Y2219" s="21" t="s">
        <v>41</v>
      </c>
      <c r="Z2219" s="21"/>
      <c r="AA2219" s="21" t="str">
        <f>HYPERLINK("https://miland.ru/api/getInfo/item/f2700f81-a34c-11ef-a267-00155d82e908")</f>
        <v>https://miland.ru/api/getInfo/item/f2700f81-a34c-11ef-a267-00155d82e908</v>
      </c>
      <c r="AB2219" s="21" t="s">
        <v>42</v>
      </c>
      <c r="AC2219" s="21" t="s">
        <v>7670</v>
      </c>
      <c r="AD2219" s="21"/>
    </row>
    <row r="2220" spans="2:31" ht="12" customHeight="1" outlineLevel="7">
      <c r="B2220" s="70" t="s">
        <v>7724</v>
      </c>
      <c r="C2220" s="70"/>
      <c r="D2220" s="70"/>
      <c r="E2220" s="70"/>
      <c r="F2220" s="70"/>
      <c r="G2220" s="70"/>
    </row>
    <row r="2221" spans="2:31" s="1" customFormat="1" ht="96.3" customHeight="1" outlineLevel="7">
      <c r="B2221" s="57">
        <v>1728</v>
      </c>
      <c r="C2221" s="21" t="s">
        <v>7725</v>
      </c>
      <c r="D2221" s="72" t="s">
        <v>7726</v>
      </c>
      <c r="E2221" s="72"/>
      <c r="F2221" s="72"/>
      <c r="G2221" s="72"/>
      <c r="H2221" s="22" t="s">
        <v>7727</v>
      </c>
      <c r="I2221" s="23" t="s">
        <v>36</v>
      </c>
      <c r="J2221" s="22"/>
      <c r="K2221" s="20">
        <v>12</v>
      </c>
      <c r="L2221" s="24">
        <v>102.77</v>
      </c>
      <c r="M2221" s="11"/>
      <c r="N2221" s="22">
        <f t="shared" ref="N2221:N2226" si="105">L2221*M2221</f>
        <v>0</v>
      </c>
      <c r="O2221" s="25">
        <f>0.113*M2221</f>
        <v>0</v>
      </c>
      <c r="P2221" s="26">
        <f>0.00058*M2221</f>
        <v>0</v>
      </c>
      <c r="Q2221" s="30"/>
      <c r="R2221" s="22" t="s">
        <v>7728</v>
      </c>
      <c r="S2221" s="22" t="s">
        <v>435</v>
      </c>
      <c r="T2221" s="21" t="str">
        <f>HYPERLINK("https://miland.ru/api/getInfo/image/da627229-b6d1-11ef-a267-00155d82e908")</f>
        <v>https://miland.ru/api/getInfo/image/da627229-b6d1-11ef-a267-00155d82e908</v>
      </c>
      <c r="U2221" s="21"/>
      <c r="V2221" s="21" t="s">
        <v>6525</v>
      </c>
      <c r="W2221" s="21" t="s">
        <v>7657</v>
      </c>
      <c r="X2221" s="21"/>
      <c r="Y2221" s="21" t="s">
        <v>41</v>
      </c>
      <c r="Z2221" s="21"/>
      <c r="AA2221" s="21" t="str">
        <f>HYPERLINK("https://miland.ru/api/getInfo/item/da627229-b6d1-11ef-a267-00155d82e908")</f>
        <v>https://miland.ru/api/getInfo/item/da627229-b6d1-11ef-a267-00155d82e908</v>
      </c>
      <c r="AB2221" s="21" t="s">
        <v>42</v>
      </c>
      <c r="AC2221" s="21"/>
      <c r="AD2221" s="21"/>
    </row>
    <row r="2222" spans="2:31" s="1" customFormat="1" ht="96.3" customHeight="1" outlineLevel="7">
      <c r="B2222" s="57">
        <v>1729</v>
      </c>
      <c r="C2222" s="21" t="s">
        <v>7729</v>
      </c>
      <c r="D2222" s="72" t="s">
        <v>7730</v>
      </c>
      <c r="E2222" s="72"/>
      <c r="F2222" s="72"/>
      <c r="G2222" s="72"/>
      <c r="H2222" s="22" t="s">
        <v>7731</v>
      </c>
      <c r="I2222" s="27">
        <v>90</v>
      </c>
      <c r="J2222" s="22"/>
      <c r="K2222" s="20">
        <v>36</v>
      </c>
      <c r="L2222" s="24">
        <v>111.34</v>
      </c>
      <c r="M2222" s="11"/>
      <c r="N2222" s="22">
        <f t="shared" si="105"/>
        <v>0</v>
      </c>
      <c r="O2222" s="33">
        <f>0.1*M2222</f>
        <v>0</v>
      </c>
      <c r="P2222" s="26">
        <f>0.00061*M2222</f>
        <v>0</v>
      </c>
      <c r="Q2222" s="30"/>
      <c r="R2222" s="22" t="s">
        <v>7732</v>
      </c>
      <c r="S2222" s="22" t="s">
        <v>435</v>
      </c>
      <c r="T2222" s="21" t="str">
        <f>HYPERLINK("https://miland.ru/api/getInfo/image/148328e8-da5a-11f0-a28c-00155d82e908")</f>
        <v>https://miland.ru/api/getInfo/image/148328e8-da5a-11f0-a28c-00155d82e908</v>
      </c>
      <c r="U2222" s="21"/>
      <c r="V2222" s="21"/>
      <c r="W2222" s="21"/>
      <c r="X2222" s="21"/>
      <c r="Y2222" s="21"/>
      <c r="Z2222" s="21"/>
      <c r="AA2222" s="21" t="str">
        <f>HYPERLINK("https://miland.ru/api/getInfo/item/148328e8-da5a-11f0-a28c-00155d82e908")</f>
        <v>https://miland.ru/api/getInfo/item/148328e8-da5a-11f0-a28c-00155d82e908</v>
      </c>
      <c r="AB2222" s="21" t="s">
        <v>42</v>
      </c>
      <c r="AC2222" s="21"/>
      <c r="AD2222" s="21"/>
    </row>
    <row r="2223" spans="2:31" s="1" customFormat="1" ht="96.3" customHeight="1" outlineLevel="7">
      <c r="B2223" s="57">
        <v>1730</v>
      </c>
      <c r="C2223" s="21" t="s">
        <v>7733</v>
      </c>
      <c r="D2223" s="72" t="s">
        <v>7734</v>
      </c>
      <c r="E2223" s="72"/>
      <c r="F2223" s="72"/>
      <c r="G2223" s="72"/>
      <c r="H2223" s="22" t="s">
        <v>7735</v>
      </c>
      <c r="I2223" s="27">
        <v>156</v>
      </c>
      <c r="J2223" s="22"/>
      <c r="K2223" s="20">
        <v>12</v>
      </c>
      <c r="L2223" s="24">
        <v>111.34</v>
      </c>
      <c r="M2223" s="11"/>
      <c r="N2223" s="22">
        <f t="shared" si="105"/>
        <v>0</v>
      </c>
      <c r="O2223" s="25">
        <f>0.103*M2223</f>
        <v>0</v>
      </c>
      <c r="P2223" s="26">
        <f>0.00117*M2223</f>
        <v>0</v>
      </c>
      <c r="Q2223" s="30"/>
      <c r="R2223" s="22" t="s">
        <v>7736</v>
      </c>
      <c r="S2223" s="22" t="s">
        <v>435</v>
      </c>
      <c r="T2223" s="21" t="str">
        <f>HYPERLINK("https://miland.ru/api/getInfo/image/3de64bef-e523-11ee-a25a-00155d82e908")</f>
        <v>https://miland.ru/api/getInfo/image/3de64bef-e523-11ee-a25a-00155d82e908</v>
      </c>
      <c r="U2223" s="21"/>
      <c r="V2223" s="21" t="s">
        <v>6525</v>
      </c>
      <c r="W2223" s="21" t="s">
        <v>7657</v>
      </c>
      <c r="X2223" s="21"/>
      <c r="Y2223" s="21" t="s">
        <v>41</v>
      </c>
      <c r="Z2223" s="21"/>
      <c r="AA2223" s="21" t="str">
        <f>HYPERLINK("https://miland.ru/api/getInfo/item/3de64bef-e523-11ee-a25a-00155d82e908")</f>
        <v>https://miland.ru/api/getInfo/item/3de64bef-e523-11ee-a25a-00155d82e908</v>
      </c>
      <c r="AB2223" s="21" t="s">
        <v>42</v>
      </c>
      <c r="AC2223" s="21" t="s">
        <v>7737</v>
      </c>
      <c r="AD2223" s="21" t="s">
        <v>7736</v>
      </c>
    </row>
    <row r="2224" spans="2:31" s="1" customFormat="1" ht="96.3" customHeight="1" outlineLevel="7">
      <c r="B2224" s="57">
        <v>1731</v>
      </c>
      <c r="C2224" s="21" t="s">
        <v>7738</v>
      </c>
      <c r="D2224" s="72" t="s">
        <v>7739</v>
      </c>
      <c r="E2224" s="72"/>
      <c r="F2224" s="72"/>
      <c r="G2224" s="72"/>
      <c r="H2224" s="22" t="s">
        <v>7740</v>
      </c>
      <c r="I2224" s="27">
        <v>300</v>
      </c>
      <c r="J2224" s="22"/>
      <c r="K2224" s="20">
        <v>36</v>
      </c>
      <c r="L2224" s="24">
        <v>83.68</v>
      </c>
      <c r="M2224" s="11"/>
      <c r="N2224" s="22">
        <f t="shared" si="105"/>
        <v>0</v>
      </c>
      <c r="O2224" s="25">
        <f>0.007*M2224</f>
        <v>0</v>
      </c>
      <c r="P2224" s="26">
        <f>0.00149*M2224</f>
        <v>0</v>
      </c>
      <c r="Q2224" s="30"/>
      <c r="R2224" s="22" t="s">
        <v>7741</v>
      </c>
      <c r="S2224" s="22"/>
      <c r="T2224" s="21" t="str">
        <f>HYPERLINK("https://miland.ru/api/getInfo/image/dc670678-2f06-11f0-a27c-00155d82e908")</f>
        <v>https://miland.ru/api/getInfo/image/dc670678-2f06-11f0-a27c-00155d82e908</v>
      </c>
      <c r="U2224" s="21"/>
      <c r="V2224" s="21"/>
      <c r="W2224" s="21" t="s">
        <v>7657</v>
      </c>
      <c r="X2224" s="21"/>
      <c r="Y2224" s="21"/>
      <c r="Z2224" s="21"/>
      <c r="AA2224" s="21" t="str">
        <f>HYPERLINK("https://miland.ru/api/getInfo/item/dc670678-2f06-11f0-a27c-00155d82e908")</f>
        <v>https://miland.ru/api/getInfo/item/dc670678-2f06-11f0-a27c-00155d82e908</v>
      </c>
      <c r="AB2224" s="21" t="s">
        <v>42</v>
      </c>
      <c r="AC2224" s="21"/>
      <c r="AD2224" s="21"/>
    </row>
    <row r="2225" spans="2:31" s="1" customFormat="1" ht="96.3" customHeight="1" outlineLevel="7">
      <c r="B2225" s="57">
        <v>1732</v>
      </c>
      <c r="C2225" s="21" t="s">
        <v>7742</v>
      </c>
      <c r="D2225" s="72" t="s">
        <v>7743</v>
      </c>
      <c r="E2225" s="72"/>
      <c r="F2225" s="72"/>
      <c r="G2225" s="72"/>
      <c r="H2225" s="22" t="s">
        <v>7744</v>
      </c>
      <c r="I2225" s="27">
        <v>324</v>
      </c>
      <c r="J2225" s="22"/>
      <c r="K2225" s="20">
        <v>36</v>
      </c>
      <c r="L2225" s="24">
        <v>83.68</v>
      </c>
      <c r="M2225" s="11"/>
      <c r="N2225" s="22">
        <f t="shared" si="105"/>
        <v>0</v>
      </c>
      <c r="O2225" s="25">
        <f>0.007*M2225</f>
        <v>0</v>
      </c>
      <c r="P2225" s="26">
        <f>0.00149*M2225</f>
        <v>0</v>
      </c>
      <c r="Q2225" s="30"/>
      <c r="R2225" s="22" t="s">
        <v>7745</v>
      </c>
      <c r="S2225" s="22"/>
      <c r="T2225" s="21"/>
      <c r="U2225" s="21"/>
      <c r="V2225" s="21"/>
      <c r="W2225" s="21" t="s">
        <v>7657</v>
      </c>
      <c r="X2225" s="21"/>
      <c r="Y2225" s="21"/>
      <c r="Z2225" s="21"/>
      <c r="AA2225" s="21"/>
      <c r="AB2225" s="21" t="s">
        <v>42</v>
      </c>
      <c r="AC2225" s="21"/>
      <c r="AD2225" s="21"/>
    </row>
    <row r="2226" spans="2:31" s="1" customFormat="1" ht="96.3" customHeight="1" outlineLevel="7">
      <c r="B2226" s="57">
        <v>1733</v>
      </c>
      <c r="C2226" s="21" t="s">
        <v>7746</v>
      </c>
      <c r="D2226" s="72" t="s">
        <v>7747</v>
      </c>
      <c r="E2226" s="72"/>
      <c r="F2226" s="72"/>
      <c r="G2226" s="72"/>
      <c r="H2226" s="22" t="s">
        <v>7748</v>
      </c>
      <c r="I2226" s="27">
        <v>180</v>
      </c>
      <c r="J2226" s="22"/>
      <c r="K2226" s="20">
        <v>36</v>
      </c>
      <c r="L2226" s="24">
        <v>83.68</v>
      </c>
      <c r="M2226" s="11"/>
      <c r="N2226" s="22">
        <f t="shared" si="105"/>
        <v>0</v>
      </c>
      <c r="O2226" s="25">
        <f>0.007*M2226</f>
        <v>0</v>
      </c>
      <c r="P2226" s="26">
        <f>0.00149*M2226</f>
        <v>0</v>
      </c>
      <c r="Q2226" s="30"/>
      <c r="R2226" s="22" t="s">
        <v>7749</v>
      </c>
      <c r="S2226" s="22"/>
      <c r="T2226" s="21" t="str">
        <f>HYPERLINK("https://miland.ru/api/getInfo/image/abb82d12-2f06-11f0-a27c-00155d82e908")</f>
        <v>https://miland.ru/api/getInfo/image/abb82d12-2f06-11f0-a27c-00155d82e908</v>
      </c>
      <c r="U2226" s="21"/>
      <c r="V2226" s="21"/>
      <c r="W2226" s="21" t="s">
        <v>7657</v>
      </c>
      <c r="X2226" s="21"/>
      <c r="Y2226" s="21"/>
      <c r="Z2226" s="21"/>
      <c r="AA2226" s="21" t="str">
        <f>HYPERLINK("https://miland.ru/api/getInfo/item/abb82d12-2f06-11f0-a27c-00155d82e908")</f>
        <v>https://miland.ru/api/getInfo/item/abb82d12-2f06-11f0-a27c-00155d82e908</v>
      </c>
      <c r="AB2226" s="21" t="s">
        <v>42</v>
      </c>
      <c r="AC2226" s="21"/>
      <c r="AD2226" s="21"/>
    </row>
    <row r="2227" spans="2:31" ht="12" customHeight="1" outlineLevel="7">
      <c r="B2227" s="70" t="s">
        <v>7750</v>
      </c>
      <c r="C2227" s="70"/>
      <c r="D2227" s="70"/>
      <c r="E2227" s="70"/>
      <c r="F2227" s="70"/>
      <c r="G2227" s="70"/>
    </row>
    <row r="2228" spans="2:31" s="1" customFormat="1" ht="96.3" customHeight="1" outlineLevel="7">
      <c r="B2228" s="57">
        <v>1734</v>
      </c>
      <c r="C2228" s="21" t="s">
        <v>7751</v>
      </c>
      <c r="D2228" s="72" t="s">
        <v>7752</v>
      </c>
      <c r="E2228" s="72"/>
      <c r="F2228" s="72"/>
      <c r="G2228" s="72"/>
      <c r="H2228" s="22" t="s">
        <v>7753</v>
      </c>
      <c r="I2228" s="23" t="s">
        <v>36</v>
      </c>
      <c r="J2228" s="22"/>
      <c r="K2228" s="20">
        <v>12</v>
      </c>
      <c r="L2228" s="24">
        <v>107.63</v>
      </c>
      <c r="M2228" s="11"/>
      <c r="N2228" s="22">
        <f>L2228*M2228</f>
        <v>0</v>
      </c>
      <c r="O2228" s="25">
        <f>0.107*M2228</f>
        <v>0</v>
      </c>
      <c r="P2228" s="26">
        <f>0.00037*M2228</f>
        <v>0</v>
      </c>
      <c r="Q2228" s="30"/>
      <c r="R2228" s="22" t="s">
        <v>7754</v>
      </c>
      <c r="S2228" s="22" t="s">
        <v>435</v>
      </c>
      <c r="T2228" s="21" t="str">
        <f>HYPERLINK("https://miland.ru/api/getInfo/image/2d481944-a34c-11ef-a267-00155d82e908")</f>
        <v>https://miland.ru/api/getInfo/image/2d481944-a34c-11ef-a267-00155d82e908</v>
      </c>
      <c r="U2228" s="21"/>
      <c r="V2228" s="21" t="s">
        <v>6525</v>
      </c>
      <c r="W2228" s="21" t="s">
        <v>7657</v>
      </c>
      <c r="X2228" s="21"/>
      <c r="Y2228" s="21" t="s">
        <v>41</v>
      </c>
      <c r="Z2228" s="21"/>
      <c r="AA2228" s="21" t="str">
        <f>HYPERLINK("https://miland.ru/api/getInfo/item/2d481944-a34c-11ef-a267-00155d82e908")</f>
        <v>https://miland.ru/api/getInfo/item/2d481944-a34c-11ef-a267-00155d82e908</v>
      </c>
      <c r="AB2228" s="21" t="s">
        <v>42</v>
      </c>
      <c r="AC2228" s="21" t="s">
        <v>7755</v>
      </c>
      <c r="AD2228" s="21"/>
    </row>
    <row r="2229" spans="2:31" s="1" customFormat="1" ht="96.3" customHeight="1" outlineLevel="7">
      <c r="B2229" s="58">
        <v>1735</v>
      </c>
      <c r="C2229" s="7" t="s">
        <v>7756</v>
      </c>
      <c r="D2229" s="71" t="s">
        <v>7757</v>
      </c>
      <c r="E2229" s="71"/>
      <c r="F2229" s="71"/>
      <c r="G2229" s="71"/>
      <c r="H2229" s="8" t="s">
        <v>7758</v>
      </c>
      <c r="I2229" s="9" t="s">
        <v>36</v>
      </c>
      <c r="J2229" s="8"/>
      <c r="K2229" s="6">
        <v>12</v>
      </c>
      <c r="L2229" s="10">
        <v>107.63</v>
      </c>
      <c r="M2229" s="11"/>
      <c r="N2229" s="8">
        <f>L2229*M2229</f>
        <v>0</v>
      </c>
      <c r="O2229" s="12">
        <f>0.101*M2229</f>
        <v>0</v>
      </c>
      <c r="P2229" s="13">
        <f>0.00147*M2229</f>
        <v>0</v>
      </c>
      <c r="Q2229" s="17" t="s">
        <v>37</v>
      </c>
      <c r="R2229" s="8" t="s">
        <v>7759</v>
      </c>
      <c r="S2229" s="8"/>
      <c r="T2229" s="7" t="str">
        <f>HYPERLINK("https://miland.ru/api/getInfo/image/a528175c-fb85-11f0-a28e-00155d82e908")</f>
        <v>https://miland.ru/api/getInfo/image/a528175c-fb85-11f0-a28e-00155d82e908</v>
      </c>
      <c r="U2229" s="7"/>
      <c r="V2229" s="7"/>
      <c r="W2229" s="7" t="s">
        <v>378</v>
      </c>
      <c r="X2229" s="7"/>
      <c r="Y2229" s="7" t="s">
        <v>41</v>
      </c>
      <c r="Z2229" s="7"/>
      <c r="AA2229" s="7" t="str">
        <f>HYPERLINK("https://miland.ru/api/getInfo/item/a528175c-fb85-11f0-a28e-00155d82e908")</f>
        <v>https://miland.ru/api/getInfo/item/a528175c-fb85-11f0-a28e-00155d82e908</v>
      </c>
      <c r="AB2229" s="7" t="s">
        <v>42</v>
      </c>
      <c r="AC2229" s="7"/>
      <c r="AD2229" s="7"/>
      <c r="AE2229" s="54"/>
    </row>
    <row r="2230" spans="2:31" ht="12" customHeight="1" outlineLevel="6">
      <c r="B2230" s="70" t="s">
        <v>7760</v>
      </c>
      <c r="C2230" s="70"/>
      <c r="D2230" s="70"/>
      <c r="E2230" s="70"/>
      <c r="F2230" s="70"/>
      <c r="G2230" s="70"/>
    </row>
    <row r="2231" spans="2:31" s="1" customFormat="1" ht="96.3" customHeight="1" outlineLevel="7">
      <c r="B2231" s="57">
        <v>1736</v>
      </c>
      <c r="C2231" s="21" t="s">
        <v>7761</v>
      </c>
      <c r="D2231" s="72" t="s">
        <v>7762</v>
      </c>
      <c r="E2231" s="72"/>
      <c r="F2231" s="72"/>
      <c r="G2231" s="72"/>
      <c r="H2231" s="22" t="s">
        <v>7763</v>
      </c>
      <c r="I2231" s="27">
        <v>48</v>
      </c>
      <c r="J2231" s="22"/>
      <c r="K2231" s="20">
        <v>36</v>
      </c>
      <c r="L2231" s="24">
        <v>63.76</v>
      </c>
      <c r="M2231" s="11"/>
      <c r="N2231" s="22">
        <f t="shared" ref="N2231:N2240" si="106">L2231*M2231</f>
        <v>0</v>
      </c>
      <c r="O2231" s="25">
        <f>0.006*M2231</f>
        <v>0</v>
      </c>
      <c r="P2231" s="26">
        <f>0.00144*M2231</f>
        <v>0</v>
      </c>
      <c r="Q2231" s="30"/>
      <c r="R2231" s="22" t="s">
        <v>7764</v>
      </c>
      <c r="S2231" s="22"/>
      <c r="T2231" s="21"/>
      <c r="U2231" s="21"/>
      <c r="V2231" s="21"/>
      <c r="W2231" s="21" t="s">
        <v>7657</v>
      </c>
      <c r="X2231" s="21"/>
      <c r="Y2231" s="21"/>
      <c r="Z2231" s="21"/>
      <c r="AA2231" s="21"/>
      <c r="AB2231" s="21" t="s">
        <v>42</v>
      </c>
      <c r="AC2231" s="21"/>
      <c r="AD2231" s="21"/>
    </row>
    <row r="2232" spans="2:31" s="1" customFormat="1" ht="96.3" customHeight="1" outlineLevel="7">
      <c r="B2232" s="57">
        <v>1737</v>
      </c>
      <c r="C2232" s="21" t="s">
        <v>7765</v>
      </c>
      <c r="D2232" s="72" t="s">
        <v>7766</v>
      </c>
      <c r="E2232" s="72"/>
      <c r="F2232" s="72"/>
      <c r="G2232" s="72"/>
      <c r="H2232" s="22" t="s">
        <v>7767</v>
      </c>
      <c r="I2232" s="27">
        <v>12</v>
      </c>
      <c r="J2232" s="22"/>
      <c r="K2232" s="20">
        <v>12</v>
      </c>
      <c r="L2232" s="24">
        <v>63.76</v>
      </c>
      <c r="M2232" s="11"/>
      <c r="N2232" s="22">
        <f t="shared" si="106"/>
        <v>0</v>
      </c>
      <c r="O2232" s="25">
        <f>0.006*M2232</f>
        <v>0</v>
      </c>
      <c r="P2232" s="26">
        <f>0.00144*M2232</f>
        <v>0</v>
      </c>
      <c r="Q2232" s="30"/>
      <c r="R2232" s="22" t="s">
        <v>7768</v>
      </c>
      <c r="S2232" s="22"/>
      <c r="T2232" s="21"/>
      <c r="U2232" s="21"/>
      <c r="V2232" s="21"/>
      <c r="W2232" s="21" t="s">
        <v>7657</v>
      </c>
      <c r="X2232" s="21"/>
      <c r="Y2232" s="21"/>
      <c r="Z2232" s="21"/>
      <c r="AA2232" s="21"/>
      <c r="AB2232" s="21" t="s">
        <v>42</v>
      </c>
      <c r="AC2232" s="21"/>
      <c r="AD2232" s="21"/>
    </row>
    <row r="2233" spans="2:31" s="1" customFormat="1" ht="96.3" customHeight="1" outlineLevel="7">
      <c r="B2233" s="57">
        <v>1738</v>
      </c>
      <c r="C2233" s="21" t="s">
        <v>7769</v>
      </c>
      <c r="D2233" s="72" t="s">
        <v>7770</v>
      </c>
      <c r="E2233" s="72"/>
      <c r="F2233" s="72"/>
      <c r="G2233" s="72"/>
      <c r="H2233" s="22" t="s">
        <v>7771</v>
      </c>
      <c r="I2233" s="27">
        <v>24</v>
      </c>
      <c r="J2233" s="22"/>
      <c r="K2233" s="20">
        <v>24</v>
      </c>
      <c r="L2233" s="24">
        <v>63.76</v>
      </c>
      <c r="M2233" s="11"/>
      <c r="N2233" s="22">
        <f t="shared" si="106"/>
        <v>0</v>
      </c>
      <c r="O2233" s="25">
        <f>0.006*M2233</f>
        <v>0</v>
      </c>
      <c r="P2233" s="26">
        <f>0.00144*M2233</f>
        <v>0</v>
      </c>
      <c r="Q2233" s="30"/>
      <c r="R2233" s="22" t="s">
        <v>7772</v>
      </c>
      <c r="S2233" s="22"/>
      <c r="T2233" s="21" t="str">
        <f>HYPERLINK("https://miland.ru/api/getInfo/image/e547b2f7-2efe-11f0-a27c-00155d82e908")</f>
        <v>https://miland.ru/api/getInfo/image/e547b2f7-2efe-11f0-a27c-00155d82e908</v>
      </c>
      <c r="U2233" s="21"/>
      <c r="V2233" s="21"/>
      <c r="W2233" s="21" t="s">
        <v>7657</v>
      </c>
      <c r="X2233" s="21"/>
      <c r="Y2233" s="21"/>
      <c r="Z2233" s="21"/>
      <c r="AA2233" s="21" t="str">
        <f>HYPERLINK("https://miland.ru/api/getInfo/item/e547b2f7-2efe-11f0-a27c-00155d82e908")</f>
        <v>https://miland.ru/api/getInfo/item/e547b2f7-2efe-11f0-a27c-00155d82e908</v>
      </c>
      <c r="AB2233" s="21" t="s">
        <v>42</v>
      </c>
      <c r="AC2233" s="21"/>
      <c r="AD2233" s="21"/>
    </row>
    <row r="2234" spans="2:31" s="1" customFormat="1" ht="96.3" customHeight="1" outlineLevel="7">
      <c r="B2234" s="58">
        <v>1739</v>
      </c>
      <c r="C2234" s="7" t="s">
        <v>7773</v>
      </c>
      <c r="D2234" s="71" t="s">
        <v>7774</v>
      </c>
      <c r="E2234" s="71"/>
      <c r="F2234" s="71"/>
      <c r="G2234" s="71"/>
      <c r="H2234" s="8" t="s">
        <v>7775</v>
      </c>
      <c r="I2234" s="9" t="s">
        <v>36</v>
      </c>
      <c r="J2234" s="8"/>
      <c r="K2234" s="6">
        <v>12</v>
      </c>
      <c r="L2234" s="10">
        <v>90.46</v>
      </c>
      <c r="M2234" s="11"/>
      <c r="N2234" s="8">
        <f t="shared" si="106"/>
        <v>0</v>
      </c>
      <c r="O2234" s="18">
        <f>0.09*M2234</f>
        <v>0</v>
      </c>
      <c r="P2234" s="13">
        <f>0.00071*M2234</f>
        <v>0</v>
      </c>
      <c r="Q2234" s="17" t="s">
        <v>37</v>
      </c>
      <c r="R2234" s="8" t="s">
        <v>7776</v>
      </c>
      <c r="S2234" s="8"/>
      <c r="T2234" s="7" t="str">
        <f>HYPERLINK("https://miland.ru/api/getInfo/image/2e894e02-fb86-11f0-a28e-00155d82e908")</f>
        <v>https://miland.ru/api/getInfo/image/2e894e02-fb86-11f0-a28e-00155d82e908</v>
      </c>
      <c r="U2234" s="7"/>
      <c r="V2234" s="7"/>
      <c r="W2234" s="7" t="s">
        <v>378</v>
      </c>
      <c r="X2234" s="7"/>
      <c r="Y2234" s="7" t="s">
        <v>41</v>
      </c>
      <c r="Z2234" s="7"/>
      <c r="AA2234" s="7" t="str">
        <f>HYPERLINK("https://miland.ru/api/getInfo/item/2e894e02-fb86-11f0-a28e-00155d82e908")</f>
        <v>https://miland.ru/api/getInfo/item/2e894e02-fb86-11f0-a28e-00155d82e908</v>
      </c>
      <c r="AB2234" s="7" t="s">
        <v>42</v>
      </c>
      <c r="AC2234" s="7"/>
      <c r="AD2234" s="7"/>
      <c r="AE2234" s="54"/>
    </row>
    <row r="2235" spans="2:31" s="1" customFormat="1" ht="96.3" customHeight="1" outlineLevel="7">
      <c r="B2235" s="58">
        <v>1740</v>
      </c>
      <c r="C2235" s="7" t="s">
        <v>7777</v>
      </c>
      <c r="D2235" s="71" t="s">
        <v>7778</v>
      </c>
      <c r="E2235" s="71"/>
      <c r="F2235" s="71"/>
      <c r="G2235" s="71"/>
      <c r="H2235" s="8" t="s">
        <v>7779</v>
      </c>
      <c r="I2235" s="9" t="s">
        <v>36</v>
      </c>
      <c r="J2235" s="8"/>
      <c r="K2235" s="6">
        <v>12</v>
      </c>
      <c r="L2235" s="10">
        <v>90.46</v>
      </c>
      <c r="M2235" s="11"/>
      <c r="N2235" s="8">
        <f t="shared" si="106"/>
        <v>0</v>
      </c>
      <c r="O2235" s="12">
        <f>0.092*M2235</f>
        <v>0</v>
      </c>
      <c r="P2235" s="13">
        <f>0.00133*M2235</f>
        <v>0</v>
      </c>
      <c r="Q2235" s="17" t="s">
        <v>37</v>
      </c>
      <c r="R2235" s="8" t="s">
        <v>7780</v>
      </c>
      <c r="S2235" s="8"/>
      <c r="T2235" s="7" t="str">
        <f>HYPERLINK("https://miland.ru/api/getInfo/image/9e32b74b-fb86-11f0-a28e-00155d82e908")</f>
        <v>https://miland.ru/api/getInfo/image/9e32b74b-fb86-11f0-a28e-00155d82e908</v>
      </c>
      <c r="U2235" s="7"/>
      <c r="V2235" s="7"/>
      <c r="W2235" s="7" t="s">
        <v>378</v>
      </c>
      <c r="X2235" s="7"/>
      <c r="Y2235" s="7" t="s">
        <v>41</v>
      </c>
      <c r="Z2235" s="7"/>
      <c r="AA2235" s="7" t="str">
        <f>HYPERLINK("https://miland.ru/api/getInfo/item/9e32b74b-fb86-11f0-a28e-00155d82e908")</f>
        <v>https://miland.ru/api/getInfo/item/9e32b74b-fb86-11f0-a28e-00155d82e908</v>
      </c>
      <c r="AB2235" s="7" t="s">
        <v>42</v>
      </c>
      <c r="AC2235" s="7"/>
      <c r="AD2235" s="7"/>
      <c r="AE2235" s="54"/>
    </row>
    <row r="2236" spans="2:31" s="1" customFormat="1" ht="96.3" customHeight="1" outlineLevel="7">
      <c r="B2236" s="58">
        <v>1741</v>
      </c>
      <c r="C2236" s="7" t="s">
        <v>7781</v>
      </c>
      <c r="D2236" s="71" t="s">
        <v>7782</v>
      </c>
      <c r="E2236" s="71"/>
      <c r="F2236" s="71"/>
      <c r="G2236" s="71"/>
      <c r="H2236" s="8" t="s">
        <v>7783</v>
      </c>
      <c r="I2236" s="9" t="s">
        <v>36</v>
      </c>
      <c r="J2236" s="8"/>
      <c r="K2236" s="6">
        <v>12</v>
      </c>
      <c r="L2236" s="10">
        <v>90.46</v>
      </c>
      <c r="M2236" s="11"/>
      <c r="N2236" s="8">
        <f t="shared" si="106"/>
        <v>0</v>
      </c>
      <c r="O2236" s="12">
        <f>0.093*M2236</f>
        <v>0</v>
      </c>
      <c r="P2236" s="13">
        <f>0.00091*M2236</f>
        <v>0</v>
      </c>
      <c r="Q2236" s="17" t="s">
        <v>37</v>
      </c>
      <c r="R2236" s="8" t="s">
        <v>7784</v>
      </c>
      <c r="S2236" s="8"/>
      <c r="T2236" s="7" t="str">
        <f>HYPERLINK("https://miland.ru/api/getInfo/image/efe52e0d-fb85-11f0-a28e-00155d82e908")</f>
        <v>https://miland.ru/api/getInfo/image/efe52e0d-fb85-11f0-a28e-00155d82e908</v>
      </c>
      <c r="U2236" s="7"/>
      <c r="V2236" s="7"/>
      <c r="W2236" s="7" t="s">
        <v>378</v>
      </c>
      <c r="X2236" s="7"/>
      <c r="Y2236" s="7" t="s">
        <v>41</v>
      </c>
      <c r="Z2236" s="7"/>
      <c r="AA2236" s="7" t="str">
        <f>HYPERLINK("https://miland.ru/api/getInfo/item/efe52e0d-fb85-11f0-a28e-00155d82e908")</f>
        <v>https://miland.ru/api/getInfo/item/efe52e0d-fb85-11f0-a28e-00155d82e908</v>
      </c>
      <c r="AB2236" s="7" t="s">
        <v>42</v>
      </c>
      <c r="AC2236" s="7"/>
      <c r="AD2236" s="7"/>
      <c r="AE2236" s="54"/>
    </row>
    <row r="2237" spans="2:31" s="1" customFormat="1" ht="96.3" customHeight="1" outlineLevel="7">
      <c r="B2237" s="58">
        <v>1742</v>
      </c>
      <c r="C2237" s="7" t="s">
        <v>7785</v>
      </c>
      <c r="D2237" s="71" t="s">
        <v>7786</v>
      </c>
      <c r="E2237" s="71"/>
      <c r="F2237" s="71"/>
      <c r="G2237" s="71"/>
      <c r="H2237" s="8" t="s">
        <v>7787</v>
      </c>
      <c r="I2237" s="14">
        <v>270</v>
      </c>
      <c r="J2237" s="8"/>
      <c r="K2237" s="6">
        <v>30</v>
      </c>
      <c r="L2237" s="10">
        <v>90.46</v>
      </c>
      <c r="M2237" s="11"/>
      <c r="N2237" s="8">
        <f t="shared" si="106"/>
        <v>0</v>
      </c>
      <c r="O2237" s="19">
        <f>0.9*M2237</f>
        <v>0</v>
      </c>
      <c r="P2237" s="13">
        <f>0.00072*M2237</f>
        <v>0</v>
      </c>
      <c r="Q2237" s="17" t="s">
        <v>37</v>
      </c>
      <c r="R2237" s="8"/>
      <c r="S2237" s="8" t="s">
        <v>435</v>
      </c>
      <c r="T2237" s="7" t="str">
        <f>HYPERLINK("https://miland.ru/api/getInfo/image/40b150b1-da7b-11f0-a28c-00155d82e908")</f>
        <v>https://miland.ru/api/getInfo/image/40b150b1-da7b-11f0-a28c-00155d82e908</v>
      </c>
      <c r="U2237" s="7"/>
      <c r="V2237" s="7"/>
      <c r="W2237" s="7"/>
      <c r="X2237" s="7"/>
      <c r="Y2237" s="7"/>
      <c r="Z2237" s="7"/>
      <c r="AA2237" s="7" t="str">
        <f>HYPERLINK("https://miland.ru/api/getInfo/item/40b150b1-da7b-11f0-a28c-00155d82e908")</f>
        <v>https://miland.ru/api/getInfo/item/40b150b1-da7b-11f0-a28c-00155d82e908</v>
      </c>
      <c r="AB2237" s="7" t="s">
        <v>42</v>
      </c>
      <c r="AC2237" s="7"/>
      <c r="AD2237" s="7"/>
      <c r="AE2237" s="54"/>
    </row>
    <row r="2238" spans="2:31" s="1" customFormat="1" ht="96.3" customHeight="1" outlineLevel="7">
      <c r="B2238" s="58">
        <v>1743</v>
      </c>
      <c r="C2238" s="7" t="s">
        <v>7788</v>
      </c>
      <c r="D2238" s="71" t="s">
        <v>7789</v>
      </c>
      <c r="E2238" s="71"/>
      <c r="F2238" s="71"/>
      <c r="G2238" s="71"/>
      <c r="H2238" s="8" t="s">
        <v>7790</v>
      </c>
      <c r="I2238" s="9" t="s">
        <v>36</v>
      </c>
      <c r="J2238" s="8"/>
      <c r="K2238" s="6">
        <v>12</v>
      </c>
      <c r="L2238" s="10">
        <v>90.46</v>
      </c>
      <c r="M2238" s="11"/>
      <c r="N2238" s="8">
        <f t="shared" si="106"/>
        <v>0</v>
      </c>
      <c r="O2238" s="12">
        <f>0.093*M2238</f>
        <v>0</v>
      </c>
      <c r="P2238" s="13">
        <f>0.00111*M2238</f>
        <v>0</v>
      </c>
      <c r="Q2238" s="17" t="s">
        <v>37</v>
      </c>
      <c r="R2238" s="8" t="s">
        <v>7791</v>
      </c>
      <c r="S2238" s="8"/>
      <c r="T2238" s="7" t="str">
        <f>HYPERLINK("https://miland.ru/api/getInfo/image/d31ff910-fb85-11f0-a28e-00155d82e908")</f>
        <v>https://miland.ru/api/getInfo/image/d31ff910-fb85-11f0-a28e-00155d82e908</v>
      </c>
      <c r="U2238" s="7"/>
      <c r="V2238" s="7"/>
      <c r="W2238" s="7" t="s">
        <v>378</v>
      </c>
      <c r="X2238" s="7"/>
      <c r="Y2238" s="7" t="s">
        <v>41</v>
      </c>
      <c r="Z2238" s="7"/>
      <c r="AA2238" s="7" t="str">
        <f>HYPERLINK("https://miland.ru/api/getInfo/item/d31ff910-fb85-11f0-a28e-00155d82e908")</f>
        <v>https://miland.ru/api/getInfo/item/d31ff910-fb85-11f0-a28e-00155d82e908</v>
      </c>
      <c r="AB2238" s="7" t="s">
        <v>42</v>
      </c>
      <c r="AC2238" s="7"/>
      <c r="AD2238" s="7"/>
      <c r="AE2238" s="54"/>
    </row>
    <row r="2239" spans="2:31" s="1" customFormat="1" ht="96.3" customHeight="1" outlineLevel="7">
      <c r="B2239" s="58">
        <v>1744</v>
      </c>
      <c r="C2239" s="7" t="s">
        <v>7792</v>
      </c>
      <c r="D2239" s="71" t="s">
        <v>7793</v>
      </c>
      <c r="E2239" s="71"/>
      <c r="F2239" s="71"/>
      <c r="G2239" s="71"/>
      <c r="H2239" s="8" t="s">
        <v>7794</v>
      </c>
      <c r="I2239" s="14">
        <v>324</v>
      </c>
      <c r="J2239" s="8"/>
      <c r="K2239" s="6">
        <v>12</v>
      </c>
      <c r="L2239" s="10">
        <v>90.46</v>
      </c>
      <c r="M2239" s="11"/>
      <c r="N2239" s="8">
        <f t="shared" si="106"/>
        <v>0</v>
      </c>
      <c r="O2239" s="12">
        <f>0.093*M2239</f>
        <v>0</v>
      </c>
      <c r="P2239" s="13">
        <f>0.00107*M2239</f>
        <v>0</v>
      </c>
      <c r="Q2239" s="17" t="s">
        <v>37</v>
      </c>
      <c r="R2239" s="8" t="s">
        <v>7795</v>
      </c>
      <c r="S2239" s="8"/>
      <c r="T2239" s="7" t="str">
        <f>HYPERLINK("https://miland.ru/api/getInfo/image/7ddf9f18-fb86-11f0-a28e-00155d82e908")</f>
        <v>https://miland.ru/api/getInfo/image/7ddf9f18-fb86-11f0-a28e-00155d82e908</v>
      </c>
      <c r="U2239" s="7"/>
      <c r="V2239" s="7"/>
      <c r="W2239" s="7" t="s">
        <v>378</v>
      </c>
      <c r="X2239" s="7"/>
      <c r="Y2239" s="7" t="s">
        <v>41</v>
      </c>
      <c r="Z2239" s="7"/>
      <c r="AA2239" s="7" t="str">
        <f>HYPERLINK("https://miland.ru/api/getInfo/item/7ddf9f18-fb86-11f0-a28e-00155d82e908")</f>
        <v>https://miland.ru/api/getInfo/item/7ddf9f18-fb86-11f0-a28e-00155d82e908</v>
      </c>
      <c r="AB2239" s="7" t="s">
        <v>42</v>
      </c>
      <c r="AC2239" s="7"/>
      <c r="AD2239" s="7"/>
      <c r="AE2239" s="54"/>
    </row>
    <row r="2240" spans="2:31" s="1" customFormat="1" ht="96.3" customHeight="1" outlineLevel="7">
      <c r="B2240" s="58">
        <v>1745</v>
      </c>
      <c r="C2240" s="7" t="s">
        <v>7796</v>
      </c>
      <c r="D2240" s="71" t="s">
        <v>7797</v>
      </c>
      <c r="E2240" s="71"/>
      <c r="F2240" s="71"/>
      <c r="G2240" s="71"/>
      <c r="H2240" s="8" t="s">
        <v>7798</v>
      </c>
      <c r="I2240" s="9" t="s">
        <v>36</v>
      </c>
      <c r="J2240" s="8"/>
      <c r="K2240" s="6">
        <v>12</v>
      </c>
      <c r="L2240" s="10">
        <v>90.46</v>
      </c>
      <c r="M2240" s="11"/>
      <c r="N2240" s="8">
        <f t="shared" si="106"/>
        <v>0</v>
      </c>
      <c r="O2240" s="12">
        <f>0.091*M2240</f>
        <v>0</v>
      </c>
      <c r="P2240" s="13">
        <f>0.00158*M2240</f>
        <v>0</v>
      </c>
      <c r="Q2240" s="17" t="s">
        <v>37</v>
      </c>
      <c r="R2240" s="8" t="s">
        <v>7799</v>
      </c>
      <c r="S2240" s="8"/>
      <c r="T2240" s="7" t="str">
        <f>HYPERLINK("https://miland.ru/api/getInfo/image/0e72c810-fb86-11f0-a28e-00155d82e908")</f>
        <v>https://miland.ru/api/getInfo/image/0e72c810-fb86-11f0-a28e-00155d82e908</v>
      </c>
      <c r="U2240" s="7"/>
      <c r="V2240" s="7"/>
      <c r="W2240" s="7" t="s">
        <v>378</v>
      </c>
      <c r="X2240" s="7"/>
      <c r="Y2240" s="7" t="s">
        <v>41</v>
      </c>
      <c r="Z2240" s="7"/>
      <c r="AA2240" s="7" t="str">
        <f>HYPERLINK("https://miland.ru/api/getInfo/item/0e72c810-fb86-11f0-a28e-00155d82e908")</f>
        <v>https://miland.ru/api/getInfo/item/0e72c810-fb86-11f0-a28e-00155d82e908</v>
      </c>
      <c r="AB2240" s="7" t="s">
        <v>42</v>
      </c>
      <c r="AC2240" s="7"/>
      <c r="AD2240" s="7"/>
      <c r="AE2240" s="54"/>
    </row>
    <row r="2241" spans="2:30" ht="12" customHeight="1" outlineLevel="5">
      <c r="B2241" s="70" t="s">
        <v>7800</v>
      </c>
      <c r="C2241" s="70"/>
      <c r="D2241" s="70"/>
      <c r="E2241" s="70"/>
      <c r="F2241" s="70"/>
      <c r="G2241" s="70"/>
    </row>
    <row r="2242" spans="2:30" ht="12" customHeight="1" outlineLevel="6">
      <c r="B2242" s="70" t="s">
        <v>7801</v>
      </c>
      <c r="C2242" s="70"/>
      <c r="D2242" s="70"/>
      <c r="E2242" s="70"/>
      <c r="F2242" s="70"/>
      <c r="G2242" s="70"/>
    </row>
    <row r="2243" spans="2:30" s="1" customFormat="1" ht="96.3" customHeight="1" outlineLevel="7">
      <c r="B2243" s="57">
        <v>1746</v>
      </c>
      <c r="C2243" s="21" t="s">
        <v>7802</v>
      </c>
      <c r="D2243" s="72" t="s">
        <v>7803</v>
      </c>
      <c r="E2243" s="72"/>
      <c r="F2243" s="72"/>
      <c r="G2243" s="72"/>
      <c r="H2243" s="22" t="s">
        <v>7804</v>
      </c>
      <c r="I2243" s="27">
        <v>300</v>
      </c>
      <c r="J2243" s="22"/>
      <c r="K2243" s="20">
        <v>12</v>
      </c>
      <c r="L2243" s="24">
        <v>47.67</v>
      </c>
      <c r="M2243" s="11"/>
      <c r="N2243" s="22">
        <f>L2243*M2243</f>
        <v>0</v>
      </c>
      <c r="O2243" s="25">
        <f>0.028*M2243</f>
        <v>0</v>
      </c>
      <c r="P2243" s="26">
        <f>0.00008*M2243</f>
        <v>0</v>
      </c>
      <c r="Q2243" s="30"/>
      <c r="R2243" s="22" t="s">
        <v>7805</v>
      </c>
      <c r="S2243" s="22" t="s">
        <v>435</v>
      </c>
      <c r="T2243" s="21" t="str">
        <f>HYPERLINK("https://miland.ru/api/getInfo/image/84c5329a-7b8e-11ed-a22a-00155d82e902")</f>
        <v>https://miland.ru/api/getInfo/image/84c5329a-7b8e-11ed-a22a-00155d82e902</v>
      </c>
      <c r="U2243" s="21"/>
      <c r="V2243" s="21" t="s">
        <v>6525</v>
      </c>
      <c r="W2243" s="21" t="s">
        <v>378</v>
      </c>
      <c r="X2243" s="21"/>
      <c r="Y2243" s="21" t="s">
        <v>41</v>
      </c>
      <c r="Z2243" s="21"/>
      <c r="AA2243" s="21" t="str">
        <f>HYPERLINK("https://miland.ru/api/getInfo/item/84c5329a-7b8e-11ed-a22a-00155d82e902")</f>
        <v>https://miland.ru/api/getInfo/item/84c5329a-7b8e-11ed-a22a-00155d82e902</v>
      </c>
      <c r="AB2243" s="21" t="s">
        <v>42</v>
      </c>
      <c r="AC2243" s="21"/>
      <c r="AD2243" s="21"/>
    </row>
    <row r="2244" spans="2:30" s="1" customFormat="1" ht="96.3" customHeight="1" outlineLevel="7">
      <c r="B2244" s="57">
        <v>1747</v>
      </c>
      <c r="C2244" s="21" t="s">
        <v>7806</v>
      </c>
      <c r="D2244" s="72" t="s">
        <v>7807</v>
      </c>
      <c r="E2244" s="72"/>
      <c r="F2244" s="72"/>
      <c r="G2244" s="72"/>
      <c r="H2244" s="22" t="s">
        <v>7808</v>
      </c>
      <c r="I2244" s="27">
        <v>60</v>
      </c>
      <c r="J2244" s="22"/>
      <c r="K2244" s="20">
        <v>12</v>
      </c>
      <c r="L2244" s="24">
        <v>47.67</v>
      </c>
      <c r="M2244" s="11"/>
      <c r="N2244" s="22">
        <f>L2244*M2244</f>
        <v>0</v>
      </c>
      <c r="O2244" s="25">
        <f>0.034*M2244</f>
        <v>0</v>
      </c>
      <c r="P2244" s="26">
        <f>0.00008*M2244</f>
        <v>0</v>
      </c>
      <c r="Q2244" s="30"/>
      <c r="R2244" s="22" t="s">
        <v>7809</v>
      </c>
      <c r="S2244" s="22" t="s">
        <v>435</v>
      </c>
      <c r="T2244" s="21" t="str">
        <f>HYPERLINK("https://miland.ru/api/getInfo/image/ee500693-7b8f-11ed-a22a-00155d82e902")</f>
        <v>https://miland.ru/api/getInfo/image/ee500693-7b8f-11ed-a22a-00155d82e902</v>
      </c>
      <c r="U2244" s="21"/>
      <c r="V2244" s="21" t="s">
        <v>6525</v>
      </c>
      <c r="W2244" s="21" t="s">
        <v>378</v>
      </c>
      <c r="X2244" s="21"/>
      <c r="Y2244" s="21" t="s">
        <v>41</v>
      </c>
      <c r="Z2244" s="21"/>
      <c r="AA2244" s="21" t="str">
        <f>HYPERLINK("https://miland.ru/api/getInfo/item/ee500693-7b8f-11ed-a22a-00155d82e902")</f>
        <v>https://miland.ru/api/getInfo/item/ee500693-7b8f-11ed-a22a-00155d82e902</v>
      </c>
      <c r="AB2244" s="21" t="s">
        <v>42</v>
      </c>
      <c r="AC2244" s="21"/>
      <c r="AD2244" s="21"/>
    </row>
    <row r="2245" spans="2:30" s="1" customFormat="1" ht="96.3" customHeight="1" outlineLevel="7">
      <c r="B2245" s="57">
        <v>1748</v>
      </c>
      <c r="C2245" s="21" t="s">
        <v>7810</v>
      </c>
      <c r="D2245" s="72" t="s">
        <v>7811</v>
      </c>
      <c r="E2245" s="72"/>
      <c r="F2245" s="72"/>
      <c r="G2245" s="72"/>
      <c r="H2245" s="22" t="s">
        <v>7812</v>
      </c>
      <c r="I2245" s="27">
        <v>60</v>
      </c>
      <c r="J2245" s="22"/>
      <c r="K2245" s="20">
        <v>12</v>
      </c>
      <c r="L2245" s="24">
        <v>47.67</v>
      </c>
      <c r="M2245" s="11"/>
      <c r="N2245" s="22">
        <f>L2245*M2245</f>
        <v>0</v>
      </c>
      <c r="O2245" s="28">
        <f>0.28*M2245</f>
        <v>0</v>
      </c>
      <c r="P2245" s="26">
        <f>0.00008*M2245</f>
        <v>0</v>
      </c>
      <c r="Q2245" s="30"/>
      <c r="R2245" s="22" t="s">
        <v>7813</v>
      </c>
      <c r="S2245" s="22" t="s">
        <v>435</v>
      </c>
      <c r="T2245" s="21" t="str">
        <f>HYPERLINK("https://miland.ru/api/getInfo/image/88effb03-7b8f-11ed-a22a-00155d82e902")</f>
        <v>https://miland.ru/api/getInfo/image/88effb03-7b8f-11ed-a22a-00155d82e902</v>
      </c>
      <c r="U2245" s="21"/>
      <c r="V2245" s="21" t="s">
        <v>6525</v>
      </c>
      <c r="W2245" s="21" t="s">
        <v>378</v>
      </c>
      <c r="X2245" s="21"/>
      <c r="Y2245" s="21" t="s">
        <v>41</v>
      </c>
      <c r="Z2245" s="21"/>
      <c r="AA2245" s="21" t="str">
        <f>HYPERLINK("https://miland.ru/api/getInfo/item/88effb03-7b8f-11ed-a22a-00155d82e902")</f>
        <v>https://miland.ru/api/getInfo/item/88effb03-7b8f-11ed-a22a-00155d82e902</v>
      </c>
      <c r="AB2245" s="21" t="s">
        <v>42</v>
      </c>
      <c r="AC2245" s="21"/>
      <c r="AD2245" s="21"/>
    </row>
    <row r="2246" spans="2:30" s="1" customFormat="1" ht="96.3" customHeight="1" outlineLevel="7">
      <c r="B2246" s="57">
        <v>1749</v>
      </c>
      <c r="C2246" s="21" t="s">
        <v>7814</v>
      </c>
      <c r="D2246" s="72" t="s">
        <v>7815</v>
      </c>
      <c r="E2246" s="72"/>
      <c r="F2246" s="72"/>
      <c r="G2246" s="72"/>
      <c r="H2246" s="22" t="s">
        <v>7816</v>
      </c>
      <c r="I2246" s="23" t="s">
        <v>36</v>
      </c>
      <c r="J2246" s="22"/>
      <c r="K2246" s="20">
        <v>12</v>
      </c>
      <c r="L2246" s="24">
        <v>47.67</v>
      </c>
      <c r="M2246" s="11"/>
      <c r="N2246" s="22">
        <f>L2246*M2246</f>
        <v>0</v>
      </c>
      <c r="O2246" s="25">
        <f>0.033*M2246</f>
        <v>0</v>
      </c>
      <c r="P2246" s="29">
        <f>0.0001*M2246</f>
        <v>0</v>
      </c>
      <c r="Q2246" s="30"/>
      <c r="R2246" s="22" t="s">
        <v>7817</v>
      </c>
      <c r="S2246" s="22" t="s">
        <v>435</v>
      </c>
      <c r="T2246" s="21" t="str">
        <f>HYPERLINK("https://miland.ru/api/getInfo/image/07e0e05a-7b8e-11ed-a22a-00155d82e902")</f>
        <v>https://miland.ru/api/getInfo/image/07e0e05a-7b8e-11ed-a22a-00155d82e902</v>
      </c>
      <c r="U2246" s="21"/>
      <c r="V2246" s="21" t="s">
        <v>6525</v>
      </c>
      <c r="W2246" s="21" t="s">
        <v>378</v>
      </c>
      <c r="X2246" s="21"/>
      <c r="Y2246" s="21" t="s">
        <v>41</v>
      </c>
      <c r="Z2246" s="21"/>
      <c r="AA2246" s="21" t="str">
        <f>HYPERLINK("https://miland.ru/api/getInfo/item/07e0e05a-7b8e-11ed-a22a-00155d82e902")</f>
        <v>https://miland.ru/api/getInfo/item/07e0e05a-7b8e-11ed-a22a-00155d82e902</v>
      </c>
      <c r="AB2246" s="21" t="s">
        <v>42</v>
      </c>
      <c r="AC2246" s="21"/>
      <c r="AD2246" s="21"/>
    </row>
    <row r="2247" spans="2:30" s="1" customFormat="1" ht="96.3" customHeight="1" outlineLevel="7">
      <c r="B2247" s="57">
        <v>1750</v>
      </c>
      <c r="C2247" s="21" t="s">
        <v>7818</v>
      </c>
      <c r="D2247" s="72" t="s">
        <v>7819</v>
      </c>
      <c r="E2247" s="72"/>
      <c r="F2247" s="72"/>
      <c r="G2247" s="72"/>
      <c r="H2247" s="22" t="s">
        <v>7820</v>
      </c>
      <c r="I2247" s="23" t="s">
        <v>36</v>
      </c>
      <c r="J2247" s="22"/>
      <c r="K2247" s="20">
        <v>12</v>
      </c>
      <c r="L2247" s="24">
        <v>47.67</v>
      </c>
      <c r="M2247" s="11"/>
      <c r="N2247" s="22">
        <f>L2247*M2247</f>
        <v>0</v>
      </c>
      <c r="O2247" s="25">
        <f>0.028*M2247</f>
        <v>0</v>
      </c>
      <c r="P2247" s="26">
        <f>0.00007*M2247</f>
        <v>0</v>
      </c>
      <c r="Q2247" s="30"/>
      <c r="R2247" s="22" t="s">
        <v>7821</v>
      </c>
      <c r="S2247" s="22" t="s">
        <v>435</v>
      </c>
      <c r="T2247" s="21" t="str">
        <f>HYPERLINK("https://miland.ru/api/getInfo/image/433fff92-7b90-11ed-a22a-00155d82e902")</f>
        <v>https://miland.ru/api/getInfo/image/433fff92-7b90-11ed-a22a-00155d82e902</v>
      </c>
      <c r="U2247" s="21"/>
      <c r="V2247" s="21" t="s">
        <v>6525</v>
      </c>
      <c r="W2247" s="21" t="s">
        <v>378</v>
      </c>
      <c r="X2247" s="21"/>
      <c r="Y2247" s="21" t="s">
        <v>41</v>
      </c>
      <c r="Z2247" s="21"/>
      <c r="AA2247" s="21" t="str">
        <f>HYPERLINK("https://miland.ru/api/getInfo/item/433fff92-7b90-11ed-a22a-00155d82e902")</f>
        <v>https://miland.ru/api/getInfo/item/433fff92-7b90-11ed-a22a-00155d82e902</v>
      </c>
      <c r="AB2247" s="21" t="s">
        <v>42</v>
      </c>
      <c r="AC2247" s="21"/>
      <c r="AD2247" s="21"/>
    </row>
    <row r="2248" spans="2:30" ht="12" customHeight="1" outlineLevel="6">
      <c r="B2248" s="70" t="s">
        <v>7822</v>
      </c>
      <c r="C2248" s="70"/>
      <c r="D2248" s="70"/>
      <c r="E2248" s="70"/>
      <c r="F2248" s="70"/>
      <c r="G2248" s="70"/>
    </row>
    <row r="2249" spans="2:30" s="1" customFormat="1" ht="96.3" customHeight="1" outlineLevel="7">
      <c r="B2249" s="57">
        <v>1751</v>
      </c>
      <c r="C2249" s="21" t="s">
        <v>7823</v>
      </c>
      <c r="D2249" s="72" t="s">
        <v>7824</v>
      </c>
      <c r="E2249" s="72"/>
      <c r="F2249" s="72"/>
      <c r="G2249" s="72"/>
      <c r="H2249" s="22" t="s">
        <v>7825</v>
      </c>
      <c r="I2249" s="23" t="s">
        <v>36</v>
      </c>
      <c r="J2249" s="22"/>
      <c r="K2249" s="20">
        <v>12</v>
      </c>
      <c r="L2249" s="24">
        <v>73.900000000000006</v>
      </c>
      <c r="M2249" s="11"/>
      <c r="N2249" s="22">
        <f>L2249*M2249</f>
        <v>0</v>
      </c>
      <c r="O2249" s="25">
        <f>0.065*M2249</f>
        <v>0</v>
      </c>
      <c r="P2249" s="29">
        <f>0.0002*M2249</f>
        <v>0</v>
      </c>
      <c r="Q2249" s="30"/>
      <c r="R2249" s="22" t="s">
        <v>7826</v>
      </c>
      <c r="S2249" s="22" t="s">
        <v>435</v>
      </c>
      <c r="T2249" s="21" t="str">
        <f>HYPERLINK("https://miland.ru/api/getInfo/image/160d9882-7ba4-11ed-a22a-00155d82e902")</f>
        <v>https://miland.ru/api/getInfo/image/160d9882-7ba4-11ed-a22a-00155d82e902</v>
      </c>
      <c r="U2249" s="21"/>
      <c r="V2249" s="21" t="s">
        <v>6525</v>
      </c>
      <c r="W2249" s="21" t="s">
        <v>378</v>
      </c>
      <c r="X2249" s="21"/>
      <c r="Y2249" s="21" t="s">
        <v>41</v>
      </c>
      <c r="Z2249" s="21"/>
      <c r="AA2249" s="21" t="str">
        <f>HYPERLINK("https://miland.ru/api/getInfo/item/160d9882-7ba4-11ed-a22a-00155d82e902")</f>
        <v>https://miland.ru/api/getInfo/item/160d9882-7ba4-11ed-a22a-00155d82e902</v>
      </c>
      <c r="AB2249" s="21" t="s">
        <v>42</v>
      </c>
      <c r="AC2249" s="21"/>
      <c r="AD2249" s="21"/>
    </row>
    <row r="2250" spans="2:30" s="1" customFormat="1" ht="96.3" customHeight="1" outlineLevel="7">
      <c r="B2250" s="57">
        <v>1752</v>
      </c>
      <c r="C2250" s="21" t="s">
        <v>7827</v>
      </c>
      <c r="D2250" s="72" t="s">
        <v>7828</v>
      </c>
      <c r="E2250" s="72"/>
      <c r="F2250" s="72"/>
      <c r="G2250" s="72"/>
      <c r="H2250" s="22" t="s">
        <v>7829</v>
      </c>
      <c r="I2250" s="23" t="s">
        <v>36</v>
      </c>
      <c r="J2250" s="22"/>
      <c r="K2250" s="20">
        <v>12</v>
      </c>
      <c r="L2250" s="24">
        <v>73.900000000000006</v>
      </c>
      <c r="M2250" s="11"/>
      <c r="N2250" s="22">
        <f>L2250*M2250</f>
        <v>0</v>
      </c>
      <c r="O2250" s="28">
        <f>0.06*M2250</f>
        <v>0</v>
      </c>
      <c r="P2250" s="26">
        <f>0.00023*M2250</f>
        <v>0</v>
      </c>
      <c r="Q2250" s="30"/>
      <c r="R2250" s="22" t="s">
        <v>7830</v>
      </c>
      <c r="S2250" s="22" t="s">
        <v>435</v>
      </c>
      <c r="T2250" s="21" t="str">
        <f>HYPERLINK("https://miland.ru/api/getInfo/image/338ce005-7b93-11ed-a22a-00155d82e902")</f>
        <v>https://miland.ru/api/getInfo/image/338ce005-7b93-11ed-a22a-00155d82e902</v>
      </c>
      <c r="U2250" s="21"/>
      <c r="V2250" s="21" t="s">
        <v>6525</v>
      </c>
      <c r="W2250" s="21" t="s">
        <v>378</v>
      </c>
      <c r="X2250" s="21"/>
      <c r="Y2250" s="21" t="s">
        <v>41</v>
      </c>
      <c r="Z2250" s="21"/>
      <c r="AA2250" s="21" t="str">
        <f>HYPERLINK("https://miland.ru/api/getInfo/item/338ce005-7b93-11ed-a22a-00155d82e902")</f>
        <v>https://miland.ru/api/getInfo/item/338ce005-7b93-11ed-a22a-00155d82e902</v>
      </c>
      <c r="AB2250" s="21" t="s">
        <v>42</v>
      </c>
      <c r="AC2250" s="21"/>
      <c r="AD2250" s="21"/>
    </row>
    <row r="2251" spans="2:30" ht="12" customHeight="1" outlineLevel="4">
      <c r="B2251" s="70" t="s">
        <v>7831</v>
      </c>
      <c r="C2251" s="70"/>
      <c r="D2251" s="70"/>
      <c r="E2251" s="70"/>
      <c r="F2251" s="70"/>
      <c r="G2251" s="70"/>
    </row>
    <row r="2252" spans="2:30" ht="12" customHeight="1" outlineLevel="5">
      <c r="B2252" s="70" t="s">
        <v>7832</v>
      </c>
      <c r="C2252" s="70"/>
      <c r="D2252" s="70"/>
      <c r="E2252" s="70"/>
      <c r="F2252" s="70"/>
      <c r="G2252" s="70"/>
    </row>
    <row r="2253" spans="2:30" ht="12" customHeight="1" outlineLevel="6">
      <c r="B2253" s="70" t="s">
        <v>7833</v>
      </c>
      <c r="C2253" s="70"/>
      <c r="D2253" s="70"/>
      <c r="E2253" s="70"/>
      <c r="F2253" s="70"/>
      <c r="G2253" s="70"/>
    </row>
    <row r="2254" spans="2:30" s="1" customFormat="1" ht="96.3" customHeight="1" outlineLevel="7">
      <c r="B2254" s="57">
        <v>1753</v>
      </c>
      <c r="C2254" s="21" t="s">
        <v>7834</v>
      </c>
      <c r="D2254" s="72" t="s">
        <v>7835</v>
      </c>
      <c r="E2254" s="72"/>
      <c r="F2254" s="72"/>
      <c r="G2254" s="72"/>
      <c r="H2254" s="22" t="s">
        <v>7836</v>
      </c>
      <c r="I2254" s="23" t="s">
        <v>36</v>
      </c>
      <c r="J2254" s="22"/>
      <c r="K2254" s="20">
        <v>3</v>
      </c>
      <c r="L2254" s="24">
        <v>241.3</v>
      </c>
      <c r="M2254" s="11"/>
      <c r="N2254" s="22">
        <f>L2254*M2254</f>
        <v>0</v>
      </c>
      <c r="O2254" s="25">
        <f>0.073*M2254</f>
        <v>0</v>
      </c>
      <c r="P2254" s="26">
        <f>0.00036*M2254</f>
        <v>0</v>
      </c>
      <c r="Q2254" s="30"/>
      <c r="R2254" s="22" t="s">
        <v>7837</v>
      </c>
      <c r="S2254" s="22" t="s">
        <v>435</v>
      </c>
      <c r="T2254" s="21" t="str">
        <f>HYPERLINK("https://miland.ru/api/getInfo/image/d8c08bc6-5bf4-11f0-a281-00155d82e908")</f>
        <v>https://miland.ru/api/getInfo/image/d8c08bc6-5bf4-11f0-a281-00155d82e908</v>
      </c>
      <c r="U2254" s="21"/>
      <c r="V2254" s="21"/>
      <c r="W2254" s="21" t="s">
        <v>408</v>
      </c>
      <c r="X2254" s="21"/>
      <c r="Y2254" s="21" t="s">
        <v>41</v>
      </c>
      <c r="Z2254" s="21"/>
      <c r="AA2254" s="21" t="str">
        <f>HYPERLINK("https://miland.ru/api/getInfo/item/d8c08bc6-5bf4-11f0-a281-00155d82e908")</f>
        <v>https://miland.ru/api/getInfo/item/d8c08bc6-5bf4-11f0-a281-00155d82e908</v>
      </c>
      <c r="AB2254" s="21" t="s">
        <v>42</v>
      </c>
      <c r="AC2254" s="21"/>
      <c r="AD2254" s="21"/>
    </row>
    <row r="2255" spans="2:30" s="1" customFormat="1" ht="96.3" customHeight="1" outlineLevel="7">
      <c r="B2255" s="57">
        <v>1754</v>
      </c>
      <c r="C2255" s="21" t="s">
        <v>7838</v>
      </c>
      <c r="D2255" s="72" t="s">
        <v>7839</v>
      </c>
      <c r="E2255" s="72"/>
      <c r="F2255" s="72"/>
      <c r="G2255" s="72"/>
      <c r="H2255" s="22" t="s">
        <v>7840</v>
      </c>
      <c r="I2255" s="23" t="s">
        <v>36</v>
      </c>
      <c r="J2255" s="22"/>
      <c r="K2255" s="20">
        <v>3</v>
      </c>
      <c r="L2255" s="24">
        <v>257.72000000000003</v>
      </c>
      <c r="M2255" s="11"/>
      <c r="N2255" s="22">
        <f>L2255*M2255</f>
        <v>0</v>
      </c>
      <c r="O2255" s="25">
        <f>0.083*M2255</f>
        <v>0</v>
      </c>
      <c r="P2255" s="26">
        <f>0.00023*M2255</f>
        <v>0</v>
      </c>
      <c r="Q2255" s="30"/>
      <c r="R2255" s="22" t="s">
        <v>7841</v>
      </c>
      <c r="S2255" s="22" t="s">
        <v>435</v>
      </c>
      <c r="T2255" s="21" t="str">
        <f>HYPERLINK("https://miland.ru/api/getInfo/image/f93e67d2-2a47-11f0-a27b-00155d82e908")</f>
        <v>https://miland.ru/api/getInfo/image/f93e67d2-2a47-11f0-a27b-00155d82e908</v>
      </c>
      <c r="U2255" s="21"/>
      <c r="V2255" s="21"/>
      <c r="W2255" s="21" t="s">
        <v>408</v>
      </c>
      <c r="X2255" s="21"/>
      <c r="Y2255" s="21" t="s">
        <v>41</v>
      </c>
      <c r="Z2255" s="21"/>
      <c r="AA2255" s="21" t="str">
        <f>HYPERLINK("https://miland.ru/api/getInfo/item/f93e67d2-2a47-11f0-a27b-00155d82e908")</f>
        <v>https://miland.ru/api/getInfo/item/f93e67d2-2a47-11f0-a27b-00155d82e908</v>
      </c>
      <c r="AB2255" s="21" t="s">
        <v>42</v>
      </c>
      <c r="AC2255" s="21"/>
      <c r="AD2255" s="21"/>
    </row>
    <row r="2256" spans="2:30" ht="12" customHeight="1" outlineLevel="5">
      <c r="B2256" s="70" t="s">
        <v>7842</v>
      </c>
      <c r="C2256" s="70"/>
      <c r="D2256" s="70"/>
      <c r="E2256" s="70"/>
      <c r="F2256" s="70"/>
      <c r="G2256" s="70"/>
    </row>
    <row r="2257" spans="2:31" ht="12" customHeight="1" outlineLevel="6">
      <c r="B2257" s="70" t="s">
        <v>7843</v>
      </c>
      <c r="C2257" s="70"/>
      <c r="D2257" s="70"/>
      <c r="E2257" s="70"/>
      <c r="F2257" s="70"/>
      <c r="G2257" s="70"/>
    </row>
    <row r="2258" spans="2:31" s="1" customFormat="1" ht="96.3" customHeight="1" outlineLevel="7">
      <c r="B2258" s="57">
        <v>1755</v>
      </c>
      <c r="C2258" s="21" t="s">
        <v>7844</v>
      </c>
      <c r="D2258" s="72" t="s">
        <v>7845</v>
      </c>
      <c r="E2258" s="72"/>
      <c r="F2258" s="72"/>
      <c r="G2258" s="72"/>
      <c r="H2258" s="22" t="s">
        <v>7846</v>
      </c>
      <c r="I2258" s="23" t="s">
        <v>36</v>
      </c>
      <c r="J2258" s="22"/>
      <c r="K2258" s="20">
        <v>100</v>
      </c>
      <c r="L2258" s="24">
        <v>5.0999999999999996</v>
      </c>
      <c r="M2258" s="11"/>
      <c r="N2258" s="22">
        <f t="shared" ref="N2258:N2263" si="107">L2258*M2258</f>
        <v>0</v>
      </c>
      <c r="O2258" s="25">
        <f>0.003*M2258</f>
        <v>0</v>
      </c>
      <c r="P2258" s="26">
        <f>0.00006*M2258</f>
        <v>0</v>
      </c>
      <c r="Q2258" s="30"/>
      <c r="R2258" s="22" t="s">
        <v>7847</v>
      </c>
      <c r="S2258" s="22"/>
      <c r="T2258" s="21" t="str">
        <f>HYPERLINK("https://miland.ru/api/getInfo/image/467f6b2b-02e0-11ef-a25d-00155d82e908")</f>
        <v>https://miland.ru/api/getInfo/image/467f6b2b-02e0-11ef-a25d-00155d82e908</v>
      </c>
      <c r="U2258" s="21"/>
      <c r="V2258" s="21" t="s">
        <v>7848</v>
      </c>
      <c r="W2258" s="21" t="s">
        <v>408</v>
      </c>
      <c r="X2258" s="21"/>
      <c r="Y2258" s="21" t="s">
        <v>41</v>
      </c>
      <c r="Z2258" s="21"/>
      <c r="AA2258" s="21" t="str">
        <f>HYPERLINK("https://miland.ru/api/getInfo/item/467f6b2b-02e0-11ef-a25d-00155d82e908")</f>
        <v>https://miland.ru/api/getInfo/item/467f6b2b-02e0-11ef-a25d-00155d82e908</v>
      </c>
      <c r="AB2258" s="21" t="s">
        <v>50</v>
      </c>
      <c r="AC2258" s="21" t="s">
        <v>7849</v>
      </c>
      <c r="AD2258" s="21"/>
    </row>
    <row r="2259" spans="2:31" s="1" customFormat="1" ht="96.3" customHeight="1" outlineLevel="7">
      <c r="B2259" s="57">
        <v>1756</v>
      </c>
      <c r="C2259" s="21" t="s">
        <v>7850</v>
      </c>
      <c r="D2259" s="72" t="s">
        <v>7851</v>
      </c>
      <c r="E2259" s="72"/>
      <c r="F2259" s="72"/>
      <c r="G2259" s="72"/>
      <c r="H2259" s="22" t="s">
        <v>7852</v>
      </c>
      <c r="I2259" s="23" t="s">
        <v>36</v>
      </c>
      <c r="J2259" s="22"/>
      <c r="K2259" s="20">
        <v>100</v>
      </c>
      <c r="L2259" s="24">
        <v>4.88</v>
      </c>
      <c r="M2259" s="11"/>
      <c r="N2259" s="22">
        <f t="shared" si="107"/>
        <v>0</v>
      </c>
      <c r="O2259" s="25">
        <f>0.001*M2259</f>
        <v>0</v>
      </c>
      <c r="P2259" s="26">
        <f>0.00006*M2259</f>
        <v>0</v>
      </c>
      <c r="Q2259" s="30"/>
      <c r="R2259" s="22" t="s">
        <v>7853</v>
      </c>
      <c r="S2259" s="22" t="s">
        <v>435</v>
      </c>
      <c r="T2259" s="21" t="str">
        <f>HYPERLINK("https://miland.ru/api/getInfo/image/5d6ec73b-18c5-11ef-a25d-00155d82e908")</f>
        <v>https://miland.ru/api/getInfo/image/5d6ec73b-18c5-11ef-a25d-00155d82e908</v>
      </c>
      <c r="U2259" s="21"/>
      <c r="V2259" s="21"/>
      <c r="W2259" s="21"/>
      <c r="X2259" s="21"/>
      <c r="Y2259" s="21"/>
      <c r="Z2259" s="21"/>
      <c r="AA2259" s="21" t="str">
        <f>HYPERLINK("https://miland.ru/api/getInfo/item/5d6ec73b-18c5-11ef-a25d-00155d82e908")</f>
        <v>https://miland.ru/api/getInfo/item/5d6ec73b-18c5-11ef-a25d-00155d82e908</v>
      </c>
      <c r="AB2259" s="21" t="s">
        <v>50</v>
      </c>
      <c r="AC2259" s="21" t="s">
        <v>7849</v>
      </c>
      <c r="AD2259" s="21"/>
    </row>
    <row r="2260" spans="2:31" s="1" customFormat="1" ht="96.3" customHeight="1" outlineLevel="7">
      <c r="B2260" s="57">
        <v>1757</v>
      </c>
      <c r="C2260" s="21" t="s">
        <v>7854</v>
      </c>
      <c r="D2260" s="72" t="s">
        <v>7855</v>
      </c>
      <c r="E2260" s="72"/>
      <c r="F2260" s="72"/>
      <c r="G2260" s="72"/>
      <c r="H2260" s="22" t="s">
        <v>7856</v>
      </c>
      <c r="I2260" s="23" t="s">
        <v>36</v>
      </c>
      <c r="J2260" s="22"/>
      <c r="K2260" s="20">
        <v>100</v>
      </c>
      <c r="L2260" s="24">
        <v>5.7</v>
      </c>
      <c r="M2260" s="11"/>
      <c r="N2260" s="22">
        <f t="shared" si="107"/>
        <v>0</v>
      </c>
      <c r="O2260" s="25">
        <f>0.003*M2260</f>
        <v>0</v>
      </c>
      <c r="P2260" s="26">
        <f>0.00007*M2260</f>
        <v>0</v>
      </c>
      <c r="Q2260" s="30"/>
      <c r="R2260" s="22" t="s">
        <v>7857</v>
      </c>
      <c r="S2260" s="22"/>
      <c r="T2260" s="21" t="str">
        <f>HYPERLINK("https://miland.ru/api/getInfo/image/cd4b0ecc-a66f-11eb-a201-ac1f6b442185")</f>
        <v>https://miland.ru/api/getInfo/image/cd4b0ecc-a66f-11eb-a201-ac1f6b442185</v>
      </c>
      <c r="U2260" s="21"/>
      <c r="V2260" s="21"/>
      <c r="W2260" s="21" t="s">
        <v>408</v>
      </c>
      <c r="X2260" s="21"/>
      <c r="Y2260" s="21"/>
      <c r="Z2260" s="21"/>
      <c r="AA2260" s="21" t="str">
        <f>HYPERLINK("https://miland.ru/api/getInfo/item/cd4b0ecc-a66f-11eb-a201-ac1f6b442185")</f>
        <v>https://miland.ru/api/getInfo/item/cd4b0ecc-a66f-11eb-a201-ac1f6b442185</v>
      </c>
      <c r="AB2260" s="21" t="s">
        <v>50</v>
      </c>
      <c r="AC2260" s="21" t="s">
        <v>7858</v>
      </c>
      <c r="AD2260" s="21"/>
    </row>
    <row r="2261" spans="2:31" s="1" customFormat="1" ht="96.3" customHeight="1" outlineLevel="7">
      <c r="B2261" s="57">
        <v>1758</v>
      </c>
      <c r="C2261" s="21" t="s">
        <v>7859</v>
      </c>
      <c r="D2261" s="72" t="s">
        <v>7860</v>
      </c>
      <c r="E2261" s="72"/>
      <c r="F2261" s="72"/>
      <c r="G2261" s="72"/>
      <c r="H2261" s="22" t="s">
        <v>7861</v>
      </c>
      <c r="I2261" s="23" t="s">
        <v>36</v>
      </c>
      <c r="J2261" s="22"/>
      <c r="K2261" s="20">
        <v>100</v>
      </c>
      <c r="L2261" s="24">
        <v>5.7</v>
      </c>
      <c r="M2261" s="11"/>
      <c r="N2261" s="22">
        <f t="shared" si="107"/>
        <v>0</v>
      </c>
      <c r="O2261" s="25">
        <f>0.004*M2261</f>
        <v>0</v>
      </c>
      <c r="P2261" s="26">
        <f>0.00007*M2261</f>
        <v>0</v>
      </c>
      <c r="Q2261" s="30"/>
      <c r="R2261" s="22" t="s">
        <v>7862</v>
      </c>
      <c r="S2261" s="22"/>
      <c r="T2261" s="21" t="str">
        <f>HYPERLINK("https://miland.ru/api/getInfo/image/d6ecaf0c-02df-11ef-a25d-00155d82e908")</f>
        <v>https://miland.ru/api/getInfo/image/d6ecaf0c-02df-11ef-a25d-00155d82e908</v>
      </c>
      <c r="U2261" s="21"/>
      <c r="V2261" s="21"/>
      <c r="W2261" s="21" t="s">
        <v>408</v>
      </c>
      <c r="X2261" s="21"/>
      <c r="Y2261" s="21"/>
      <c r="Z2261" s="21"/>
      <c r="AA2261" s="21" t="str">
        <f>HYPERLINK("https://miland.ru/api/getInfo/item/d6ecaf0c-02df-11ef-a25d-00155d82e908")</f>
        <v>https://miland.ru/api/getInfo/item/d6ecaf0c-02df-11ef-a25d-00155d82e908</v>
      </c>
      <c r="AB2261" s="21" t="s">
        <v>50</v>
      </c>
      <c r="AC2261" s="21" t="s">
        <v>7849</v>
      </c>
      <c r="AD2261" s="21"/>
    </row>
    <row r="2262" spans="2:31" s="1" customFormat="1" ht="96.3" customHeight="1" outlineLevel="7">
      <c r="B2262" s="57">
        <v>1759</v>
      </c>
      <c r="C2262" s="21" t="s">
        <v>7863</v>
      </c>
      <c r="D2262" s="72" t="s">
        <v>7864</v>
      </c>
      <c r="E2262" s="72"/>
      <c r="F2262" s="72"/>
      <c r="G2262" s="72"/>
      <c r="H2262" s="22" t="s">
        <v>7865</v>
      </c>
      <c r="I2262" s="23" t="s">
        <v>36</v>
      </c>
      <c r="J2262" s="22"/>
      <c r="K2262" s="20">
        <v>100</v>
      </c>
      <c r="L2262" s="24">
        <v>5.7</v>
      </c>
      <c r="M2262" s="11"/>
      <c r="N2262" s="22">
        <f t="shared" si="107"/>
        <v>0</v>
      </c>
      <c r="O2262" s="25">
        <f>0.003*M2262</f>
        <v>0</v>
      </c>
      <c r="P2262" s="26">
        <f>0.00021*M2262</f>
        <v>0</v>
      </c>
      <c r="Q2262" s="30"/>
      <c r="R2262" s="22" t="s">
        <v>7866</v>
      </c>
      <c r="S2262" s="22"/>
      <c r="T2262" s="21" t="str">
        <f>HYPERLINK("https://miland.ru/api/getInfo/image/6907f7e6-d9d4-11ed-a232-00155d82e902")</f>
        <v>https://miland.ru/api/getInfo/image/6907f7e6-d9d4-11ed-a232-00155d82e902</v>
      </c>
      <c r="U2262" s="21"/>
      <c r="V2262" s="21"/>
      <c r="W2262" s="21" t="s">
        <v>408</v>
      </c>
      <c r="X2262" s="21"/>
      <c r="Y2262" s="21"/>
      <c r="Z2262" s="21"/>
      <c r="AA2262" s="21" t="str">
        <f>HYPERLINK("https://miland.ru/api/getInfo/item/6907f7e6-d9d4-11ed-a232-00155d82e902")</f>
        <v>https://miland.ru/api/getInfo/item/6907f7e6-d9d4-11ed-a232-00155d82e902</v>
      </c>
      <c r="AB2262" s="21" t="s">
        <v>50</v>
      </c>
      <c r="AC2262" s="21"/>
      <c r="AD2262" s="21"/>
    </row>
    <row r="2263" spans="2:31" s="1" customFormat="1" ht="96.3" customHeight="1" outlineLevel="7">
      <c r="B2263" s="57">
        <v>1760</v>
      </c>
      <c r="C2263" s="21" t="s">
        <v>7867</v>
      </c>
      <c r="D2263" s="72" t="s">
        <v>7868</v>
      </c>
      <c r="E2263" s="72"/>
      <c r="F2263" s="72"/>
      <c r="G2263" s="72"/>
      <c r="H2263" s="22" t="s">
        <v>7869</v>
      </c>
      <c r="I2263" s="23" t="s">
        <v>36</v>
      </c>
      <c r="J2263" s="22"/>
      <c r="K2263" s="20">
        <v>100</v>
      </c>
      <c r="L2263" s="24">
        <v>5.98</v>
      </c>
      <c r="M2263" s="11"/>
      <c r="N2263" s="22">
        <f t="shared" si="107"/>
        <v>0</v>
      </c>
      <c r="O2263" s="25">
        <f>0.002*M2263</f>
        <v>0</v>
      </c>
      <c r="P2263" s="26">
        <f>0.00006*M2263</f>
        <v>0</v>
      </c>
      <c r="Q2263" s="30"/>
      <c r="R2263" s="22" t="s">
        <v>7870</v>
      </c>
      <c r="S2263" s="22"/>
      <c r="T2263" s="21" t="str">
        <f>HYPERLINK("https://miland.ru/api/getInfo/image/9f4b26b9-bbfc-11ec-a211-ac1f6b442185")</f>
        <v>https://miland.ru/api/getInfo/image/9f4b26b9-bbfc-11ec-a211-ac1f6b442185</v>
      </c>
      <c r="U2263" s="21"/>
      <c r="V2263" s="21"/>
      <c r="W2263" s="21"/>
      <c r="X2263" s="21"/>
      <c r="Y2263" s="21"/>
      <c r="Z2263" s="21"/>
      <c r="AA2263" s="21" t="str">
        <f>HYPERLINK("https://miland.ru/api/getInfo/item/9f4b26b9-bbfc-11ec-a211-ac1f6b442185")</f>
        <v>https://miland.ru/api/getInfo/item/9f4b26b9-bbfc-11ec-a211-ac1f6b442185</v>
      </c>
      <c r="AB2263" s="21" t="s">
        <v>50</v>
      </c>
      <c r="AC2263" s="21" t="s">
        <v>7871</v>
      </c>
      <c r="AD2263" s="21"/>
    </row>
    <row r="2264" spans="2:31" ht="12" customHeight="1" outlineLevel="7">
      <c r="B2264" s="70" t="s">
        <v>6685</v>
      </c>
      <c r="C2264" s="70"/>
      <c r="D2264" s="70"/>
      <c r="E2264" s="70"/>
      <c r="F2264" s="70"/>
      <c r="G2264" s="70"/>
    </row>
    <row r="2265" spans="2:31" ht="12" customHeight="1" outlineLevel="7">
      <c r="B2265" s="70" t="s">
        <v>7619</v>
      </c>
      <c r="C2265" s="70"/>
      <c r="D2265" s="70"/>
      <c r="E2265" s="70"/>
      <c r="F2265" s="70"/>
      <c r="G2265" s="70"/>
    </row>
    <row r="2266" spans="2:31" s="1" customFormat="1" ht="96.3" customHeight="1" outlineLevel="7">
      <c r="B2266" s="57">
        <v>1761</v>
      </c>
      <c r="C2266" s="21" t="s">
        <v>7872</v>
      </c>
      <c r="D2266" s="72" t="s">
        <v>7873</v>
      </c>
      <c r="E2266" s="72"/>
      <c r="F2266" s="72"/>
      <c r="G2266" s="72"/>
      <c r="H2266" s="22" t="s">
        <v>7874</v>
      </c>
      <c r="I2266" s="23" t="s">
        <v>36</v>
      </c>
      <c r="J2266" s="22"/>
      <c r="K2266" s="20">
        <v>100</v>
      </c>
      <c r="L2266" s="24">
        <v>6.75</v>
      </c>
      <c r="M2266" s="11"/>
      <c r="N2266" s="22">
        <f>L2266*M2266</f>
        <v>0</v>
      </c>
      <c r="O2266" s="25">
        <f>0.003*M2266</f>
        <v>0</v>
      </c>
      <c r="P2266" s="26">
        <f>0.00012*M2266</f>
        <v>0</v>
      </c>
      <c r="Q2266" s="30"/>
      <c r="R2266" s="22" t="s">
        <v>7875</v>
      </c>
      <c r="S2266" s="22"/>
      <c r="T2266" s="21" t="str">
        <f>HYPERLINK("https://miland.ru/api/getInfo/image/eade213e-1a84-11f0-a279-00155d82e908")</f>
        <v>https://miland.ru/api/getInfo/image/eade213e-1a84-11f0-a279-00155d82e908</v>
      </c>
      <c r="U2266" s="21"/>
      <c r="V2266" s="21" t="s">
        <v>7876</v>
      </c>
      <c r="W2266" s="21" t="s">
        <v>408</v>
      </c>
      <c r="X2266" s="21"/>
      <c r="Y2266" s="21" t="s">
        <v>41</v>
      </c>
      <c r="Z2266" s="21"/>
      <c r="AA2266" s="21" t="str">
        <f>HYPERLINK("https://miland.ru/api/getInfo/item/eade213e-1a84-11f0-a279-00155d82e908")</f>
        <v>https://miland.ru/api/getInfo/item/eade213e-1a84-11f0-a279-00155d82e908</v>
      </c>
      <c r="AB2266" s="21" t="s">
        <v>50</v>
      </c>
      <c r="AC2266" s="21"/>
      <c r="AD2266" s="21"/>
    </row>
    <row r="2267" spans="2:31" ht="12" customHeight="1" outlineLevel="7">
      <c r="B2267" s="70" t="s">
        <v>6686</v>
      </c>
      <c r="C2267" s="70"/>
      <c r="D2267" s="70"/>
      <c r="E2267" s="70"/>
      <c r="F2267" s="70"/>
      <c r="G2267" s="70"/>
    </row>
    <row r="2268" spans="2:31" s="1" customFormat="1" ht="96.3" customHeight="1" outlineLevel="7">
      <c r="B2268" s="57">
        <v>1762</v>
      </c>
      <c r="C2268" s="21" t="s">
        <v>7877</v>
      </c>
      <c r="D2268" s="72" t="s">
        <v>7878</v>
      </c>
      <c r="E2268" s="72"/>
      <c r="F2268" s="72"/>
      <c r="G2268" s="72"/>
      <c r="H2268" s="22" t="s">
        <v>7879</v>
      </c>
      <c r="I2268" s="23" t="s">
        <v>36</v>
      </c>
      <c r="J2268" s="22"/>
      <c r="K2268" s="20">
        <v>100</v>
      </c>
      <c r="L2268" s="24">
        <v>6.75</v>
      </c>
      <c r="M2268" s="11"/>
      <c r="N2268" s="22">
        <f>L2268*M2268</f>
        <v>0</v>
      </c>
      <c r="O2268" s="25">
        <f>0.003*M2268</f>
        <v>0</v>
      </c>
      <c r="P2268" s="26">
        <f>0.00012*M2268</f>
        <v>0</v>
      </c>
      <c r="Q2268" s="30"/>
      <c r="R2268" s="22" t="s">
        <v>7880</v>
      </c>
      <c r="S2268" s="22"/>
      <c r="T2268" s="21" t="str">
        <f>HYPERLINK("https://miland.ru/api/getInfo/image/522f7c1c-4b7d-11f0-a27c-00155d82e908")</f>
        <v>https://miland.ru/api/getInfo/image/522f7c1c-4b7d-11f0-a27c-00155d82e908</v>
      </c>
      <c r="U2268" s="21"/>
      <c r="V2268" s="21" t="s">
        <v>7876</v>
      </c>
      <c r="W2268" s="21" t="s">
        <v>408</v>
      </c>
      <c r="X2268" s="21"/>
      <c r="Y2268" s="21" t="s">
        <v>41</v>
      </c>
      <c r="Z2268" s="21"/>
      <c r="AA2268" s="21" t="str">
        <f>HYPERLINK("https://miland.ru/api/getInfo/item/522f7c1c-4b7d-11f0-a27c-00155d82e908")</f>
        <v>https://miland.ru/api/getInfo/item/522f7c1c-4b7d-11f0-a27c-00155d82e908</v>
      </c>
      <c r="AB2268" s="21" t="s">
        <v>50</v>
      </c>
      <c r="AC2268" s="21"/>
      <c r="AD2268" s="21"/>
    </row>
    <row r="2269" spans="2:31" ht="12" customHeight="1" outlineLevel="6">
      <c r="B2269" s="70" t="s">
        <v>7881</v>
      </c>
      <c r="C2269" s="70"/>
      <c r="D2269" s="70"/>
      <c r="E2269" s="70"/>
      <c r="F2269" s="70"/>
      <c r="G2269" s="70"/>
    </row>
    <row r="2270" spans="2:31" s="1" customFormat="1" ht="96.3" customHeight="1" outlineLevel="7">
      <c r="B2270" s="57">
        <v>1763</v>
      </c>
      <c r="C2270" s="21" t="s">
        <v>7882</v>
      </c>
      <c r="D2270" s="72" t="s">
        <v>7883</v>
      </c>
      <c r="E2270" s="72"/>
      <c r="F2270" s="72"/>
      <c r="G2270" s="72"/>
      <c r="H2270" s="22" t="s">
        <v>7884</v>
      </c>
      <c r="I2270" s="23" t="s">
        <v>36</v>
      </c>
      <c r="J2270" s="22"/>
      <c r="K2270" s="20">
        <v>100</v>
      </c>
      <c r="L2270" s="24">
        <v>4.3499999999999996</v>
      </c>
      <c r="M2270" s="11"/>
      <c r="N2270" s="22">
        <f>L2270*M2270</f>
        <v>0</v>
      </c>
      <c r="O2270" s="25">
        <f>0.003*M2270</f>
        <v>0</v>
      </c>
      <c r="P2270" s="26">
        <f>0.00005*M2270</f>
        <v>0</v>
      </c>
      <c r="Q2270" s="30"/>
      <c r="R2270" s="22" t="s">
        <v>7885</v>
      </c>
      <c r="S2270" s="22"/>
      <c r="T2270" s="21" t="str">
        <f>HYPERLINK("https://miland.ru/api/getInfo/image/35b52277-dcc2-11ec-a213-ac1f6b442185")</f>
        <v>https://miland.ru/api/getInfo/image/35b52277-dcc2-11ec-a213-ac1f6b442185</v>
      </c>
      <c r="U2270" s="21"/>
      <c r="V2270" s="21" t="s">
        <v>7848</v>
      </c>
      <c r="W2270" s="21" t="s">
        <v>408</v>
      </c>
      <c r="X2270" s="21"/>
      <c r="Y2270" s="21" t="s">
        <v>41</v>
      </c>
      <c r="Z2270" s="21"/>
      <c r="AA2270" s="21" t="str">
        <f>HYPERLINK("https://miland.ru/api/getInfo/item/35b52277-dcc2-11ec-a213-ac1f6b442185")</f>
        <v>https://miland.ru/api/getInfo/item/35b52277-dcc2-11ec-a213-ac1f6b442185</v>
      </c>
      <c r="AB2270" s="21" t="s">
        <v>50</v>
      </c>
      <c r="AC2270" s="21" t="s">
        <v>7858</v>
      </c>
      <c r="AD2270" s="21"/>
    </row>
    <row r="2271" spans="2:31" ht="12" customHeight="1" outlineLevel="6">
      <c r="B2271" s="70" t="s">
        <v>7886</v>
      </c>
      <c r="C2271" s="70"/>
      <c r="D2271" s="70"/>
      <c r="E2271" s="70"/>
      <c r="F2271" s="70"/>
      <c r="G2271" s="70"/>
    </row>
    <row r="2272" spans="2:31" s="1" customFormat="1" ht="96.3" customHeight="1" outlineLevel="7">
      <c r="B2272" s="58">
        <v>1764</v>
      </c>
      <c r="C2272" s="7" t="s">
        <v>7887</v>
      </c>
      <c r="D2272" s="71" t="s">
        <v>7888</v>
      </c>
      <c r="E2272" s="71"/>
      <c r="F2272" s="71"/>
      <c r="G2272" s="71"/>
      <c r="H2272" s="8" t="s">
        <v>7889</v>
      </c>
      <c r="I2272" s="9" t="s">
        <v>36</v>
      </c>
      <c r="J2272" s="8"/>
      <c r="K2272" s="6">
        <v>50</v>
      </c>
      <c r="L2272" s="10">
        <v>19.18</v>
      </c>
      <c r="M2272" s="11"/>
      <c r="N2272" s="8">
        <f t="shared" ref="N2272:N2284" si="108">L2272*M2272</f>
        <v>0</v>
      </c>
      <c r="O2272" s="18">
        <f>0.02*M2272</f>
        <v>0</v>
      </c>
      <c r="P2272" s="13">
        <f>0.00025*M2272</f>
        <v>0</v>
      </c>
      <c r="Q2272" s="17" t="s">
        <v>37</v>
      </c>
      <c r="R2272" s="8" t="s">
        <v>7890</v>
      </c>
      <c r="S2272" s="8"/>
      <c r="T2272" s="7" t="str">
        <f>HYPERLINK("https://miland.ru/api/getInfo/image/d3047de0-3330-11f1-a292-00155d82e908")</f>
        <v>https://miland.ru/api/getInfo/image/d3047de0-3330-11f1-a292-00155d82e908</v>
      </c>
      <c r="U2272" s="7"/>
      <c r="V2272" s="7"/>
      <c r="W2272" s="7" t="s">
        <v>408</v>
      </c>
      <c r="X2272" s="7"/>
      <c r="Y2272" s="7"/>
      <c r="Z2272" s="7"/>
      <c r="AA2272" s="7" t="str">
        <f>HYPERLINK("https://miland.ru/api/getInfo/item/d3047de0-3330-11f1-a292-00155d82e908")</f>
        <v>https://miland.ru/api/getInfo/item/d3047de0-3330-11f1-a292-00155d82e908</v>
      </c>
      <c r="AB2272" s="7" t="s">
        <v>50</v>
      </c>
      <c r="AC2272" s="7"/>
      <c r="AD2272" s="7"/>
      <c r="AE2272" s="54"/>
    </row>
    <row r="2273" spans="2:31" s="1" customFormat="1" ht="96.3" customHeight="1" outlineLevel="7">
      <c r="B2273" s="57">
        <v>1765</v>
      </c>
      <c r="C2273" s="21" t="s">
        <v>7891</v>
      </c>
      <c r="D2273" s="72" t="s">
        <v>7892</v>
      </c>
      <c r="E2273" s="72"/>
      <c r="F2273" s="72"/>
      <c r="G2273" s="72"/>
      <c r="H2273" s="22" t="s">
        <v>7893</v>
      </c>
      <c r="I2273" s="23" t="s">
        <v>36</v>
      </c>
      <c r="J2273" s="22"/>
      <c r="K2273" s="20">
        <v>50</v>
      </c>
      <c r="L2273" s="24">
        <v>10.99</v>
      </c>
      <c r="M2273" s="11"/>
      <c r="N2273" s="22">
        <f t="shared" si="108"/>
        <v>0</v>
      </c>
      <c r="O2273" s="25">
        <f>0.009*M2273</f>
        <v>0</v>
      </c>
      <c r="P2273" s="26">
        <f>0.00025*M2273</f>
        <v>0</v>
      </c>
      <c r="Q2273" s="30"/>
      <c r="R2273" s="22" t="s">
        <v>7894</v>
      </c>
      <c r="S2273" s="22" t="s">
        <v>435</v>
      </c>
      <c r="T2273" s="21" t="str">
        <f>HYPERLINK("https://miland.ru/api/getInfo/image/065dba1c-1c42-11f0-a279-00155d82e908")</f>
        <v>https://miland.ru/api/getInfo/image/065dba1c-1c42-11f0-a279-00155d82e908</v>
      </c>
      <c r="U2273" s="21"/>
      <c r="V2273" s="21" t="s">
        <v>7876</v>
      </c>
      <c r="W2273" s="21" t="s">
        <v>408</v>
      </c>
      <c r="X2273" s="21"/>
      <c r="Y2273" s="21" t="s">
        <v>41</v>
      </c>
      <c r="Z2273" s="21"/>
      <c r="AA2273" s="21" t="str">
        <f>HYPERLINK("https://miland.ru/api/getInfo/item/065dba1c-1c42-11f0-a279-00155d82e908")</f>
        <v>https://miland.ru/api/getInfo/item/065dba1c-1c42-11f0-a279-00155d82e908</v>
      </c>
      <c r="AB2273" s="21" t="s">
        <v>50</v>
      </c>
      <c r="AC2273" s="21"/>
      <c r="AD2273" s="21"/>
    </row>
    <row r="2274" spans="2:31" s="1" customFormat="1" ht="96.3" customHeight="1" outlineLevel="7">
      <c r="B2274" s="57">
        <v>1766</v>
      </c>
      <c r="C2274" s="21" t="s">
        <v>7895</v>
      </c>
      <c r="D2274" s="72" t="s">
        <v>7896</v>
      </c>
      <c r="E2274" s="72"/>
      <c r="F2274" s="72"/>
      <c r="G2274" s="72"/>
      <c r="H2274" s="22" t="s">
        <v>7897</v>
      </c>
      <c r="I2274" s="23" t="s">
        <v>36</v>
      </c>
      <c r="J2274" s="22"/>
      <c r="K2274" s="20">
        <v>50</v>
      </c>
      <c r="L2274" s="24">
        <v>10.76</v>
      </c>
      <c r="M2274" s="11"/>
      <c r="N2274" s="22">
        <f t="shared" si="108"/>
        <v>0</v>
      </c>
      <c r="O2274" s="25">
        <f>0.013*M2274</f>
        <v>0</v>
      </c>
      <c r="P2274" s="26">
        <f>0.00026*M2274</f>
        <v>0</v>
      </c>
      <c r="Q2274" s="30"/>
      <c r="R2274" s="22" t="s">
        <v>7898</v>
      </c>
      <c r="S2274" s="22"/>
      <c r="T2274" s="21" t="str">
        <f>HYPERLINK("https://miland.ru/api/getInfo/image/8342dc27-02e1-11ef-a25d-00155d82e908")</f>
        <v>https://miland.ru/api/getInfo/image/8342dc27-02e1-11ef-a25d-00155d82e908</v>
      </c>
      <c r="U2274" s="21"/>
      <c r="V2274" s="21" t="s">
        <v>7848</v>
      </c>
      <c r="W2274" s="21" t="s">
        <v>408</v>
      </c>
      <c r="X2274" s="21"/>
      <c r="Y2274" s="21" t="s">
        <v>41</v>
      </c>
      <c r="Z2274" s="21"/>
      <c r="AA2274" s="21" t="str">
        <f>HYPERLINK("https://miland.ru/api/getInfo/item/8342dc27-02e1-11ef-a25d-00155d82e908")</f>
        <v>https://miland.ru/api/getInfo/item/8342dc27-02e1-11ef-a25d-00155d82e908</v>
      </c>
      <c r="AB2274" s="21" t="s">
        <v>50</v>
      </c>
      <c r="AC2274" s="21" t="s">
        <v>7899</v>
      </c>
      <c r="AD2274" s="21"/>
    </row>
    <row r="2275" spans="2:31" s="1" customFormat="1" ht="96.3" customHeight="1" outlineLevel="7">
      <c r="B2275" s="57">
        <v>1767</v>
      </c>
      <c r="C2275" s="21" t="s">
        <v>7900</v>
      </c>
      <c r="D2275" s="72" t="s">
        <v>7901</v>
      </c>
      <c r="E2275" s="72"/>
      <c r="F2275" s="72"/>
      <c r="G2275" s="72"/>
      <c r="H2275" s="22" t="s">
        <v>7902</v>
      </c>
      <c r="I2275" s="23" t="s">
        <v>36</v>
      </c>
      <c r="J2275" s="22"/>
      <c r="K2275" s="20">
        <v>50</v>
      </c>
      <c r="L2275" s="24">
        <v>19.18</v>
      </c>
      <c r="M2275" s="11"/>
      <c r="N2275" s="22">
        <f t="shared" si="108"/>
        <v>0</v>
      </c>
      <c r="O2275" s="25">
        <f>0.015*M2275</f>
        <v>0</v>
      </c>
      <c r="P2275" s="26">
        <f>0.00025*M2275</f>
        <v>0</v>
      </c>
      <c r="Q2275" s="30"/>
      <c r="R2275" s="22" t="s">
        <v>7903</v>
      </c>
      <c r="S2275" s="22"/>
      <c r="T2275" s="21" t="str">
        <f>HYPERLINK("https://miland.ru/api/getInfo/image/64b7d33e-1c44-11f0-a279-00155d82e908")</f>
        <v>https://miland.ru/api/getInfo/image/64b7d33e-1c44-11f0-a279-00155d82e908</v>
      </c>
      <c r="U2275" s="21"/>
      <c r="V2275" s="21"/>
      <c r="W2275" s="21" t="s">
        <v>408</v>
      </c>
      <c r="X2275" s="21"/>
      <c r="Y2275" s="21"/>
      <c r="Z2275" s="21"/>
      <c r="AA2275" s="21" t="str">
        <f>HYPERLINK("https://miland.ru/api/getInfo/item/64b7d33e-1c44-11f0-a279-00155d82e908")</f>
        <v>https://miland.ru/api/getInfo/item/64b7d33e-1c44-11f0-a279-00155d82e908</v>
      </c>
      <c r="AB2275" s="21" t="s">
        <v>50</v>
      </c>
      <c r="AC2275" s="21"/>
      <c r="AD2275" s="21"/>
    </row>
    <row r="2276" spans="2:31" s="1" customFormat="1" ht="96.3" customHeight="1" outlineLevel="7">
      <c r="B2276" s="57">
        <v>1768</v>
      </c>
      <c r="C2276" s="21" t="s">
        <v>7904</v>
      </c>
      <c r="D2276" s="72" t="s">
        <v>7905</v>
      </c>
      <c r="E2276" s="72"/>
      <c r="F2276" s="72"/>
      <c r="G2276" s="72"/>
      <c r="H2276" s="22" t="s">
        <v>7906</v>
      </c>
      <c r="I2276" s="23" t="s">
        <v>36</v>
      </c>
      <c r="J2276" s="22"/>
      <c r="K2276" s="20">
        <v>50</v>
      </c>
      <c r="L2276" s="24">
        <v>19.18</v>
      </c>
      <c r="M2276" s="11"/>
      <c r="N2276" s="22">
        <f t="shared" si="108"/>
        <v>0</v>
      </c>
      <c r="O2276" s="25">
        <f>0.015*M2276</f>
        <v>0</v>
      </c>
      <c r="P2276" s="26">
        <f>0.00025*M2276</f>
        <v>0</v>
      </c>
      <c r="Q2276" s="30"/>
      <c r="R2276" s="22" t="s">
        <v>7907</v>
      </c>
      <c r="S2276" s="22"/>
      <c r="T2276" s="21" t="str">
        <f>HYPERLINK("https://miland.ru/api/getInfo/image/f98d1b89-1c43-11f0-a279-00155d82e908")</f>
        <v>https://miland.ru/api/getInfo/image/f98d1b89-1c43-11f0-a279-00155d82e908</v>
      </c>
      <c r="U2276" s="21"/>
      <c r="V2276" s="21"/>
      <c r="W2276" s="21" t="s">
        <v>408</v>
      </c>
      <c r="X2276" s="21"/>
      <c r="Y2276" s="21"/>
      <c r="Z2276" s="21"/>
      <c r="AA2276" s="21" t="str">
        <f>HYPERLINK("https://miland.ru/api/getInfo/item/f98d1b89-1c43-11f0-a279-00155d82e908")</f>
        <v>https://miland.ru/api/getInfo/item/f98d1b89-1c43-11f0-a279-00155d82e908</v>
      </c>
      <c r="AB2276" s="21" t="s">
        <v>50</v>
      </c>
      <c r="AC2276" s="21"/>
      <c r="AD2276" s="21"/>
    </row>
    <row r="2277" spans="2:31" s="1" customFormat="1" ht="96.3" customHeight="1" outlineLevel="7">
      <c r="B2277" s="57">
        <v>1769</v>
      </c>
      <c r="C2277" s="21" t="s">
        <v>7908</v>
      </c>
      <c r="D2277" s="72" t="s">
        <v>7909</v>
      </c>
      <c r="E2277" s="72"/>
      <c r="F2277" s="72"/>
      <c r="G2277" s="72"/>
      <c r="H2277" s="22" t="s">
        <v>7910</v>
      </c>
      <c r="I2277" s="23" t="s">
        <v>36</v>
      </c>
      <c r="J2277" s="22"/>
      <c r="K2277" s="20">
        <v>25</v>
      </c>
      <c r="L2277" s="24">
        <v>18.510000000000002</v>
      </c>
      <c r="M2277" s="11"/>
      <c r="N2277" s="22">
        <f t="shared" si="108"/>
        <v>0</v>
      </c>
      <c r="O2277" s="25">
        <f>0.031*M2277</f>
        <v>0</v>
      </c>
      <c r="P2277" s="26">
        <f>0.00012*M2277</f>
        <v>0</v>
      </c>
      <c r="Q2277" s="30"/>
      <c r="R2277" s="22" t="s">
        <v>7911</v>
      </c>
      <c r="S2277" s="22"/>
      <c r="T2277" s="21" t="str">
        <f>HYPERLINK("https://miland.ru/api/getInfo/image/ef6a0bb9-1c44-11f0-a279-00155d82e908")</f>
        <v>https://miland.ru/api/getInfo/image/ef6a0bb9-1c44-11f0-a279-00155d82e908</v>
      </c>
      <c r="U2277" s="21"/>
      <c r="V2277" s="21"/>
      <c r="W2277" s="21"/>
      <c r="X2277" s="21"/>
      <c r="Y2277" s="21"/>
      <c r="Z2277" s="21"/>
      <c r="AA2277" s="21" t="str">
        <f>HYPERLINK("https://miland.ru/api/getInfo/item/ef6a0bb9-1c44-11f0-a279-00155d82e908")</f>
        <v>https://miland.ru/api/getInfo/item/ef6a0bb9-1c44-11f0-a279-00155d82e908</v>
      </c>
      <c r="AB2277" s="21" t="s">
        <v>50</v>
      </c>
      <c r="AC2277" s="21"/>
      <c r="AD2277" s="21"/>
    </row>
    <row r="2278" spans="2:31" s="1" customFormat="1" ht="96.3" customHeight="1" outlineLevel="7">
      <c r="B2278" s="58">
        <v>1770</v>
      </c>
      <c r="C2278" s="7" t="s">
        <v>7912</v>
      </c>
      <c r="D2278" s="71" t="s">
        <v>7913</v>
      </c>
      <c r="E2278" s="71"/>
      <c r="F2278" s="71"/>
      <c r="G2278" s="71"/>
      <c r="H2278" s="8" t="s">
        <v>7914</v>
      </c>
      <c r="I2278" s="9" t="s">
        <v>36</v>
      </c>
      <c r="J2278" s="8"/>
      <c r="K2278" s="6">
        <v>50</v>
      </c>
      <c r="L2278" s="10">
        <v>23.06</v>
      </c>
      <c r="M2278" s="11"/>
      <c r="N2278" s="8">
        <f t="shared" si="108"/>
        <v>0</v>
      </c>
      <c r="O2278" s="12">
        <f>0.016*M2278</f>
        <v>0</v>
      </c>
      <c r="P2278" s="13">
        <f>0.00012*M2278</f>
        <v>0</v>
      </c>
      <c r="Q2278" s="17" t="s">
        <v>37</v>
      </c>
      <c r="R2278" s="8" t="s">
        <v>7915</v>
      </c>
      <c r="S2278" s="8"/>
      <c r="T2278" s="7" t="str">
        <f>HYPERLINK("https://miland.ru/api/getInfo/image/3dff990d-3331-11f1-a292-00155d82e908")</f>
        <v>https://miland.ru/api/getInfo/image/3dff990d-3331-11f1-a292-00155d82e908</v>
      </c>
      <c r="U2278" s="7"/>
      <c r="V2278" s="7"/>
      <c r="W2278" s="7" t="s">
        <v>408</v>
      </c>
      <c r="X2278" s="7"/>
      <c r="Y2278" s="7"/>
      <c r="Z2278" s="7"/>
      <c r="AA2278" s="7" t="str">
        <f>HYPERLINK("https://miland.ru/api/getInfo/item/3dff990d-3331-11f1-a292-00155d82e908")</f>
        <v>https://miland.ru/api/getInfo/item/3dff990d-3331-11f1-a292-00155d82e908</v>
      </c>
      <c r="AB2278" s="7" t="s">
        <v>50</v>
      </c>
      <c r="AC2278" s="7"/>
      <c r="AD2278" s="7"/>
      <c r="AE2278" s="54"/>
    </row>
    <row r="2279" spans="2:31" s="1" customFormat="1" ht="96.3" customHeight="1" outlineLevel="7">
      <c r="B2279" s="57">
        <v>1771</v>
      </c>
      <c r="C2279" s="21" t="s">
        <v>7916</v>
      </c>
      <c r="D2279" s="72" t="s">
        <v>7917</v>
      </c>
      <c r="E2279" s="72"/>
      <c r="F2279" s="72"/>
      <c r="G2279" s="72"/>
      <c r="H2279" s="22" t="s">
        <v>7918</v>
      </c>
      <c r="I2279" s="27">
        <v>350</v>
      </c>
      <c r="J2279" s="22"/>
      <c r="K2279" s="20">
        <v>50</v>
      </c>
      <c r="L2279" s="24">
        <v>19.18</v>
      </c>
      <c r="M2279" s="11"/>
      <c r="N2279" s="22">
        <f t="shared" si="108"/>
        <v>0</v>
      </c>
      <c r="O2279" s="25">
        <f>0.019*M2279</f>
        <v>0</v>
      </c>
      <c r="P2279" s="26">
        <f>0.00038*M2279</f>
        <v>0</v>
      </c>
      <c r="Q2279" s="30"/>
      <c r="R2279" s="22" t="s">
        <v>7919</v>
      </c>
      <c r="S2279" s="22"/>
      <c r="T2279" s="21" t="str">
        <f>HYPERLINK("https://miland.ru/api/getInfo/image/c3c159b6-a67e-11eb-a201-ac1f6b442185")</f>
        <v>https://miland.ru/api/getInfo/image/c3c159b6-a67e-11eb-a201-ac1f6b442185</v>
      </c>
      <c r="U2279" s="21"/>
      <c r="V2279" s="21"/>
      <c r="W2279" s="21" t="s">
        <v>408</v>
      </c>
      <c r="X2279" s="21"/>
      <c r="Y2279" s="21"/>
      <c r="Z2279" s="21"/>
      <c r="AA2279" s="21" t="str">
        <f>HYPERLINK("https://miland.ru/api/getInfo/item/c3c159b6-a67e-11eb-a201-ac1f6b442185")</f>
        <v>https://miland.ru/api/getInfo/item/c3c159b6-a67e-11eb-a201-ac1f6b442185</v>
      </c>
      <c r="AB2279" s="21" t="s">
        <v>50</v>
      </c>
      <c r="AC2279" s="21" t="s">
        <v>7920</v>
      </c>
      <c r="AD2279" s="21"/>
    </row>
    <row r="2280" spans="2:31" s="1" customFormat="1" ht="96.3" customHeight="1" outlineLevel="7">
      <c r="B2280" s="57">
        <v>1772</v>
      </c>
      <c r="C2280" s="21" t="s">
        <v>7921</v>
      </c>
      <c r="D2280" s="72" t="s">
        <v>7922</v>
      </c>
      <c r="E2280" s="72"/>
      <c r="F2280" s="72"/>
      <c r="G2280" s="72"/>
      <c r="H2280" s="22" t="s">
        <v>7923</v>
      </c>
      <c r="I2280" s="23" t="s">
        <v>36</v>
      </c>
      <c r="J2280" s="22"/>
      <c r="K2280" s="20">
        <v>25</v>
      </c>
      <c r="L2280" s="24">
        <v>18.510000000000002</v>
      </c>
      <c r="M2280" s="11"/>
      <c r="N2280" s="22">
        <f t="shared" si="108"/>
        <v>0</v>
      </c>
      <c r="O2280" s="25">
        <f>0.012*M2280</f>
        <v>0</v>
      </c>
      <c r="P2280" s="26">
        <f>0.00012*M2280</f>
        <v>0</v>
      </c>
      <c r="Q2280" s="30"/>
      <c r="R2280" s="22" t="s">
        <v>7924</v>
      </c>
      <c r="S2280" s="22"/>
      <c r="T2280" s="21" t="str">
        <f>HYPERLINK("https://miland.ru/api/getInfo/image/932f1f1c-1c45-11f0-a279-00155d82e908")</f>
        <v>https://miland.ru/api/getInfo/image/932f1f1c-1c45-11f0-a279-00155d82e908</v>
      </c>
      <c r="U2280" s="21"/>
      <c r="V2280" s="21"/>
      <c r="W2280" s="21"/>
      <c r="X2280" s="21"/>
      <c r="Y2280" s="21"/>
      <c r="Z2280" s="21"/>
      <c r="AA2280" s="21" t="str">
        <f>HYPERLINK("https://miland.ru/api/getInfo/item/932f1f1c-1c45-11f0-a279-00155d82e908")</f>
        <v>https://miland.ru/api/getInfo/item/932f1f1c-1c45-11f0-a279-00155d82e908</v>
      </c>
      <c r="AB2280" s="21" t="s">
        <v>50</v>
      </c>
      <c r="AC2280" s="21"/>
      <c r="AD2280" s="21"/>
    </row>
    <row r="2281" spans="2:31" s="1" customFormat="1" ht="96.3" customHeight="1" outlineLevel="7">
      <c r="B2281" s="58">
        <v>1773</v>
      </c>
      <c r="C2281" s="7" t="s">
        <v>7925</v>
      </c>
      <c r="D2281" s="71" t="s">
        <v>7926</v>
      </c>
      <c r="E2281" s="71"/>
      <c r="F2281" s="71"/>
      <c r="G2281" s="71"/>
      <c r="H2281" s="8" t="s">
        <v>7927</v>
      </c>
      <c r="I2281" s="9" t="s">
        <v>36</v>
      </c>
      <c r="J2281" s="8"/>
      <c r="K2281" s="6">
        <v>50</v>
      </c>
      <c r="L2281" s="10">
        <v>23.06</v>
      </c>
      <c r="M2281" s="11"/>
      <c r="N2281" s="8">
        <f t="shared" si="108"/>
        <v>0</v>
      </c>
      <c r="O2281" s="12">
        <f>0.016*M2281</f>
        <v>0</v>
      </c>
      <c r="P2281" s="13">
        <f>0.00037*M2281</f>
        <v>0</v>
      </c>
      <c r="Q2281" s="17" t="s">
        <v>37</v>
      </c>
      <c r="R2281" s="8" t="s">
        <v>7928</v>
      </c>
      <c r="S2281" s="8"/>
      <c r="T2281" s="7" t="str">
        <f>HYPERLINK("https://miland.ru/api/getInfo/image/2d2d3c16-3331-11f1-a292-00155d82e908")</f>
        <v>https://miland.ru/api/getInfo/image/2d2d3c16-3331-11f1-a292-00155d82e908</v>
      </c>
      <c r="U2281" s="7"/>
      <c r="V2281" s="7"/>
      <c r="W2281" s="7" t="s">
        <v>408</v>
      </c>
      <c r="X2281" s="7"/>
      <c r="Y2281" s="7"/>
      <c r="Z2281" s="7"/>
      <c r="AA2281" s="7" t="str">
        <f>HYPERLINK("https://miland.ru/api/getInfo/item/2d2d3c16-3331-11f1-a292-00155d82e908")</f>
        <v>https://miland.ru/api/getInfo/item/2d2d3c16-3331-11f1-a292-00155d82e908</v>
      </c>
      <c r="AB2281" s="7" t="s">
        <v>50</v>
      </c>
      <c r="AC2281" s="7"/>
      <c r="AD2281" s="7"/>
      <c r="AE2281" s="54"/>
    </row>
    <row r="2282" spans="2:31" s="1" customFormat="1" ht="96.3" customHeight="1" outlineLevel="7">
      <c r="B2282" s="58">
        <v>1774</v>
      </c>
      <c r="C2282" s="7" t="s">
        <v>7929</v>
      </c>
      <c r="D2282" s="71" t="s">
        <v>7930</v>
      </c>
      <c r="E2282" s="71"/>
      <c r="F2282" s="71"/>
      <c r="G2282" s="71"/>
      <c r="H2282" s="8" t="s">
        <v>7931</v>
      </c>
      <c r="I2282" s="9" t="s">
        <v>36</v>
      </c>
      <c r="J2282" s="8"/>
      <c r="K2282" s="6">
        <v>50</v>
      </c>
      <c r="L2282" s="10">
        <v>19.18</v>
      </c>
      <c r="M2282" s="11"/>
      <c r="N2282" s="8">
        <f t="shared" si="108"/>
        <v>0</v>
      </c>
      <c r="O2282" s="12">
        <f>0.013*M2282</f>
        <v>0</v>
      </c>
      <c r="P2282" s="13">
        <f>0.00214*M2282</f>
        <v>0</v>
      </c>
      <c r="Q2282" s="17" t="s">
        <v>37</v>
      </c>
      <c r="R2282" s="8" t="s">
        <v>7932</v>
      </c>
      <c r="S2282" s="8"/>
      <c r="T2282" s="7" t="str">
        <f>HYPERLINK("https://miland.ru/api/getInfo/image/1cde674b-3331-11f1-a292-00155d82e908")</f>
        <v>https://miland.ru/api/getInfo/image/1cde674b-3331-11f1-a292-00155d82e908</v>
      </c>
      <c r="U2282" s="7"/>
      <c r="V2282" s="7"/>
      <c r="W2282" s="7" t="s">
        <v>408</v>
      </c>
      <c r="X2282" s="7"/>
      <c r="Y2282" s="7"/>
      <c r="Z2282" s="7"/>
      <c r="AA2282" s="7" t="str">
        <f>HYPERLINK("https://miland.ru/api/getInfo/item/1cde674b-3331-11f1-a292-00155d82e908")</f>
        <v>https://miland.ru/api/getInfo/item/1cde674b-3331-11f1-a292-00155d82e908</v>
      </c>
      <c r="AB2282" s="7" t="s">
        <v>50</v>
      </c>
      <c r="AC2282" s="7"/>
      <c r="AD2282" s="7"/>
      <c r="AE2282" s="54"/>
    </row>
    <row r="2283" spans="2:31" s="1" customFormat="1" ht="96.3" customHeight="1" outlineLevel="7">
      <c r="B2283" s="57">
        <v>1775</v>
      </c>
      <c r="C2283" s="21" t="s">
        <v>7933</v>
      </c>
      <c r="D2283" s="72" t="s">
        <v>7934</v>
      </c>
      <c r="E2283" s="72"/>
      <c r="F2283" s="72"/>
      <c r="G2283" s="72"/>
      <c r="H2283" s="22" t="s">
        <v>7935</v>
      </c>
      <c r="I2283" s="23" t="s">
        <v>36</v>
      </c>
      <c r="J2283" s="22"/>
      <c r="K2283" s="20">
        <v>50</v>
      </c>
      <c r="L2283" s="24">
        <v>23.06</v>
      </c>
      <c r="M2283" s="11"/>
      <c r="N2283" s="22">
        <f t="shared" si="108"/>
        <v>0</v>
      </c>
      <c r="O2283" s="25">
        <f>0.017*M2283</f>
        <v>0</v>
      </c>
      <c r="P2283" s="26">
        <f>0.00025*M2283</f>
        <v>0</v>
      </c>
      <c r="Q2283" s="30"/>
      <c r="R2283" s="22" t="s">
        <v>7936</v>
      </c>
      <c r="S2283" s="22"/>
      <c r="T2283" s="21" t="str">
        <f>HYPERLINK("https://miland.ru/api/getInfo/image/e70e95a4-a67d-11eb-a201-ac1f6b442185")</f>
        <v>https://miland.ru/api/getInfo/image/e70e95a4-a67d-11eb-a201-ac1f6b442185</v>
      </c>
      <c r="U2283" s="21"/>
      <c r="V2283" s="21"/>
      <c r="W2283" s="21" t="s">
        <v>408</v>
      </c>
      <c r="X2283" s="21"/>
      <c r="Y2283" s="21"/>
      <c r="Z2283" s="21"/>
      <c r="AA2283" s="21" t="str">
        <f>HYPERLINK("https://miland.ru/api/getInfo/item/e70e95a4-a67d-11eb-a201-ac1f6b442185")</f>
        <v>https://miland.ru/api/getInfo/item/e70e95a4-a67d-11eb-a201-ac1f6b442185</v>
      </c>
      <c r="AB2283" s="21" t="s">
        <v>50</v>
      </c>
      <c r="AC2283" s="21" t="s">
        <v>7920</v>
      </c>
      <c r="AD2283" s="21"/>
    </row>
    <row r="2284" spans="2:31" s="1" customFormat="1" ht="96.3" customHeight="1" outlineLevel="7">
      <c r="B2284" s="57">
        <v>1776</v>
      </c>
      <c r="C2284" s="21" t="s">
        <v>7937</v>
      </c>
      <c r="D2284" s="72" t="s">
        <v>7938</v>
      </c>
      <c r="E2284" s="72"/>
      <c r="F2284" s="72"/>
      <c r="G2284" s="72"/>
      <c r="H2284" s="22" t="s">
        <v>7939</v>
      </c>
      <c r="I2284" s="23" t="s">
        <v>36</v>
      </c>
      <c r="J2284" s="22"/>
      <c r="K2284" s="20">
        <v>50</v>
      </c>
      <c r="L2284" s="24">
        <v>19.18</v>
      </c>
      <c r="M2284" s="11"/>
      <c r="N2284" s="22">
        <f t="shared" si="108"/>
        <v>0</v>
      </c>
      <c r="O2284" s="25">
        <f>0.015*M2284</f>
        <v>0</v>
      </c>
      <c r="P2284" s="26">
        <f>0.00025*M2284</f>
        <v>0</v>
      </c>
      <c r="Q2284" s="30"/>
      <c r="R2284" s="22" t="s">
        <v>7940</v>
      </c>
      <c r="S2284" s="22"/>
      <c r="T2284" s="21" t="str">
        <f>HYPERLINK("https://miland.ru/api/getInfo/image/bab00362-d9d6-11ed-a232-00155d82e902")</f>
        <v>https://miland.ru/api/getInfo/image/bab00362-d9d6-11ed-a232-00155d82e902</v>
      </c>
      <c r="U2284" s="21"/>
      <c r="V2284" s="21" t="s">
        <v>7848</v>
      </c>
      <c r="W2284" s="21" t="s">
        <v>408</v>
      </c>
      <c r="X2284" s="21"/>
      <c r="Y2284" s="21" t="s">
        <v>41</v>
      </c>
      <c r="Z2284" s="21"/>
      <c r="AA2284" s="21" t="str">
        <f>HYPERLINK("https://miland.ru/api/getInfo/item/bab00362-d9d6-11ed-a232-00155d82e902")</f>
        <v>https://miland.ru/api/getInfo/item/bab00362-d9d6-11ed-a232-00155d82e902</v>
      </c>
      <c r="AB2284" s="21" t="s">
        <v>50</v>
      </c>
      <c r="AC2284" s="21"/>
      <c r="AD2284" s="21"/>
    </row>
    <row r="2285" spans="2:31" ht="12" customHeight="1" outlineLevel="7">
      <c r="B2285" s="70" t="s">
        <v>6685</v>
      </c>
      <c r="C2285" s="70"/>
      <c r="D2285" s="70"/>
      <c r="E2285" s="70"/>
      <c r="F2285" s="70"/>
      <c r="G2285" s="70"/>
    </row>
    <row r="2286" spans="2:31" ht="12" customHeight="1" outlineLevel="7">
      <c r="B2286" s="70" t="s">
        <v>7619</v>
      </c>
      <c r="C2286" s="70"/>
      <c r="D2286" s="70"/>
      <c r="E2286" s="70"/>
      <c r="F2286" s="70"/>
      <c r="G2286" s="70"/>
    </row>
    <row r="2287" spans="2:31" s="1" customFormat="1" ht="96.3" customHeight="1" outlineLevel="7">
      <c r="B2287" s="57">
        <v>1777</v>
      </c>
      <c r="C2287" s="21" t="s">
        <v>7941</v>
      </c>
      <c r="D2287" s="72" t="s">
        <v>7942</v>
      </c>
      <c r="E2287" s="72"/>
      <c r="F2287" s="72"/>
      <c r="G2287" s="72"/>
      <c r="H2287" s="22" t="s">
        <v>7943</v>
      </c>
      <c r="I2287" s="23" t="s">
        <v>36</v>
      </c>
      <c r="J2287" s="22"/>
      <c r="K2287" s="20">
        <v>50</v>
      </c>
      <c r="L2287" s="24">
        <v>21.98</v>
      </c>
      <c r="M2287" s="11"/>
      <c r="N2287" s="22">
        <f>L2287*M2287</f>
        <v>0</v>
      </c>
      <c r="O2287" s="25">
        <f>0.013*M2287</f>
        <v>0</v>
      </c>
      <c r="P2287" s="26">
        <f>0.00024*M2287</f>
        <v>0</v>
      </c>
      <c r="Q2287" s="30"/>
      <c r="R2287" s="22" t="s">
        <v>7944</v>
      </c>
      <c r="S2287" s="22"/>
      <c r="T2287" s="21" t="str">
        <f>HYPERLINK("https://miland.ru/api/getInfo/image/3a2ebfe2-1a86-11f0-a279-00155d82e908")</f>
        <v>https://miland.ru/api/getInfo/image/3a2ebfe2-1a86-11f0-a279-00155d82e908</v>
      </c>
      <c r="U2287" s="21"/>
      <c r="V2287" s="21" t="s">
        <v>7876</v>
      </c>
      <c r="W2287" s="21" t="s">
        <v>408</v>
      </c>
      <c r="X2287" s="21"/>
      <c r="Y2287" s="21" t="s">
        <v>41</v>
      </c>
      <c r="Z2287" s="21"/>
      <c r="AA2287" s="21" t="str">
        <f>HYPERLINK("https://miland.ru/api/getInfo/item/3a2ebfe2-1a86-11f0-a279-00155d82e908")</f>
        <v>https://miland.ru/api/getInfo/item/3a2ebfe2-1a86-11f0-a279-00155d82e908</v>
      </c>
      <c r="AB2287" s="21" t="s">
        <v>50</v>
      </c>
      <c r="AC2287" s="21"/>
      <c r="AD2287" s="21"/>
    </row>
    <row r="2288" spans="2:31" ht="12" customHeight="1" outlineLevel="7">
      <c r="B2288" s="70" t="s">
        <v>6686</v>
      </c>
      <c r="C2288" s="70"/>
      <c r="D2288" s="70"/>
      <c r="E2288" s="70"/>
      <c r="F2288" s="70"/>
      <c r="G2288" s="70"/>
    </row>
    <row r="2289" spans="2:31" s="1" customFormat="1" ht="96.3" customHeight="1" outlineLevel="7">
      <c r="B2289" s="57">
        <v>1778</v>
      </c>
      <c r="C2289" s="21" t="s">
        <v>7945</v>
      </c>
      <c r="D2289" s="72" t="s">
        <v>7946</v>
      </c>
      <c r="E2289" s="72"/>
      <c r="F2289" s="72"/>
      <c r="G2289" s="72"/>
      <c r="H2289" s="22" t="s">
        <v>7947</v>
      </c>
      <c r="I2289" s="23" t="s">
        <v>36</v>
      </c>
      <c r="J2289" s="22"/>
      <c r="K2289" s="20">
        <v>50</v>
      </c>
      <c r="L2289" s="24">
        <v>21.98</v>
      </c>
      <c r="M2289" s="11"/>
      <c r="N2289" s="22">
        <f>L2289*M2289</f>
        <v>0</v>
      </c>
      <c r="O2289" s="25">
        <f>0.013*M2289</f>
        <v>0</v>
      </c>
      <c r="P2289" s="26">
        <f>0.00012*M2289</f>
        <v>0</v>
      </c>
      <c r="Q2289" s="30"/>
      <c r="R2289" s="22" t="s">
        <v>7948</v>
      </c>
      <c r="S2289" s="22" t="s">
        <v>435</v>
      </c>
      <c r="T2289" s="21" t="str">
        <f>HYPERLINK("https://miland.ru/api/getInfo/image/ca1f76af-4b7f-11f0-a27c-00155d82e908")</f>
        <v>https://miland.ru/api/getInfo/image/ca1f76af-4b7f-11f0-a27c-00155d82e908</v>
      </c>
      <c r="U2289" s="21"/>
      <c r="V2289" s="21" t="s">
        <v>7876</v>
      </c>
      <c r="W2289" s="21" t="s">
        <v>408</v>
      </c>
      <c r="X2289" s="21"/>
      <c r="Y2289" s="21" t="s">
        <v>41</v>
      </c>
      <c r="Z2289" s="21"/>
      <c r="AA2289" s="21" t="str">
        <f>HYPERLINK("https://miland.ru/api/getInfo/item/ca1f76af-4b7f-11f0-a27c-00155d82e908")</f>
        <v>https://miland.ru/api/getInfo/item/ca1f76af-4b7f-11f0-a27c-00155d82e908</v>
      </c>
      <c r="AB2289" s="21" t="s">
        <v>50</v>
      </c>
      <c r="AC2289" s="21"/>
      <c r="AD2289" s="21"/>
    </row>
    <row r="2290" spans="2:31" s="1" customFormat="1" ht="96.3" customHeight="1" outlineLevel="7">
      <c r="B2290" s="57">
        <v>1779</v>
      </c>
      <c r="C2290" s="21" t="s">
        <v>7945</v>
      </c>
      <c r="D2290" s="72" t="s">
        <v>7946</v>
      </c>
      <c r="E2290" s="72"/>
      <c r="F2290" s="72"/>
      <c r="G2290" s="72"/>
      <c r="H2290" s="22" t="s">
        <v>7947</v>
      </c>
      <c r="I2290" s="23" t="s">
        <v>36</v>
      </c>
      <c r="J2290" s="22"/>
      <c r="K2290" s="20">
        <v>50</v>
      </c>
      <c r="L2290" s="24">
        <v>21.98</v>
      </c>
      <c r="M2290" s="11"/>
      <c r="N2290" s="22">
        <f>L2290*M2290</f>
        <v>0</v>
      </c>
      <c r="O2290" s="25">
        <f>0.013*M2290</f>
        <v>0</v>
      </c>
      <c r="P2290" s="26">
        <f>0.00012*M2290</f>
        <v>0</v>
      </c>
      <c r="Q2290" s="30"/>
      <c r="R2290" s="22" t="s">
        <v>7948</v>
      </c>
      <c r="S2290" s="22" t="s">
        <v>435</v>
      </c>
      <c r="T2290" s="21" t="str">
        <f>HYPERLINK("https://miland.ru/api/getInfo/image/ca1f76af-4b7f-11f0-a27c-00155d82e908")</f>
        <v>https://miland.ru/api/getInfo/image/ca1f76af-4b7f-11f0-a27c-00155d82e908</v>
      </c>
      <c r="U2290" s="21"/>
      <c r="V2290" s="21" t="s">
        <v>7876</v>
      </c>
      <c r="W2290" s="21" t="s">
        <v>408</v>
      </c>
      <c r="X2290" s="21"/>
      <c r="Y2290" s="21" t="s">
        <v>41</v>
      </c>
      <c r="Z2290" s="21"/>
      <c r="AA2290" s="21" t="str">
        <f>HYPERLINK("https://miland.ru/api/getInfo/item/ca1f76af-4b7f-11f0-a27c-00155d82e908")</f>
        <v>https://miland.ru/api/getInfo/item/ca1f76af-4b7f-11f0-a27c-00155d82e908</v>
      </c>
      <c r="AB2290" s="21" t="s">
        <v>50</v>
      </c>
      <c r="AC2290" s="21"/>
      <c r="AD2290" s="21"/>
    </row>
    <row r="2291" spans="2:31" ht="12" customHeight="1" outlineLevel="6">
      <c r="B2291" s="70" t="s">
        <v>7949</v>
      </c>
      <c r="C2291" s="70"/>
      <c r="D2291" s="70"/>
      <c r="E2291" s="70"/>
      <c r="F2291" s="70"/>
      <c r="G2291" s="70"/>
    </row>
    <row r="2292" spans="2:31" s="1" customFormat="1" ht="96.3" customHeight="1" outlineLevel="7">
      <c r="B2292" s="57">
        <v>1780</v>
      </c>
      <c r="C2292" s="21" t="s">
        <v>7950</v>
      </c>
      <c r="D2292" s="72" t="s">
        <v>7951</v>
      </c>
      <c r="E2292" s="72"/>
      <c r="F2292" s="72"/>
      <c r="G2292" s="72"/>
      <c r="H2292" s="22" t="s">
        <v>7952</v>
      </c>
      <c r="I2292" s="23" t="s">
        <v>36</v>
      </c>
      <c r="J2292" s="22"/>
      <c r="K2292" s="20">
        <v>25</v>
      </c>
      <c r="L2292" s="24">
        <v>19.97</v>
      </c>
      <c r="M2292" s="11"/>
      <c r="N2292" s="22">
        <f>L2292*M2292</f>
        <v>0</v>
      </c>
      <c r="O2292" s="28">
        <f>0.02*M2292</f>
        <v>0</v>
      </c>
      <c r="P2292" s="26">
        <f>0.00035*M2292</f>
        <v>0</v>
      </c>
      <c r="Q2292" s="30"/>
      <c r="R2292" s="22" t="s">
        <v>7953</v>
      </c>
      <c r="S2292" s="22" t="s">
        <v>435</v>
      </c>
      <c r="T2292" s="21" t="str">
        <f>HYPERLINK("https://miland.ru/api/getInfo/image/a4151734-d9f3-11ed-a232-00155d82e902")</f>
        <v>https://miland.ru/api/getInfo/image/a4151734-d9f3-11ed-a232-00155d82e902</v>
      </c>
      <c r="U2292" s="21"/>
      <c r="V2292" s="21"/>
      <c r="W2292" s="21"/>
      <c r="X2292" s="21"/>
      <c r="Y2292" s="21"/>
      <c r="Z2292" s="21"/>
      <c r="AA2292" s="21" t="str">
        <f>HYPERLINK("https://miland.ru/api/getInfo/item/a4151734-d9f3-11ed-a232-00155d82e902")</f>
        <v>https://miland.ru/api/getInfo/item/a4151734-d9f3-11ed-a232-00155d82e902</v>
      </c>
      <c r="AB2292" s="21" t="s">
        <v>50</v>
      </c>
      <c r="AC2292" s="21"/>
      <c r="AD2292" s="21"/>
    </row>
    <row r="2293" spans="2:31" ht="12" customHeight="1" outlineLevel="6">
      <c r="B2293" s="70" t="s">
        <v>7954</v>
      </c>
      <c r="C2293" s="70"/>
      <c r="D2293" s="70"/>
      <c r="E2293" s="70"/>
      <c r="F2293" s="70"/>
      <c r="G2293" s="70"/>
    </row>
    <row r="2294" spans="2:31" s="1" customFormat="1" ht="96.3" customHeight="1" outlineLevel="7">
      <c r="B2294" s="58">
        <v>1781</v>
      </c>
      <c r="C2294" s="7" t="s">
        <v>7955</v>
      </c>
      <c r="D2294" s="71" t="s">
        <v>7956</v>
      </c>
      <c r="E2294" s="71"/>
      <c r="F2294" s="71"/>
      <c r="G2294" s="71"/>
      <c r="H2294" s="8" t="s">
        <v>7957</v>
      </c>
      <c r="I2294" s="9" t="s">
        <v>36</v>
      </c>
      <c r="J2294" s="8"/>
      <c r="K2294" s="6">
        <v>25</v>
      </c>
      <c r="L2294" s="10">
        <v>29.28</v>
      </c>
      <c r="M2294" s="11"/>
      <c r="N2294" s="8">
        <f>L2294*M2294</f>
        <v>0</v>
      </c>
      <c r="O2294" s="8">
        <v>0</v>
      </c>
      <c r="P2294" s="8">
        <v>0</v>
      </c>
      <c r="Q2294" s="17" t="s">
        <v>37</v>
      </c>
      <c r="R2294" s="8" t="s">
        <v>7958</v>
      </c>
      <c r="S2294" s="8"/>
      <c r="T2294" s="7" t="str">
        <f>HYPERLINK("https://miland.ru/api/getInfo/image/2df64c55-3961-11f1-a293-00155d82e908")</f>
        <v>https://miland.ru/api/getInfo/image/2df64c55-3961-11f1-a293-00155d82e908</v>
      </c>
      <c r="U2294" s="7"/>
      <c r="V2294" s="7"/>
      <c r="W2294" s="7" t="s">
        <v>408</v>
      </c>
      <c r="X2294" s="7"/>
      <c r="Y2294" s="7"/>
      <c r="Z2294" s="7"/>
      <c r="AA2294" s="7" t="str">
        <f>HYPERLINK("https://miland.ru/api/getInfo/item/2df64c55-3961-11f1-a293-00155d82e908")</f>
        <v>https://miland.ru/api/getInfo/item/2df64c55-3961-11f1-a293-00155d82e908</v>
      </c>
      <c r="AB2294" s="7" t="s">
        <v>50</v>
      </c>
      <c r="AC2294" s="7"/>
      <c r="AD2294" s="7"/>
      <c r="AE2294" s="54"/>
    </row>
    <row r="2295" spans="2:31" s="1" customFormat="1" ht="96.3" customHeight="1" outlineLevel="7">
      <c r="B2295" s="58">
        <v>1782</v>
      </c>
      <c r="C2295" s="7" t="s">
        <v>7959</v>
      </c>
      <c r="D2295" s="71" t="s">
        <v>7960</v>
      </c>
      <c r="E2295" s="71"/>
      <c r="F2295" s="71"/>
      <c r="G2295" s="71"/>
      <c r="H2295" s="8" t="s">
        <v>7961</v>
      </c>
      <c r="I2295" s="9" t="s">
        <v>36</v>
      </c>
      <c r="J2295" s="8"/>
      <c r="K2295" s="6">
        <v>25</v>
      </c>
      <c r="L2295" s="10">
        <v>29.28</v>
      </c>
      <c r="M2295" s="11"/>
      <c r="N2295" s="8">
        <f>L2295*M2295</f>
        <v>0</v>
      </c>
      <c r="O2295" s="8">
        <v>0</v>
      </c>
      <c r="P2295" s="8">
        <v>0</v>
      </c>
      <c r="Q2295" s="17" t="s">
        <v>37</v>
      </c>
      <c r="R2295" s="8" t="s">
        <v>7962</v>
      </c>
      <c r="S2295" s="8"/>
      <c r="T2295" s="7" t="str">
        <f>HYPERLINK("https://miland.ru/api/getInfo/image/65027de6-3961-11f1-a293-00155d82e908")</f>
        <v>https://miland.ru/api/getInfo/image/65027de6-3961-11f1-a293-00155d82e908</v>
      </c>
      <c r="U2295" s="7"/>
      <c r="V2295" s="7"/>
      <c r="W2295" s="7" t="s">
        <v>408</v>
      </c>
      <c r="X2295" s="7"/>
      <c r="Y2295" s="7"/>
      <c r="Z2295" s="7"/>
      <c r="AA2295" s="7" t="str">
        <f>HYPERLINK("https://miland.ru/api/getInfo/item/65027de6-3961-11f1-a293-00155d82e908")</f>
        <v>https://miland.ru/api/getInfo/item/65027de6-3961-11f1-a293-00155d82e908</v>
      </c>
      <c r="AB2295" s="7" t="s">
        <v>50</v>
      </c>
      <c r="AC2295" s="7"/>
      <c r="AD2295" s="7"/>
      <c r="AE2295" s="54"/>
    </row>
    <row r="2296" spans="2:31" s="1" customFormat="1" ht="96.3" customHeight="1" outlineLevel="7">
      <c r="B2296" s="58">
        <v>1783</v>
      </c>
      <c r="C2296" s="7" t="s">
        <v>7963</v>
      </c>
      <c r="D2296" s="71" t="s">
        <v>7964</v>
      </c>
      <c r="E2296" s="71"/>
      <c r="F2296" s="71"/>
      <c r="G2296" s="71"/>
      <c r="H2296" s="8" t="s">
        <v>7965</v>
      </c>
      <c r="I2296" s="9" t="s">
        <v>36</v>
      </c>
      <c r="J2296" s="8"/>
      <c r="K2296" s="6">
        <v>25</v>
      </c>
      <c r="L2296" s="10">
        <v>29.28</v>
      </c>
      <c r="M2296" s="11"/>
      <c r="N2296" s="8">
        <f>L2296*M2296</f>
        <v>0</v>
      </c>
      <c r="O2296" s="8">
        <v>0</v>
      </c>
      <c r="P2296" s="8">
        <v>0</v>
      </c>
      <c r="Q2296" s="17" t="s">
        <v>37</v>
      </c>
      <c r="R2296" s="8" t="s">
        <v>7966</v>
      </c>
      <c r="S2296" s="8"/>
      <c r="T2296" s="7" t="str">
        <f>HYPERLINK("https://miland.ru/api/getInfo/image/ece258d6-3960-11f1-a293-00155d82e908")</f>
        <v>https://miland.ru/api/getInfo/image/ece258d6-3960-11f1-a293-00155d82e908</v>
      </c>
      <c r="U2296" s="7"/>
      <c r="V2296" s="7"/>
      <c r="W2296" s="7" t="s">
        <v>408</v>
      </c>
      <c r="X2296" s="7"/>
      <c r="Y2296" s="7"/>
      <c r="Z2296" s="7"/>
      <c r="AA2296" s="7" t="str">
        <f>HYPERLINK("https://miland.ru/api/getInfo/item/ece258d6-3960-11f1-a293-00155d82e908")</f>
        <v>https://miland.ru/api/getInfo/item/ece258d6-3960-11f1-a293-00155d82e908</v>
      </c>
      <c r="AB2296" s="7" t="s">
        <v>50</v>
      </c>
      <c r="AC2296" s="7"/>
      <c r="AD2296" s="7"/>
      <c r="AE2296" s="54"/>
    </row>
    <row r="2297" spans="2:31" s="1" customFormat="1" ht="96.3" customHeight="1" outlineLevel="7">
      <c r="B2297" s="58">
        <v>1784</v>
      </c>
      <c r="C2297" s="7" t="s">
        <v>7967</v>
      </c>
      <c r="D2297" s="71" t="s">
        <v>7968</v>
      </c>
      <c r="E2297" s="71"/>
      <c r="F2297" s="71"/>
      <c r="G2297" s="71"/>
      <c r="H2297" s="8" t="s">
        <v>7969</v>
      </c>
      <c r="I2297" s="9" t="s">
        <v>36</v>
      </c>
      <c r="J2297" s="8"/>
      <c r="K2297" s="6">
        <v>25</v>
      </c>
      <c r="L2297" s="10">
        <v>29.28</v>
      </c>
      <c r="M2297" s="11"/>
      <c r="N2297" s="8">
        <f>L2297*M2297</f>
        <v>0</v>
      </c>
      <c r="O2297" s="8">
        <v>0</v>
      </c>
      <c r="P2297" s="8">
        <v>0</v>
      </c>
      <c r="Q2297" s="17" t="s">
        <v>37</v>
      </c>
      <c r="R2297" s="8" t="s">
        <v>7970</v>
      </c>
      <c r="S2297" s="8"/>
      <c r="T2297" s="7" t="str">
        <f>HYPERLINK("https://miland.ru/api/getInfo/image/54430bec-3961-11f1-a293-00155d82e908")</f>
        <v>https://miland.ru/api/getInfo/image/54430bec-3961-11f1-a293-00155d82e908</v>
      </c>
      <c r="U2297" s="7"/>
      <c r="V2297" s="7"/>
      <c r="W2297" s="7" t="s">
        <v>408</v>
      </c>
      <c r="X2297" s="7"/>
      <c r="Y2297" s="7"/>
      <c r="Z2297" s="7"/>
      <c r="AA2297" s="7" t="str">
        <f>HYPERLINK("https://miland.ru/api/getInfo/item/54430bec-3961-11f1-a293-00155d82e908")</f>
        <v>https://miland.ru/api/getInfo/item/54430bec-3961-11f1-a293-00155d82e908</v>
      </c>
      <c r="AB2297" s="7" t="s">
        <v>50</v>
      </c>
      <c r="AC2297" s="7"/>
      <c r="AD2297" s="7"/>
      <c r="AE2297" s="54"/>
    </row>
    <row r="2298" spans="2:31" s="1" customFormat="1" ht="96.3" customHeight="1" outlineLevel="7">
      <c r="B2298" s="58">
        <v>1785</v>
      </c>
      <c r="C2298" s="7" t="s">
        <v>7971</v>
      </c>
      <c r="D2298" s="71" t="s">
        <v>7972</v>
      </c>
      <c r="E2298" s="71"/>
      <c r="F2298" s="71"/>
      <c r="G2298" s="71"/>
      <c r="H2298" s="8" t="s">
        <v>7973</v>
      </c>
      <c r="I2298" s="9" t="s">
        <v>36</v>
      </c>
      <c r="J2298" s="8"/>
      <c r="K2298" s="6">
        <v>25</v>
      </c>
      <c r="L2298" s="10">
        <v>29.28</v>
      </c>
      <c r="M2298" s="11"/>
      <c r="N2298" s="8">
        <f>L2298*M2298</f>
        <v>0</v>
      </c>
      <c r="O2298" s="8">
        <v>0</v>
      </c>
      <c r="P2298" s="8">
        <v>0</v>
      </c>
      <c r="Q2298" s="17" t="s">
        <v>37</v>
      </c>
      <c r="R2298" s="8" t="s">
        <v>7974</v>
      </c>
      <c r="S2298" s="8"/>
      <c r="T2298" s="7" t="str">
        <f>HYPERLINK("https://miland.ru/api/getInfo/image/7c648cd3-3961-11f1-a293-00155d82e908")</f>
        <v>https://miland.ru/api/getInfo/image/7c648cd3-3961-11f1-a293-00155d82e908</v>
      </c>
      <c r="U2298" s="7"/>
      <c r="V2298" s="7"/>
      <c r="W2298" s="7" t="s">
        <v>408</v>
      </c>
      <c r="X2298" s="7"/>
      <c r="Y2298" s="7"/>
      <c r="Z2298" s="7"/>
      <c r="AA2298" s="7" t="str">
        <f>HYPERLINK("https://miland.ru/api/getInfo/item/7c648cd3-3961-11f1-a293-00155d82e908")</f>
        <v>https://miland.ru/api/getInfo/item/7c648cd3-3961-11f1-a293-00155d82e908</v>
      </c>
      <c r="AB2298" s="7" t="s">
        <v>50</v>
      </c>
      <c r="AC2298" s="7"/>
      <c r="AD2298" s="7"/>
      <c r="AE2298" s="54"/>
    </row>
    <row r="2299" spans="2:31" ht="12" customHeight="1" outlineLevel="6">
      <c r="B2299" s="70" t="s">
        <v>7975</v>
      </c>
      <c r="C2299" s="70"/>
      <c r="D2299" s="70"/>
      <c r="E2299" s="70"/>
      <c r="F2299" s="70"/>
      <c r="G2299" s="70"/>
    </row>
    <row r="2300" spans="2:31" s="1" customFormat="1" ht="96.3" customHeight="1" outlineLevel="7">
      <c r="B2300" s="58">
        <v>1786</v>
      </c>
      <c r="C2300" s="7" t="s">
        <v>7976</v>
      </c>
      <c r="D2300" s="71" t="s">
        <v>7977</v>
      </c>
      <c r="E2300" s="71"/>
      <c r="F2300" s="71"/>
      <c r="G2300" s="71"/>
      <c r="H2300" s="8" t="s">
        <v>7978</v>
      </c>
      <c r="I2300" s="14">
        <v>100</v>
      </c>
      <c r="J2300" s="8"/>
      <c r="K2300" s="6">
        <v>50</v>
      </c>
      <c r="L2300" s="10">
        <v>31.22</v>
      </c>
      <c r="M2300" s="11"/>
      <c r="N2300" s="8">
        <f t="shared" ref="N2300:N2308" si="109">L2300*M2300</f>
        <v>0</v>
      </c>
      <c r="O2300" s="12">
        <f>0.022*M2300</f>
        <v>0</v>
      </c>
      <c r="P2300" s="13">
        <f>0.00051*M2300</f>
        <v>0</v>
      </c>
      <c r="Q2300" s="17" t="s">
        <v>37</v>
      </c>
      <c r="R2300" s="8" t="s">
        <v>7979</v>
      </c>
      <c r="S2300" s="8"/>
      <c r="T2300" s="7" t="str">
        <f>HYPERLINK("https://miland.ru/api/getInfo/image/83eb2ffb-3331-11f1-a292-00155d82e908")</f>
        <v>https://miland.ru/api/getInfo/image/83eb2ffb-3331-11f1-a292-00155d82e908</v>
      </c>
      <c r="U2300" s="7"/>
      <c r="V2300" s="7"/>
      <c r="W2300" s="7" t="s">
        <v>408</v>
      </c>
      <c r="X2300" s="7"/>
      <c r="Y2300" s="7"/>
      <c r="Z2300" s="7"/>
      <c r="AA2300" s="7" t="str">
        <f>HYPERLINK("https://miland.ru/api/getInfo/item/83eb2ffb-3331-11f1-a292-00155d82e908")</f>
        <v>https://miland.ru/api/getInfo/item/83eb2ffb-3331-11f1-a292-00155d82e908</v>
      </c>
      <c r="AB2300" s="7" t="s">
        <v>50</v>
      </c>
      <c r="AC2300" s="7"/>
      <c r="AD2300" s="7"/>
      <c r="AE2300" s="54"/>
    </row>
    <row r="2301" spans="2:31" s="1" customFormat="1" ht="96.3" customHeight="1" outlineLevel="7">
      <c r="B2301" s="58">
        <v>1787</v>
      </c>
      <c r="C2301" s="7" t="s">
        <v>7980</v>
      </c>
      <c r="D2301" s="71" t="s">
        <v>7981</v>
      </c>
      <c r="E2301" s="71"/>
      <c r="F2301" s="71"/>
      <c r="G2301" s="71"/>
      <c r="H2301" s="8" t="s">
        <v>7982</v>
      </c>
      <c r="I2301" s="9" t="s">
        <v>36</v>
      </c>
      <c r="J2301" s="8"/>
      <c r="K2301" s="6">
        <v>50</v>
      </c>
      <c r="L2301" s="10">
        <v>25.61</v>
      </c>
      <c r="M2301" s="11"/>
      <c r="N2301" s="8">
        <f t="shared" si="109"/>
        <v>0</v>
      </c>
      <c r="O2301" s="12">
        <f>0.022*M2301</f>
        <v>0</v>
      </c>
      <c r="P2301" s="13">
        <f>0.00051*M2301</f>
        <v>0</v>
      </c>
      <c r="Q2301" s="17" t="s">
        <v>37</v>
      </c>
      <c r="R2301" s="8" t="s">
        <v>7983</v>
      </c>
      <c r="S2301" s="8"/>
      <c r="T2301" s="7" t="str">
        <f>HYPERLINK("https://miland.ru/api/getInfo/image/5f5632da-3331-11f1-a292-00155d82e908")</f>
        <v>https://miland.ru/api/getInfo/image/5f5632da-3331-11f1-a292-00155d82e908</v>
      </c>
      <c r="U2301" s="7"/>
      <c r="V2301" s="7"/>
      <c r="W2301" s="7" t="s">
        <v>408</v>
      </c>
      <c r="X2301" s="7"/>
      <c r="Y2301" s="7"/>
      <c r="Z2301" s="7"/>
      <c r="AA2301" s="7" t="str">
        <f>HYPERLINK("https://miland.ru/api/getInfo/item/5f5632da-3331-11f1-a292-00155d82e908")</f>
        <v>https://miland.ru/api/getInfo/item/5f5632da-3331-11f1-a292-00155d82e908</v>
      </c>
      <c r="AB2301" s="7" t="s">
        <v>50</v>
      </c>
      <c r="AC2301" s="7"/>
      <c r="AD2301" s="7"/>
      <c r="AE2301" s="54"/>
    </row>
    <row r="2302" spans="2:31" s="1" customFormat="1" ht="96.3" customHeight="1" outlineLevel="7">
      <c r="B2302" s="58">
        <v>1788</v>
      </c>
      <c r="C2302" s="7" t="s">
        <v>7984</v>
      </c>
      <c r="D2302" s="71" t="s">
        <v>7985</v>
      </c>
      <c r="E2302" s="71"/>
      <c r="F2302" s="71"/>
      <c r="G2302" s="71"/>
      <c r="H2302" s="8" t="s">
        <v>7986</v>
      </c>
      <c r="I2302" s="9" t="s">
        <v>36</v>
      </c>
      <c r="J2302" s="8"/>
      <c r="K2302" s="6">
        <v>50</v>
      </c>
      <c r="L2302" s="10">
        <v>31.22</v>
      </c>
      <c r="M2302" s="11"/>
      <c r="N2302" s="8">
        <f t="shared" si="109"/>
        <v>0</v>
      </c>
      <c r="O2302" s="18">
        <f>0.02*M2302</f>
        <v>0</v>
      </c>
      <c r="P2302" s="13">
        <f>0.00051*M2302</f>
        <v>0</v>
      </c>
      <c r="Q2302" s="17" t="s">
        <v>37</v>
      </c>
      <c r="R2302" s="8" t="s">
        <v>7987</v>
      </c>
      <c r="S2302" s="8"/>
      <c r="T2302" s="7" t="str">
        <f>HYPERLINK("https://miland.ru/api/getInfo/image/960ca2b4-3331-11f1-a292-00155d82e908")</f>
        <v>https://miland.ru/api/getInfo/image/960ca2b4-3331-11f1-a292-00155d82e908</v>
      </c>
      <c r="U2302" s="7"/>
      <c r="V2302" s="7"/>
      <c r="W2302" s="7" t="s">
        <v>408</v>
      </c>
      <c r="X2302" s="7"/>
      <c r="Y2302" s="7"/>
      <c r="Z2302" s="7"/>
      <c r="AA2302" s="7" t="str">
        <f>HYPERLINK("https://miland.ru/api/getInfo/item/960ca2b4-3331-11f1-a292-00155d82e908")</f>
        <v>https://miland.ru/api/getInfo/item/960ca2b4-3331-11f1-a292-00155d82e908</v>
      </c>
      <c r="AB2302" s="7" t="s">
        <v>50</v>
      </c>
      <c r="AC2302" s="7"/>
      <c r="AD2302" s="7"/>
      <c r="AE2302" s="54"/>
    </row>
    <row r="2303" spans="2:31" s="1" customFormat="1" ht="96.3" customHeight="1" outlineLevel="7">
      <c r="B2303" s="57">
        <v>1789</v>
      </c>
      <c r="C2303" s="21" t="s">
        <v>7988</v>
      </c>
      <c r="D2303" s="72" t="s">
        <v>7989</v>
      </c>
      <c r="E2303" s="72"/>
      <c r="F2303" s="72"/>
      <c r="G2303" s="72"/>
      <c r="H2303" s="22" t="s">
        <v>7990</v>
      </c>
      <c r="I2303" s="23" t="s">
        <v>36</v>
      </c>
      <c r="J2303" s="22"/>
      <c r="K2303" s="20">
        <v>50</v>
      </c>
      <c r="L2303" s="24">
        <v>25.61</v>
      </c>
      <c r="M2303" s="11"/>
      <c r="N2303" s="22">
        <f t="shared" si="109"/>
        <v>0</v>
      </c>
      <c r="O2303" s="25">
        <f>0.021*M2303</f>
        <v>0</v>
      </c>
      <c r="P2303" s="26">
        <f>0.00034*M2303</f>
        <v>0</v>
      </c>
      <c r="Q2303" s="30"/>
      <c r="R2303" s="22" t="s">
        <v>7991</v>
      </c>
      <c r="S2303" s="22"/>
      <c r="T2303" s="21" t="str">
        <f>HYPERLINK("https://miland.ru/api/getInfo/image/ef870e6d-02e2-11ef-a25d-00155d82e908")</f>
        <v>https://miland.ru/api/getInfo/image/ef870e6d-02e2-11ef-a25d-00155d82e908</v>
      </c>
      <c r="U2303" s="21"/>
      <c r="V2303" s="21"/>
      <c r="W2303" s="21" t="s">
        <v>408</v>
      </c>
      <c r="X2303" s="21"/>
      <c r="Y2303" s="21"/>
      <c r="Z2303" s="21"/>
      <c r="AA2303" s="21" t="str">
        <f>HYPERLINK("https://miland.ru/api/getInfo/item/ef870e6d-02e2-11ef-a25d-00155d82e908")</f>
        <v>https://miland.ru/api/getInfo/item/ef870e6d-02e2-11ef-a25d-00155d82e908</v>
      </c>
      <c r="AB2303" s="21" t="s">
        <v>50</v>
      </c>
      <c r="AC2303" s="21" t="s">
        <v>7992</v>
      </c>
      <c r="AD2303" s="21"/>
    </row>
    <row r="2304" spans="2:31" s="1" customFormat="1" ht="96.3" customHeight="1" outlineLevel="7">
      <c r="B2304" s="58">
        <v>1790</v>
      </c>
      <c r="C2304" s="7" t="s">
        <v>7993</v>
      </c>
      <c r="D2304" s="71" t="s">
        <v>7994</v>
      </c>
      <c r="E2304" s="71"/>
      <c r="F2304" s="71"/>
      <c r="G2304" s="71"/>
      <c r="H2304" s="8" t="s">
        <v>7995</v>
      </c>
      <c r="I2304" s="14">
        <v>350</v>
      </c>
      <c r="J2304" s="8"/>
      <c r="K2304" s="6">
        <v>50</v>
      </c>
      <c r="L2304" s="10">
        <v>25.61</v>
      </c>
      <c r="M2304" s="11"/>
      <c r="N2304" s="8">
        <f t="shared" si="109"/>
        <v>0</v>
      </c>
      <c r="O2304" s="12">
        <f>0.022*M2304</f>
        <v>0</v>
      </c>
      <c r="P2304" s="13">
        <f>0.00051*M2304</f>
        <v>0</v>
      </c>
      <c r="Q2304" s="17" t="s">
        <v>37</v>
      </c>
      <c r="R2304" s="8" t="s">
        <v>7996</v>
      </c>
      <c r="S2304" s="8"/>
      <c r="T2304" s="7" t="str">
        <f>HYPERLINK("https://miland.ru/api/getInfo/image/73199663-3331-11f1-a292-00155d82e908")</f>
        <v>https://miland.ru/api/getInfo/image/73199663-3331-11f1-a292-00155d82e908</v>
      </c>
      <c r="U2304" s="7"/>
      <c r="V2304" s="7"/>
      <c r="W2304" s="7" t="s">
        <v>408</v>
      </c>
      <c r="X2304" s="7"/>
      <c r="Y2304" s="7"/>
      <c r="Z2304" s="7"/>
      <c r="AA2304" s="7" t="str">
        <f>HYPERLINK("https://miland.ru/api/getInfo/item/73199663-3331-11f1-a292-00155d82e908")</f>
        <v>https://miland.ru/api/getInfo/item/73199663-3331-11f1-a292-00155d82e908</v>
      </c>
      <c r="AB2304" s="7" t="s">
        <v>50</v>
      </c>
      <c r="AC2304" s="7"/>
      <c r="AD2304" s="7"/>
      <c r="AE2304" s="54"/>
    </row>
    <row r="2305" spans="2:31" s="1" customFormat="1" ht="96.3" customHeight="1" outlineLevel="7">
      <c r="B2305" s="57">
        <v>1791</v>
      </c>
      <c r="C2305" s="21" t="s">
        <v>7997</v>
      </c>
      <c r="D2305" s="72" t="s">
        <v>7998</v>
      </c>
      <c r="E2305" s="72"/>
      <c r="F2305" s="72"/>
      <c r="G2305" s="72"/>
      <c r="H2305" s="22" t="s">
        <v>7999</v>
      </c>
      <c r="I2305" s="23" t="s">
        <v>36</v>
      </c>
      <c r="J2305" s="22"/>
      <c r="K2305" s="20">
        <v>50</v>
      </c>
      <c r="L2305" s="24">
        <v>31.22</v>
      </c>
      <c r="M2305" s="11"/>
      <c r="N2305" s="22">
        <f t="shared" si="109"/>
        <v>0</v>
      </c>
      <c r="O2305" s="25">
        <f>0.058*M2305</f>
        <v>0</v>
      </c>
      <c r="P2305" s="26">
        <f>0.00052*M2305</f>
        <v>0</v>
      </c>
      <c r="Q2305" s="30"/>
      <c r="R2305" s="22" t="s">
        <v>8000</v>
      </c>
      <c r="S2305" s="22"/>
      <c r="T2305" s="21" t="str">
        <f>HYPERLINK("https://miland.ru/api/getInfo/image/1c5b36aa-1c4d-11f0-a279-00155d82e908")</f>
        <v>https://miland.ru/api/getInfo/image/1c5b36aa-1c4d-11f0-a279-00155d82e908</v>
      </c>
      <c r="U2305" s="21"/>
      <c r="V2305" s="21"/>
      <c r="W2305" s="21" t="s">
        <v>408</v>
      </c>
      <c r="X2305" s="21"/>
      <c r="Y2305" s="21"/>
      <c r="Z2305" s="21"/>
      <c r="AA2305" s="21" t="str">
        <f>HYPERLINK("https://miland.ru/api/getInfo/item/1c5b36aa-1c4d-11f0-a279-00155d82e908")</f>
        <v>https://miland.ru/api/getInfo/item/1c5b36aa-1c4d-11f0-a279-00155d82e908</v>
      </c>
      <c r="AB2305" s="21" t="s">
        <v>50</v>
      </c>
      <c r="AC2305" s="21"/>
      <c r="AD2305" s="21"/>
    </row>
    <row r="2306" spans="2:31" s="1" customFormat="1" ht="96.3" customHeight="1" outlineLevel="7">
      <c r="B2306" s="57">
        <v>1792</v>
      </c>
      <c r="C2306" s="21" t="s">
        <v>8001</v>
      </c>
      <c r="D2306" s="72" t="s">
        <v>8002</v>
      </c>
      <c r="E2306" s="72"/>
      <c r="F2306" s="72"/>
      <c r="G2306" s="72"/>
      <c r="H2306" s="22" t="s">
        <v>8003</v>
      </c>
      <c r="I2306" s="23" t="s">
        <v>36</v>
      </c>
      <c r="J2306" s="22"/>
      <c r="K2306" s="20">
        <v>50</v>
      </c>
      <c r="L2306" s="24">
        <v>31.22</v>
      </c>
      <c r="M2306" s="11"/>
      <c r="N2306" s="22">
        <f t="shared" si="109"/>
        <v>0</v>
      </c>
      <c r="O2306" s="25">
        <f>0.021*M2306</f>
        <v>0</v>
      </c>
      <c r="P2306" s="26">
        <f>0.00034*M2306</f>
        <v>0</v>
      </c>
      <c r="Q2306" s="30"/>
      <c r="R2306" s="22" t="s">
        <v>8004</v>
      </c>
      <c r="S2306" s="22"/>
      <c r="T2306" s="21" t="str">
        <f>HYPERLINK("https://miland.ru/api/getInfo/image/95ab2b98-1c4d-11f0-a279-00155d82e908")</f>
        <v>https://miland.ru/api/getInfo/image/95ab2b98-1c4d-11f0-a279-00155d82e908</v>
      </c>
      <c r="U2306" s="21"/>
      <c r="V2306" s="21"/>
      <c r="W2306" s="21" t="s">
        <v>408</v>
      </c>
      <c r="X2306" s="21"/>
      <c r="Y2306" s="21"/>
      <c r="Z2306" s="21"/>
      <c r="AA2306" s="21" t="str">
        <f>HYPERLINK("https://miland.ru/api/getInfo/item/95ab2b98-1c4d-11f0-a279-00155d82e908")</f>
        <v>https://miland.ru/api/getInfo/item/95ab2b98-1c4d-11f0-a279-00155d82e908</v>
      </c>
      <c r="AB2306" s="21" t="s">
        <v>50</v>
      </c>
      <c r="AC2306" s="21"/>
      <c r="AD2306" s="21"/>
    </row>
    <row r="2307" spans="2:31" s="1" customFormat="1" ht="96.3" customHeight="1" outlineLevel="7">
      <c r="B2307" s="57">
        <v>1793</v>
      </c>
      <c r="C2307" s="21" t="s">
        <v>8005</v>
      </c>
      <c r="D2307" s="72" t="s">
        <v>8006</v>
      </c>
      <c r="E2307" s="72"/>
      <c r="F2307" s="72"/>
      <c r="G2307" s="72"/>
      <c r="H2307" s="22" t="s">
        <v>8007</v>
      </c>
      <c r="I2307" s="23" t="s">
        <v>36</v>
      </c>
      <c r="J2307" s="22"/>
      <c r="K2307" s="20">
        <v>50</v>
      </c>
      <c r="L2307" s="24">
        <v>25.61</v>
      </c>
      <c r="M2307" s="11"/>
      <c r="N2307" s="22">
        <f t="shared" si="109"/>
        <v>0</v>
      </c>
      <c r="O2307" s="25">
        <f>0.021*M2307</f>
        <v>0</v>
      </c>
      <c r="P2307" s="26">
        <f>0.00034*M2307</f>
        <v>0</v>
      </c>
      <c r="Q2307" s="30"/>
      <c r="R2307" s="22" t="s">
        <v>8008</v>
      </c>
      <c r="S2307" s="22"/>
      <c r="T2307" s="21" t="str">
        <f>HYPERLINK("https://miland.ru/api/getInfo/image/4a651bf1-1c4a-11f0-a279-00155d82e908")</f>
        <v>https://miland.ru/api/getInfo/image/4a651bf1-1c4a-11f0-a279-00155d82e908</v>
      </c>
      <c r="U2307" s="21"/>
      <c r="V2307" s="21"/>
      <c r="W2307" s="21" t="s">
        <v>408</v>
      </c>
      <c r="X2307" s="21"/>
      <c r="Y2307" s="21"/>
      <c r="Z2307" s="21"/>
      <c r="AA2307" s="21" t="str">
        <f>HYPERLINK("https://miland.ru/api/getInfo/item/4a651bf1-1c4a-11f0-a279-00155d82e908")</f>
        <v>https://miland.ru/api/getInfo/item/4a651bf1-1c4a-11f0-a279-00155d82e908</v>
      </c>
      <c r="AB2307" s="21" t="s">
        <v>50</v>
      </c>
      <c r="AC2307" s="21"/>
      <c r="AD2307" s="21"/>
    </row>
    <row r="2308" spans="2:31" s="1" customFormat="1" ht="96.3" customHeight="1" outlineLevel="7">
      <c r="B2308" s="57">
        <v>1794</v>
      </c>
      <c r="C2308" s="21" t="s">
        <v>8009</v>
      </c>
      <c r="D2308" s="72" t="s">
        <v>8010</v>
      </c>
      <c r="E2308" s="72"/>
      <c r="F2308" s="72"/>
      <c r="G2308" s="72"/>
      <c r="H2308" s="22" t="s">
        <v>8011</v>
      </c>
      <c r="I2308" s="23" t="s">
        <v>36</v>
      </c>
      <c r="J2308" s="22"/>
      <c r="K2308" s="20">
        <v>50</v>
      </c>
      <c r="L2308" s="24">
        <v>24.21</v>
      </c>
      <c r="M2308" s="11"/>
      <c r="N2308" s="22">
        <f t="shared" si="109"/>
        <v>0</v>
      </c>
      <c r="O2308" s="25">
        <f>0.023*M2308</f>
        <v>0</v>
      </c>
      <c r="P2308" s="26">
        <f>0.00087*M2308</f>
        <v>0</v>
      </c>
      <c r="Q2308" s="30"/>
      <c r="R2308" s="22" t="s">
        <v>8012</v>
      </c>
      <c r="S2308" s="22" t="s">
        <v>435</v>
      </c>
      <c r="T2308" s="21" t="str">
        <f>HYPERLINK("https://miland.ru/api/getInfo/image/6826b3ab-1c4b-11f0-a279-00155d82e908")</f>
        <v>https://miland.ru/api/getInfo/image/6826b3ab-1c4b-11f0-a279-00155d82e908</v>
      </c>
      <c r="U2308" s="21"/>
      <c r="V2308" s="21"/>
      <c r="W2308" s="21" t="s">
        <v>408</v>
      </c>
      <c r="X2308" s="21"/>
      <c r="Y2308" s="21"/>
      <c r="Z2308" s="21"/>
      <c r="AA2308" s="21" t="str">
        <f>HYPERLINK("https://miland.ru/api/getInfo/item/6826b3ab-1c4b-11f0-a279-00155d82e908")</f>
        <v>https://miland.ru/api/getInfo/item/6826b3ab-1c4b-11f0-a279-00155d82e908</v>
      </c>
      <c r="AB2308" s="21" t="s">
        <v>50</v>
      </c>
      <c r="AC2308" s="21"/>
      <c r="AD2308" s="21"/>
    </row>
    <row r="2309" spans="2:31" ht="12" customHeight="1" outlineLevel="5">
      <c r="B2309" s="70" t="s">
        <v>8013</v>
      </c>
      <c r="C2309" s="70"/>
      <c r="D2309" s="70"/>
      <c r="E2309" s="70"/>
      <c r="F2309" s="70"/>
      <c r="G2309" s="70"/>
    </row>
    <row r="2310" spans="2:31" ht="12" customHeight="1" outlineLevel="6">
      <c r="B2310" s="70" t="s">
        <v>8014</v>
      </c>
      <c r="C2310" s="70"/>
      <c r="D2310" s="70"/>
      <c r="E2310" s="70"/>
      <c r="F2310" s="70"/>
      <c r="G2310" s="70"/>
    </row>
    <row r="2311" spans="2:31" s="1" customFormat="1" ht="96.3" customHeight="1" outlineLevel="7">
      <c r="B2311" s="57">
        <v>1795</v>
      </c>
      <c r="C2311" s="21" t="s">
        <v>8015</v>
      </c>
      <c r="D2311" s="72" t="s">
        <v>8016</v>
      </c>
      <c r="E2311" s="72"/>
      <c r="F2311" s="72"/>
      <c r="G2311" s="72"/>
      <c r="H2311" s="22" t="s">
        <v>8017</v>
      </c>
      <c r="I2311" s="23" t="s">
        <v>36</v>
      </c>
      <c r="J2311" s="22"/>
      <c r="K2311" s="20">
        <v>50</v>
      </c>
      <c r="L2311" s="24">
        <v>14.44</v>
      </c>
      <c r="M2311" s="11"/>
      <c r="N2311" s="22">
        <f>L2311*M2311</f>
        <v>0</v>
      </c>
      <c r="O2311" s="25">
        <f>0.011*M2311</f>
        <v>0</v>
      </c>
      <c r="P2311" s="26">
        <f>0.00022*M2311</f>
        <v>0</v>
      </c>
      <c r="Q2311" s="30"/>
      <c r="R2311" s="22" t="s">
        <v>8018</v>
      </c>
      <c r="S2311" s="22"/>
      <c r="T2311" s="21" t="str">
        <f>HYPERLINK("https://miland.ru/api/getInfo/image/8f40e588-1c4e-11f0-a279-00155d82e908")</f>
        <v>https://miland.ru/api/getInfo/image/8f40e588-1c4e-11f0-a279-00155d82e908</v>
      </c>
      <c r="U2311" s="21"/>
      <c r="V2311" s="21"/>
      <c r="W2311" s="21"/>
      <c r="X2311" s="21"/>
      <c r="Y2311" s="21"/>
      <c r="Z2311" s="21"/>
      <c r="AA2311" s="21" t="str">
        <f>HYPERLINK("https://miland.ru/api/getInfo/item/8f40e588-1c4e-11f0-a279-00155d82e908")</f>
        <v>https://miland.ru/api/getInfo/item/8f40e588-1c4e-11f0-a279-00155d82e908</v>
      </c>
      <c r="AB2311" s="21" t="s">
        <v>50</v>
      </c>
      <c r="AC2311" s="21"/>
      <c r="AD2311" s="21"/>
    </row>
    <row r="2312" spans="2:31" s="1" customFormat="1" ht="96.3" customHeight="1" outlineLevel="7">
      <c r="B2312" s="57">
        <v>1796</v>
      </c>
      <c r="C2312" s="21" t="s">
        <v>8019</v>
      </c>
      <c r="D2312" s="72" t="s">
        <v>8020</v>
      </c>
      <c r="E2312" s="72"/>
      <c r="F2312" s="72"/>
      <c r="G2312" s="72"/>
      <c r="H2312" s="22" t="s">
        <v>8021</v>
      </c>
      <c r="I2312" s="23" t="s">
        <v>36</v>
      </c>
      <c r="J2312" s="22"/>
      <c r="K2312" s="20">
        <v>50</v>
      </c>
      <c r="L2312" s="24">
        <v>14.44</v>
      </c>
      <c r="M2312" s="11"/>
      <c r="N2312" s="22">
        <f>L2312*M2312</f>
        <v>0</v>
      </c>
      <c r="O2312" s="25">
        <f>0.013*M2312</f>
        <v>0</v>
      </c>
      <c r="P2312" s="29">
        <f>0.0003*M2312</f>
        <v>0</v>
      </c>
      <c r="Q2312" s="30"/>
      <c r="R2312" s="22" t="s">
        <v>8022</v>
      </c>
      <c r="S2312" s="22"/>
      <c r="T2312" s="21" t="str">
        <f>HYPERLINK("https://miland.ru/api/getInfo/image/dd0cc579-bc01-11ec-a211-ac1f6b442185")</f>
        <v>https://miland.ru/api/getInfo/image/dd0cc579-bc01-11ec-a211-ac1f6b442185</v>
      </c>
      <c r="U2312" s="21"/>
      <c r="V2312" s="21"/>
      <c r="W2312" s="21" t="s">
        <v>82</v>
      </c>
      <c r="X2312" s="21"/>
      <c r="Y2312" s="21"/>
      <c r="Z2312" s="21"/>
      <c r="AA2312" s="21" t="str">
        <f>HYPERLINK("https://miland.ru/api/getInfo/item/dd0cc579-bc01-11ec-a211-ac1f6b442185")</f>
        <v>https://miland.ru/api/getInfo/item/dd0cc579-bc01-11ec-a211-ac1f6b442185</v>
      </c>
      <c r="AB2312" s="21" t="s">
        <v>50</v>
      </c>
      <c r="AC2312" s="21" t="s">
        <v>8023</v>
      </c>
      <c r="AD2312" s="21"/>
    </row>
    <row r="2313" spans="2:31" ht="12" customHeight="1" outlineLevel="6">
      <c r="B2313" s="70" t="s">
        <v>8024</v>
      </c>
      <c r="C2313" s="70"/>
      <c r="D2313" s="70"/>
      <c r="E2313" s="70"/>
      <c r="F2313" s="70"/>
      <c r="G2313" s="70"/>
    </row>
    <row r="2314" spans="2:31" s="1" customFormat="1" ht="96.3" customHeight="1" outlineLevel="7">
      <c r="B2314" s="57">
        <v>1797</v>
      </c>
      <c r="C2314" s="21" t="s">
        <v>8025</v>
      </c>
      <c r="D2314" s="72" t="s">
        <v>8026</v>
      </c>
      <c r="E2314" s="72"/>
      <c r="F2314" s="72"/>
      <c r="G2314" s="72"/>
      <c r="H2314" s="22" t="s">
        <v>8027</v>
      </c>
      <c r="I2314" s="23" t="s">
        <v>36</v>
      </c>
      <c r="J2314" s="22"/>
      <c r="K2314" s="20">
        <v>50</v>
      </c>
      <c r="L2314" s="24">
        <v>21.9</v>
      </c>
      <c r="M2314" s="11"/>
      <c r="N2314" s="22">
        <f>L2314*M2314</f>
        <v>0</v>
      </c>
      <c r="O2314" s="25">
        <f>0.002*M2314</f>
        <v>0</v>
      </c>
      <c r="P2314" s="26">
        <f>0.00033*M2314</f>
        <v>0</v>
      </c>
      <c r="Q2314" s="30"/>
      <c r="R2314" s="22" t="s">
        <v>8028</v>
      </c>
      <c r="S2314" s="22"/>
      <c r="T2314" s="21" t="str">
        <f>HYPERLINK("https://miland.ru/api/getInfo/image/54b0458a-1c50-11f0-a279-00155d82e908")</f>
        <v>https://miland.ru/api/getInfo/image/54b0458a-1c50-11f0-a279-00155d82e908</v>
      </c>
      <c r="U2314" s="21"/>
      <c r="V2314" s="21"/>
      <c r="W2314" s="21" t="s">
        <v>408</v>
      </c>
      <c r="X2314" s="21"/>
      <c r="Y2314" s="21"/>
      <c r="Z2314" s="21"/>
      <c r="AA2314" s="21" t="str">
        <f>HYPERLINK("https://miland.ru/api/getInfo/item/54b0458a-1c50-11f0-a279-00155d82e908")</f>
        <v>https://miland.ru/api/getInfo/item/54b0458a-1c50-11f0-a279-00155d82e908</v>
      </c>
      <c r="AB2314" s="21" t="s">
        <v>50</v>
      </c>
      <c r="AC2314" s="21"/>
      <c r="AD2314" s="21"/>
    </row>
    <row r="2315" spans="2:31" s="1" customFormat="1" ht="96.3" customHeight="1" outlineLevel="7">
      <c r="B2315" s="58">
        <v>1798</v>
      </c>
      <c r="C2315" s="7" t="s">
        <v>8029</v>
      </c>
      <c r="D2315" s="71" t="s">
        <v>8030</v>
      </c>
      <c r="E2315" s="71"/>
      <c r="F2315" s="71"/>
      <c r="G2315" s="71"/>
      <c r="H2315" s="8" t="s">
        <v>8031</v>
      </c>
      <c r="I2315" s="14">
        <v>250</v>
      </c>
      <c r="J2315" s="8"/>
      <c r="K2315" s="6">
        <v>50</v>
      </c>
      <c r="L2315" s="10">
        <v>16.690000000000001</v>
      </c>
      <c r="M2315" s="11"/>
      <c r="N2315" s="8">
        <f>L2315*M2315</f>
        <v>0</v>
      </c>
      <c r="O2315" s="12">
        <f>0.014*M2315</f>
        <v>0</v>
      </c>
      <c r="P2315" s="13">
        <f>0.00048*M2315</f>
        <v>0</v>
      </c>
      <c r="Q2315" s="17" t="s">
        <v>37</v>
      </c>
      <c r="R2315" s="8" t="s">
        <v>8032</v>
      </c>
      <c r="S2315" s="8"/>
      <c r="T2315" s="7" t="str">
        <f>HYPERLINK("https://miland.ru/api/getInfo/image/e2bbceee-3339-11f1-a292-00155d82e908")</f>
        <v>https://miland.ru/api/getInfo/image/e2bbceee-3339-11f1-a292-00155d82e908</v>
      </c>
      <c r="U2315" s="7"/>
      <c r="V2315" s="7"/>
      <c r="W2315" s="7" t="s">
        <v>408</v>
      </c>
      <c r="X2315" s="7"/>
      <c r="Y2315" s="7"/>
      <c r="Z2315" s="7"/>
      <c r="AA2315" s="7" t="str">
        <f>HYPERLINK("https://miland.ru/api/getInfo/item/e2bbceee-3339-11f1-a292-00155d82e908")</f>
        <v>https://miland.ru/api/getInfo/item/e2bbceee-3339-11f1-a292-00155d82e908</v>
      </c>
      <c r="AB2315" s="7" t="s">
        <v>50</v>
      </c>
      <c r="AC2315" s="7"/>
      <c r="AD2315" s="7"/>
      <c r="AE2315" s="54"/>
    </row>
    <row r="2316" spans="2:31" ht="12" customHeight="1" outlineLevel="6">
      <c r="B2316" s="70" t="s">
        <v>8033</v>
      </c>
      <c r="C2316" s="70"/>
      <c r="D2316" s="70"/>
      <c r="E2316" s="70"/>
      <c r="F2316" s="70"/>
      <c r="G2316" s="70"/>
    </row>
    <row r="2317" spans="2:31" s="1" customFormat="1" ht="96.3" customHeight="1" outlineLevel="7">
      <c r="B2317" s="58">
        <v>1799</v>
      </c>
      <c r="C2317" s="7" t="s">
        <v>8034</v>
      </c>
      <c r="D2317" s="71" t="s">
        <v>8035</v>
      </c>
      <c r="E2317" s="71"/>
      <c r="F2317" s="71"/>
      <c r="G2317" s="71"/>
      <c r="H2317" s="8" t="s">
        <v>8036</v>
      </c>
      <c r="I2317" s="9" t="s">
        <v>36</v>
      </c>
      <c r="J2317" s="8"/>
      <c r="K2317" s="6">
        <v>50</v>
      </c>
      <c r="L2317" s="10">
        <v>34.22</v>
      </c>
      <c r="M2317" s="11"/>
      <c r="N2317" s="8">
        <f>L2317*M2317</f>
        <v>0</v>
      </c>
      <c r="O2317" s="12">
        <f>0.029*M2317</f>
        <v>0</v>
      </c>
      <c r="P2317" s="13">
        <f>0.00019*M2317</f>
        <v>0</v>
      </c>
      <c r="Q2317" s="17" t="s">
        <v>37</v>
      </c>
      <c r="R2317" s="8" t="s">
        <v>8037</v>
      </c>
      <c r="S2317" s="8"/>
      <c r="T2317" s="7" t="str">
        <f>HYPERLINK("https://miland.ru/api/getInfo/image/6aad0e92-333a-11f1-a292-00155d82e908")</f>
        <v>https://miland.ru/api/getInfo/image/6aad0e92-333a-11f1-a292-00155d82e908</v>
      </c>
      <c r="U2317" s="7"/>
      <c r="V2317" s="7"/>
      <c r="W2317" s="7" t="s">
        <v>408</v>
      </c>
      <c r="X2317" s="7"/>
      <c r="Y2317" s="7"/>
      <c r="Z2317" s="7"/>
      <c r="AA2317" s="7" t="str">
        <f>HYPERLINK("https://miland.ru/api/getInfo/item/6aad0e92-333a-11f1-a292-00155d82e908")</f>
        <v>https://miland.ru/api/getInfo/item/6aad0e92-333a-11f1-a292-00155d82e908</v>
      </c>
      <c r="AB2317" s="7" t="s">
        <v>50</v>
      </c>
      <c r="AC2317" s="7"/>
      <c r="AD2317" s="7"/>
      <c r="AE2317" s="54"/>
    </row>
    <row r="2318" spans="2:31" s="1" customFormat="1" ht="96.3" customHeight="1" outlineLevel="7">
      <c r="B2318" s="58">
        <v>1800</v>
      </c>
      <c r="C2318" s="7" t="s">
        <v>8038</v>
      </c>
      <c r="D2318" s="71" t="s">
        <v>8039</v>
      </c>
      <c r="E2318" s="71"/>
      <c r="F2318" s="71"/>
      <c r="G2318" s="71"/>
      <c r="H2318" s="8" t="s">
        <v>8040</v>
      </c>
      <c r="I2318" s="9" t="s">
        <v>36</v>
      </c>
      <c r="J2318" s="8"/>
      <c r="K2318" s="6">
        <v>50</v>
      </c>
      <c r="L2318" s="10">
        <v>34.22</v>
      </c>
      <c r="M2318" s="11"/>
      <c r="N2318" s="8">
        <f>L2318*M2318</f>
        <v>0</v>
      </c>
      <c r="O2318" s="12">
        <f>0.029*M2318</f>
        <v>0</v>
      </c>
      <c r="P2318" s="13">
        <f>0.00019*M2318</f>
        <v>0</v>
      </c>
      <c r="Q2318" s="17" t="s">
        <v>37</v>
      </c>
      <c r="R2318" s="8" t="s">
        <v>8041</v>
      </c>
      <c r="S2318" s="8"/>
      <c r="T2318" s="7" t="str">
        <f>HYPERLINK("https://miland.ru/api/getInfo/image/535474c1-333a-11f1-a292-00155d82e908")</f>
        <v>https://miland.ru/api/getInfo/image/535474c1-333a-11f1-a292-00155d82e908</v>
      </c>
      <c r="U2318" s="7"/>
      <c r="V2318" s="7"/>
      <c r="W2318" s="7" t="s">
        <v>408</v>
      </c>
      <c r="X2318" s="7"/>
      <c r="Y2318" s="7"/>
      <c r="Z2318" s="7"/>
      <c r="AA2318" s="7" t="str">
        <f>HYPERLINK("https://miland.ru/api/getInfo/item/535474c1-333a-11f1-a292-00155d82e908")</f>
        <v>https://miland.ru/api/getInfo/item/535474c1-333a-11f1-a292-00155d82e908</v>
      </c>
      <c r="AB2318" s="7" t="s">
        <v>50</v>
      </c>
      <c r="AC2318" s="7"/>
      <c r="AD2318" s="7"/>
      <c r="AE2318" s="54"/>
    </row>
    <row r="2319" spans="2:31" ht="12" customHeight="1" outlineLevel="6">
      <c r="B2319" s="70" t="s">
        <v>8042</v>
      </c>
      <c r="C2319" s="70"/>
      <c r="D2319" s="70"/>
      <c r="E2319" s="70"/>
      <c r="F2319" s="70"/>
      <c r="G2319" s="70"/>
    </row>
    <row r="2320" spans="2:31" s="1" customFormat="1" ht="96.3" customHeight="1" outlineLevel="7">
      <c r="B2320" s="57">
        <v>1801</v>
      </c>
      <c r="C2320" s="21" t="s">
        <v>8043</v>
      </c>
      <c r="D2320" s="72" t="s">
        <v>8044</v>
      </c>
      <c r="E2320" s="72"/>
      <c r="F2320" s="72"/>
      <c r="G2320" s="72"/>
      <c r="H2320" s="22" t="s">
        <v>8045</v>
      </c>
      <c r="I2320" s="23" t="s">
        <v>36</v>
      </c>
      <c r="J2320" s="22"/>
      <c r="K2320" s="20">
        <v>25</v>
      </c>
      <c r="L2320" s="24">
        <v>54.26</v>
      </c>
      <c r="M2320" s="11"/>
      <c r="N2320" s="22">
        <f>L2320*M2320</f>
        <v>0</v>
      </c>
      <c r="O2320" s="28">
        <f>0.05*M2320</f>
        <v>0</v>
      </c>
      <c r="P2320" s="26">
        <f>0.00144*M2320</f>
        <v>0</v>
      </c>
      <c r="Q2320" s="30"/>
      <c r="R2320" s="22" t="s">
        <v>8046</v>
      </c>
      <c r="S2320" s="22"/>
      <c r="T2320" s="21" t="str">
        <f>HYPERLINK("https://miland.ru/api/getInfo/image/39a8d756-1c53-11f0-a279-00155d82e908")</f>
        <v>https://miland.ru/api/getInfo/image/39a8d756-1c53-11f0-a279-00155d82e908</v>
      </c>
      <c r="U2320" s="21"/>
      <c r="V2320" s="21"/>
      <c r="W2320" s="21"/>
      <c r="X2320" s="21"/>
      <c r="Y2320" s="21"/>
      <c r="Z2320" s="21"/>
      <c r="AA2320" s="21" t="str">
        <f>HYPERLINK("https://miland.ru/api/getInfo/item/39a8d756-1c53-11f0-a279-00155d82e908")</f>
        <v>https://miland.ru/api/getInfo/item/39a8d756-1c53-11f0-a279-00155d82e908</v>
      </c>
      <c r="AB2320" s="21" t="s">
        <v>50</v>
      </c>
      <c r="AC2320" s="21"/>
      <c r="AD2320" s="21"/>
    </row>
    <row r="2321" spans="2:31" s="1" customFormat="1" ht="96.3" customHeight="1" outlineLevel="7">
      <c r="B2321" s="57">
        <v>1802</v>
      </c>
      <c r="C2321" s="21" t="s">
        <v>8047</v>
      </c>
      <c r="D2321" s="72" t="s">
        <v>8048</v>
      </c>
      <c r="E2321" s="72"/>
      <c r="F2321" s="72"/>
      <c r="G2321" s="72"/>
      <c r="H2321" s="22" t="s">
        <v>8049</v>
      </c>
      <c r="I2321" s="27">
        <v>200</v>
      </c>
      <c r="J2321" s="22"/>
      <c r="K2321" s="20">
        <v>25</v>
      </c>
      <c r="L2321" s="24">
        <v>54.26</v>
      </c>
      <c r="M2321" s="11"/>
      <c r="N2321" s="22">
        <f>L2321*M2321</f>
        <v>0</v>
      </c>
      <c r="O2321" s="25">
        <f>0.043*M2321</f>
        <v>0</v>
      </c>
      <c r="P2321" s="29">
        <f>0.0003*M2321</f>
        <v>0</v>
      </c>
      <c r="Q2321" s="30"/>
      <c r="R2321" s="22" t="s">
        <v>8050</v>
      </c>
      <c r="S2321" s="22"/>
      <c r="T2321" s="21" t="str">
        <f>HYPERLINK("https://miland.ru/api/getInfo/image/e7518330-dcf0-11ec-a213-ac1f6b442185")</f>
        <v>https://miland.ru/api/getInfo/image/e7518330-dcf0-11ec-a213-ac1f6b442185</v>
      </c>
      <c r="U2321" s="21"/>
      <c r="V2321" s="21"/>
      <c r="W2321" s="21" t="s">
        <v>408</v>
      </c>
      <c r="X2321" s="21"/>
      <c r="Y2321" s="21"/>
      <c r="Z2321" s="21"/>
      <c r="AA2321" s="21" t="str">
        <f>HYPERLINK("https://miland.ru/api/getInfo/item/e7518330-dcf0-11ec-a213-ac1f6b442185")</f>
        <v>https://miland.ru/api/getInfo/item/e7518330-dcf0-11ec-a213-ac1f6b442185</v>
      </c>
      <c r="AB2321" s="21" t="s">
        <v>50</v>
      </c>
      <c r="AC2321" s="21" t="s">
        <v>8051</v>
      </c>
      <c r="AD2321" s="21"/>
    </row>
    <row r="2322" spans="2:31" s="1" customFormat="1" ht="96.3" customHeight="1" outlineLevel="7">
      <c r="B2322" s="57">
        <v>1803</v>
      </c>
      <c r="C2322" s="21" t="s">
        <v>8052</v>
      </c>
      <c r="D2322" s="72" t="s">
        <v>8053</v>
      </c>
      <c r="E2322" s="72"/>
      <c r="F2322" s="72"/>
      <c r="G2322" s="72"/>
      <c r="H2322" s="22" t="s">
        <v>8054</v>
      </c>
      <c r="I2322" s="23" t="s">
        <v>36</v>
      </c>
      <c r="J2322" s="22"/>
      <c r="K2322" s="20">
        <v>25</v>
      </c>
      <c r="L2322" s="24">
        <v>54.26</v>
      </c>
      <c r="M2322" s="11"/>
      <c r="N2322" s="22">
        <f>L2322*M2322</f>
        <v>0</v>
      </c>
      <c r="O2322" s="25">
        <f>0.012*M2322</f>
        <v>0</v>
      </c>
      <c r="P2322" s="29">
        <f>0.0003*M2322</f>
        <v>0</v>
      </c>
      <c r="Q2322" s="30"/>
      <c r="R2322" s="22" t="s">
        <v>8055</v>
      </c>
      <c r="S2322" s="22"/>
      <c r="T2322" s="21" t="str">
        <f>HYPERLINK("https://miland.ru/api/getInfo/image/2d233715-dcf1-11ec-a213-ac1f6b442185")</f>
        <v>https://miland.ru/api/getInfo/image/2d233715-dcf1-11ec-a213-ac1f6b442185</v>
      </c>
      <c r="U2322" s="21"/>
      <c r="V2322" s="21"/>
      <c r="W2322" s="21" t="s">
        <v>408</v>
      </c>
      <c r="X2322" s="21"/>
      <c r="Y2322" s="21"/>
      <c r="Z2322" s="21"/>
      <c r="AA2322" s="21" t="str">
        <f>HYPERLINK("https://miland.ru/api/getInfo/item/2d233715-dcf1-11ec-a213-ac1f6b442185")</f>
        <v>https://miland.ru/api/getInfo/item/2d233715-dcf1-11ec-a213-ac1f6b442185</v>
      </c>
      <c r="AB2322" s="21" t="s">
        <v>50</v>
      </c>
      <c r="AC2322" s="21" t="s">
        <v>8051</v>
      </c>
      <c r="AD2322" s="21"/>
    </row>
    <row r="2323" spans="2:31" ht="12" customHeight="1" outlineLevel="5">
      <c r="B2323" s="70" t="s">
        <v>8056</v>
      </c>
      <c r="C2323" s="70"/>
      <c r="D2323" s="70"/>
      <c r="E2323" s="70"/>
      <c r="F2323" s="70"/>
      <c r="G2323" s="70"/>
    </row>
    <row r="2324" spans="2:31" ht="12" customHeight="1" outlineLevel="6">
      <c r="B2324" s="70" t="s">
        <v>8057</v>
      </c>
      <c r="C2324" s="70"/>
      <c r="D2324" s="70"/>
      <c r="E2324" s="70"/>
      <c r="F2324" s="70"/>
      <c r="G2324" s="70"/>
    </row>
    <row r="2325" spans="2:31" s="1" customFormat="1" ht="96.3" customHeight="1" outlineLevel="7">
      <c r="B2325" s="57">
        <v>1804</v>
      </c>
      <c r="C2325" s="21" t="s">
        <v>8058</v>
      </c>
      <c r="D2325" s="72" t="s">
        <v>8059</v>
      </c>
      <c r="E2325" s="72"/>
      <c r="F2325" s="72"/>
      <c r="G2325" s="72"/>
      <c r="H2325" s="22" t="s">
        <v>8060</v>
      </c>
      <c r="I2325" s="23" t="s">
        <v>36</v>
      </c>
      <c r="J2325" s="22"/>
      <c r="K2325" s="20">
        <v>10</v>
      </c>
      <c r="L2325" s="24">
        <v>51.56</v>
      </c>
      <c r="M2325" s="11"/>
      <c r="N2325" s="22">
        <f>L2325*M2325</f>
        <v>0</v>
      </c>
      <c r="O2325" s="25">
        <f>0.045*M2325</f>
        <v>0</v>
      </c>
      <c r="P2325" s="26">
        <f>0.00066*M2325</f>
        <v>0</v>
      </c>
      <c r="Q2325" s="30"/>
      <c r="R2325" s="22" t="s">
        <v>8061</v>
      </c>
      <c r="S2325" s="22"/>
      <c r="T2325" s="21" t="str">
        <f>HYPERLINK("https://miland.ru/api/getInfo/image/8f2e12b5-1c54-11f0-a279-00155d82e908")</f>
        <v>https://miland.ru/api/getInfo/image/8f2e12b5-1c54-11f0-a279-00155d82e908</v>
      </c>
      <c r="U2325" s="21"/>
      <c r="V2325" s="21"/>
      <c r="W2325" s="21"/>
      <c r="X2325" s="21"/>
      <c r="Y2325" s="21"/>
      <c r="Z2325" s="21"/>
      <c r="AA2325" s="21" t="str">
        <f>HYPERLINK("https://miland.ru/api/getInfo/item/8f2e12b5-1c54-11f0-a279-00155d82e908")</f>
        <v>https://miland.ru/api/getInfo/item/8f2e12b5-1c54-11f0-a279-00155d82e908</v>
      </c>
      <c r="AB2325" s="21" t="s">
        <v>50</v>
      </c>
      <c r="AC2325" s="21"/>
      <c r="AD2325" s="21"/>
    </row>
    <row r="2326" spans="2:31" ht="12" customHeight="1" outlineLevel="6">
      <c r="B2326" s="70" t="s">
        <v>8062</v>
      </c>
      <c r="C2326" s="70"/>
      <c r="D2326" s="70"/>
      <c r="E2326" s="70"/>
      <c r="F2326" s="70"/>
      <c r="G2326" s="70"/>
    </row>
    <row r="2327" spans="2:31" s="1" customFormat="1" ht="96.3" customHeight="1" outlineLevel="7">
      <c r="B2327" s="58">
        <v>1805</v>
      </c>
      <c r="C2327" s="7" t="s">
        <v>8063</v>
      </c>
      <c r="D2327" s="71" t="s">
        <v>8064</v>
      </c>
      <c r="E2327" s="71"/>
      <c r="F2327" s="71"/>
      <c r="G2327" s="71"/>
      <c r="H2327" s="8" t="s">
        <v>8065</v>
      </c>
      <c r="I2327" s="14">
        <v>70</v>
      </c>
      <c r="J2327" s="8"/>
      <c r="K2327" s="6">
        <v>10</v>
      </c>
      <c r="L2327" s="10">
        <v>59.4</v>
      </c>
      <c r="M2327" s="11"/>
      <c r="N2327" s="8">
        <f>L2327*M2327</f>
        <v>0</v>
      </c>
      <c r="O2327" s="12">
        <f>0.049*M2327</f>
        <v>0</v>
      </c>
      <c r="P2327" s="13">
        <f>0.00018*M2327</f>
        <v>0</v>
      </c>
      <c r="Q2327" s="17" t="s">
        <v>37</v>
      </c>
      <c r="R2327" s="8" t="s">
        <v>8066</v>
      </c>
      <c r="S2327" s="8"/>
      <c r="T2327" s="7" t="str">
        <f>HYPERLINK("https://miland.ru/api/getInfo/image/f6b83816-1c54-11f0-a279-00155d82e908")</f>
        <v>https://miland.ru/api/getInfo/image/f6b83816-1c54-11f0-a279-00155d82e908</v>
      </c>
      <c r="U2327" s="7"/>
      <c r="V2327" s="7"/>
      <c r="W2327" s="7" t="s">
        <v>408</v>
      </c>
      <c r="X2327" s="7"/>
      <c r="Y2327" s="7"/>
      <c r="Z2327" s="7"/>
      <c r="AA2327" s="7" t="str">
        <f>HYPERLINK("https://miland.ru/api/getInfo/item/f6b83816-1c54-11f0-a279-00155d82e908")</f>
        <v>https://miland.ru/api/getInfo/item/f6b83816-1c54-11f0-a279-00155d82e908</v>
      </c>
      <c r="AB2327" s="7" t="s">
        <v>50</v>
      </c>
      <c r="AC2327" s="7"/>
      <c r="AD2327" s="7"/>
      <c r="AE2327" s="54"/>
    </row>
    <row r="2328" spans="2:31" ht="12" customHeight="1" outlineLevel="3">
      <c r="B2328" s="70" t="s">
        <v>8067</v>
      </c>
      <c r="C2328" s="70"/>
      <c r="D2328" s="70"/>
      <c r="E2328" s="70"/>
      <c r="F2328" s="70"/>
      <c r="G2328" s="70"/>
    </row>
    <row r="2329" spans="2:31" ht="12" customHeight="1" outlineLevel="4">
      <c r="B2329" s="70" t="s">
        <v>8068</v>
      </c>
      <c r="C2329" s="70"/>
      <c r="D2329" s="70"/>
      <c r="E2329" s="70"/>
      <c r="F2329" s="70"/>
      <c r="G2329" s="70"/>
    </row>
    <row r="2330" spans="2:31" ht="12" customHeight="1" outlineLevel="5">
      <c r="B2330" s="70" t="s">
        <v>6556</v>
      </c>
      <c r="C2330" s="70"/>
      <c r="D2330" s="70"/>
      <c r="E2330" s="70"/>
      <c r="F2330" s="70"/>
      <c r="G2330" s="70"/>
    </row>
    <row r="2331" spans="2:31" s="1" customFormat="1" ht="96.3" customHeight="1" outlineLevel="6">
      <c r="B2331" s="59">
        <v>1806</v>
      </c>
      <c r="C2331" s="35" t="s">
        <v>8069</v>
      </c>
      <c r="D2331" s="73" t="s">
        <v>8070</v>
      </c>
      <c r="E2331" s="73"/>
      <c r="F2331" s="73"/>
      <c r="G2331" s="73"/>
      <c r="H2331" s="36" t="s">
        <v>8071</v>
      </c>
      <c r="I2331" s="40">
        <v>250</v>
      </c>
      <c r="J2331" s="36"/>
      <c r="K2331" s="34">
        <v>2</v>
      </c>
      <c r="L2331" s="41">
        <v>365.18666666666667</v>
      </c>
      <c r="M2331" s="11"/>
      <c r="N2331" s="36">
        <f t="shared" ref="N2331:N2341" si="110">L2331*M2331</f>
        <v>0</v>
      </c>
      <c r="O2331" s="42">
        <f>0.593*M2331</f>
        <v>0</v>
      </c>
      <c r="P2331" s="36">
        <v>0</v>
      </c>
      <c r="Q2331" s="50" t="s">
        <v>37</v>
      </c>
      <c r="R2331" s="36" t="s">
        <v>8072</v>
      </c>
      <c r="S2331" s="36"/>
      <c r="T2331" s="35" t="str">
        <f>HYPERLINK("https://miland.ru/api/getInfo/image/1dec88f8-f511-11f0-a28d-00155d82e908")</f>
        <v>https://miland.ru/api/getInfo/image/1dec88f8-f511-11f0-a28d-00155d82e908</v>
      </c>
      <c r="U2331" s="35"/>
      <c r="V2331" s="35" t="s">
        <v>8073</v>
      </c>
      <c r="W2331" s="35" t="s">
        <v>8074</v>
      </c>
      <c r="X2331" s="35"/>
      <c r="Y2331" s="35" t="s">
        <v>41</v>
      </c>
      <c r="Z2331" s="35"/>
      <c r="AA2331" s="35" t="str">
        <f>HYPERLINK("https://miland.ru/api/getInfo/item/1dec88f8-f511-11f0-a28d-00155d82e908")</f>
        <v>https://miland.ru/api/getInfo/item/1dec88f8-f511-11f0-a28d-00155d82e908</v>
      </c>
      <c r="AB2331" s="35" t="s">
        <v>50</v>
      </c>
      <c r="AC2331" s="35"/>
      <c r="AD2331" s="35"/>
      <c r="AE2331" s="52" t="s">
        <v>1251</v>
      </c>
    </row>
    <row r="2332" spans="2:31" s="1" customFormat="1" ht="96.3" customHeight="1" outlineLevel="6">
      <c r="B2332" s="59">
        <v>1807</v>
      </c>
      <c r="C2332" s="35" t="s">
        <v>8075</v>
      </c>
      <c r="D2332" s="73" t="s">
        <v>8076</v>
      </c>
      <c r="E2332" s="73"/>
      <c r="F2332" s="73"/>
      <c r="G2332" s="73"/>
      <c r="H2332" s="36" t="s">
        <v>8077</v>
      </c>
      <c r="I2332" s="40">
        <v>237</v>
      </c>
      <c r="J2332" s="36"/>
      <c r="K2332" s="34">
        <v>2</v>
      </c>
      <c r="L2332" s="41">
        <v>365.18666666666667</v>
      </c>
      <c r="M2332" s="11"/>
      <c r="N2332" s="36">
        <f t="shared" si="110"/>
        <v>0</v>
      </c>
      <c r="O2332" s="42">
        <f>0.547*M2332</f>
        <v>0</v>
      </c>
      <c r="P2332" s="43">
        <f>0.00094*M2332</f>
        <v>0</v>
      </c>
      <c r="Q2332" s="50" t="s">
        <v>37</v>
      </c>
      <c r="R2332" s="36" t="s">
        <v>8078</v>
      </c>
      <c r="S2332" s="36"/>
      <c r="T2332" s="35" t="str">
        <f>HYPERLINK("https://miland.ru/api/getInfo/image/e9bdaf96-f511-11f0-a28d-00155d82e908")</f>
        <v>https://miland.ru/api/getInfo/image/e9bdaf96-f511-11f0-a28d-00155d82e908</v>
      </c>
      <c r="U2332" s="35"/>
      <c r="V2332" s="35" t="s">
        <v>8073</v>
      </c>
      <c r="W2332" s="35" t="s">
        <v>8074</v>
      </c>
      <c r="X2332" s="35"/>
      <c r="Y2332" s="35" t="s">
        <v>41</v>
      </c>
      <c r="Z2332" s="35"/>
      <c r="AA2332" s="35" t="str">
        <f>HYPERLINK("https://miland.ru/api/getInfo/item/e9bdaf96-f511-11f0-a28d-00155d82e908")</f>
        <v>https://miland.ru/api/getInfo/item/e9bdaf96-f511-11f0-a28d-00155d82e908</v>
      </c>
      <c r="AB2332" s="35" t="s">
        <v>50</v>
      </c>
      <c r="AC2332" s="35"/>
      <c r="AD2332" s="35"/>
      <c r="AE2332" s="52" t="s">
        <v>1251</v>
      </c>
    </row>
    <row r="2333" spans="2:31" s="1" customFormat="1" ht="96.3" customHeight="1" outlineLevel="6">
      <c r="B2333" s="59">
        <v>1808</v>
      </c>
      <c r="C2333" s="35" t="s">
        <v>8079</v>
      </c>
      <c r="D2333" s="73" t="s">
        <v>8080</v>
      </c>
      <c r="E2333" s="73"/>
      <c r="F2333" s="73"/>
      <c r="G2333" s="73"/>
      <c r="H2333" s="36" t="s">
        <v>8081</v>
      </c>
      <c r="I2333" s="40">
        <v>220</v>
      </c>
      <c r="J2333" s="36"/>
      <c r="K2333" s="34">
        <v>2</v>
      </c>
      <c r="L2333" s="41">
        <v>365.18666666666667</v>
      </c>
      <c r="M2333" s="11"/>
      <c r="N2333" s="36">
        <f t="shared" si="110"/>
        <v>0</v>
      </c>
      <c r="O2333" s="42">
        <f>0.547*M2333</f>
        <v>0</v>
      </c>
      <c r="P2333" s="43">
        <f>0.00094*M2333</f>
        <v>0</v>
      </c>
      <c r="Q2333" s="50" t="s">
        <v>37</v>
      </c>
      <c r="R2333" s="36" t="s">
        <v>8082</v>
      </c>
      <c r="S2333" s="36"/>
      <c r="T2333" s="35" t="str">
        <f>HYPERLINK("https://miland.ru/api/getInfo/image/0238f8a5-f512-11f0-a28d-00155d82e908")</f>
        <v>https://miland.ru/api/getInfo/image/0238f8a5-f512-11f0-a28d-00155d82e908</v>
      </c>
      <c r="U2333" s="35"/>
      <c r="V2333" s="35" t="s">
        <v>8073</v>
      </c>
      <c r="W2333" s="35" t="s">
        <v>8074</v>
      </c>
      <c r="X2333" s="35"/>
      <c r="Y2333" s="35" t="s">
        <v>41</v>
      </c>
      <c r="Z2333" s="35"/>
      <c r="AA2333" s="35" t="str">
        <f>HYPERLINK("https://miland.ru/api/getInfo/item/0238f8a5-f512-11f0-a28d-00155d82e908")</f>
        <v>https://miland.ru/api/getInfo/item/0238f8a5-f512-11f0-a28d-00155d82e908</v>
      </c>
      <c r="AB2333" s="35" t="s">
        <v>50</v>
      </c>
      <c r="AC2333" s="35"/>
      <c r="AD2333" s="35"/>
      <c r="AE2333" s="52" t="s">
        <v>1251</v>
      </c>
    </row>
    <row r="2334" spans="2:31" s="1" customFormat="1" ht="96.3" customHeight="1" outlineLevel="6">
      <c r="B2334" s="59">
        <v>1809</v>
      </c>
      <c r="C2334" s="35" t="s">
        <v>8083</v>
      </c>
      <c r="D2334" s="73" t="s">
        <v>8084</v>
      </c>
      <c r="E2334" s="73"/>
      <c r="F2334" s="73"/>
      <c r="G2334" s="73"/>
      <c r="H2334" s="36" t="s">
        <v>8085</v>
      </c>
      <c r="I2334" s="40">
        <v>240</v>
      </c>
      <c r="J2334" s="36"/>
      <c r="K2334" s="34">
        <v>2</v>
      </c>
      <c r="L2334" s="41">
        <v>365.18666666666667</v>
      </c>
      <c r="M2334" s="11"/>
      <c r="N2334" s="36">
        <f t="shared" si="110"/>
        <v>0</v>
      </c>
      <c r="O2334" s="42">
        <f>0.593*M2334</f>
        <v>0</v>
      </c>
      <c r="P2334" s="43">
        <f>0.00076*M2334</f>
        <v>0</v>
      </c>
      <c r="Q2334" s="50" t="s">
        <v>37</v>
      </c>
      <c r="R2334" s="36" t="s">
        <v>8086</v>
      </c>
      <c r="S2334" s="36"/>
      <c r="T2334" s="35" t="str">
        <f>HYPERLINK("https://miland.ru/api/getInfo/image/262f6b50-f512-11f0-a28d-00155d82e908")</f>
        <v>https://miland.ru/api/getInfo/image/262f6b50-f512-11f0-a28d-00155d82e908</v>
      </c>
      <c r="U2334" s="35"/>
      <c r="V2334" s="35" t="s">
        <v>8073</v>
      </c>
      <c r="W2334" s="35" t="s">
        <v>8074</v>
      </c>
      <c r="X2334" s="35"/>
      <c r="Y2334" s="35" t="s">
        <v>41</v>
      </c>
      <c r="Z2334" s="35"/>
      <c r="AA2334" s="35" t="str">
        <f>HYPERLINK("https://miland.ru/api/getInfo/item/262f6b50-f512-11f0-a28d-00155d82e908")</f>
        <v>https://miland.ru/api/getInfo/item/262f6b50-f512-11f0-a28d-00155d82e908</v>
      </c>
      <c r="AB2334" s="35" t="s">
        <v>50</v>
      </c>
      <c r="AC2334" s="35"/>
      <c r="AD2334" s="35"/>
      <c r="AE2334" s="52" t="s">
        <v>1251</v>
      </c>
    </row>
    <row r="2335" spans="2:31" s="1" customFormat="1" ht="96.3" customHeight="1" outlineLevel="6">
      <c r="B2335" s="59">
        <v>1810</v>
      </c>
      <c r="C2335" s="35" t="s">
        <v>8087</v>
      </c>
      <c r="D2335" s="73" t="s">
        <v>8088</v>
      </c>
      <c r="E2335" s="73"/>
      <c r="F2335" s="73"/>
      <c r="G2335" s="73"/>
      <c r="H2335" s="36" t="s">
        <v>8089</v>
      </c>
      <c r="I2335" s="40">
        <v>236</v>
      </c>
      <c r="J2335" s="36"/>
      <c r="K2335" s="34">
        <v>2</v>
      </c>
      <c r="L2335" s="41">
        <v>365.18666666666667</v>
      </c>
      <c r="M2335" s="11"/>
      <c r="N2335" s="36">
        <f t="shared" si="110"/>
        <v>0</v>
      </c>
      <c r="O2335" s="42">
        <f>0.593*M2335</f>
        <v>0</v>
      </c>
      <c r="P2335" s="43">
        <f>0.00076*M2335</f>
        <v>0</v>
      </c>
      <c r="Q2335" s="50" t="s">
        <v>37</v>
      </c>
      <c r="R2335" s="36" t="s">
        <v>8090</v>
      </c>
      <c r="S2335" s="36"/>
      <c r="T2335" s="35" t="str">
        <f>HYPERLINK("https://miland.ru/api/getInfo/image/5d3d4904-f511-11f0-a28d-00155d82e908")</f>
        <v>https://miland.ru/api/getInfo/image/5d3d4904-f511-11f0-a28d-00155d82e908</v>
      </c>
      <c r="U2335" s="35"/>
      <c r="V2335" s="35" t="s">
        <v>8073</v>
      </c>
      <c r="W2335" s="35" t="s">
        <v>8074</v>
      </c>
      <c r="X2335" s="35"/>
      <c r="Y2335" s="35" t="s">
        <v>41</v>
      </c>
      <c r="Z2335" s="35"/>
      <c r="AA2335" s="35" t="str">
        <f>HYPERLINK("https://miland.ru/api/getInfo/item/5d3d4904-f511-11f0-a28d-00155d82e908")</f>
        <v>https://miland.ru/api/getInfo/item/5d3d4904-f511-11f0-a28d-00155d82e908</v>
      </c>
      <c r="AB2335" s="35" t="s">
        <v>50</v>
      </c>
      <c r="AC2335" s="35"/>
      <c r="AD2335" s="35"/>
      <c r="AE2335" s="52" t="s">
        <v>1251</v>
      </c>
    </row>
    <row r="2336" spans="2:31" s="1" customFormat="1" ht="96.3" customHeight="1" outlineLevel="6">
      <c r="B2336" s="59">
        <v>1811</v>
      </c>
      <c r="C2336" s="35" t="s">
        <v>8091</v>
      </c>
      <c r="D2336" s="73" t="s">
        <v>8092</v>
      </c>
      <c r="E2336" s="73"/>
      <c r="F2336" s="73"/>
      <c r="G2336" s="73"/>
      <c r="H2336" s="36" t="s">
        <v>8093</v>
      </c>
      <c r="I2336" s="40">
        <v>128</v>
      </c>
      <c r="J2336" s="36"/>
      <c r="K2336" s="34">
        <v>2</v>
      </c>
      <c r="L2336" s="41">
        <v>365.18666666666667</v>
      </c>
      <c r="M2336" s="11"/>
      <c r="N2336" s="36">
        <f t="shared" si="110"/>
        <v>0</v>
      </c>
      <c r="O2336" s="42">
        <f>0.547*M2336</f>
        <v>0</v>
      </c>
      <c r="P2336" s="43">
        <f>0.00094*M2336</f>
        <v>0</v>
      </c>
      <c r="Q2336" s="50" t="s">
        <v>37</v>
      </c>
      <c r="R2336" s="36" t="s">
        <v>8094</v>
      </c>
      <c r="S2336" s="36"/>
      <c r="T2336" s="35" t="str">
        <f>HYPERLINK("https://miland.ru/api/getInfo/image/a21a5636-f511-11f0-a28d-00155d82e908")</f>
        <v>https://miland.ru/api/getInfo/image/a21a5636-f511-11f0-a28d-00155d82e908</v>
      </c>
      <c r="U2336" s="35"/>
      <c r="V2336" s="35" t="s">
        <v>8073</v>
      </c>
      <c r="W2336" s="35" t="s">
        <v>8074</v>
      </c>
      <c r="X2336" s="35"/>
      <c r="Y2336" s="35" t="s">
        <v>41</v>
      </c>
      <c r="Z2336" s="35"/>
      <c r="AA2336" s="35" t="str">
        <f>HYPERLINK("https://miland.ru/api/getInfo/item/a21a5636-f511-11f0-a28d-00155d82e908")</f>
        <v>https://miland.ru/api/getInfo/item/a21a5636-f511-11f0-a28d-00155d82e908</v>
      </c>
      <c r="AB2336" s="35" t="s">
        <v>50</v>
      </c>
      <c r="AC2336" s="35"/>
      <c r="AD2336" s="35"/>
      <c r="AE2336" s="52" t="s">
        <v>1251</v>
      </c>
    </row>
    <row r="2337" spans="2:31" s="1" customFormat="1" ht="96.3" customHeight="1" outlineLevel="6">
      <c r="B2337" s="59">
        <v>1812</v>
      </c>
      <c r="C2337" s="35" t="s">
        <v>8095</v>
      </c>
      <c r="D2337" s="73" t="s">
        <v>8096</v>
      </c>
      <c r="E2337" s="73"/>
      <c r="F2337" s="73"/>
      <c r="G2337" s="73"/>
      <c r="H2337" s="36" t="s">
        <v>8097</v>
      </c>
      <c r="I2337" s="40">
        <v>227</v>
      </c>
      <c r="J2337" s="36"/>
      <c r="K2337" s="34">
        <v>2</v>
      </c>
      <c r="L2337" s="41">
        <v>365.18666666666667</v>
      </c>
      <c r="M2337" s="11"/>
      <c r="N2337" s="36">
        <f t="shared" si="110"/>
        <v>0</v>
      </c>
      <c r="O2337" s="42">
        <f>0.593*M2337</f>
        <v>0</v>
      </c>
      <c r="P2337" s="43">
        <f>0.00076*M2337</f>
        <v>0</v>
      </c>
      <c r="Q2337" s="50" t="s">
        <v>37</v>
      </c>
      <c r="R2337" s="36" t="s">
        <v>8098</v>
      </c>
      <c r="S2337" s="36"/>
      <c r="T2337" s="35" t="str">
        <f>HYPERLINK("https://miland.ru/api/getInfo/image/c811a33d-f511-11f0-a28d-00155d82e908")</f>
        <v>https://miland.ru/api/getInfo/image/c811a33d-f511-11f0-a28d-00155d82e908</v>
      </c>
      <c r="U2337" s="35"/>
      <c r="V2337" s="35" t="s">
        <v>8073</v>
      </c>
      <c r="W2337" s="35" t="s">
        <v>8074</v>
      </c>
      <c r="X2337" s="35"/>
      <c r="Y2337" s="35" t="s">
        <v>41</v>
      </c>
      <c r="Z2337" s="35"/>
      <c r="AA2337" s="35" t="str">
        <f>HYPERLINK("https://miland.ru/api/getInfo/item/c811a33d-f511-11f0-a28d-00155d82e908")</f>
        <v>https://miland.ru/api/getInfo/item/c811a33d-f511-11f0-a28d-00155d82e908</v>
      </c>
      <c r="AB2337" s="35" t="s">
        <v>50</v>
      </c>
      <c r="AC2337" s="35"/>
      <c r="AD2337" s="35"/>
      <c r="AE2337" s="52" t="s">
        <v>1251</v>
      </c>
    </row>
    <row r="2338" spans="2:31" s="1" customFormat="1" ht="96.3" customHeight="1" outlineLevel="6">
      <c r="B2338" s="59">
        <v>1813</v>
      </c>
      <c r="C2338" s="35" t="s">
        <v>8099</v>
      </c>
      <c r="D2338" s="73" t="s">
        <v>8100</v>
      </c>
      <c r="E2338" s="73"/>
      <c r="F2338" s="73"/>
      <c r="G2338" s="73"/>
      <c r="H2338" s="36" t="s">
        <v>8101</v>
      </c>
      <c r="I2338" s="40">
        <v>240</v>
      </c>
      <c r="J2338" s="36"/>
      <c r="K2338" s="34">
        <v>2</v>
      </c>
      <c r="L2338" s="41">
        <v>365.18666666666667</v>
      </c>
      <c r="M2338" s="11"/>
      <c r="N2338" s="36">
        <f t="shared" si="110"/>
        <v>0</v>
      </c>
      <c r="O2338" s="42">
        <f>0.547*M2338</f>
        <v>0</v>
      </c>
      <c r="P2338" s="43">
        <f>0.00094*M2338</f>
        <v>0</v>
      </c>
      <c r="Q2338" s="50" t="s">
        <v>37</v>
      </c>
      <c r="R2338" s="36" t="s">
        <v>8102</v>
      </c>
      <c r="S2338" s="36"/>
      <c r="T2338" s="35" t="str">
        <f>HYPERLINK("https://miland.ru/api/getInfo/image/3f8dbfc4-f511-11f0-a28d-00155d82e908")</f>
        <v>https://miland.ru/api/getInfo/image/3f8dbfc4-f511-11f0-a28d-00155d82e908</v>
      </c>
      <c r="U2338" s="35"/>
      <c r="V2338" s="35" t="s">
        <v>8073</v>
      </c>
      <c r="W2338" s="35" t="s">
        <v>8074</v>
      </c>
      <c r="X2338" s="35"/>
      <c r="Y2338" s="35" t="s">
        <v>41</v>
      </c>
      <c r="Z2338" s="35"/>
      <c r="AA2338" s="35" t="str">
        <f>HYPERLINK("https://miland.ru/api/getInfo/item/3f8dbfc4-f511-11f0-a28d-00155d82e908")</f>
        <v>https://miland.ru/api/getInfo/item/3f8dbfc4-f511-11f0-a28d-00155d82e908</v>
      </c>
      <c r="AB2338" s="35" t="s">
        <v>50</v>
      </c>
      <c r="AC2338" s="35"/>
      <c r="AD2338" s="35"/>
      <c r="AE2338" s="52" t="s">
        <v>1251</v>
      </c>
    </row>
    <row r="2339" spans="2:31" s="1" customFormat="1" ht="96.3" customHeight="1" outlineLevel="6">
      <c r="B2339" s="59">
        <v>1814</v>
      </c>
      <c r="C2339" s="35" t="s">
        <v>8103</v>
      </c>
      <c r="D2339" s="73" t="s">
        <v>8104</v>
      </c>
      <c r="E2339" s="73"/>
      <c r="F2339" s="73"/>
      <c r="G2339" s="73"/>
      <c r="H2339" s="36" t="s">
        <v>8105</v>
      </c>
      <c r="I2339" s="40">
        <v>248</v>
      </c>
      <c r="J2339" s="36"/>
      <c r="K2339" s="34">
        <v>2</v>
      </c>
      <c r="L2339" s="41">
        <v>365.18666666666667</v>
      </c>
      <c r="M2339" s="11"/>
      <c r="N2339" s="36">
        <f t="shared" si="110"/>
        <v>0</v>
      </c>
      <c r="O2339" s="42">
        <f>0.547*M2339</f>
        <v>0</v>
      </c>
      <c r="P2339" s="43">
        <f>0.00094*M2339</f>
        <v>0</v>
      </c>
      <c r="Q2339" s="50" t="s">
        <v>37</v>
      </c>
      <c r="R2339" s="36" t="s">
        <v>8106</v>
      </c>
      <c r="S2339" s="36"/>
      <c r="T2339" s="35" t="str">
        <f>HYPERLINK("https://miland.ru/api/getInfo/image/0e790012-f50f-11f0-a28d-00155d82e908")</f>
        <v>https://miland.ru/api/getInfo/image/0e790012-f50f-11f0-a28d-00155d82e908</v>
      </c>
      <c r="U2339" s="35"/>
      <c r="V2339" s="35" t="s">
        <v>8073</v>
      </c>
      <c r="W2339" s="35" t="s">
        <v>8074</v>
      </c>
      <c r="X2339" s="35"/>
      <c r="Y2339" s="35" t="s">
        <v>41</v>
      </c>
      <c r="Z2339" s="35"/>
      <c r="AA2339" s="35" t="str">
        <f>HYPERLINK("https://miland.ru/api/getInfo/item/0e790012-f50f-11f0-a28d-00155d82e908")</f>
        <v>https://miland.ru/api/getInfo/item/0e790012-f50f-11f0-a28d-00155d82e908</v>
      </c>
      <c r="AB2339" s="35" t="s">
        <v>50</v>
      </c>
      <c r="AC2339" s="35"/>
      <c r="AD2339" s="35"/>
      <c r="AE2339" s="52" t="s">
        <v>1251</v>
      </c>
    </row>
    <row r="2340" spans="2:31" s="1" customFormat="1" ht="96.3" customHeight="1" outlineLevel="6">
      <c r="B2340" s="59">
        <v>1815</v>
      </c>
      <c r="C2340" s="35" t="s">
        <v>8107</v>
      </c>
      <c r="D2340" s="73" t="s">
        <v>8108</v>
      </c>
      <c r="E2340" s="73"/>
      <c r="F2340" s="73"/>
      <c r="G2340" s="73"/>
      <c r="H2340" s="36" t="s">
        <v>8109</v>
      </c>
      <c r="I2340" s="40">
        <v>53</v>
      </c>
      <c r="J2340" s="36"/>
      <c r="K2340" s="34">
        <v>2</v>
      </c>
      <c r="L2340" s="41">
        <v>355.88000000000005</v>
      </c>
      <c r="M2340" s="11"/>
      <c r="N2340" s="36">
        <f t="shared" si="110"/>
        <v>0</v>
      </c>
      <c r="O2340" s="42">
        <f>0.479*M2340</f>
        <v>0</v>
      </c>
      <c r="P2340" s="55">
        <f>0.0021*M2340</f>
        <v>0</v>
      </c>
      <c r="Q2340" s="50"/>
      <c r="R2340" s="36" t="s">
        <v>8110</v>
      </c>
      <c r="S2340" s="36" t="s">
        <v>435</v>
      </c>
      <c r="T2340" s="35" t="str">
        <f>HYPERLINK("https://miland.ru/api/getInfo/image/09389291-9c82-11ed-a22e-00155d82e902")</f>
        <v>https://miland.ru/api/getInfo/image/09389291-9c82-11ed-a22e-00155d82e902</v>
      </c>
      <c r="U2340" s="35"/>
      <c r="V2340" s="35" t="s">
        <v>8073</v>
      </c>
      <c r="W2340" s="35" t="s">
        <v>8074</v>
      </c>
      <c r="X2340" s="35"/>
      <c r="Y2340" s="35" t="s">
        <v>41</v>
      </c>
      <c r="Z2340" s="35"/>
      <c r="AA2340" s="35" t="str">
        <f>HYPERLINK("https://miland.ru/api/getInfo/item/09389291-9c82-11ed-a22e-00155d82e902")</f>
        <v>https://miland.ru/api/getInfo/item/09389291-9c82-11ed-a22e-00155d82e902</v>
      </c>
      <c r="AB2340" s="35" t="s">
        <v>50</v>
      </c>
      <c r="AC2340" s="35" t="s">
        <v>8111</v>
      </c>
      <c r="AD2340" s="35"/>
      <c r="AE2340" s="52" t="s">
        <v>1251</v>
      </c>
    </row>
    <row r="2341" spans="2:31" s="1" customFormat="1" ht="96.3" customHeight="1" outlineLevel="6">
      <c r="B2341" s="59">
        <v>1816</v>
      </c>
      <c r="C2341" s="35" t="s">
        <v>8112</v>
      </c>
      <c r="D2341" s="73" t="s">
        <v>8113</v>
      </c>
      <c r="E2341" s="73"/>
      <c r="F2341" s="73"/>
      <c r="G2341" s="73"/>
      <c r="H2341" s="36" t="s">
        <v>8114</v>
      </c>
      <c r="I2341" s="40">
        <v>216</v>
      </c>
      <c r="J2341" s="36"/>
      <c r="K2341" s="34">
        <v>2</v>
      </c>
      <c r="L2341" s="41">
        <v>365.18666666666667</v>
      </c>
      <c r="M2341" s="11"/>
      <c r="N2341" s="36">
        <f t="shared" si="110"/>
        <v>0</v>
      </c>
      <c r="O2341" s="42">
        <f>0.547*M2341</f>
        <v>0</v>
      </c>
      <c r="P2341" s="43">
        <f>0.00094*M2341</f>
        <v>0</v>
      </c>
      <c r="Q2341" s="50" t="s">
        <v>37</v>
      </c>
      <c r="R2341" s="36" t="s">
        <v>8115</v>
      </c>
      <c r="S2341" s="36"/>
      <c r="T2341" s="35" t="str">
        <f>HYPERLINK("https://miland.ru/api/getInfo/image/85dab0d4-f511-11f0-a28d-00155d82e908")</f>
        <v>https://miland.ru/api/getInfo/image/85dab0d4-f511-11f0-a28d-00155d82e908</v>
      </c>
      <c r="U2341" s="35"/>
      <c r="V2341" s="35" t="s">
        <v>8073</v>
      </c>
      <c r="W2341" s="35" t="s">
        <v>8074</v>
      </c>
      <c r="X2341" s="35"/>
      <c r="Y2341" s="35" t="s">
        <v>41</v>
      </c>
      <c r="Z2341" s="35"/>
      <c r="AA2341" s="35" t="str">
        <f>HYPERLINK("https://miland.ru/api/getInfo/item/85dab0d4-f511-11f0-a28d-00155d82e908")</f>
        <v>https://miland.ru/api/getInfo/item/85dab0d4-f511-11f0-a28d-00155d82e908</v>
      </c>
      <c r="AB2341" s="35" t="s">
        <v>50</v>
      </c>
      <c r="AC2341" s="35"/>
      <c r="AD2341" s="35"/>
      <c r="AE2341" s="52" t="s">
        <v>1251</v>
      </c>
    </row>
    <row r="2342" spans="2:31" ht="12" customHeight="1" outlineLevel="5">
      <c r="B2342" s="70" t="s">
        <v>8116</v>
      </c>
      <c r="C2342" s="70"/>
      <c r="D2342" s="70"/>
      <c r="E2342" s="70"/>
      <c r="F2342" s="70"/>
      <c r="G2342" s="70"/>
    </row>
    <row r="2343" spans="2:31" s="1" customFormat="1" ht="96.3" customHeight="1" outlineLevel="6">
      <c r="B2343" s="58">
        <v>1817</v>
      </c>
      <c r="C2343" s="7" t="s">
        <v>8117</v>
      </c>
      <c r="D2343" s="71" t="s">
        <v>8118</v>
      </c>
      <c r="E2343" s="71"/>
      <c r="F2343" s="71"/>
      <c r="G2343" s="71"/>
      <c r="H2343" s="8" t="s">
        <v>8119</v>
      </c>
      <c r="I2343" s="14">
        <v>318</v>
      </c>
      <c r="J2343" s="8"/>
      <c r="K2343" s="6">
        <v>2</v>
      </c>
      <c r="L2343" s="10">
        <v>397.72</v>
      </c>
      <c r="M2343" s="11"/>
      <c r="N2343" s="8">
        <f t="shared" ref="N2343:N2356" si="111">L2343*M2343</f>
        <v>0</v>
      </c>
      <c r="O2343" s="12">
        <f>0.593*M2343</f>
        <v>0</v>
      </c>
      <c r="P2343" s="13">
        <f>0.00076*M2343</f>
        <v>0</v>
      </c>
      <c r="Q2343" s="17" t="s">
        <v>37</v>
      </c>
      <c r="R2343" s="8" t="s">
        <v>8120</v>
      </c>
      <c r="S2343" s="8"/>
      <c r="T2343" s="7" t="str">
        <f>HYPERLINK("https://miland.ru/api/getInfo/image/7edbf609-f505-11f0-a28d-00155d82e908")</f>
        <v>https://miland.ru/api/getInfo/image/7edbf609-f505-11f0-a28d-00155d82e908</v>
      </c>
      <c r="U2343" s="7"/>
      <c r="V2343" s="7" t="s">
        <v>8073</v>
      </c>
      <c r="W2343" s="7" t="s">
        <v>8074</v>
      </c>
      <c r="X2343" s="7"/>
      <c r="Y2343" s="7" t="s">
        <v>41</v>
      </c>
      <c r="Z2343" s="7"/>
      <c r="AA2343" s="7" t="str">
        <f>HYPERLINK("https://miland.ru/api/getInfo/item/7edbf609-f505-11f0-a28d-00155d82e908")</f>
        <v>https://miland.ru/api/getInfo/item/7edbf609-f505-11f0-a28d-00155d82e908</v>
      </c>
      <c r="AB2343" s="7" t="s">
        <v>50</v>
      </c>
      <c r="AC2343" s="7"/>
      <c r="AD2343" s="7"/>
      <c r="AE2343" s="54"/>
    </row>
    <row r="2344" spans="2:31" s="1" customFormat="1" ht="96.3" customHeight="1" outlineLevel="6">
      <c r="B2344" s="58">
        <v>1818</v>
      </c>
      <c r="C2344" s="7" t="s">
        <v>8121</v>
      </c>
      <c r="D2344" s="71" t="s">
        <v>8122</v>
      </c>
      <c r="E2344" s="71"/>
      <c r="F2344" s="71"/>
      <c r="G2344" s="71"/>
      <c r="H2344" s="8" t="s">
        <v>8123</v>
      </c>
      <c r="I2344" s="14">
        <v>334</v>
      </c>
      <c r="J2344" s="8"/>
      <c r="K2344" s="6">
        <v>2</v>
      </c>
      <c r="L2344" s="10">
        <v>397.72</v>
      </c>
      <c r="M2344" s="11"/>
      <c r="N2344" s="8">
        <f t="shared" si="111"/>
        <v>0</v>
      </c>
      <c r="O2344" s="12">
        <f>0.479*M2344</f>
        <v>0</v>
      </c>
      <c r="P2344" s="13">
        <f>0.00081*M2344</f>
        <v>0</v>
      </c>
      <c r="Q2344" s="17" t="s">
        <v>37</v>
      </c>
      <c r="R2344" s="8" t="s">
        <v>8124</v>
      </c>
      <c r="S2344" s="8"/>
      <c r="T2344" s="7" t="str">
        <f>HYPERLINK("https://miland.ru/api/getInfo/image/1675941b-f507-11f0-a28d-00155d82e908")</f>
        <v>https://miland.ru/api/getInfo/image/1675941b-f507-11f0-a28d-00155d82e908</v>
      </c>
      <c r="U2344" s="7"/>
      <c r="V2344" s="7" t="s">
        <v>8073</v>
      </c>
      <c r="W2344" s="7" t="s">
        <v>8074</v>
      </c>
      <c r="X2344" s="7"/>
      <c r="Y2344" s="7" t="s">
        <v>41</v>
      </c>
      <c r="Z2344" s="7"/>
      <c r="AA2344" s="7" t="str">
        <f>HYPERLINK("https://miland.ru/api/getInfo/item/1675941b-f507-11f0-a28d-00155d82e908")</f>
        <v>https://miland.ru/api/getInfo/item/1675941b-f507-11f0-a28d-00155d82e908</v>
      </c>
      <c r="AB2344" s="7" t="s">
        <v>50</v>
      </c>
      <c r="AC2344" s="7"/>
      <c r="AD2344" s="7"/>
      <c r="AE2344" s="54"/>
    </row>
    <row r="2345" spans="2:31" s="1" customFormat="1" ht="96.3" customHeight="1" outlineLevel="6">
      <c r="B2345" s="57">
        <v>1819</v>
      </c>
      <c r="C2345" s="21" t="s">
        <v>8125</v>
      </c>
      <c r="D2345" s="72" t="s">
        <v>8126</v>
      </c>
      <c r="E2345" s="72"/>
      <c r="F2345" s="72"/>
      <c r="G2345" s="72"/>
      <c r="H2345" s="22" t="s">
        <v>8127</v>
      </c>
      <c r="I2345" s="27">
        <v>20</v>
      </c>
      <c r="J2345" s="22"/>
      <c r="K2345" s="20">
        <v>2</v>
      </c>
      <c r="L2345" s="24">
        <v>397.72</v>
      </c>
      <c r="M2345" s="11"/>
      <c r="N2345" s="22">
        <f t="shared" si="111"/>
        <v>0</v>
      </c>
      <c r="O2345" s="28">
        <f>0.59*M2345</f>
        <v>0</v>
      </c>
      <c r="P2345" s="26">
        <f>0.00112*M2345</f>
        <v>0</v>
      </c>
      <c r="Q2345" s="30"/>
      <c r="R2345" s="22" t="s">
        <v>8128</v>
      </c>
      <c r="S2345" s="22" t="s">
        <v>435</v>
      </c>
      <c r="T2345" s="21" t="str">
        <f>HYPERLINK("https://miland.ru/api/getInfo/image/e5474f1a-6367-11ea-a243-ac1f6b442184")</f>
        <v>https://miland.ru/api/getInfo/image/e5474f1a-6367-11ea-a243-ac1f6b442184</v>
      </c>
      <c r="U2345" s="21"/>
      <c r="V2345" s="21" t="s">
        <v>8073</v>
      </c>
      <c r="W2345" s="21" t="s">
        <v>8074</v>
      </c>
      <c r="X2345" s="21"/>
      <c r="Y2345" s="21" t="s">
        <v>41</v>
      </c>
      <c r="Z2345" s="21"/>
      <c r="AA2345" s="21" t="str">
        <f>HYPERLINK("https://miland.ru/api/getInfo/item/e5474f1a-6367-11ea-a243-ac1f6b442184")</f>
        <v>https://miland.ru/api/getInfo/item/e5474f1a-6367-11ea-a243-ac1f6b442184</v>
      </c>
      <c r="AB2345" s="21" t="s">
        <v>50</v>
      </c>
      <c r="AC2345" s="21" t="s">
        <v>8129</v>
      </c>
      <c r="AD2345" s="21"/>
    </row>
    <row r="2346" spans="2:31" s="1" customFormat="1" ht="96.3" customHeight="1" outlineLevel="6">
      <c r="B2346" s="58">
        <v>1820</v>
      </c>
      <c r="C2346" s="7" t="s">
        <v>8130</v>
      </c>
      <c r="D2346" s="71" t="s">
        <v>8131</v>
      </c>
      <c r="E2346" s="71"/>
      <c r="F2346" s="71"/>
      <c r="G2346" s="71"/>
      <c r="H2346" s="8" t="s">
        <v>8132</v>
      </c>
      <c r="I2346" s="14">
        <v>344</v>
      </c>
      <c r="J2346" s="8"/>
      <c r="K2346" s="6">
        <v>2</v>
      </c>
      <c r="L2346" s="10">
        <v>397.72</v>
      </c>
      <c r="M2346" s="11"/>
      <c r="N2346" s="8">
        <f t="shared" si="111"/>
        <v>0</v>
      </c>
      <c r="O2346" s="12">
        <f>0.547*M2346</f>
        <v>0</v>
      </c>
      <c r="P2346" s="13">
        <f>0.00094*M2346</f>
        <v>0</v>
      </c>
      <c r="Q2346" s="17" t="s">
        <v>37</v>
      </c>
      <c r="R2346" s="8" t="s">
        <v>8133</v>
      </c>
      <c r="S2346" s="8"/>
      <c r="T2346" s="7" t="str">
        <f>HYPERLINK("https://miland.ru/api/getInfo/image/34da3ccd-f506-11f0-a28d-00155d82e908")</f>
        <v>https://miland.ru/api/getInfo/image/34da3ccd-f506-11f0-a28d-00155d82e908</v>
      </c>
      <c r="U2346" s="7"/>
      <c r="V2346" s="7" t="s">
        <v>8073</v>
      </c>
      <c r="W2346" s="7" t="s">
        <v>8074</v>
      </c>
      <c r="X2346" s="7"/>
      <c r="Y2346" s="7" t="s">
        <v>41</v>
      </c>
      <c r="Z2346" s="7"/>
      <c r="AA2346" s="7" t="str">
        <f>HYPERLINK("https://miland.ru/api/getInfo/item/34da3ccd-f506-11f0-a28d-00155d82e908")</f>
        <v>https://miland.ru/api/getInfo/item/34da3ccd-f506-11f0-a28d-00155d82e908</v>
      </c>
      <c r="AB2346" s="7" t="s">
        <v>50</v>
      </c>
      <c r="AC2346" s="7"/>
      <c r="AD2346" s="7"/>
      <c r="AE2346" s="54"/>
    </row>
    <row r="2347" spans="2:31" s="1" customFormat="1" ht="96.3" customHeight="1" outlineLevel="6">
      <c r="B2347" s="57">
        <v>1821</v>
      </c>
      <c r="C2347" s="21" t="s">
        <v>8134</v>
      </c>
      <c r="D2347" s="72" t="s">
        <v>8135</v>
      </c>
      <c r="E2347" s="72"/>
      <c r="F2347" s="72"/>
      <c r="G2347" s="72"/>
      <c r="H2347" s="22" t="s">
        <v>8136</v>
      </c>
      <c r="I2347" s="27">
        <v>319</v>
      </c>
      <c r="J2347" s="22"/>
      <c r="K2347" s="20">
        <v>2</v>
      </c>
      <c r="L2347" s="24">
        <v>397.72</v>
      </c>
      <c r="M2347" s="11"/>
      <c r="N2347" s="22">
        <f t="shared" si="111"/>
        <v>0</v>
      </c>
      <c r="O2347" s="28">
        <f>0.56*M2347</f>
        <v>0</v>
      </c>
      <c r="P2347" s="26">
        <f>0.00079*M2347</f>
        <v>0</v>
      </c>
      <c r="Q2347" s="30"/>
      <c r="R2347" s="22" t="s">
        <v>8137</v>
      </c>
      <c r="S2347" s="22" t="s">
        <v>435</v>
      </c>
      <c r="T2347" s="21" t="str">
        <f>HYPERLINK("https://miland.ru/api/getInfo/image/9914241e-baa6-11ee-a25a-00155d82e908")</f>
        <v>https://miland.ru/api/getInfo/image/9914241e-baa6-11ee-a25a-00155d82e908</v>
      </c>
      <c r="U2347" s="21"/>
      <c r="V2347" s="21" t="s">
        <v>8073</v>
      </c>
      <c r="W2347" s="21" t="s">
        <v>8074</v>
      </c>
      <c r="X2347" s="21"/>
      <c r="Y2347" s="21" t="s">
        <v>41</v>
      </c>
      <c r="Z2347" s="21"/>
      <c r="AA2347" s="21" t="str">
        <f>HYPERLINK("https://miland.ru/api/getInfo/item/9914241e-baa6-11ee-a25a-00155d82e908")</f>
        <v>https://miland.ru/api/getInfo/item/9914241e-baa6-11ee-a25a-00155d82e908</v>
      </c>
      <c r="AB2347" s="21" t="s">
        <v>50</v>
      </c>
      <c r="AC2347" s="21" t="s">
        <v>8138</v>
      </c>
      <c r="AD2347" s="21"/>
    </row>
    <row r="2348" spans="2:31" s="1" customFormat="1" ht="96.3" customHeight="1" outlineLevel="6">
      <c r="B2348" s="57">
        <v>1822</v>
      </c>
      <c r="C2348" s="21" t="s">
        <v>8139</v>
      </c>
      <c r="D2348" s="72" t="s">
        <v>8140</v>
      </c>
      <c r="E2348" s="72"/>
      <c r="F2348" s="72"/>
      <c r="G2348" s="72"/>
      <c r="H2348" s="22" t="s">
        <v>8141</v>
      </c>
      <c r="I2348" s="27">
        <v>348</v>
      </c>
      <c r="J2348" s="22"/>
      <c r="K2348" s="20">
        <v>2</v>
      </c>
      <c r="L2348" s="24">
        <v>397.72</v>
      </c>
      <c r="M2348" s="11"/>
      <c r="N2348" s="22">
        <f t="shared" si="111"/>
        <v>0</v>
      </c>
      <c r="O2348" s="28">
        <f>0.56*M2348</f>
        <v>0</v>
      </c>
      <c r="P2348" s="26">
        <f>0.00079*M2348</f>
        <v>0</v>
      </c>
      <c r="Q2348" s="30"/>
      <c r="R2348" s="22" t="s">
        <v>8142</v>
      </c>
      <c r="S2348" s="22" t="s">
        <v>435</v>
      </c>
      <c r="T2348" s="21" t="str">
        <f>HYPERLINK("https://miland.ru/api/getInfo/image/e1716227-baa6-11ee-a25a-00155d82e908")</f>
        <v>https://miland.ru/api/getInfo/image/e1716227-baa6-11ee-a25a-00155d82e908</v>
      </c>
      <c r="U2348" s="21"/>
      <c r="V2348" s="21" t="s">
        <v>8073</v>
      </c>
      <c r="W2348" s="21" t="s">
        <v>8074</v>
      </c>
      <c r="X2348" s="21"/>
      <c r="Y2348" s="21" t="s">
        <v>41</v>
      </c>
      <c r="Z2348" s="21"/>
      <c r="AA2348" s="21" t="str">
        <f>HYPERLINK("https://miland.ru/api/getInfo/item/e1716227-baa6-11ee-a25a-00155d82e908")</f>
        <v>https://miland.ru/api/getInfo/item/e1716227-baa6-11ee-a25a-00155d82e908</v>
      </c>
      <c r="AB2348" s="21" t="s">
        <v>50</v>
      </c>
      <c r="AC2348" s="21" t="s">
        <v>8138</v>
      </c>
      <c r="AD2348" s="21"/>
    </row>
    <row r="2349" spans="2:31" s="1" customFormat="1" ht="96.3" customHeight="1" outlineLevel="6">
      <c r="B2349" s="57">
        <v>1823</v>
      </c>
      <c r="C2349" s="21" t="s">
        <v>8143</v>
      </c>
      <c r="D2349" s="72" t="s">
        <v>8144</v>
      </c>
      <c r="E2349" s="72"/>
      <c r="F2349" s="72"/>
      <c r="G2349" s="72"/>
      <c r="H2349" s="22" t="s">
        <v>8145</v>
      </c>
      <c r="I2349" s="27">
        <v>69</v>
      </c>
      <c r="J2349" s="22"/>
      <c r="K2349" s="20">
        <v>2</v>
      </c>
      <c r="L2349" s="24">
        <v>397.72</v>
      </c>
      <c r="M2349" s="11"/>
      <c r="N2349" s="22">
        <f t="shared" si="111"/>
        <v>0</v>
      </c>
      <c r="O2349" s="25">
        <f>0.593*M2349</f>
        <v>0</v>
      </c>
      <c r="P2349" s="26">
        <f>0.00076*M2349</f>
        <v>0</v>
      </c>
      <c r="Q2349" s="30"/>
      <c r="R2349" s="22" t="s">
        <v>8146</v>
      </c>
      <c r="S2349" s="22" t="s">
        <v>435</v>
      </c>
      <c r="T2349" s="21" t="str">
        <f>HYPERLINK("https://miland.ru/api/getInfo/image/10e69845-e20c-11ef-a274-00155d82e908")</f>
        <v>https://miland.ru/api/getInfo/image/10e69845-e20c-11ef-a274-00155d82e908</v>
      </c>
      <c r="U2349" s="21"/>
      <c r="V2349" s="21" t="s">
        <v>8073</v>
      </c>
      <c r="W2349" s="21" t="s">
        <v>8074</v>
      </c>
      <c r="X2349" s="21"/>
      <c r="Y2349" s="21" t="s">
        <v>41</v>
      </c>
      <c r="Z2349" s="21"/>
      <c r="AA2349" s="21" t="str">
        <f>HYPERLINK("https://miland.ru/api/getInfo/item/10e69845-e20c-11ef-a274-00155d82e908")</f>
        <v>https://miland.ru/api/getInfo/item/10e69845-e20c-11ef-a274-00155d82e908</v>
      </c>
      <c r="AB2349" s="21" t="s">
        <v>50</v>
      </c>
      <c r="AC2349" s="21"/>
      <c r="AD2349" s="21"/>
    </row>
    <row r="2350" spans="2:31" s="1" customFormat="1" ht="96.3" customHeight="1" outlineLevel="6">
      <c r="B2350" s="58">
        <v>1824</v>
      </c>
      <c r="C2350" s="7" t="s">
        <v>8147</v>
      </c>
      <c r="D2350" s="71" t="s">
        <v>8148</v>
      </c>
      <c r="E2350" s="71"/>
      <c r="F2350" s="71"/>
      <c r="G2350" s="71"/>
      <c r="H2350" s="8" t="s">
        <v>8149</v>
      </c>
      <c r="I2350" s="14">
        <v>348</v>
      </c>
      <c r="J2350" s="8"/>
      <c r="K2350" s="6">
        <v>2</v>
      </c>
      <c r="L2350" s="10">
        <v>397.72</v>
      </c>
      <c r="M2350" s="11"/>
      <c r="N2350" s="8">
        <f t="shared" si="111"/>
        <v>0</v>
      </c>
      <c r="O2350" s="12">
        <f>0.547*M2350</f>
        <v>0</v>
      </c>
      <c r="P2350" s="13">
        <f>0.00094*M2350</f>
        <v>0</v>
      </c>
      <c r="Q2350" s="17" t="s">
        <v>37</v>
      </c>
      <c r="R2350" s="8" t="s">
        <v>8150</v>
      </c>
      <c r="S2350" s="8"/>
      <c r="T2350" s="7" t="str">
        <f>HYPERLINK("https://miland.ru/api/getInfo/image/a40aeca2-f506-11f0-a28d-00155d82e908")</f>
        <v>https://miland.ru/api/getInfo/image/a40aeca2-f506-11f0-a28d-00155d82e908</v>
      </c>
      <c r="U2350" s="7"/>
      <c r="V2350" s="7" t="s">
        <v>8073</v>
      </c>
      <c r="W2350" s="7" t="s">
        <v>8074</v>
      </c>
      <c r="X2350" s="7"/>
      <c r="Y2350" s="7" t="s">
        <v>41</v>
      </c>
      <c r="Z2350" s="7"/>
      <c r="AA2350" s="7" t="str">
        <f>HYPERLINK("https://miland.ru/api/getInfo/item/a40aeca2-f506-11f0-a28d-00155d82e908")</f>
        <v>https://miland.ru/api/getInfo/item/a40aeca2-f506-11f0-a28d-00155d82e908</v>
      </c>
      <c r="AB2350" s="7" t="s">
        <v>50</v>
      </c>
      <c r="AC2350" s="7"/>
      <c r="AD2350" s="7"/>
      <c r="AE2350" s="54"/>
    </row>
    <row r="2351" spans="2:31" s="1" customFormat="1" ht="96.3" customHeight="1" outlineLevel="6">
      <c r="B2351" s="57">
        <v>1825</v>
      </c>
      <c r="C2351" s="21" t="s">
        <v>8151</v>
      </c>
      <c r="D2351" s="72" t="s">
        <v>8152</v>
      </c>
      <c r="E2351" s="72"/>
      <c r="F2351" s="72"/>
      <c r="G2351" s="72"/>
      <c r="H2351" s="22" t="s">
        <v>8153</v>
      </c>
      <c r="I2351" s="27">
        <v>62</v>
      </c>
      <c r="J2351" s="22"/>
      <c r="K2351" s="20">
        <v>2</v>
      </c>
      <c r="L2351" s="24">
        <v>397.72</v>
      </c>
      <c r="M2351" s="11"/>
      <c r="N2351" s="22">
        <f t="shared" si="111"/>
        <v>0</v>
      </c>
      <c r="O2351" s="28">
        <f>0.56*M2351</f>
        <v>0</v>
      </c>
      <c r="P2351" s="26">
        <f>0.00079*M2351</f>
        <v>0</v>
      </c>
      <c r="Q2351" s="30"/>
      <c r="R2351" s="22" t="s">
        <v>8154</v>
      </c>
      <c r="S2351" s="22" t="s">
        <v>435</v>
      </c>
      <c r="T2351" s="21" t="str">
        <f>HYPERLINK("https://miland.ru/api/getInfo/image/aec02d38-baa6-11ee-a25a-00155d82e908")</f>
        <v>https://miland.ru/api/getInfo/image/aec02d38-baa6-11ee-a25a-00155d82e908</v>
      </c>
      <c r="U2351" s="21"/>
      <c r="V2351" s="21" t="s">
        <v>8073</v>
      </c>
      <c r="W2351" s="21" t="s">
        <v>8074</v>
      </c>
      <c r="X2351" s="21"/>
      <c r="Y2351" s="21" t="s">
        <v>41</v>
      </c>
      <c r="Z2351" s="21"/>
      <c r="AA2351" s="21" t="str">
        <f>HYPERLINK("https://miland.ru/api/getInfo/item/aec02d38-baa6-11ee-a25a-00155d82e908")</f>
        <v>https://miland.ru/api/getInfo/item/aec02d38-baa6-11ee-a25a-00155d82e908</v>
      </c>
      <c r="AB2351" s="21" t="s">
        <v>50</v>
      </c>
      <c r="AC2351" s="21" t="s">
        <v>8138</v>
      </c>
      <c r="AD2351" s="21"/>
    </row>
    <row r="2352" spans="2:31" s="1" customFormat="1" ht="96.3" customHeight="1" outlineLevel="6">
      <c r="B2352" s="58">
        <v>1826</v>
      </c>
      <c r="C2352" s="7" t="s">
        <v>8155</v>
      </c>
      <c r="D2352" s="71" t="s">
        <v>8156</v>
      </c>
      <c r="E2352" s="71"/>
      <c r="F2352" s="71"/>
      <c r="G2352" s="71"/>
      <c r="H2352" s="8" t="s">
        <v>8157</v>
      </c>
      <c r="I2352" s="14">
        <v>302</v>
      </c>
      <c r="J2352" s="8"/>
      <c r="K2352" s="6">
        <v>2</v>
      </c>
      <c r="L2352" s="10">
        <v>397.72</v>
      </c>
      <c r="M2352" s="11"/>
      <c r="N2352" s="8">
        <f t="shared" si="111"/>
        <v>0</v>
      </c>
      <c r="O2352" s="12">
        <f>0.547*M2352</f>
        <v>0</v>
      </c>
      <c r="P2352" s="13">
        <f>0.00094*M2352</f>
        <v>0</v>
      </c>
      <c r="Q2352" s="17" t="s">
        <v>37</v>
      </c>
      <c r="R2352" s="8" t="s">
        <v>8158</v>
      </c>
      <c r="S2352" s="8"/>
      <c r="T2352" s="7" t="str">
        <f>HYPERLINK("https://miland.ru/api/getInfo/image/f46c9a2b-f506-11f0-a28d-00155d82e908")</f>
        <v>https://miland.ru/api/getInfo/image/f46c9a2b-f506-11f0-a28d-00155d82e908</v>
      </c>
      <c r="U2352" s="7"/>
      <c r="V2352" s="7" t="s">
        <v>8073</v>
      </c>
      <c r="W2352" s="7" t="s">
        <v>8074</v>
      </c>
      <c r="X2352" s="7"/>
      <c r="Y2352" s="7" t="s">
        <v>41</v>
      </c>
      <c r="Z2352" s="7"/>
      <c r="AA2352" s="7" t="str">
        <f>HYPERLINK("https://miland.ru/api/getInfo/item/f46c9a2b-f506-11f0-a28d-00155d82e908")</f>
        <v>https://miland.ru/api/getInfo/item/f46c9a2b-f506-11f0-a28d-00155d82e908</v>
      </c>
      <c r="AB2352" s="7" t="s">
        <v>50</v>
      </c>
      <c r="AC2352" s="7"/>
      <c r="AD2352" s="7"/>
      <c r="AE2352" s="54"/>
    </row>
    <row r="2353" spans="2:31" s="1" customFormat="1" ht="96.3" customHeight="1" outlineLevel="6">
      <c r="B2353" s="57">
        <v>1827</v>
      </c>
      <c r="C2353" s="21" t="s">
        <v>8159</v>
      </c>
      <c r="D2353" s="72" t="s">
        <v>8160</v>
      </c>
      <c r="E2353" s="72"/>
      <c r="F2353" s="72"/>
      <c r="G2353" s="72"/>
      <c r="H2353" s="22" t="s">
        <v>8161</v>
      </c>
      <c r="I2353" s="27">
        <v>187</v>
      </c>
      <c r="J2353" s="22"/>
      <c r="K2353" s="20">
        <v>2</v>
      </c>
      <c r="L2353" s="24">
        <v>397.72</v>
      </c>
      <c r="M2353" s="11"/>
      <c r="N2353" s="22">
        <f t="shared" si="111"/>
        <v>0</v>
      </c>
      <c r="O2353" s="28">
        <f>0.56*M2353</f>
        <v>0</v>
      </c>
      <c r="P2353" s="26">
        <f>0.00079*M2353</f>
        <v>0</v>
      </c>
      <c r="Q2353" s="30"/>
      <c r="R2353" s="22" t="s">
        <v>8162</v>
      </c>
      <c r="S2353" s="22" t="s">
        <v>435</v>
      </c>
      <c r="T2353" s="21" t="str">
        <f>HYPERLINK("https://miland.ru/api/getInfo/image/cb128842-baa6-11ee-a25a-00155d82e908")</f>
        <v>https://miland.ru/api/getInfo/image/cb128842-baa6-11ee-a25a-00155d82e908</v>
      </c>
      <c r="U2353" s="21"/>
      <c r="V2353" s="21" t="s">
        <v>8073</v>
      </c>
      <c r="W2353" s="21" t="s">
        <v>8074</v>
      </c>
      <c r="X2353" s="21"/>
      <c r="Y2353" s="21" t="s">
        <v>41</v>
      </c>
      <c r="Z2353" s="21"/>
      <c r="AA2353" s="21" t="str">
        <f>HYPERLINK("https://miland.ru/api/getInfo/item/cb128842-baa6-11ee-a25a-00155d82e908")</f>
        <v>https://miland.ru/api/getInfo/item/cb128842-baa6-11ee-a25a-00155d82e908</v>
      </c>
      <c r="AB2353" s="21" t="s">
        <v>50</v>
      </c>
      <c r="AC2353" s="21" t="s">
        <v>8138</v>
      </c>
      <c r="AD2353" s="21"/>
    </row>
    <row r="2354" spans="2:31" s="1" customFormat="1" ht="96.3" customHeight="1" outlineLevel="6">
      <c r="B2354" s="58">
        <v>1828</v>
      </c>
      <c r="C2354" s="7" t="s">
        <v>8163</v>
      </c>
      <c r="D2354" s="71" t="s">
        <v>8164</v>
      </c>
      <c r="E2354" s="71"/>
      <c r="F2354" s="71"/>
      <c r="G2354" s="71"/>
      <c r="H2354" s="8" t="s">
        <v>8165</v>
      </c>
      <c r="I2354" s="14">
        <v>354</v>
      </c>
      <c r="J2354" s="8"/>
      <c r="K2354" s="6">
        <v>2</v>
      </c>
      <c r="L2354" s="10">
        <v>397.72</v>
      </c>
      <c r="M2354" s="11"/>
      <c r="N2354" s="8">
        <f t="shared" si="111"/>
        <v>0</v>
      </c>
      <c r="O2354" s="12">
        <f>0.547*M2354</f>
        <v>0</v>
      </c>
      <c r="P2354" s="13">
        <f>0.00094*M2354</f>
        <v>0</v>
      </c>
      <c r="Q2354" s="17" t="s">
        <v>37</v>
      </c>
      <c r="R2354" s="8" t="s">
        <v>8166</v>
      </c>
      <c r="S2354" s="8"/>
      <c r="T2354" s="7" t="str">
        <f>HYPERLINK("https://miland.ru/api/getInfo/image/7602f191-f506-11f0-a28d-00155d82e908")</f>
        <v>https://miland.ru/api/getInfo/image/7602f191-f506-11f0-a28d-00155d82e908</v>
      </c>
      <c r="U2354" s="7"/>
      <c r="V2354" s="7" t="s">
        <v>8073</v>
      </c>
      <c r="W2354" s="7" t="s">
        <v>8074</v>
      </c>
      <c r="X2354" s="7"/>
      <c r="Y2354" s="7" t="s">
        <v>41</v>
      </c>
      <c r="Z2354" s="7"/>
      <c r="AA2354" s="7" t="str">
        <f>HYPERLINK("https://miland.ru/api/getInfo/item/7602f191-f506-11f0-a28d-00155d82e908")</f>
        <v>https://miland.ru/api/getInfo/item/7602f191-f506-11f0-a28d-00155d82e908</v>
      </c>
      <c r="AB2354" s="7" t="s">
        <v>50</v>
      </c>
      <c r="AC2354" s="7"/>
      <c r="AD2354" s="7"/>
      <c r="AE2354" s="54"/>
    </row>
    <row r="2355" spans="2:31" s="1" customFormat="1" ht="96.3" customHeight="1" outlineLevel="6">
      <c r="B2355" s="58">
        <v>1829</v>
      </c>
      <c r="C2355" s="7" t="s">
        <v>8167</v>
      </c>
      <c r="D2355" s="71" t="s">
        <v>8168</v>
      </c>
      <c r="E2355" s="71"/>
      <c r="F2355" s="71"/>
      <c r="G2355" s="71"/>
      <c r="H2355" s="8" t="s">
        <v>8169</v>
      </c>
      <c r="I2355" s="14">
        <v>312</v>
      </c>
      <c r="J2355" s="8"/>
      <c r="K2355" s="6">
        <v>2</v>
      </c>
      <c r="L2355" s="10">
        <v>397.72</v>
      </c>
      <c r="M2355" s="11"/>
      <c r="N2355" s="8">
        <f t="shared" si="111"/>
        <v>0</v>
      </c>
      <c r="O2355" s="12">
        <f>0.547*M2355</f>
        <v>0</v>
      </c>
      <c r="P2355" s="13">
        <f>0.00094*M2355</f>
        <v>0</v>
      </c>
      <c r="Q2355" s="17" t="s">
        <v>37</v>
      </c>
      <c r="R2355" s="8" t="s">
        <v>8170</v>
      </c>
      <c r="S2355" s="8"/>
      <c r="T2355" s="7" t="str">
        <f>HYPERLINK("https://miland.ru/api/getInfo/image/cfdd69ab-f506-11f0-a28d-00155d82e908")</f>
        <v>https://miland.ru/api/getInfo/image/cfdd69ab-f506-11f0-a28d-00155d82e908</v>
      </c>
      <c r="U2355" s="7"/>
      <c r="V2355" s="7" t="s">
        <v>8073</v>
      </c>
      <c r="W2355" s="7" t="s">
        <v>8074</v>
      </c>
      <c r="X2355" s="7"/>
      <c r="Y2355" s="7" t="s">
        <v>41</v>
      </c>
      <c r="Z2355" s="7"/>
      <c r="AA2355" s="7" t="str">
        <f>HYPERLINK("https://miland.ru/api/getInfo/item/cfdd69ab-f506-11f0-a28d-00155d82e908")</f>
        <v>https://miland.ru/api/getInfo/item/cfdd69ab-f506-11f0-a28d-00155d82e908</v>
      </c>
      <c r="AB2355" s="7" t="s">
        <v>50</v>
      </c>
      <c r="AC2355" s="7"/>
      <c r="AD2355" s="7"/>
      <c r="AE2355" s="54"/>
    </row>
    <row r="2356" spans="2:31" s="1" customFormat="1" ht="96.3" customHeight="1" outlineLevel="6">
      <c r="B2356" s="57">
        <v>1830</v>
      </c>
      <c r="C2356" s="21" t="s">
        <v>8171</v>
      </c>
      <c r="D2356" s="72" t="s">
        <v>8172</v>
      </c>
      <c r="E2356" s="72"/>
      <c r="F2356" s="72"/>
      <c r="G2356" s="72"/>
      <c r="H2356" s="22" t="s">
        <v>8173</v>
      </c>
      <c r="I2356" s="27">
        <v>93</v>
      </c>
      <c r="J2356" s="22"/>
      <c r="K2356" s="20">
        <v>2</v>
      </c>
      <c r="L2356" s="24">
        <v>397.72</v>
      </c>
      <c r="M2356" s="11"/>
      <c r="N2356" s="22">
        <f t="shared" si="111"/>
        <v>0</v>
      </c>
      <c r="O2356" s="28">
        <f>0.56*M2356</f>
        <v>0</v>
      </c>
      <c r="P2356" s="26">
        <f>0.00079*M2356</f>
        <v>0</v>
      </c>
      <c r="Q2356" s="30"/>
      <c r="R2356" s="22" t="s">
        <v>8174</v>
      </c>
      <c r="S2356" s="22" t="s">
        <v>435</v>
      </c>
      <c r="T2356" s="21" t="str">
        <f>HYPERLINK("https://miland.ru/api/getInfo/image/88711625-baa5-11ee-a25a-00155d82e908")</f>
        <v>https://miland.ru/api/getInfo/image/88711625-baa5-11ee-a25a-00155d82e908</v>
      </c>
      <c r="U2356" s="21"/>
      <c r="V2356" s="21" t="s">
        <v>8073</v>
      </c>
      <c r="W2356" s="21" t="s">
        <v>8074</v>
      </c>
      <c r="X2356" s="21"/>
      <c r="Y2356" s="21" t="s">
        <v>41</v>
      </c>
      <c r="Z2356" s="21"/>
      <c r="AA2356" s="21" t="str">
        <f>HYPERLINK("https://miland.ru/api/getInfo/item/88711625-baa5-11ee-a25a-00155d82e908")</f>
        <v>https://miland.ru/api/getInfo/item/88711625-baa5-11ee-a25a-00155d82e908</v>
      </c>
      <c r="AB2356" s="21" t="s">
        <v>50</v>
      </c>
      <c r="AC2356" s="21" t="s">
        <v>8138</v>
      </c>
      <c r="AD2356" s="21"/>
    </row>
    <row r="2357" spans="2:31" ht="12" customHeight="1" outlineLevel="5">
      <c r="B2357" s="70" t="s">
        <v>8175</v>
      </c>
      <c r="C2357" s="70"/>
      <c r="D2357" s="70"/>
      <c r="E2357" s="70"/>
      <c r="F2357" s="70"/>
      <c r="G2357" s="70"/>
    </row>
    <row r="2358" spans="2:31" s="1" customFormat="1" ht="96.3" customHeight="1" outlineLevel="6">
      <c r="B2358" s="57">
        <v>1831</v>
      </c>
      <c r="C2358" s="21" t="s">
        <v>8176</v>
      </c>
      <c r="D2358" s="72" t="s">
        <v>8177</v>
      </c>
      <c r="E2358" s="72"/>
      <c r="F2358" s="72"/>
      <c r="G2358" s="72"/>
      <c r="H2358" s="22" t="s">
        <v>8178</v>
      </c>
      <c r="I2358" s="23" t="s">
        <v>36</v>
      </c>
      <c r="J2358" s="22"/>
      <c r="K2358" s="20">
        <v>1</v>
      </c>
      <c r="L2358" s="24">
        <v>444.82</v>
      </c>
      <c r="M2358" s="11"/>
      <c r="N2358" s="22">
        <f t="shared" ref="N2358:N2370" si="112">L2358*M2358</f>
        <v>0</v>
      </c>
      <c r="O2358" s="25">
        <f>0.548*M2358</f>
        <v>0</v>
      </c>
      <c r="P2358" s="26">
        <f>0.00163*M2358</f>
        <v>0</v>
      </c>
      <c r="Q2358" s="30"/>
      <c r="R2358" s="22" t="s">
        <v>8179</v>
      </c>
      <c r="S2358" s="22" t="s">
        <v>435</v>
      </c>
      <c r="T2358" s="21" t="str">
        <f>HYPERLINK("https://miland.ru/api/getInfo/image/403eae12-bab1-11ee-a25a-00155d82e908")</f>
        <v>https://miland.ru/api/getInfo/image/403eae12-bab1-11ee-a25a-00155d82e908</v>
      </c>
      <c r="U2358" s="21"/>
      <c r="V2358" s="21" t="s">
        <v>8073</v>
      </c>
      <c r="W2358" s="21" t="s">
        <v>8074</v>
      </c>
      <c r="X2358" s="21"/>
      <c r="Y2358" s="21" t="s">
        <v>41</v>
      </c>
      <c r="Z2358" s="21"/>
      <c r="AA2358" s="21" t="str">
        <f>HYPERLINK("https://miland.ru/api/getInfo/item/403eae12-bab1-11ee-a25a-00155d82e908")</f>
        <v>https://miland.ru/api/getInfo/item/403eae12-bab1-11ee-a25a-00155d82e908</v>
      </c>
      <c r="AB2358" s="21" t="s">
        <v>50</v>
      </c>
      <c r="AC2358" s="21" t="s">
        <v>8111</v>
      </c>
      <c r="AD2358" s="21"/>
    </row>
    <row r="2359" spans="2:31" s="1" customFormat="1" ht="96.3" customHeight="1" outlineLevel="6">
      <c r="B2359" s="58">
        <v>1832</v>
      </c>
      <c r="C2359" s="7" t="s">
        <v>8180</v>
      </c>
      <c r="D2359" s="71" t="s">
        <v>8181</v>
      </c>
      <c r="E2359" s="71"/>
      <c r="F2359" s="71"/>
      <c r="G2359" s="71"/>
      <c r="H2359" s="8" t="s">
        <v>8182</v>
      </c>
      <c r="I2359" s="14">
        <v>377</v>
      </c>
      <c r="J2359" s="8"/>
      <c r="K2359" s="6">
        <v>1</v>
      </c>
      <c r="L2359" s="10">
        <v>444.82</v>
      </c>
      <c r="M2359" s="11"/>
      <c r="N2359" s="8">
        <f t="shared" si="112"/>
        <v>0</v>
      </c>
      <c r="O2359" s="18">
        <f>0.05*M2359</f>
        <v>0</v>
      </c>
      <c r="P2359" s="16">
        <f>0.0007*M2359</f>
        <v>0</v>
      </c>
      <c r="Q2359" s="17" t="s">
        <v>37</v>
      </c>
      <c r="R2359" s="8" t="s">
        <v>8183</v>
      </c>
      <c r="S2359" s="8"/>
      <c r="T2359" s="7" t="str">
        <f>HYPERLINK("https://miland.ru/api/getInfo/image/72ee78e2-f50c-11f0-a28d-00155d82e908")</f>
        <v>https://miland.ru/api/getInfo/image/72ee78e2-f50c-11f0-a28d-00155d82e908</v>
      </c>
      <c r="U2359" s="7"/>
      <c r="V2359" s="7" t="s">
        <v>8073</v>
      </c>
      <c r="W2359" s="7" t="s">
        <v>8074</v>
      </c>
      <c r="X2359" s="7"/>
      <c r="Y2359" s="7" t="s">
        <v>41</v>
      </c>
      <c r="Z2359" s="7"/>
      <c r="AA2359" s="7" t="str">
        <f>HYPERLINK("https://miland.ru/api/getInfo/item/72ee78e2-f50c-11f0-a28d-00155d82e908")</f>
        <v>https://miland.ru/api/getInfo/item/72ee78e2-f50c-11f0-a28d-00155d82e908</v>
      </c>
      <c r="AB2359" s="7" t="s">
        <v>50</v>
      </c>
      <c r="AC2359" s="7"/>
      <c r="AD2359" s="7"/>
      <c r="AE2359" s="54"/>
    </row>
    <row r="2360" spans="2:31" s="1" customFormat="1" ht="96.3" customHeight="1" outlineLevel="6">
      <c r="B2360" s="58">
        <v>1833</v>
      </c>
      <c r="C2360" s="7" t="s">
        <v>8184</v>
      </c>
      <c r="D2360" s="71" t="s">
        <v>8185</v>
      </c>
      <c r="E2360" s="71"/>
      <c r="F2360" s="71"/>
      <c r="G2360" s="71"/>
      <c r="H2360" s="8" t="s">
        <v>8186</v>
      </c>
      <c r="I2360" s="14">
        <v>363</v>
      </c>
      <c r="J2360" s="8"/>
      <c r="K2360" s="6">
        <v>1</v>
      </c>
      <c r="L2360" s="10">
        <v>444.82</v>
      </c>
      <c r="M2360" s="11"/>
      <c r="N2360" s="8">
        <f t="shared" si="112"/>
        <v>0</v>
      </c>
      <c r="O2360" s="12">
        <f>0.593*M2360</f>
        <v>0</v>
      </c>
      <c r="P2360" s="13">
        <f>0.00076*M2360</f>
        <v>0</v>
      </c>
      <c r="Q2360" s="17" t="s">
        <v>37</v>
      </c>
      <c r="R2360" s="8" t="s">
        <v>8187</v>
      </c>
      <c r="S2360" s="8"/>
      <c r="T2360" s="7" t="str">
        <f>HYPERLINK("https://miland.ru/api/getInfo/image/d054628b-f50c-11f0-a28d-00155d82e908")</f>
        <v>https://miland.ru/api/getInfo/image/d054628b-f50c-11f0-a28d-00155d82e908</v>
      </c>
      <c r="U2360" s="7"/>
      <c r="V2360" s="7" t="s">
        <v>8073</v>
      </c>
      <c r="W2360" s="7" t="s">
        <v>8074</v>
      </c>
      <c r="X2360" s="7"/>
      <c r="Y2360" s="7" t="s">
        <v>41</v>
      </c>
      <c r="Z2360" s="7"/>
      <c r="AA2360" s="7" t="str">
        <f>HYPERLINK("https://miland.ru/api/getInfo/item/d054628b-f50c-11f0-a28d-00155d82e908")</f>
        <v>https://miland.ru/api/getInfo/item/d054628b-f50c-11f0-a28d-00155d82e908</v>
      </c>
      <c r="AB2360" s="7" t="s">
        <v>50</v>
      </c>
      <c r="AC2360" s="7"/>
      <c r="AD2360" s="7"/>
      <c r="AE2360" s="54"/>
    </row>
    <row r="2361" spans="2:31" s="1" customFormat="1" ht="96.3" customHeight="1" outlineLevel="6">
      <c r="B2361" s="57">
        <v>1834</v>
      </c>
      <c r="C2361" s="21" t="s">
        <v>8188</v>
      </c>
      <c r="D2361" s="72" t="s">
        <v>8189</v>
      </c>
      <c r="E2361" s="72"/>
      <c r="F2361" s="72"/>
      <c r="G2361" s="72"/>
      <c r="H2361" s="22" t="s">
        <v>8190</v>
      </c>
      <c r="I2361" s="23" t="s">
        <v>36</v>
      </c>
      <c r="J2361" s="22"/>
      <c r="K2361" s="20">
        <v>1</v>
      </c>
      <c r="L2361" s="24">
        <v>444.82</v>
      </c>
      <c r="M2361" s="11"/>
      <c r="N2361" s="22">
        <f t="shared" si="112"/>
        <v>0</v>
      </c>
      <c r="O2361" s="25">
        <f>0.561*M2361</f>
        <v>0</v>
      </c>
      <c r="P2361" s="29">
        <f>0.0009*M2361</f>
        <v>0</v>
      </c>
      <c r="Q2361" s="30"/>
      <c r="R2361" s="22" t="s">
        <v>8191</v>
      </c>
      <c r="S2361" s="22" t="s">
        <v>435</v>
      </c>
      <c r="T2361" s="21" t="str">
        <f>HYPERLINK("https://miland.ru/api/getInfo/image/1bb565b8-bab1-11ee-a25a-00155d82e908")</f>
        <v>https://miland.ru/api/getInfo/image/1bb565b8-bab1-11ee-a25a-00155d82e908</v>
      </c>
      <c r="U2361" s="21"/>
      <c r="V2361" s="21" t="s">
        <v>8073</v>
      </c>
      <c r="W2361" s="21" t="s">
        <v>8074</v>
      </c>
      <c r="X2361" s="21"/>
      <c r="Y2361" s="21" t="s">
        <v>41</v>
      </c>
      <c r="Z2361" s="21"/>
      <c r="AA2361" s="21" t="str">
        <f>HYPERLINK("https://miland.ru/api/getInfo/item/1bb565b8-bab1-11ee-a25a-00155d82e908")</f>
        <v>https://miland.ru/api/getInfo/item/1bb565b8-bab1-11ee-a25a-00155d82e908</v>
      </c>
      <c r="AB2361" s="21" t="s">
        <v>50</v>
      </c>
      <c r="AC2361" s="21" t="s">
        <v>8111</v>
      </c>
      <c r="AD2361" s="21"/>
    </row>
    <row r="2362" spans="2:31" s="1" customFormat="1" ht="96.3" customHeight="1" outlineLevel="6">
      <c r="B2362" s="57">
        <v>1835</v>
      </c>
      <c r="C2362" s="21" t="s">
        <v>8192</v>
      </c>
      <c r="D2362" s="72" t="s">
        <v>8193</v>
      </c>
      <c r="E2362" s="72"/>
      <c r="F2362" s="72"/>
      <c r="G2362" s="72"/>
      <c r="H2362" s="22" t="s">
        <v>8194</v>
      </c>
      <c r="I2362" s="23" t="s">
        <v>36</v>
      </c>
      <c r="J2362" s="22"/>
      <c r="K2362" s="20">
        <v>1</v>
      </c>
      <c r="L2362" s="24">
        <v>444.82</v>
      </c>
      <c r="M2362" s="11"/>
      <c r="N2362" s="22">
        <f t="shared" si="112"/>
        <v>0</v>
      </c>
      <c r="O2362" s="25">
        <f>0.557*M2362</f>
        <v>0</v>
      </c>
      <c r="P2362" s="26">
        <f>0.00129*M2362</f>
        <v>0</v>
      </c>
      <c r="Q2362" s="30"/>
      <c r="R2362" s="22" t="s">
        <v>8195</v>
      </c>
      <c r="S2362" s="22" t="s">
        <v>435</v>
      </c>
      <c r="T2362" s="21" t="str">
        <f>HYPERLINK("https://miland.ru/api/getInfo/image/13c0d20a-e210-11ef-a274-00155d82e908")</f>
        <v>https://miland.ru/api/getInfo/image/13c0d20a-e210-11ef-a274-00155d82e908</v>
      </c>
      <c r="U2362" s="21"/>
      <c r="V2362" s="21" t="s">
        <v>8073</v>
      </c>
      <c r="W2362" s="21" t="s">
        <v>8074</v>
      </c>
      <c r="X2362" s="21"/>
      <c r="Y2362" s="21" t="s">
        <v>41</v>
      </c>
      <c r="Z2362" s="21"/>
      <c r="AA2362" s="21" t="str">
        <f>HYPERLINK("https://miland.ru/api/getInfo/item/13c0d20a-e210-11ef-a274-00155d82e908")</f>
        <v>https://miland.ru/api/getInfo/item/13c0d20a-e210-11ef-a274-00155d82e908</v>
      </c>
      <c r="AB2362" s="21" t="s">
        <v>50</v>
      </c>
      <c r="AC2362" s="21"/>
      <c r="AD2362" s="21"/>
    </row>
    <row r="2363" spans="2:31" s="1" customFormat="1" ht="96.3" customHeight="1" outlineLevel="6">
      <c r="B2363" s="57">
        <v>1836</v>
      </c>
      <c r="C2363" s="21" t="s">
        <v>8196</v>
      </c>
      <c r="D2363" s="72" t="s">
        <v>8197</v>
      </c>
      <c r="E2363" s="72"/>
      <c r="F2363" s="72"/>
      <c r="G2363" s="72"/>
      <c r="H2363" s="22" t="s">
        <v>8198</v>
      </c>
      <c r="I2363" s="23" t="s">
        <v>36</v>
      </c>
      <c r="J2363" s="22"/>
      <c r="K2363" s="20">
        <v>1</v>
      </c>
      <c r="L2363" s="24">
        <v>444.82</v>
      </c>
      <c r="M2363" s="11"/>
      <c r="N2363" s="22">
        <f t="shared" si="112"/>
        <v>0</v>
      </c>
      <c r="O2363" s="25">
        <f>0.548*M2363</f>
        <v>0</v>
      </c>
      <c r="P2363" s="26">
        <f>0.00163*M2363</f>
        <v>0</v>
      </c>
      <c r="Q2363" s="30"/>
      <c r="R2363" s="22" t="s">
        <v>8199</v>
      </c>
      <c r="S2363" s="22" t="s">
        <v>435</v>
      </c>
      <c r="T2363" s="21" t="str">
        <f>HYPERLINK("https://miland.ru/api/getInfo/image/44bb8006-e210-11ef-a274-00155d82e908")</f>
        <v>https://miland.ru/api/getInfo/image/44bb8006-e210-11ef-a274-00155d82e908</v>
      </c>
      <c r="U2363" s="21"/>
      <c r="V2363" s="21" t="s">
        <v>8073</v>
      </c>
      <c r="W2363" s="21" t="s">
        <v>8074</v>
      </c>
      <c r="X2363" s="21"/>
      <c r="Y2363" s="21" t="s">
        <v>41</v>
      </c>
      <c r="Z2363" s="21"/>
      <c r="AA2363" s="21" t="str">
        <f>HYPERLINK("https://miland.ru/api/getInfo/item/44bb8006-e210-11ef-a274-00155d82e908")</f>
        <v>https://miland.ru/api/getInfo/item/44bb8006-e210-11ef-a274-00155d82e908</v>
      </c>
      <c r="AB2363" s="21" t="s">
        <v>50</v>
      </c>
      <c r="AC2363" s="21"/>
      <c r="AD2363" s="21"/>
    </row>
    <row r="2364" spans="2:31" s="1" customFormat="1" ht="96.3" customHeight="1" outlineLevel="6">
      <c r="B2364" s="57">
        <v>1837</v>
      </c>
      <c r="C2364" s="21" t="s">
        <v>8200</v>
      </c>
      <c r="D2364" s="72" t="s">
        <v>8201</v>
      </c>
      <c r="E2364" s="72"/>
      <c r="F2364" s="72"/>
      <c r="G2364" s="72"/>
      <c r="H2364" s="22" t="s">
        <v>8202</v>
      </c>
      <c r="I2364" s="27">
        <v>158</v>
      </c>
      <c r="J2364" s="22"/>
      <c r="K2364" s="20">
        <v>1</v>
      </c>
      <c r="L2364" s="24">
        <v>444.82</v>
      </c>
      <c r="M2364" s="11"/>
      <c r="N2364" s="22">
        <f t="shared" si="112"/>
        <v>0</v>
      </c>
      <c r="O2364" s="25">
        <f>0.561*M2364</f>
        <v>0</v>
      </c>
      <c r="P2364" s="29">
        <f>0.0009*M2364</f>
        <v>0</v>
      </c>
      <c r="Q2364" s="30"/>
      <c r="R2364" s="22" t="s">
        <v>8203</v>
      </c>
      <c r="S2364" s="22" t="s">
        <v>435</v>
      </c>
      <c r="T2364" s="21" t="str">
        <f>HYPERLINK("https://miland.ru/api/getInfo/image/ed83b817-bab0-11ee-a25a-00155d82e908")</f>
        <v>https://miland.ru/api/getInfo/image/ed83b817-bab0-11ee-a25a-00155d82e908</v>
      </c>
      <c r="U2364" s="21"/>
      <c r="V2364" s="21" t="s">
        <v>8073</v>
      </c>
      <c r="W2364" s="21" t="s">
        <v>8074</v>
      </c>
      <c r="X2364" s="21"/>
      <c r="Y2364" s="21" t="s">
        <v>41</v>
      </c>
      <c r="Z2364" s="21"/>
      <c r="AA2364" s="21" t="str">
        <f>HYPERLINK("https://miland.ru/api/getInfo/item/ed83b817-bab0-11ee-a25a-00155d82e908")</f>
        <v>https://miland.ru/api/getInfo/item/ed83b817-bab0-11ee-a25a-00155d82e908</v>
      </c>
      <c r="AB2364" s="21" t="s">
        <v>50</v>
      </c>
      <c r="AC2364" s="21" t="s">
        <v>8111</v>
      </c>
      <c r="AD2364" s="21"/>
    </row>
    <row r="2365" spans="2:31" s="1" customFormat="1" ht="96.3" customHeight="1" outlineLevel="6">
      <c r="B2365" s="57">
        <v>1838</v>
      </c>
      <c r="C2365" s="21" t="s">
        <v>8204</v>
      </c>
      <c r="D2365" s="72" t="s">
        <v>8205</v>
      </c>
      <c r="E2365" s="72"/>
      <c r="F2365" s="72"/>
      <c r="G2365" s="72"/>
      <c r="H2365" s="22" t="s">
        <v>8206</v>
      </c>
      <c r="I2365" s="27">
        <v>22</v>
      </c>
      <c r="J2365" s="22"/>
      <c r="K2365" s="20">
        <v>1</v>
      </c>
      <c r="L2365" s="24">
        <v>444.82</v>
      </c>
      <c r="M2365" s="11"/>
      <c r="N2365" s="22">
        <f t="shared" si="112"/>
        <v>0</v>
      </c>
      <c r="O2365" s="25">
        <f>0.548*M2365</f>
        <v>0</v>
      </c>
      <c r="P2365" s="26">
        <f>0.00163*M2365</f>
        <v>0</v>
      </c>
      <c r="Q2365" s="30"/>
      <c r="R2365" s="22" t="s">
        <v>8207</v>
      </c>
      <c r="S2365" s="22" t="s">
        <v>435</v>
      </c>
      <c r="T2365" s="21" t="str">
        <f>HYPERLINK("https://miland.ru/api/getInfo/image/bdcc9656-e20f-11ef-a274-00155d82e908")</f>
        <v>https://miland.ru/api/getInfo/image/bdcc9656-e20f-11ef-a274-00155d82e908</v>
      </c>
      <c r="U2365" s="21"/>
      <c r="V2365" s="21" t="s">
        <v>8073</v>
      </c>
      <c r="W2365" s="21" t="s">
        <v>8074</v>
      </c>
      <c r="X2365" s="21"/>
      <c r="Y2365" s="21" t="s">
        <v>41</v>
      </c>
      <c r="Z2365" s="21"/>
      <c r="AA2365" s="21" t="str">
        <f>HYPERLINK("https://miland.ru/api/getInfo/item/bdcc9656-e20f-11ef-a274-00155d82e908")</f>
        <v>https://miland.ru/api/getInfo/item/bdcc9656-e20f-11ef-a274-00155d82e908</v>
      </c>
      <c r="AB2365" s="21" t="s">
        <v>50</v>
      </c>
      <c r="AC2365" s="21"/>
      <c r="AD2365" s="21"/>
    </row>
    <row r="2366" spans="2:31" s="1" customFormat="1" ht="96.3" customHeight="1" outlineLevel="6">
      <c r="B2366" s="57">
        <v>1839</v>
      </c>
      <c r="C2366" s="21" t="s">
        <v>8208</v>
      </c>
      <c r="D2366" s="72" t="s">
        <v>8209</v>
      </c>
      <c r="E2366" s="72"/>
      <c r="F2366" s="72"/>
      <c r="G2366" s="72"/>
      <c r="H2366" s="22" t="s">
        <v>8210</v>
      </c>
      <c r="I2366" s="27">
        <v>349</v>
      </c>
      <c r="J2366" s="22"/>
      <c r="K2366" s="20">
        <v>1</v>
      </c>
      <c r="L2366" s="24">
        <v>444.82</v>
      </c>
      <c r="M2366" s="11"/>
      <c r="N2366" s="22">
        <f t="shared" si="112"/>
        <v>0</v>
      </c>
      <c r="O2366" s="25">
        <f>0.551*M2366</f>
        <v>0</v>
      </c>
      <c r="P2366" s="26">
        <f>0.00138*M2366</f>
        <v>0</v>
      </c>
      <c r="Q2366" s="30"/>
      <c r="R2366" s="22" t="s">
        <v>8211</v>
      </c>
      <c r="S2366" s="22" t="s">
        <v>435</v>
      </c>
      <c r="T2366" s="21" t="str">
        <f>HYPERLINK("https://miland.ru/api/getInfo/image/9f6ff007-9c86-11ed-a22e-00155d82e902")</f>
        <v>https://miland.ru/api/getInfo/image/9f6ff007-9c86-11ed-a22e-00155d82e902</v>
      </c>
      <c r="U2366" s="21"/>
      <c r="V2366" s="21" t="s">
        <v>8073</v>
      </c>
      <c r="W2366" s="21" t="s">
        <v>8074</v>
      </c>
      <c r="X2366" s="21"/>
      <c r="Y2366" s="21" t="s">
        <v>41</v>
      </c>
      <c r="Z2366" s="21"/>
      <c r="AA2366" s="21" t="str">
        <f>HYPERLINK("https://miland.ru/api/getInfo/item/9f6ff007-9c86-11ed-a22e-00155d82e902")</f>
        <v>https://miland.ru/api/getInfo/item/9f6ff007-9c86-11ed-a22e-00155d82e902</v>
      </c>
      <c r="AB2366" s="21" t="s">
        <v>50</v>
      </c>
      <c r="AC2366" s="21"/>
      <c r="AD2366" s="21"/>
    </row>
    <row r="2367" spans="2:31" s="1" customFormat="1" ht="96.3" customHeight="1" outlineLevel="6">
      <c r="B2367" s="57">
        <v>1840</v>
      </c>
      <c r="C2367" s="21" t="s">
        <v>8212</v>
      </c>
      <c r="D2367" s="72" t="s">
        <v>8213</v>
      </c>
      <c r="E2367" s="72"/>
      <c r="F2367" s="72"/>
      <c r="G2367" s="72"/>
      <c r="H2367" s="22" t="s">
        <v>8214</v>
      </c>
      <c r="I2367" s="23" t="s">
        <v>36</v>
      </c>
      <c r="J2367" s="22"/>
      <c r="K2367" s="20">
        <v>1</v>
      </c>
      <c r="L2367" s="24">
        <v>444.82</v>
      </c>
      <c r="M2367" s="11"/>
      <c r="N2367" s="22">
        <f t="shared" si="112"/>
        <v>0</v>
      </c>
      <c r="O2367" s="25">
        <f>0.551*M2367</f>
        <v>0</v>
      </c>
      <c r="P2367" s="26">
        <f>0.00138*M2367</f>
        <v>0</v>
      </c>
      <c r="Q2367" s="30"/>
      <c r="R2367" s="22" t="s">
        <v>8215</v>
      </c>
      <c r="S2367" s="22" t="s">
        <v>435</v>
      </c>
      <c r="T2367" s="21" t="str">
        <f>HYPERLINK("https://miland.ru/api/getInfo/image/0229a1b2-9c86-11ed-a22e-00155d82e902")</f>
        <v>https://miland.ru/api/getInfo/image/0229a1b2-9c86-11ed-a22e-00155d82e902</v>
      </c>
      <c r="U2367" s="21"/>
      <c r="V2367" s="21" t="s">
        <v>8073</v>
      </c>
      <c r="W2367" s="21" t="s">
        <v>8074</v>
      </c>
      <c r="X2367" s="21"/>
      <c r="Y2367" s="21" t="s">
        <v>41</v>
      </c>
      <c r="Z2367" s="21"/>
      <c r="AA2367" s="21" t="str">
        <f>HYPERLINK("https://miland.ru/api/getInfo/item/0229a1b2-9c86-11ed-a22e-00155d82e902")</f>
        <v>https://miland.ru/api/getInfo/item/0229a1b2-9c86-11ed-a22e-00155d82e902</v>
      </c>
      <c r="AB2367" s="21" t="s">
        <v>50</v>
      </c>
      <c r="AC2367" s="21"/>
      <c r="AD2367" s="21"/>
    </row>
    <row r="2368" spans="2:31" s="1" customFormat="1" ht="96.3" customHeight="1" outlineLevel="6">
      <c r="B2368" s="57">
        <v>1841</v>
      </c>
      <c r="C2368" s="21" t="s">
        <v>8216</v>
      </c>
      <c r="D2368" s="72" t="s">
        <v>8217</v>
      </c>
      <c r="E2368" s="72"/>
      <c r="F2368" s="72"/>
      <c r="G2368" s="72"/>
      <c r="H2368" s="22" t="s">
        <v>8218</v>
      </c>
      <c r="I2368" s="27">
        <v>255</v>
      </c>
      <c r="J2368" s="22"/>
      <c r="K2368" s="20">
        <v>1</v>
      </c>
      <c r="L2368" s="24">
        <v>444.82</v>
      </c>
      <c r="M2368" s="11"/>
      <c r="N2368" s="22">
        <f t="shared" si="112"/>
        <v>0</v>
      </c>
      <c r="O2368" s="25">
        <f>0.561*M2368</f>
        <v>0</v>
      </c>
      <c r="P2368" s="29">
        <f>0.0009*M2368</f>
        <v>0</v>
      </c>
      <c r="Q2368" s="30"/>
      <c r="R2368" s="22" t="s">
        <v>8219</v>
      </c>
      <c r="S2368" s="22" t="s">
        <v>435</v>
      </c>
      <c r="T2368" s="21" t="str">
        <f>HYPERLINK("https://miland.ru/api/getInfo/image/0cad45b2-bab1-11ee-a25a-00155d82e908")</f>
        <v>https://miland.ru/api/getInfo/image/0cad45b2-bab1-11ee-a25a-00155d82e908</v>
      </c>
      <c r="U2368" s="21"/>
      <c r="V2368" s="21" t="s">
        <v>8073</v>
      </c>
      <c r="W2368" s="21" t="s">
        <v>8074</v>
      </c>
      <c r="X2368" s="21"/>
      <c r="Y2368" s="21" t="s">
        <v>41</v>
      </c>
      <c r="Z2368" s="21"/>
      <c r="AA2368" s="21" t="str">
        <f>HYPERLINK("https://miland.ru/api/getInfo/item/0cad45b2-bab1-11ee-a25a-00155d82e908")</f>
        <v>https://miland.ru/api/getInfo/item/0cad45b2-bab1-11ee-a25a-00155d82e908</v>
      </c>
      <c r="AB2368" s="21" t="s">
        <v>50</v>
      </c>
      <c r="AC2368" s="21" t="s">
        <v>8111</v>
      </c>
      <c r="AD2368" s="21"/>
    </row>
    <row r="2369" spans="2:31" s="1" customFormat="1" ht="96.3" customHeight="1" outlineLevel="6">
      <c r="B2369" s="58">
        <v>1842</v>
      </c>
      <c r="C2369" s="7" t="s">
        <v>8220</v>
      </c>
      <c r="D2369" s="71" t="s">
        <v>8221</v>
      </c>
      <c r="E2369" s="71"/>
      <c r="F2369" s="71"/>
      <c r="G2369" s="71"/>
      <c r="H2369" s="8" t="s">
        <v>8222</v>
      </c>
      <c r="I2369" s="14">
        <v>365</v>
      </c>
      <c r="J2369" s="8"/>
      <c r="K2369" s="6">
        <v>1</v>
      </c>
      <c r="L2369" s="10">
        <v>444.82</v>
      </c>
      <c r="M2369" s="11"/>
      <c r="N2369" s="8">
        <f t="shared" si="112"/>
        <v>0</v>
      </c>
      <c r="O2369" s="12">
        <f>0.547*M2369</f>
        <v>0</v>
      </c>
      <c r="P2369" s="13">
        <f>0.00094*M2369</f>
        <v>0</v>
      </c>
      <c r="Q2369" s="17" t="s">
        <v>37</v>
      </c>
      <c r="R2369" s="8" t="s">
        <v>8223</v>
      </c>
      <c r="S2369" s="8"/>
      <c r="T2369" s="7" t="str">
        <f>HYPERLINK("https://miland.ru/api/getInfo/image/bad0fe9c-f50c-11f0-a28d-00155d82e908")</f>
        <v>https://miland.ru/api/getInfo/image/bad0fe9c-f50c-11f0-a28d-00155d82e908</v>
      </c>
      <c r="U2369" s="7"/>
      <c r="V2369" s="7" t="s">
        <v>8073</v>
      </c>
      <c r="W2369" s="7" t="s">
        <v>8074</v>
      </c>
      <c r="X2369" s="7"/>
      <c r="Y2369" s="7" t="s">
        <v>41</v>
      </c>
      <c r="Z2369" s="7"/>
      <c r="AA2369" s="7" t="str">
        <f>HYPERLINK("https://miland.ru/api/getInfo/item/bad0fe9c-f50c-11f0-a28d-00155d82e908")</f>
        <v>https://miland.ru/api/getInfo/item/bad0fe9c-f50c-11f0-a28d-00155d82e908</v>
      </c>
      <c r="AB2369" s="7" t="s">
        <v>50</v>
      </c>
      <c r="AC2369" s="7"/>
      <c r="AD2369" s="7"/>
      <c r="AE2369" s="54"/>
    </row>
    <row r="2370" spans="2:31" s="1" customFormat="1" ht="96.3" customHeight="1" outlineLevel="6">
      <c r="B2370" s="57">
        <v>1843</v>
      </c>
      <c r="C2370" s="21" t="s">
        <v>8224</v>
      </c>
      <c r="D2370" s="72" t="s">
        <v>8225</v>
      </c>
      <c r="E2370" s="72"/>
      <c r="F2370" s="72"/>
      <c r="G2370" s="72"/>
      <c r="H2370" s="22" t="s">
        <v>8226</v>
      </c>
      <c r="I2370" s="27">
        <v>329</v>
      </c>
      <c r="J2370" s="22"/>
      <c r="K2370" s="20">
        <v>1</v>
      </c>
      <c r="L2370" s="24">
        <v>444.82</v>
      </c>
      <c r="M2370" s="11"/>
      <c r="N2370" s="22">
        <f t="shared" si="112"/>
        <v>0</v>
      </c>
      <c r="O2370" s="25">
        <f>0.561*M2370</f>
        <v>0</v>
      </c>
      <c r="P2370" s="29">
        <f>0.0009*M2370</f>
        <v>0</v>
      </c>
      <c r="Q2370" s="30"/>
      <c r="R2370" s="22" t="s">
        <v>8227</v>
      </c>
      <c r="S2370" s="22" t="s">
        <v>435</v>
      </c>
      <c r="T2370" s="21" t="str">
        <f>HYPERLINK("https://miland.ru/api/getInfo/image/30de5687-bab1-11ee-a25a-00155d82e908")</f>
        <v>https://miland.ru/api/getInfo/image/30de5687-bab1-11ee-a25a-00155d82e908</v>
      </c>
      <c r="U2370" s="21"/>
      <c r="V2370" s="21" t="s">
        <v>8073</v>
      </c>
      <c r="W2370" s="21" t="s">
        <v>8074</v>
      </c>
      <c r="X2370" s="21"/>
      <c r="Y2370" s="21" t="s">
        <v>41</v>
      </c>
      <c r="Z2370" s="21"/>
      <c r="AA2370" s="21" t="str">
        <f>HYPERLINK("https://miland.ru/api/getInfo/item/30de5687-bab1-11ee-a25a-00155d82e908")</f>
        <v>https://miland.ru/api/getInfo/item/30de5687-bab1-11ee-a25a-00155d82e908</v>
      </c>
      <c r="AB2370" s="21" t="s">
        <v>50</v>
      </c>
      <c r="AC2370" s="21" t="s">
        <v>8111</v>
      </c>
      <c r="AD2370" s="21"/>
    </row>
    <row r="2371" spans="2:31" ht="12" customHeight="1" outlineLevel="4">
      <c r="B2371" s="70" t="s">
        <v>8228</v>
      </c>
      <c r="C2371" s="70"/>
      <c r="D2371" s="70"/>
      <c r="E2371" s="70"/>
      <c r="F2371" s="70"/>
      <c r="G2371" s="70"/>
    </row>
    <row r="2372" spans="2:31" ht="12" customHeight="1" outlineLevel="5">
      <c r="B2372" s="70" t="s">
        <v>6556</v>
      </c>
      <c r="C2372" s="70"/>
      <c r="D2372" s="70"/>
      <c r="E2372" s="70"/>
      <c r="F2372" s="70"/>
      <c r="G2372" s="70"/>
    </row>
    <row r="2373" spans="2:31" s="1" customFormat="1" ht="96.3" customHeight="1" outlineLevel="6">
      <c r="B2373" s="59">
        <v>1844</v>
      </c>
      <c r="C2373" s="35" t="s">
        <v>8229</v>
      </c>
      <c r="D2373" s="73" t="s">
        <v>8230</v>
      </c>
      <c r="E2373" s="73"/>
      <c r="F2373" s="73"/>
      <c r="G2373" s="73"/>
      <c r="H2373" s="36" t="s">
        <v>8231</v>
      </c>
      <c r="I2373" s="56" t="s">
        <v>36</v>
      </c>
      <c r="J2373" s="36"/>
      <c r="K2373" s="34">
        <v>50</v>
      </c>
      <c r="L2373" s="41">
        <v>49.293333333333329</v>
      </c>
      <c r="M2373" s="11"/>
      <c r="N2373" s="36">
        <f>L2373*M2373</f>
        <v>0</v>
      </c>
      <c r="O2373" s="42">
        <f>0.593*M2373</f>
        <v>0</v>
      </c>
      <c r="P2373" s="43">
        <f>0.00076*M2373</f>
        <v>0</v>
      </c>
      <c r="Q2373" s="50" t="s">
        <v>37</v>
      </c>
      <c r="R2373" s="36" t="s">
        <v>8232</v>
      </c>
      <c r="S2373" s="36"/>
      <c r="T2373" s="35" t="str">
        <f>HYPERLINK("https://miland.ru/api/getInfo/image/e9303eed-f514-11f0-a28d-00155d82e908")</f>
        <v>https://miland.ru/api/getInfo/image/e9303eed-f514-11f0-a28d-00155d82e908</v>
      </c>
      <c r="U2373" s="35"/>
      <c r="V2373" s="35"/>
      <c r="W2373" s="35"/>
      <c r="X2373" s="35"/>
      <c r="Y2373" s="35" t="s">
        <v>41</v>
      </c>
      <c r="Z2373" s="35"/>
      <c r="AA2373" s="35" t="str">
        <f>HYPERLINK("https://miland.ru/api/getInfo/item/e9303eed-f514-11f0-a28d-00155d82e908")</f>
        <v>https://miland.ru/api/getInfo/item/e9303eed-f514-11f0-a28d-00155d82e908</v>
      </c>
      <c r="AB2373" s="35" t="s">
        <v>50</v>
      </c>
      <c r="AC2373" s="35"/>
      <c r="AD2373" s="35"/>
      <c r="AE2373" s="52" t="s">
        <v>1251</v>
      </c>
    </row>
    <row r="2374" spans="2:31" s="1" customFormat="1" ht="96.3" customHeight="1" outlineLevel="6">
      <c r="B2374" s="59">
        <v>1845</v>
      </c>
      <c r="C2374" s="35" t="s">
        <v>8233</v>
      </c>
      <c r="D2374" s="73" t="s">
        <v>8234</v>
      </c>
      <c r="E2374" s="73"/>
      <c r="F2374" s="73"/>
      <c r="G2374" s="73"/>
      <c r="H2374" s="36" t="s">
        <v>8235</v>
      </c>
      <c r="I2374" s="56" t="s">
        <v>36</v>
      </c>
      <c r="J2374" s="36"/>
      <c r="K2374" s="34">
        <v>50</v>
      </c>
      <c r="L2374" s="41">
        <v>49.293333333333329</v>
      </c>
      <c r="M2374" s="11"/>
      <c r="N2374" s="36">
        <f>L2374*M2374</f>
        <v>0</v>
      </c>
      <c r="O2374" s="47">
        <f>0.05*M2374</f>
        <v>0</v>
      </c>
      <c r="P2374" s="43">
        <f>0.00044*M2374</f>
        <v>0</v>
      </c>
      <c r="Q2374" s="50"/>
      <c r="R2374" s="36" t="s">
        <v>8236</v>
      </c>
      <c r="S2374" s="36" t="s">
        <v>435</v>
      </c>
      <c r="T2374" s="35" t="str">
        <f>HYPERLINK("https://miland.ru/api/getInfo/image/993058df-baaf-11ee-a25a-00155d82e908")</f>
        <v>https://miland.ru/api/getInfo/image/993058df-baaf-11ee-a25a-00155d82e908</v>
      </c>
      <c r="U2374" s="35"/>
      <c r="V2374" s="35"/>
      <c r="W2374" s="35"/>
      <c r="X2374" s="35"/>
      <c r="Y2374" s="35" t="s">
        <v>41</v>
      </c>
      <c r="Z2374" s="35"/>
      <c r="AA2374" s="35" t="str">
        <f>HYPERLINK("https://miland.ru/api/getInfo/item/993058df-baaf-11ee-a25a-00155d82e908")</f>
        <v>https://miland.ru/api/getInfo/item/993058df-baaf-11ee-a25a-00155d82e908</v>
      </c>
      <c r="AB2374" s="35" t="s">
        <v>50</v>
      </c>
      <c r="AC2374" s="35" t="s">
        <v>8111</v>
      </c>
      <c r="AD2374" s="35"/>
      <c r="AE2374" s="52" t="s">
        <v>1251</v>
      </c>
    </row>
    <row r="2375" spans="2:31" s="1" customFormat="1" ht="96.3" customHeight="1" outlineLevel="6">
      <c r="B2375" s="59">
        <v>1846</v>
      </c>
      <c r="C2375" s="35" t="s">
        <v>8237</v>
      </c>
      <c r="D2375" s="73" t="s">
        <v>8238</v>
      </c>
      <c r="E2375" s="73"/>
      <c r="F2375" s="73"/>
      <c r="G2375" s="73"/>
      <c r="H2375" s="36" t="s">
        <v>8239</v>
      </c>
      <c r="I2375" s="56" t="s">
        <v>36</v>
      </c>
      <c r="J2375" s="36"/>
      <c r="K2375" s="34">
        <v>50</v>
      </c>
      <c r="L2375" s="41">
        <v>49.293333333333329</v>
      </c>
      <c r="M2375" s="11"/>
      <c r="N2375" s="36">
        <f>L2375*M2375</f>
        <v>0</v>
      </c>
      <c r="O2375" s="47">
        <f>0.05*M2375</f>
        <v>0</v>
      </c>
      <c r="P2375" s="55">
        <f>0.0007*M2375</f>
        <v>0</v>
      </c>
      <c r="Q2375" s="50" t="s">
        <v>37</v>
      </c>
      <c r="R2375" s="36" t="s">
        <v>8240</v>
      </c>
      <c r="S2375" s="36"/>
      <c r="T2375" s="35" t="str">
        <f>HYPERLINK("https://miland.ru/api/getInfo/image/cd16eca5-f514-11f0-a28d-00155d82e908")</f>
        <v>https://miland.ru/api/getInfo/image/cd16eca5-f514-11f0-a28d-00155d82e908</v>
      </c>
      <c r="U2375" s="35"/>
      <c r="V2375" s="35"/>
      <c r="W2375" s="35"/>
      <c r="X2375" s="35"/>
      <c r="Y2375" s="35" t="s">
        <v>41</v>
      </c>
      <c r="Z2375" s="35"/>
      <c r="AA2375" s="35" t="str">
        <f>HYPERLINK("https://miland.ru/api/getInfo/item/cd16eca5-f514-11f0-a28d-00155d82e908")</f>
        <v>https://miland.ru/api/getInfo/item/cd16eca5-f514-11f0-a28d-00155d82e908</v>
      </c>
      <c r="AB2375" s="35" t="s">
        <v>50</v>
      </c>
      <c r="AC2375" s="35"/>
      <c r="AD2375" s="35"/>
      <c r="AE2375" s="52" t="s">
        <v>1251</v>
      </c>
    </row>
    <row r="2376" spans="2:31" ht="12" customHeight="1" outlineLevel="5">
      <c r="B2376" s="70" t="s">
        <v>8116</v>
      </c>
      <c r="C2376" s="70"/>
      <c r="D2376" s="70"/>
      <c r="E2376" s="70"/>
      <c r="F2376" s="70"/>
      <c r="G2376" s="70"/>
    </row>
    <row r="2377" spans="2:31" s="1" customFormat="1" ht="96.3" customHeight="1" outlineLevel="6">
      <c r="B2377" s="58">
        <v>1847</v>
      </c>
      <c r="C2377" s="7" t="s">
        <v>8241</v>
      </c>
      <c r="D2377" s="71" t="s">
        <v>8242</v>
      </c>
      <c r="E2377" s="71"/>
      <c r="F2377" s="71"/>
      <c r="G2377" s="71"/>
      <c r="H2377" s="8" t="s">
        <v>8243</v>
      </c>
      <c r="I2377" s="9" t="s">
        <v>36</v>
      </c>
      <c r="J2377" s="8"/>
      <c r="K2377" s="6">
        <v>50</v>
      </c>
      <c r="L2377" s="10">
        <v>54.12</v>
      </c>
      <c r="M2377" s="11"/>
      <c r="N2377" s="8">
        <f>L2377*M2377</f>
        <v>0</v>
      </c>
      <c r="O2377" s="12">
        <f>3.145*M2377</f>
        <v>0</v>
      </c>
      <c r="P2377" s="13">
        <f>0.02975*M2377</f>
        <v>0</v>
      </c>
      <c r="Q2377" s="17" t="s">
        <v>37</v>
      </c>
      <c r="R2377" s="8" t="s">
        <v>8244</v>
      </c>
      <c r="S2377" s="8"/>
      <c r="T2377" s="7" t="str">
        <f>HYPERLINK("https://miland.ru/api/getInfo/image/488d3cd7-f513-11f0-a28d-00155d82e908")</f>
        <v>https://miland.ru/api/getInfo/image/488d3cd7-f513-11f0-a28d-00155d82e908</v>
      </c>
      <c r="U2377" s="7"/>
      <c r="V2377" s="7" t="s">
        <v>8245</v>
      </c>
      <c r="W2377" s="7" t="s">
        <v>8246</v>
      </c>
      <c r="X2377" s="7"/>
      <c r="Y2377" s="7" t="s">
        <v>41</v>
      </c>
      <c r="Z2377" s="7"/>
      <c r="AA2377" s="7" t="str">
        <f>HYPERLINK("https://miland.ru/api/getInfo/item/488d3cd7-f513-11f0-a28d-00155d82e908")</f>
        <v>https://miland.ru/api/getInfo/item/488d3cd7-f513-11f0-a28d-00155d82e908</v>
      </c>
      <c r="AB2377" s="7" t="s">
        <v>50</v>
      </c>
      <c r="AC2377" s="7"/>
      <c r="AD2377" s="7"/>
      <c r="AE2377" s="54"/>
    </row>
    <row r="2378" spans="2:31" s="1" customFormat="1" ht="96.3" customHeight="1" outlineLevel="6">
      <c r="B2378" s="58">
        <v>1848</v>
      </c>
      <c r="C2378" s="7" t="s">
        <v>8247</v>
      </c>
      <c r="D2378" s="71" t="s">
        <v>8248</v>
      </c>
      <c r="E2378" s="71"/>
      <c r="F2378" s="71"/>
      <c r="G2378" s="71"/>
      <c r="H2378" s="8" t="s">
        <v>8249</v>
      </c>
      <c r="I2378" s="9" t="s">
        <v>36</v>
      </c>
      <c r="J2378" s="8"/>
      <c r="K2378" s="6">
        <v>50</v>
      </c>
      <c r="L2378" s="10">
        <v>58.4</v>
      </c>
      <c r="M2378" s="11"/>
      <c r="N2378" s="8">
        <f>L2378*M2378</f>
        <v>0</v>
      </c>
      <c r="O2378" s="18">
        <f>0.06*M2378</f>
        <v>0</v>
      </c>
      <c r="P2378" s="16">
        <f>0.0007*M2378</f>
        <v>0</v>
      </c>
      <c r="Q2378" s="17" t="s">
        <v>37</v>
      </c>
      <c r="R2378" s="8" t="s">
        <v>8250</v>
      </c>
      <c r="S2378" s="8"/>
      <c r="T2378" s="7" t="str">
        <f>HYPERLINK("https://miland.ru/api/getInfo/image/a87258d7-f514-11f0-a28d-00155d82e908")</f>
        <v>https://miland.ru/api/getInfo/image/a87258d7-f514-11f0-a28d-00155d82e908</v>
      </c>
      <c r="U2378" s="7"/>
      <c r="V2378" s="7" t="s">
        <v>8245</v>
      </c>
      <c r="W2378" s="7" t="s">
        <v>8246</v>
      </c>
      <c r="X2378" s="7"/>
      <c r="Y2378" s="7" t="s">
        <v>41</v>
      </c>
      <c r="Z2378" s="7"/>
      <c r="AA2378" s="7" t="str">
        <f>HYPERLINK("https://miland.ru/api/getInfo/item/a87258d7-f514-11f0-a28d-00155d82e908")</f>
        <v>https://miland.ru/api/getInfo/item/a87258d7-f514-11f0-a28d-00155d82e908</v>
      </c>
      <c r="AB2378" s="7" t="s">
        <v>50</v>
      </c>
      <c r="AC2378" s="7"/>
      <c r="AD2378" s="7"/>
      <c r="AE2378" s="54"/>
    </row>
    <row r="2379" spans="2:31" ht="12" customHeight="1" outlineLevel="3">
      <c r="B2379" s="70" t="s">
        <v>8251</v>
      </c>
      <c r="C2379" s="70"/>
      <c r="D2379" s="70"/>
      <c r="E2379" s="70"/>
      <c r="F2379" s="70"/>
      <c r="G2379" s="70"/>
    </row>
    <row r="2380" spans="2:31" ht="12" customHeight="1" outlineLevel="4">
      <c r="B2380" s="70" t="s">
        <v>8252</v>
      </c>
      <c r="C2380" s="70"/>
      <c r="D2380" s="70"/>
      <c r="E2380" s="70"/>
      <c r="F2380" s="70"/>
      <c r="G2380" s="70"/>
    </row>
    <row r="2381" spans="2:31" s="1" customFormat="1" ht="96.3" customHeight="1" outlineLevel="5">
      <c r="B2381" s="60">
        <v>1849</v>
      </c>
      <c r="C2381" s="38" t="s">
        <v>8253</v>
      </c>
      <c r="D2381" s="74" t="s">
        <v>8254</v>
      </c>
      <c r="E2381" s="74"/>
      <c r="F2381" s="74"/>
      <c r="G2381" s="74"/>
      <c r="H2381" s="39" t="s">
        <v>8255</v>
      </c>
      <c r="I2381" s="44">
        <v>199</v>
      </c>
      <c r="J2381" s="39"/>
      <c r="K2381" s="37">
        <v>6</v>
      </c>
      <c r="L2381" s="41">
        <v>23.173333333333332</v>
      </c>
      <c r="M2381" s="11"/>
      <c r="N2381" s="39">
        <f>L2381*M2381</f>
        <v>0</v>
      </c>
      <c r="O2381" s="48">
        <f>0.012*M2381</f>
        <v>0</v>
      </c>
      <c r="P2381" s="46">
        <f>0.00003*M2381</f>
        <v>0</v>
      </c>
      <c r="Q2381" s="51"/>
      <c r="R2381" s="39" t="s">
        <v>8256</v>
      </c>
      <c r="S2381" s="39" t="s">
        <v>435</v>
      </c>
      <c r="T2381" s="38" t="str">
        <f>HYPERLINK("https://miland.ru/api/getInfo/image/5bf336a1-9d1f-11eb-a201-ac1f6b442185")</f>
        <v>https://miland.ru/api/getInfo/image/5bf336a1-9d1f-11eb-a201-ac1f6b442185</v>
      </c>
      <c r="U2381" s="38"/>
      <c r="V2381" s="38" t="s">
        <v>1931</v>
      </c>
      <c r="W2381" s="38" t="s">
        <v>1666</v>
      </c>
      <c r="X2381" s="38"/>
      <c r="Y2381" s="38" t="s">
        <v>41</v>
      </c>
      <c r="Z2381" s="38"/>
      <c r="AA2381" s="38" t="str">
        <f>HYPERLINK("https://miland.ru/api/getInfo/item/5bf336a1-9d1f-11eb-a201-ac1f6b442185")</f>
        <v>https://miland.ru/api/getInfo/item/5bf336a1-9d1f-11eb-a201-ac1f6b442185</v>
      </c>
      <c r="AB2381" s="38" t="s">
        <v>50</v>
      </c>
      <c r="AC2381" s="38"/>
      <c r="AD2381" s="38"/>
      <c r="AE2381" s="53" t="s">
        <v>1306</v>
      </c>
    </row>
    <row r="2382" spans="2:31" ht="12" customHeight="1" outlineLevel="4">
      <c r="B2382" s="70" t="s">
        <v>8257</v>
      </c>
      <c r="C2382" s="70"/>
      <c r="D2382" s="70"/>
      <c r="E2382" s="70"/>
      <c r="F2382" s="70"/>
      <c r="G2382" s="70"/>
    </row>
    <row r="2383" spans="2:31" ht="12" customHeight="1" outlineLevel="5">
      <c r="B2383" s="70" t="s">
        <v>8258</v>
      </c>
      <c r="C2383" s="70"/>
      <c r="D2383" s="70"/>
      <c r="E2383" s="70"/>
      <c r="F2383" s="70"/>
      <c r="G2383" s="70"/>
    </row>
    <row r="2384" spans="2:31" ht="12" customHeight="1" outlineLevel="6">
      <c r="B2384" s="70" t="s">
        <v>8259</v>
      </c>
      <c r="C2384" s="70"/>
      <c r="D2384" s="70"/>
      <c r="E2384" s="70"/>
      <c r="F2384" s="70"/>
      <c r="G2384" s="70"/>
    </row>
    <row r="2385" spans="2:31" s="1" customFormat="1" ht="96.3" customHeight="1" outlineLevel="7">
      <c r="B2385" s="57">
        <v>1850</v>
      </c>
      <c r="C2385" s="21" t="s">
        <v>8260</v>
      </c>
      <c r="D2385" s="72" t="s">
        <v>8261</v>
      </c>
      <c r="E2385" s="72"/>
      <c r="F2385" s="72"/>
      <c r="G2385" s="72"/>
      <c r="H2385" s="22" t="s">
        <v>8262</v>
      </c>
      <c r="I2385" s="27">
        <v>5</v>
      </c>
      <c r="J2385" s="22"/>
      <c r="K2385" s="20">
        <v>1</v>
      </c>
      <c r="L2385" s="24">
        <v>550.71</v>
      </c>
      <c r="M2385" s="11"/>
      <c r="N2385" s="22">
        <f t="shared" ref="N2385:N2392" si="113">L2385*M2385</f>
        <v>0</v>
      </c>
      <c r="O2385" s="25">
        <f>0.437*M2385</f>
        <v>0</v>
      </c>
      <c r="P2385" s="26">
        <f>0.00455*M2385</f>
        <v>0</v>
      </c>
      <c r="Q2385" s="30"/>
      <c r="R2385" s="22" t="s">
        <v>8263</v>
      </c>
      <c r="S2385" s="22" t="s">
        <v>435</v>
      </c>
      <c r="T2385" s="21" t="str">
        <f>HYPERLINK("https://miland.ru/api/getInfo/image/705a6cfa-e226-11ef-a274-00155d82e908")</f>
        <v>https://miland.ru/api/getInfo/image/705a6cfa-e226-11ef-a274-00155d82e908</v>
      </c>
      <c r="U2385" s="21"/>
      <c r="V2385" s="21" t="s">
        <v>1931</v>
      </c>
      <c r="W2385" s="21" t="s">
        <v>1666</v>
      </c>
      <c r="X2385" s="21"/>
      <c r="Y2385" s="21" t="s">
        <v>41</v>
      </c>
      <c r="Z2385" s="21"/>
      <c r="AA2385" s="21" t="str">
        <f>HYPERLINK("https://miland.ru/api/getInfo/item/705a6cfa-e226-11ef-a274-00155d82e908")</f>
        <v>https://miland.ru/api/getInfo/item/705a6cfa-e226-11ef-a274-00155d82e908</v>
      </c>
      <c r="AB2385" s="21" t="s">
        <v>50</v>
      </c>
      <c r="AC2385" s="21"/>
      <c r="AD2385" s="21"/>
    </row>
    <row r="2386" spans="2:31" s="1" customFormat="1" ht="96.3" customHeight="1" outlineLevel="7">
      <c r="B2386" s="57">
        <v>1851</v>
      </c>
      <c r="C2386" s="21" t="s">
        <v>8264</v>
      </c>
      <c r="D2386" s="72" t="s">
        <v>8265</v>
      </c>
      <c r="E2386" s="72"/>
      <c r="F2386" s="72"/>
      <c r="G2386" s="72"/>
      <c r="H2386" s="22" t="s">
        <v>8266</v>
      </c>
      <c r="I2386" s="27">
        <v>24</v>
      </c>
      <c r="J2386" s="22"/>
      <c r="K2386" s="20">
        <v>1</v>
      </c>
      <c r="L2386" s="24">
        <v>550.71</v>
      </c>
      <c r="M2386" s="11"/>
      <c r="N2386" s="22">
        <f t="shared" si="113"/>
        <v>0</v>
      </c>
      <c r="O2386" s="25">
        <f>0.437*M2386</f>
        <v>0</v>
      </c>
      <c r="P2386" s="26">
        <f>0.00455*M2386</f>
        <v>0</v>
      </c>
      <c r="Q2386" s="30"/>
      <c r="R2386" s="22" t="s">
        <v>8267</v>
      </c>
      <c r="S2386" s="22" t="s">
        <v>435</v>
      </c>
      <c r="T2386" s="21" t="str">
        <f>HYPERLINK("https://miland.ru/api/getInfo/image/b28ee300-e226-11ef-a274-00155d82e908")</f>
        <v>https://miland.ru/api/getInfo/image/b28ee300-e226-11ef-a274-00155d82e908</v>
      </c>
      <c r="U2386" s="21"/>
      <c r="V2386" s="21" t="s">
        <v>1931</v>
      </c>
      <c r="W2386" s="21" t="s">
        <v>1666</v>
      </c>
      <c r="X2386" s="21"/>
      <c r="Y2386" s="21" t="s">
        <v>41</v>
      </c>
      <c r="Z2386" s="21"/>
      <c r="AA2386" s="21" t="str">
        <f>HYPERLINK("https://miland.ru/api/getInfo/item/b28ee300-e226-11ef-a274-00155d82e908")</f>
        <v>https://miland.ru/api/getInfo/item/b28ee300-e226-11ef-a274-00155d82e908</v>
      </c>
      <c r="AB2386" s="21" t="s">
        <v>50</v>
      </c>
      <c r="AC2386" s="21"/>
      <c r="AD2386" s="21"/>
    </row>
    <row r="2387" spans="2:31" s="1" customFormat="1" ht="96.3" customHeight="1" outlineLevel="7">
      <c r="B2387" s="57">
        <v>1852</v>
      </c>
      <c r="C2387" s="21" t="s">
        <v>8268</v>
      </c>
      <c r="D2387" s="72" t="s">
        <v>8269</v>
      </c>
      <c r="E2387" s="72"/>
      <c r="F2387" s="72"/>
      <c r="G2387" s="72"/>
      <c r="H2387" s="22" t="s">
        <v>8270</v>
      </c>
      <c r="I2387" s="27">
        <v>8</v>
      </c>
      <c r="J2387" s="22"/>
      <c r="K2387" s="20">
        <v>1</v>
      </c>
      <c r="L2387" s="24">
        <v>550.71</v>
      </c>
      <c r="M2387" s="11"/>
      <c r="N2387" s="22">
        <f t="shared" si="113"/>
        <v>0</v>
      </c>
      <c r="O2387" s="25">
        <f>0.446*M2387</f>
        <v>0</v>
      </c>
      <c r="P2387" s="26">
        <f>0.00467*M2387</f>
        <v>0</v>
      </c>
      <c r="Q2387" s="30"/>
      <c r="R2387" s="22" t="s">
        <v>8271</v>
      </c>
      <c r="S2387" s="22" t="s">
        <v>435</v>
      </c>
      <c r="T2387" s="21" t="str">
        <f>HYPERLINK("https://miland.ru/api/getInfo/image/f9b4b5e1-e226-11ef-a274-00155d82e908")</f>
        <v>https://miland.ru/api/getInfo/image/f9b4b5e1-e226-11ef-a274-00155d82e908</v>
      </c>
      <c r="U2387" s="21"/>
      <c r="V2387" s="21" t="s">
        <v>1931</v>
      </c>
      <c r="W2387" s="21" t="s">
        <v>1666</v>
      </c>
      <c r="X2387" s="21"/>
      <c r="Y2387" s="21" t="s">
        <v>41</v>
      </c>
      <c r="Z2387" s="21"/>
      <c r="AA2387" s="21" t="str">
        <f>HYPERLINK("https://miland.ru/api/getInfo/item/f9b4b5e1-e226-11ef-a274-00155d82e908")</f>
        <v>https://miland.ru/api/getInfo/item/f9b4b5e1-e226-11ef-a274-00155d82e908</v>
      </c>
      <c r="AB2387" s="21" t="s">
        <v>50</v>
      </c>
      <c r="AC2387" s="21"/>
      <c r="AD2387" s="21"/>
    </row>
    <row r="2388" spans="2:31" s="1" customFormat="1" ht="96.3" customHeight="1" outlineLevel="7">
      <c r="B2388" s="57">
        <v>1853</v>
      </c>
      <c r="C2388" s="21" t="s">
        <v>8272</v>
      </c>
      <c r="D2388" s="72" t="s">
        <v>8273</v>
      </c>
      <c r="E2388" s="72"/>
      <c r="F2388" s="72"/>
      <c r="G2388" s="72"/>
      <c r="H2388" s="22" t="s">
        <v>8274</v>
      </c>
      <c r="I2388" s="27">
        <v>35</v>
      </c>
      <c r="J2388" s="22"/>
      <c r="K2388" s="20">
        <v>1</v>
      </c>
      <c r="L2388" s="24">
        <v>550.71</v>
      </c>
      <c r="M2388" s="11"/>
      <c r="N2388" s="22">
        <f t="shared" si="113"/>
        <v>0</v>
      </c>
      <c r="O2388" s="25">
        <f>0.437*M2388</f>
        <v>0</v>
      </c>
      <c r="P2388" s="26">
        <f>0.00455*M2388</f>
        <v>0</v>
      </c>
      <c r="Q2388" s="30"/>
      <c r="R2388" s="22" t="s">
        <v>8275</v>
      </c>
      <c r="S2388" s="22" t="s">
        <v>435</v>
      </c>
      <c r="T2388" s="21" t="str">
        <f>HYPERLINK("https://miland.ru/api/getInfo/image/133e3a28-e227-11ef-a274-00155d82e908")</f>
        <v>https://miland.ru/api/getInfo/image/133e3a28-e227-11ef-a274-00155d82e908</v>
      </c>
      <c r="U2388" s="21"/>
      <c r="V2388" s="21" t="s">
        <v>1931</v>
      </c>
      <c r="W2388" s="21" t="s">
        <v>1666</v>
      </c>
      <c r="X2388" s="21"/>
      <c r="Y2388" s="21" t="s">
        <v>41</v>
      </c>
      <c r="Z2388" s="21"/>
      <c r="AA2388" s="21" t="str">
        <f>HYPERLINK("https://miland.ru/api/getInfo/item/133e3a28-e227-11ef-a274-00155d82e908")</f>
        <v>https://miland.ru/api/getInfo/item/133e3a28-e227-11ef-a274-00155d82e908</v>
      </c>
      <c r="AB2388" s="21" t="s">
        <v>50</v>
      </c>
      <c r="AC2388" s="21"/>
      <c r="AD2388" s="21"/>
    </row>
    <row r="2389" spans="2:31" s="1" customFormat="1" ht="96.3" customHeight="1" outlineLevel="7">
      <c r="B2389" s="57">
        <v>1854</v>
      </c>
      <c r="C2389" s="21" t="s">
        <v>8276</v>
      </c>
      <c r="D2389" s="72" t="s">
        <v>8277</v>
      </c>
      <c r="E2389" s="72"/>
      <c r="F2389" s="72"/>
      <c r="G2389" s="72"/>
      <c r="H2389" s="22" t="s">
        <v>8278</v>
      </c>
      <c r="I2389" s="27">
        <v>21</v>
      </c>
      <c r="J2389" s="22"/>
      <c r="K2389" s="20">
        <v>1</v>
      </c>
      <c r="L2389" s="24">
        <v>550.71</v>
      </c>
      <c r="M2389" s="11"/>
      <c r="N2389" s="22">
        <f t="shared" si="113"/>
        <v>0</v>
      </c>
      <c r="O2389" s="25">
        <f>0.437*M2389</f>
        <v>0</v>
      </c>
      <c r="P2389" s="26">
        <f>0.00455*M2389</f>
        <v>0</v>
      </c>
      <c r="Q2389" s="30"/>
      <c r="R2389" s="22" t="s">
        <v>8279</v>
      </c>
      <c r="S2389" s="22" t="s">
        <v>435</v>
      </c>
      <c r="T2389" s="21" t="str">
        <f>HYPERLINK("https://miland.ru/api/getInfo/image/e3227fcc-e226-11ef-a274-00155d82e908")</f>
        <v>https://miland.ru/api/getInfo/image/e3227fcc-e226-11ef-a274-00155d82e908</v>
      </c>
      <c r="U2389" s="21"/>
      <c r="V2389" s="21" t="s">
        <v>1931</v>
      </c>
      <c r="W2389" s="21" t="s">
        <v>1666</v>
      </c>
      <c r="X2389" s="21"/>
      <c r="Y2389" s="21" t="s">
        <v>41</v>
      </c>
      <c r="Z2389" s="21"/>
      <c r="AA2389" s="21" t="str">
        <f>HYPERLINK("https://miland.ru/api/getInfo/item/e3227fcc-e226-11ef-a274-00155d82e908")</f>
        <v>https://miland.ru/api/getInfo/item/e3227fcc-e226-11ef-a274-00155d82e908</v>
      </c>
      <c r="AB2389" s="21" t="s">
        <v>50</v>
      </c>
      <c r="AC2389" s="21"/>
      <c r="AD2389" s="21"/>
    </row>
    <row r="2390" spans="2:31" s="1" customFormat="1" ht="96.3" customHeight="1" outlineLevel="7">
      <c r="B2390" s="57">
        <v>1855</v>
      </c>
      <c r="C2390" s="21" t="s">
        <v>8280</v>
      </c>
      <c r="D2390" s="72" t="s">
        <v>8281</v>
      </c>
      <c r="E2390" s="72"/>
      <c r="F2390" s="72"/>
      <c r="G2390" s="72"/>
      <c r="H2390" s="22" t="s">
        <v>8282</v>
      </c>
      <c r="I2390" s="27">
        <v>23</v>
      </c>
      <c r="J2390" s="22"/>
      <c r="K2390" s="20">
        <v>1</v>
      </c>
      <c r="L2390" s="24">
        <v>550.71</v>
      </c>
      <c r="M2390" s="11"/>
      <c r="N2390" s="22">
        <f t="shared" si="113"/>
        <v>0</v>
      </c>
      <c r="O2390" s="25">
        <f>0.437*M2390</f>
        <v>0</v>
      </c>
      <c r="P2390" s="26">
        <f>0.00455*M2390</f>
        <v>0</v>
      </c>
      <c r="Q2390" s="30"/>
      <c r="R2390" s="22" t="s">
        <v>8283</v>
      </c>
      <c r="S2390" s="22" t="s">
        <v>435</v>
      </c>
      <c r="T2390" s="21" t="str">
        <f>HYPERLINK("https://miland.ru/api/getInfo/image/21d4d72d-e227-11ef-a274-00155d82e908")</f>
        <v>https://miland.ru/api/getInfo/image/21d4d72d-e227-11ef-a274-00155d82e908</v>
      </c>
      <c r="U2390" s="21"/>
      <c r="V2390" s="21" t="s">
        <v>1931</v>
      </c>
      <c r="W2390" s="21" t="s">
        <v>1666</v>
      </c>
      <c r="X2390" s="21"/>
      <c r="Y2390" s="21" t="s">
        <v>41</v>
      </c>
      <c r="Z2390" s="21"/>
      <c r="AA2390" s="21" t="str">
        <f>HYPERLINK("https://miland.ru/api/getInfo/item/21d4d72d-e227-11ef-a274-00155d82e908")</f>
        <v>https://miland.ru/api/getInfo/item/21d4d72d-e227-11ef-a274-00155d82e908</v>
      </c>
      <c r="AB2390" s="21" t="s">
        <v>50</v>
      </c>
      <c r="AC2390" s="21"/>
      <c r="AD2390" s="21"/>
    </row>
    <row r="2391" spans="2:31" s="1" customFormat="1" ht="96.3" customHeight="1" outlineLevel="7">
      <c r="B2391" s="57">
        <v>1856</v>
      </c>
      <c r="C2391" s="21" t="s">
        <v>8284</v>
      </c>
      <c r="D2391" s="72" t="s">
        <v>8285</v>
      </c>
      <c r="E2391" s="72"/>
      <c r="F2391" s="72"/>
      <c r="G2391" s="72"/>
      <c r="H2391" s="22" t="s">
        <v>8286</v>
      </c>
      <c r="I2391" s="27">
        <v>30</v>
      </c>
      <c r="J2391" s="22"/>
      <c r="K2391" s="20">
        <v>1</v>
      </c>
      <c r="L2391" s="24">
        <v>588.01</v>
      </c>
      <c r="M2391" s="11"/>
      <c r="N2391" s="22">
        <f t="shared" si="113"/>
        <v>0</v>
      </c>
      <c r="O2391" s="25">
        <f>0.437*M2391</f>
        <v>0</v>
      </c>
      <c r="P2391" s="26">
        <f>0.00455*M2391</f>
        <v>0</v>
      </c>
      <c r="Q2391" s="30"/>
      <c r="R2391" s="22" t="s">
        <v>8287</v>
      </c>
      <c r="S2391" s="22" t="s">
        <v>435</v>
      </c>
      <c r="T2391" s="21" t="str">
        <f>HYPERLINK("https://miland.ru/api/getInfo/image/3db12576-e227-11ef-a274-00155d82e908")</f>
        <v>https://miland.ru/api/getInfo/image/3db12576-e227-11ef-a274-00155d82e908</v>
      </c>
      <c r="U2391" s="21"/>
      <c r="V2391" s="21" t="s">
        <v>1931</v>
      </c>
      <c r="W2391" s="21" t="s">
        <v>1666</v>
      </c>
      <c r="X2391" s="21"/>
      <c r="Y2391" s="21" t="s">
        <v>41</v>
      </c>
      <c r="Z2391" s="21"/>
      <c r="AA2391" s="21" t="str">
        <f>HYPERLINK("https://miland.ru/api/getInfo/item/3db12576-e227-11ef-a274-00155d82e908")</f>
        <v>https://miland.ru/api/getInfo/item/3db12576-e227-11ef-a274-00155d82e908</v>
      </c>
      <c r="AB2391" s="21" t="s">
        <v>50</v>
      </c>
      <c r="AC2391" s="21"/>
      <c r="AD2391" s="21"/>
    </row>
    <row r="2392" spans="2:31" s="1" customFormat="1" ht="96.3" customHeight="1" outlineLevel="7">
      <c r="B2392" s="58">
        <v>1857</v>
      </c>
      <c r="C2392" s="7" t="s">
        <v>8288</v>
      </c>
      <c r="D2392" s="71" t="s">
        <v>8289</v>
      </c>
      <c r="E2392" s="71"/>
      <c r="F2392" s="71"/>
      <c r="G2392" s="71"/>
      <c r="H2392" s="8" t="s">
        <v>8290</v>
      </c>
      <c r="I2392" s="14">
        <v>90</v>
      </c>
      <c r="J2392" s="8"/>
      <c r="K2392" s="6">
        <v>1</v>
      </c>
      <c r="L2392" s="10">
        <v>604.27</v>
      </c>
      <c r="M2392" s="11"/>
      <c r="N2392" s="8">
        <f t="shared" si="113"/>
        <v>0</v>
      </c>
      <c r="O2392" s="12">
        <f>0.456*M2392</f>
        <v>0</v>
      </c>
      <c r="P2392" s="13">
        <f>0.00447*M2392</f>
        <v>0</v>
      </c>
      <c r="Q2392" s="17" t="s">
        <v>37</v>
      </c>
      <c r="R2392" s="8" t="s">
        <v>8291</v>
      </c>
      <c r="S2392" s="8"/>
      <c r="T2392" s="7" t="str">
        <f>HYPERLINK("https://miland.ru/api/getInfo/image/859b83ed-f606-11f0-a28d-00155d82e908")</f>
        <v>https://miland.ru/api/getInfo/image/859b83ed-f606-11f0-a28d-00155d82e908</v>
      </c>
      <c r="U2392" s="7"/>
      <c r="V2392" s="7" t="s">
        <v>1931</v>
      </c>
      <c r="W2392" s="7" t="s">
        <v>1666</v>
      </c>
      <c r="X2392" s="7"/>
      <c r="Y2392" s="7" t="s">
        <v>41</v>
      </c>
      <c r="Z2392" s="7"/>
      <c r="AA2392" s="7" t="str">
        <f>HYPERLINK("https://miland.ru/api/getInfo/item/859b83ed-f606-11f0-a28d-00155d82e908")</f>
        <v>https://miland.ru/api/getInfo/item/859b83ed-f606-11f0-a28d-00155d82e908</v>
      </c>
      <c r="AB2392" s="7" t="s">
        <v>50</v>
      </c>
      <c r="AC2392" s="7"/>
      <c r="AD2392" s="7"/>
      <c r="AE2392" s="54"/>
    </row>
    <row r="2393" spans="2:31" ht="12" customHeight="1" outlineLevel="5">
      <c r="B2393" s="70" t="s">
        <v>8292</v>
      </c>
      <c r="C2393" s="70"/>
      <c r="D2393" s="70"/>
      <c r="E2393" s="70"/>
      <c r="F2393" s="70"/>
      <c r="G2393" s="70"/>
    </row>
    <row r="2394" spans="2:31" s="1" customFormat="1" ht="96.3" customHeight="1" outlineLevel="6">
      <c r="B2394" s="58">
        <v>1858</v>
      </c>
      <c r="C2394" s="7" t="s">
        <v>8293</v>
      </c>
      <c r="D2394" s="71" t="s">
        <v>8294</v>
      </c>
      <c r="E2394" s="71"/>
      <c r="F2394" s="71"/>
      <c r="G2394" s="71"/>
      <c r="H2394" s="8" t="s">
        <v>8295</v>
      </c>
      <c r="I2394" s="14">
        <v>315</v>
      </c>
      <c r="J2394" s="8"/>
      <c r="K2394" s="6">
        <v>1</v>
      </c>
      <c r="L2394" s="10">
        <v>540.89</v>
      </c>
      <c r="M2394" s="11"/>
      <c r="N2394" s="8">
        <f>L2394*M2394</f>
        <v>0</v>
      </c>
      <c r="O2394" s="12">
        <f>0.461*M2394</f>
        <v>0</v>
      </c>
      <c r="P2394" s="13">
        <f>0.00391*M2394</f>
        <v>0</v>
      </c>
      <c r="Q2394" s="17" t="s">
        <v>37</v>
      </c>
      <c r="R2394" s="8" t="s">
        <v>8296</v>
      </c>
      <c r="S2394" s="8"/>
      <c r="T2394" s="7" t="str">
        <f>HYPERLINK("https://miland.ru/api/getInfo/image/f34cecc6-2f21-11f1-a292-00155d82e908")</f>
        <v>https://miland.ru/api/getInfo/image/f34cecc6-2f21-11f1-a292-00155d82e908</v>
      </c>
      <c r="U2394" s="7"/>
      <c r="V2394" s="7"/>
      <c r="W2394" s="7" t="s">
        <v>8246</v>
      </c>
      <c r="X2394" s="7"/>
      <c r="Y2394" s="7" t="s">
        <v>41</v>
      </c>
      <c r="Z2394" s="7"/>
      <c r="AA2394" s="7" t="str">
        <f>HYPERLINK("https://miland.ru/api/getInfo/item/f34cecc6-2f21-11f1-a292-00155d82e908")</f>
        <v>https://miland.ru/api/getInfo/item/f34cecc6-2f21-11f1-a292-00155d82e908</v>
      </c>
      <c r="AB2394" s="7" t="s">
        <v>42</v>
      </c>
      <c r="AC2394" s="7"/>
      <c r="AD2394" s="7"/>
      <c r="AE2394" s="54"/>
    </row>
    <row r="2395" spans="2:31" ht="12" customHeight="1" outlineLevel="5">
      <c r="B2395" s="70" t="s">
        <v>8297</v>
      </c>
      <c r="C2395" s="70"/>
      <c r="D2395" s="70"/>
      <c r="E2395" s="70"/>
      <c r="F2395" s="70"/>
      <c r="G2395" s="70"/>
    </row>
    <row r="2396" spans="2:31" ht="12" customHeight="1" outlineLevel="6">
      <c r="B2396" s="70" t="s">
        <v>8298</v>
      </c>
      <c r="C2396" s="70"/>
      <c r="D2396" s="70"/>
      <c r="E2396" s="70"/>
      <c r="F2396" s="70"/>
      <c r="G2396" s="70"/>
    </row>
    <row r="2397" spans="2:31" s="1" customFormat="1" ht="96.3" customHeight="1" outlineLevel="7">
      <c r="B2397" s="58">
        <v>1859</v>
      </c>
      <c r="C2397" s="7" t="s">
        <v>8299</v>
      </c>
      <c r="D2397" s="71" t="s">
        <v>8300</v>
      </c>
      <c r="E2397" s="71"/>
      <c r="F2397" s="71"/>
      <c r="G2397" s="71"/>
      <c r="H2397" s="8" t="s">
        <v>8301</v>
      </c>
      <c r="I2397" s="14">
        <v>48</v>
      </c>
      <c r="J2397" s="8"/>
      <c r="K2397" s="6">
        <v>1</v>
      </c>
      <c r="L2397" s="10">
        <v>534.05999999999995</v>
      </c>
      <c r="M2397" s="11"/>
      <c r="N2397" s="8">
        <f t="shared" ref="N2397:N2402" si="114">L2397*M2397</f>
        <v>0</v>
      </c>
      <c r="O2397" s="12">
        <f>0.405*M2397</f>
        <v>0</v>
      </c>
      <c r="P2397" s="13">
        <f>0.00378*M2397</f>
        <v>0</v>
      </c>
      <c r="Q2397" s="17" t="s">
        <v>37</v>
      </c>
      <c r="R2397" s="8" t="s">
        <v>8302</v>
      </c>
      <c r="S2397" s="8"/>
      <c r="T2397" s="7" t="str">
        <f>HYPERLINK("https://miland.ru/api/getInfo/image/34a1ec40-f688-11f0-a28d-00155d82e908")</f>
        <v>https://miland.ru/api/getInfo/image/34a1ec40-f688-11f0-a28d-00155d82e908</v>
      </c>
      <c r="U2397" s="7"/>
      <c r="V2397" s="7" t="s">
        <v>1931</v>
      </c>
      <c r="W2397" s="7" t="s">
        <v>1666</v>
      </c>
      <c r="X2397" s="7"/>
      <c r="Y2397" s="7" t="s">
        <v>41</v>
      </c>
      <c r="Z2397" s="7"/>
      <c r="AA2397" s="7" t="str">
        <f>HYPERLINK("https://miland.ru/api/getInfo/item/34a1ec40-f688-11f0-a28d-00155d82e908")</f>
        <v>https://miland.ru/api/getInfo/item/34a1ec40-f688-11f0-a28d-00155d82e908</v>
      </c>
      <c r="AB2397" s="7" t="s">
        <v>50</v>
      </c>
      <c r="AC2397" s="7"/>
      <c r="AD2397" s="7"/>
      <c r="AE2397" s="54"/>
    </row>
    <row r="2398" spans="2:31" s="1" customFormat="1" ht="96.3" customHeight="1" outlineLevel="7">
      <c r="B2398" s="58">
        <v>1860</v>
      </c>
      <c r="C2398" s="7" t="s">
        <v>8303</v>
      </c>
      <c r="D2398" s="71" t="s">
        <v>8304</v>
      </c>
      <c r="E2398" s="71"/>
      <c r="F2398" s="71"/>
      <c r="G2398" s="71"/>
      <c r="H2398" s="8" t="s">
        <v>8305</v>
      </c>
      <c r="I2398" s="14">
        <v>23</v>
      </c>
      <c r="J2398" s="8"/>
      <c r="K2398" s="6">
        <v>1</v>
      </c>
      <c r="L2398" s="10">
        <v>534.05999999999995</v>
      </c>
      <c r="M2398" s="11"/>
      <c r="N2398" s="8">
        <f t="shared" si="114"/>
        <v>0</v>
      </c>
      <c r="O2398" s="12">
        <f>0.405*M2398</f>
        <v>0</v>
      </c>
      <c r="P2398" s="13">
        <f>0.00378*M2398</f>
        <v>0</v>
      </c>
      <c r="Q2398" s="17" t="s">
        <v>37</v>
      </c>
      <c r="R2398" s="8" t="s">
        <v>8306</v>
      </c>
      <c r="S2398" s="8"/>
      <c r="T2398" s="7" t="str">
        <f>HYPERLINK("https://miland.ru/api/getInfo/image/c73e8381-f687-11f0-a28d-00155d82e908")</f>
        <v>https://miland.ru/api/getInfo/image/c73e8381-f687-11f0-a28d-00155d82e908</v>
      </c>
      <c r="U2398" s="7"/>
      <c r="V2398" s="7" t="s">
        <v>1931</v>
      </c>
      <c r="W2398" s="7" t="s">
        <v>1666</v>
      </c>
      <c r="X2398" s="7"/>
      <c r="Y2398" s="7" t="s">
        <v>41</v>
      </c>
      <c r="Z2398" s="7"/>
      <c r="AA2398" s="7" t="str">
        <f>HYPERLINK("https://miland.ru/api/getInfo/item/c73e8381-f687-11f0-a28d-00155d82e908")</f>
        <v>https://miland.ru/api/getInfo/item/c73e8381-f687-11f0-a28d-00155d82e908</v>
      </c>
      <c r="AB2398" s="7" t="s">
        <v>50</v>
      </c>
      <c r="AC2398" s="7"/>
      <c r="AD2398" s="7"/>
      <c r="AE2398" s="54"/>
    </row>
    <row r="2399" spans="2:31" s="1" customFormat="1" ht="96.3" customHeight="1" outlineLevel="7">
      <c r="B2399" s="57">
        <v>1861</v>
      </c>
      <c r="C2399" s="21" t="s">
        <v>8307</v>
      </c>
      <c r="D2399" s="72" t="s">
        <v>8308</v>
      </c>
      <c r="E2399" s="72"/>
      <c r="F2399" s="72"/>
      <c r="G2399" s="72"/>
      <c r="H2399" s="22" t="s">
        <v>8309</v>
      </c>
      <c r="I2399" s="27">
        <v>10</v>
      </c>
      <c r="J2399" s="22"/>
      <c r="K2399" s="20">
        <v>1</v>
      </c>
      <c r="L2399" s="24">
        <v>442.62</v>
      </c>
      <c r="M2399" s="11"/>
      <c r="N2399" s="22">
        <f t="shared" si="114"/>
        <v>0</v>
      </c>
      <c r="O2399" s="25">
        <f>0.272*M2399</f>
        <v>0</v>
      </c>
      <c r="P2399" s="26">
        <f>0.00202*M2399</f>
        <v>0</v>
      </c>
      <c r="Q2399" s="30"/>
      <c r="R2399" s="22" t="s">
        <v>8310</v>
      </c>
      <c r="S2399" s="22" t="s">
        <v>435</v>
      </c>
      <c r="T2399" s="21" t="str">
        <f>HYPERLINK("https://miland.ru/api/getInfo/image/d7874354-e229-11ef-a274-00155d82e908")</f>
        <v>https://miland.ru/api/getInfo/image/d7874354-e229-11ef-a274-00155d82e908</v>
      </c>
      <c r="U2399" s="21"/>
      <c r="V2399" s="21" t="s">
        <v>1931</v>
      </c>
      <c r="W2399" s="21" t="s">
        <v>1666</v>
      </c>
      <c r="X2399" s="21"/>
      <c r="Y2399" s="21" t="s">
        <v>41</v>
      </c>
      <c r="Z2399" s="21"/>
      <c r="AA2399" s="21" t="str">
        <f>HYPERLINK("https://miland.ru/api/getInfo/item/d7874354-e229-11ef-a274-00155d82e908")</f>
        <v>https://miland.ru/api/getInfo/item/d7874354-e229-11ef-a274-00155d82e908</v>
      </c>
      <c r="AB2399" s="21" t="s">
        <v>50</v>
      </c>
      <c r="AC2399" s="21"/>
      <c r="AD2399" s="21"/>
    </row>
    <row r="2400" spans="2:31" s="1" customFormat="1" ht="96.3" customHeight="1" outlineLevel="7">
      <c r="B2400" s="57">
        <v>1862</v>
      </c>
      <c r="C2400" s="21" t="s">
        <v>8311</v>
      </c>
      <c r="D2400" s="72" t="s">
        <v>8312</v>
      </c>
      <c r="E2400" s="72"/>
      <c r="F2400" s="72"/>
      <c r="G2400" s="72"/>
      <c r="H2400" s="22" t="s">
        <v>8313</v>
      </c>
      <c r="I2400" s="27">
        <v>10</v>
      </c>
      <c r="J2400" s="22"/>
      <c r="K2400" s="20">
        <v>1</v>
      </c>
      <c r="L2400" s="24">
        <v>442.62</v>
      </c>
      <c r="M2400" s="11"/>
      <c r="N2400" s="22">
        <f t="shared" si="114"/>
        <v>0</v>
      </c>
      <c r="O2400" s="28">
        <f>0.27*M2400</f>
        <v>0</v>
      </c>
      <c r="P2400" s="26">
        <f>0.00194*M2400</f>
        <v>0</v>
      </c>
      <c r="Q2400" s="30"/>
      <c r="R2400" s="22" t="s">
        <v>8314</v>
      </c>
      <c r="S2400" s="22" t="s">
        <v>435</v>
      </c>
      <c r="T2400" s="21" t="str">
        <f>HYPERLINK("https://miland.ru/api/getInfo/image/f30852eb-e229-11ef-a274-00155d82e908")</f>
        <v>https://miland.ru/api/getInfo/image/f30852eb-e229-11ef-a274-00155d82e908</v>
      </c>
      <c r="U2400" s="21"/>
      <c r="V2400" s="21" t="s">
        <v>1931</v>
      </c>
      <c r="W2400" s="21" t="s">
        <v>1666</v>
      </c>
      <c r="X2400" s="21"/>
      <c r="Y2400" s="21" t="s">
        <v>41</v>
      </c>
      <c r="Z2400" s="21"/>
      <c r="AA2400" s="21" t="str">
        <f>HYPERLINK("https://miland.ru/api/getInfo/item/f30852eb-e229-11ef-a274-00155d82e908")</f>
        <v>https://miland.ru/api/getInfo/item/f30852eb-e229-11ef-a274-00155d82e908</v>
      </c>
      <c r="AB2400" s="21" t="s">
        <v>50</v>
      </c>
      <c r="AC2400" s="21"/>
      <c r="AD2400" s="21"/>
    </row>
    <row r="2401" spans="2:31" s="1" customFormat="1" ht="96.3" customHeight="1" outlineLevel="7">
      <c r="B2401" s="58">
        <v>1863</v>
      </c>
      <c r="C2401" s="7" t="s">
        <v>8315</v>
      </c>
      <c r="D2401" s="71" t="s">
        <v>8316</v>
      </c>
      <c r="E2401" s="71"/>
      <c r="F2401" s="71"/>
      <c r="G2401" s="71"/>
      <c r="H2401" s="8" t="s">
        <v>8317</v>
      </c>
      <c r="I2401" s="14">
        <v>41</v>
      </c>
      <c r="J2401" s="8"/>
      <c r="K2401" s="6">
        <v>1</v>
      </c>
      <c r="L2401" s="10">
        <v>534.05999999999995</v>
      </c>
      <c r="M2401" s="11"/>
      <c r="N2401" s="8">
        <f t="shared" si="114"/>
        <v>0</v>
      </c>
      <c r="O2401" s="12">
        <f>0.272*M2401</f>
        <v>0</v>
      </c>
      <c r="P2401" s="13">
        <f>0.00226*M2401</f>
        <v>0</v>
      </c>
      <c r="Q2401" s="17" t="s">
        <v>37</v>
      </c>
      <c r="R2401" s="8" t="s">
        <v>8318</v>
      </c>
      <c r="S2401" s="8"/>
      <c r="T2401" s="7" t="str">
        <f>HYPERLINK("https://miland.ru/api/getInfo/image/898f3cfd-f688-11f0-a28d-00155d82e908")</f>
        <v>https://miland.ru/api/getInfo/image/898f3cfd-f688-11f0-a28d-00155d82e908</v>
      </c>
      <c r="U2401" s="7"/>
      <c r="V2401" s="7" t="s">
        <v>1931</v>
      </c>
      <c r="W2401" s="7" t="s">
        <v>1666</v>
      </c>
      <c r="X2401" s="7"/>
      <c r="Y2401" s="7" t="s">
        <v>41</v>
      </c>
      <c r="Z2401" s="7"/>
      <c r="AA2401" s="7" t="str">
        <f>HYPERLINK("https://miland.ru/api/getInfo/item/898f3cfd-f688-11f0-a28d-00155d82e908")</f>
        <v>https://miland.ru/api/getInfo/item/898f3cfd-f688-11f0-a28d-00155d82e908</v>
      </c>
      <c r="AB2401" s="7" t="s">
        <v>50</v>
      </c>
      <c r="AC2401" s="7"/>
      <c r="AD2401" s="7"/>
      <c r="AE2401" s="54"/>
    </row>
    <row r="2402" spans="2:31" s="1" customFormat="1" ht="96.3" customHeight="1" outlineLevel="7">
      <c r="B2402" s="58">
        <v>1864</v>
      </c>
      <c r="C2402" s="7" t="s">
        <v>8319</v>
      </c>
      <c r="D2402" s="71" t="s">
        <v>8320</v>
      </c>
      <c r="E2402" s="71"/>
      <c r="F2402" s="71"/>
      <c r="G2402" s="71"/>
      <c r="H2402" s="8" t="s">
        <v>8321</v>
      </c>
      <c r="I2402" s="14">
        <v>56</v>
      </c>
      <c r="J2402" s="8"/>
      <c r="K2402" s="6">
        <v>1</v>
      </c>
      <c r="L2402" s="10">
        <v>534.05999999999995</v>
      </c>
      <c r="M2402" s="11"/>
      <c r="N2402" s="8">
        <f t="shared" si="114"/>
        <v>0</v>
      </c>
      <c r="O2402" s="12">
        <f>0.405*M2402</f>
        <v>0</v>
      </c>
      <c r="P2402" s="13">
        <f>0.00378*M2402</f>
        <v>0</v>
      </c>
      <c r="Q2402" s="17" t="s">
        <v>37</v>
      </c>
      <c r="R2402" s="8" t="s">
        <v>8322</v>
      </c>
      <c r="S2402" s="8"/>
      <c r="T2402" s="7" t="str">
        <f>HYPERLINK("https://miland.ru/api/getInfo/image/69399816-f688-11f0-a28d-00155d82e908")</f>
        <v>https://miland.ru/api/getInfo/image/69399816-f688-11f0-a28d-00155d82e908</v>
      </c>
      <c r="U2402" s="7"/>
      <c r="V2402" s="7" t="s">
        <v>1931</v>
      </c>
      <c r="W2402" s="7" t="s">
        <v>1666</v>
      </c>
      <c r="X2402" s="7"/>
      <c r="Y2402" s="7" t="s">
        <v>41</v>
      </c>
      <c r="Z2402" s="7"/>
      <c r="AA2402" s="7" t="str">
        <f>HYPERLINK("https://miland.ru/api/getInfo/item/69399816-f688-11f0-a28d-00155d82e908")</f>
        <v>https://miland.ru/api/getInfo/item/69399816-f688-11f0-a28d-00155d82e908</v>
      </c>
      <c r="AB2402" s="7" t="s">
        <v>50</v>
      </c>
      <c r="AC2402" s="7"/>
      <c r="AD2402" s="7"/>
      <c r="AE2402" s="54"/>
    </row>
    <row r="2403" spans="2:31" ht="12" customHeight="1" outlineLevel="6">
      <c r="B2403" s="70" t="s">
        <v>8323</v>
      </c>
      <c r="C2403" s="70"/>
      <c r="D2403" s="70"/>
      <c r="E2403" s="70"/>
      <c r="F2403" s="70"/>
      <c r="G2403" s="70"/>
    </row>
    <row r="2404" spans="2:31" s="1" customFormat="1" ht="96.3" customHeight="1" outlineLevel="7">
      <c r="B2404" s="58">
        <v>1865</v>
      </c>
      <c r="C2404" s="7" t="s">
        <v>8324</v>
      </c>
      <c r="D2404" s="71" t="s">
        <v>8325</v>
      </c>
      <c r="E2404" s="71"/>
      <c r="F2404" s="71"/>
      <c r="G2404" s="71"/>
      <c r="H2404" s="8" t="s">
        <v>8326</v>
      </c>
      <c r="I2404" s="14">
        <v>32</v>
      </c>
      <c r="J2404" s="8"/>
      <c r="K2404" s="6">
        <v>1</v>
      </c>
      <c r="L2404" s="10">
        <v>499.02</v>
      </c>
      <c r="M2404" s="11"/>
      <c r="N2404" s="8">
        <f>L2404*M2404</f>
        <v>0</v>
      </c>
      <c r="O2404" s="12">
        <f>0.405*M2404</f>
        <v>0</v>
      </c>
      <c r="P2404" s="13">
        <f>0.00378*M2404</f>
        <v>0</v>
      </c>
      <c r="Q2404" s="17" t="s">
        <v>37</v>
      </c>
      <c r="R2404" s="8" t="s">
        <v>8327</v>
      </c>
      <c r="S2404" s="8"/>
      <c r="T2404" s="7" t="str">
        <f>HYPERLINK("https://miland.ru/api/getInfo/image/13f22463-f689-11f0-a28d-00155d82e908")</f>
        <v>https://miland.ru/api/getInfo/image/13f22463-f689-11f0-a28d-00155d82e908</v>
      </c>
      <c r="U2404" s="7"/>
      <c r="V2404" s="7" t="s">
        <v>1931</v>
      </c>
      <c r="W2404" s="7" t="s">
        <v>1666</v>
      </c>
      <c r="X2404" s="7"/>
      <c r="Y2404" s="7" t="s">
        <v>41</v>
      </c>
      <c r="Z2404" s="7"/>
      <c r="AA2404" s="7" t="str">
        <f>HYPERLINK("https://miland.ru/api/getInfo/item/13f22463-f689-11f0-a28d-00155d82e908")</f>
        <v>https://miland.ru/api/getInfo/item/13f22463-f689-11f0-a28d-00155d82e908</v>
      </c>
      <c r="AB2404" s="7" t="s">
        <v>50</v>
      </c>
      <c r="AC2404" s="7"/>
      <c r="AD2404" s="7"/>
      <c r="AE2404" s="54"/>
    </row>
    <row r="2405" spans="2:31" s="1" customFormat="1" ht="96.3" customHeight="1" outlineLevel="7">
      <c r="B2405" s="58">
        <v>1866</v>
      </c>
      <c r="C2405" s="7" t="s">
        <v>8328</v>
      </c>
      <c r="D2405" s="71" t="s">
        <v>8329</v>
      </c>
      <c r="E2405" s="71"/>
      <c r="F2405" s="71"/>
      <c r="G2405" s="71"/>
      <c r="H2405" s="8" t="s">
        <v>8330</v>
      </c>
      <c r="I2405" s="14">
        <v>17</v>
      </c>
      <c r="J2405" s="8"/>
      <c r="K2405" s="6">
        <v>1</v>
      </c>
      <c r="L2405" s="10">
        <v>499.02</v>
      </c>
      <c r="M2405" s="11"/>
      <c r="N2405" s="8">
        <f>L2405*M2405</f>
        <v>0</v>
      </c>
      <c r="O2405" s="12">
        <f>0.406*M2405</f>
        <v>0</v>
      </c>
      <c r="P2405" s="13">
        <f>0.00414*M2405</f>
        <v>0</v>
      </c>
      <c r="Q2405" s="17" t="s">
        <v>37</v>
      </c>
      <c r="R2405" s="8" t="s">
        <v>8331</v>
      </c>
      <c r="S2405" s="8"/>
      <c r="T2405" s="7" t="str">
        <f>HYPERLINK("https://miland.ru/api/getInfo/image/decbe6ff-f688-11f0-a28d-00155d82e908")</f>
        <v>https://miland.ru/api/getInfo/image/decbe6ff-f688-11f0-a28d-00155d82e908</v>
      </c>
      <c r="U2405" s="7"/>
      <c r="V2405" s="7" t="s">
        <v>1931</v>
      </c>
      <c r="W2405" s="7" t="s">
        <v>1666</v>
      </c>
      <c r="X2405" s="7"/>
      <c r="Y2405" s="7" t="s">
        <v>41</v>
      </c>
      <c r="Z2405" s="7"/>
      <c r="AA2405" s="7" t="str">
        <f>HYPERLINK("https://miland.ru/api/getInfo/item/decbe6ff-f688-11f0-a28d-00155d82e908")</f>
        <v>https://miland.ru/api/getInfo/item/decbe6ff-f688-11f0-a28d-00155d82e908</v>
      </c>
      <c r="AB2405" s="7" t="s">
        <v>50</v>
      </c>
      <c r="AC2405" s="7"/>
      <c r="AD2405" s="7"/>
      <c r="AE2405" s="54"/>
    </row>
    <row r="2406" spans="2:31" s="1" customFormat="1" ht="96.3" customHeight="1" outlineLevel="7">
      <c r="B2406" s="58">
        <v>1867</v>
      </c>
      <c r="C2406" s="7" t="s">
        <v>8332</v>
      </c>
      <c r="D2406" s="71" t="s">
        <v>8333</v>
      </c>
      <c r="E2406" s="71"/>
      <c r="F2406" s="71"/>
      <c r="G2406" s="71"/>
      <c r="H2406" s="8" t="s">
        <v>8334</v>
      </c>
      <c r="I2406" s="14">
        <v>31</v>
      </c>
      <c r="J2406" s="8"/>
      <c r="K2406" s="6">
        <v>1</v>
      </c>
      <c r="L2406" s="10">
        <v>499.02</v>
      </c>
      <c r="M2406" s="11"/>
      <c r="N2406" s="8">
        <f>L2406*M2406</f>
        <v>0</v>
      </c>
      <c r="O2406" s="12">
        <f>0.405*M2406</f>
        <v>0</v>
      </c>
      <c r="P2406" s="13">
        <f>0.00378*M2406</f>
        <v>0</v>
      </c>
      <c r="Q2406" s="17" t="s">
        <v>37</v>
      </c>
      <c r="R2406" s="8" t="s">
        <v>8335</v>
      </c>
      <c r="S2406" s="8"/>
      <c r="T2406" s="7" t="str">
        <f>HYPERLINK("https://miland.ru/api/getInfo/image/a372eecc-f688-11f0-a28d-00155d82e908")</f>
        <v>https://miland.ru/api/getInfo/image/a372eecc-f688-11f0-a28d-00155d82e908</v>
      </c>
      <c r="U2406" s="7"/>
      <c r="V2406" s="7" t="s">
        <v>1931</v>
      </c>
      <c r="W2406" s="7" t="s">
        <v>1666</v>
      </c>
      <c r="X2406" s="7"/>
      <c r="Y2406" s="7" t="s">
        <v>41</v>
      </c>
      <c r="Z2406" s="7"/>
      <c r="AA2406" s="7" t="str">
        <f>HYPERLINK("https://miland.ru/api/getInfo/item/a372eecc-f688-11f0-a28d-00155d82e908")</f>
        <v>https://miland.ru/api/getInfo/item/a372eecc-f688-11f0-a28d-00155d82e908</v>
      </c>
      <c r="AB2406" s="7" t="s">
        <v>50</v>
      </c>
      <c r="AC2406" s="7"/>
      <c r="AD2406" s="7"/>
      <c r="AE2406" s="54"/>
    </row>
    <row r="2407" spans="2:31" s="1" customFormat="1" ht="96.3" customHeight="1" outlineLevel="7">
      <c r="B2407" s="58">
        <v>1868</v>
      </c>
      <c r="C2407" s="7" t="s">
        <v>8336</v>
      </c>
      <c r="D2407" s="71" t="s">
        <v>8337</v>
      </c>
      <c r="E2407" s="71"/>
      <c r="F2407" s="71"/>
      <c r="G2407" s="71"/>
      <c r="H2407" s="8" t="s">
        <v>8338</v>
      </c>
      <c r="I2407" s="14">
        <v>8</v>
      </c>
      <c r="J2407" s="8"/>
      <c r="K2407" s="6">
        <v>1</v>
      </c>
      <c r="L2407" s="10">
        <v>499.02</v>
      </c>
      <c r="M2407" s="11"/>
      <c r="N2407" s="8">
        <f>L2407*M2407</f>
        <v>0</v>
      </c>
      <c r="O2407" s="12">
        <f>0.405*M2407</f>
        <v>0</v>
      </c>
      <c r="P2407" s="13">
        <f>0.00378*M2407</f>
        <v>0</v>
      </c>
      <c r="Q2407" s="17" t="s">
        <v>37</v>
      </c>
      <c r="R2407" s="8" t="s">
        <v>8339</v>
      </c>
      <c r="S2407" s="8"/>
      <c r="T2407" s="7" t="str">
        <f>HYPERLINK("https://miland.ru/api/getInfo/image/b834affa-f688-11f0-a28d-00155d82e908")</f>
        <v>https://miland.ru/api/getInfo/image/b834affa-f688-11f0-a28d-00155d82e908</v>
      </c>
      <c r="U2407" s="7"/>
      <c r="V2407" s="7" t="s">
        <v>1931</v>
      </c>
      <c r="W2407" s="7" t="s">
        <v>1666</v>
      </c>
      <c r="X2407" s="7"/>
      <c r="Y2407" s="7" t="s">
        <v>41</v>
      </c>
      <c r="Z2407" s="7"/>
      <c r="AA2407" s="7" t="str">
        <f>HYPERLINK("https://miland.ru/api/getInfo/item/b834affa-f688-11f0-a28d-00155d82e908")</f>
        <v>https://miland.ru/api/getInfo/item/b834affa-f688-11f0-a28d-00155d82e908</v>
      </c>
      <c r="AB2407" s="7" t="s">
        <v>50</v>
      </c>
      <c r="AC2407" s="7"/>
      <c r="AD2407" s="7"/>
      <c r="AE2407" s="54"/>
    </row>
    <row r="2408" spans="2:31" ht="12" customHeight="1" outlineLevel="4">
      <c r="B2408" s="70" t="s">
        <v>8340</v>
      </c>
      <c r="C2408" s="70"/>
      <c r="D2408" s="70"/>
      <c r="E2408" s="70"/>
      <c r="F2408" s="70"/>
      <c r="G2408" s="70"/>
    </row>
    <row r="2409" spans="2:31" s="1" customFormat="1" ht="96.3" customHeight="1" outlineLevel="5">
      <c r="B2409" s="58">
        <v>1869</v>
      </c>
      <c r="C2409" s="7" t="s">
        <v>8341</v>
      </c>
      <c r="D2409" s="71" t="s">
        <v>8342</v>
      </c>
      <c r="E2409" s="71"/>
      <c r="F2409" s="71"/>
      <c r="G2409" s="71"/>
      <c r="H2409" s="8" t="s">
        <v>8343</v>
      </c>
      <c r="I2409" s="14">
        <v>54</v>
      </c>
      <c r="J2409" s="8"/>
      <c r="K2409" s="6">
        <v>1</v>
      </c>
      <c r="L2409" s="15">
        <v>1603.82</v>
      </c>
      <c r="M2409" s="11"/>
      <c r="N2409" s="8">
        <f t="shared" ref="N2409:N2421" si="115">L2409*M2409</f>
        <v>0</v>
      </c>
      <c r="O2409" s="12">
        <f>0.437*M2409</f>
        <v>0</v>
      </c>
      <c r="P2409" s="13">
        <f>0.00455*M2409</f>
        <v>0</v>
      </c>
      <c r="Q2409" s="17" t="s">
        <v>37</v>
      </c>
      <c r="R2409" s="8" t="s">
        <v>8344</v>
      </c>
      <c r="S2409" s="8"/>
      <c r="T2409" s="7" t="str">
        <f>HYPERLINK("https://miland.ru/api/getInfo/image/91cfbb4c-f689-11f0-a28d-00155d82e908")</f>
        <v>https://miland.ru/api/getInfo/image/91cfbb4c-f689-11f0-a28d-00155d82e908</v>
      </c>
      <c r="U2409" s="7"/>
      <c r="V2409" s="7" t="s">
        <v>1931</v>
      </c>
      <c r="W2409" s="7" t="s">
        <v>1666</v>
      </c>
      <c r="X2409" s="7"/>
      <c r="Y2409" s="7" t="s">
        <v>41</v>
      </c>
      <c r="Z2409" s="7"/>
      <c r="AA2409" s="7" t="str">
        <f>HYPERLINK("https://miland.ru/api/getInfo/item/91cfbb4c-f689-11f0-a28d-00155d82e908")</f>
        <v>https://miland.ru/api/getInfo/item/91cfbb4c-f689-11f0-a28d-00155d82e908</v>
      </c>
      <c r="AB2409" s="7" t="s">
        <v>50</v>
      </c>
      <c r="AC2409" s="7"/>
      <c r="AD2409" s="7"/>
      <c r="AE2409" s="54"/>
    </row>
    <row r="2410" spans="2:31" s="1" customFormat="1" ht="96.3" customHeight="1" outlineLevel="5">
      <c r="B2410" s="58">
        <v>1870</v>
      </c>
      <c r="C2410" s="7" t="s">
        <v>8345</v>
      </c>
      <c r="D2410" s="71" t="s">
        <v>8346</v>
      </c>
      <c r="E2410" s="71"/>
      <c r="F2410" s="71"/>
      <c r="G2410" s="71"/>
      <c r="H2410" s="8" t="s">
        <v>8347</v>
      </c>
      <c r="I2410" s="14">
        <v>46</v>
      </c>
      <c r="J2410" s="8"/>
      <c r="K2410" s="6">
        <v>1</v>
      </c>
      <c r="L2410" s="15">
        <v>1603.82</v>
      </c>
      <c r="M2410" s="11"/>
      <c r="N2410" s="8">
        <f t="shared" si="115"/>
        <v>0</v>
      </c>
      <c r="O2410" s="12">
        <f>0.437*M2410</f>
        <v>0</v>
      </c>
      <c r="P2410" s="13">
        <f>0.00455*M2410</f>
        <v>0</v>
      </c>
      <c r="Q2410" s="17" t="s">
        <v>37</v>
      </c>
      <c r="R2410" s="8" t="s">
        <v>8348</v>
      </c>
      <c r="S2410" s="8"/>
      <c r="T2410" s="7" t="str">
        <f>HYPERLINK("https://miland.ru/api/getInfo/image/6faa381a-f689-11f0-a28d-00155d82e908")</f>
        <v>https://miland.ru/api/getInfo/image/6faa381a-f689-11f0-a28d-00155d82e908</v>
      </c>
      <c r="U2410" s="7"/>
      <c r="V2410" s="7" t="s">
        <v>1931</v>
      </c>
      <c r="W2410" s="7" t="s">
        <v>1666</v>
      </c>
      <c r="X2410" s="7"/>
      <c r="Y2410" s="7" t="s">
        <v>41</v>
      </c>
      <c r="Z2410" s="7"/>
      <c r="AA2410" s="7" t="str">
        <f>HYPERLINK("https://miland.ru/api/getInfo/item/6faa381a-f689-11f0-a28d-00155d82e908")</f>
        <v>https://miland.ru/api/getInfo/item/6faa381a-f689-11f0-a28d-00155d82e908</v>
      </c>
      <c r="AB2410" s="7" t="s">
        <v>50</v>
      </c>
      <c r="AC2410" s="7"/>
      <c r="AD2410" s="7"/>
      <c r="AE2410" s="54"/>
    </row>
    <row r="2411" spans="2:31" s="1" customFormat="1" ht="96.3" customHeight="1" outlineLevel="5">
      <c r="B2411" s="58">
        <v>1871</v>
      </c>
      <c r="C2411" s="7" t="s">
        <v>8349</v>
      </c>
      <c r="D2411" s="71" t="s">
        <v>8350</v>
      </c>
      <c r="E2411" s="71"/>
      <c r="F2411" s="71"/>
      <c r="G2411" s="71"/>
      <c r="H2411" s="8" t="s">
        <v>8351</v>
      </c>
      <c r="I2411" s="14">
        <v>11</v>
      </c>
      <c r="J2411" s="8"/>
      <c r="K2411" s="6">
        <v>1</v>
      </c>
      <c r="L2411" s="15">
        <v>1603.82</v>
      </c>
      <c r="M2411" s="11"/>
      <c r="N2411" s="8">
        <f t="shared" si="115"/>
        <v>0</v>
      </c>
      <c r="O2411" s="12">
        <f>1.414*M2411</f>
        <v>0</v>
      </c>
      <c r="P2411" s="16">
        <f>0.0087*M2411</f>
        <v>0</v>
      </c>
      <c r="Q2411" s="17" t="s">
        <v>37</v>
      </c>
      <c r="R2411" s="8" t="s">
        <v>8352</v>
      </c>
      <c r="S2411" s="8"/>
      <c r="T2411" s="7" t="str">
        <f>HYPERLINK("https://miland.ru/api/getInfo/image/8056bdaf-f689-11f0-a28d-00155d82e908")</f>
        <v>https://miland.ru/api/getInfo/image/8056bdaf-f689-11f0-a28d-00155d82e908</v>
      </c>
      <c r="U2411" s="7"/>
      <c r="V2411" s="7" t="s">
        <v>1931</v>
      </c>
      <c r="W2411" s="7" t="s">
        <v>1666</v>
      </c>
      <c r="X2411" s="7"/>
      <c r="Y2411" s="7" t="s">
        <v>41</v>
      </c>
      <c r="Z2411" s="7"/>
      <c r="AA2411" s="7" t="str">
        <f>HYPERLINK("https://miland.ru/api/getInfo/item/8056bdaf-f689-11f0-a28d-00155d82e908")</f>
        <v>https://miland.ru/api/getInfo/item/8056bdaf-f689-11f0-a28d-00155d82e908</v>
      </c>
      <c r="AB2411" s="7" t="s">
        <v>50</v>
      </c>
      <c r="AC2411" s="7"/>
      <c r="AD2411" s="7"/>
      <c r="AE2411" s="54"/>
    </row>
    <row r="2412" spans="2:31" s="1" customFormat="1" ht="96.3" customHeight="1" outlineLevel="5">
      <c r="B2412" s="57">
        <v>1872</v>
      </c>
      <c r="C2412" s="21" t="s">
        <v>8353</v>
      </c>
      <c r="D2412" s="72" t="s">
        <v>8354</v>
      </c>
      <c r="E2412" s="72"/>
      <c r="F2412" s="72"/>
      <c r="G2412" s="72"/>
      <c r="H2412" s="22" t="s">
        <v>8355</v>
      </c>
      <c r="I2412" s="27">
        <v>10</v>
      </c>
      <c r="J2412" s="22"/>
      <c r="K2412" s="20">
        <v>1</v>
      </c>
      <c r="L2412" s="32">
        <v>2386.25</v>
      </c>
      <c r="M2412" s="11"/>
      <c r="N2412" s="22">
        <f t="shared" si="115"/>
        <v>0</v>
      </c>
      <c r="O2412" s="25">
        <f>3.753*M2412</f>
        <v>0</v>
      </c>
      <c r="P2412" s="26">
        <f>0.01745*M2412</f>
        <v>0</v>
      </c>
      <c r="Q2412" s="30"/>
      <c r="R2412" s="22" t="s">
        <v>8356</v>
      </c>
      <c r="S2412" s="22" t="s">
        <v>435</v>
      </c>
      <c r="T2412" s="21" t="str">
        <f>HYPERLINK("https://miland.ru/api/getInfo/image/ec61862d-21c3-11f0-a279-00155d82e908")</f>
        <v>https://miland.ru/api/getInfo/image/ec61862d-21c3-11f0-a279-00155d82e908</v>
      </c>
      <c r="U2412" s="21"/>
      <c r="V2412" s="21" t="s">
        <v>1931</v>
      </c>
      <c r="W2412" s="21" t="s">
        <v>1666</v>
      </c>
      <c r="X2412" s="21"/>
      <c r="Y2412" s="21" t="s">
        <v>41</v>
      </c>
      <c r="Z2412" s="21"/>
      <c r="AA2412" s="21" t="str">
        <f>HYPERLINK("https://miland.ru/api/getInfo/item/ec61862d-21c3-11f0-a279-00155d82e908")</f>
        <v>https://miland.ru/api/getInfo/item/ec61862d-21c3-11f0-a279-00155d82e908</v>
      </c>
      <c r="AB2412" s="21" t="s">
        <v>42</v>
      </c>
      <c r="AC2412" s="21"/>
      <c r="AD2412" s="21"/>
    </row>
    <row r="2413" spans="2:31" s="1" customFormat="1" ht="96.3" customHeight="1" outlineLevel="5">
      <c r="B2413" s="57">
        <v>1873</v>
      </c>
      <c r="C2413" s="21" t="s">
        <v>8357</v>
      </c>
      <c r="D2413" s="72" t="s">
        <v>8358</v>
      </c>
      <c r="E2413" s="72"/>
      <c r="F2413" s="72"/>
      <c r="G2413" s="72"/>
      <c r="H2413" s="22" t="s">
        <v>8359</v>
      </c>
      <c r="I2413" s="27">
        <v>15</v>
      </c>
      <c r="J2413" s="22"/>
      <c r="K2413" s="20">
        <v>1</v>
      </c>
      <c r="L2413" s="32">
        <v>2588.85</v>
      </c>
      <c r="M2413" s="11"/>
      <c r="N2413" s="22">
        <f t="shared" si="115"/>
        <v>0</v>
      </c>
      <c r="O2413" s="25">
        <f>3.736*M2413</f>
        <v>0</v>
      </c>
      <c r="P2413" s="26">
        <f>0.01813*M2413</f>
        <v>0</v>
      </c>
      <c r="Q2413" s="30"/>
      <c r="R2413" s="22" t="s">
        <v>8360</v>
      </c>
      <c r="S2413" s="22" t="s">
        <v>435</v>
      </c>
      <c r="T2413" s="21" t="str">
        <f>HYPERLINK("https://miland.ru/api/getInfo/image/8148cb90-21ba-11f0-a279-00155d82e908")</f>
        <v>https://miland.ru/api/getInfo/image/8148cb90-21ba-11f0-a279-00155d82e908</v>
      </c>
      <c r="U2413" s="21"/>
      <c r="V2413" s="21" t="s">
        <v>1931</v>
      </c>
      <c r="W2413" s="21" t="s">
        <v>1666</v>
      </c>
      <c r="X2413" s="21"/>
      <c r="Y2413" s="21" t="s">
        <v>41</v>
      </c>
      <c r="Z2413" s="21"/>
      <c r="AA2413" s="21" t="str">
        <f>HYPERLINK("https://miland.ru/api/getInfo/item/8148cb90-21ba-11f0-a279-00155d82e908")</f>
        <v>https://miland.ru/api/getInfo/item/8148cb90-21ba-11f0-a279-00155d82e908</v>
      </c>
      <c r="AB2413" s="21" t="s">
        <v>42</v>
      </c>
      <c r="AC2413" s="21"/>
      <c r="AD2413" s="21"/>
    </row>
    <row r="2414" spans="2:31" s="1" customFormat="1" ht="96.3" customHeight="1" outlineLevel="5">
      <c r="B2414" s="57">
        <v>1874</v>
      </c>
      <c r="C2414" s="21" t="s">
        <v>8361</v>
      </c>
      <c r="D2414" s="72" t="s">
        <v>8362</v>
      </c>
      <c r="E2414" s="72"/>
      <c r="F2414" s="72"/>
      <c r="G2414" s="72"/>
      <c r="H2414" s="22" t="s">
        <v>8363</v>
      </c>
      <c r="I2414" s="27">
        <v>56</v>
      </c>
      <c r="J2414" s="22"/>
      <c r="K2414" s="20">
        <v>1</v>
      </c>
      <c r="L2414" s="32">
        <v>1481.3</v>
      </c>
      <c r="M2414" s="11"/>
      <c r="N2414" s="22">
        <f t="shared" si="115"/>
        <v>0</v>
      </c>
      <c r="O2414" s="25">
        <f>1.453*M2414</f>
        <v>0</v>
      </c>
      <c r="P2414" s="26">
        <f>0.00853*M2414</f>
        <v>0</v>
      </c>
      <c r="Q2414" s="30"/>
      <c r="R2414" s="22" t="s">
        <v>8364</v>
      </c>
      <c r="S2414" s="22" t="s">
        <v>435</v>
      </c>
      <c r="T2414" s="21" t="str">
        <f>HYPERLINK("https://miland.ru/api/getInfo/image/44e6a67c-e3b8-11ef-a274-00155d82e908")</f>
        <v>https://miland.ru/api/getInfo/image/44e6a67c-e3b8-11ef-a274-00155d82e908</v>
      </c>
      <c r="U2414" s="21"/>
      <c r="V2414" s="21" t="s">
        <v>1931</v>
      </c>
      <c r="W2414" s="21" t="s">
        <v>1666</v>
      </c>
      <c r="X2414" s="21"/>
      <c r="Y2414" s="21" t="s">
        <v>41</v>
      </c>
      <c r="Z2414" s="21"/>
      <c r="AA2414" s="21" t="str">
        <f>HYPERLINK("https://miland.ru/api/getInfo/item/44e6a67c-e3b8-11ef-a274-00155d82e908")</f>
        <v>https://miland.ru/api/getInfo/item/44e6a67c-e3b8-11ef-a274-00155d82e908</v>
      </c>
      <c r="AB2414" s="21" t="s">
        <v>50</v>
      </c>
      <c r="AC2414" s="21"/>
      <c r="AD2414" s="21"/>
    </row>
    <row r="2415" spans="2:31" s="1" customFormat="1" ht="96.3" customHeight="1" outlineLevel="5">
      <c r="B2415" s="57">
        <v>1875</v>
      </c>
      <c r="C2415" s="21" t="s">
        <v>8365</v>
      </c>
      <c r="D2415" s="72" t="s">
        <v>8366</v>
      </c>
      <c r="E2415" s="72"/>
      <c r="F2415" s="72"/>
      <c r="G2415" s="72"/>
      <c r="H2415" s="22" t="s">
        <v>8367</v>
      </c>
      <c r="I2415" s="27">
        <v>31</v>
      </c>
      <c r="J2415" s="22"/>
      <c r="K2415" s="20">
        <v>1</v>
      </c>
      <c r="L2415" s="32">
        <v>1481.3</v>
      </c>
      <c r="M2415" s="11"/>
      <c r="N2415" s="22">
        <f t="shared" si="115"/>
        <v>0</v>
      </c>
      <c r="O2415" s="25">
        <f>1.434*M2415</f>
        <v>0</v>
      </c>
      <c r="P2415" s="26">
        <f>0.00865*M2415</f>
        <v>0</v>
      </c>
      <c r="Q2415" s="30"/>
      <c r="R2415" s="22" t="s">
        <v>8368</v>
      </c>
      <c r="S2415" s="22" t="s">
        <v>435</v>
      </c>
      <c r="T2415" s="21" t="str">
        <f>HYPERLINK("https://miland.ru/api/getInfo/image/38f13842-e3b9-11ef-a274-00155d82e908")</f>
        <v>https://miland.ru/api/getInfo/image/38f13842-e3b9-11ef-a274-00155d82e908</v>
      </c>
      <c r="U2415" s="21"/>
      <c r="V2415" s="21" t="s">
        <v>1931</v>
      </c>
      <c r="W2415" s="21" t="s">
        <v>1666</v>
      </c>
      <c r="X2415" s="21"/>
      <c r="Y2415" s="21" t="s">
        <v>41</v>
      </c>
      <c r="Z2415" s="21"/>
      <c r="AA2415" s="21" t="str">
        <f>HYPERLINK("https://miland.ru/api/getInfo/item/38f13842-e3b9-11ef-a274-00155d82e908")</f>
        <v>https://miland.ru/api/getInfo/item/38f13842-e3b9-11ef-a274-00155d82e908</v>
      </c>
      <c r="AB2415" s="21" t="s">
        <v>50</v>
      </c>
      <c r="AC2415" s="21"/>
      <c r="AD2415" s="21"/>
    </row>
    <row r="2416" spans="2:31" s="1" customFormat="1" ht="96.3" customHeight="1" outlineLevel="5">
      <c r="B2416" s="57">
        <v>1876</v>
      </c>
      <c r="C2416" s="21" t="s">
        <v>8369</v>
      </c>
      <c r="D2416" s="72" t="s">
        <v>8370</v>
      </c>
      <c r="E2416" s="72"/>
      <c r="F2416" s="72"/>
      <c r="G2416" s="72"/>
      <c r="H2416" s="22" t="s">
        <v>8371</v>
      </c>
      <c r="I2416" s="27">
        <v>57</v>
      </c>
      <c r="J2416" s="22"/>
      <c r="K2416" s="20">
        <v>1</v>
      </c>
      <c r="L2416" s="32">
        <v>1481.3</v>
      </c>
      <c r="M2416" s="11"/>
      <c r="N2416" s="22">
        <f t="shared" si="115"/>
        <v>0</v>
      </c>
      <c r="O2416" s="25">
        <f>1.434*M2416</f>
        <v>0</v>
      </c>
      <c r="P2416" s="26">
        <f>0.00865*M2416</f>
        <v>0</v>
      </c>
      <c r="Q2416" s="30"/>
      <c r="R2416" s="22" t="s">
        <v>8372</v>
      </c>
      <c r="S2416" s="22" t="s">
        <v>435</v>
      </c>
      <c r="T2416" s="21" t="str">
        <f>HYPERLINK("https://miland.ru/api/getInfo/image/edf676db-e3b9-11ef-a274-00155d82e908")</f>
        <v>https://miland.ru/api/getInfo/image/edf676db-e3b9-11ef-a274-00155d82e908</v>
      </c>
      <c r="U2416" s="21"/>
      <c r="V2416" s="21" t="s">
        <v>1931</v>
      </c>
      <c r="W2416" s="21" t="s">
        <v>1666</v>
      </c>
      <c r="X2416" s="21"/>
      <c r="Y2416" s="21" t="s">
        <v>41</v>
      </c>
      <c r="Z2416" s="21"/>
      <c r="AA2416" s="21" t="str">
        <f>HYPERLINK("https://miland.ru/api/getInfo/item/edf676db-e3b9-11ef-a274-00155d82e908")</f>
        <v>https://miland.ru/api/getInfo/item/edf676db-e3b9-11ef-a274-00155d82e908</v>
      </c>
      <c r="AB2416" s="21" t="s">
        <v>50</v>
      </c>
      <c r="AC2416" s="21"/>
      <c r="AD2416" s="21"/>
    </row>
    <row r="2417" spans="2:31" s="1" customFormat="1" ht="96.3" customHeight="1" outlineLevel="5">
      <c r="B2417" s="57">
        <v>1877</v>
      </c>
      <c r="C2417" s="21" t="s">
        <v>8373</v>
      </c>
      <c r="D2417" s="72" t="s">
        <v>8374</v>
      </c>
      <c r="E2417" s="72"/>
      <c r="F2417" s="72"/>
      <c r="G2417" s="72"/>
      <c r="H2417" s="22" t="s">
        <v>8375</v>
      </c>
      <c r="I2417" s="27">
        <v>72</v>
      </c>
      <c r="J2417" s="22"/>
      <c r="K2417" s="20">
        <v>1</v>
      </c>
      <c r="L2417" s="32">
        <v>1481.3</v>
      </c>
      <c r="M2417" s="11"/>
      <c r="N2417" s="22">
        <f t="shared" si="115"/>
        <v>0</v>
      </c>
      <c r="O2417" s="25">
        <f>1.434*M2417</f>
        <v>0</v>
      </c>
      <c r="P2417" s="26">
        <f>0.00865*M2417</f>
        <v>0</v>
      </c>
      <c r="Q2417" s="30"/>
      <c r="R2417" s="22" t="s">
        <v>8376</v>
      </c>
      <c r="S2417" s="22" t="s">
        <v>435</v>
      </c>
      <c r="T2417" s="21" t="str">
        <f>HYPERLINK("https://miland.ru/api/getInfo/image/90b3d590-e3b8-11ef-a274-00155d82e908")</f>
        <v>https://miland.ru/api/getInfo/image/90b3d590-e3b8-11ef-a274-00155d82e908</v>
      </c>
      <c r="U2417" s="21"/>
      <c r="V2417" s="21" t="s">
        <v>1931</v>
      </c>
      <c r="W2417" s="21" t="s">
        <v>1666</v>
      </c>
      <c r="X2417" s="21"/>
      <c r="Y2417" s="21" t="s">
        <v>41</v>
      </c>
      <c r="Z2417" s="21"/>
      <c r="AA2417" s="21" t="str">
        <f>HYPERLINK("https://miland.ru/api/getInfo/item/90b3d590-e3b8-11ef-a274-00155d82e908")</f>
        <v>https://miland.ru/api/getInfo/item/90b3d590-e3b8-11ef-a274-00155d82e908</v>
      </c>
      <c r="AB2417" s="21" t="s">
        <v>50</v>
      </c>
      <c r="AC2417" s="21"/>
      <c r="AD2417" s="21"/>
    </row>
    <row r="2418" spans="2:31" s="1" customFormat="1" ht="96.3" customHeight="1" outlineLevel="5">
      <c r="B2418" s="57">
        <v>1878</v>
      </c>
      <c r="C2418" s="21" t="s">
        <v>8377</v>
      </c>
      <c r="D2418" s="72" t="s">
        <v>8378</v>
      </c>
      <c r="E2418" s="72"/>
      <c r="F2418" s="72"/>
      <c r="G2418" s="72"/>
      <c r="H2418" s="22" t="s">
        <v>8379</v>
      </c>
      <c r="I2418" s="27">
        <v>133</v>
      </c>
      <c r="J2418" s="22"/>
      <c r="K2418" s="20">
        <v>1</v>
      </c>
      <c r="L2418" s="32">
        <v>1481.3</v>
      </c>
      <c r="M2418" s="11"/>
      <c r="N2418" s="22">
        <f t="shared" si="115"/>
        <v>0</v>
      </c>
      <c r="O2418" s="25">
        <f>1.427*M2418</f>
        <v>0</v>
      </c>
      <c r="P2418" s="26">
        <f>0.00872*M2418</f>
        <v>0</v>
      </c>
      <c r="Q2418" s="30"/>
      <c r="R2418" s="22" t="s">
        <v>8380</v>
      </c>
      <c r="S2418" s="22" t="s">
        <v>435</v>
      </c>
      <c r="T2418" s="21" t="str">
        <f>HYPERLINK("https://miland.ru/api/getInfo/image/fa7d9321-e3ba-11ef-a274-00155d82e908")</f>
        <v>https://miland.ru/api/getInfo/image/fa7d9321-e3ba-11ef-a274-00155d82e908</v>
      </c>
      <c r="U2418" s="21"/>
      <c r="V2418" s="21" t="s">
        <v>1931</v>
      </c>
      <c r="W2418" s="21" t="s">
        <v>1666</v>
      </c>
      <c r="X2418" s="21"/>
      <c r="Y2418" s="21" t="s">
        <v>41</v>
      </c>
      <c r="Z2418" s="21"/>
      <c r="AA2418" s="21" t="str">
        <f>HYPERLINK("https://miland.ru/api/getInfo/item/fa7d9321-e3ba-11ef-a274-00155d82e908")</f>
        <v>https://miland.ru/api/getInfo/item/fa7d9321-e3ba-11ef-a274-00155d82e908</v>
      </c>
      <c r="AB2418" s="21" t="s">
        <v>50</v>
      </c>
      <c r="AC2418" s="21"/>
      <c r="AD2418" s="21"/>
    </row>
    <row r="2419" spans="2:31" s="1" customFormat="1" ht="96.3" customHeight="1" outlineLevel="5">
      <c r="B2419" s="57">
        <v>1879</v>
      </c>
      <c r="C2419" s="21" t="s">
        <v>8381</v>
      </c>
      <c r="D2419" s="72" t="s">
        <v>8382</v>
      </c>
      <c r="E2419" s="72"/>
      <c r="F2419" s="72"/>
      <c r="G2419" s="72"/>
      <c r="H2419" s="22" t="s">
        <v>8383</v>
      </c>
      <c r="I2419" s="27">
        <v>8</v>
      </c>
      <c r="J2419" s="22"/>
      <c r="K2419" s="20">
        <v>1</v>
      </c>
      <c r="L2419" s="32">
        <v>1883.98</v>
      </c>
      <c r="M2419" s="11"/>
      <c r="N2419" s="22">
        <f t="shared" si="115"/>
        <v>0</v>
      </c>
      <c r="O2419" s="25">
        <f>1.434*M2419</f>
        <v>0</v>
      </c>
      <c r="P2419" s="26">
        <f>0.00865*M2419</f>
        <v>0</v>
      </c>
      <c r="Q2419" s="30"/>
      <c r="R2419" s="22" t="s">
        <v>8384</v>
      </c>
      <c r="S2419" s="22" t="s">
        <v>435</v>
      </c>
      <c r="T2419" s="21" t="str">
        <f>HYPERLINK("https://miland.ru/api/getInfo/image/3ca30127-e3bb-11ef-a274-00155d82e908")</f>
        <v>https://miland.ru/api/getInfo/image/3ca30127-e3bb-11ef-a274-00155d82e908</v>
      </c>
      <c r="U2419" s="21"/>
      <c r="V2419" s="21" t="s">
        <v>1931</v>
      </c>
      <c r="W2419" s="21" t="s">
        <v>1666</v>
      </c>
      <c r="X2419" s="21"/>
      <c r="Y2419" s="21" t="s">
        <v>41</v>
      </c>
      <c r="Z2419" s="21"/>
      <c r="AA2419" s="21" t="str">
        <f>HYPERLINK("https://miland.ru/api/getInfo/item/3ca30127-e3bb-11ef-a274-00155d82e908")</f>
        <v>https://miland.ru/api/getInfo/item/3ca30127-e3bb-11ef-a274-00155d82e908</v>
      </c>
      <c r="AB2419" s="21" t="s">
        <v>50</v>
      </c>
      <c r="AC2419" s="21"/>
      <c r="AD2419" s="21"/>
    </row>
    <row r="2420" spans="2:31" s="1" customFormat="1" ht="96.3" customHeight="1" outlineLevel="5">
      <c r="B2420" s="58">
        <v>1880</v>
      </c>
      <c r="C2420" s="7" t="s">
        <v>8385</v>
      </c>
      <c r="D2420" s="71" t="s">
        <v>8386</v>
      </c>
      <c r="E2420" s="71"/>
      <c r="F2420" s="71"/>
      <c r="G2420" s="71"/>
      <c r="H2420" s="8" t="s">
        <v>8387</v>
      </c>
      <c r="I2420" s="14">
        <v>35</v>
      </c>
      <c r="J2420" s="8"/>
      <c r="K2420" s="6">
        <v>1</v>
      </c>
      <c r="L2420" s="15">
        <v>1603.82</v>
      </c>
      <c r="M2420" s="11"/>
      <c r="N2420" s="8">
        <f t="shared" si="115"/>
        <v>0</v>
      </c>
      <c r="O2420" s="12">
        <f>0.437*M2420</f>
        <v>0</v>
      </c>
      <c r="P2420" s="13">
        <f>0.00455*M2420</f>
        <v>0</v>
      </c>
      <c r="Q2420" s="17" t="s">
        <v>37</v>
      </c>
      <c r="R2420" s="8" t="s">
        <v>8388</v>
      </c>
      <c r="S2420" s="8"/>
      <c r="T2420" s="7" t="str">
        <f>HYPERLINK("https://miland.ru/api/getInfo/image/4b07ccc4-f689-11f0-a28d-00155d82e908")</f>
        <v>https://miland.ru/api/getInfo/image/4b07ccc4-f689-11f0-a28d-00155d82e908</v>
      </c>
      <c r="U2420" s="7"/>
      <c r="V2420" s="7" t="s">
        <v>1931</v>
      </c>
      <c r="W2420" s="7" t="s">
        <v>1666</v>
      </c>
      <c r="X2420" s="7"/>
      <c r="Y2420" s="7" t="s">
        <v>41</v>
      </c>
      <c r="Z2420" s="7"/>
      <c r="AA2420" s="7" t="str">
        <f>HYPERLINK("https://miland.ru/api/getInfo/item/4b07ccc4-f689-11f0-a28d-00155d82e908")</f>
        <v>https://miland.ru/api/getInfo/item/4b07ccc4-f689-11f0-a28d-00155d82e908</v>
      </c>
      <c r="AB2420" s="7" t="s">
        <v>50</v>
      </c>
      <c r="AC2420" s="7"/>
      <c r="AD2420" s="7"/>
      <c r="AE2420" s="54"/>
    </row>
    <row r="2421" spans="2:31" s="1" customFormat="1" ht="96.3" customHeight="1" outlineLevel="5">
      <c r="B2421" s="58">
        <v>1881</v>
      </c>
      <c r="C2421" s="7" t="s">
        <v>8389</v>
      </c>
      <c r="D2421" s="71" t="s">
        <v>8390</v>
      </c>
      <c r="E2421" s="71"/>
      <c r="F2421" s="71"/>
      <c r="G2421" s="71"/>
      <c r="H2421" s="8" t="s">
        <v>8391</v>
      </c>
      <c r="I2421" s="14">
        <v>37</v>
      </c>
      <c r="J2421" s="8"/>
      <c r="K2421" s="6">
        <v>1</v>
      </c>
      <c r="L2421" s="15">
        <v>1603.82</v>
      </c>
      <c r="M2421" s="11"/>
      <c r="N2421" s="8">
        <f t="shared" si="115"/>
        <v>0</v>
      </c>
      <c r="O2421" s="12">
        <f>1.414*M2421</f>
        <v>0</v>
      </c>
      <c r="P2421" s="16">
        <f>0.0087*M2421</f>
        <v>0</v>
      </c>
      <c r="Q2421" s="17" t="s">
        <v>37</v>
      </c>
      <c r="R2421" s="8" t="s">
        <v>8392</v>
      </c>
      <c r="S2421" s="8"/>
      <c r="T2421" s="7" t="str">
        <f>HYPERLINK("https://miland.ru/api/getInfo/image/3a013fda-f689-11f0-a28d-00155d82e908")</f>
        <v>https://miland.ru/api/getInfo/image/3a013fda-f689-11f0-a28d-00155d82e908</v>
      </c>
      <c r="U2421" s="7"/>
      <c r="V2421" s="7" t="s">
        <v>1931</v>
      </c>
      <c r="W2421" s="7" t="s">
        <v>1666</v>
      </c>
      <c r="X2421" s="7"/>
      <c r="Y2421" s="7" t="s">
        <v>41</v>
      </c>
      <c r="Z2421" s="7"/>
      <c r="AA2421" s="7" t="str">
        <f>HYPERLINK("https://miland.ru/api/getInfo/item/3a013fda-f689-11f0-a28d-00155d82e908")</f>
        <v>https://miland.ru/api/getInfo/item/3a013fda-f689-11f0-a28d-00155d82e908</v>
      </c>
      <c r="AB2421" s="7" t="s">
        <v>50</v>
      </c>
      <c r="AC2421" s="7"/>
      <c r="AD2421" s="7"/>
      <c r="AE2421" s="54"/>
    </row>
    <row r="2422" spans="2:31" ht="12" customHeight="1" outlineLevel="4">
      <c r="B2422" s="70" t="s">
        <v>8393</v>
      </c>
      <c r="C2422" s="70"/>
      <c r="D2422" s="70"/>
      <c r="E2422" s="70"/>
      <c r="F2422" s="70"/>
      <c r="G2422" s="70"/>
    </row>
    <row r="2423" spans="2:31" s="1" customFormat="1" ht="96.3" customHeight="1" outlineLevel="5">
      <c r="B2423" s="57">
        <v>1882</v>
      </c>
      <c r="C2423" s="21" t="s">
        <v>8394</v>
      </c>
      <c r="D2423" s="72" t="s">
        <v>8395</v>
      </c>
      <c r="E2423" s="72"/>
      <c r="F2423" s="72"/>
      <c r="G2423" s="72"/>
      <c r="H2423" s="22" t="s">
        <v>8396</v>
      </c>
      <c r="I2423" s="27">
        <v>47</v>
      </c>
      <c r="J2423" s="22"/>
      <c r="K2423" s="20">
        <v>1</v>
      </c>
      <c r="L2423" s="32">
        <v>1801.19</v>
      </c>
      <c r="M2423" s="11"/>
      <c r="N2423" s="22">
        <f t="shared" ref="N2423:N2430" si="116">L2423*M2423</f>
        <v>0</v>
      </c>
      <c r="O2423" s="25">
        <f>1.415*M2423</f>
        <v>0</v>
      </c>
      <c r="P2423" s="26">
        <f>0.00906*M2423</f>
        <v>0</v>
      </c>
      <c r="Q2423" s="30"/>
      <c r="R2423" s="22" t="s">
        <v>8397</v>
      </c>
      <c r="S2423" s="22" t="s">
        <v>435</v>
      </c>
      <c r="T2423" s="21" t="str">
        <f>HYPERLINK("https://miland.ru/api/getInfo/image/0107d63a-e22d-11ef-a274-00155d82e908")</f>
        <v>https://miland.ru/api/getInfo/image/0107d63a-e22d-11ef-a274-00155d82e908</v>
      </c>
      <c r="U2423" s="21"/>
      <c r="V2423" s="21" t="s">
        <v>1931</v>
      </c>
      <c r="W2423" s="21" t="s">
        <v>1666</v>
      </c>
      <c r="X2423" s="21"/>
      <c r="Y2423" s="21" t="s">
        <v>41</v>
      </c>
      <c r="Z2423" s="21"/>
      <c r="AA2423" s="21" t="str">
        <f>HYPERLINK("https://miland.ru/api/getInfo/item/0107d63a-e22d-11ef-a274-00155d82e908")</f>
        <v>https://miland.ru/api/getInfo/item/0107d63a-e22d-11ef-a274-00155d82e908</v>
      </c>
      <c r="AB2423" s="21" t="s">
        <v>50</v>
      </c>
      <c r="AC2423" s="21"/>
      <c r="AD2423" s="21"/>
    </row>
    <row r="2424" spans="2:31" s="1" customFormat="1" ht="96.3" customHeight="1" outlineLevel="5">
      <c r="B2424" s="57">
        <v>1883</v>
      </c>
      <c r="C2424" s="21" t="s">
        <v>8398</v>
      </c>
      <c r="D2424" s="72" t="s">
        <v>8399</v>
      </c>
      <c r="E2424" s="72"/>
      <c r="F2424" s="72"/>
      <c r="G2424" s="72"/>
      <c r="H2424" s="22" t="s">
        <v>8400</v>
      </c>
      <c r="I2424" s="27">
        <v>41</v>
      </c>
      <c r="J2424" s="22"/>
      <c r="K2424" s="20">
        <v>1</v>
      </c>
      <c r="L2424" s="32">
        <v>1801.19</v>
      </c>
      <c r="M2424" s="11"/>
      <c r="N2424" s="22">
        <f t="shared" si="116"/>
        <v>0</v>
      </c>
      <c r="O2424" s="25">
        <f>1.415*M2424</f>
        <v>0</v>
      </c>
      <c r="P2424" s="26">
        <f>0.00906*M2424</f>
        <v>0</v>
      </c>
      <c r="Q2424" s="30"/>
      <c r="R2424" s="22" t="s">
        <v>8401</v>
      </c>
      <c r="S2424" s="22" t="s">
        <v>435</v>
      </c>
      <c r="T2424" s="21" t="str">
        <f>HYPERLINK("https://miland.ru/api/getInfo/image/5d0df07e-e22d-11ef-a274-00155d82e908")</f>
        <v>https://miland.ru/api/getInfo/image/5d0df07e-e22d-11ef-a274-00155d82e908</v>
      </c>
      <c r="U2424" s="21"/>
      <c r="V2424" s="21" t="s">
        <v>1931</v>
      </c>
      <c r="W2424" s="21" t="s">
        <v>1666</v>
      </c>
      <c r="X2424" s="21"/>
      <c r="Y2424" s="21" t="s">
        <v>41</v>
      </c>
      <c r="Z2424" s="21"/>
      <c r="AA2424" s="21" t="str">
        <f>HYPERLINK("https://miland.ru/api/getInfo/item/5d0df07e-e22d-11ef-a274-00155d82e908")</f>
        <v>https://miland.ru/api/getInfo/item/5d0df07e-e22d-11ef-a274-00155d82e908</v>
      </c>
      <c r="AB2424" s="21" t="s">
        <v>50</v>
      </c>
      <c r="AC2424" s="21"/>
      <c r="AD2424" s="21"/>
    </row>
    <row r="2425" spans="2:31" s="1" customFormat="1" ht="96.3" customHeight="1" outlineLevel="5">
      <c r="B2425" s="57">
        <v>1884</v>
      </c>
      <c r="C2425" s="21" t="s">
        <v>8402</v>
      </c>
      <c r="D2425" s="72" t="s">
        <v>8403</v>
      </c>
      <c r="E2425" s="72"/>
      <c r="F2425" s="72"/>
      <c r="G2425" s="72"/>
      <c r="H2425" s="22" t="s">
        <v>8404</v>
      </c>
      <c r="I2425" s="27">
        <v>11</v>
      </c>
      <c r="J2425" s="22"/>
      <c r="K2425" s="20">
        <v>1</v>
      </c>
      <c r="L2425" s="32">
        <v>1801.19</v>
      </c>
      <c r="M2425" s="11"/>
      <c r="N2425" s="22">
        <f t="shared" si="116"/>
        <v>0</v>
      </c>
      <c r="O2425" s="28">
        <f>1.34*M2425</f>
        <v>0</v>
      </c>
      <c r="P2425" s="26">
        <f>0.00845*M2425</f>
        <v>0</v>
      </c>
      <c r="Q2425" s="30"/>
      <c r="R2425" s="22" t="s">
        <v>8405</v>
      </c>
      <c r="S2425" s="22" t="s">
        <v>435</v>
      </c>
      <c r="T2425" s="21" t="str">
        <f>HYPERLINK("https://miland.ru/api/getInfo/image/4cec1575-6479-11ea-a243-ac1f6b442184")</f>
        <v>https://miland.ru/api/getInfo/image/4cec1575-6479-11ea-a243-ac1f6b442184</v>
      </c>
      <c r="U2425" s="21"/>
      <c r="V2425" s="21" t="s">
        <v>1931</v>
      </c>
      <c r="W2425" s="21" t="s">
        <v>1666</v>
      </c>
      <c r="X2425" s="21"/>
      <c r="Y2425" s="21" t="s">
        <v>41</v>
      </c>
      <c r="Z2425" s="21"/>
      <c r="AA2425" s="21" t="str">
        <f>HYPERLINK("https://miland.ru/api/getInfo/item/4cec1575-6479-11ea-a243-ac1f6b442184")</f>
        <v>https://miland.ru/api/getInfo/item/4cec1575-6479-11ea-a243-ac1f6b442184</v>
      </c>
      <c r="AB2425" s="21" t="s">
        <v>50</v>
      </c>
      <c r="AC2425" s="21" t="s">
        <v>8406</v>
      </c>
      <c r="AD2425" s="21"/>
    </row>
    <row r="2426" spans="2:31" s="1" customFormat="1" ht="96.3" customHeight="1" outlineLevel="5">
      <c r="B2426" s="57">
        <v>1885</v>
      </c>
      <c r="C2426" s="21" t="s">
        <v>8407</v>
      </c>
      <c r="D2426" s="72" t="s">
        <v>8408</v>
      </c>
      <c r="E2426" s="72"/>
      <c r="F2426" s="72"/>
      <c r="G2426" s="72"/>
      <c r="H2426" s="22" t="s">
        <v>8409</v>
      </c>
      <c r="I2426" s="27">
        <v>16</v>
      </c>
      <c r="J2426" s="22"/>
      <c r="K2426" s="20">
        <v>1</v>
      </c>
      <c r="L2426" s="32">
        <v>1801.19</v>
      </c>
      <c r="M2426" s="11"/>
      <c r="N2426" s="22">
        <f t="shared" si="116"/>
        <v>0</v>
      </c>
      <c r="O2426" s="25">
        <f>1.415*M2426</f>
        <v>0</v>
      </c>
      <c r="P2426" s="26">
        <f>0.00906*M2426</f>
        <v>0</v>
      </c>
      <c r="Q2426" s="30"/>
      <c r="R2426" s="22" t="s">
        <v>8410</v>
      </c>
      <c r="S2426" s="22" t="s">
        <v>435</v>
      </c>
      <c r="T2426" s="21" t="str">
        <f>HYPERLINK("https://miland.ru/api/getInfo/image/7853be4a-e22d-11ef-a274-00155d82e908")</f>
        <v>https://miland.ru/api/getInfo/image/7853be4a-e22d-11ef-a274-00155d82e908</v>
      </c>
      <c r="U2426" s="21"/>
      <c r="V2426" s="21" t="s">
        <v>1931</v>
      </c>
      <c r="W2426" s="21" t="s">
        <v>1666</v>
      </c>
      <c r="X2426" s="21"/>
      <c r="Y2426" s="21" t="s">
        <v>41</v>
      </c>
      <c r="Z2426" s="21"/>
      <c r="AA2426" s="21" t="str">
        <f>HYPERLINK("https://miland.ru/api/getInfo/item/7853be4a-e22d-11ef-a274-00155d82e908")</f>
        <v>https://miland.ru/api/getInfo/item/7853be4a-e22d-11ef-a274-00155d82e908</v>
      </c>
      <c r="AB2426" s="21" t="s">
        <v>50</v>
      </c>
      <c r="AC2426" s="21"/>
      <c r="AD2426" s="21"/>
    </row>
    <row r="2427" spans="2:31" s="1" customFormat="1" ht="96.3" customHeight="1" outlineLevel="5">
      <c r="B2427" s="57">
        <v>1886</v>
      </c>
      <c r="C2427" s="21" t="s">
        <v>8411</v>
      </c>
      <c r="D2427" s="72" t="s">
        <v>8412</v>
      </c>
      <c r="E2427" s="72"/>
      <c r="F2427" s="72"/>
      <c r="G2427" s="72"/>
      <c r="H2427" s="22" t="s">
        <v>8413</v>
      </c>
      <c r="I2427" s="27">
        <v>39</v>
      </c>
      <c r="J2427" s="22"/>
      <c r="K2427" s="20">
        <v>1</v>
      </c>
      <c r="L2427" s="32">
        <v>1801.19</v>
      </c>
      <c r="M2427" s="11"/>
      <c r="N2427" s="22">
        <f t="shared" si="116"/>
        <v>0</v>
      </c>
      <c r="O2427" s="25">
        <f>1.415*M2427</f>
        <v>0</v>
      </c>
      <c r="P2427" s="26">
        <f>0.00906*M2427</f>
        <v>0</v>
      </c>
      <c r="Q2427" s="30"/>
      <c r="R2427" s="22" t="s">
        <v>8414</v>
      </c>
      <c r="S2427" s="22" t="s">
        <v>435</v>
      </c>
      <c r="T2427" s="21" t="str">
        <f>HYPERLINK("https://miland.ru/api/getInfo/image/45ab3512-e22d-11ef-a274-00155d82e908")</f>
        <v>https://miland.ru/api/getInfo/image/45ab3512-e22d-11ef-a274-00155d82e908</v>
      </c>
      <c r="U2427" s="21"/>
      <c r="V2427" s="21" t="s">
        <v>1931</v>
      </c>
      <c r="W2427" s="21" t="s">
        <v>1666</v>
      </c>
      <c r="X2427" s="21"/>
      <c r="Y2427" s="21" t="s">
        <v>41</v>
      </c>
      <c r="Z2427" s="21"/>
      <c r="AA2427" s="21" t="str">
        <f>HYPERLINK("https://miland.ru/api/getInfo/item/45ab3512-e22d-11ef-a274-00155d82e908")</f>
        <v>https://miland.ru/api/getInfo/item/45ab3512-e22d-11ef-a274-00155d82e908</v>
      </c>
      <c r="AB2427" s="21" t="s">
        <v>50</v>
      </c>
      <c r="AC2427" s="21"/>
      <c r="AD2427" s="21"/>
    </row>
    <row r="2428" spans="2:31" s="1" customFormat="1" ht="96.3" customHeight="1" outlineLevel="5">
      <c r="B2428" s="57">
        <v>1887</v>
      </c>
      <c r="C2428" s="21" t="s">
        <v>8415</v>
      </c>
      <c r="D2428" s="72" t="s">
        <v>8416</v>
      </c>
      <c r="E2428" s="72"/>
      <c r="F2428" s="72"/>
      <c r="G2428" s="72"/>
      <c r="H2428" s="22" t="s">
        <v>8417</v>
      </c>
      <c r="I2428" s="27">
        <v>41</v>
      </c>
      <c r="J2428" s="22"/>
      <c r="K2428" s="20">
        <v>1</v>
      </c>
      <c r="L2428" s="32">
        <v>1801.19</v>
      </c>
      <c r="M2428" s="11"/>
      <c r="N2428" s="22">
        <f t="shared" si="116"/>
        <v>0</v>
      </c>
      <c r="O2428" s="25">
        <f>1.415*M2428</f>
        <v>0</v>
      </c>
      <c r="P2428" s="26">
        <f>0.00906*M2428</f>
        <v>0</v>
      </c>
      <c r="Q2428" s="30"/>
      <c r="R2428" s="22" t="s">
        <v>8418</v>
      </c>
      <c r="S2428" s="22" t="s">
        <v>435</v>
      </c>
      <c r="T2428" s="21" t="str">
        <f>HYPERLINK("https://miland.ru/api/getInfo/image/a46ca21f-e22d-11ef-a274-00155d82e908")</f>
        <v>https://miland.ru/api/getInfo/image/a46ca21f-e22d-11ef-a274-00155d82e908</v>
      </c>
      <c r="U2428" s="21"/>
      <c r="V2428" s="21" t="s">
        <v>1931</v>
      </c>
      <c r="W2428" s="21" t="s">
        <v>1666</v>
      </c>
      <c r="X2428" s="21"/>
      <c r="Y2428" s="21" t="s">
        <v>41</v>
      </c>
      <c r="Z2428" s="21"/>
      <c r="AA2428" s="21" t="str">
        <f>HYPERLINK("https://miland.ru/api/getInfo/item/a46ca21f-e22d-11ef-a274-00155d82e908")</f>
        <v>https://miland.ru/api/getInfo/item/a46ca21f-e22d-11ef-a274-00155d82e908</v>
      </c>
      <c r="AB2428" s="21" t="s">
        <v>50</v>
      </c>
      <c r="AC2428" s="21"/>
      <c r="AD2428" s="21"/>
    </row>
    <row r="2429" spans="2:31" s="1" customFormat="1" ht="96.3" customHeight="1" outlineLevel="5">
      <c r="B2429" s="57">
        <v>1888</v>
      </c>
      <c r="C2429" s="21" t="s">
        <v>8419</v>
      </c>
      <c r="D2429" s="72" t="s">
        <v>8420</v>
      </c>
      <c r="E2429" s="72"/>
      <c r="F2429" s="72"/>
      <c r="G2429" s="72"/>
      <c r="H2429" s="22" t="s">
        <v>8421</v>
      </c>
      <c r="I2429" s="27">
        <v>9</v>
      </c>
      <c r="J2429" s="22"/>
      <c r="K2429" s="20">
        <v>1</v>
      </c>
      <c r="L2429" s="32">
        <v>2081.6</v>
      </c>
      <c r="M2429" s="11"/>
      <c r="N2429" s="22">
        <f t="shared" si="116"/>
        <v>0</v>
      </c>
      <c r="O2429" s="25">
        <f>1.415*M2429</f>
        <v>0</v>
      </c>
      <c r="P2429" s="26">
        <f>0.00906*M2429</f>
        <v>0</v>
      </c>
      <c r="Q2429" s="30"/>
      <c r="R2429" s="22" t="s">
        <v>8422</v>
      </c>
      <c r="S2429" s="22" t="s">
        <v>435</v>
      </c>
      <c r="T2429" s="21" t="str">
        <f>HYPERLINK("https://miland.ru/api/getInfo/image/eaee0736-e22d-11ef-a274-00155d82e908")</f>
        <v>https://miland.ru/api/getInfo/image/eaee0736-e22d-11ef-a274-00155d82e908</v>
      </c>
      <c r="U2429" s="21"/>
      <c r="V2429" s="21" t="s">
        <v>1931</v>
      </c>
      <c r="W2429" s="21" t="s">
        <v>1666</v>
      </c>
      <c r="X2429" s="21"/>
      <c r="Y2429" s="21" t="s">
        <v>41</v>
      </c>
      <c r="Z2429" s="21"/>
      <c r="AA2429" s="21" t="str">
        <f>HYPERLINK("https://miland.ru/api/getInfo/item/eaee0736-e22d-11ef-a274-00155d82e908")</f>
        <v>https://miland.ru/api/getInfo/item/eaee0736-e22d-11ef-a274-00155d82e908</v>
      </c>
      <c r="AB2429" s="21" t="s">
        <v>50</v>
      </c>
      <c r="AC2429" s="21"/>
      <c r="AD2429" s="21"/>
    </row>
    <row r="2430" spans="2:31" s="1" customFormat="1" ht="96.3" customHeight="1" outlineLevel="5">
      <c r="B2430" s="57">
        <v>1889</v>
      </c>
      <c r="C2430" s="21" t="s">
        <v>8423</v>
      </c>
      <c r="D2430" s="72" t="s">
        <v>8424</v>
      </c>
      <c r="E2430" s="72"/>
      <c r="F2430" s="72"/>
      <c r="G2430" s="72"/>
      <c r="H2430" s="22" t="s">
        <v>8425</v>
      </c>
      <c r="I2430" s="27">
        <v>5</v>
      </c>
      <c r="J2430" s="22"/>
      <c r="K2430" s="20">
        <v>1</v>
      </c>
      <c r="L2430" s="32">
        <v>1801.19</v>
      </c>
      <c r="M2430" s="11"/>
      <c r="N2430" s="22">
        <f t="shared" si="116"/>
        <v>0</v>
      </c>
      <c r="O2430" s="28">
        <f>1.34*M2430</f>
        <v>0</v>
      </c>
      <c r="P2430" s="26">
        <f>0.00845*M2430</f>
        <v>0</v>
      </c>
      <c r="Q2430" s="30"/>
      <c r="R2430" s="22" t="s">
        <v>8426</v>
      </c>
      <c r="S2430" s="22" t="s">
        <v>435</v>
      </c>
      <c r="T2430" s="21" t="str">
        <f>HYPERLINK("https://miland.ru/api/getInfo/image/25d04604-d6d1-11ee-a25a-00155d82e908")</f>
        <v>https://miland.ru/api/getInfo/image/25d04604-d6d1-11ee-a25a-00155d82e908</v>
      </c>
      <c r="U2430" s="21"/>
      <c r="V2430" s="21" t="s">
        <v>1931</v>
      </c>
      <c r="W2430" s="21" t="s">
        <v>1666</v>
      </c>
      <c r="X2430" s="21"/>
      <c r="Y2430" s="21" t="s">
        <v>41</v>
      </c>
      <c r="Z2430" s="21"/>
      <c r="AA2430" s="21" t="str">
        <f>HYPERLINK("https://miland.ru/api/getInfo/item/25d04604-d6d1-11ee-a25a-00155d82e908")</f>
        <v>https://miland.ru/api/getInfo/item/25d04604-d6d1-11ee-a25a-00155d82e908</v>
      </c>
      <c r="AB2430" s="21" t="s">
        <v>50</v>
      </c>
      <c r="AC2430" s="21" t="s">
        <v>8427</v>
      </c>
      <c r="AD2430" s="21"/>
    </row>
    <row r="2431" spans="2:31" ht="12" customHeight="1" outlineLevel="4">
      <c r="B2431" s="70" t="s">
        <v>8428</v>
      </c>
      <c r="C2431" s="70"/>
      <c r="D2431" s="70"/>
      <c r="E2431" s="70"/>
      <c r="F2431" s="70"/>
      <c r="G2431" s="70"/>
    </row>
    <row r="2432" spans="2:31" ht="12" customHeight="1" outlineLevel="5">
      <c r="B2432" s="70" t="s">
        <v>8429</v>
      </c>
      <c r="C2432" s="70"/>
      <c r="D2432" s="70"/>
      <c r="E2432" s="70"/>
      <c r="F2432" s="70"/>
      <c r="G2432" s="70"/>
    </row>
    <row r="2433" spans="2:31" s="1" customFormat="1" ht="96.3" customHeight="1" outlineLevel="6">
      <c r="B2433" s="57">
        <v>1890</v>
      </c>
      <c r="C2433" s="21" t="s">
        <v>8430</v>
      </c>
      <c r="D2433" s="72" t="s">
        <v>8431</v>
      </c>
      <c r="E2433" s="72"/>
      <c r="F2433" s="72"/>
      <c r="G2433" s="72"/>
      <c r="H2433" s="22" t="s">
        <v>8432</v>
      </c>
      <c r="I2433" s="27">
        <v>5</v>
      </c>
      <c r="J2433" s="22"/>
      <c r="K2433" s="20">
        <v>2</v>
      </c>
      <c r="L2433" s="24">
        <v>377.09</v>
      </c>
      <c r="M2433" s="11"/>
      <c r="N2433" s="22">
        <f t="shared" ref="N2433:N2440" si="117">L2433*M2433</f>
        <v>0</v>
      </c>
      <c r="O2433" s="28">
        <f>0.25*M2433</f>
        <v>0</v>
      </c>
      <c r="P2433" s="26">
        <f>0.00776*M2433</f>
        <v>0</v>
      </c>
      <c r="Q2433" s="30"/>
      <c r="R2433" s="22" t="s">
        <v>8433</v>
      </c>
      <c r="S2433" s="22" t="s">
        <v>435</v>
      </c>
      <c r="T2433" s="21" t="str">
        <f>HYPERLINK("https://miland.ru/api/getInfo/image/e474e567-2b39-11f0-a27b-00155d82e908")</f>
        <v>https://miland.ru/api/getInfo/image/e474e567-2b39-11f0-a27b-00155d82e908</v>
      </c>
      <c r="U2433" s="21"/>
      <c r="V2433" s="21"/>
      <c r="W2433" s="21"/>
      <c r="X2433" s="21"/>
      <c r="Y2433" s="21"/>
      <c r="Z2433" s="21"/>
      <c r="AA2433" s="21" t="str">
        <f>HYPERLINK("https://miland.ru/api/getInfo/item/e474e567-2b39-11f0-a27b-00155d82e908")</f>
        <v>https://miland.ru/api/getInfo/item/e474e567-2b39-11f0-a27b-00155d82e908</v>
      </c>
      <c r="AB2433" s="21" t="s">
        <v>50</v>
      </c>
      <c r="AC2433" s="21"/>
      <c r="AD2433" s="21"/>
    </row>
    <row r="2434" spans="2:31" s="1" customFormat="1" ht="10.95" customHeight="1" outlineLevel="6">
      <c r="B2434" s="57">
        <v>1891</v>
      </c>
      <c r="C2434" s="21" t="s">
        <v>8434</v>
      </c>
      <c r="D2434" s="72" t="s">
        <v>8435</v>
      </c>
      <c r="E2434" s="72"/>
      <c r="F2434" s="72"/>
      <c r="G2434" s="72"/>
      <c r="H2434" s="22" t="s">
        <v>8436</v>
      </c>
      <c r="I2434" s="27">
        <v>6</v>
      </c>
      <c r="J2434" s="22"/>
      <c r="K2434" s="20">
        <v>2</v>
      </c>
      <c r="L2434" s="24">
        <v>377.09</v>
      </c>
      <c r="M2434" s="11"/>
      <c r="N2434" s="22">
        <f t="shared" si="117"/>
        <v>0</v>
      </c>
      <c r="O2434" s="25">
        <f>0.249*M2434</f>
        <v>0</v>
      </c>
      <c r="P2434" s="26">
        <f>0.00719*M2434</f>
        <v>0</v>
      </c>
      <c r="Q2434" s="30"/>
      <c r="R2434" s="22" t="s">
        <v>8437</v>
      </c>
      <c r="S2434" s="22" t="s">
        <v>435</v>
      </c>
      <c r="T2434" s="21"/>
      <c r="U2434" s="21"/>
      <c r="V2434" s="21"/>
      <c r="W2434" s="21"/>
      <c r="X2434" s="21"/>
      <c r="Y2434" s="21"/>
      <c r="Z2434" s="21"/>
      <c r="AA2434" s="21"/>
      <c r="AB2434" s="21" t="s">
        <v>50</v>
      </c>
      <c r="AC2434" s="21"/>
      <c r="AD2434" s="21"/>
    </row>
    <row r="2435" spans="2:31" s="1" customFormat="1" ht="96.3" customHeight="1" outlineLevel="6">
      <c r="B2435" s="57">
        <v>1892</v>
      </c>
      <c r="C2435" s="21" t="s">
        <v>8438</v>
      </c>
      <c r="D2435" s="72" t="s">
        <v>8439</v>
      </c>
      <c r="E2435" s="72"/>
      <c r="F2435" s="72"/>
      <c r="G2435" s="72"/>
      <c r="H2435" s="22" t="s">
        <v>8440</v>
      </c>
      <c r="I2435" s="27">
        <v>6</v>
      </c>
      <c r="J2435" s="22"/>
      <c r="K2435" s="20">
        <v>1</v>
      </c>
      <c r="L2435" s="24">
        <v>521.95000000000005</v>
      </c>
      <c r="M2435" s="11"/>
      <c r="N2435" s="22">
        <f t="shared" si="117"/>
        <v>0</v>
      </c>
      <c r="O2435" s="25">
        <f>0.296*M2435</f>
        <v>0</v>
      </c>
      <c r="P2435" s="26">
        <f>0.00971*M2435</f>
        <v>0</v>
      </c>
      <c r="Q2435" s="30"/>
      <c r="R2435" s="22" t="s">
        <v>8441</v>
      </c>
      <c r="S2435" s="22" t="s">
        <v>435</v>
      </c>
      <c r="T2435" s="21" t="str">
        <f>HYPERLINK("https://miland.ru/api/getInfo/image/61c3bd49-2b37-11f0-a27b-00155d82e908")</f>
        <v>https://miland.ru/api/getInfo/image/61c3bd49-2b37-11f0-a27b-00155d82e908</v>
      </c>
      <c r="U2435" s="21"/>
      <c r="V2435" s="21"/>
      <c r="W2435" s="21"/>
      <c r="X2435" s="21"/>
      <c r="Y2435" s="21"/>
      <c r="Z2435" s="21"/>
      <c r="AA2435" s="21" t="str">
        <f>HYPERLINK("https://miland.ru/api/getInfo/item/61c3bd49-2b37-11f0-a27b-00155d82e908")</f>
        <v>https://miland.ru/api/getInfo/item/61c3bd49-2b37-11f0-a27b-00155d82e908</v>
      </c>
      <c r="AB2435" s="21" t="s">
        <v>50</v>
      </c>
      <c r="AC2435" s="21"/>
      <c r="AD2435" s="21"/>
    </row>
    <row r="2436" spans="2:31" s="1" customFormat="1" ht="96.3" customHeight="1" outlineLevel="6">
      <c r="B2436" s="57">
        <v>1893</v>
      </c>
      <c r="C2436" s="21" t="s">
        <v>8442</v>
      </c>
      <c r="D2436" s="72" t="s">
        <v>8443</v>
      </c>
      <c r="E2436" s="72"/>
      <c r="F2436" s="72"/>
      <c r="G2436" s="72"/>
      <c r="H2436" s="22" t="s">
        <v>8444</v>
      </c>
      <c r="I2436" s="27">
        <v>6</v>
      </c>
      <c r="J2436" s="22"/>
      <c r="K2436" s="20">
        <v>1</v>
      </c>
      <c r="L2436" s="24">
        <v>521.95000000000005</v>
      </c>
      <c r="M2436" s="11"/>
      <c r="N2436" s="22">
        <f t="shared" si="117"/>
        <v>0</v>
      </c>
      <c r="O2436" s="25">
        <f>0.081*M2436</f>
        <v>0</v>
      </c>
      <c r="P2436" s="26">
        <f>0.00017*M2436</f>
        <v>0</v>
      </c>
      <c r="Q2436" s="30"/>
      <c r="R2436" s="22" t="s">
        <v>8445</v>
      </c>
      <c r="S2436" s="22" t="s">
        <v>435</v>
      </c>
      <c r="T2436" s="21" t="str">
        <f>HYPERLINK("https://miland.ru/api/getInfo/image/d4e2242a-2b38-11f0-a27b-00155d82e908")</f>
        <v>https://miland.ru/api/getInfo/image/d4e2242a-2b38-11f0-a27b-00155d82e908</v>
      </c>
      <c r="U2436" s="21"/>
      <c r="V2436" s="21"/>
      <c r="W2436" s="21"/>
      <c r="X2436" s="21"/>
      <c r="Y2436" s="21"/>
      <c r="Z2436" s="21"/>
      <c r="AA2436" s="21" t="str">
        <f>HYPERLINK("https://miland.ru/api/getInfo/item/d4e2242a-2b38-11f0-a27b-00155d82e908")</f>
        <v>https://miland.ru/api/getInfo/item/d4e2242a-2b38-11f0-a27b-00155d82e908</v>
      </c>
      <c r="AB2436" s="21" t="s">
        <v>50</v>
      </c>
      <c r="AC2436" s="21"/>
      <c r="AD2436" s="21"/>
    </row>
    <row r="2437" spans="2:31" s="1" customFormat="1" ht="96.3" customHeight="1" outlineLevel="6">
      <c r="B2437" s="57">
        <v>1894</v>
      </c>
      <c r="C2437" s="21" t="s">
        <v>8446</v>
      </c>
      <c r="D2437" s="72" t="s">
        <v>8447</v>
      </c>
      <c r="E2437" s="72"/>
      <c r="F2437" s="72"/>
      <c r="G2437" s="72"/>
      <c r="H2437" s="22" t="s">
        <v>8448</v>
      </c>
      <c r="I2437" s="27">
        <v>7</v>
      </c>
      <c r="J2437" s="22"/>
      <c r="K2437" s="20">
        <v>1</v>
      </c>
      <c r="L2437" s="24">
        <v>521.95000000000005</v>
      </c>
      <c r="M2437" s="11"/>
      <c r="N2437" s="22">
        <f t="shared" si="117"/>
        <v>0</v>
      </c>
      <c r="O2437" s="25">
        <f>0.288*M2437</f>
        <v>0</v>
      </c>
      <c r="P2437" s="26">
        <f>0.01022*M2437</f>
        <v>0</v>
      </c>
      <c r="Q2437" s="30"/>
      <c r="R2437" s="22" t="s">
        <v>8449</v>
      </c>
      <c r="S2437" s="22" t="s">
        <v>435</v>
      </c>
      <c r="T2437" s="21" t="str">
        <f>HYPERLINK("https://miland.ru/api/getInfo/image/6f2dd967-2b3a-11f0-a27b-00155d82e908")</f>
        <v>https://miland.ru/api/getInfo/image/6f2dd967-2b3a-11f0-a27b-00155d82e908</v>
      </c>
      <c r="U2437" s="21"/>
      <c r="V2437" s="21"/>
      <c r="W2437" s="21"/>
      <c r="X2437" s="21"/>
      <c r="Y2437" s="21"/>
      <c r="Z2437" s="21"/>
      <c r="AA2437" s="21" t="str">
        <f>HYPERLINK("https://miland.ru/api/getInfo/item/6f2dd967-2b3a-11f0-a27b-00155d82e908")</f>
        <v>https://miland.ru/api/getInfo/item/6f2dd967-2b3a-11f0-a27b-00155d82e908</v>
      </c>
      <c r="AB2437" s="21" t="s">
        <v>50</v>
      </c>
      <c r="AC2437" s="21"/>
      <c r="AD2437" s="21"/>
    </row>
    <row r="2438" spans="2:31" s="1" customFormat="1" ht="96.3" customHeight="1" outlineLevel="6">
      <c r="B2438" s="57">
        <v>1895</v>
      </c>
      <c r="C2438" s="21" t="s">
        <v>8450</v>
      </c>
      <c r="D2438" s="72" t="s">
        <v>8451</v>
      </c>
      <c r="E2438" s="72"/>
      <c r="F2438" s="72"/>
      <c r="G2438" s="72"/>
      <c r="H2438" s="22" t="s">
        <v>8452</v>
      </c>
      <c r="I2438" s="27">
        <v>6</v>
      </c>
      <c r="J2438" s="22"/>
      <c r="K2438" s="20">
        <v>2</v>
      </c>
      <c r="L2438" s="24">
        <v>304.45</v>
      </c>
      <c r="M2438" s="11"/>
      <c r="N2438" s="22">
        <f t="shared" si="117"/>
        <v>0</v>
      </c>
      <c r="O2438" s="33">
        <f>0.2*M2438</f>
        <v>0</v>
      </c>
      <c r="P2438" s="26">
        <f>0.00539*M2438</f>
        <v>0</v>
      </c>
      <c r="Q2438" s="30"/>
      <c r="R2438" s="22" t="s">
        <v>8453</v>
      </c>
      <c r="S2438" s="22" t="s">
        <v>435</v>
      </c>
      <c r="T2438" s="21" t="str">
        <f>HYPERLINK("https://miland.ru/api/getInfo/image/2abec0c2-2b3d-11f0-a27b-00155d82e908")</f>
        <v>https://miland.ru/api/getInfo/image/2abec0c2-2b3d-11f0-a27b-00155d82e908</v>
      </c>
      <c r="U2438" s="21"/>
      <c r="V2438" s="21"/>
      <c r="W2438" s="21"/>
      <c r="X2438" s="21"/>
      <c r="Y2438" s="21"/>
      <c r="Z2438" s="21"/>
      <c r="AA2438" s="21" t="str">
        <f>HYPERLINK("https://miland.ru/api/getInfo/item/2abec0c2-2b3d-11f0-a27b-00155d82e908")</f>
        <v>https://miland.ru/api/getInfo/item/2abec0c2-2b3d-11f0-a27b-00155d82e908</v>
      </c>
      <c r="AB2438" s="21" t="s">
        <v>50</v>
      </c>
      <c r="AC2438" s="21"/>
      <c r="AD2438" s="21"/>
    </row>
    <row r="2439" spans="2:31" s="1" customFormat="1" ht="96.3" customHeight="1" outlineLevel="6">
      <c r="B2439" s="57">
        <v>1896</v>
      </c>
      <c r="C2439" s="21" t="s">
        <v>8454</v>
      </c>
      <c r="D2439" s="72" t="s">
        <v>8455</v>
      </c>
      <c r="E2439" s="72"/>
      <c r="F2439" s="72"/>
      <c r="G2439" s="72"/>
      <c r="H2439" s="22" t="s">
        <v>8456</v>
      </c>
      <c r="I2439" s="27">
        <v>9</v>
      </c>
      <c r="J2439" s="22"/>
      <c r="K2439" s="20">
        <v>1</v>
      </c>
      <c r="L2439" s="24">
        <v>521.95000000000005</v>
      </c>
      <c r="M2439" s="11"/>
      <c r="N2439" s="22">
        <f t="shared" si="117"/>
        <v>0</v>
      </c>
      <c r="O2439" s="25">
        <f>0.295*M2439</f>
        <v>0</v>
      </c>
      <c r="P2439" s="26">
        <f>0.01012*M2439</f>
        <v>0</v>
      </c>
      <c r="Q2439" s="30"/>
      <c r="R2439" s="22" t="s">
        <v>8457</v>
      </c>
      <c r="S2439" s="22" t="s">
        <v>435</v>
      </c>
      <c r="T2439" s="21" t="str">
        <f>HYPERLINK("https://miland.ru/api/getInfo/image/b0f6f828-2b3c-11f0-a27b-00155d82e908")</f>
        <v>https://miland.ru/api/getInfo/image/b0f6f828-2b3c-11f0-a27b-00155d82e908</v>
      </c>
      <c r="U2439" s="21"/>
      <c r="V2439" s="21"/>
      <c r="W2439" s="21"/>
      <c r="X2439" s="21"/>
      <c r="Y2439" s="21"/>
      <c r="Z2439" s="21"/>
      <c r="AA2439" s="21" t="str">
        <f>HYPERLINK("https://miland.ru/api/getInfo/item/b0f6f828-2b3c-11f0-a27b-00155d82e908")</f>
        <v>https://miland.ru/api/getInfo/item/b0f6f828-2b3c-11f0-a27b-00155d82e908</v>
      </c>
      <c r="AB2439" s="21" t="s">
        <v>50</v>
      </c>
      <c r="AC2439" s="21"/>
      <c r="AD2439" s="21"/>
    </row>
    <row r="2440" spans="2:31" s="1" customFormat="1" ht="96.3" customHeight="1" outlineLevel="6">
      <c r="B2440" s="57">
        <v>1897</v>
      </c>
      <c r="C2440" s="21" t="s">
        <v>8458</v>
      </c>
      <c r="D2440" s="72" t="s">
        <v>8459</v>
      </c>
      <c r="E2440" s="72"/>
      <c r="F2440" s="72"/>
      <c r="G2440" s="72"/>
      <c r="H2440" s="22" t="s">
        <v>8460</v>
      </c>
      <c r="I2440" s="27">
        <v>7</v>
      </c>
      <c r="J2440" s="22"/>
      <c r="K2440" s="20">
        <v>1</v>
      </c>
      <c r="L2440" s="24">
        <v>521.95000000000005</v>
      </c>
      <c r="M2440" s="11"/>
      <c r="N2440" s="22">
        <f t="shared" si="117"/>
        <v>0</v>
      </c>
      <c r="O2440" s="25">
        <f>0.296*M2440</f>
        <v>0</v>
      </c>
      <c r="P2440" s="26">
        <f>0.00971*M2440</f>
        <v>0</v>
      </c>
      <c r="Q2440" s="30"/>
      <c r="R2440" s="22" t="s">
        <v>8461</v>
      </c>
      <c r="S2440" s="22" t="s">
        <v>435</v>
      </c>
      <c r="T2440" s="21" t="str">
        <f>HYPERLINK("https://miland.ru/api/getInfo/image/34bb27af-2b3b-11f0-a27b-00155d82e908")</f>
        <v>https://miland.ru/api/getInfo/image/34bb27af-2b3b-11f0-a27b-00155d82e908</v>
      </c>
      <c r="U2440" s="21"/>
      <c r="V2440" s="21"/>
      <c r="W2440" s="21"/>
      <c r="X2440" s="21"/>
      <c r="Y2440" s="21"/>
      <c r="Z2440" s="21"/>
      <c r="AA2440" s="21" t="str">
        <f>HYPERLINK("https://miland.ru/api/getInfo/item/34bb27af-2b3b-11f0-a27b-00155d82e908")</f>
        <v>https://miland.ru/api/getInfo/item/34bb27af-2b3b-11f0-a27b-00155d82e908</v>
      </c>
      <c r="AB2440" s="21" t="s">
        <v>50</v>
      </c>
      <c r="AC2440" s="21"/>
      <c r="AD2440" s="21"/>
    </row>
    <row r="2441" spans="2:31" ht="12" customHeight="1" outlineLevel="5">
      <c r="B2441" s="70" t="s">
        <v>8462</v>
      </c>
      <c r="C2441" s="70"/>
      <c r="D2441" s="70"/>
      <c r="E2441" s="70"/>
      <c r="F2441" s="70"/>
      <c r="G2441" s="70"/>
    </row>
    <row r="2442" spans="2:31" ht="12" customHeight="1" outlineLevel="6">
      <c r="B2442" s="70" t="s">
        <v>8463</v>
      </c>
      <c r="C2442" s="70"/>
      <c r="D2442" s="70"/>
      <c r="E2442" s="70"/>
      <c r="F2442" s="70"/>
      <c r="G2442" s="70"/>
    </row>
    <row r="2443" spans="2:31" s="1" customFormat="1" ht="96.3" customHeight="1" outlineLevel="7">
      <c r="B2443" s="57">
        <v>1898</v>
      </c>
      <c r="C2443" s="21" t="s">
        <v>8464</v>
      </c>
      <c r="D2443" s="72" t="s">
        <v>8465</v>
      </c>
      <c r="E2443" s="72"/>
      <c r="F2443" s="72"/>
      <c r="G2443" s="72"/>
      <c r="H2443" s="22" t="s">
        <v>8466</v>
      </c>
      <c r="I2443" s="27">
        <v>5</v>
      </c>
      <c r="J2443" s="22"/>
      <c r="K2443" s="20">
        <v>5</v>
      </c>
      <c r="L2443" s="24">
        <v>122.24</v>
      </c>
      <c r="M2443" s="11"/>
      <c r="N2443" s="22">
        <f>L2443*M2443</f>
        <v>0</v>
      </c>
      <c r="O2443" s="25">
        <f>0.136*M2443</f>
        <v>0</v>
      </c>
      <c r="P2443" s="26">
        <f>0.00045*M2443</f>
        <v>0</v>
      </c>
      <c r="Q2443" s="30"/>
      <c r="R2443" s="22" t="s">
        <v>8467</v>
      </c>
      <c r="S2443" s="22" t="s">
        <v>435</v>
      </c>
      <c r="T2443" s="21" t="str">
        <f>HYPERLINK("https://miland.ru/api/getInfo/image/6a1d5c05-ce0e-11ed-a230-00155d82e902")</f>
        <v>https://miland.ru/api/getInfo/image/6a1d5c05-ce0e-11ed-a230-00155d82e902</v>
      </c>
      <c r="U2443" s="21"/>
      <c r="V2443" s="21"/>
      <c r="W2443" s="21"/>
      <c r="X2443" s="21"/>
      <c r="Y2443" s="21"/>
      <c r="Z2443" s="21"/>
      <c r="AA2443" s="21" t="str">
        <f>HYPERLINK("https://miland.ru/api/getInfo/item/6a1d5c05-ce0e-11ed-a230-00155d82e902")</f>
        <v>https://miland.ru/api/getInfo/item/6a1d5c05-ce0e-11ed-a230-00155d82e902</v>
      </c>
      <c r="AB2443" s="21" t="s">
        <v>50</v>
      </c>
      <c r="AC2443" s="21"/>
      <c r="AD2443" s="21"/>
    </row>
    <row r="2444" spans="2:31" ht="12" customHeight="1" outlineLevel="3">
      <c r="B2444" s="70" t="s">
        <v>8468</v>
      </c>
      <c r="C2444" s="70"/>
      <c r="D2444" s="70"/>
      <c r="E2444" s="70"/>
      <c r="F2444" s="70"/>
      <c r="G2444" s="70"/>
    </row>
    <row r="2445" spans="2:31" ht="12" customHeight="1" outlineLevel="4">
      <c r="B2445" s="70" t="s">
        <v>8469</v>
      </c>
      <c r="C2445" s="70"/>
      <c r="D2445" s="70"/>
      <c r="E2445" s="70"/>
      <c r="F2445" s="70"/>
      <c r="G2445" s="70"/>
    </row>
    <row r="2446" spans="2:31" s="1" customFormat="1" ht="96.3" customHeight="1" outlineLevel="5">
      <c r="B2446" s="57">
        <v>1899</v>
      </c>
      <c r="C2446" s="21" t="s">
        <v>8470</v>
      </c>
      <c r="D2446" s="72" t="s">
        <v>8471</v>
      </c>
      <c r="E2446" s="72"/>
      <c r="F2446" s="72"/>
      <c r="G2446" s="72"/>
      <c r="H2446" s="22" t="s">
        <v>8472</v>
      </c>
      <c r="I2446" s="27">
        <v>60</v>
      </c>
      <c r="J2446" s="22"/>
      <c r="K2446" s="20">
        <v>20</v>
      </c>
      <c r="L2446" s="24">
        <v>28.68</v>
      </c>
      <c r="M2446" s="11"/>
      <c r="N2446" s="22">
        <f t="shared" ref="N2446:N2466" si="118">L2446*M2446</f>
        <v>0</v>
      </c>
      <c r="O2446" s="25">
        <f>0.033*M2446</f>
        <v>0</v>
      </c>
      <c r="P2446" s="26">
        <f>0.00017*M2446</f>
        <v>0</v>
      </c>
      <c r="Q2446" s="30"/>
      <c r="R2446" s="22" t="s">
        <v>8473</v>
      </c>
      <c r="S2446" s="22" t="s">
        <v>435</v>
      </c>
      <c r="T2446" s="21" t="str">
        <f>HYPERLINK("https://miland.ru/api/getInfo/image/e54c8811-e44f-11ef-a274-00155d82e908")</f>
        <v>https://miland.ru/api/getInfo/image/e54c8811-e44f-11ef-a274-00155d82e908</v>
      </c>
      <c r="U2446" s="21"/>
      <c r="V2446" s="21" t="s">
        <v>1931</v>
      </c>
      <c r="W2446" s="21" t="s">
        <v>1666</v>
      </c>
      <c r="X2446" s="21"/>
      <c r="Y2446" s="21" t="s">
        <v>41</v>
      </c>
      <c r="Z2446" s="21"/>
      <c r="AA2446" s="21" t="str">
        <f>HYPERLINK("https://miland.ru/api/getInfo/item/e54c8811-e44f-11ef-a274-00155d82e908")</f>
        <v>https://miland.ru/api/getInfo/item/e54c8811-e44f-11ef-a274-00155d82e908</v>
      </c>
      <c r="AB2446" s="21" t="s">
        <v>50</v>
      </c>
      <c r="AC2446" s="21"/>
      <c r="AD2446" s="21"/>
    </row>
    <row r="2447" spans="2:31" s="1" customFormat="1" ht="96.3" customHeight="1" outlineLevel="5">
      <c r="B2447" s="58">
        <v>1900</v>
      </c>
      <c r="C2447" s="7" t="s">
        <v>8474</v>
      </c>
      <c r="D2447" s="71" t="s">
        <v>8475</v>
      </c>
      <c r="E2447" s="71"/>
      <c r="F2447" s="71"/>
      <c r="G2447" s="71"/>
      <c r="H2447" s="8" t="s">
        <v>8476</v>
      </c>
      <c r="I2447" s="9" t="s">
        <v>36</v>
      </c>
      <c r="J2447" s="8"/>
      <c r="K2447" s="6">
        <v>20</v>
      </c>
      <c r="L2447" s="10">
        <v>28.68</v>
      </c>
      <c r="M2447" s="11"/>
      <c r="N2447" s="8">
        <f t="shared" si="118"/>
        <v>0</v>
      </c>
      <c r="O2447" s="12">
        <f>0.027*M2447</f>
        <v>0</v>
      </c>
      <c r="P2447" s="13">
        <f>0.00012*M2447</f>
        <v>0</v>
      </c>
      <c r="Q2447" s="17" t="s">
        <v>37</v>
      </c>
      <c r="R2447" s="8" t="s">
        <v>8477</v>
      </c>
      <c r="S2447" s="8"/>
      <c r="T2447" s="7" t="str">
        <f>HYPERLINK("https://miland.ru/api/getInfo/image/427aadd6-018f-11f1-a28e-00155d82e908")</f>
        <v>https://miland.ru/api/getInfo/image/427aadd6-018f-11f1-a28e-00155d82e908</v>
      </c>
      <c r="U2447" s="7"/>
      <c r="V2447" s="7" t="s">
        <v>1931</v>
      </c>
      <c r="W2447" s="7" t="s">
        <v>1666</v>
      </c>
      <c r="X2447" s="7"/>
      <c r="Y2447" s="7" t="s">
        <v>41</v>
      </c>
      <c r="Z2447" s="7"/>
      <c r="AA2447" s="7" t="str">
        <f>HYPERLINK("https://miland.ru/api/getInfo/item/427aadd6-018f-11f1-a28e-00155d82e908")</f>
        <v>https://miland.ru/api/getInfo/item/427aadd6-018f-11f1-a28e-00155d82e908</v>
      </c>
      <c r="AB2447" s="7" t="s">
        <v>50</v>
      </c>
      <c r="AC2447" s="7"/>
      <c r="AD2447" s="7"/>
      <c r="AE2447" s="54"/>
    </row>
    <row r="2448" spans="2:31" s="1" customFormat="1" ht="96.3" customHeight="1" outlineLevel="5">
      <c r="B2448" s="58">
        <v>1901</v>
      </c>
      <c r="C2448" s="7" t="s">
        <v>8478</v>
      </c>
      <c r="D2448" s="71" t="s">
        <v>8479</v>
      </c>
      <c r="E2448" s="71"/>
      <c r="F2448" s="71"/>
      <c r="G2448" s="71"/>
      <c r="H2448" s="8" t="s">
        <v>8480</v>
      </c>
      <c r="I2448" s="9" t="s">
        <v>36</v>
      </c>
      <c r="J2448" s="8"/>
      <c r="K2448" s="6">
        <v>20</v>
      </c>
      <c r="L2448" s="10">
        <v>28.68</v>
      </c>
      <c r="M2448" s="11"/>
      <c r="N2448" s="8">
        <f t="shared" si="118"/>
        <v>0</v>
      </c>
      <c r="O2448" s="12">
        <f>0.027*M2448</f>
        <v>0</v>
      </c>
      <c r="P2448" s="13">
        <f>0.00027*M2448</f>
        <v>0</v>
      </c>
      <c r="Q2448" s="17" t="s">
        <v>37</v>
      </c>
      <c r="R2448" s="8" t="s">
        <v>8481</v>
      </c>
      <c r="S2448" s="8"/>
      <c r="T2448" s="7" t="str">
        <f>HYPERLINK("https://miland.ru/api/getInfo/image/1c45bc1d-0190-11f1-a28e-00155d82e908")</f>
        <v>https://miland.ru/api/getInfo/image/1c45bc1d-0190-11f1-a28e-00155d82e908</v>
      </c>
      <c r="U2448" s="7"/>
      <c r="V2448" s="7" t="s">
        <v>1931</v>
      </c>
      <c r="W2448" s="7" t="s">
        <v>1666</v>
      </c>
      <c r="X2448" s="7"/>
      <c r="Y2448" s="7" t="s">
        <v>41</v>
      </c>
      <c r="Z2448" s="7"/>
      <c r="AA2448" s="7" t="str">
        <f>HYPERLINK("https://miland.ru/api/getInfo/item/1c45bc1d-0190-11f1-a28e-00155d82e908")</f>
        <v>https://miland.ru/api/getInfo/item/1c45bc1d-0190-11f1-a28e-00155d82e908</v>
      </c>
      <c r="AB2448" s="7" t="s">
        <v>50</v>
      </c>
      <c r="AC2448" s="7"/>
      <c r="AD2448" s="7"/>
      <c r="AE2448" s="54"/>
    </row>
    <row r="2449" spans="2:31" s="1" customFormat="1" ht="96.3" customHeight="1" outlineLevel="5">
      <c r="B2449" s="58">
        <v>1902</v>
      </c>
      <c r="C2449" s="7" t="s">
        <v>8482</v>
      </c>
      <c r="D2449" s="71" t="s">
        <v>8483</v>
      </c>
      <c r="E2449" s="71"/>
      <c r="F2449" s="71"/>
      <c r="G2449" s="71"/>
      <c r="H2449" s="8" t="s">
        <v>8484</v>
      </c>
      <c r="I2449" s="14">
        <v>320</v>
      </c>
      <c r="J2449" s="8"/>
      <c r="K2449" s="6">
        <v>20</v>
      </c>
      <c r="L2449" s="10">
        <v>28.68</v>
      </c>
      <c r="M2449" s="11"/>
      <c r="N2449" s="8">
        <f t="shared" si="118"/>
        <v>0</v>
      </c>
      <c r="O2449" s="12">
        <f>0.027*M2449</f>
        <v>0</v>
      </c>
      <c r="P2449" s="13">
        <f>0.00043*M2449</f>
        <v>0</v>
      </c>
      <c r="Q2449" s="17" t="s">
        <v>37</v>
      </c>
      <c r="R2449" s="8" t="s">
        <v>8485</v>
      </c>
      <c r="S2449" s="8"/>
      <c r="T2449" s="7" t="str">
        <f>HYPERLINK("https://miland.ru/api/getInfo/image/38d92746-0190-11f1-a28e-00155d82e908")</f>
        <v>https://miland.ru/api/getInfo/image/38d92746-0190-11f1-a28e-00155d82e908</v>
      </c>
      <c r="U2449" s="7"/>
      <c r="V2449" s="7" t="s">
        <v>1931</v>
      </c>
      <c r="W2449" s="7" t="s">
        <v>1666</v>
      </c>
      <c r="X2449" s="7"/>
      <c r="Y2449" s="7" t="s">
        <v>41</v>
      </c>
      <c r="Z2449" s="7"/>
      <c r="AA2449" s="7" t="str">
        <f>HYPERLINK("https://miland.ru/api/getInfo/item/38d92746-0190-11f1-a28e-00155d82e908")</f>
        <v>https://miland.ru/api/getInfo/item/38d92746-0190-11f1-a28e-00155d82e908</v>
      </c>
      <c r="AB2449" s="7" t="s">
        <v>50</v>
      </c>
      <c r="AC2449" s="7"/>
      <c r="AD2449" s="7"/>
      <c r="AE2449" s="54"/>
    </row>
    <row r="2450" spans="2:31" s="1" customFormat="1" ht="96.3" customHeight="1" outlineLevel="5">
      <c r="B2450" s="58">
        <v>1903</v>
      </c>
      <c r="C2450" s="7" t="s">
        <v>8486</v>
      </c>
      <c r="D2450" s="71" t="s">
        <v>8487</v>
      </c>
      <c r="E2450" s="71"/>
      <c r="F2450" s="71"/>
      <c r="G2450" s="71"/>
      <c r="H2450" s="8" t="s">
        <v>8488</v>
      </c>
      <c r="I2450" s="9" t="s">
        <v>36</v>
      </c>
      <c r="J2450" s="8"/>
      <c r="K2450" s="6">
        <v>20</v>
      </c>
      <c r="L2450" s="10">
        <v>28.68</v>
      </c>
      <c r="M2450" s="11"/>
      <c r="N2450" s="8">
        <f t="shared" si="118"/>
        <v>0</v>
      </c>
      <c r="O2450" s="12">
        <f>6.928*M2450</f>
        <v>0</v>
      </c>
      <c r="P2450" s="13">
        <f>0.03955*M2450</f>
        <v>0</v>
      </c>
      <c r="Q2450" s="17" t="s">
        <v>37</v>
      </c>
      <c r="R2450" s="8" t="s">
        <v>8489</v>
      </c>
      <c r="S2450" s="8"/>
      <c r="T2450" s="7" t="str">
        <f>HYPERLINK("https://miland.ru/api/getInfo/image/a5ef0e6f-018f-11f1-a28e-00155d82e908")</f>
        <v>https://miland.ru/api/getInfo/image/a5ef0e6f-018f-11f1-a28e-00155d82e908</v>
      </c>
      <c r="U2450" s="7"/>
      <c r="V2450" s="7" t="s">
        <v>1931</v>
      </c>
      <c r="W2450" s="7" t="s">
        <v>1666</v>
      </c>
      <c r="X2450" s="7"/>
      <c r="Y2450" s="7" t="s">
        <v>41</v>
      </c>
      <c r="Z2450" s="7"/>
      <c r="AA2450" s="7" t="str">
        <f>HYPERLINK("https://miland.ru/api/getInfo/item/a5ef0e6f-018f-11f1-a28e-00155d82e908")</f>
        <v>https://miland.ru/api/getInfo/item/a5ef0e6f-018f-11f1-a28e-00155d82e908</v>
      </c>
      <c r="AB2450" s="7" t="s">
        <v>50</v>
      </c>
      <c r="AC2450" s="7"/>
      <c r="AD2450" s="7"/>
      <c r="AE2450" s="54"/>
    </row>
    <row r="2451" spans="2:31" s="1" customFormat="1" ht="96.3" customHeight="1" outlineLevel="5">
      <c r="B2451" s="57">
        <v>1904</v>
      </c>
      <c r="C2451" s="21" t="s">
        <v>8490</v>
      </c>
      <c r="D2451" s="72" t="s">
        <v>8491</v>
      </c>
      <c r="E2451" s="72"/>
      <c r="F2451" s="72"/>
      <c r="G2451" s="72"/>
      <c r="H2451" s="22" t="s">
        <v>8492</v>
      </c>
      <c r="I2451" s="27">
        <v>60</v>
      </c>
      <c r="J2451" s="22"/>
      <c r="K2451" s="20">
        <v>20</v>
      </c>
      <c r="L2451" s="24">
        <v>28.68</v>
      </c>
      <c r="M2451" s="11"/>
      <c r="N2451" s="22">
        <f t="shared" si="118"/>
        <v>0</v>
      </c>
      <c r="O2451" s="25">
        <f>0.033*M2451</f>
        <v>0</v>
      </c>
      <c r="P2451" s="26">
        <f>0.00017*M2451</f>
        <v>0</v>
      </c>
      <c r="Q2451" s="30"/>
      <c r="R2451" s="22" t="s">
        <v>8493</v>
      </c>
      <c r="S2451" s="22" t="s">
        <v>435</v>
      </c>
      <c r="T2451" s="21" t="str">
        <f>HYPERLINK("https://miland.ru/api/getInfo/image/6b1df348-e450-11ef-a274-00155d82e908")</f>
        <v>https://miland.ru/api/getInfo/image/6b1df348-e450-11ef-a274-00155d82e908</v>
      </c>
      <c r="U2451" s="21"/>
      <c r="V2451" s="21" t="s">
        <v>1931</v>
      </c>
      <c r="W2451" s="21" t="s">
        <v>1666</v>
      </c>
      <c r="X2451" s="21"/>
      <c r="Y2451" s="21" t="s">
        <v>41</v>
      </c>
      <c r="Z2451" s="21"/>
      <c r="AA2451" s="21" t="str">
        <f>HYPERLINK("https://miland.ru/api/getInfo/item/6b1df348-e450-11ef-a274-00155d82e908")</f>
        <v>https://miland.ru/api/getInfo/item/6b1df348-e450-11ef-a274-00155d82e908</v>
      </c>
      <c r="AB2451" s="21" t="s">
        <v>50</v>
      </c>
      <c r="AC2451" s="21"/>
      <c r="AD2451" s="21"/>
    </row>
    <row r="2452" spans="2:31" s="1" customFormat="1" ht="96.3" customHeight="1" outlineLevel="5">
      <c r="B2452" s="58">
        <v>1905</v>
      </c>
      <c r="C2452" s="7" t="s">
        <v>8494</v>
      </c>
      <c r="D2452" s="71" t="s">
        <v>8495</v>
      </c>
      <c r="E2452" s="71"/>
      <c r="F2452" s="71"/>
      <c r="G2452" s="71"/>
      <c r="H2452" s="8" t="s">
        <v>8496</v>
      </c>
      <c r="I2452" s="9" t="s">
        <v>36</v>
      </c>
      <c r="J2452" s="8"/>
      <c r="K2452" s="6">
        <v>20</v>
      </c>
      <c r="L2452" s="10">
        <v>28.68</v>
      </c>
      <c r="M2452" s="11"/>
      <c r="N2452" s="8">
        <f t="shared" si="118"/>
        <v>0</v>
      </c>
      <c r="O2452" s="12">
        <f>0.561*M2452</f>
        <v>0</v>
      </c>
      <c r="P2452" s="13">
        <f>0.00484*M2452</f>
        <v>0</v>
      </c>
      <c r="Q2452" s="17" t="s">
        <v>37</v>
      </c>
      <c r="R2452" s="8" t="s">
        <v>8497</v>
      </c>
      <c r="S2452" s="8"/>
      <c r="T2452" s="7" t="str">
        <f>HYPERLINK("https://miland.ru/api/getInfo/image/2c9d39ee-018f-11f1-a28e-00155d82e908")</f>
        <v>https://miland.ru/api/getInfo/image/2c9d39ee-018f-11f1-a28e-00155d82e908</v>
      </c>
      <c r="U2452" s="7"/>
      <c r="V2452" s="7" t="s">
        <v>1931</v>
      </c>
      <c r="W2452" s="7" t="s">
        <v>1666</v>
      </c>
      <c r="X2452" s="7"/>
      <c r="Y2452" s="7" t="s">
        <v>41</v>
      </c>
      <c r="Z2452" s="7"/>
      <c r="AA2452" s="7" t="str">
        <f>HYPERLINK("https://miland.ru/api/getInfo/item/2c9d39ee-018f-11f1-a28e-00155d82e908")</f>
        <v>https://miland.ru/api/getInfo/item/2c9d39ee-018f-11f1-a28e-00155d82e908</v>
      </c>
      <c r="AB2452" s="7" t="s">
        <v>50</v>
      </c>
      <c r="AC2452" s="7"/>
      <c r="AD2452" s="7"/>
      <c r="AE2452" s="54"/>
    </row>
    <row r="2453" spans="2:31" s="1" customFormat="1" ht="96.3" customHeight="1" outlineLevel="5">
      <c r="B2453" s="57">
        <v>1906</v>
      </c>
      <c r="C2453" s="21" t="s">
        <v>8498</v>
      </c>
      <c r="D2453" s="72" t="s">
        <v>8499</v>
      </c>
      <c r="E2453" s="72"/>
      <c r="F2453" s="72"/>
      <c r="G2453" s="72"/>
      <c r="H2453" s="22" t="s">
        <v>8500</v>
      </c>
      <c r="I2453" s="27">
        <v>300</v>
      </c>
      <c r="J2453" s="22"/>
      <c r="K2453" s="20">
        <v>20</v>
      </c>
      <c r="L2453" s="24">
        <v>28.68</v>
      </c>
      <c r="M2453" s="11"/>
      <c r="N2453" s="22">
        <f t="shared" si="118"/>
        <v>0</v>
      </c>
      <c r="O2453" s="25">
        <f>0.033*M2453</f>
        <v>0</v>
      </c>
      <c r="P2453" s="26">
        <f>0.00018*M2453</f>
        <v>0</v>
      </c>
      <c r="Q2453" s="30"/>
      <c r="R2453" s="22" t="s">
        <v>8501</v>
      </c>
      <c r="S2453" s="22" t="s">
        <v>435</v>
      </c>
      <c r="T2453" s="21" t="str">
        <f>HYPERLINK("https://miland.ru/api/getInfo/image/0f81ca6a-e44f-11ef-a274-00155d82e908")</f>
        <v>https://miland.ru/api/getInfo/image/0f81ca6a-e44f-11ef-a274-00155d82e908</v>
      </c>
      <c r="U2453" s="21"/>
      <c r="V2453" s="21" t="s">
        <v>1931</v>
      </c>
      <c r="W2453" s="21" t="s">
        <v>1666</v>
      </c>
      <c r="X2453" s="21"/>
      <c r="Y2453" s="21" t="s">
        <v>41</v>
      </c>
      <c r="Z2453" s="21"/>
      <c r="AA2453" s="21" t="str">
        <f>HYPERLINK("https://miland.ru/api/getInfo/item/0f81ca6a-e44f-11ef-a274-00155d82e908")</f>
        <v>https://miland.ru/api/getInfo/item/0f81ca6a-e44f-11ef-a274-00155d82e908</v>
      </c>
      <c r="AB2453" s="21" t="s">
        <v>50</v>
      </c>
      <c r="AC2453" s="21"/>
      <c r="AD2453" s="21"/>
    </row>
    <row r="2454" spans="2:31" s="1" customFormat="1" ht="96.3" customHeight="1" outlineLevel="5">
      <c r="B2454" s="58">
        <v>1907</v>
      </c>
      <c r="C2454" s="7" t="s">
        <v>8502</v>
      </c>
      <c r="D2454" s="71" t="s">
        <v>8503</v>
      </c>
      <c r="E2454" s="71"/>
      <c r="F2454" s="71"/>
      <c r="G2454" s="71"/>
      <c r="H2454" s="8" t="s">
        <v>8504</v>
      </c>
      <c r="I2454" s="9" t="s">
        <v>36</v>
      </c>
      <c r="J2454" s="8"/>
      <c r="K2454" s="6">
        <v>20</v>
      </c>
      <c r="L2454" s="10">
        <v>28.68</v>
      </c>
      <c r="M2454" s="11"/>
      <c r="N2454" s="8">
        <f t="shared" si="118"/>
        <v>0</v>
      </c>
      <c r="O2454" s="12">
        <f>0.024*M2454</f>
        <v>0</v>
      </c>
      <c r="P2454" s="13">
        <f>0.00035*M2454</f>
        <v>0</v>
      </c>
      <c r="Q2454" s="17" t="s">
        <v>37</v>
      </c>
      <c r="R2454" s="8" t="s">
        <v>8505</v>
      </c>
      <c r="S2454" s="8"/>
      <c r="T2454" s="7" t="str">
        <f>HYPERLINK("https://miland.ru/api/getInfo/image/d815dffb-018f-11f1-a28e-00155d82e908")</f>
        <v>https://miland.ru/api/getInfo/image/d815dffb-018f-11f1-a28e-00155d82e908</v>
      </c>
      <c r="U2454" s="7"/>
      <c r="V2454" s="7" t="s">
        <v>1931</v>
      </c>
      <c r="W2454" s="7" t="s">
        <v>1666</v>
      </c>
      <c r="X2454" s="7"/>
      <c r="Y2454" s="7" t="s">
        <v>41</v>
      </c>
      <c r="Z2454" s="7"/>
      <c r="AA2454" s="7" t="str">
        <f>HYPERLINK("https://miland.ru/api/getInfo/item/d815dffb-018f-11f1-a28e-00155d82e908")</f>
        <v>https://miland.ru/api/getInfo/item/d815dffb-018f-11f1-a28e-00155d82e908</v>
      </c>
      <c r="AB2454" s="7" t="s">
        <v>50</v>
      </c>
      <c r="AC2454" s="7"/>
      <c r="AD2454" s="7"/>
      <c r="AE2454" s="54"/>
    </row>
    <row r="2455" spans="2:31" s="1" customFormat="1" ht="96.3" customHeight="1" outlineLevel="5">
      <c r="B2455" s="57">
        <v>1908</v>
      </c>
      <c r="C2455" s="21" t="s">
        <v>8506</v>
      </c>
      <c r="D2455" s="72" t="s">
        <v>8507</v>
      </c>
      <c r="E2455" s="72"/>
      <c r="F2455" s="72"/>
      <c r="G2455" s="72"/>
      <c r="H2455" s="22" t="s">
        <v>8508</v>
      </c>
      <c r="I2455" s="27">
        <v>360</v>
      </c>
      <c r="J2455" s="22"/>
      <c r="K2455" s="20">
        <v>20</v>
      </c>
      <c r="L2455" s="24">
        <v>28.68</v>
      </c>
      <c r="M2455" s="11"/>
      <c r="N2455" s="22">
        <f t="shared" si="118"/>
        <v>0</v>
      </c>
      <c r="O2455" s="25">
        <f>0.033*M2455</f>
        <v>0</v>
      </c>
      <c r="P2455" s="26">
        <f>0.00017*M2455</f>
        <v>0</v>
      </c>
      <c r="Q2455" s="30"/>
      <c r="R2455" s="22" t="s">
        <v>8509</v>
      </c>
      <c r="S2455" s="22" t="s">
        <v>435</v>
      </c>
      <c r="T2455" s="21" t="str">
        <f>HYPERLINK("https://miland.ru/api/getInfo/image/347c6b6d-e450-11ef-a274-00155d82e908")</f>
        <v>https://miland.ru/api/getInfo/image/347c6b6d-e450-11ef-a274-00155d82e908</v>
      </c>
      <c r="U2455" s="21"/>
      <c r="V2455" s="21" t="s">
        <v>1931</v>
      </c>
      <c r="W2455" s="21" t="s">
        <v>1666</v>
      </c>
      <c r="X2455" s="21"/>
      <c r="Y2455" s="21" t="s">
        <v>41</v>
      </c>
      <c r="Z2455" s="21"/>
      <c r="AA2455" s="21" t="str">
        <f>HYPERLINK("https://miland.ru/api/getInfo/item/347c6b6d-e450-11ef-a274-00155d82e908")</f>
        <v>https://miland.ru/api/getInfo/item/347c6b6d-e450-11ef-a274-00155d82e908</v>
      </c>
      <c r="AB2455" s="21" t="s">
        <v>50</v>
      </c>
      <c r="AC2455" s="21"/>
      <c r="AD2455" s="21"/>
    </row>
    <row r="2456" spans="2:31" s="1" customFormat="1" ht="96.3" customHeight="1" outlineLevel="5">
      <c r="B2456" s="57">
        <v>1909</v>
      </c>
      <c r="C2456" s="21" t="s">
        <v>8510</v>
      </c>
      <c r="D2456" s="72" t="s">
        <v>8511</v>
      </c>
      <c r="E2456" s="72"/>
      <c r="F2456" s="72"/>
      <c r="G2456" s="72"/>
      <c r="H2456" s="22" t="s">
        <v>8512</v>
      </c>
      <c r="I2456" s="23" t="s">
        <v>36</v>
      </c>
      <c r="J2456" s="22"/>
      <c r="K2456" s="20">
        <v>20</v>
      </c>
      <c r="L2456" s="24">
        <v>28.68</v>
      </c>
      <c r="M2456" s="11"/>
      <c r="N2456" s="22">
        <f t="shared" si="118"/>
        <v>0</v>
      </c>
      <c r="O2456" s="25">
        <f>0.033*M2456</f>
        <v>0</v>
      </c>
      <c r="P2456" s="26">
        <f>0.00017*M2456</f>
        <v>0</v>
      </c>
      <c r="Q2456" s="30"/>
      <c r="R2456" s="22" t="s">
        <v>8513</v>
      </c>
      <c r="S2456" s="22" t="s">
        <v>435</v>
      </c>
      <c r="T2456" s="21" t="str">
        <f>HYPERLINK("https://miland.ru/api/getInfo/image/5f04fabb-e44e-11ef-a274-00155d82e908")</f>
        <v>https://miland.ru/api/getInfo/image/5f04fabb-e44e-11ef-a274-00155d82e908</v>
      </c>
      <c r="U2456" s="21"/>
      <c r="V2456" s="21" t="s">
        <v>1931</v>
      </c>
      <c r="W2456" s="21" t="s">
        <v>1666</v>
      </c>
      <c r="X2456" s="21"/>
      <c r="Y2456" s="21" t="s">
        <v>41</v>
      </c>
      <c r="Z2456" s="21"/>
      <c r="AA2456" s="21" t="str">
        <f>HYPERLINK("https://miland.ru/api/getInfo/item/5f04fabb-e44e-11ef-a274-00155d82e908")</f>
        <v>https://miland.ru/api/getInfo/item/5f04fabb-e44e-11ef-a274-00155d82e908</v>
      </c>
      <c r="AB2456" s="21" t="s">
        <v>50</v>
      </c>
      <c r="AC2456" s="21"/>
      <c r="AD2456" s="21"/>
    </row>
    <row r="2457" spans="2:31" s="1" customFormat="1" ht="96.3" customHeight="1" outlineLevel="5">
      <c r="B2457" s="58">
        <v>1910</v>
      </c>
      <c r="C2457" s="7" t="s">
        <v>8514</v>
      </c>
      <c r="D2457" s="71" t="s">
        <v>8515</v>
      </c>
      <c r="E2457" s="71"/>
      <c r="F2457" s="71"/>
      <c r="G2457" s="71"/>
      <c r="H2457" s="8" t="s">
        <v>8516</v>
      </c>
      <c r="I2457" s="14">
        <v>60</v>
      </c>
      <c r="J2457" s="8"/>
      <c r="K2457" s="6">
        <v>20</v>
      </c>
      <c r="L2457" s="10">
        <v>28.68</v>
      </c>
      <c r="M2457" s="11"/>
      <c r="N2457" s="8">
        <f t="shared" si="118"/>
        <v>0</v>
      </c>
      <c r="O2457" s="12">
        <f>0.027*M2457</f>
        <v>0</v>
      </c>
      <c r="P2457" s="16">
        <f>0.0004*M2457</f>
        <v>0</v>
      </c>
      <c r="Q2457" s="17" t="s">
        <v>37</v>
      </c>
      <c r="R2457" s="8" t="s">
        <v>8517</v>
      </c>
      <c r="S2457" s="8"/>
      <c r="T2457" s="7" t="str">
        <f>HYPERLINK("https://miland.ru/api/getInfo/image/5a4414df-018f-11f1-a28e-00155d82e908")</f>
        <v>https://miland.ru/api/getInfo/image/5a4414df-018f-11f1-a28e-00155d82e908</v>
      </c>
      <c r="U2457" s="7"/>
      <c r="V2457" s="7" t="s">
        <v>1931</v>
      </c>
      <c r="W2457" s="7" t="s">
        <v>1666</v>
      </c>
      <c r="X2457" s="7"/>
      <c r="Y2457" s="7" t="s">
        <v>41</v>
      </c>
      <c r="Z2457" s="7"/>
      <c r="AA2457" s="7" t="str">
        <f>HYPERLINK("https://miland.ru/api/getInfo/item/5a4414df-018f-11f1-a28e-00155d82e908")</f>
        <v>https://miland.ru/api/getInfo/item/5a4414df-018f-11f1-a28e-00155d82e908</v>
      </c>
      <c r="AB2457" s="7" t="s">
        <v>50</v>
      </c>
      <c r="AC2457" s="7"/>
      <c r="AD2457" s="7"/>
      <c r="AE2457" s="54"/>
    </row>
    <row r="2458" spans="2:31" s="1" customFormat="1" ht="96.3" customHeight="1" outlineLevel="5">
      <c r="B2458" s="58">
        <v>1911</v>
      </c>
      <c r="C2458" s="7" t="s">
        <v>8518</v>
      </c>
      <c r="D2458" s="71" t="s">
        <v>8519</v>
      </c>
      <c r="E2458" s="71"/>
      <c r="F2458" s="71"/>
      <c r="G2458" s="71"/>
      <c r="H2458" s="8" t="s">
        <v>8520</v>
      </c>
      <c r="I2458" s="9" t="s">
        <v>36</v>
      </c>
      <c r="J2458" s="8"/>
      <c r="K2458" s="6">
        <v>20</v>
      </c>
      <c r="L2458" s="10">
        <v>28.68</v>
      </c>
      <c r="M2458" s="11"/>
      <c r="N2458" s="8">
        <f t="shared" si="118"/>
        <v>0</v>
      </c>
      <c r="O2458" s="12">
        <f>0.027*M2458</f>
        <v>0</v>
      </c>
      <c r="P2458" s="13">
        <f>0.00012*M2458</f>
        <v>0</v>
      </c>
      <c r="Q2458" s="17" t="s">
        <v>37</v>
      </c>
      <c r="R2458" s="8" t="s">
        <v>8521</v>
      </c>
      <c r="S2458" s="8"/>
      <c r="T2458" s="7" t="str">
        <f>HYPERLINK("https://miland.ru/api/getInfo/image/76673cbb-018f-11f1-a28e-00155d82e908")</f>
        <v>https://miland.ru/api/getInfo/image/76673cbb-018f-11f1-a28e-00155d82e908</v>
      </c>
      <c r="U2458" s="7"/>
      <c r="V2458" s="7" t="s">
        <v>1931</v>
      </c>
      <c r="W2458" s="7" t="s">
        <v>1666</v>
      </c>
      <c r="X2458" s="7"/>
      <c r="Y2458" s="7" t="s">
        <v>41</v>
      </c>
      <c r="Z2458" s="7"/>
      <c r="AA2458" s="7" t="str">
        <f>HYPERLINK("https://miland.ru/api/getInfo/item/76673cbb-018f-11f1-a28e-00155d82e908")</f>
        <v>https://miland.ru/api/getInfo/item/76673cbb-018f-11f1-a28e-00155d82e908</v>
      </c>
      <c r="AB2458" s="7" t="s">
        <v>50</v>
      </c>
      <c r="AC2458" s="7"/>
      <c r="AD2458" s="7"/>
      <c r="AE2458" s="54"/>
    </row>
    <row r="2459" spans="2:31" s="1" customFormat="1" ht="96.3" customHeight="1" outlineLevel="5">
      <c r="B2459" s="58">
        <v>1912</v>
      </c>
      <c r="C2459" s="7" t="s">
        <v>8522</v>
      </c>
      <c r="D2459" s="71" t="s">
        <v>8523</v>
      </c>
      <c r="E2459" s="71"/>
      <c r="F2459" s="71"/>
      <c r="G2459" s="71"/>
      <c r="H2459" s="8" t="s">
        <v>8524</v>
      </c>
      <c r="I2459" s="9" t="s">
        <v>36</v>
      </c>
      <c r="J2459" s="8"/>
      <c r="K2459" s="6">
        <v>20</v>
      </c>
      <c r="L2459" s="10">
        <v>28.68</v>
      </c>
      <c r="M2459" s="11"/>
      <c r="N2459" s="8">
        <f t="shared" si="118"/>
        <v>0</v>
      </c>
      <c r="O2459" s="12">
        <f>0.027*M2459</f>
        <v>0</v>
      </c>
      <c r="P2459" s="13">
        <f>0.00046*M2459</f>
        <v>0</v>
      </c>
      <c r="Q2459" s="17" t="s">
        <v>37</v>
      </c>
      <c r="R2459" s="8" t="s">
        <v>8525</v>
      </c>
      <c r="S2459" s="8"/>
      <c r="T2459" s="7" t="str">
        <f>HYPERLINK("https://miland.ru/api/getInfo/image/8c2bd186-018f-11f1-a28e-00155d82e908")</f>
        <v>https://miland.ru/api/getInfo/image/8c2bd186-018f-11f1-a28e-00155d82e908</v>
      </c>
      <c r="U2459" s="7"/>
      <c r="V2459" s="7" t="s">
        <v>1931</v>
      </c>
      <c r="W2459" s="7" t="s">
        <v>1666</v>
      </c>
      <c r="X2459" s="7"/>
      <c r="Y2459" s="7" t="s">
        <v>41</v>
      </c>
      <c r="Z2459" s="7"/>
      <c r="AA2459" s="7" t="str">
        <f>HYPERLINK("https://miland.ru/api/getInfo/item/8c2bd186-018f-11f1-a28e-00155d82e908")</f>
        <v>https://miland.ru/api/getInfo/item/8c2bd186-018f-11f1-a28e-00155d82e908</v>
      </c>
      <c r="AB2459" s="7" t="s">
        <v>50</v>
      </c>
      <c r="AC2459" s="7"/>
      <c r="AD2459" s="7"/>
      <c r="AE2459" s="54"/>
    </row>
    <row r="2460" spans="2:31" s="1" customFormat="1" ht="96.3" customHeight="1" outlineLevel="5">
      <c r="B2460" s="58">
        <v>1913</v>
      </c>
      <c r="C2460" s="7" t="s">
        <v>8526</v>
      </c>
      <c r="D2460" s="71" t="s">
        <v>8527</v>
      </c>
      <c r="E2460" s="71"/>
      <c r="F2460" s="71"/>
      <c r="G2460" s="71"/>
      <c r="H2460" s="8" t="s">
        <v>8528</v>
      </c>
      <c r="I2460" s="9" t="s">
        <v>36</v>
      </c>
      <c r="J2460" s="8"/>
      <c r="K2460" s="6">
        <v>20</v>
      </c>
      <c r="L2460" s="10">
        <v>28.68</v>
      </c>
      <c r="M2460" s="11"/>
      <c r="N2460" s="8">
        <f t="shared" si="118"/>
        <v>0</v>
      </c>
      <c r="O2460" s="12">
        <f>0.027*M2460</f>
        <v>0</v>
      </c>
      <c r="P2460" s="13">
        <f>0.00046*M2460</f>
        <v>0</v>
      </c>
      <c r="Q2460" s="17" t="s">
        <v>37</v>
      </c>
      <c r="R2460" s="8" t="s">
        <v>8529</v>
      </c>
      <c r="S2460" s="8"/>
      <c r="T2460" s="7" t="str">
        <f>HYPERLINK("https://miland.ru/api/getInfo/image/926d43f9-0190-11f1-a28e-00155d82e908")</f>
        <v>https://miland.ru/api/getInfo/image/926d43f9-0190-11f1-a28e-00155d82e908</v>
      </c>
      <c r="U2460" s="7"/>
      <c r="V2460" s="7" t="s">
        <v>1931</v>
      </c>
      <c r="W2460" s="7" t="s">
        <v>1666</v>
      </c>
      <c r="X2460" s="7"/>
      <c r="Y2460" s="7" t="s">
        <v>41</v>
      </c>
      <c r="Z2460" s="7"/>
      <c r="AA2460" s="7" t="str">
        <f>HYPERLINK("https://miland.ru/api/getInfo/item/926d43f9-0190-11f1-a28e-00155d82e908")</f>
        <v>https://miland.ru/api/getInfo/item/926d43f9-0190-11f1-a28e-00155d82e908</v>
      </c>
      <c r="AB2460" s="7" t="s">
        <v>50</v>
      </c>
      <c r="AC2460" s="7"/>
      <c r="AD2460" s="7"/>
      <c r="AE2460" s="54"/>
    </row>
    <row r="2461" spans="2:31" s="1" customFormat="1" ht="96.3" customHeight="1" outlineLevel="5">
      <c r="B2461" s="57">
        <v>1914</v>
      </c>
      <c r="C2461" s="21" t="s">
        <v>8530</v>
      </c>
      <c r="D2461" s="72" t="s">
        <v>8531</v>
      </c>
      <c r="E2461" s="72"/>
      <c r="F2461" s="72"/>
      <c r="G2461" s="72"/>
      <c r="H2461" s="22" t="s">
        <v>8532</v>
      </c>
      <c r="I2461" s="23" t="s">
        <v>36</v>
      </c>
      <c r="J2461" s="22"/>
      <c r="K2461" s="20">
        <v>20</v>
      </c>
      <c r="L2461" s="24">
        <v>28.68</v>
      </c>
      <c r="M2461" s="11"/>
      <c r="N2461" s="22">
        <f t="shared" si="118"/>
        <v>0</v>
      </c>
      <c r="O2461" s="25">
        <f>0.033*M2461</f>
        <v>0</v>
      </c>
      <c r="P2461" s="26">
        <f>0.00013*M2461</f>
        <v>0</v>
      </c>
      <c r="Q2461" s="30"/>
      <c r="R2461" s="22" t="s">
        <v>8533</v>
      </c>
      <c r="S2461" s="22" t="s">
        <v>435</v>
      </c>
      <c r="T2461" s="21" t="str">
        <f>HYPERLINK("https://miland.ru/api/getInfo/image/876c91be-e450-11ef-a274-00155d82e908")</f>
        <v>https://miland.ru/api/getInfo/image/876c91be-e450-11ef-a274-00155d82e908</v>
      </c>
      <c r="U2461" s="21"/>
      <c r="V2461" s="21" t="s">
        <v>1931</v>
      </c>
      <c r="W2461" s="21" t="s">
        <v>1666</v>
      </c>
      <c r="X2461" s="21"/>
      <c r="Y2461" s="21" t="s">
        <v>41</v>
      </c>
      <c r="Z2461" s="21"/>
      <c r="AA2461" s="21" t="str">
        <f>HYPERLINK("https://miland.ru/api/getInfo/item/876c91be-e450-11ef-a274-00155d82e908")</f>
        <v>https://miland.ru/api/getInfo/item/876c91be-e450-11ef-a274-00155d82e908</v>
      </c>
      <c r="AB2461" s="21" t="s">
        <v>50</v>
      </c>
      <c r="AC2461" s="21"/>
      <c r="AD2461" s="21"/>
    </row>
    <row r="2462" spans="2:31" s="1" customFormat="1" ht="96.3" customHeight="1" outlineLevel="5">
      <c r="B2462" s="58">
        <v>1915</v>
      </c>
      <c r="C2462" s="7" t="s">
        <v>8534</v>
      </c>
      <c r="D2462" s="71" t="s">
        <v>8535</v>
      </c>
      <c r="E2462" s="71"/>
      <c r="F2462" s="71"/>
      <c r="G2462" s="71"/>
      <c r="H2462" s="8" t="s">
        <v>8536</v>
      </c>
      <c r="I2462" s="14">
        <v>440</v>
      </c>
      <c r="J2462" s="8"/>
      <c r="K2462" s="6">
        <v>20</v>
      </c>
      <c r="L2462" s="10">
        <v>28.68</v>
      </c>
      <c r="M2462" s="11"/>
      <c r="N2462" s="8">
        <f t="shared" si="118"/>
        <v>0</v>
      </c>
      <c r="O2462" s="12">
        <f>0.027*M2462</f>
        <v>0</v>
      </c>
      <c r="P2462" s="13">
        <f>0.00077*M2462</f>
        <v>0</v>
      </c>
      <c r="Q2462" s="17" t="s">
        <v>37</v>
      </c>
      <c r="R2462" s="8" t="s">
        <v>8537</v>
      </c>
      <c r="S2462" s="8"/>
      <c r="T2462" s="7" t="str">
        <f>HYPERLINK("https://miland.ru/api/getInfo/image/dc514f97-018d-11f1-a28e-00155d82e908")</f>
        <v>https://miland.ru/api/getInfo/image/dc514f97-018d-11f1-a28e-00155d82e908</v>
      </c>
      <c r="U2462" s="7"/>
      <c r="V2462" s="7" t="s">
        <v>1931</v>
      </c>
      <c r="W2462" s="7" t="s">
        <v>1666</v>
      </c>
      <c r="X2462" s="7"/>
      <c r="Y2462" s="7" t="s">
        <v>41</v>
      </c>
      <c r="Z2462" s="7"/>
      <c r="AA2462" s="7" t="str">
        <f>HYPERLINK("https://miland.ru/api/getInfo/item/dc514f97-018d-11f1-a28e-00155d82e908")</f>
        <v>https://miland.ru/api/getInfo/item/dc514f97-018d-11f1-a28e-00155d82e908</v>
      </c>
      <c r="AB2462" s="7" t="s">
        <v>50</v>
      </c>
      <c r="AC2462" s="7"/>
      <c r="AD2462" s="7"/>
      <c r="AE2462" s="54"/>
    </row>
    <row r="2463" spans="2:31" s="1" customFormat="1" ht="96.3" customHeight="1" outlineLevel="5">
      <c r="B2463" s="58">
        <v>1916</v>
      </c>
      <c r="C2463" s="7" t="s">
        <v>8538</v>
      </c>
      <c r="D2463" s="71" t="s">
        <v>8539</v>
      </c>
      <c r="E2463" s="71"/>
      <c r="F2463" s="71"/>
      <c r="G2463" s="71"/>
      <c r="H2463" s="8" t="s">
        <v>8540</v>
      </c>
      <c r="I2463" s="9" t="s">
        <v>36</v>
      </c>
      <c r="J2463" s="8"/>
      <c r="K2463" s="6">
        <v>20</v>
      </c>
      <c r="L2463" s="10">
        <v>28.68</v>
      </c>
      <c r="M2463" s="11"/>
      <c r="N2463" s="8">
        <f t="shared" si="118"/>
        <v>0</v>
      </c>
      <c r="O2463" s="12">
        <f>0.027*M2463</f>
        <v>0</v>
      </c>
      <c r="P2463" s="13">
        <f>0.00013*M2463</f>
        <v>0</v>
      </c>
      <c r="Q2463" s="17" t="s">
        <v>37</v>
      </c>
      <c r="R2463" s="8" t="s">
        <v>8541</v>
      </c>
      <c r="S2463" s="8"/>
      <c r="T2463" s="7" t="str">
        <f>HYPERLINK("https://miland.ru/api/getInfo/image/5f173f37-0190-11f1-a28e-00155d82e908")</f>
        <v>https://miland.ru/api/getInfo/image/5f173f37-0190-11f1-a28e-00155d82e908</v>
      </c>
      <c r="U2463" s="7"/>
      <c r="V2463" s="7" t="s">
        <v>1931</v>
      </c>
      <c r="W2463" s="7" t="s">
        <v>1666</v>
      </c>
      <c r="X2463" s="7"/>
      <c r="Y2463" s="7" t="s">
        <v>41</v>
      </c>
      <c r="Z2463" s="7"/>
      <c r="AA2463" s="7" t="str">
        <f>HYPERLINK("https://miland.ru/api/getInfo/item/5f173f37-0190-11f1-a28e-00155d82e908")</f>
        <v>https://miland.ru/api/getInfo/item/5f173f37-0190-11f1-a28e-00155d82e908</v>
      </c>
      <c r="AB2463" s="7" t="s">
        <v>50</v>
      </c>
      <c r="AC2463" s="7"/>
      <c r="AD2463" s="7"/>
      <c r="AE2463" s="54"/>
    </row>
    <row r="2464" spans="2:31" s="1" customFormat="1" ht="96.3" customHeight="1" outlineLevel="5">
      <c r="B2464" s="57">
        <v>1917</v>
      </c>
      <c r="C2464" s="21" t="s">
        <v>8542</v>
      </c>
      <c r="D2464" s="72" t="s">
        <v>8543</v>
      </c>
      <c r="E2464" s="72"/>
      <c r="F2464" s="72"/>
      <c r="G2464" s="72"/>
      <c r="H2464" s="22" t="s">
        <v>8544</v>
      </c>
      <c r="I2464" s="23" t="s">
        <v>36</v>
      </c>
      <c r="J2464" s="22"/>
      <c r="K2464" s="20">
        <v>20</v>
      </c>
      <c r="L2464" s="24">
        <v>28.68</v>
      </c>
      <c r="M2464" s="11"/>
      <c r="N2464" s="22">
        <f t="shared" si="118"/>
        <v>0</v>
      </c>
      <c r="O2464" s="25">
        <f>0.033*M2464</f>
        <v>0</v>
      </c>
      <c r="P2464" s="26">
        <f>0.00017*M2464</f>
        <v>0</v>
      </c>
      <c r="Q2464" s="30"/>
      <c r="R2464" s="22" t="s">
        <v>8545</v>
      </c>
      <c r="S2464" s="22" t="s">
        <v>435</v>
      </c>
      <c r="T2464" s="21" t="str">
        <f>HYPERLINK("https://miland.ru/api/getInfo/image/6aaf7df3-e44f-11ef-a274-00155d82e908")</f>
        <v>https://miland.ru/api/getInfo/image/6aaf7df3-e44f-11ef-a274-00155d82e908</v>
      </c>
      <c r="U2464" s="21"/>
      <c r="V2464" s="21" t="s">
        <v>1931</v>
      </c>
      <c r="W2464" s="21" t="s">
        <v>1666</v>
      </c>
      <c r="X2464" s="21"/>
      <c r="Y2464" s="21" t="s">
        <v>41</v>
      </c>
      <c r="Z2464" s="21"/>
      <c r="AA2464" s="21" t="str">
        <f>HYPERLINK("https://miland.ru/api/getInfo/item/6aaf7df3-e44f-11ef-a274-00155d82e908")</f>
        <v>https://miland.ru/api/getInfo/item/6aaf7df3-e44f-11ef-a274-00155d82e908</v>
      </c>
      <c r="AB2464" s="21" t="s">
        <v>50</v>
      </c>
      <c r="AC2464" s="21"/>
      <c r="AD2464" s="21"/>
    </row>
    <row r="2465" spans="2:31" s="1" customFormat="1" ht="96.3" customHeight="1" outlineLevel="5">
      <c r="B2465" s="57">
        <v>1918</v>
      </c>
      <c r="C2465" s="21" t="s">
        <v>8546</v>
      </c>
      <c r="D2465" s="72" t="s">
        <v>8547</v>
      </c>
      <c r="E2465" s="72"/>
      <c r="F2465" s="72"/>
      <c r="G2465" s="72"/>
      <c r="H2465" s="22" t="s">
        <v>8548</v>
      </c>
      <c r="I2465" s="27">
        <v>40</v>
      </c>
      <c r="J2465" s="22"/>
      <c r="K2465" s="20">
        <v>20</v>
      </c>
      <c r="L2465" s="24">
        <v>28.68</v>
      </c>
      <c r="M2465" s="11"/>
      <c r="N2465" s="22">
        <f t="shared" si="118"/>
        <v>0</v>
      </c>
      <c r="O2465" s="25">
        <f>0.032*M2465</f>
        <v>0</v>
      </c>
      <c r="P2465" s="29">
        <f>0.0003*M2465</f>
        <v>0</v>
      </c>
      <c r="Q2465" s="30"/>
      <c r="R2465" s="22" t="s">
        <v>8549</v>
      </c>
      <c r="S2465" s="22" t="s">
        <v>435</v>
      </c>
      <c r="T2465" s="21" t="str">
        <f>HYPERLINK("https://miland.ru/api/getInfo/image/0e1ed74c-d49e-11ee-a25a-00155d82e908")</f>
        <v>https://miland.ru/api/getInfo/image/0e1ed74c-d49e-11ee-a25a-00155d82e908</v>
      </c>
      <c r="U2465" s="21"/>
      <c r="V2465" s="21" t="s">
        <v>1931</v>
      </c>
      <c r="W2465" s="21" t="s">
        <v>1666</v>
      </c>
      <c r="X2465" s="21"/>
      <c r="Y2465" s="21" t="s">
        <v>41</v>
      </c>
      <c r="Z2465" s="21"/>
      <c r="AA2465" s="21" t="str">
        <f>HYPERLINK("https://miland.ru/api/getInfo/item/0e1ed74c-d49e-11ee-a25a-00155d82e908")</f>
        <v>https://miland.ru/api/getInfo/item/0e1ed74c-d49e-11ee-a25a-00155d82e908</v>
      </c>
      <c r="AB2465" s="21" t="s">
        <v>50</v>
      </c>
      <c r="AC2465" s="21"/>
      <c r="AD2465" s="21"/>
    </row>
    <row r="2466" spans="2:31" s="1" customFormat="1" ht="96.3" customHeight="1" outlineLevel="5">
      <c r="B2466" s="57">
        <v>1919</v>
      </c>
      <c r="C2466" s="21" t="s">
        <v>8550</v>
      </c>
      <c r="D2466" s="72" t="s">
        <v>8551</v>
      </c>
      <c r="E2466" s="72"/>
      <c r="F2466" s="72"/>
      <c r="G2466" s="72"/>
      <c r="H2466" s="22" t="s">
        <v>8552</v>
      </c>
      <c r="I2466" s="23" t="s">
        <v>36</v>
      </c>
      <c r="J2466" s="22"/>
      <c r="K2466" s="20">
        <v>20</v>
      </c>
      <c r="L2466" s="24">
        <v>28.68</v>
      </c>
      <c r="M2466" s="11"/>
      <c r="N2466" s="22">
        <f t="shared" si="118"/>
        <v>0</v>
      </c>
      <c r="O2466" s="25">
        <f>0.032*M2466</f>
        <v>0</v>
      </c>
      <c r="P2466" s="29">
        <f>0.0003*M2466</f>
        <v>0</v>
      </c>
      <c r="Q2466" s="30"/>
      <c r="R2466" s="22" t="s">
        <v>8553</v>
      </c>
      <c r="S2466" s="22" t="s">
        <v>435</v>
      </c>
      <c r="T2466" s="21" t="str">
        <f>HYPERLINK("https://miland.ru/api/getInfo/image/4896223f-d49d-11ee-a25a-00155d82e908")</f>
        <v>https://miland.ru/api/getInfo/image/4896223f-d49d-11ee-a25a-00155d82e908</v>
      </c>
      <c r="U2466" s="21"/>
      <c r="V2466" s="21" t="s">
        <v>1931</v>
      </c>
      <c r="W2466" s="21" t="s">
        <v>1666</v>
      </c>
      <c r="X2466" s="21"/>
      <c r="Y2466" s="21" t="s">
        <v>41</v>
      </c>
      <c r="Z2466" s="21"/>
      <c r="AA2466" s="21" t="str">
        <f>HYPERLINK("https://miland.ru/api/getInfo/item/4896223f-d49d-11ee-a25a-00155d82e908")</f>
        <v>https://miland.ru/api/getInfo/item/4896223f-d49d-11ee-a25a-00155d82e908</v>
      </c>
      <c r="AB2466" s="21" t="s">
        <v>50</v>
      </c>
      <c r="AC2466" s="21"/>
      <c r="AD2466" s="21"/>
    </row>
    <row r="2467" spans="2:31" ht="12" customHeight="1" outlineLevel="4">
      <c r="B2467" s="70" t="s">
        <v>8554</v>
      </c>
      <c r="C2467" s="70"/>
      <c r="D2467" s="70"/>
      <c r="E2467" s="70"/>
      <c r="F2467" s="70"/>
      <c r="G2467" s="70"/>
    </row>
    <row r="2468" spans="2:31" s="1" customFormat="1" ht="96.3" customHeight="1" outlineLevel="5">
      <c r="B2468" s="58">
        <v>1920</v>
      </c>
      <c r="C2468" s="7" t="s">
        <v>8555</v>
      </c>
      <c r="D2468" s="71" t="s">
        <v>8556</v>
      </c>
      <c r="E2468" s="71"/>
      <c r="F2468" s="71"/>
      <c r="G2468" s="71"/>
      <c r="H2468" s="8" t="s">
        <v>8557</v>
      </c>
      <c r="I2468" s="14">
        <v>60</v>
      </c>
      <c r="J2468" s="8"/>
      <c r="K2468" s="6">
        <v>20</v>
      </c>
      <c r="L2468" s="10">
        <v>53.99</v>
      </c>
      <c r="M2468" s="11"/>
      <c r="N2468" s="8">
        <f>L2468*M2468</f>
        <v>0</v>
      </c>
      <c r="O2468" s="12">
        <f>0.041*M2468</f>
        <v>0</v>
      </c>
      <c r="P2468" s="16">
        <f>0.0002*M2468</f>
        <v>0</v>
      </c>
      <c r="Q2468" s="17" t="s">
        <v>37</v>
      </c>
      <c r="R2468" s="8" t="s">
        <v>8558</v>
      </c>
      <c r="S2468" s="8"/>
      <c r="T2468" s="7" t="str">
        <f>HYPERLINK("https://miland.ru/api/getInfo/image/43bd6bf9-035b-11f1-a28e-00155d82e908")</f>
        <v>https://miland.ru/api/getInfo/image/43bd6bf9-035b-11f1-a28e-00155d82e908</v>
      </c>
      <c r="U2468" s="7"/>
      <c r="V2468" s="7" t="s">
        <v>1931</v>
      </c>
      <c r="W2468" s="7" t="s">
        <v>1666</v>
      </c>
      <c r="X2468" s="7"/>
      <c r="Y2468" s="7" t="s">
        <v>41</v>
      </c>
      <c r="Z2468" s="7"/>
      <c r="AA2468" s="7" t="str">
        <f>HYPERLINK("https://miland.ru/api/getInfo/item/43bd6bf9-035b-11f1-a28e-00155d82e908")</f>
        <v>https://miland.ru/api/getInfo/item/43bd6bf9-035b-11f1-a28e-00155d82e908</v>
      </c>
      <c r="AB2468" s="7" t="s">
        <v>50</v>
      </c>
      <c r="AC2468" s="7"/>
      <c r="AD2468" s="7"/>
      <c r="AE2468" s="54"/>
    </row>
    <row r="2469" spans="2:31" s="1" customFormat="1" ht="96.3" customHeight="1" outlineLevel="5">
      <c r="B2469" s="58">
        <v>1921</v>
      </c>
      <c r="C2469" s="7" t="s">
        <v>8559</v>
      </c>
      <c r="D2469" s="71" t="s">
        <v>8560</v>
      </c>
      <c r="E2469" s="71"/>
      <c r="F2469" s="71"/>
      <c r="G2469" s="71"/>
      <c r="H2469" s="8" t="s">
        <v>8561</v>
      </c>
      <c r="I2469" s="14">
        <v>40</v>
      </c>
      <c r="J2469" s="8"/>
      <c r="K2469" s="6">
        <v>20</v>
      </c>
      <c r="L2469" s="10">
        <v>53.99</v>
      </c>
      <c r="M2469" s="11"/>
      <c r="N2469" s="8">
        <f>L2469*M2469</f>
        <v>0</v>
      </c>
      <c r="O2469" s="12">
        <f>0.041*M2469</f>
        <v>0</v>
      </c>
      <c r="P2469" s="16">
        <f>0.0002*M2469</f>
        <v>0</v>
      </c>
      <c r="Q2469" s="17" t="s">
        <v>37</v>
      </c>
      <c r="R2469" s="8" t="s">
        <v>8562</v>
      </c>
      <c r="S2469" s="8"/>
      <c r="T2469" s="7" t="str">
        <f>HYPERLINK("https://miland.ru/api/getInfo/image/58a3cd5a-035b-11f1-a28e-00155d82e908")</f>
        <v>https://miland.ru/api/getInfo/image/58a3cd5a-035b-11f1-a28e-00155d82e908</v>
      </c>
      <c r="U2469" s="7"/>
      <c r="V2469" s="7" t="s">
        <v>1931</v>
      </c>
      <c r="W2469" s="7" t="s">
        <v>1666</v>
      </c>
      <c r="X2469" s="7"/>
      <c r="Y2469" s="7" t="s">
        <v>41</v>
      </c>
      <c r="Z2469" s="7"/>
      <c r="AA2469" s="7" t="str">
        <f>HYPERLINK("https://miland.ru/api/getInfo/item/58a3cd5a-035b-11f1-a28e-00155d82e908")</f>
        <v>https://miland.ru/api/getInfo/item/58a3cd5a-035b-11f1-a28e-00155d82e908</v>
      </c>
      <c r="AB2469" s="7" t="s">
        <v>50</v>
      </c>
      <c r="AC2469" s="7"/>
      <c r="AD2469" s="7"/>
      <c r="AE2469" s="54"/>
    </row>
    <row r="2470" spans="2:31" s="1" customFormat="1" ht="96.3" customHeight="1" outlineLevel="5">
      <c r="B2470" s="58">
        <v>1922</v>
      </c>
      <c r="C2470" s="7" t="s">
        <v>8563</v>
      </c>
      <c r="D2470" s="71" t="s">
        <v>8564</v>
      </c>
      <c r="E2470" s="71"/>
      <c r="F2470" s="71"/>
      <c r="G2470" s="71"/>
      <c r="H2470" s="8" t="s">
        <v>8565</v>
      </c>
      <c r="I2470" s="14">
        <v>80</v>
      </c>
      <c r="J2470" s="8"/>
      <c r="K2470" s="6">
        <v>20</v>
      </c>
      <c r="L2470" s="10">
        <v>53.99</v>
      </c>
      <c r="M2470" s="11"/>
      <c r="N2470" s="8">
        <f>L2470*M2470</f>
        <v>0</v>
      </c>
      <c r="O2470" s="12">
        <f>0.041*M2470</f>
        <v>0</v>
      </c>
      <c r="P2470" s="16">
        <f>0.0002*M2470</f>
        <v>0</v>
      </c>
      <c r="Q2470" s="17" t="s">
        <v>37</v>
      </c>
      <c r="R2470" s="8" t="s">
        <v>8566</v>
      </c>
      <c r="S2470" s="8"/>
      <c r="T2470" s="7" t="str">
        <f>HYPERLINK("https://miland.ru/api/getInfo/image/28bc87b4-035b-11f1-a28e-00155d82e908")</f>
        <v>https://miland.ru/api/getInfo/image/28bc87b4-035b-11f1-a28e-00155d82e908</v>
      </c>
      <c r="U2470" s="7"/>
      <c r="V2470" s="7" t="s">
        <v>1931</v>
      </c>
      <c r="W2470" s="7" t="s">
        <v>1666</v>
      </c>
      <c r="X2470" s="7"/>
      <c r="Y2470" s="7" t="s">
        <v>41</v>
      </c>
      <c r="Z2470" s="7"/>
      <c r="AA2470" s="7" t="str">
        <f>HYPERLINK("https://miland.ru/api/getInfo/item/28bc87b4-035b-11f1-a28e-00155d82e908")</f>
        <v>https://miland.ru/api/getInfo/item/28bc87b4-035b-11f1-a28e-00155d82e908</v>
      </c>
      <c r="AB2470" s="7" t="s">
        <v>50</v>
      </c>
      <c r="AC2470" s="7"/>
      <c r="AD2470" s="7"/>
      <c r="AE2470" s="54"/>
    </row>
    <row r="2471" spans="2:31" s="1" customFormat="1" ht="96.3" customHeight="1" outlineLevel="5">
      <c r="B2471" s="58">
        <v>1923</v>
      </c>
      <c r="C2471" s="7" t="s">
        <v>8567</v>
      </c>
      <c r="D2471" s="71" t="s">
        <v>8568</v>
      </c>
      <c r="E2471" s="71"/>
      <c r="F2471" s="71"/>
      <c r="G2471" s="71"/>
      <c r="H2471" s="8" t="s">
        <v>8569</v>
      </c>
      <c r="I2471" s="9" t="s">
        <v>36</v>
      </c>
      <c r="J2471" s="8"/>
      <c r="K2471" s="6">
        <v>20</v>
      </c>
      <c r="L2471" s="10">
        <v>53.99</v>
      </c>
      <c r="M2471" s="11"/>
      <c r="N2471" s="8">
        <f>L2471*M2471</f>
        <v>0</v>
      </c>
      <c r="O2471" s="12">
        <f>0.041*M2471</f>
        <v>0</v>
      </c>
      <c r="P2471" s="16">
        <f>0.0002*M2471</f>
        <v>0</v>
      </c>
      <c r="Q2471" s="17" t="s">
        <v>37</v>
      </c>
      <c r="R2471" s="8" t="s">
        <v>8570</v>
      </c>
      <c r="S2471" s="8"/>
      <c r="T2471" s="7" t="str">
        <f>HYPERLINK("https://miland.ru/api/getInfo/image/51d10107-0359-11f1-a28e-00155d82e908")</f>
        <v>https://miland.ru/api/getInfo/image/51d10107-0359-11f1-a28e-00155d82e908</v>
      </c>
      <c r="U2471" s="7"/>
      <c r="V2471" s="7" t="s">
        <v>1931</v>
      </c>
      <c r="W2471" s="7" t="s">
        <v>1666</v>
      </c>
      <c r="X2471" s="7"/>
      <c r="Y2471" s="7" t="s">
        <v>41</v>
      </c>
      <c r="Z2471" s="7"/>
      <c r="AA2471" s="7" t="str">
        <f>HYPERLINK("https://miland.ru/api/getInfo/item/51d10107-0359-11f1-a28e-00155d82e908")</f>
        <v>https://miland.ru/api/getInfo/item/51d10107-0359-11f1-a28e-00155d82e908</v>
      </c>
      <c r="AB2471" s="7" t="s">
        <v>50</v>
      </c>
      <c r="AC2471" s="7"/>
      <c r="AD2471" s="7"/>
      <c r="AE2471" s="54"/>
    </row>
    <row r="2472" spans="2:31" s="1" customFormat="1" ht="96.3" customHeight="1" outlineLevel="5">
      <c r="B2472" s="57">
        <v>1924</v>
      </c>
      <c r="C2472" s="21" t="s">
        <v>8571</v>
      </c>
      <c r="D2472" s="72" t="s">
        <v>8572</v>
      </c>
      <c r="E2472" s="72"/>
      <c r="F2472" s="72"/>
      <c r="G2472" s="72"/>
      <c r="H2472" s="22" t="s">
        <v>8573</v>
      </c>
      <c r="I2472" s="27">
        <v>20</v>
      </c>
      <c r="J2472" s="22"/>
      <c r="K2472" s="20">
        <v>20</v>
      </c>
      <c r="L2472" s="24">
        <v>51.21</v>
      </c>
      <c r="M2472" s="11"/>
      <c r="N2472" s="22">
        <f>L2472*M2472</f>
        <v>0</v>
      </c>
      <c r="O2472" s="25">
        <f>0.047*M2472</f>
        <v>0</v>
      </c>
      <c r="P2472" s="26">
        <f>0.00021*M2472</f>
        <v>0</v>
      </c>
      <c r="Q2472" s="30"/>
      <c r="R2472" s="22" t="s">
        <v>8574</v>
      </c>
      <c r="S2472" s="22" t="s">
        <v>435</v>
      </c>
      <c r="T2472" s="21" t="str">
        <f>HYPERLINK("https://miland.ru/api/getInfo/image/1a7d0635-d2b6-11ed-a230-00155d82e902")</f>
        <v>https://miland.ru/api/getInfo/image/1a7d0635-d2b6-11ed-a230-00155d82e902</v>
      </c>
      <c r="U2472" s="21"/>
      <c r="V2472" s="21" t="s">
        <v>1931</v>
      </c>
      <c r="W2472" s="21" t="s">
        <v>1666</v>
      </c>
      <c r="X2472" s="21"/>
      <c r="Y2472" s="21" t="s">
        <v>41</v>
      </c>
      <c r="Z2472" s="21"/>
      <c r="AA2472" s="21" t="str">
        <f>HYPERLINK("https://miland.ru/api/getInfo/item/1a7d0635-d2b6-11ed-a230-00155d82e902")</f>
        <v>https://miland.ru/api/getInfo/item/1a7d0635-d2b6-11ed-a230-00155d82e902</v>
      </c>
      <c r="AB2472" s="21" t="s">
        <v>50</v>
      </c>
      <c r="AC2472" s="21"/>
      <c r="AD2472" s="21"/>
    </row>
    <row r="2473" spans="2:31" ht="12" customHeight="1" outlineLevel="4">
      <c r="B2473" s="70" t="s">
        <v>8575</v>
      </c>
      <c r="C2473" s="70"/>
      <c r="D2473" s="70"/>
      <c r="E2473" s="70"/>
      <c r="F2473" s="70"/>
      <c r="G2473" s="70"/>
    </row>
    <row r="2474" spans="2:31" s="1" customFormat="1" ht="96.3" customHeight="1" outlineLevel="5">
      <c r="B2474" s="58">
        <v>1925</v>
      </c>
      <c r="C2474" s="7" t="s">
        <v>8576</v>
      </c>
      <c r="D2474" s="71" t="s">
        <v>8577</v>
      </c>
      <c r="E2474" s="71"/>
      <c r="F2474" s="71"/>
      <c r="G2474" s="71"/>
      <c r="H2474" s="8" t="s">
        <v>8578</v>
      </c>
      <c r="I2474" s="14">
        <v>480</v>
      </c>
      <c r="J2474" s="8"/>
      <c r="K2474" s="6">
        <v>20</v>
      </c>
      <c r="L2474" s="10">
        <v>57.96</v>
      </c>
      <c r="M2474" s="11"/>
      <c r="N2474" s="8">
        <f t="shared" ref="N2474:N2485" si="119">L2474*M2474</f>
        <v>0</v>
      </c>
      <c r="O2474" s="12">
        <f>0.043*M2474</f>
        <v>0</v>
      </c>
      <c r="P2474" s="16">
        <f>0.0004*M2474</f>
        <v>0</v>
      </c>
      <c r="Q2474" s="17" t="s">
        <v>37</v>
      </c>
      <c r="R2474" s="8" t="s">
        <v>8579</v>
      </c>
      <c r="S2474" s="8"/>
      <c r="T2474" s="7" t="str">
        <f>HYPERLINK("https://miland.ru/api/getInfo/image/20d894e1-f5dc-11f0-a28d-00155d82e908")</f>
        <v>https://miland.ru/api/getInfo/image/20d894e1-f5dc-11f0-a28d-00155d82e908</v>
      </c>
      <c r="U2474" s="7"/>
      <c r="V2474" s="7" t="s">
        <v>1931</v>
      </c>
      <c r="W2474" s="7" t="s">
        <v>1666</v>
      </c>
      <c r="X2474" s="7"/>
      <c r="Y2474" s="7" t="s">
        <v>41</v>
      </c>
      <c r="Z2474" s="7"/>
      <c r="AA2474" s="7" t="str">
        <f>HYPERLINK("https://miland.ru/api/getInfo/item/20d894e1-f5dc-11f0-a28d-00155d82e908")</f>
        <v>https://miland.ru/api/getInfo/item/20d894e1-f5dc-11f0-a28d-00155d82e908</v>
      </c>
      <c r="AB2474" s="7" t="s">
        <v>50</v>
      </c>
      <c r="AC2474" s="7"/>
      <c r="AD2474" s="7"/>
      <c r="AE2474" s="54"/>
    </row>
    <row r="2475" spans="2:31" s="1" customFormat="1" ht="96.3" customHeight="1" outlineLevel="5">
      <c r="B2475" s="58">
        <v>1926</v>
      </c>
      <c r="C2475" s="7" t="s">
        <v>8580</v>
      </c>
      <c r="D2475" s="71" t="s">
        <v>8581</v>
      </c>
      <c r="E2475" s="71"/>
      <c r="F2475" s="71"/>
      <c r="G2475" s="71"/>
      <c r="H2475" s="8" t="s">
        <v>8582</v>
      </c>
      <c r="I2475" s="9" t="s">
        <v>36</v>
      </c>
      <c r="J2475" s="8"/>
      <c r="K2475" s="6">
        <v>20</v>
      </c>
      <c r="L2475" s="10">
        <v>57.96</v>
      </c>
      <c r="M2475" s="11"/>
      <c r="N2475" s="8">
        <f t="shared" si="119"/>
        <v>0</v>
      </c>
      <c r="O2475" s="12">
        <f>0.043*M2475</f>
        <v>0</v>
      </c>
      <c r="P2475" s="16">
        <f>0.0004*M2475</f>
        <v>0</v>
      </c>
      <c r="Q2475" s="17" t="s">
        <v>37</v>
      </c>
      <c r="R2475" s="8" t="s">
        <v>8583</v>
      </c>
      <c r="S2475" s="8"/>
      <c r="T2475" s="7" t="str">
        <f>HYPERLINK("https://miland.ru/api/getInfo/image/6fe893f0-f5dc-11f0-a28d-00155d82e908")</f>
        <v>https://miland.ru/api/getInfo/image/6fe893f0-f5dc-11f0-a28d-00155d82e908</v>
      </c>
      <c r="U2475" s="7"/>
      <c r="V2475" s="7" t="s">
        <v>1931</v>
      </c>
      <c r="W2475" s="7" t="s">
        <v>1666</v>
      </c>
      <c r="X2475" s="7"/>
      <c r="Y2475" s="7" t="s">
        <v>41</v>
      </c>
      <c r="Z2475" s="7"/>
      <c r="AA2475" s="7" t="str">
        <f>HYPERLINK("https://miland.ru/api/getInfo/item/6fe893f0-f5dc-11f0-a28d-00155d82e908")</f>
        <v>https://miland.ru/api/getInfo/item/6fe893f0-f5dc-11f0-a28d-00155d82e908</v>
      </c>
      <c r="AB2475" s="7" t="s">
        <v>50</v>
      </c>
      <c r="AC2475" s="7"/>
      <c r="AD2475" s="7"/>
      <c r="AE2475" s="54"/>
    </row>
    <row r="2476" spans="2:31" s="1" customFormat="1" ht="96.3" customHeight="1" outlineLevel="5">
      <c r="B2476" s="57">
        <v>1927</v>
      </c>
      <c r="C2476" s="21" t="s">
        <v>8584</v>
      </c>
      <c r="D2476" s="72" t="s">
        <v>8585</v>
      </c>
      <c r="E2476" s="72"/>
      <c r="F2476" s="72"/>
      <c r="G2476" s="72"/>
      <c r="H2476" s="22" t="s">
        <v>8586</v>
      </c>
      <c r="I2476" s="27">
        <v>440</v>
      </c>
      <c r="J2476" s="22"/>
      <c r="K2476" s="20">
        <v>20</v>
      </c>
      <c r="L2476" s="24">
        <v>54.3</v>
      </c>
      <c r="M2476" s="11"/>
      <c r="N2476" s="22">
        <f t="shared" si="119"/>
        <v>0</v>
      </c>
      <c r="O2476" s="25">
        <f>0.043*M2476</f>
        <v>0</v>
      </c>
      <c r="P2476" s="26">
        <f>0.00008*M2476</f>
        <v>0</v>
      </c>
      <c r="Q2476" s="30"/>
      <c r="R2476" s="22" t="s">
        <v>8587</v>
      </c>
      <c r="S2476" s="22" t="s">
        <v>435</v>
      </c>
      <c r="T2476" s="21" t="str">
        <f>HYPERLINK("https://miland.ru/api/getInfo/image/b39e860f-d183-11ee-a25a-00155d82e908")</f>
        <v>https://miland.ru/api/getInfo/image/b39e860f-d183-11ee-a25a-00155d82e908</v>
      </c>
      <c r="U2476" s="21"/>
      <c r="V2476" s="21" t="s">
        <v>1931</v>
      </c>
      <c r="W2476" s="21" t="s">
        <v>1666</v>
      </c>
      <c r="X2476" s="21"/>
      <c r="Y2476" s="21" t="s">
        <v>41</v>
      </c>
      <c r="Z2476" s="21"/>
      <c r="AA2476" s="21" t="str">
        <f>HYPERLINK("https://miland.ru/api/getInfo/item/b39e860f-d183-11ee-a25a-00155d82e908")</f>
        <v>https://miland.ru/api/getInfo/item/b39e860f-d183-11ee-a25a-00155d82e908</v>
      </c>
      <c r="AB2476" s="21" t="s">
        <v>50</v>
      </c>
      <c r="AC2476" s="21"/>
      <c r="AD2476" s="21"/>
    </row>
    <row r="2477" spans="2:31" s="1" customFormat="1" ht="96.3" customHeight="1" outlineLevel="5">
      <c r="B2477" s="57">
        <v>1928</v>
      </c>
      <c r="C2477" s="21" t="s">
        <v>8588</v>
      </c>
      <c r="D2477" s="72" t="s">
        <v>8589</v>
      </c>
      <c r="E2477" s="72"/>
      <c r="F2477" s="72"/>
      <c r="G2477" s="72"/>
      <c r="H2477" s="22" t="s">
        <v>8590</v>
      </c>
      <c r="I2477" s="27">
        <v>20</v>
      </c>
      <c r="J2477" s="22"/>
      <c r="K2477" s="20">
        <v>20</v>
      </c>
      <c r="L2477" s="24">
        <v>54.3</v>
      </c>
      <c r="M2477" s="11"/>
      <c r="N2477" s="22">
        <f t="shared" si="119"/>
        <v>0</v>
      </c>
      <c r="O2477" s="25">
        <f>0.045*M2477</f>
        <v>0</v>
      </c>
      <c r="P2477" s="26">
        <f>0.00015*M2477</f>
        <v>0</v>
      </c>
      <c r="Q2477" s="30"/>
      <c r="R2477" s="22" t="s">
        <v>8591</v>
      </c>
      <c r="S2477" s="22" t="s">
        <v>435</v>
      </c>
      <c r="T2477" s="21" t="str">
        <f>HYPERLINK("https://miland.ru/api/getInfo/image/9c90c0a9-d4be-11ef-a26a-00155d82e908")</f>
        <v>https://miland.ru/api/getInfo/image/9c90c0a9-d4be-11ef-a26a-00155d82e908</v>
      </c>
      <c r="U2477" s="21"/>
      <c r="V2477" s="21" t="s">
        <v>1931</v>
      </c>
      <c r="W2477" s="21" t="s">
        <v>1666</v>
      </c>
      <c r="X2477" s="21"/>
      <c r="Y2477" s="21" t="s">
        <v>41</v>
      </c>
      <c r="Z2477" s="21"/>
      <c r="AA2477" s="21" t="str">
        <f>HYPERLINK("https://miland.ru/api/getInfo/item/9c90c0a9-d4be-11ef-a26a-00155d82e908")</f>
        <v>https://miland.ru/api/getInfo/item/9c90c0a9-d4be-11ef-a26a-00155d82e908</v>
      </c>
      <c r="AB2477" s="21" t="s">
        <v>50</v>
      </c>
      <c r="AC2477" s="21"/>
      <c r="AD2477" s="21"/>
    </row>
    <row r="2478" spans="2:31" s="1" customFormat="1" ht="96.3" customHeight="1" outlineLevel="5">
      <c r="B2478" s="58">
        <v>1929</v>
      </c>
      <c r="C2478" s="7" t="s">
        <v>8592</v>
      </c>
      <c r="D2478" s="71" t="s">
        <v>8593</v>
      </c>
      <c r="E2478" s="71"/>
      <c r="F2478" s="71"/>
      <c r="G2478" s="71"/>
      <c r="H2478" s="8" t="s">
        <v>8590</v>
      </c>
      <c r="I2478" s="14">
        <v>30</v>
      </c>
      <c r="J2478" s="8"/>
      <c r="K2478" s="6">
        <v>20</v>
      </c>
      <c r="L2478" s="10">
        <v>54.3</v>
      </c>
      <c r="M2478" s="11"/>
      <c r="N2478" s="8">
        <f t="shared" si="119"/>
        <v>0</v>
      </c>
      <c r="O2478" s="18">
        <f>0.05*M2478</f>
        <v>0</v>
      </c>
      <c r="P2478" s="13">
        <f>0.00015*M2478</f>
        <v>0</v>
      </c>
      <c r="Q2478" s="17" t="s">
        <v>37</v>
      </c>
      <c r="R2478" s="8"/>
      <c r="S2478" s="8" t="s">
        <v>435</v>
      </c>
      <c r="T2478" s="7" t="str">
        <f>HYPERLINK("https://miland.ru/api/getInfo/image/36d8124d-d75c-11f0-a28c-00155d82e908")</f>
        <v>https://miland.ru/api/getInfo/image/36d8124d-d75c-11f0-a28c-00155d82e908</v>
      </c>
      <c r="U2478" s="7"/>
      <c r="V2478" s="7" t="s">
        <v>1931</v>
      </c>
      <c r="W2478" s="7" t="s">
        <v>1666</v>
      </c>
      <c r="X2478" s="7"/>
      <c r="Y2478" s="7" t="s">
        <v>41</v>
      </c>
      <c r="Z2478" s="7"/>
      <c r="AA2478" s="7" t="str">
        <f>HYPERLINK("https://miland.ru/api/getInfo/item/36d8124d-d75c-11f0-a28c-00155d82e908")</f>
        <v>https://miland.ru/api/getInfo/item/36d8124d-d75c-11f0-a28c-00155d82e908</v>
      </c>
      <c r="AB2478" s="7" t="s">
        <v>50</v>
      </c>
      <c r="AC2478" s="7"/>
      <c r="AD2478" s="7"/>
      <c r="AE2478" s="54"/>
    </row>
    <row r="2479" spans="2:31" s="1" customFormat="1" ht="96.3" customHeight="1" outlineLevel="5">
      <c r="B2479" s="57">
        <v>1930</v>
      </c>
      <c r="C2479" s="21" t="s">
        <v>8594</v>
      </c>
      <c r="D2479" s="72" t="s">
        <v>8595</v>
      </c>
      <c r="E2479" s="72"/>
      <c r="F2479" s="72"/>
      <c r="G2479" s="72"/>
      <c r="H2479" s="22" t="s">
        <v>8596</v>
      </c>
      <c r="I2479" s="27">
        <v>20</v>
      </c>
      <c r="J2479" s="22"/>
      <c r="K2479" s="20">
        <v>20</v>
      </c>
      <c r="L2479" s="24">
        <v>54.3</v>
      </c>
      <c r="M2479" s="11"/>
      <c r="N2479" s="22">
        <f t="shared" si="119"/>
        <v>0</v>
      </c>
      <c r="O2479" s="25">
        <f>0.045*M2479</f>
        <v>0</v>
      </c>
      <c r="P2479" s="26">
        <f>0.00016*M2479</f>
        <v>0</v>
      </c>
      <c r="Q2479" s="30"/>
      <c r="R2479" s="22" t="s">
        <v>8597</v>
      </c>
      <c r="S2479" s="22" t="s">
        <v>435</v>
      </c>
      <c r="T2479" s="21" t="str">
        <f>HYPERLINK("https://miland.ru/api/getInfo/image/b104cf59-d4be-11ef-a26a-00155d82e908")</f>
        <v>https://miland.ru/api/getInfo/image/b104cf59-d4be-11ef-a26a-00155d82e908</v>
      </c>
      <c r="U2479" s="21"/>
      <c r="V2479" s="21" t="s">
        <v>1931</v>
      </c>
      <c r="W2479" s="21" t="s">
        <v>1666</v>
      </c>
      <c r="X2479" s="21"/>
      <c r="Y2479" s="21" t="s">
        <v>41</v>
      </c>
      <c r="Z2479" s="21"/>
      <c r="AA2479" s="21" t="str">
        <f>HYPERLINK("https://miland.ru/api/getInfo/item/b104cf59-d4be-11ef-a26a-00155d82e908")</f>
        <v>https://miland.ru/api/getInfo/item/b104cf59-d4be-11ef-a26a-00155d82e908</v>
      </c>
      <c r="AB2479" s="21" t="s">
        <v>50</v>
      </c>
      <c r="AC2479" s="21"/>
      <c r="AD2479" s="21"/>
    </row>
    <row r="2480" spans="2:31" s="1" customFormat="1" ht="96.3" customHeight="1" outlineLevel="5">
      <c r="B2480" s="58">
        <v>1931</v>
      </c>
      <c r="C2480" s="7" t="s">
        <v>8598</v>
      </c>
      <c r="D2480" s="71" t="s">
        <v>8599</v>
      </c>
      <c r="E2480" s="71"/>
      <c r="F2480" s="71"/>
      <c r="G2480" s="71"/>
      <c r="H2480" s="8" t="s">
        <v>8596</v>
      </c>
      <c r="I2480" s="14">
        <v>60</v>
      </c>
      <c r="J2480" s="8"/>
      <c r="K2480" s="6">
        <v>30</v>
      </c>
      <c r="L2480" s="10">
        <v>54.3</v>
      </c>
      <c r="M2480" s="11"/>
      <c r="N2480" s="8">
        <f t="shared" si="119"/>
        <v>0</v>
      </c>
      <c r="O2480" s="18">
        <f>0.05*M2480</f>
        <v>0</v>
      </c>
      <c r="P2480" s="13">
        <f>0.00015*M2480</f>
        <v>0</v>
      </c>
      <c r="Q2480" s="17" t="s">
        <v>37</v>
      </c>
      <c r="R2480" s="8"/>
      <c r="S2480" s="8" t="s">
        <v>435</v>
      </c>
      <c r="T2480" s="7" t="str">
        <f>HYPERLINK("https://miland.ru/api/getInfo/image/d64d024c-d75c-11f0-a28c-00155d82e908")</f>
        <v>https://miland.ru/api/getInfo/image/d64d024c-d75c-11f0-a28c-00155d82e908</v>
      </c>
      <c r="U2480" s="7"/>
      <c r="V2480" s="7" t="s">
        <v>1931</v>
      </c>
      <c r="W2480" s="7" t="s">
        <v>1666</v>
      </c>
      <c r="X2480" s="7"/>
      <c r="Y2480" s="7" t="s">
        <v>41</v>
      </c>
      <c r="Z2480" s="7"/>
      <c r="AA2480" s="7" t="str">
        <f>HYPERLINK("https://miland.ru/api/getInfo/item/d64d024c-d75c-11f0-a28c-00155d82e908")</f>
        <v>https://miland.ru/api/getInfo/item/d64d024c-d75c-11f0-a28c-00155d82e908</v>
      </c>
      <c r="AB2480" s="7" t="s">
        <v>50</v>
      </c>
      <c r="AC2480" s="7"/>
      <c r="AD2480" s="7"/>
      <c r="AE2480" s="54"/>
    </row>
    <row r="2481" spans="2:31" s="1" customFormat="1" ht="96.3" customHeight="1" outlineLevel="5">
      <c r="B2481" s="57">
        <v>1932</v>
      </c>
      <c r="C2481" s="21" t="s">
        <v>8600</v>
      </c>
      <c r="D2481" s="72" t="s">
        <v>8601</v>
      </c>
      <c r="E2481" s="72"/>
      <c r="F2481" s="72"/>
      <c r="G2481" s="72"/>
      <c r="H2481" s="22" t="s">
        <v>8602</v>
      </c>
      <c r="I2481" s="27">
        <v>100</v>
      </c>
      <c r="J2481" s="22"/>
      <c r="K2481" s="20">
        <v>30</v>
      </c>
      <c r="L2481" s="24">
        <v>54.3</v>
      </c>
      <c r="M2481" s="11"/>
      <c r="N2481" s="22">
        <f t="shared" si="119"/>
        <v>0</v>
      </c>
      <c r="O2481" s="25">
        <f>0.046*M2481</f>
        <v>0</v>
      </c>
      <c r="P2481" s="26">
        <f>0.00016*M2481</f>
        <v>0</v>
      </c>
      <c r="Q2481" s="30"/>
      <c r="R2481" s="22" t="s">
        <v>8603</v>
      </c>
      <c r="S2481" s="22" t="s">
        <v>435</v>
      </c>
      <c r="T2481" s="21" t="str">
        <f>HYPERLINK("https://miland.ru/api/getInfo/image/44b22d37-d4be-11ef-a26a-00155d82e908")</f>
        <v>https://miland.ru/api/getInfo/image/44b22d37-d4be-11ef-a26a-00155d82e908</v>
      </c>
      <c r="U2481" s="21"/>
      <c r="V2481" s="21" t="s">
        <v>1931</v>
      </c>
      <c r="W2481" s="21" t="s">
        <v>1666</v>
      </c>
      <c r="X2481" s="21"/>
      <c r="Y2481" s="21" t="s">
        <v>41</v>
      </c>
      <c r="Z2481" s="21"/>
      <c r="AA2481" s="21" t="str">
        <f>HYPERLINK("https://miland.ru/api/getInfo/item/44b22d37-d4be-11ef-a26a-00155d82e908")</f>
        <v>https://miland.ru/api/getInfo/item/44b22d37-d4be-11ef-a26a-00155d82e908</v>
      </c>
      <c r="AB2481" s="21" t="s">
        <v>50</v>
      </c>
      <c r="AC2481" s="21"/>
      <c r="AD2481" s="21"/>
    </row>
    <row r="2482" spans="2:31" s="1" customFormat="1" ht="96.3" customHeight="1" outlineLevel="5">
      <c r="B2482" s="58">
        <v>1933</v>
      </c>
      <c r="C2482" s="7" t="s">
        <v>8604</v>
      </c>
      <c r="D2482" s="71" t="s">
        <v>8605</v>
      </c>
      <c r="E2482" s="71"/>
      <c r="F2482" s="71"/>
      <c r="G2482" s="71"/>
      <c r="H2482" s="8" t="s">
        <v>8602</v>
      </c>
      <c r="I2482" s="14">
        <v>10</v>
      </c>
      <c r="J2482" s="8"/>
      <c r="K2482" s="6">
        <v>10</v>
      </c>
      <c r="L2482" s="10">
        <v>54.3</v>
      </c>
      <c r="M2482" s="11"/>
      <c r="N2482" s="8">
        <f t="shared" si="119"/>
        <v>0</v>
      </c>
      <c r="O2482" s="18">
        <f>0.05*M2482</f>
        <v>0</v>
      </c>
      <c r="P2482" s="13">
        <f>0.00015*M2482</f>
        <v>0</v>
      </c>
      <c r="Q2482" s="17" t="s">
        <v>37</v>
      </c>
      <c r="R2482" s="8"/>
      <c r="S2482" s="8" t="s">
        <v>435</v>
      </c>
      <c r="T2482" s="7" t="str">
        <f>HYPERLINK("https://miland.ru/api/getInfo/image/1dc1d138-d75d-11f0-a28c-00155d82e908")</f>
        <v>https://miland.ru/api/getInfo/image/1dc1d138-d75d-11f0-a28c-00155d82e908</v>
      </c>
      <c r="U2482" s="7"/>
      <c r="V2482" s="7" t="s">
        <v>1931</v>
      </c>
      <c r="W2482" s="7" t="s">
        <v>1666</v>
      </c>
      <c r="X2482" s="7"/>
      <c r="Y2482" s="7" t="s">
        <v>41</v>
      </c>
      <c r="Z2482" s="7"/>
      <c r="AA2482" s="7" t="str">
        <f>HYPERLINK("https://miland.ru/api/getInfo/item/1dc1d138-d75d-11f0-a28c-00155d82e908")</f>
        <v>https://miland.ru/api/getInfo/item/1dc1d138-d75d-11f0-a28c-00155d82e908</v>
      </c>
      <c r="AB2482" s="7" t="s">
        <v>50</v>
      </c>
      <c r="AC2482" s="7"/>
      <c r="AD2482" s="7"/>
      <c r="AE2482" s="54"/>
    </row>
    <row r="2483" spans="2:31" s="1" customFormat="1" ht="96.3" customHeight="1" outlineLevel="5">
      <c r="B2483" s="57">
        <v>1934</v>
      </c>
      <c r="C2483" s="21" t="s">
        <v>8606</v>
      </c>
      <c r="D2483" s="72" t="s">
        <v>8607</v>
      </c>
      <c r="E2483" s="72"/>
      <c r="F2483" s="72"/>
      <c r="G2483" s="72"/>
      <c r="H2483" s="22" t="s">
        <v>8608</v>
      </c>
      <c r="I2483" s="27">
        <v>190</v>
      </c>
      <c r="J2483" s="22"/>
      <c r="K2483" s="20">
        <v>30</v>
      </c>
      <c r="L2483" s="24">
        <v>54.3</v>
      </c>
      <c r="M2483" s="11"/>
      <c r="N2483" s="22">
        <f t="shared" si="119"/>
        <v>0</v>
      </c>
      <c r="O2483" s="25">
        <f>0.045*M2483</f>
        <v>0</v>
      </c>
      <c r="P2483" s="26">
        <f>0.00015*M2483</f>
        <v>0</v>
      </c>
      <c r="Q2483" s="30"/>
      <c r="R2483" s="22" t="s">
        <v>8609</v>
      </c>
      <c r="S2483" s="22" t="s">
        <v>435</v>
      </c>
      <c r="T2483" s="21" t="str">
        <f>HYPERLINK("https://miland.ru/api/getInfo/image/c4815eb9-d4be-11ef-a26a-00155d82e908")</f>
        <v>https://miland.ru/api/getInfo/image/c4815eb9-d4be-11ef-a26a-00155d82e908</v>
      </c>
      <c r="U2483" s="21"/>
      <c r="V2483" s="21" t="s">
        <v>1931</v>
      </c>
      <c r="W2483" s="21" t="s">
        <v>1666</v>
      </c>
      <c r="X2483" s="21"/>
      <c r="Y2483" s="21" t="s">
        <v>41</v>
      </c>
      <c r="Z2483" s="21"/>
      <c r="AA2483" s="21" t="str">
        <f>HYPERLINK("https://miland.ru/api/getInfo/item/c4815eb9-d4be-11ef-a26a-00155d82e908")</f>
        <v>https://miland.ru/api/getInfo/item/c4815eb9-d4be-11ef-a26a-00155d82e908</v>
      </c>
      <c r="AB2483" s="21" t="s">
        <v>50</v>
      </c>
      <c r="AC2483" s="21"/>
      <c r="AD2483" s="21"/>
    </row>
    <row r="2484" spans="2:31" s="1" customFormat="1" ht="96.3" customHeight="1" outlineLevel="5">
      <c r="B2484" s="58">
        <v>1935</v>
      </c>
      <c r="C2484" s="7" t="s">
        <v>8610</v>
      </c>
      <c r="D2484" s="71" t="s">
        <v>8611</v>
      </c>
      <c r="E2484" s="71"/>
      <c r="F2484" s="71"/>
      <c r="G2484" s="71"/>
      <c r="H2484" s="8" t="s">
        <v>8608</v>
      </c>
      <c r="I2484" s="14">
        <v>90</v>
      </c>
      <c r="J2484" s="8"/>
      <c r="K2484" s="6">
        <v>20</v>
      </c>
      <c r="L2484" s="10">
        <v>54.3</v>
      </c>
      <c r="M2484" s="11"/>
      <c r="N2484" s="8">
        <f t="shared" si="119"/>
        <v>0</v>
      </c>
      <c r="O2484" s="18">
        <f>0.05*M2484</f>
        <v>0</v>
      </c>
      <c r="P2484" s="13">
        <f>0.00015*M2484</f>
        <v>0</v>
      </c>
      <c r="Q2484" s="17" t="s">
        <v>37</v>
      </c>
      <c r="R2484" s="8"/>
      <c r="S2484" s="8" t="s">
        <v>435</v>
      </c>
      <c r="T2484" s="7" t="str">
        <f>HYPERLINK("https://miland.ru/api/getInfo/image/a1e12e07-d75c-11f0-a28c-00155d82e908")</f>
        <v>https://miland.ru/api/getInfo/image/a1e12e07-d75c-11f0-a28c-00155d82e908</v>
      </c>
      <c r="U2484" s="7"/>
      <c r="V2484" s="7" t="s">
        <v>1931</v>
      </c>
      <c r="W2484" s="7" t="s">
        <v>1666</v>
      </c>
      <c r="X2484" s="7"/>
      <c r="Y2484" s="7" t="s">
        <v>41</v>
      </c>
      <c r="Z2484" s="7"/>
      <c r="AA2484" s="7" t="str">
        <f>HYPERLINK("https://miland.ru/api/getInfo/item/a1e12e07-d75c-11f0-a28c-00155d82e908")</f>
        <v>https://miland.ru/api/getInfo/item/a1e12e07-d75c-11f0-a28c-00155d82e908</v>
      </c>
      <c r="AB2484" s="7" t="s">
        <v>50</v>
      </c>
      <c r="AC2484" s="7"/>
      <c r="AD2484" s="7"/>
      <c r="AE2484" s="54"/>
    </row>
    <row r="2485" spans="2:31" s="1" customFormat="1" ht="96.3" customHeight="1" outlineLevel="5">
      <c r="B2485" s="57">
        <v>1936</v>
      </c>
      <c r="C2485" s="21" t="s">
        <v>8612</v>
      </c>
      <c r="D2485" s="72" t="s">
        <v>8613</v>
      </c>
      <c r="E2485" s="72"/>
      <c r="F2485" s="72"/>
      <c r="G2485" s="72"/>
      <c r="H2485" s="22" t="s">
        <v>8614</v>
      </c>
      <c r="I2485" s="27">
        <v>40</v>
      </c>
      <c r="J2485" s="22"/>
      <c r="K2485" s="20">
        <v>20</v>
      </c>
      <c r="L2485" s="24">
        <v>54.3</v>
      </c>
      <c r="M2485" s="11"/>
      <c r="N2485" s="22">
        <f t="shared" si="119"/>
        <v>0</v>
      </c>
      <c r="O2485" s="28">
        <f>0.04*M2485</f>
        <v>0</v>
      </c>
      <c r="P2485" s="26">
        <f>0.00031*M2485</f>
        <v>0</v>
      </c>
      <c r="Q2485" s="30"/>
      <c r="R2485" s="22" t="s">
        <v>8615</v>
      </c>
      <c r="S2485" s="22" t="s">
        <v>435</v>
      </c>
      <c r="T2485" s="21" t="str">
        <f>HYPERLINK("https://miland.ru/api/getInfo/image/d39eb144-d183-11ee-a25a-00155d82e908")</f>
        <v>https://miland.ru/api/getInfo/image/d39eb144-d183-11ee-a25a-00155d82e908</v>
      </c>
      <c r="U2485" s="21"/>
      <c r="V2485" s="21" t="s">
        <v>1931</v>
      </c>
      <c r="W2485" s="21" t="s">
        <v>1666</v>
      </c>
      <c r="X2485" s="21"/>
      <c r="Y2485" s="21" t="s">
        <v>41</v>
      </c>
      <c r="Z2485" s="21"/>
      <c r="AA2485" s="21" t="str">
        <f>HYPERLINK("https://miland.ru/api/getInfo/item/d39eb144-d183-11ee-a25a-00155d82e908")</f>
        <v>https://miland.ru/api/getInfo/item/d39eb144-d183-11ee-a25a-00155d82e908</v>
      </c>
      <c r="AB2485" s="21" t="s">
        <v>50</v>
      </c>
      <c r="AC2485" s="21"/>
      <c r="AD2485" s="21"/>
    </row>
    <row r="2486" spans="2:31" ht="12" customHeight="1" outlineLevel="4">
      <c r="B2486" s="70" t="s">
        <v>8616</v>
      </c>
      <c r="C2486" s="70"/>
      <c r="D2486" s="70"/>
      <c r="E2486" s="70"/>
      <c r="F2486" s="70"/>
      <c r="G2486" s="70"/>
    </row>
    <row r="2487" spans="2:31" s="1" customFormat="1" ht="96.3" customHeight="1" outlineLevel="5">
      <c r="B2487" s="59">
        <v>1937</v>
      </c>
      <c r="C2487" s="35" t="s">
        <v>8617</v>
      </c>
      <c r="D2487" s="73" t="s">
        <v>8618</v>
      </c>
      <c r="E2487" s="73"/>
      <c r="F2487" s="73"/>
      <c r="G2487" s="73"/>
      <c r="H2487" s="36" t="s">
        <v>8619</v>
      </c>
      <c r="I2487" s="56" t="s">
        <v>36</v>
      </c>
      <c r="J2487" s="36"/>
      <c r="K2487" s="34">
        <v>20</v>
      </c>
      <c r="L2487" s="41">
        <v>46.186666666666667</v>
      </c>
      <c r="M2487" s="11"/>
      <c r="N2487" s="36">
        <f>L2487*M2487</f>
        <v>0</v>
      </c>
      <c r="O2487" s="47">
        <f>0.07*M2487</f>
        <v>0</v>
      </c>
      <c r="P2487" s="43">
        <f>0.00041*M2487</f>
        <v>0</v>
      </c>
      <c r="Q2487" s="50"/>
      <c r="R2487" s="36" t="s">
        <v>8620</v>
      </c>
      <c r="S2487" s="36" t="s">
        <v>435</v>
      </c>
      <c r="T2487" s="35" t="str">
        <f>HYPERLINK("https://miland.ru/api/getInfo/image/fb1107a6-bc6a-11eb-a205-ac1f6b442185")</f>
        <v>https://miland.ru/api/getInfo/image/fb1107a6-bc6a-11eb-a205-ac1f6b442185</v>
      </c>
      <c r="U2487" s="35"/>
      <c r="V2487" s="35" t="s">
        <v>1931</v>
      </c>
      <c r="W2487" s="35" t="s">
        <v>1666</v>
      </c>
      <c r="X2487" s="35"/>
      <c r="Y2487" s="35" t="s">
        <v>41</v>
      </c>
      <c r="Z2487" s="35"/>
      <c r="AA2487" s="35" t="str">
        <f>HYPERLINK("https://miland.ru/api/getInfo/item/fb1107a6-bc6a-11eb-a205-ac1f6b442185")</f>
        <v>https://miland.ru/api/getInfo/item/fb1107a6-bc6a-11eb-a205-ac1f6b442185</v>
      </c>
      <c r="AB2487" s="35" t="s">
        <v>50</v>
      </c>
      <c r="AC2487" s="35"/>
      <c r="AD2487" s="35"/>
      <c r="AE2487" s="52" t="s">
        <v>1251</v>
      </c>
    </row>
    <row r="2488" spans="2:31" s="1" customFormat="1" ht="96.3" customHeight="1" outlineLevel="5">
      <c r="B2488" s="59">
        <v>1938</v>
      </c>
      <c r="C2488" s="35" t="s">
        <v>8621</v>
      </c>
      <c r="D2488" s="73" t="s">
        <v>8622</v>
      </c>
      <c r="E2488" s="73"/>
      <c r="F2488" s="73"/>
      <c r="G2488" s="73"/>
      <c r="H2488" s="36" t="s">
        <v>8623</v>
      </c>
      <c r="I2488" s="56" t="s">
        <v>36</v>
      </c>
      <c r="J2488" s="36"/>
      <c r="K2488" s="34">
        <v>20</v>
      </c>
      <c r="L2488" s="41">
        <v>46.186666666666667</v>
      </c>
      <c r="M2488" s="11"/>
      <c r="N2488" s="36">
        <f>L2488*M2488</f>
        <v>0</v>
      </c>
      <c r="O2488" s="47">
        <f>0.07*M2488</f>
        <v>0</v>
      </c>
      <c r="P2488" s="43">
        <f>0.00041*M2488</f>
        <v>0</v>
      </c>
      <c r="Q2488" s="50"/>
      <c r="R2488" s="36" t="s">
        <v>8624</v>
      </c>
      <c r="S2488" s="36" t="s">
        <v>435</v>
      </c>
      <c r="T2488" s="35" t="str">
        <f>HYPERLINK("https://miland.ru/api/getInfo/image/4240e18e-bc6c-11eb-a205-ac1f6b442185")</f>
        <v>https://miland.ru/api/getInfo/image/4240e18e-bc6c-11eb-a205-ac1f6b442185</v>
      </c>
      <c r="U2488" s="35"/>
      <c r="V2488" s="35" t="s">
        <v>1931</v>
      </c>
      <c r="W2488" s="35" t="s">
        <v>1666</v>
      </c>
      <c r="X2488" s="35"/>
      <c r="Y2488" s="35" t="s">
        <v>41</v>
      </c>
      <c r="Z2488" s="35"/>
      <c r="AA2488" s="35" t="str">
        <f>HYPERLINK("https://miland.ru/api/getInfo/item/4240e18e-bc6c-11eb-a205-ac1f6b442185")</f>
        <v>https://miland.ru/api/getInfo/item/4240e18e-bc6c-11eb-a205-ac1f6b442185</v>
      </c>
      <c r="AB2488" s="35" t="s">
        <v>50</v>
      </c>
      <c r="AC2488" s="35"/>
      <c r="AD2488" s="35"/>
      <c r="AE2488" s="52" t="s">
        <v>1251</v>
      </c>
    </row>
    <row r="2489" spans="2:31" ht="12" customHeight="1" outlineLevel="4">
      <c r="B2489" s="70" t="s">
        <v>8625</v>
      </c>
      <c r="C2489" s="70"/>
      <c r="D2489" s="70"/>
      <c r="E2489" s="70"/>
      <c r="F2489" s="70"/>
      <c r="G2489" s="70"/>
    </row>
    <row r="2490" spans="2:31" s="1" customFormat="1" ht="96.3" customHeight="1" outlineLevel="5">
      <c r="B2490" s="57">
        <v>1939</v>
      </c>
      <c r="C2490" s="21" t="s">
        <v>8626</v>
      </c>
      <c r="D2490" s="72" t="s">
        <v>8627</v>
      </c>
      <c r="E2490" s="72"/>
      <c r="F2490" s="72"/>
      <c r="G2490" s="72"/>
      <c r="H2490" s="22" t="s">
        <v>8628</v>
      </c>
      <c r="I2490" s="23" t="s">
        <v>36</v>
      </c>
      <c r="J2490" s="22"/>
      <c r="K2490" s="20">
        <v>20</v>
      </c>
      <c r="L2490" s="24">
        <v>70.47</v>
      </c>
      <c r="M2490" s="11"/>
      <c r="N2490" s="22">
        <f>L2490*M2490</f>
        <v>0</v>
      </c>
      <c r="O2490" s="25">
        <f>0.024*M2490</f>
        <v>0</v>
      </c>
      <c r="P2490" s="26">
        <f>0.00005*M2490</f>
        <v>0</v>
      </c>
      <c r="Q2490" s="30"/>
      <c r="R2490" s="22" t="s">
        <v>8629</v>
      </c>
      <c r="S2490" s="22" t="s">
        <v>435</v>
      </c>
      <c r="T2490" s="21" t="str">
        <f>HYPERLINK("https://miland.ru/api/getInfo/image/859299e4-bc6e-11eb-a205-ac1f6b442185")</f>
        <v>https://miland.ru/api/getInfo/image/859299e4-bc6e-11eb-a205-ac1f6b442185</v>
      </c>
      <c r="U2490" s="21"/>
      <c r="V2490" s="21" t="s">
        <v>1931</v>
      </c>
      <c r="W2490" s="21" t="s">
        <v>1666</v>
      </c>
      <c r="X2490" s="21"/>
      <c r="Y2490" s="21" t="s">
        <v>41</v>
      </c>
      <c r="Z2490" s="21"/>
      <c r="AA2490" s="21" t="str">
        <f>HYPERLINK("https://miland.ru/api/getInfo/item/859299e4-bc6e-11eb-a205-ac1f6b442185")</f>
        <v>https://miland.ru/api/getInfo/item/859299e4-bc6e-11eb-a205-ac1f6b442185</v>
      </c>
      <c r="AB2490" s="21" t="s">
        <v>50</v>
      </c>
      <c r="AC2490" s="21"/>
      <c r="AD2490" s="21"/>
    </row>
    <row r="2491" spans="2:31" s="1" customFormat="1" ht="96.3" customHeight="1" outlineLevel="5">
      <c r="B2491" s="57">
        <v>1940</v>
      </c>
      <c r="C2491" s="21" t="s">
        <v>8630</v>
      </c>
      <c r="D2491" s="72" t="s">
        <v>8631</v>
      </c>
      <c r="E2491" s="72"/>
      <c r="F2491" s="72"/>
      <c r="G2491" s="72"/>
      <c r="H2491" s="22" t="s">
        <v>8632</v>
      </c>
      <c r="I2491" s="27">
        <v>40</v>
      </c>
      <c r="J2491" s="22"/>
      <c r="K2491" s="20">
        <v>20</v>
      </c>
      <c r="L2491" s="24">
        <v>70.47</v>
      </c>
      <c r="M2491" s="11"/>
      <c r="N2491" s="22">
        <f>L2491*M2491</f>
        <v>0</v>
      </c>
      <c r="O2491" s="25">
        <f>0.024*M2491</f>
        <v>0</v>
      </c>
      <c r="P2491" s="26">
        <f>0.00005*M2491</f>
        <v>0</v>
      </c>
      <c r="Q2491" s="30"/>
      <c r="R2491" s="22" t="s">
        <v>8633</v>
      </c>
      <c r="S2491" s="22" t="s">
        <v>435</v>
      </c>
      <c r="T2491" s="21" t="str">
        <f>HYPERLINK("https://miland.ru/api/getInfo/image/d3806b0a-bc6d-11eb-a205-ac1f6b442185")</f>
        <v>https://miland.ru/api/getInfo/image/d3806b0a-bc6d-11eb-a205-ac1f6b442185</v>
      </c>
      <c r="U2491" s="21"/>
      <c r="V2491" s="21" t="s">
        <v>1931</v>
      </c>
      <c r="W2491" s="21" t="s">
        <v>1666</v>
      </c>
      <c r="X2491" s="21"/>
      <c r="Y2491" s="21" t="s">
        <v>41</v>
      </c>
      <c r="Z2491" s="21"/>
      <c r="AA2491" s="21" t="str">
        <f>HYPERLINK("https://miland.ru/api/getInfo/item/d3806b0a-bc6d-11eb-a205-ac1f6b442185")</f>
        <v>https://miland.ru/api/getInfo/item/d3806b0a-bc6d-11eb-a205-ac1f6b442185</v>
      </c>
      <c r="AB2491" s="21" t="s">
        <v>50</v>
      </c>
      <c r="AC2491" s="21"/>
      <c r="AD2491" s="21"/>
    </row>
    <row r="2492" spans="2:31" s="1" customFormat="1" ht="96.3" customHeight="1" outlineLevel="5">
      <c r="B2492" s="57">
        <v>1941</v>
      </c>
      <c r="C2492" s="21" t="s">
        <v>8634</v>
      </c>
      <c r="D2492" s="72" t="s">
        <v>8635</v>
      </c>
      <c r="E2492" s="72"/>
      <c r="F2492" s="72"/>
      <c r="G2492" s="72"/>
      <c r="H2492" s="22" t="s">
        <v>8636</v>
      </c>
      <c r="I2492" s="27">
        <v>60</v>
      </c>
      <c r="J2492" s="22"/>
      <c r="K2492" s="20">
        <v>20</v>
      </c>
      <c r="L2492" s="24">
        <v>70.47</v>
      </c>
      <c r="M2492" s="11"/>
      <c r="N2492" s="22">
        <f>L2492*M2492</f>
        <v>0</v>
      </c>
      <c r="O2492" s="25">
        <f>0.024*M2492</f>
        <v>0</v>
      </c>
      <c r="P2492" s="26">
        <f>0.00005*M2492</f>
        <v>0</v>
      </c>
      <c r="Q2492" s="30"/>
      <c r="R2492" s="22" t="s">
        <v>8637</v>
      </c>
      <c r="S2492" s="22" t="s">
        <v>435</v>
      </c>
      <c r="T2492" s="21" t="str">
        <f>HYPERLINK("https://miland.ru/api/getInfo/image/cc643b2d-bc6e-11eb-a205-ac1f6b442185")</f>
        <v>https://miland.ru/api/getInfo/image/cc643b2d-bc6e-11eb-a205-ac1f6b442185</v>
      </c>
      <c r="U2492" s="21"/>
      <c r="V2492" s="21" t="s">
        <v>1931</v>
      </c>
      <c r="W2492" s="21" t="s">
        <v>1666</v>
      </c>
      <c r="X2492" s="21"/>
      <c r="Y2492" s="21" t="s">
        <v>41</v>
      </c>
      <c r="Z2492" s="21"/>
      <c r="AA2492" s="21" t="str">
        <f>HYPERLINK("https://miland.ru/api/getInfo/item/cc643b2d-bc6e-11eb-a205-ac1f6b442185")</f>
        <v>https://miland.ru/api/getInfo/item/cc643b2d-bc6e-11eb-a205-ac1f6b442185</v>
      </c>
      <c r="AB2492" s="21" t="s">
        <v>50</v>
      </c>
      <c r="AC2492" s="21"/>
      <c r="AD2492" s="21"/>
    </row>
    <row r="2493" spans="2:31" ht="12" customHeight="1" outlineLevel="2">
      <c r="B2493" s="69" t="s">
        <v>8638</v>
      </c>
      <c r="C2493" s="69"/>
      <c r="D2493" s="69"/>
      <c r="E2493" s="69"/>
      <c r="F2493" s="69"/>
      <c r="G2493" s="69"/>
    </row>
    <row r="2494" spans="2:31" ht="12" customHeight="1" outlineLevel="3">
      <c r="B2494" s="70" t="s">
        <v>8639</v>
      </c>
      <c r="C2494" s="70"/>
      <c r="D2494" s="70"/>
      <c r="E2494" s="70"/>
      <c r="F2494" s="70"/>
      <c r="G2494" s="70"/>
    </row>
    <row r="2495" spans="2:31" ht="12" customHeight="1" outlineLevel="4">
      <c r="B2495" s="70" t="s">
        <v>8640</v>
      </c>
      <c r="C2495" s="70"/>
      <c r="D2495" s="70"/>
      <c r="E2495" s="70"/>
      <c r="F2495" s="70"/>
      <c r="G2495" s="70"/>
    </row>
    <row r="2496" spans="2:31" ht="12" customHeight="1" outlineLevel="5">
      <c r="B2496" s="70" t="s">
        <v>8641</v>
      </c>
      <c r="C2496" s="70"/>
      <c r="D2496" s="70"/>
      <c r="E2496" s="70"/>
      <c r="F2496" s="70"/>
      <c r="G2496" s="70"/>
    </row>
    <row r="2497" spans="2:31" s="1" customFormat="1" ht="96.3" customHeight="1" outlineLevel="6">
      <c r="B2497" s="58">
        <v>1942</v>
      </c>
      <c r="C2497" s="7" t="s">
        <v>8642</v>
      </c>
      <c r="D2497" s="71" t="s">
        <v>8643</v>
      </c>
      <c r="E2497" s="71"/>
      <c r="F2497" s="71"/>
      <c r="G2497" s="71"/>
      <c r="H2497" s="8" t="s">
        <v>8644</v>
      </c>
      <c r="I2497" s="9" t="s">
        <v>36</v>
      </c>
      <c r="J2497" s="8"/>
      <c r="K2497" s="6">
        <v>1</v>
      </c>
      <c r="L2497" s="10">
        <v>586.5</v>
      </c>
      <c r="M2497" s="11"/>
      <c r="N2497" s="8">
        <f>L2497*M2497</f>
        <v>0</v>
      </c>
      <c r="O2497" s="8">
        <v>0</v>
      </c>
      <c r="P2497" s="8">
        <v>0</v>
      </c>
      <c r="Q2497" s="17" t="s">
        <v>37</v>
      </c>
      <c r="R2497" s="8" t="s">
        <v>8645</v>
      </c>
      <c r="S2497" s="8"/>
      <c r="T2497" s="7" t="str">
        <f>HYPERLINK("https://miland.ru/api/getInfo/image/14d668f6-2817-11f1-a291-00155d82e908")</f>
        <v>https://miland.ru/api/getInfo/image/14d668f6-2817-11f1-a291-00155d82e908</v>
      </c>
      <c r="U2497" s="7"/>
      <c r="V2497" s="7"/>
      <c r="W2497" s="7" t="s">
        <v>8646</v>
      </c>
      <c r="X2497" s="7"/>
      <c r="Y2497" s="7" t="s">
        <v>41</v>
      </c>
      <c r="Z2497" s="7"/>
      <c r="AA2497" s="7" t="str">
        <f>HYPERLINK("https://miland.ru/api/getInfo/item/14d668f6-2817-11f1-a291-00155d82e908")</f>
        <v>https://miland.ru/api/getInfo/item/14d668f6-2817-11f1-a291-00155d82e908</v>
      </c>
      <c r="AB2497" s="7" t="s">
        <v>42</v>
      </c>
      <c r="AC2497" s="7"/>
      <c r="AD2497" s="7"/>
      <c r="AE2497" s="54"/>
    </row>
    <row r="2498" spans="2:31" s="1" customFormat="1" ht="96.3" customHeight="1" outlineLevel="6">
      <c r="B2498" s="58">
        <v>1943</v>
      </c>
      <c r="C2498" s="7" t="s">
        <v>8647</v>
      </c>
      <c r="D2498" s="71" t="s">
        <v>8648</v>
      </c>
      <c r="E2498" s="71"/>
      <c r="F2498" s="71"/>
      <c r="G2498" s="71"/>
      <c r="H2498" s="8" t="s">
        <v>8649</v>
      </c>
      <c r="I2498" s="9" t="s">
        <v>36</v>
      </c>
      <c r="J2498" s="8"/>
      <c r="K2498" s="6">
        <v>1</v>
      </c>
      <c r="L2498" s="10">
        <v>586.5</v>
      </c>
      <c r="M2498" s="11"/>
      <c r="N2498" s="8">
        <f>L2498*M2498</f>
        <v>0</v>
      </c>
      <c r="O2498" s="8">
        <v>0</v>
      </c>
      <c r="P2498" s="8">
        <v>0</v>
      </c>
      <c r="Q2498" s="17" t="s">
        <v>37</v>
      </c>
      <c r="R2498" s="8" t="s">
        <v>8650</v>
      </c>
      <c r="S2498" s="8"/>
      <c r="T2498" s="7" t="str">
        <f>HYPERLINK("https://miland.ru/api/getInfo/image/dfb6dc96-2816-11f1-a291-00155d82e908")</f>
        <v>https://miland.ru/api/getInfo/image/dfb6dc96-2816-11f1-a291-00155d82e908</v>
      </c>
      <c r="U2498" s="7"/>
      <c r="V2498" s="7"/>
      <c r="W2498" s="7" t="s">
        <v>8646</v>
      </c>
      <c r="X2498" s="7"/>
      <c r="Y2498" s="7" t="s">
        <v>41</v>
      </c>
      <c r="Z2498" s="7"/>
      <c r="AA2498" s="7" t="str">
        <f>HYPERLINK("https://miland.ru/api/getInfo/item/dfb6dc96-2816-11f1-a291-00155d82e908")</f>
        <v>https://miland.ru/api/getInfo/item/dfb6dc96-2816-11f1-a291-00155d82e908</v>
      </c>
      <c r="AB2498" s="7" t="s">
        <v>42</v>
      </c>
      <c r="AC2498" s="7"/>
      <c r="AD2498" s="7"/>
      <c r="AE2498" s="54"/>
    </row>
    <row r="2499" spans="2:31" ht="12" customHeight="1" outlineLevel="5">
      <c r="B2499" s="70" t="s">
        <v>8651</v>
      </c>
      <c r="C2499" s="70"/>
      <c r="D2499" s="70"/>
      <c r="E2499" s="70"/>
      <c r="F2499" s="70"/>
      <c r="G2499" s="70"/>
    </row>
    <row r="2500" spans="2:31" ht="12" customHeight="1" outlineLevel="6">
      <c r="B2500" s="70" t="s">
        <v>8652</v>
      </c>
      <c r="C2500" s="70"/>
      <c r="D2500" s="70"/>
      <c r="E2500" s="70"/>
      <c r="F2500" s="70"/>
      <c r="G2500" s="70"/>
    </row>
    <row r="2501" spans="2:31" s="1" customFormat="1" ht="96.3" customHeight="1" outlineLevel="7">
      <c r="B2501" s="58">
        <v>1944</v>
      </c>
      <c r="C2501" s="7" t="s">
        <v>8653</v>
      </c>
      <c r="D2501" s="71" t="s">
        <v>8654</v>
      </c>
      <c r="E2501" s="71"/>
      <c r="F2501" s="71"/>
      <c r="G2501" s="71"/>
      <c r="H2501" s="8" t="s">
        <v>8655</v>
      </c>
      <c r="I2501" s="9" t="s">
        <v>36</v>
      </c>
      <c r="J2501" s="8"/>
      <c r="K2501" s="6">
        <v>1</v>
      </c>
      <c r="L2501" s="10">
        <v>557.11</v>
      </c>
      <c r="M2501" s="11"/>
      <c r="N2501" s="8">
        <f>L2501*M2501</f>
        <v>0</v>
      </c>
      <c r="O2501" s="8">
        <v>0</v>
      </c>
      <c r="P2501" s="8">
        <v>0</v>
      </c>
      <c r="Q2501" s="17" t="s">
        <v>37</v>
      </c>
      <c r="R2501" s="8" t="s">
        <v>8656</v>
      </c>
      <c r="S2501" s="8"/>
      <c r="T2501" s="7" t="str">
        <f>HYPERLINK("https://miland.ru/api/getInfo/image/55e3028e-2815-11f1-a291-00155d82e908")</f>
        <v>https://miland.ru/api/getInfo/image/55e3028e-2815-11f1-a291-00155d82e908</v>
      </c>
      <c r="U2501" s="7"/>
      <c r="V2501" s="7"/>
      <c r="W2501" s="7" t="s">
        <v>8646</v>
      </c>
      <c r="X2501" s="7"/>
      <c r="Y2501" s="7" t="s">
        <v>41</v>
      </c>
      <c r="Z2501" s="7"/>
      <c r="AA2501" s="7" t="str">
        <f>HYPERLINK("https://miland.ru/api/getInfo/item/55e3028e-2815-11f1-a291-00155d82e908")</f>
        <v>https://miland.ru/api/getInfo/item/55e3028e-2815-11f1-a291-00155d82e908</v>
      </c>
      <c r="AB2501" s="7" t="s">
        <v>42</v>
      </c>
      <c r="AC2501" s="7"/>
      <c r="AD2501" s="7"/>
      <c r="AE2501" s="54"/>
    </row>
    <row r="2502" spans="2:31" s="1" customFormat="1" ht="96.3" customHeight="1" outlineLevel="7">
      <c r="B2502" s="58">
        <v>1945</v>
      </c>
      <c r="C2502" s="7" t="s">
        <v>8657</v>
      </c>
      <c r="D2502" s="71" t="s">
        <v>8658</v>
      </c>
      <c r="E2502" s="71"/>
      <c r="F2502" s="71"/>
      <c r="G2502" s="71"/>
      <c r="H2502" s="8" t="s">
        <v>8659</v>
      </c>
      <c r="I2502" s="9" t="s">
        <v>36</v>
      </c>
      <c r="J2502" s="8"/>
      <c r="K2502" s="6">
        <v>1</v>
      </c>
      <c r="L2502" s="10">
        <v>650.67999999999995</v>
      </c>
      <c r="M2502" s="11"/>
      <c r="N2502" s="8">
        <f>L2502*M2502</f>
        <v>0</v>
      </c>
      <c r="O2502" s="8">
        <v>0</v>
      </c>
      <c r="P2502" s="8">
        <v>0</v>
      </c>
      <c r="Q2502" s="17" t="s">
        <v>37</v>
      </c>
      <c r="R2502" s="8" t="s">
        <v>8660</v>
      </c>
      <c r="S2502" s="8"/>
      <c r="T2502" s="7" t="str">
        <f>HYPERLINK("https://miland.ru/api/getInfo/image/64f272d5-2815-11f1-a291-00155d82e908")</f>
        <v>https://miland.ru/api/getInfo/image/64f272d5-2815-11f1-a291-00155d82e908</v>
      </c>
      <c r="U2502" s="7"/>
      <c r="V2502" s="7"/>
      <c r="W2502" s="7" t="s">
        <v>8646</v>
      </c>
      <c r="X2502" s="7"/>
      <c r="Y2502" s="7" t="s">
        <v>41</v>
      </c>
      <c r="Z2502" s="7"/>
      <c r="AA2502" s="7" t="str">
        <f>HYPERLINK("https://miland.ru/api/getInfo/item/64f272d5-2815-11f1-a291-00155d82e908")</f>
        <v>https://miland.ru/api/getInfo/item/64f272d5-2815-11f1-a291-00155d82e908</v>
      </c>
      <c r="AB2502" s="7" t="s">
        <v>42</v>
      </c>
      <c r="AC2502" s="7"/>
      <c r="AD2502" s="7"/>
      <c r="AE2502" s="54"/>
    </row>
    <row r="2503" spans="2:31" ht="12" customHeight="1" outlineLevel="6">
      <c r="B2503" s="70" t="s">
        <v>8661</v>
      </c>
      <c r="C2503" s="70"/>
      <c r="D2503" s="70"/>
      <c r="E2503" s="70"/>
      <c r="F2503" s="70"/>
      <c r="G2503" s="70"/>
    </row>
    <row r="2504" spans="2:31" s="1" customFormat="1" ht="96.3" customHeight="1" outlineLevel="7">
      <c r="B2504" s="58">
        <v>1946</v>
      </c>
      <c r="C2504" s="7" t="s">
        <v>8662</v>
      </c>
      <c r="D2504" s="71" t="s">
        <v>8663</v>
      </c>
      <c r="E2504" s="71"/>
      <c r="F2504" s="71"/>
      <c r="G2504" s="71"/>
      <c r="H2504" s="8" t="s">
        <v>8664</v>
      </c>
      <c r="I2504" s="9" t="s">
        <v>36</v>
      </c>
      <c r="J2504" s="8"/>
      <c r="K2504" s="6">
        <v>1</v>
      </c>
      <c r="L2504" s="10">
        <v>557.11</v>
      </c>
      <c r="M2504" s="11"/>
      <c r="N2504" s="8">
        <f>L2504*M2504</f>
        <v>0</v>
      </c>
      <c r="O2504" s="8">
        <v>0</v>
      </c>
      <c r="P2504" s="8">
        <v>0</v>
      </c>
      <c r="Q2504" s="17" t="s">
        <v>37</v>
      </c>
      <c r="R2504" s="8" t="s">
        <v>8665</v>
      </c>
      <c r="S2504" s="8"/>
      <c r="T2504" s="7" t="str">
        <f>HYPERLINK("https://miland.ru/api/getInfo/image/14056f48-2815-11f1-a291-00155d82e908")</f>
        <v>https://miland.ru/api/getInfo/image/14056f48-2815-11f1-a291-00155d82e908</v>
      </c>
      <c r="U2504" s="7"/>
      <c r="V2504" s="7"/>
      <c r="W2504" s="7" t="s">
        <v>8646</v>
      </c>
      <c r="X2504" s="7"/>
      <c r="Y2504" s="7" t="s">
        <v>41</v>
      </c>
      <c r="Z2504" s="7"/>
      <c r="AA2504" s="7" t="str">
        <f>HYPERLINK("https://miland.ru/api/getInfo/item/14056f48-2815-11f1-a291-00155d82e908")</f>
        <v>https://miland.ru/api/getInfo/item/14056f48-2815-11f1-a291-00155d82e908</v>
      </c>
      <c r="AB2504" s="7" t="s">
        <v>42</v>
      </c>
      <c r="AC2504" s="7"/>
      <c r="AD2504" s="7"/>
      <c r="AE2504" s="54"/>
    </row>
    <row r="2505" spans="2:31" s="1" customFormat="1" ht="96.3" customHeight="1" outlineLevel="7">
      <c r="B2505" s="58">
        <v>1947</v>
      </c>
      <c r="C2505" s="7" t="s">
        <v>8666</v>
      </c>
      <c r="D2505" s="71" t="s">
        <v>8667</v>
      </c>
      <c r="E2505" s="71"/>
      <c r="F2505" s="71"/>
      <c r="G2505" s="71"/>
      <c r="H2505" s="8" t="s">
        <v>8668</v>
      </c>
      <c r="I2505" s="9" t="s">
        <v>36</v>
      </c>
      <c r="J2505" s="8"/>
      <c r="K2505" s="6">
        <v>1</v>
      </c>
      <c r="L2505" s="10">
        <v>650.67999999999995</v>
      </c>
      <c r="M2505" s="11"/>
      <c r="N2505" s="8">
        <f>L2505*M2505</f>
        <v>0</v>
      </c>
      <c r="O2505" s="8">
        <v>0</v>
      </c>
      <c r="P2505" s="8">
        <v>0</v>
      </c>
      <c r="Q2505" s="17" t="s">
        <v>37</v>
      </c>
      <c r="R2505" s="8" t="s">
        <v>8669</v>
      </c>
      <c r="S2505" s="8"/>
      <c r="T2505" s="7" t="str">
        <f>HYPERLINK("https://miland.ru/api/getInfo/image/25880254-2815-11f1-a291-00155d82e908")</f>
        <v>https://miland.ru/api/getInfo/image/25880254-2815-11f1-a291-00155d82e908</v>
      </c>
      <c r="U2505" s="7"/>
      <c r="V2505" s="7"/>
      <c r="W2505" s="7" t="s">
        <v>8646</v>
      </c>
      <c r="X2505" s="7"/>
      <c r="Y2505" s="7" t="s">
        <v>41</v>
      </c>
      <c r="Z2505" s="7"/>
      <c r="AA2505" s="7" t="str">
        <f>HYPERLINK("https://miland.ru/api/getInfo/item/25880254-2815-11f1-a291-00155d82e908")</f>
        <v>https://miland.ru/api/getInfo/item/25880254-2815-11f1-a291-00155d82e908</v>
      </c>
      <c r="AB2505" s="7" t="s">
        <v>42</v>
      </c>
      <c r="AC2505" s="7"/>
      <c r="AD2505" s="7"/>
      <c r="AE2505" s="54"/>
    </row>
    <row r="2506" spans="2:31" ht="12" customHeight="1" outlineLevel="6">
      <c r="B2506" s="70" t="s">
        <v>8670</v>
      </c>
      <c r="C2506" s="70"/>
      <c r="D2506" s="70"/>
      <c r="E2506" s="70"/>
      <c r="F2506" s="70"/>
      <c r="G2506" s="70"/>
    </row>
    <row r="2507" spans="2:31" s="1" customFormat="1" ht="96.3" customHeight="1" outlineLevel="7">
      <c r="B2507" s="58">
        <v>1948</v>
      </c>
      <c r="C2507" s="7" t="s">
        <v>8671</v>
      </c>
      <c r="D2507" s="71" t="s">
        <v>8672</v>
      </c>
      <c r="E2507" s="71"/>
      <c r="F2507" s="71"/>
      <c r="G2507" s="71"/>
      <c r="H2507" s="8" t="s">
        <v>8673</v>
      </c>
      <c r="I2507" s="9" t="s">
        <v>36</v>
      </c>
      <c r="J2507" s="8"/>
      <c r="K2507" s="6">
        <v>1</v>
      </c>
      <c r="L2507" s="10">
        <v>650.67999999999995</v>
      </c>
      <c r="M2507" s="11"/>
      <c r="N2507" s="8">
        <f>L2507*M2507</f>
        <v>0</v>
      </c>
      <c r="O2507" s="8">
        <v>0</v>
      </c>
      <c r="P2507" s="8">
        <v>0</v>
      </c>
      <c r="Q2507" s="17" t="s">
        <v>37</v>
      </c>
      <c r="R2507" s="8" t="s">
        <v>8674</v>
      </c>
      <c r="S2507" s="8"/>
      <c r="T2507" s="7" t="str">
        <f>HYPERLINK("https://miland.ru/api/getInfo/image/b4bc2a59-2815-11f1-a291-00155d82e908")</f>
        <v>https://miland.ru/api/getInfo/image/b4bc2a59-2815-11f1-a291-00155d82e908</v>
      </c>
      <c r="U2507" s="7"/>
      <c r="V2507" s="7"/>
      <c r="W2507" s="7" t="s">
        <v>8646</v>
      </c>
      <c r="X2507" s="7"/>
      <c r="Y2507" s="7" t="s">
        <v>41</v>
      </c>
      <c r="Z2507" s="7"/>
      <c r="AA2507" s="7" t="str">
        <f>HYPERLINK("https://miland.ru/api/getInfo/item/b4bc2a59-2815-11f1-a291-00155d82e908")</f>
        <v>https://miland.ru/api/getInfo/item/b4bc2a59-2815-11f1-a291-00155d82e908</v>
      </c>
      <c r="AB2507" s="7" t="s">
        <v>42</v>
      </c>
      <c r="AC2507" s="7"/>
      <c r="AD2507" s="7"/>
      <c r="AE2507" s="54"/>
    </row>
    <row r="2508" spans="2:31" ht="12" customHeight="1" outlineLevel="5">
      <c r="B2508" s="70" t="s">
        <v>8675</v>
      </c>
      <c r="C2508" s="70"/>
      <c r="D2508" s="70"/>
      <c r="E2508" s="70"/>
      <c r="F2508" s="70"/>
      <c r="G2508" s="70"/>
    </row>
    <row r="2509" spans="2:31" s="1" customFormat="1" ht="96.3" customHeight="1" outlineLevel="6">
      <c r="B2509" s="58">
        <v>1949</v>
      </c>
      <c r="C2509" s="7" t="s">
        <v>8676</v>
      </c>
      <c r="D2509" s="71" t="s">
        <v>8677</v>
      </c>
      <c r="E2509" s="71"/>
      <c r="F2509" s="71"/>
      <c r="G2509" s="71"/>
      <c r="H2509" s="8" t="s">
        <v>8678</v>
      </c>
      <c r="I2509" s="9" t="s">
        <v>36</v>
      </c>
      <c r="J2509" s="8"/>
      <c r="K2509" s="6">
        <v>1</v>
      </c>
      <c r="L2509" s="10">
        <v>650.67999999999995</v>
      </c>
      <c r="M2509" s="11"/>
      <c r="N2509" s="8">
        <f>L2509*M2509</f>
        <v>0</v>
      </c>
      <c r="O2509" s="8">
        <v>0</v>
      </c>
      <c r="P2509" s="8">
        <v>0</v>
      </c>
      <c r="Q2509" s="17" t="s">
        <v>37</v>
      </c>
      <c r="R2509" s="8" t="s">
        <v>8679</v>
      </c>
      <c r="S2509" s="8"/>
      <c r="T2509" s="7" t="str">
        <f>HYPERLINK("https://miland.ru/api/getInfo/image/eabd0322-2814-11f1-a291-00155d82e908")</f>
        <v>https://miland.ru/api/getInfo/image/eabd0322-2814-11f1-a291-00155d82e908</v>
      </c>
      <c r="U2509" s="7"/>
      <c r="V2509" s="7"/>
      <c r="W2509" s="7" t="s">
        <v>8646</v>
      </c>
      <c r="X2509" s="7"/>
      <c r="Y2509" s="7" t="s">
        <v>41</v>
      </c>
      <c r="Z2509" s="7"/>
      <c r="AA2509" s="7" t="str">
        <f>HYPERLINK("https://miland.ru/api/getInfo/item/eabd0322-2814-11f1-a291-00155d82e908")</f>
        <v>https://miland.ru/api/getInfo/item/eabd0322-2814-11f1-a291-00155d82e908</v>
      </c>
      <c r="AB2509" s="7" t="s">
        <v>42</v>
      </c>
      <c r="AC2509" s="7"/>
      <c r="AD2509" s="7"/>
      <c r="AE2509" s="54"/>
    </row>
    <row r="2510" spans="2:31" s="1" customFormat="1" ht="96.3" customHeight="1" outlineLevel="6">
      <c r="B2510" s="58">
        <v>1950</v>
      </c>
      <c r="C2510" s="7" t="s">
        <v>8680</v>
      </c>
      <c r="D2510" s="71" t="s">
        <v>8681</v>
      </c>
      <c r="E2510" s="71"/>
      <c r="F2510" s="71"/>
      <c r="G2510" s="71"/>
      <c r="H2510" s="8" t="s">
        <v>8682</v>
      </c>
      <c r="I2510" s="9" t="s">
        <v>36</v>
      </c>
      <c r="J2510" s="8"/>
      <c r="K2510" s="6">
        <v>1</v>
      </c>
      <c r="L2510" s="10">
        <v>752.97</v>
      </c>
      <c r="M2510" s="11"/>
      <c r="N2510" s="8">
        <f>L2510*M2510</f>
        <v>0</v>
      </c>
      <c r="O2510" s="8">
        <v>0</v>
      </c>
      <c r="P2510" s="8">
        <v>0</v>
      </c>
      <c r="Q2510" s="17" t="s">
        <v>37</v>
      </c>
      <c r="R2510" s="8" t="s">
        <v>8683</v>
      </c>
      <c r="S2510" s="8"/>
      <c r="T2510" s="7" t="str">
        <f>HYPERLINK("https://miland.ru/api/getInfo/image/fa4666f2-2814-11f1-a291-00155d82e908")</f>
        <v>https://miland.ru/api/getInfo/image/fa4666f2-2814-11f1-a291-00155d82e908</v>
      </c>
      <c r="U2510" s="7"/>
      <c r="V2510" s="7"/>
      <c r="W2510" s="7" t="s">
        <v>8646</v>
      </c>
      <c r="X2510" s="7"/>
      <c r="Y2510" s="7" t="s">
        <v>41</v>
      </c>
      <c r="Z2510" s="7"/>
      <c r="AA2510" s="7" t="str">
        <f>HYPERLINK("https://miland.ru/api/getInfo/item/fa4666f2-2814-11f1-a291-00155d82e908")</f>
        <v>https://miland.ru/api/getInfo/item/fa4666f2-2814-11f1-a291-00155d82e908</v>
      </c>
      <c r="AB2510" s="7" t="s">
        <v>42</v>
      </c>
      <c r="AC2510" s="7"/>
      <c r="AD2510" s="7"/>
      <c r="AE2510" s="54"/>
    </row>
    <row r="2511" spans="2:31" ht="12" customHeight="1" outlineLevel="5">
      <c r="B2511" s="70" t="s">
        <v>8684</v>
      </c>
      <c r="C2511" s="70"/>
      <c r="D2511" s="70"/>
      <c r="E2511" s="70"/>
      <c r="F2511" s="70"/>
      <c r="G2511" s="70"/>
    </row>
    <row r="2512" spans="2:31" ht="12" customHeight="1" outlineLevel="6">
      <c r="B2512" s="70" t="s">
        <v>8685</v>
      </c>
      <c r="C2512" s="70"/>
      <c r="D2512" s="70"/>
      <c r="E2512" s="70"/>
      <c r="F2512" s="70"/>
      <c r="G2512" s="70"/>
    </row>
    <row r="2513" spans="2:31" s="1" customFormat="1" ht="96.3" customHeight="1" outlineLevel="7">
      <c r="B2513" s="57">
        <v>1951</v>
      </c>
      <c r="C2513" s="21" t="s">
        <v>8686</v>
      </c>
      <c r="D2513" s="72" t="s">
        <v>8687</v>
      </c>
      <c r="E2513" s="72"/>
      <c r="F2513" s="72"/>
      <c r="G2513" s="72"/>
      <c r="H2513" s="22" t="s">
        <v>8688</v>
      </c>
      <c r="I2513" s="23" t="s">
        <v>36</v>
      </c>
      <c r="J2513" s="22"/>
      <c r="K2513" s="20">
        <v>1</v>
      </c>
      <c r="L2513" s="24">
        <v>557.11</v>
      </c>
      <c r="M2513" s="11"/>
      <c r="N2513" s="22">
        <f>L2513*M2513</f>
        <v>0</v>
      </c>
      <c r="O2513" s="25">
        <f>0.338*M2513</f>
        <v>0</v>
      </c>
      <c r="P2513" s="26">
        <f>0.00127*M2513</f>
        <v>0</v>
      </c>
      <c r="Q2513" s="30"/>
      <c r="R2513" s="22" t="s">
        <v>8689</v>
      </c>
      <c r="S2513" s="22"/>
      <c r="T2513" s="21" t="str">
        <f>HYPERLINK("https://miland.ru/api/getInfo/image/88d1dbd3-15ca-11f0-a279-00155d82e908")</f>
        <v>https://miland.ru/api/getInfo/image/88d1dbd3-15ca-11f0-a279-00155d82e908</v>
      </c>
      <c r="U2513" s="21"/>
      <c r="V2513" s="21"/>
      <c r="W2513" s="21" t="s">
        <v>8646</v>
      </c>
      <c r="X2513" s="21"/>
      <c r="Y2513" s="21" t="s">
        <v>41</v>
      </c>
      <c r="Z2513" s="21"/>
      <c r="AA2513" s="21" t="str">
        <f>HYPERLINK("https://miland.ru/api/getInfo/item/88d1dbd3-15ca-11f0-a279-00155d82e908")</f>
        <v>https://miland.ru/api/getInfo/item/88d1dbd3-15ca-11f0-a279-00155d82e908</v>
      </c>
      <c r="AB2513" s="21" t="s">
        <v>42</v>
      </c>
      <c r="AC2513" s="21"/>
      <c r="AD2513" s="21"/>
    </row>
    <row r="2514" spans="2:31" s="1" customFormat="1" ht="96.3" customHeight="1" outlineLevel="7">
      <c r="B2514" s="57">
        <v>1952</v>
      </c>
      <c r="C2514" s="21" t="s">
        <v>8690</v>
      </c>
      <c r="D2514" s="72" t="s">
        <v>8691</v>
      </c>
      <c r="E2514" s="72"/>
      <c r="F2514" s="72"/>
      <c r="G2514" s="72"/>
      <c r="H2514" s="22" t="s">
        <v>8692</v>
      </c>
      <c r="I2514" s="23" t="s">
        <v>36</v>
      </c>
      <c r="J2514" s="22"/>
      <c r="K2514" s="20">
        <v>1</v>
      </c>
      <c r="L2514" s="24">
        <v>650.67999999999995</v>
      </c>
      <c r="M2514" s="11"/>
      <c r="N2514" s="22">
        <f>L2514*M2514</f>
        <v>0</v>
      </c>
      <c r="O2514" s="25">
        <f>0.447*M2514</f>
        <v>0</v>
      </c>
      <c r="P2514" s="26">
        <f>0.00171*M2514</f>
        <v>0</v>
      </c>
      <c r="Q2514" s="30"/>
      <c r="R2514" s="22" t="s">
        <v>8693</v>
      </c>
      <c r="S2514" s="22"/>
      <c r="T2514" s="21" t="str">
        <f>HYPERLINK("https://miland.ru/api/getInfo/image/1f5a08a2-15cb-11f0-a279-00155d82e908")</f>
        <v>https://miland.ru/api/getInfo/image/1f5a08a2-15cb-11f0-a279-00155d82e908</v>
      </c>
      <c r="U2514" s="21"/>
      <c r="V2514" s="21"/>
      <c r="W2514" s="21" t="s">
        <v>8646</v>
      </c>
      <c r="X2514" s="21"/>
      <c r="Y2514" s="21" t="s">
        <v>41</v>
      </c>
      <c r="Z2514" s="21"/>
      <c r="AA2514" s="21" t="str">
        <f>HYPERLINK("https://miland.ru/api/getInfo/item/1f5a08a2-15cb-11f0-a279-00155d82e908")</f>
        <v>https://miland.ru/api/getInfo/item/1f5a08a2-15cb-11f0-a279-00155d82e908</v>
      </c>
      <c r="AB2514" s="21" t="s">
        <v>42</v>
      </c>
      <c r="AC2514" s="21"/>
      <c r="AD2514" s="21"/>
    </row>
    <row r="2515" spans="2:31" ht="12" customHeight="1" outlineLevel="6">
      <c r="B2515" s="70" t="s">
        <v>8694</v>
      </c>
      <c r="C2515" s="70"/>
      <c r="D2515" s="70"/>
      <c r="E2515" s="70"/>
      <c r="F2515" s="70"/>
      <c r="G2515" s="70"/>
    </row>
    <row r="2516" spans="2:31" s="1" customFormat="1" ht="96.3" customHeight="1" outlineLevel="7">
      <c r="B2516" s="58">
        <v>1953</v>
      </c>
      <c r="C2516" s="7" t="s">
        <v>8695</v>
      </c>
      <c r="D2516" s="71" t="s">
        <v>8696</v>
      </c>
      <c r="E2516" s="71"/>
      <c r="F2516" s="71"/>
      <c r="G2516" s="71"/>
      <c r="H2516" s="8" t="s">
        <v>8697</v>
      </c>
      <c r="I2516" s="9" t="s">
        <v>36</v>
      </c>
      <c r="J2516" s="8"/>
      <c r="K2516" s="6">
        <v>1</v>
      </c>
      <c r="L2516" s="10">
        <v>557.11</v>
      </c>
      <c r="M2516" s="11"/>
      <c r="N2516" s="8">
        <f>L2516*M2516</f>
        <v>0</v>
      </c>
      <c r="O2516" s="8">
        <v>0</v>
      </c>
      <c r="P2516" s="8">
        <v>0</v>
      </c>
      <c r="Q2516" s="17" t="s">
        <v>37</v>
      </c>
      <c r="R2516" s="8" t="s">
        <v>8698</v>
      </c>
      <c r="S2516" s="8"/>
      <c r="T2516" s="7" t="str">
        <f>HYPERLINK("https://miland.ru/api/getInfo/image/391de106-2814-11f1-a291-00155d82e908")</f>
        <v>https://miland.ru/api/getInfo/image/391de106-2814-11f1-a291-00155d82e908</v>
      </c>
      <c r="U2516" s="7"/>
      <c r="V2516" s="7"/>
      <c r="W2516" s="7" t="s">
        <v>8646</v>
      </c>
      <c r="X2516" s="7"/>
      <c r="Y2516" s="7" t="s">
        <v>41</v>
      </c>
      <c r="Z2516" s="7"/>
      <c r="AA2516" s="7" t="str">
        <f>HYPERLINK("https://miland.ru/api/getInfo/item/391de106-2814-11f1-a291-00155d82e908")</f>
        <v>https://miland.ru/api/getInfo/item/391de106-2814-11f1-a291-00155d82e908</v>
      </c>
      <c r="AB2516" s="7" t="s">
        <v>42</v>
      </c>
      <c r="AC2516" s="7"/>
      <c r="AD2516" s="7"/>
      <c r="AE2516" s="54"/>
    </row>
    <row r="2517" spans="2:31" s="1" customFormat="1" ht="96.3" customHeight="1" outlineLevel="7">
      <c r="B2517" s="58">
        <v>1954</v>
      </c>
      <c r="C2517" s="7" t="s">
        <v>8699</v>
      </c>
      <c r="D2517" s="71" t="s">
        <v>8700</v>
      </c>
      <c r="E2517" s="71"/>
      <c r="F2517" s="71"/>
      <c r="G2517" s="71"/>
      <c r="H2517" s="8" t="s">
        <v>8701</v>
      </c>
      <c r="I2517" s="9" t="s">
        <v>36</v>
      </c>
      <c r="J2517" s="8"/>
      <c r="K2517" s="6">
        <v>1</v>
      </c>
      <c r="L2517" s="10">
        <v>650.67999999999995</v>
      </c>
      <c r="M2517" s="11"/>
      <c r="N2517" s="8">
        <f>L2517*M2517</f>
        <v>0</v>
      </c>
      <c r="O2517" s="8">
        <v>0</v>
      </c>
      <c r="P2517" s="8">
        <v>0</v>
      </c>
      <c r="Q2517" s="17" t="s">
        <v>37</v>
      </c>
      <c r="R2517" s="8" t="s">
        <v>8702</v>
      </c>
      <c r="S2517" s="8"/>
      <c r="T2517" s="7" t="str">
        <f>HYPERLINK("https://miland.ru/api/getInfo/image/53140148-2814-11f1-a291-00155d82e908")</f>
        <v>https://miland.ru/api/getInfo/image/53140148-2814-11f1-a291-00155d82e908</v>
      </c>
      <c r="U2517" s="7"/>
      <c r="V2517" s="7"/>
      <c r="W2517" s="7" t="s">
        <v>8646</v>
      </c>
      <c r="X2517" s="7"/>
      <c r="Y2517" s="7" t="s">
        <v>41</v>
      </c>
      <c r="Z2517" s="7"/>
      <c r="AA2517" s="7" t="str">
        <f>HYPERLINK("https://miland.ru/api/getInfo/item/53140148-2814-11f1-a291-00155d82e908")</f>
        <v>https://miland.ru/api/getInfo/item/53140148-2814-11f1-a291-00155d82e908</v>
      </c>
      <c r="AB2517" s="7" t="s">
        <v>42</v>
      </c>
      <c r="AC2517" s="7"/>
      <c r="AD2517" s="7"/>
      <c r="AE2517" s="54"/>
    </row>
    <row r="2518" spans="2:31" ht="12" customHeight="1" outlineLevel="6">
      <c r="B2518" s="70" t="s">
        <v>8703</v>
      </c>
      <c r="C2518" s="70"/>
      <c r="D2518" s="70"/>
      <c r="E2518" s="70"/>
      <c r="F2518" s="70"/>
      <c r="G2518" s="70"/>
    </row>
    <row r="2519" spans="2:31" s="1" customFormat="1" ht="96.3" customHeight="1" outlineLevel="7">
      <c r="B2519" s="58">
        <v>1955</v>
      </c>
      <c r="C2519" s="7" t="s">
        <v>8704</v>
      </c>
      <c r="D2519" s="71" t="s">
        <v>8705</v>
      </c>
      <c r="E2519" s="71"/>
      <c r="F2519" s="71"/>
      <c r="G2519" s="71"/>
      <c r="H2519" s="8" t="s">
        <v>8706</v>
      </c>
      <c r="I2519" s="9" t="s">
        <v>36</v>
      </c>
      <c r="J2519" s="8"/>
      <c r="K2519" s="6">
        <v>1</v>
      </c>
      <c r="L2519" s="10">
        <v>650.67999999999995</v>
      </c>
      <c r="M2519" s="11"/>
      <c r="N2519" s="8">
        <f>L2519*M2519</f>
        <v>0</v>
      </c>
      <c r="O2519" s="8">
        <v>0</v>
      </c>
      <c r="P2519" s="8">
        <v>0</v>
      </c>
      <c r="Q2519" s="17" t="s">
        <v>37</v>
      </c>
      <c r="R2519" s="8" t="s">
        <v>8707</v>
      </c>
      <c r="S2519" s="8"/>
      <c r="T2519" s="7" t="str">
        <f>HYPERLINK("https://miland.ru/api/getInfo/image/0644acdf-2814-11f1-a291-00155d82e908")</f>
        <v>https://miland.ru/api/getInfo/image/0644acdf-2814-11f1-a291-00155d82e908</v>
      </c>
      <c r="U2519" s="7"/>
      <c r="V2519" s="7"/>
      <c r="W2519" s="7" t="s">
        <v>8646</v>
      </c>
      <c r="X2519" s="7"/>
      <c r="Y2519" s="7" t="s">
        <v>41</v>
      </c>
      <c r="Z2519" s="7"/>
      <c r="AA2519" s="7" t="str">
        <f>HYPERLINK("https://miland.ru/api/getInfo/item/0644acdf-2814-11f1-a291-00155d82e908")</f>
        <v>https://miland.ru/api/getInfo/item/0644acdf-2814-11f1-a291-00155d82e908</v>
      </c>
      <c r="AB2519" s="7" t="s">
        <v>42</v>
      </c>
      <c r="AC2519" s="7"/>
      <c r="AD2519" s="7"/>
      <c r="AE2519" s="54"/>
    </row>
    <row r="2520" spans="2:31" ht="12" customHeight="1" outlineLevel="6">
      <c r="B2520" s="70" t="s">
        <v>8708</v>
      </c>
      <c r="C2520" s="70"/>
      <c r="D2520" s="70"/>
      <c r="E2520" s="70"/>
      <c r="F2520" s="70"/>
      <c r="G2520" s="70"/>
    </row>
    <row r="2521" spans="2:31" s="1" customFormat="1" ht="96.3" customHeight="1" outlineLevel="7">
      <c r="B2521" s="57">
        <v>1956</v>
      </c>
      <c r="C2521" s="21" t="s">
        <v>8709</v>
      </c>
      <c r="D2521" s="72" t="s">
        <v>8710</v>
      </c>
      <c r="E2521" s="72"/>
      <c r="F2521" s="72"/>
      <c r="G2521" s="72"/>
      <c r="H2521" s="22" t="s">
        <v>8711</v>
      </c>
      <c r="I2521" s="23" t="s">
        <v>36</v>
      </c>
      <c r="J2521" s="22"/>
      <c r="K2521" s="20">
        <v>1</v>
      </c>
      <c r="L2521" s="24">
        <v>557.11</v>
      </c>
      <c r="M2521" s="11"/>
      <c r="N2521" s="22">
        <f>L2521*M2521</f>
        <v>0</v>
      </c>
      <c r="O2521" s="25">
        <f>0.333*M2521</f>
        <v>0</v>
      </c>
      <c r="P2521" s="26">
        <f>0.00118*M2521</f>
        <v>0</v>
      </c>
      <c r="Q2521" s="30"/>
      <c r="R2521" s="22" t="s">
        <v>8712</v>
      </c>
      <c r="S2521" s="22"/>
      <c r="T2521" s="21" t="str">
        <f>HYPERLINK("https://miland.ru/api/getInfo/image/ecd2f170-15cb-11f0-a279-00155d82e908")</f>
        <v>https://miland.ru/api/getInfo/image/ecd2f170-15cb-11f0-a279-00155d82e908</v>
      </c>
      <c r="U2521" s="21"/>
      <c r="V2521" s="21"/>
      <c r="W2521" s="21" t="s">
        <v>8646</v>
      </c>
      <c r="X2521" s="21"/>
      <c r="Y2521" s="21" t="s">
        <v>41</v>
      </c>
      <c r="Z2521" s="21"/>
      <c r="AA2521" s="21" t="str">
        <f>HYPERLINK("https://miland.ru/api/getInfo/item/ecd2f170-15cb-11f0-a279-00155d82e908")</f>
        <v>https://miland.ru/api/getInfo/item/ecd2f170-15cb-11f0-a279-00155d82e908</v>
      </c>
      <c r="AB2521" s="21" t="s">
        <v>42</v>
      </c>
      <c r="AC2521" s="21"/>
      <c r="AD2521" s="21"/>
    </row>
    <row r="2522" spans="2:31" s="1" customFormat="1" ht="96.3" customHeight="1" outlineLevel="7">
      <c r="B2522" s="57">
        <v>1957</v>
      </c>
      <c r="C2522" s="21" t="s">
        <v>8713</v>
      </c>
      <c r="D2522" s="72" t="s">
        <v>8714</v>
      </c>
      <c r="E2522" s="72"/>
      <c r="F2522" s="72"/>
      <c r="G2522" s="72"/>
      <c r="H2522" s="22" t="s">
        <v>8715</v>
      </c>
      <c r="I2522" s="23" t="s">
        <v>36</v>
      </c>
      <c r="J2522" s="22"/>
      <c r="K2522" s="20">
        <v>1</v>
      </c>
      <c r="L2522" s="24">
        <v>650.67999999999995</v>
      </c>
      <c r="M2522" s="11"/>
      <c r="N2522" s="22">
        <f>L2522*M2522</f>
        <v>0</v>
      </c>
      <c r="O2522" s="25">
        <f>0.449*M2522</f>
        <v>0</v>
      </c>
      <c r="P2522" s="26">
        <f>0.00164*M2522</f>
        <v>0</v>
      </c>
      <c r="Q2522" s="30"/>
      <c r="R2522" s="22" t="s">
        <v>8716</v>
      </c>
      <c r="S2522" s="22"/>
      <c r="T2522" s="21" t="str">
        <f>HYPERLINK("https://miland.ru/api/getInfo/image/3a3b818e-15cc-11f0-a279-00155d82e908")</f>
        <v>https://miland.ru/api/getInfo/image/3a3b818e-15cc-11f0-a279-00155d82e908</v>
      </c>
      <c r="U2522" s="21"/>
      <c r="V2522" s="21"/>
      <c r="W2522" s="21" t="s">
        <v>8646</v>
      </c>
      <c r="X2522" s="21"/>
      <c r="Y2522" s="21" t="s">
        <v>41</v>
      </c>
      <c r="Z2522" s="21"/>
      <c r="AA2522" s="21" t="str">
        <f>HYPERLINK("https://miland.ru/api/getInfo/item/3a3b818e-15cc-11f0-a279-00155d82e908")</f>
        <v>https://miland.ru/api/getInfo/item/3a3b818e-15cc-11f0-a279-00155d82e908</v>
      </c>
      <c r="AB2522" s="21" t="s">
        <v>42</v>
      </c>
      <c r="AC2522" s="21"/>
      <c r="AD2522" s="21"/>
    </row>
    <row r="2523" spans="2:31" ht="12" customHeight="1" outlineLevel="5">
      <c r="B2523" s="70" t="s">
        <v>8717</v>
      </c>
      <c r="C2523" s="70"/>
      <c r="D2523" s="70"/>
      <c r="E2523" s="70"/>
      <c r="F2523" s="70"/>
      <c r="G2523" s="70"/>
    </row>
    <row r="2524" spans="2:31" ht="12" customHeight="1" outlineLevel="6">
      <c r="B2524" s="70" t="s">
        <v>8718</v>
      </c>
      <c r="C2524" s="70"/>
      <c r="D2524" s="70"/>
      <c r="E2524" s="70"/>
      <c r="F2524" s="70"/>
      <c r="G2524" s="70"/>
    </row>
    <row r="2525" spans="2:31" s="1" customFormat="1" ht="96.3" customHeight="1" outlineLevel="7">
      <c r="B2525" s="58">
        <v>1958</v>
      </c>
      <c r="C2525" s="7" t="s">
        <v>8719</v>
      </c>
      <c r="D2525" s="71" t="s">
        <v>8720</v>
      </c>
      <c r="E2525" s="71"/>
      <c r="F2525" s="71"/>
      <c r="G2525" s="71"/>
      <c r="H2525" s="8" t="s">
        <v>8721</v>
      </c>
      <c r="I2525" s="9" t="s">
        <v>36</v>
      </c>
      <c r="J2525" s="8"/>
      <c r="K2525" s="6">
        <v>1</v>
      </c>
      <c r="L2525" s="10">
        <v>557.11</v>
      </c>
      <c r="M2525" s="11"/>
      <c r="N2525" s="8">
        <f>L2525*M2525</f>
        <v>0</v>
      </c>
      <c r="O2525" s="8">
        <v>0</v>
      </c>
      <c r="P2525" s="8">
        <v>0</v>
      </c>
      <c r="Q2525" s="17" t="s">
        <v>37</v>
      </c>
      <c r="R2525" s="8" t="s">
        <v>8722</v>
      </c>
      <c r="S2525" s="8"/>
      <c r="T2525" s="7" t="str">
        <f>HYPERLINK("https://miland.ru/api/getInfo/image/5bd013b3-2816-11f1-a291-00155d82e908")</f>
        <v>https://miland.ru/api/getInfo/image/5bd013b3-2816-11f1-a291-00155d82e908</v>
      </c>
      <c r="U2525" s="7"/>
      <c r="V2525" s="7"/>
      <c r="W2525" s="7" t="s">
        <v>8646</v>
      </c>
      <c r="X2525" s="7"/>
      <c r="Y2525" s="7" t="s">
        <v>41</v>
      </c>
      <c r="Z2525" s="7"/>
      <c r="AA2525" s="7" t="str">
        <f>HYPERLINK("https://miland.ru/api/getInfo/item/5bd013b3-2816-11f1-a291-00155d82e908")</f>
        <v>https://miland.ru/api/getInfo/item/5bd013b3-2816-11f1-a291-00155d82e908</v>
      </c>
      <c r="AB2525" s="7" t="s">
        <v>42</v>
      </c>
      <c r="AC2525" s="7"/>
      <c r="AD2525" s="7"/>
      <c r="AE2525" s="54"/>
    </row>
    <row r="2526" spans="2:31" s="1" customFormat="1" ht="96.3" customHeight="1" outlineLevel="7">
      <c r="B2526" s="58">
        <v>1959</v>
      </c>
      <c r="C2526" s="7" t="s">
        <v>8723</v>
      </c>
      <c r="D2526" s="71" t="s">
        <v>8724</v>
      </c>
      <c r="E2526" s="71"/>
      <c r="F2526" s="71"/>
      <c r="G2526" s="71"/>
      <c r="H2526" s="8" t="s">
        <v>8725</v>
      </c>
      <c r="I2526" s="9" t="s">
        <v>36</v>
      </c>
      <c r="J2526" s="8"/>
      <c r="K2526" s="6">
        <v>1</v>
      </c>
      <c r="L2526" s="10">
        <v>650.67999999999995</v>
      </c>
      <c r="M2526" s="11"/>
      <c r="N2526" s="8">
        <f>L2526*M2526</f>
        <v>0</v>
      </c>
      <c r="O2526" s="8">
        <v>0</v>
      </c>
      <c r="P2526" s="8">
        <v>0</v>
      </c>
      <c r="Q2526" s="17" t="s">
        <v>37</v>
      </c>
      <c r="R2526" s="8" t="s">
        <v>8726</v>
      </c>
      <c r="S2526" s="8"/>
      <c r="T2526" s="7" t="str">
        <f>HYPERLINK("https://miland.ru/api/getInfo/image/7f2ef289-2816-11f1-a291-00155d82e908")</f>
        <v>https://miland.ru/api/getInfo/image/7f2ef289-2816-11f1-a291-00155d82e908</v>
      </c>
      <c r="U2526" s="7"/>
      <c r="V2526" s="7"/>
      <c r="W2526" s="7" t="s">
        <v>8646</v>
      </c>
      <c r="X2526" s="7"/>
      <c r="Y2526" s="7" t="s">
        <v>41</v>
      </c>
      <c r="Z2526" s="7"/>
      <c r="AA2526" s="7" t="str">
        <f>HYPERLINK("https://miland.ru/api/getInfo/item/7f2ef289-2816-11f1-a291-00155d82e908")</f>
        <v>https://miland.ru/api/getInfo/item/7f2ef289-2816-11f1-a291-00155d82e908</v>
      </c>
      <c r="AB2526" s="7" t="s">
        <v>42</v>
      </c>
      <c r="AC2526" s="7"/>
      <c r="AD2526" s="7"/>
      <c r="AE2526" s="54"/>
    </row>
    <row r="2527" spans="2:31" ht="12" customHeight="1" outlineLevel="6">
      <c r="B2527" s="70" t="s">
        <v>8727</v>
      </c>
      <c r="C2527" s="70"/>
      <c r="D2527" s="70"/>
      <c r="E2527" s="70"/>
      <c r="F2527" s="70"/>
      <c r="G2527" s="70"/>
    </row>
    <row r="2528" spans="2:31" s="1" customFormat="1" ht="96.3" customHeight="1" outlineLevel="7">
      <c r="B2528" s="58">
        <v>1960</v>
      </c>
      <c r="C2528" s="7" t="s">
        <v>8728</v>
      </c>
      <c r="D2528" s="71" t="s">
        <v>8729</v>
      </c>
      <c r="E2528" s="71"/>
      <c r="F2528" s="71"/>
      <c r="G2528" s="71"/>
      <c r="H2528" s="8" t="s">
        <v>8730</v>
      </c>
      <c r="I2528" s="9" t="s">
        <v>36</v>
      </c>
      <c r="J2528" s="8"/>
      <c r="K2528" s="6">
        <v>1</v>
      </c>
      <c r="L2528" s="10">
        <v>650.67999999999995</v>
      </c>
      <c r="M2528" s="11"/>
      <c r="N2528" s="8">
        <f>L2528*M2528</f>
        <v>0</v>
      </c>
      <c r="O2528" s="8">
        <v>0</v>
      </c>
      <c r="P2528" s="8">
        <v>0</v>
      </c>
      <c r="Q2528" s="17" t="s">
        <v>37</v>
      </c>
      <c r="R2528" s="8" t="s">
        <v>8731</v>
      </c>
      <c r="S2528" s="8"/>
      <c r="T2528" s="7" t="str">
        <f>HYPERLINK("https://miland.ru/api/getInfo/image/f305c08f-2815-11f1-a291-00155d82e908")</f>
        <v>https://miland.ru/api/getInfo/image/f305c08f-2815-11f1-a291-00155d82e908</v>
      </c>
      <c r="U2528" s="7"/>
      <c r="V2528" s="7"/>
      <c r="W2528" s="7" t="s">
        <v>8646</v>
      </c>
      <c r="X2528" s="7"/>
      <c r="Y2528" s="7" t="s">
        <v>41</v>
      </c>
      <c r="Z2528" s="7"/>
      <c r="AA2528" s="7" t="str">
        <f>HYPERLINK("https://miland.ru/api/getInfo/item/f305c08f-2815-11f1-a291-00155d82e908")</f>
        <v>https://miland.ru/api/getInfo/item/f305c08f-2815-11f1-a291-00155d82e908</v>
      </c>
      <c r="AB2528" s="7" t="s">
        <v>42</v>
      </c>
      <c r="AC2528" s="7"/>
      <c r="AD2528" s="7"/>
      <c r="AE2528" s="54"/>
    </row>
    <row r="2529" spans="2:31" ht="12" customHeight="1" outlineLevel="5">
      <c r="B2529" s="70" t="s">
        <v>3296</v>
      </c>
      <c r="C2529" s="70"/>
      <c r="D2529" s="70"/>
      <c r="E2529" s="70"/>
      <c r="F2529" s="70"/>
      <c r="G2529" s="70"/>
    </row>
    <row r="2530" spans="2:31" s="1" customFormat="1" ht="96.3" customHeight="1" outlineLevel="6">
      <c r="B2530" s="57">
        <v>1961</v>
      </c>
      <c r="C2530" s="21" t="s">
        <v>8732</v>
      </c>
      <c r="D2530" s="72" t="s">
        <v>8733</v>
      </c>
      <c r="E2530" s="72"/>
      <c r="F2530" s="72"/>
      <c r="G2530" s="72"/>
      <c r="H2530" s="22" t="s">
        <v>8734</v>
      </c>
      <c r="I2530" s="27">
        <v>443</v>
      </c>
      <c r="J2530" s="22"/>
      <c r="K2530" s="20">
        <v>1</v>
      </c>
      <c r="L2530" s="32">
        <v>1348.58</v>
      </c>
      <c r="M2530" s="11"/>
      <c r="N2530" s="22">
        <f>L2530*M2530</f>
        <v>0</v>
      </c>
      <c r="O2530" s="25">
        <f>0.686*M2530</f>
        <v>0</v>
      </c>
      <c r="P2530" s="26">
        <f>0.00275*M2530</f>
        <v>0</v>
      </c>
      <c r="Q2530" s="30"/>
      <c r="R2530" s="22" t="s">
        <v>8735</v>
      </c>
      <c r="S2530" s="22" t="s">
        <v>435</v>
      </c>
      <c r="T2530" s="21" t="str">
        <f>HYPERLINK("https://miland.ru/api/getInfo/image/273ec49a-18ce-11ef-a25d-00155d82e908")</f>
        <v>https://miland.ru/api/getInfo/image/273ec49a-18ce-11ef-a25d-00155d82e908</v>
      </c>
      <c r="U2530" s="21"/>
      <c r="V2530" s="21"/>
      <c r="W2530" s="21" t="s">
        <v>8646</v>
      </c>
      <c r="X2530" s="21"/>
      <c r="Y2530" s="21" t="s">
        <v>41</v>
      </c>
      <c r="Z2530" s="21"/>
      <c r="AA2530" s="21" t="str">
        <f>HYPERLINK("https://miland.ru/api/getInfo/item/273ec49a-18ce-11ef-a25d-00155d82e908")</f>
        <v>https://miland.ru/api/getInfo/item/273ec49a-18ce-11ef-a25d-00155d82e908</v>
      </c>
      <c r="AB2530" s="21" t="s">
        <v>42</v>
      </c>
      <c r="AC2530" s="21"/>
      <c r="AD2530" s="21"/>
    </row>
    <row r="2531" spans="2:31" s="1" customFormat="1" ht="96.3" customHeight="1" outlineLevel="6">
      <c r="B2531" s="57">
        <v>1962</v>
      </c>
      <c r="C2531" s="21" t="s">
        <v>8736</v>
      </c>
      <c r="D2531" s="72" t="s">
        <v>8737</v>
      </c>
      <c r="E2531" s="72"/>
      <c r="F2531" s="72"/>
      <c r="G2531" s="72"/>
      <c r="H2531" s="22" t="s">
        <v>8738</v>
      </c>
      <c r="I2531" s="23" t="s">
        <v>36</v>
      </c>
      <c r="J2531" s="22"/>
      <c r="K2531" s="20">
        <v>1</v>
      </c>
      <c r="L2531" s="32">
        <v>1131.6199999999999</v>
      </c>
      <c r="M2531" s="11"/>
      <c r="N2531" s="22">
        <f>L2531*M2531</f>
        <v>0</v>
      </c>
      <c r="O2531" s="28">
        <f>0.78*M2531</f>
        <v>0</v>
      </c>
      <c r="P2531" s="26">
        <f>0.00213*M2531</f>
        <v>0</v>
      </c>
      <c r="Q2531" s="30"/>
      <c r="R2531" s="22" t="s">
        <v>8739</v>
      </c>
      <c r="S2531" s="22"/>
      <c r="T2531" s="21" t="str">
        <f>HYPERLINK("https://miland.ru/api/getInfo/image/f87e00b9-18cd-11ef-a25d-00155d82e908")</f>
        <v>https://miland.ru/api/getInfo/image/f87e00b9-18cd-11ef-a25d-00155d82e908</v>
      </c>
      <c r="U2531" s="21"/>
      <c r="V2531" s="21"/>
      <c r="W2531" s="21" t="s">
        <v>8646</v>
      </c>
      <c r="X2531" s="21"/>
      <c r="Y2531" s="21" t="s">
        <v>41</v>
      </c>
      <c r="Z2531" s="21"/>
      <c r="AA2531" s="21" t="str">
        <f>HYPERLINK("https://miland.ru/api/getInfo/item/f87e00b9-18cd-11ef-a25d-00155d82e908")</f>
        <v>https://miland.ru/api/getInfo/item/f87e00b9-18cd-11ef-a25d-00155d82e908</v>
      </c>
      <c r="AB2531" s="21" t="s">
        <v>42</v>
      </c>
      <c r="AC2531" s="21"/>
      <c r="AD2531" s="21"/>
    </row>
    <row r="2532" spans="2:31" s="1" customFormat="1" ht="96.3" customHeight="1" outlineLevel="6">
      <c r="B2532" s="57">
        <v>1963</v>
      </c>
      <c r="C2532" s="21" t="s">
        <v>8740</v>
      </c>
      <c r="D2532" s="72" t="s">
        <v>8741</v>
      </c>
      <c r="E2532" s="72"/>
      <c r="F2532" s="72"/>
      <c r="G2532" s="72"/>
      <c r="H2532" s="22" t="s">
        <v>8742</v>
      </c>
      <c r="I2532" s="23" t="s">
        <v>36</v>
      </c>
      <c r="J2532" s="22"/>
      <c r="K2532" s="20">
        <v>1</v>
      </c>
      <c r="L2532" s="32">
        <v>1218.6600000000001</v>
      </c>
      <c r="M2532" s="11"/>
      <c r="N2532" s="22">
        <f>L2532*M2532</f>
        <v>0</v>
      </c>
      <c r="O2532" s="25">
        <f>1.156*M2532</f>
        <v>0</v>
      </c>
      <c r="P2532" s="26">
        <f>0.00299*M2532</f>
        <v>0</v>
      </c>
      <c r="Q2532" s="30"/>
      <c r="R2532" s="22" t="s">
        <v>8743</v>
      </c>
      <c r="S2532" s="22"/>
      <c r="T2532" s="21" t="str">
        <f>HYPERLINK("https://miland.ru/api/getInfo/image/cdfc74c5-18cd-11ef-a25d-00155d82e908")</f>
        <v>https://miland.ru/api/getInfo/image/cdfc74c5-18cd-11ef-a25d-00155d82e908</v>
      </c>
      <c r="U2532" s="21"/>
      <c r="V2532" s="21"/>
      <c r="W2532" s="21" t="s">
        <v>8646</v>
      </c>
      <c r="X2532" s="21"/>
      <c r="Y2532" s="21" t="s">
        <v>41</v>
      </c>
      <c r="Z2532" s="21"/>
      <c r="AA2532" s="21" t="str">
        <f>HYPERLINK("https://miland.ru/api/getInfo/item/cdfc74c5-18cd-11ef-a25d-00155d82e908")</f>
        <v>https://miland.ru/api/getInfo/item/cdfc74c5-18cd-11ef-a25d-00155d82e908</v>
      </c>
      <c r="AB2532" s="21" t="s">
        <v>42</v>
      </c>
      <c r="AC2532" s="21"/>
      <c r="AD2532" s="21"/>
    </row>
    <row r="2533" spans="2:31" ht="12" customHeight="1" outlineLevel="5">
      <c r="B2533" s="70" t="s">
        <v>2277</v>
      </c>
      <c r="C2533" s="70"/>
      <c r="D2533" s="70"/>
      <c r="E2533" s="70"/>
      <c r="F2533" s="70"/>
      <c r="G2533" s="70"/>
    </row>
    <row r="2534" spans="2:31" ht="12" customHeight="1" outlineLevel="6">
      <c r="B2534" s="70" t="s">
        <v>8744</v>
      </c>
      <c r="C2534" s="70"/>
      <c r="D2534" s="70"/>
      <c r="E2534" s="70"/>
      <c r="F2534" s="70"/>
      <c r="G2534" s="70"/>
    </row>
    <row r="2535" spans="2:31" s="1" customFormat="1" ht="96.3" customHeight="1" outlineLevel="7">
      <c r="B2535" s="58">
        <v>1964</v>
      </c>
      <c r="C2535" s="7" t="s">
        <v>8745</v>
      </c>
      <c r="D2535" s="71" t="s">
        <v>8746</v>
      </c>
      <c r="E2535" s="71"/>
      <c r="F2535" s="71"/>
      <c r="G2535" s="71"/>
      <c r="H2535" s="8" t="s">
        <v>8747</v>
      </c>
      <c r="I2535" s="9" t="s">
        <v>36</v>
      </c>
      <c r="J2535" s="8"/>
      <c r="K2535" s="6">
        <v>1</v>
      </c>
      <c r="L2535" s="10">
        <v>680.4</v>
      </c>
      <c r="M2535" s="11"/>
      <c r="N2535" s="8">
        <f>L2535*M2535</f>
        <v>0</v>
      </c>
      <c r="O2535" s="8">
        <v>0</v>
      </c>
      <c r="P2535" s="8">
        <v>0</v>
      </c>
      <c r="Q2535" s="17" t="s">
        <v>37</v>
      </c>
      <c r="R2535" s="8" t="s">
        <v>8748</v>
      </c>
      <c r="S2535" s="8"/>
      <c r="T2535" s="7" t="str">
        <f>HYPERLINK("https://miland.ru/api/getInfo/image/50d5c172-2817-11f1-a291-00155d82e908")</f>
        <v>https://miland.ru/api/getInfo/image/50d5c172-2817-11f1-a291-00155d82e908</v>
      </c>
      <c r="U2535" s="7"/>
      <c r="V2535" s="7"/>
      <c r="W2535" s="7" t="s">
        <v>8646</v>
      </c>
      <c r="X2535" s="7"/>
      <c r="Y2535" s="7" t="s">
        <v>41</v>
      </c>
      <c r="Z2535" s="7"/>
      <c r="AA2535" s="7" t="str">
        <f>HYPERLINK("https://miland.ru/api/getInfo/item/50d5c172-2817-11f1-a291-00155d82e908")</f>
        <v>https://miland.ru/api/getInfo/item/50d5c172-2817-11f1-a291-00155d82e908</v>
      </c>
      <c r="AB2535" s="7" t="s">
        <v>42</v>
      </c>
      <c r="AC2535" s="7"/>
      <c r="AD2535" s="7"/>
      <c r="AE2535" s="54"/>
    </row>
    <row r="2536" spans="2:31" ht="12" customHeight="1" outlineLevel="6">
      <c r="B2536" s="70" t="s">
        <v>8749</v>
      </c>
      <c r="C2536" s="70"/>
      <c r="D2536" s="70"/>
      <c r="E2536" s="70"/>
      <c r="F2536" s="70"/>
      <c r="G2536" s="70"/>
    </row>
    <row r="2537" spans="2:31" s="1" customFormat="1" ht="96.3" customHeight="1" outlineLevel="7">
      <c r="B2537" s="58">
        <v>1965</v>
      </c>
      <c r="C2537" s="7" t="s">
        <v>8750</v>
      </c>
      <c r="D2537" s="71" t="s">
        <v>8751</v>
      </c>
      <c r="E2537" s="71"/>
      <c r="F2537" s="71"/>
      <c r="G2537" s="71"/>
      <c r="H2537" s="8" t="s">
        <v>8752</v>
      </c>
      <c r="I2537" s="9" t="s">
        <v>36</v>
      </c>
      <c r="J2537" s="8"/>
      <c r="K2537" s="6">
        <v>1</v>
      </c>
      <c r="L2537" s="10">
        <v>680.4</v>
      </c>
      <c r="M2537" s="11"/>
      <c r="N2537" s="8">
        <f>L2537*M2537</f>
        <v>0</v>
      </c>
      <c r="O2537" s="8">
        <v>0</v>
      </c>
      <c r="P2537" s="8">
        <v>0</v>
      </c>
      <c r="Q2537" s="17" t="s">
        <v>37</v>
      </c>
      <c r="R2537" s="8" t="s">
        <v>8753</v>
      </c>
      <c r="S2537" s="8"/>
      <c r="T2537" s="7" t="str">
        <f>HYPERLINK("https://miland.ru/api/getInfo/image/9dc1d50d-2817-11f1-a291-00155d82e908")</f>
        <v>https://miland.ru/api/getInfo/image/9dc1d50d-2817-11f1-a291-00155d82e908</v>
      </c>
      <c r="U2537" s="7"/>
      <c r="V2537" s="7"/>
      <c r="W2537" s="7" t="s">
        <v>8646</v>
      </c>
      <c r="X2537" s="7"/>
      <c r="Y2537" s="7" t="s">
        <v>41</v>
      </c>
      <c r="Z2537" s="7"/>
      <c r="AA2537" s="7" t="str">
        <f>HYPERLINK("https://miland.ru/api/getInfo/item/9dc1d50d-2817-11f1-a291-00155d82e908")</f>
        <v>https://miland.ru/api/getInfo/item/9dc1d50d-2817-11f1-a291-00155d82e908</v>
      </c>
      <c r="AB2537" s="7" t="s">
        <v>42</v>
      </c>
      <c r="AC2537" s="7"/>
      <c r="AD2537" s="7"/>
      <c r="AE2537" s="54"/>
    </row>
    <row r="2538" spans="2:31" ht="12" customHeight="1" outlineLevel="6">
      <c r="B2538" s="70" t="s">
        <v>8754</v>
      </c>
      <c r="C2538" s="70"/>
      <c r="D2538" s="70"/>
      <c r="E2538" s="70"/>
      <c r="F2538" s="70"/>
      <c r="G2538" s="70"/>
    </row>
    <row r="2539" spans="2:31" s="1" customFormat="1" ht="96.3" customHeight="1" outlineLevel="7">
      <c r="B2539" s="58">
        <v>1966</v>
      </c>
      <c r="C2539" s="7" t="s">
        <v>8755</v>
      </c>
      <c r="D2539" s="71" t="s">
        <v>8756</v>
      </c>
      <c r="E2539" s="71"/>
      <c r="F2539" s="71"/>
      <c r="G2539" s="71"/>
      <c r="H2539" s="8" t="s">
        <v>8757</v>
      </c>
      <c r="I2539" s="9" t="s">
        <v>36</v>
      </c>
      <c r="J2539" s="8"/>
      <c r="K2539" s="6">
        <v>1</v>
      </c>
      <c r="L2539" s="10">
        <v>680.4</v>
      </c>
      <c r="M2539" s="11"/>
      <c r="N2539" s="8">
        <f>L2539*M2539</f>
        <v>0</v>
      </c>
      <c r="O2539" s="8">
        <v>0</v>
      </c>
      <c r="P2539" s="8">
        <v>0</v>
      </c>
      <c r="Q2539" s="17" t="s">
        <v>37</v>
      </c>
      <c r="R2539" s="8" t="s">
        <v>8758</v>
      </c>
      <c r="S2539" s="8"/>
      <c r="T2539" s="7" t="str">
        <f>HYPERLINK("https://miland.ru/api/getInfo/image/f270c7fa-2817-11f1-a291-00155d82e908")</f>
        <v>https://miland.ru/api/getInfo/image/f270c7fa-2817-11f1-a291-00155d82e908</v>
      </c>
      <c r="U2539" s="7"/>
      <c r="V2539" s="7"/>
      <c r="W2539" s="7" t="s">
        <v>8646</v>
      </c>
      <c r="X2539" s="7"/>
      <c r="Y2539" s="7" t="s">
        <v>41</v>
      </c>
      <c r="Z2539" s="7"/>
      <c r="AA2539" s="7" t="str">
        <f>HYPERLINK("https://miland.ru/api/getInfo/item/f270c7fa-2817-11f1-a291-00155d82e908")</f>
        <v>https://miland.ru/api/getInfo/item/f270c7fa-2817-11f1-a291-00155d82e908</v>
      </c>
      <c r="AB2539" s="7" t="s">
        <v>42</v>
      </c>
      <c r="AC2539" s="7"/>
      <c r="AD2539" s="7"/>
      <c r="AE2539" s="54"/>
    </row>
    <row r="2540" spans="2:31" ht="12" customHeight="1" outlineLevel="4">
      <c r="B2540" s="70" t="s">
        <v>8759</v>
      </c>
      <c r="C2540" s="70"/>
      <c r="D2540" s="70"/>
      <c r="E2540" s="70"/>
      <c r="F2540" s="70"/>
      <c r="G2540" s="70"/>
    </row>
    <row r="2541" spans="2:31" s="1" customFormat="1" ht="96.3" customHeight="1" outlineLevel="5">
      <c r="B2541" s="57">
        <v>1967</v>
      </c>
      <c r="C2541" s="21" t="s">
        <v>8760</v>
      </c>
      <c r="D2541" s="72" t="s">
        <v>8761</v>
      </c>
      <c r="E2541" s="72"/>
      <c r="F2541" s="72"/>
      <c r="G2541" s="72"/>
      <c r="H2541" s="22" t="s">
        <v>8762</v>
      </c>
      <c r="I2541" s="27">
        <v>12</v>
      </c>
      <c r="J2541" s="22"/>
      <c r="K2541" s="20">
        <v>1</v>
      </c>
      <c r="L2541" s="32">
        <v>1535.35</v>
      </c>
      <c r="M2541" s="11"/>
      <c r="N2541" s="22">
        <f>L2541*M2541</f>
        <v>0</v>
      </c>
      <c r="O2541" s="25">
        <f>0.958*M2541</f>
        <v>0</v>
      </c>
      <c r="P2541" s="26">
        <f>0.00355*M2541</f>
        <v>0</v>
      </c>
      <c r="Q2541" s="30"/>
      <c r="R2541" s="22" t="s">
        <v>8763</v>
      </c>
      <c r="S2541" s="22" t="s">
        <v>435</v>
      </c>
      <c r="T2541" s="21" t="str">
        <f>HYPERLINK("https://miland.ru/api/getInfo/image/9e0765c5-fc82-11ee-a25d-00155d82e908")</f>
        <v>https://miland.ru/api/getInfo/image/9e0765c5-fc82-11ee-a25d-00155d82e908</v>
      </c>
      <c r="U2541" s="21"/>
      <c r="V2541" s="21"/>
      <c r="W2541" s="21" t="s">
        <v>4899</v>
      </c>
      <c r="X2541" s="21"/>
      <c r="Y2541" s="21" t="s">
        <v>41</v>
      </c>
      <c r="Z2541" s="21"/>
      <c r="AA2541" s="21" t="str">
        <f>HYPERLINK("https://miland.ru/api/getInfo/item/9e0765c5-fc82-11ee-a25d-00155d82e908")</f>
        <v>https://miland.ru/api/getInfo/item/9e0765c5-fc82-11ee-a25d-00155d82e908</v>
      </c>
      <c r="AB2541" s="21" t="s">
        <v>42</v>
      </c>
      <c r="AC2541" s="21" t="s">
        <v>8764</v>
      </c>
      <c r="AD2541" s="21"/>
    </row>
    <row r="2542" spans="2:31" s="1" customFormat="1" ht="96.3" customHeight="1" outlineLevel="5">
      <c r="B2542" s="57">
        <v>1968</v>
      </c>
      <c r="C2542" s="21" t="s">
        <v>8765</v>
      </c>
      <c r="D2542" s="72" t="s">
        <v>8766</v>
      </c>
      <c r="E2542" s="72"/>
      <c r="F2542" s="72"/>
      <c r="G2542" s="72"/>
      <c r="H2542" s="22" t="s">
        <v>8767</v>
      </c>
      <c r="I2542" s="27">
        <v>269</v>
      </c>
      <c r="J2542" s="22"/>
      <c r="K2542" s="20">
        <v>1</v>
      </c>
      <c r="L2542" s="32">
        <v>1298.3900000000001</v>
      </c>
      <c r="M2542" s="11"/>
      <c r="N2542" s="22">
        <f>L2542*M2542</f>
        <v>0</v>
      </c>
      <c r="O2542" s="25">
        <f>0.357*M2542</f>
        <v>0</v>
      </c>
      <c r="P2542" s="26">
        <f>0.00147*M2542</f>
        <v>0</v>
      </c>
      <c r="Q2542" s="30"/>
      <c r="R2542" s="22" t="s">
        <v>8768</v>
      </c>
      <c r="S2542" s="22" t="s">
        <v>435</v>
      </c>
      <c r="T2542" s="21" t="str">
        <f>HYPERLINK("https://miland.ru/api/getInfo/image/e3fa41d4-27fa-11ef-a25f-00155d82e908")</f>
        <v>https://miland.ru/api/getInfo/image/e3fa41d4-27fa-11ef-a25f-00155d82e908</v>
      </c>
      <c r="U2542" s="21"/>
      <c r="V2542" s="21"/>
      <c r="W2542" s="21" t="s">
        <v>8769</v>
      </c>
      <c r="X2542" s="21"/>
      <c r="Y2542" s="21"/>
      <c r="Z2542" s="21"/>
      <c r="AA2542" s="21" t="str">
        <f>HYPERLINK("https://miland.ru/api/getInfo/item/e3fa41d4-27fa-11ef-a25f-00155d82e908")</f>
        <v>https://miland.ru/api/getInfo/item/e3fa41d4-27fa-11ef-a25f-00155d82e908</v>
      </c>
      <c r="AB2542" s="21" t="s">
        <v>42</v>
      </c>
      <c r="AC2542" s="21" t="s">
        <v>8770</v>
      </c>
      <c r="AD2542" s="21"/>
    </row>
    <row r="2543" spans="2:31" s="1" customFormat="1" ht="96.3" customHeight="1" outlineLevel="5">
      <c r="B2543" s="57">
        <v>1969</v>
      </c>
      <c r="C2543" s="21" t="s">
        <v>8771</v>
      </c>
      <c r="D2543" s="72" t="s">
        <v>8772</v>
      </c>
      <c r="E2543" s="72"/>
      <c r="F2543" s="72"/>
      <c r="G2543" s="72"/>
      <c r="H2543" s="22" t="s">
        <v>8773</v>
      </c>
      <c r="I2543" s="27">
        <v>273</v>
      </c>
      <c r="J2543" s="22"/>
      <c r="K2543" s="20">
        <v>1</v>
      </c>
      <c r="L2543" s="32">
        <v>1120.17</v>
      </c>
      <c r="M2543" s="11"/>
      <c r="N2543" s="22">
        <f>L2543*M2543</f>
        <v>0</v>
      </c>
      <c r="O2543" s="25">
        <f>0.487*M2543</f>
        <v>0</v>
      </c>
      <c r="P2543" s="26">
        <f>0.00523*M2543</f>
        <v>0</v>
      </c>
      <c r="Q2543" s="30"/>
      <c r="R2543" s="22" t="s">
        <v>8774</v>
      </c>
      <c r="S2543" s="22" t="s">
        <v>435</v>
      </c>
      <c r="T2543" s="21" t="str">
        <f>HYPERLINK("https://miland.ru/api/getInfo/image/1e748f42-27fb-11ef-a25f-00155d82e908")</f>
        <v>https://miland.ru/api/getInfo/image/1e748f42-27fb-11ef-a25f-00155d82e908</v>
      </c>
      <c r="U2543" s="21"/>
      <c r="V2543" s="21"/>
      <c r="W2543" s="21" t="s">
        <v>8769</v>
      </c>
      <c r="X2543" s="21"/>
      <c r="Y2543" s="21" t="s">
        <v>41</v>
      </c>
      <c r="Z2543" s="21"/>
      <c r="AA2543" s="21" t="str">
        <f>HYPERLINK("https://miland.ru/api/getInfo/item/1e748f42-27fb-11ef-a25f-00155d82e908")</f>
        <v>https://miland.ru/api/getInfo/item/1e748f42-27fb-11ef-a25f-00155d82e908</v>
      </c>
      <c r="AB2543" s="21" t="s">
        <v>42</v>
      </c>
      <c r="AC2543" s="21" t="s">
        <v>8775</v>
      </c>
      <c r="AD2543" s="21"/>
    </row>
    <row r="2544" spans="2:31" s="1" customFormat="1" ht="96.3" customHeight="1" outlineLevel="5">
      <c r="B2544" s="57">
        <v>1970</v>
      </c>
      <c r="C2544" s="21" t="s">
        <v>8776</v>
      </c>
      <c r="D2544" s="72" t="s">
        <v>8777</v>
      </c>
      <c r="E2544" s="72"/>
      <c r="F2544" s="72"/>
      <c r="G2544" s="72"/>
      <c r="H2544" s="22" t="s">
        <v>8778</v>
      </c>
      <c r="I2544" s="27">
        <v>5</v>
      </c>
      <c r="J2544" s="22"/>
      <c r="K2544" s="20">
        <v>1</v>
      </c>
      <c r="L2544" s="32">
        <v>1295.6199999999999</v>
      </c>
      <c r="M2544" s="11"/>
      <c r="N2544" s="22">
        <f>L2544*M2544</f>
        <v>0</v>
      </c>
      <c r="O2544" s="25">
        <f>1.009*M2544</f>
        <v>0</v>
      </c>
      <c r="P2544" s="29">
        <f>0.0072*M2544</f>
        <v>0</v>
      </c>
      <c r="Q2544" s="30"/>
      <c r="R2544" s="22" t="s">
        <v>8779</v>
      </c>
      <c r="S2544" s="22" t="s">
        <v>435</v>
      </c>
      <c r="T2544" s="21" t="str">
        <f>HYPERLINK("https://miland.ru/api/getInfo/image/35ac7dc2-27fb-11ef-a25f-00155d82e908")</f>
        <v>https://miland.ru/api/getInfo/image/35ac7dc2-27fb-11ef-a25f-00155d82e908</v>
      </c>
      <c r="U2544" s="21"/>
      <c r="V2544" s="21"/>
      <c r="W2544" s="21" t="s">
        <v>8769</v>
      </c>
      <c r="X2544" s="21" t="s">
        <v>307</v>
      </c>
      <c r="Y2544" s="21"/>
      <c r="Z2544" s="21"/>
      <c r="AA2544" s="21" t="str">
        <f>HYPERLINK("https://miland.ru/api/getInfo/item/35ac7dc2-27fb-11ef-a25f-00155d82e908")</f>
        <v>https://miland.ru/api/getInfo/item/35ac7dc2-27fb-11ef-a25f-00155d82e908</v>
      </c>
      <c r="AB2544" s="21" t="s">
        <v>42</v>
      </c>
      <c r="AC2544" s="21" t="s">
        <v>8780</v>
      </c>
      <c r="AD2544" s="21"/>
    </row>
    <row r="2545" spans="2:31" ht="12" customHeight="1" outlineLevel="3">
      <c r="B2545" s="70" t="s">
        <v>8781</v>
      </c>
      <c r="C2545" s="70"/>
      <c r="D2545" s="70"/>
      <c r="E2545" s="70"/>
      <c r="F2545" s="70"/>
      <c r="G2545" s="70"/>
    </row>
    <row r="2546" spans="2:31" ht="12" customHeight="1" outlineLevel="4">
      <c r="B2546" s="70" t="s">
        <v>8782</v>
      </c>
      <c r="C2546" s="70"/>
      <c r="D2546" s="70"/>
      <c r="E2546" s="70"/>
      <c r="F2546" s="70"/>
      <c r="G2546" s="70"/>
    </row>
    <row r="2547" spans="2:31" s="1" customFormat="1" ht="96.3" customHeight="1" outlineLevel="5">
      <c r="B2547" s="57">
        <v>1971</v>
      </c>
      <c r="C2547" s="21" t="s">
        <v>8783</v>
      </c>
      <c r="D2547" s="72" t="s">
        <v>8784</v>
      </c>
      <c r="E2547" s="72"/>
      <c r="F2547" s="72"/>
      <c r="G2547" s="72"/>
      <c r="H2547" s="22" t="s">
        <v>8785</v>
      </c>
      <c r="I2547" s="23" t="s">
        <v>36</v>
      </c>
      <c r="J2547" s="22"/>
      <c r="K2547" s="20">
        <v>1</v>
      </c>
      <c r="L2547" s="24">
        <v>600.15</v>
      </c>
      <c r="M2547" s="11"/>
      <c r="N2547" s="22">
        <f>L2547*M2547</f>
        <v>0</v>
      </c>
      <c r="O2547" s="25">
        <f>0.377*M2547</f>
        <v>0</v>
      </c>
      <c r="P2547" s="26">
        <f>0.00128*M2547</f>
        <v>0</v>
      </c>
      <c r="Q2547" s="30"/>
      <c r="R2547" s="22" t="s">
        <v>8786</v>
      </c>
      <c r="S2547" s="22"/>
      <c r="T2547" s="21" t="str">
        <f>HYPERLINK("https://miland.ru/api/getInfo/image/26e2d72c-15ca-11f0-a279-00155d82e908")</f>
        <v>https://miland.ru/api/getInfo/image/26e2d72c-15ca-11f0-a279-00155d82e908</v>
      </c>
      <c r="U2547" s="21"/>
      <c r="V2547" s="21"/>
      <c r="W2547" s="21" t="s">
        <v>8646</v>
      </c>
      <c r="X2547" s="21"/>
      <c r="Y2547" s="21" t="s">
        <v>41</v>
      </c>
      <c r="Z2547" s="21"/>
      <c r="AA2547" s="21" t="str">
        <f>HYPERLINK("https://miland.ru/api/getInfo/item/26e2d72c-15ca-11f0-a279-00155d82e908")</f>
        <v>https://miland.ru/api/getInfo/item/26e2d72c-15ca-11f0-a279-00155d82e908</v>
      </c>
      <c r="AB2547" s="21" t="s">
        <v>42</v>
      </c>
      <c r="AC2547" s="21"/>
      <c r="AD2547" s="21"/>
    </row>
    <row r="2548" spans="2:31" s="1" customFormat="1" ht="96.3" customHeight="1" outlineLevel="5">
      <c r="B2548" s="57">
        <v>1972</v>
      </c>
      <c r="C2548" s="21" t="s">
        <v>8787</v>
      </c>
      <c r="D2548" s="72" t="s">
        <v>8788</v>
      </c>
      <c r="E2548" s="72"/>
      <c r="F2548" s="72"/>
      <c r="G2548" s="72"/>
      <c r="H2548" s="22" t="s">
        <v>8789</v>
      </c>
      <c r="I2548" s="23" t="s">
        <v>36</v>
      </c>
      <c r="J2548" s="22"/>
      <c r="K2548" s="20">
        <v>1</v>
      </c>
      <c r="L2548" s="24">
        <v>600.15</v>
      </c>
      <c r="M2548" s="11"/>
      <c r="N2548" s="22">
        <f>L2548*M2548</f>
        <v>0</v>
      </c>
      <c r="O2548" s="25">
        <f>0.373*M2548</f>
        <v>0</v>
      </c>
      <c r="P2548" s="26">
        <f>0.00127*M2548</f>
        <v>0</v>
      </c>
      <c r="Q2548" s="30"/>
      <c r="R2548" s="22" t="s">
        <v>8790</v>
      </c>
      <c r="S2548" s="22"/>
      <c r="T2548" s="21" t="str">
        <f>HYPERLINK("https://miland.ru/api/getInfo/image/858e54a3-15c9-11f0-a279-00155d82e908")</f>
        <v>https://miland.ru/api/getInfo/image/858e54a3-15c9-11f0-a279-00155d82e908</v>
      </c>
      <c r="U2548" s="21"/>
      <c r="V2548" s="21"/>
      <c r="W2548" s="21" t="s">
        <v>8646</v>
      </c>
      <c r="X2548" s="21"/>
      <c r="Y2548" s="21" t="s">
        <v>41</v>
      </c>
      <c r="Z2548" s="21"/>
      <c r="AA2548" s="21" t="str">
        <f>HYPERLINK("https://miland.ru/api/getInfo/item/858e54a3-15c9-11f0-a279-00155d82e908")</f>
        <v>https://miland.ru/api/getInfo/item/858e54a3-15c9-11f0-a279-00155d82e908</v>
      </c>
      <c r="AB2548" s="21" t="s">
        <v>42</v>
      </c>
      <c r="AC2548" s="21"/>
      <c r="AD2548" s="21"/>
    </row>
    <row r="2549" spans="2:31" ht="12" customHeight="1" outlineLevel="4">
      <c r="B2549" s="70" t="s">
        <v>8791</v>
      </c>
      <c r="C2549" s="70"/>
      <c r="D2549" s="70"/>
      <c r="E2549" s="70"/>
      <c r="F2549" s="70"/>
      <c r="G2549" s="70"/>
    </row>
    <row r="2550" spans="2:31" s="1" customFormat="1" ht="96.3" customHeight="1" outlineLevel="5">
      <c r="B2550" s="57">
        <v>1973</v>
      </c>
      <c r="C2550" s="21" t="s">
        <v>8792</v>
      </c>
      <c r="D2550" s="72" t="s">
        <v>8793</v>
      </c>
      <c r="E2550" s="72"/>
      <c r="F2550" s="72"/>
      <c r="G2550" s="72"/>
      <c r="H2550" s="22" t="s">
        <v>8794</v>
      </c>
      <c r="I2550" s="23" t="s">
        <v>36</v>
      </c>
      <c r="J2550" s="22"/>
      <c r="K2550" s="20">
        <v>1</v>
      </c>
      <c r="L2550" s="24">
        <v>687.05</v>
      </c>
      <c r="M2550" s="11"/>
      <c r="N2550" s="22">
        <f t="shared" ref="N2550:N2557" si="120">L2550*M2550</f>
        <v>0</v>
      </c>
      <c r="O2550" s="25">
        <f>0.476*M2550</f>
        <v>0</v>
      </c>
      <c r="P2550" s="26">
        <f>0.00177*M2550</f>
        <v>0</v>
      </c>
      <c r="Q2550" s="30"/>
      <c r="R2550" s="22" t="s">
        <v>8795</v>
      </c>
      <c r="S2550" s="22"/>
      <c r="T2550" s="21" t="str">
        <f>HYPERLINK("https://miland.ru/api/getInfo/image/9e5df90d-6310-11f0-a282-00155d82e908")</f>
        <v>https://miland.ru/api/getInfo/image/9e5df90d-6310-11f0-a282-00155d82e908</v>
      </c>
      <c r="U2550" s="21"/>
      <c r="V2550" s="21" t="s">
        <v>8796</v>
      </c>
      <c r="W2550" s="21" t="s">
        <v>8646</v>
      </c>
      <c r="X2550" s="21"/>
      <c r="Y2550" s="21" t="s">
        <v>41</v>
      </c>
      <c r="Z2550" s="21"/>
      <c r="AA2550" s="21" t="str">
        <f>HYPERLINK("https://miland.ru/api/getInfo/item/9e5df90d-6310-11f0-a282-00155d82e908")</f>
        <v>https://miland.ru/api/getInfo/item/9e5df90d-6310-11f0-a282-00155d82e908</v>
      </c>
      <c r="AB2550" s="21" t="s">
        <v>42</v>
      </c>
      <c r="AC2550" s="21"/>
      <c r="AD2550" s="21"/>
    </row>
    <row r="2551" spans="2:31" s="1" customFormat="1" ht="96.3" customHeight="1" outlineLevel="5">
      <c r="B2551" s="57">
        <v>1974</v>
      </c>
      <c r="C2551" s="21" t="s">
        <v>8797</v>
      </c>
      <c r="D2551" s="72" t="s">
        <v>8798</v>
      </c>
      <c r="E2551" s="72"/>
      <c r="F2551" s="72"/>
      <c r="G2551" s="72"/>
      <c r="H2551" s="22" t="s">
        <v>8799</v>
      </c>
      <c r="I2551" s="27">
        <v>42</v>
      </c>
      <c r="J2551" s="22"/>
      <c r="K2551" s="20">
        <v>1</v>
      </c>
      <c r="L2551" s="24">
        <v>715</v>
      </c>
      <c r="M2551" s="11"/>
      <c r="N2551" s="22">
        <f t="shared" si="120"/>
        <v>0</v>
      </c>
      <c r="O2551" s="25">
        <f>0.354*M2551</f>
        <v>0</v>
      </c>
      <c r="P2551" s="26">
        <f>0.00181*M2551</f>
        <v>0</v>
      </c>
      <c r="Q2551" s="30"/>
      <c r="R2551" s="22" t="s">
        <v>8800</v>
      </c>
      <c r="S2551" s="22" t="s">
        <v>435</v>
      </c>
      <c r="T2551" s="21" t="str">
        <f>HYPERLINK("https://miland.ru/api/getInfo/image/012037a9-2196-11f0-a279-00155d82e908")</f>
        <v>https://miland.ru/api/getInfo/image/012037a9-2196-11f0-a279-00155d82e908</v>
      </c>
      <c r="U2551" s="21"/>
      <c r="V2551" s="21" t="s">
        <v>8796</v>
      </c>
      <c r="W2551" s="21" t="s">
        <v>8646</v>
      </c>
      <c r="X2551" s="21"/>
      <c r="Y2551" s="21" t="s">
        <v>41</v>
      </c>
      <c r="Z2551" s="21"/>
      <c r="AA2551" s="21" t="str">
        <f>HYPERLINK("https://miland.ru/api/getInfo/item/012037a9-2196-11f0-a279-00155d82e908")</f>
        <v>https://miland.ru/api/getInfo/item/012037a9-2196-11f0-a279-00155d82e908</v>
      </c>
      <c r="AB2551" s="21" t="s">
        <v>42</v>
      </c>
      <c r="AC2551" s="21"/>
      <c r="AD2551" s="21"/>
    </row>
    <row r="2552" spans="2:31" s="1" customFormat="1" ht="96.3" customHeight="1" outlineLevel="5">
      <c r="B2552" s="57">
        <v>1975</v>
      </c>
      <c r="C2552" s="21" t="s">
        <v>8801</v>
      </c>
      <c r="D2552" s="72" t="s">
        <v>8802</v>
      </c>
      <c r="E2552" s="72"/>
      <c r="F2552" s="72"/>
      <c r="G2552" s="72"/>
      <c r="H2552" s="22" t="s">
        <v>8803</v>
      </c>
      <c r="I2552" s="27">
        <v>9</v>
      </c>
      <c r="J2552" s="22"/>
      <c r="K2552" s="20">
        <v>1</v>
      </c>
      <c r="L2552" s="24">
        <v>698.99</v>
      </c>
      <c r="M2552" s="11"/>
      <c r="N2552" s="22">
        <f t="shared" si="120"/>
        <v>0</v>
      </c>
      <c r="O2552" s="25">
        <f>0.467*M2552</f>
        <v>0</v>
      </c>
      <c r="P2552" s="26">
        <f>0.00253*M2552</f>
        <v>0</v>
      </c>
      <c r="Q2552" s="30"/>
      <c r="R2552" s="22" t="s">
        <v>8804</v>
      </c>
      <c r="S2552" s="22" t="s">
        <v>435</v>
      </c>
      <c r="T2552" s="21" t="str">
        <f>HYPERLINK("https://miland.ru/api/getInfo/image/ff8422f8-2199-11f0-a279-00155d82e908")</f>
        <v>https://miland.ru/api/getInfo/image/ff8422f8-2199-11f0-a279-00155d82e908</v>
      </c>
      <c r="U2552" s="21"/>
      <c r="V2552" s="21" t="s">
        <v>8796</v>
      </c>
      <c r="W2552" s="21" t="s">
        <v>8646</v>
      </c>
      <c r="X2552" s="21"/>
      <c r="Y2552" s="21" t="s">
        <v>41</v>
      </c>
      <c r="Z2552" s="21"/>
      <c r="AA2552" s="21" t="str">
        <f>HYPERLINK("https://miland.ru/api/getInfo/item/ff8422f8-2199-11f0-a279-00155d82e908")</f>
        <v>https://miland.ru/api/getInfo/item/ff8422f8-2199-11f0-a279-00155d82e908</v>
      </c>
      <c r="AB2552" s="21" t="s">
        <v>42</v>
      </c>
      <c r="AC2552" s="21"/>
      <c r="AD2552" s="21"/>
    </row>
    <row r="2553" spans="2:31" s="1" customFormat="1" ht="96.3" customHeight="1" outlineLevel="5">
      <c r="B2553" s="57">
        <v>1976</v>
      </c>
      <c r="C2553" s="21" t="s">
        <v>8805</v>
      </c>
      <c r="D2553" s="72" t="s">
        <v>8806</v>
      </c>
      <c r="E2553" s="72"/>
      <c r="F2553" s="72"/>
      <c r="G2553" s="72"/>
      <c r="H2553" s="22" t="s">
        <v>8807</v>
      </c>
      <c r="I2553" s="27">
        <v>53</v>
      </c>
      <c r="J2553" s="22"/>
      <c r="K2553" s="20">
        <v>1</v>
      </c>
      <c r="L2553" s="24">
        <v>815.43</v>
      </c>
      <c r="M2553" s="11"/>
      <c r="N2553" s="22">
        <f t="shared" si="120"/>
        <v>0</v>
      </c>
      <c r="O2553" s="25">
        <f>0.473*M2553</f>
        <v>0</v>
      </c>
      <c r="P2553" s="26">
        <f>0.00252*M2553</f>
        <v>0</v>
      </c>
      <c r="Q2553" s="30"/>
      <c r="R2553" s="22" t="s">
        <v>8808</v>
      </c>
      <c r="S2553" s="22" t="s">
        <v>435</v>
      </c>
      <c r="T2553" s="21" t="str">
        <f>HYPERLINK("https://miland.ru/api/getInfo/image/d65ca49f-2193-11f0-a279-00155d82e908")</f>
        <v>https://miland.ru/api/getInfo/image/d65ca49f-2193-11f0-a279-00155d82e908</v>
      </c>
      <c r="U2553" s="21"/>
      <c r="V2553" s="21" t="s">
        <v>8796</v>
      </c>
      <c r="W2553" s="21" t="s">
        <v>8646</v>
      </c>
      <c r="X2553" s="21"/>
      <c r="Y2553" s="21" t="s">
        <v>41</v>
      </c>
      <c r="Z2553" s="21"/>
      <c r="AA2553" s="21" t="str">
        <f>HYPERLINK("https://miland.ru/api/getInfo/item/d65ca49f-2193-11f0-a279-00155d82e908")</f>
        <v>https://miland.ru/api/getInfo/item/d65ca49f-2193-11f0-a279-00155d82e908</v>
      </c>
      <c r="AB2553" s="21" t="s">
        <v>42</v>
      </c>
      <c r="AC2553" s="21"/>
      <c r="AD2553" s="21"/>
    </row>
    <row r="2554" spans="2:31" s="1" customFormat="1" ht="96.3" customHeight="1" outlineLevel="5">
      <c r="B2554" s="57">
        <v>1977</v>
      </c>
      <c r="C2554" s="21" t="s">
        <v>8809</v>
      </c>
      <c r="D2554" s="72" t="s">
        <v>8810</v>
      </c>
      <c r="E2554" s="72"/>
      <c r="F2554" s="72"/>
      <c r="G2554" s="72"/>
      <c r="H2554" s="22" t="s">
        <v>8811</v>
      </c>
      <c r="I2554" s="27">
        <v>181</v>
      </c>
      <c r="J2554" s="22"/>
      <c r="K2554" s="20">
        <v>1</v>
      </c>
      <c r="L2554" s="32">
        <v>1087.32</v>
      </c>
      <c r="M2554" s="11"/>
      <c r="N2554" s="22">
        <f t="shared" si="120"/>
        <v>0</v>
      </c>
      <c r="O2554" s="25">
        <f>0.767*M2554</f>
        <v>0</v>
      </c>
      <c r="P2554" s="26">
        <f>0.00317*M2554</f>
        <v>0</v>
      </c>
      <c r="Q2554" s="30"/>
      <c r="R2554" s="22" t="s">
        <v>8812</v>
      </c>
      <c r="S2554" s="22"/>
      <c r="T2554" s="21" t="str">
        <f>HYPERLINK("https://miland.ru/api/getInfo/image/ca1248ee-fc82-11ee-a25d-00155d82e908")</f>
        <v>https://miland.ru/api/getInfo/image/ca1248ee-fc82-11ee-a25d-00155d82e908</v>
      </c>
      <c r="U2554" s="21"/>
      <c r="V2554" s="21" t="s">
        <v>8796</v>
      </c>
      <c r="W2554" s="21" t="s">
        <v>8646</v>
      </c>
      <c r="X2554" s="21"/>
      <c r="Y2554" s="21" t="s">
        <v>41</v>
      </c>
      <c r="Z2554" s="21"/>
      <c r="AA2554" s="21" t="str">
        <f>HYPERLINK("https://miland.ru/api/getInfo/item/ca1248ee-fc82-11ee-a25d-00155d82e908")</f>
        <v>https://miland.ru/api/getInfo/item/ca1248ee-fc82-11ee-a25d-00155d82e908</v>
      </c>
      <c r="AB2554" s="21" t="s">
        <v>42</v>
      </c>
      <c r="AC2554" s="21" t="s">
        <v>8813</v>
      </c>
      <c r="AD2554" s="21"/>
    </row>
    <row r="2555" spans="2:31" s="1" customFormat="1" ht="96.3" customHeight="1" outlineLevel="5">
      <c r="B2555" s="57">
        <v>1978</v>
      </c>
      <c r="C2555" s="21" t="s">
        <v>8814</v>
      </c>
      <c r="D2555" s="72" t="s">
        <v>8815</v>
      </c>
      <c r="E2555" s="72"/>
      <c r="F2555" s="72"/>
      <c r="G2555" s="72"/>
      <c r="H2555" s="22" t="s">
        <v>8816</v>
      </c>
      <c r="I2555" s="27">
        <v>10</v>
      </c>
      <c r="J2555" s="22"/>
      <c r="K2555" s="20">
        <v>1</v>
      </c>
      <c r="L2555" s="24">
        <v>968.72</v>
      </c>
      <c r="M2555" s="11"/>
      <c r="N2555" s="22">
        <f t="shared" si="120"/>
        <v>0</v>
      </c>
      <c r="O2555" s="25">
        <f>0.702*M2555</f>
        <v>0</v>
      </c>
      <c r="P2555" s="26">
        <f>0.00255*M2555</f>
        <v>0</v>
      </c>
      <c r="Q2555" s="30"/>
      <c r="R2555" s="22" t="s">
        <v>8817</v>
      </c>
      <c r="S2555" s="22" t="s">
        <v>435</v>
      </c>
      <c r="T2555" s="21" t="str">
        <f>HYPERLINK("https://miland.ru/api/getInfo/image/431ca0db-219a-11f0-a279-00155d82e908")</f>
        <v>https://miland.ru/api/getInfo/image/431ca0db-219a-11f0-a279-00155d82e908</v>
      </c>
      <c r="U2555" s="21"/>
      <c r="V2555" s="21" t="s">
        <v>8796</v>
      </c>
      <c r="W2555" s="21" t="s">
        <v>8646</v>
      </c>
      <c r="X2555" s="21"/>
      <c r="Y2555" s="21" t="s">
        <v>41</v>
      </c>
      <c r="Z2555" s="21"/>
      <c r="AA2555" s="21" t="str">
        <f>HYPERLINK("https://miland.ru/api/getInfo/item/431ca0db-219a-11f0-a279-00155d82e908")</f>
        <v>https://miland.ru/api/getInfo/item/431ca0db-219a-11f0-a279-00155d82e908</v>
      </c>
      <c r="AB2555" s="21" t="s">
        <v>42</v>
      </c>
      <c r="AC2555" s="21"/>
      <c r="AD2555" s="21"/>
    </row>
    <row r="2556" spans="2:31" s="1" customFormat="1" ht="96.3" customHeight="1" outlineLevel="5">
      <c r="B2556" s="57">
        <v>1979</v>
      </c>
      <c r="C2556" s="21" t="s">
        <v>8818</v>
      </c>
      <c r="D2556" s="72" t="s">
        <v>8819</v>
      </c>
      <c r="E2556" s="72"/>
      <c r="F2556" s="72"/>
      <c r="G2556" s="72"/>
      <c r="H2556" s="22" t="s">
        <v>8820</v>
      </c>
      <c r="I2556" s="27">
        <v>8</v>
      </c>
      <c r="J2556" s="22"/>
      <c r="K2556" s="20">
        <v>1</v>
      </c>
      <c r="L2556" s="32">
        <v>1153.24</v>
      </c>
      <c r="M2556" s="11"/>
      <c r="N2556" s="22">
        <f t="shared" si="120"/>
        <v>0</v>
      </c>
      <c r="O2556" s="28">
        <f>0.79*M2556</f>
        <v>0</v>
      </c>
      <c r="P2556" s="29">
        <f>0.0037*M2556</f>
        <v>0</v>
      </c>
      <c r="Q2556" s="30"/>
      <c r="R2556" s="22" t="s">
        <v>8821</v>
      </c>
      <c r="S2556" s="22" t="s">
        <v>435</v>
      </c>
      <c r="T2556" s="21" t="str">
        <f>HYPERLINK("https://miland.ru/api/getInfo/image/237c11d9-2199-11f0-a279-00155d82e908")</f>
        <v>https://miland.ru/api/getInfo/image/237c11d9-2199-11f0-a279-00155d82e908</v>
      </c>
      <c r="U2556" s="21"/>
      <c r="V2556" s="21" t="s">
        <v>8796</v>
      </c>
      <c r="W2556" s="21" t="s">
        <v>8646</v>
      </c>
      <c r="X2556" s="21"/>
      <c r="Y2556" s="21" t="s">
        <v>41</v>
      </c>
      <c r="Z2556" s="21"/>
      <c r="AA2556" s="21" t="str">
        <f>HYPERLINK("https://miland.ru/api/getInfo/item/237c11d9-2199-11f0-a279-00155d82e908")</f>
        <v>https://miland.ru/api/getInfo/item/237c11d9-2199-11f0-a279-00155d82e908</v>
      </c>
      <c r="AB2556" s="21" t="s">
        <v>42</v>
      </c>
      <c r="AC2556" s="21"/>
      <c r="AD2556" s="21"/>
    </row>
    <row r="2557" spans="2:31" s="1" customFormat="1" ht="96.3" customHeight="1" outlineLevel="5">
      <c r="B2557" s="57">
        <v>1980</v>
      </c>
      <c r="C2557" s="21" t="s">
        <v>8822</v>
      </c>
      <c r="D2557" s="72" t="s">
        <v>8823</v>
      </c>
      <c r="E2557" s="72"/>
      <c r="F2557" s="72"/>
      <c r="G2557" s="72"/>
      <c r="H2557" s="22" t="s">
        <v>8824</v>
      </c>
      <c r="I2557" s="23" t="s">
        <v>36</v>
      </c>
      <c r="J2557" s="22"/>
      <c r="K2557" s="20">
        <v>1</v>
      </c>
      <c r="L2557" s="24">
        <v>514.16</v>
      </c>
      <c r="M2557" s="11"/>
      <c r="N2557" s="22">
        <f t="shared" si="120"/>
        <v>0</v>
      </c>
      <c r="O2557" s="25">
        <f>0.352*M2557</f>
        <v>0</v>
      </c>
      <c r="P2557" s="26">
        <f>0.00155*M2557</f>
        <v>0</v>
      </c>
      <c r="Q2557" s="30"/>
      <c r="R2557" s="22" t="s">
        <v>8825</v>
      </c>
      <c r="S2557" s="22"/>
      <c r="T2557" s="21" t="str">
        <f>HYPERLINK("https://miland.ru/api/getInfo/image/deea02de-0bc9-11f0-a279-00155d82e908")</f>
        <v>https://miland.ru/api/getInfo/image/deea02de-0bc9-11f0-a279-00155d82e908</v>
      </c>
      <c r="U2557" s="21"/>
      <c r="V2557" s="21" t="s">
        <v>8796</v>
      </c>
      <c r="W2557" s="21" t="s">
        <v>8646</v>
      </c>
      <c r="X2557" s="21"/>
      <c r="Y2557" s="21" t="s">
        <v>41</v>
      </c>
      <c r="Z2557" s="21"/>
      <c r="AA2557" s="21" t="str">
        <f>HYPERLINK("https://miland.ru/api/getInfo/item/deea02de-0bc9-11f0-a279-00155d82e908")</f>
        <v>https://miland.ru/api/getInfo/item/deea02de-0bc9-11f0-a279-00155d82e908</v>
      </c>
      <c r="AB2557" s="21" t="s">
        <v>42</v>
      </c>
      <c r="AC2557" s="21"/>
      <c r="AD2557" s="21"/>
    </row>
    <row r="2558" spans="2:31" ht="12" customHeight="1" outlineLevel="3">
      <c r="B2558" s="70" t="s">
        <v>8826</v>
      </c>
      <c r="C2558" s="70"/>
      <c r="D2558" s="70"/>
      <c r="E2558" s="70"/>
      <c r="F2558" s="70"/>
      <c r="G2558" s="70"/>
    </row>
    <row r="2559" spans="2:31" s="1" customFormat="1" ht="96.3" customHeight="1" outlineLevel="4">
      <c r="B2559" s="58">
        <v>1981</v>
      </c>
      <c r="C2559" s="7" t="s">
        <v>8827</v>
      </c>
      <c r="D2559" s="71" t="s">
        <v>8828</v>
      </c>
      <c r="E2559" s="71"/>
      <c r="F2559" s="71"/>
      <c r="G2559" s="71"/>
      <c r="H2559" s="8" t="s">
        <v>8829</v>
      </c>
      <c r="I2559" s="14">
        <v>414</v>
      </c>
      <c r="J2559" s="8"/>
      <c r="K2559" s="6">
        <v>3</v>
      </c>
      <c r="L2559" s="10">
        <v>241.04</v>
      </c>
      <c r="M2559" s="11"/>
      <c r="N2559" s="8">
        <f t="shared" ref="N2559:N2571" si="121">L2559*M2559</f>
        <v>0</v>
      </c>
      <c r="O2559" s="12">
        <f>0.188*M2559</f>
        <v>0</v>
      </c>
      <c r="P2559" s="13">
        <f>0.00135*M2559</f>
        <v>0</v>
      </c>
      <c r="Q2559" s="17" t="s">
        <v>37</v>
      </c>
      <c r="R2559" s="8" t="s">
        <v>8830</v>
      </c>
      <c r="S2559" s="8"/>
      <c r="T2559" s="7" t="str">
        <f>HYPERLINK("https://miland.ru/api/getInfo/image/60289518-fdbb-11f0-a28e-00155d82e908")</f>
        <v>https://miland.ru/api/getInfo/image/60289518-fdbb-11f0-a28e-00155d82e908</v>
      </c>
      <c r="U2559" s="7"/>
      <c r="V2559" s="7"/>
      <c r="W2559" s="7"/>
      <c r="X2559" s="7"/>
      <c r="Y2559" s="7" t="s">
        <v>41</v>
      </c>
      <c r="Z2559" s="7"/>
      <c r="AA2559" s="7" t="str">
        <f>HYPERLINK("https://miland.ru/api/getInfo/item/60289518-fdbb-11f0-a28e-00155d82e908")</f>
        <v>https://miland.ru/api/getInfo/item/60289518-fdbb-11f0-a28e-00155d82e908</v>
      </c>
      <c r="AB2559" s="7" t="s">
        <v>50</v>
      </c>
      <c r="AC2559" s="7"/>
      <c r="AD2559" s="7"/>
      <c r="AE2559" s="54"/>
    </row>
    <row r="2560" spans="2:31" s="1" customFormat="1" ht="96.3" customHeight="1" outlineLevel="4">
      <c r="B2560" s="57">
        <v>1982</v>
      </c>
      <c r="C2560" s="21" t="s">
        <v>8831</v>
      </c>
      <c r="D2560" s="72" t="s">
        <v>8832</v>
      </c>
      <c r="E2560" s="72"/>
      <c r="F2560" s="72"/>
      <c r="G2560" s="72"/>
      <c r="H2560" s="22" t="s">
        <v>8833</v>
      </c>
      <c r="I2560" s="27">
        <v>81</v>
      </c>
      <c r="J2560" s="22"/>
      <c r="K2560" s="20">
        <v>3</v>
      </c>
      <c r="L2560" s="24">
        <v>241.04</v>
      </c>
      <c r="M2560" s="11"/>
      <c r="N2560" s="22">
        <f t="shared" si="121"/>
        <v>0</v>
      </c>
      <c r="O2560" s="33">
        <f>0.2*M2560</f>
        <v>0</v>
      </c>
      <c r="P2560" s="26">
        <f>0.00122*M2560</f>
        <v>0</v>
      </c>
      <c r="Q2560" s="30"/>
      <c r="R2560" s="22" t="s">
        <v>8834</v>
      </c>
      <c r="S2560" s="22" t="s">
        <v>435</v>
      </c>
      <c r="T2560" s="21" t="str">
        <f>HYPERLINK("https://miland.ru/api/getInfo/image/26489015-ad5d-11ef-a267-00155d82e908")</f>
        <v>https://miland.ru/api/getInfo/image/26489015-ad5d-11ef-a267-00155d82e908</v>
      </c>
      <c r="U2560" s="21"/>
      <c r="V2560" s="21" t="s">
        <v>8835</v>
      </c>
      <c r="W2560" s="21" t="s">
        <v>8836</v>
      </c>
      <c r="X2560" s="21"/>
      <c r="Y2560" s="21" t="s">
        <v>41</v>
      </c>
      <c r="Z2560" s="21"/>
      <c r="AA2560" s="21" t="str">
        <f>HYPERLINK("https://miland.ru/api/getInfo/item/26489015-ad5d-11ef-a267-00155d82e908")</f>
        <v>https://miland.ru/api/getInfo/item/26489015-ad5d-11ef-a267-00155d82e908</v>
      </c>
      <c r="AB2560" s="21" t="s">
        <v>50</v>
      </c>
      <c r="AC2560" s="21"/>
      <c r="AD2560" s="21"/>
    </row>
    <row r="2561" spans="2:31" s="1" customFormat="1" ht="96.3" customHeight="1" outlineLevel="4">
      <c r="B2561" s="57">
        <v>1983</v>
      </c>
      <c r="C2561" s="21" t="s">
        <v>8837</v>
      </c>
      <c r="D2561" s="72" t="s">
        <v>8838</v>
      </c>
      <c r="E2561" s="72"/>
      <c r="F2561" s="72"/>
      <c r="G2561" s="72"/>
      <c r="H2561" s="22" t="s">
        <v>8839</v>
      </c>
      <c r="I2561" s="23" t="s">
        <v>36</v>
      </c>
      <c r="J2561" s="22"/>
      <c r="K2561" s="20">
        <v>3</v>
      </c>
      <c r="L2561" s="24">
        <v>241.04</v>
      </c>
      <c r="M2561" s="11"/>
      <c r="N2561" s="22">
        <f t="shared" si="121"/>
        <v>0</v>
      </c>
      <c r="O2561" s="25">
        <f>0.192*M2561</f>
        <v>0</v>
      </c>
      <c r="P2561" s="26">
        <f>0.00125*M2561</f>
        <v>0</v>
      </c>
      <c r="Q2561" s="30"/>
      <c r="R2561" s="22" t="s">
        <v>8840</v>
      </c>
      <c r="S2561" s="22"/>
      <c r="T2561" s="21" t="str">
        <f>HYPERLINK("https://miland.ru/api/getInfo/image/0d54154c-ad5d-11ef-a267-00155d82e908")</f>
        <v>https://miland.ru/api/getInfo/image/0d54154c-ad5d-11ef-a267-00155d82e908</v>
      </c>
      <c r="U2561" s="21"/>
      <c r="V2561" s="21" t="s">
        <v>8835</v>
      </c>
      <c r="W2561" s="21" t="s">
        <v>8836</v>
      </c>
      <c r="X2561" s="21"/>
      <c r="Y2561" s="21" t="s">
        <v>41</v>
      </c>
      <c r="Z2561" s="21"/>
      <c r="AA2561" s="21" t="str">
        <f>HYPERLINK("https://miland.ru/api/getInfo/item/0d54154c-ad5d-11ef-a267-00155d82e908")</f>
        <v>https://miland.ru/api/getInfo/item/0d54154c-ad5d-11ef-a267-00155d82e908</v>
      </c>
      <c r="AB2561" s="21" t="s">
        <v>50</v>
      </c>
      <c r="AC2561" s="21"/>
      <c r="AD2561" s="21"/>
    </row>
    <row r="2562" spans="2:31" s="1" customFormat="1" ht="96.3" customHeight="1" outlineLevel="4">
      <c r="B2562" s="57">
        <v>1984</v>
      </c>
      <c r="C2562" s="21" t="s">
        <v>8841</v>
      </c>
      <c r="D2562" s="72" t="s">
        <v>8842</v>
      </c>
      <c r="E2562" s="72"/>
      <c r="F2562" s="72"/>
      <c r="G2562" s="72"/>
      <c r="H2562" s="22" t="s">
        <v>8843</v>
      </c>
      <c r="I2562" s="27">
        <v>5</v>
      </c>
      <c r="J2562" s="22"/>
      <c r="K2562" s="20">
        <v>3</v>
      </c>
      <c r="L2562" s="24">
        <v>241.04</v>
      </c>
      <c r="M2562" s="11"/>
      <c r="N2562" s="22">
        <f t="shared" si="121"/>
        <v>0</v>
      </c>
      <c r="O2562" s="25">
        <f>0.194*M2562</f>
        <v>0</v>
      </c>
      <c r="P2562" s="26">
        <f>0.00127*M2562</f>
        <v>0</v>
      </c>
      <c r="Q2562" s="30"/>
      <c r="R2562" s="22" t="s">
        <v>8844</v>
      </c>
      <c r="S2562" s="22" t="s">
        <v>435</v>
      </c>
      <c r="T2562" s="21" t="str">
        <f>HYPERLINK("https://miland.ru/api/getInfo/image/7f156612-ad5d-11ef-a267-00155d82e908")</f>
        <v>https://miland.ru/api/getInfo/image/7f156612-ad5d-11ef-a267-00155d82e908</v>
      </c>
      <c r="U2562" s="21"/>
      <c r="V2562" s="21" t="s">
        <v>8835</v>
      </c>
      <c r="W2562" s="21" t="s">
        <v>8836</v>
      </c>
      <c r="X2562" s="21"/>
      <c r="Y2562" s="21" t="s">
        <v>41</v>
      </c>
      <c r="Z2562" s="21"/>
      <c r="AA2562" s="21" t="str">
        <f>HYPERLINK("https://miland.ru/api/getInfo/item/7f156612-ad5d-11ef-a267-00155d82e908")</f>
        <v>https://miland.ru/api/getInfo/item/7f156612-ad5d-11ef-a267-00155d82e908</v>
      </c>
      <c r="AB2562" s="21" t="s">
        <v>50</v>
      </c>
      <c r="AC2562" s="21"/>
      <c r="AD2562" s="21"/>
    </row>
    <row r="2563" spans="2:31" s="1" customFormat="1" ht="96.3" customHeight="1" outlineLevel="4">
      <c r="B2563" s="58">
        <v>1985</v>
      </c>
      <c r="C2563" s="7" t="s">
        <v>8845</v>
      </c>
      <c r="D2563" s="71" t="s">
        <v>8846</v>
      </c>
      <c r="E2563" s="71"/>
      <c r="F2563" s="71"/>
      <c r="G2563" s="71"/>
      <c r="H2563" s="8" t="s">
        <v>8847</v>
      </c>
      <c r="I2563" s="14">
        <v>450</v>
      </c>
      <c r="J2563" s="8"/>
      <c r="K2563" s="6">
        <v>3</v>
      </c>
      <c r="L2563" s="10">
        <v>241.04</v>
      </c>
      <c r="M2563" s="11"/>
      <c r="N2563" s="8">
        <f t="shared" si="121"/>
        <v>0</v>
      </c>
      <c r="O2563" s="12">
        <f>0.188*M2563</f>
        <v>0</v>
      </c>
      <c r="P2563" s="13">
        <f>0.00135*M2563</f>
        <v>0</v>
      </c>
      <c r="Q2563" s="17" t="s">
        <v>37</v>
      </c>
      <c r="R2563" s="8" t="s">
        <v>8848</v>
      </c>
      <c r="S2563" s="8"/>
      <c r="T2563" s="7" t="str">
        <f>HYPERLINK("https://miland.ru/api/getInfo/image/b339b93e-fdba-11f0-a28e-00155d82e908")</f>
        <v>https://miland.ru/api/getInfo/image/b339b93e-fdba-11f0-a28e-00155d82e908</v>
      </c>
      <c r="U2563" s="7"/>
      <c r="V2563" s="7"/>
      <c r="W2563" s="7"/>
      <c r="X2563" s="7"/>
      <c r="Y2563" s="7" t="s">
        <v>41</v>
      </c>
      <c r="Z2563" s="7"/>
      <c r="AA2563" s="7" t="str">
        <f>HYPERLINK("https://miland.ru/api/getInfo/item/b339b93e-fdba-11f0-a28e-00155d82e908")</f>
        <v>https://miland.ru/api/getInfo/item/b339b93e-fdba-11f0-a28e-00155d82e908</v>
      </c>
      <c r="AB2563" s="7" t="s">
        <v>50</v>
      </c>
      <c r="AC2563" s="7"/>
      <c r="AD2563" s="7"/>
      <c r="AE2563" s="54"/>
    </row>
    <row r="2564" spans="2:31" s="1" customFormat="1" ht="96.3" customHeight="1" outlineLevel="4">
      <c r="B2564" s="57">
        <v>1986</v>
      </c>
      <c r="C2564" s="21" t="s">
        <v>8849</v>
      </c>
      <c r="D2564" s="72" t="s">
        <v>8850</v>
      </c>
      <c r="E2564" s="72"/>
      <c r="F2564" s="72"/>
      <c r="G2564" s="72"/>
      <c r="H2564" s="22" t="s">
        <v>8851</v>
      </c>
      <c r="I2564" s="27">
        <v>98</v>
      </c>
      <c r="J2564" s="22"/>
      <c r="K2564" s="20">
        <v>3</v>
      </c>
      <c r="L2564" s="24">
        <v>241.04</v>
      </c>
      <c r="M2564" s="11"/>
      <c r="N2564" s="22">
        <f t="shared" si="121"/>
        <v>0</v>
      </c>
      <c r="O2564" s="33">
        <f>0.2*M2564</f>
        <v>0</v>
      </c>
      <c r="P2564" s="26">
        <f>0.00122*M2564</f>
        <v>0</v>
      </c>
      <c r="Q2564" s="30"/>
      <c r="R2564" s="22" t="s">
        <v>8852</v>
      </c>
      <c r="S2564" s="22" t="s">
        <v>435</v>
      </c>
      <c r="T2564" s="21" t="str">
        <f>HYPERLINK("https://miland.ru/api/getInfo/image/c5c1abe0-ad5d-11ef-a267-00155d82e908")</f>
        <v>https://miland.ru/api/getInfo/image/c5c1abe0-ad5d-11ef-a267-00155d82e908</v>
      </c>
      <c r="U2564" s="21"/>
      <c r="V2564" s="21" t="s">
        <v>8835</v>
      </c>
      <c r="W2564" s="21" t="s">
        <v>8836</v>
      </c>
      <c r="X2564" s="21"/>
      <c r="Y2564" s="21" t="s">
        <v>41</v>
      </c>
      <c r="Z2564" s="21"/>
      <c r="AA2564" s="21" t="str">
        <f>HYPERLINK("https://miland.ru/api/getInfo/item/c5c1abe0-ad5d-11ef-a267-00155d82e908")</f>
        <v>https://miland.ru/api/getInfo/item/c5c1abe0-ad5d-11ef-a267-00155d82e908</v>
      </c>
      <c r="AB2564" s="21" t="s">
        <v>50</v>
      </c>
      <c r="AC2564" s="21"/>
      <c r="AD2564" s="21"/>
    </row>
    <row r="2565" spans="2:31" s="1" customFormat="1" ht="96.3" customHeight="1" outlineLevel="4">
      <c r="B2565" s="58">
        <v>1987</v>
      </c>
      <c r="C2565" s="7" t="s">
        <v>8853</v>
      </c>
      <c r="D2565" s="71" t="s">
        <v>8854</v>
      </c>
      <c r="E2565" s="71"/>
      <c r="F2565" s="71"/>
      <c r="G2565" s="71"/>
      <c r="H2565" s="8" t="s">
        <v>8855</v>
      </c>
      <c r="I2565" s="14">
        <v>412</v>
      </c>
      <c r="J2565" s="8"/>
      <c r="K2565" s="6">
        <v>3</v>
      </c>
      <c r="L2565" s="10">
        <v>241.04</v>
      </c>
      <c r="M2565" s="11"/>
      <c r="N2565" s="8">
        <f t="shared" si="121"/>
        <v>0</v>
      </c>
      <c r="O2565" s="12">
        <f>0.188*M2565</f>
        <v>0</v>
      </c>
      <c r="P2565" s="13">
        <f>0.00135*M2565</f>
        <v>0</v>
      </c>
      <c r="Q2565" s="17" t="s">
        <v>37</v>
      </c>
      <c r="R2565" s="8" t="s">
        <v>8856</v>
      </c>
      <c r="S2565" s="8"/>
      <c r="T2565" s="7" t="str">
        <f>HYPERLINK("https://miland.ru/api/getInfo/image/4bd77029-fdbb-11f0-a28e-00155d82e908")</f>
        <v>https://miland.ru/api/getInfo/image/4bd77029-fdbb-11f0-a28e-00155d82e908</v>
      </c>
      <c r="U2565" s="7"/>
      <c r="V2565" s="7"/>
      <c r="W2565" s="7"/>
      <c r="X2565" s="7"/>
      <c r="Y2565" s="7" t="s">
        <v>41</v>
      </c>
      <c r="Z2565" s="7"/>
      <c r="AA2565" s="7" t="str">
        <f>HYPERLINK("https://miland.ru/api/getInfo/item/4bd77029-fdbb-11f0-a28e-00155d82e908")</f>
        <v>https://miland.ru/api/getInfo/item/4bd77029-fdbb-11f0-a28e-00155d82e908</v>
      </c>
      <c r="AB2565" s="7" t="s">
        <v>50</v>
      </c>
      <c r="AC2565" s="7"/>
      <c r="AD2565" s="7"/>
      <c r="AE2565" s="54"/>
    </row>
    <row r="2566" spans="2:31" s="1" customFormat="1" ht="96.3" customHeight="1" outlineLevel="4">
      <c r="B2566" s="58">
        <v>1988</v>
      </c>
      <c r="C2566" s="7" t="s">
        <v>8857</v>
      </c>
      <c r="D2566" s="71" t="s">
        <v>8858</v>
      </c>
      <c r="E2566" s="71"/>
      <c r="F2566" s="71"/>
      <c r="G2566" s="71"/>
      <c r="H2566" s="8" t="s">
        <v>8859</v>
      </c>
      <c r="I2566" s="14">
        <v>411</v>
      </c>
      <c r="J2566" s="8"/>
      <c r="K2566" s="6">
        <v>3</v>
      </c>
      <c r="L2566" s="10">
        <v>241.04</v>
      </c>
      <c r="M2566" s="11"/>
      <c r="N2566" s="8">
        <f t="shared" si="121"/>
        <v>0</v>
      </c>
      <c r="O2566" s="12">
        <f>0.188*M2566</f>
        <v>0</v>
      </c>
      <c r="P2566" s="13">
        <f>0.00135*M2566</f>
        <v>0</v>
      </c>
      <c r="Q2566" s="17" t="s">
        <v>37</v>
      </c>
      <c r="R2566" s="8" t="s">
        <v>8860</v>
      </c>
      <c r="S2566" s="8"/>
      <c r="T2566" s="7" t="str">
        <f>HYPERLINK("https://miland.ru/api/getInfo/image/1fa37267-fdbb-11f0-a28e-00155d82e908")</f>
        <v>https://miland.ru/api/getInfo/image/1fa37267-fdbb-11f0-a28e-00155d82e908</v>
      </c>
      <c r="U2566" s="7"/>
      <c r="V2566" s="7"/>
      <c r="W2566" s="7"/>
      <c r="X2566" s="7"/>
      <c r="Y2566" s="7" t="s">
        <v>41</v>
      </c>
      <c r="Z2566" s="7"/>
      <c r="AA2566" s="7" t="str">
        <f>HYPERLINK("https://miland.ru/api/getInfo/item/1fa37267-fdbb-11f0-a28e-00155d82e908")</f>
        <v>https://miland.ru/api/getInfo/item/1fa37267-fdbb-11f0-a28e-00155d82e908</v>
      </c>
      <c r="AB2566" s="7" t="s">
        <v>50</v>
      </c>
      <c r="AC2566" s="7"/>
      <c r="AD2566" s="7"/>
      <c r="AE2566" s="54"/>
    </row>
    <row r="2567" spans="2:31" s="1" customFormat="1" ht="96.3" customHeight="1" outlineLevel="4">
      <c r="B2567" s="58">
        <v>1989</v>
      </c>
      <c r="C2567" s="7" t="s">
        <v>8861</v>
      </c>
      <c r="D2567" s="71" t="s">
        <v>8862</v>
      </c>
      <c r="E2567" s="71"/>
      <c r="F2567" s="71"/>
      <c r="G2567" s="71"/>
      <c r="H2567" s="8" t="s">
        <v>8863</v>
      </c>
      <c r="I2567" s="14">
        <v>474</v>
      </c>
      <c r="J2567" s="8"/>
      <c r="K2567" s="6">
        <v>3</v>
      </c>
      <c r="L2567" s="10">
        <v>241.04</v>
      </c>
      <c r="M2567" s="11"/>
      <c r="N2567" s="8">
        <f t="shared" si="121"/>
        <v>0</v>
      </c>
      <c r="O2567" s="12">
        <f>0.188*M2567</f>
        <v>0</v>
      </c>
      <c r="P2567" s="13">
        <f>0.00135*M2567</f>
        <v>0</v>
      </c>
      <c r="Q2567" s="17" t="s">
        <v>37</v>
      </c>
      <c r="R2567" s="8" t="s">
        <v>8864</v>
      </c>
      <c r="S2567" s="8"/>
      <c r="T2567" s="7" t="str">
        <f>HYPERLINK("https://miland.ru/api/getInfo/image/f75d2b37-fdba-11f0-a28e-00155d82e908")</f>
        <v>https://miland.ru/api/getInfo/image/f75d2b37-fdba-11f0-a28e-00155d82e908</v>
      </c>
      <c r="U2567" s="7"/>
      <c r="V2567" s="7"/>
      <c r="W2567" s="7"/>
      <c r="X2567" s="7"/>
      <c r="Y2567" s="7" t="s">
        <v>41</v>
      </c>
      <c r="Z2567" s="7"/>
      <c r="AA2567" s="7" t="str">
        <f>HYPERLINK("https://miland.ru/api/getInfo/item/f75d2b37-fdba-11f0-a28e-00155d82e908")</f>
        <v>https://miland.ru/api/getInfo/item/f75d2b37-fdba-11f0-a28e-00155d82e908</v>
      </c>
      <c r="AB2567" s="7" t="s">
        <v>50</v>
      </c>
      <c r="AC2567" s="7"/>
      <c r="AD2567" s="7"/>
      <c r="AE2567" s="54"/>
    </row>
    <row r="2568" spans="2:31" s="1" customFormat="1" ht="96.3" customHeight="1" outlineLevel="4">
      <c r="B2568" s="57">
        <v>1990</v>
      </c>
      <c r="C2568" s="21" t="s">
        <v>8865</v>
      </c>
      <c r="D2568" s="72" t="s">
        <v>8866</v>
      </c>
      <c r="E2568" s="72"/>
      <c r="F2568" s="72"/>
      <c r="G2568" s="72"/>
      <c r="H2568" s="22" t="s">
        <v>8867</v>
      </c>
      <c r="I2568" s="27">
        <v>438</v>
      </c>
      <c r="J2568" s="22"/>
      <c r="K2568" s="20">
        <v>3</v>
      </c>
      <c r="L2568" s="24">
        <v>241.04</v>
      </c>
      <c r="M2568" s="11"/>
      <c r="N2568" s="22">
        <f t="shared" si="121"/>
        <v>0</v>
      </c>
      <c r="O2568" s="25">
        <f>0.192*M2568</f>
        <v>0</v>
      </c>
      <c r="P2568" s="26">
        <f>0.00013*M2568</f>
        <v>0</v>
      </c>
      <c r="Q2568" s="30"/>
      <c r="R2568" s="22" t="s">
        <v>8868</v>
      </c>
      <c r="S2568" s="22"/>
      <c r="T2568" s="21" t="str">
        <f>HYPERLINK("https://miland.ru/api/getInfo/image/520748c0-ad5d-11ef-a267-00155d82e908")</f>
        <v>https://miland.ru/api/getInfo/image/520748c0-ad5d-11ef-a267-00155d82e908</v>
      </c>
      <c r="U2568" s="21"/>
      <c r="V2568" s="21" t="s">
        <v>8835</v>
      </c>
      <c r="W2568" s="21" t="s">
        <v>8836</v>
      </c>
      <c r="X2568" s="21"/>
      <c r="Y2568" s="21" t="s">
        <v>41</v>
      </c>
      <c r="Z2568" s="21"/>
      <c r="AA2568" s="21" t="str">
        <f>HYPERLINK("https://miland.ru/api/getInfo/item/520748c0-ad5d-11ef-a267-00155d82e908")</f>
        <v>https://miland.ru/api/getInfo/item/520748c0-ad5d-11ef-a267-00155d82e908</v>
      </c>
      <c r="AB2568" s="21" t="s">
        <v>50</v>
      </c>
      <c r="AC2568" s="21"/>
      <c r="AD2568" s="21"/>
    </row>
    <row r="2569" spans="2:31" s="1" customFormat="1" ht="96.3" customHeight="1" outlineLevel="4">
      <c r="B2569" s="58">
        <v>1991</v>
      </c>
      <c r="C2569" s="7" t="s">
        <v>8869</v>
      </c>
      <c r="D2569" s="71" t="s">
        <v>8870</v>
      </c>
      <c r="E2569" s="71"/>
      <c r="F2569" s="71"/>
      <c r="G2569" s="71"/>
      <c r="H2569" s="8" t="s">
        <v>8871</v>
      </c>
      <c r="I2569" s="14">
        <v>414</v>
      </c>
      <c r="J2569" s="8"/>
      <c r="K2569" s="6">
        <v>3</v>
      </c>
      <c r="L2569" s="10">
        <v>241.04</v>
      </c>
      <c r="M2569" s="11"/>
      <c r="N2569" s="8">
        <f t="shared" si="121"/>
        <v>0</v>
      </c>
      <c r="O2569" s="12">
        <f>0.188*M2569</f>
        <v>0</v>
      </c>
      <c r="P2569" s="13">
        <f>0.00135*M2569</f>
        <v>0</v>
      </c>
      <c r="Q2569" s="17" t="s">
        <v>37</v>
      </c>
      <c r="R2569" s="8" t="s">
        <v>8872</v>
      </c>
      <c r="S2569" s="8"/>
      <c r="T2569" s="7" t="str">
        <f>HYPERLINK("https://miland.ru/api/getInfo/image/0d46080e-fdbb-11f0-a28e-00155d82e908")</f>
        <v>https://miland.ru/api/getInfo/image/0d46080e-fdbb-11f0-a28e-00155d82e908</v>
      </c>
      <c r="U2569" s="7"/>
      <c r="V2569" s="7"/>
      <c r="W2569" s="7"/>
      <c r="X2569" s="7"/>
      <c r="Y2569" s="7" t="s">
        <v>41</v>
      </c>
      <c r="Z2569" s="7"/>
      <c r="AA2569" s="7" t="str">
        <f>HYPERLINK("https://miland.ru/api/getInfo/item/0d46080e-fdbb-11f0-a28e-00155d82e908")</f>
        <v>https://miland.ru/api/getInfo/item/0d46080e-fdbb-11f0-a28e-00155d82e908</v>
      </c>
      <c r="AB2569" s="7" t="s">
        <v>50</v>
      </c>
      <c r="AC2569" s="7"/>
      <c r="AD2569" s="7"/>
      <c r="AE2569" s="54"/>
    </row>
    <row r="2570" spans="2:31" s="1" customFormat="1" ht="96.3" customHeight="1" outlineLevel="4">
      <c r="B2570" s="57">
        <v>1992</v>
      </c>
      <c r="C2570" s="21" t="s">
        <v>8873</v>
      </c>
      <c r="D2570" s="72" t="s">
        <v>8874</v>
      </c>
      <c r="E2570" s="72"/>
      <c r="F2570" s="72"/>
      <c r="G2570" s="72"/>
      <c r="H2570" s="22" t="s">
        <v>8875</v>
      </c>
      <c r="I2570" s="27">
        <v>497</v>
      </c>
      <c r="J2570" s="22"/>
      <c r="K2570" s="20">
        <v>3</v>
      </c>
      <c r="L2570" s="24">
        <v>241.04</v>
      </c>
      <c r="M2570" s="11"/>
      <c r="N2570" s="22">
        <f t="shared" si="121"/>
        <v>0</v>
      </c>
      <c r="O2570" s="25">
        <f>0.195*M2570</f>
        <v>0</v>
      </c>
      <c r="P2570" s="26">
        <f>0.00131*M2570</f>
        <v>0</v>
      </c>
      <c r="Q2570" s="30"/>
      <c r="R2570" s="22" t="s">
        <v>8876</v>
      </c>
      <c r="S2570" s="22"/>
      <c r="T2570" s="21" t="str">
        <f>HYPERLINK("https://miland.ru/api/getInfo/image/98a50fc1-ad5d-11ef-a267-00155d82e908")</f>
        <v>https://miland.ru/api/getInfo/image/98a50fc1-ad5d-11ef-a267-00155d82e908</v>
      </c>
      <c r="U2570" s="21"/>
      <c r="V2570" s="21" t="s">
        <v>8835</v>
      </c>
      <c r="W2570" s="21" t="s">
        <v>8836</v>
      </c>
      <c r="X2570" s="21"/>
      <c r="Y2570" s="21" t="s">
        <v>41</v>
      </c>
      <c r="Z2570" s="21"/>
      <c r="AA2570" s="21" t="str">
        <f>HYPERLINK("https://miland.ru/api/getInfo/item/98a50fc1-ad5d-11ef-a267-00155d82e908")</f>
        <v>https://miland.ru/api/getInfo/item/98a50fc1-ad5d-11ef-a267-00155d82e908</v>
      </c>
      <c r="AB2570" s="21" t="s">
        <v>50</v>
      </c>
      <c r="AC2570" s="21"/>
      <c r="AD2570" s="21"/>
    </row>
    <row r="2571" spans="2:31" s="1" customFormat="1" ht="96.3" customHeight="1" outlineLevel="4">
      <c r="B2571" s="58">
        <v>1993</v>
      </c>
      <c r="C2571" s="7" t="s">
        <v>8877</v>
      </c>
      <c r="D2571" s="71" t="s">
        <v>8878</v>
      </c>
      <c r="E2571" s="71"/>
      <c r="F2571" s="71"/>
      <c r="G2571" s="71"/>
      <c r="H2571" s="8" t="s">
        <v>8879</v>
      </c>
      <c r="I2571" s="14">
        <v>477</v>
      </c>
      <c r="J2571" s="8"/>
      <c r="K2571" s="6">
        <v>3</v>
      </c>
      <c r="L2571" s="10">
        <v>241.04</v>
      </c>
      <c r="M2571" s="11"/>
      <c r="N2571" s="8">
        <f t="shared" si="121"/>
        <v>0</v>
      </c>
      <c r="O2571" s="12">
        <f>0.188*M2571</f>
        <v>0</v>
      </c>
      <c r="P2571" s="13">
        <f>0.00135*M2571</f>
        <v>0</v>
      </c>
      <c r="Q2571" s="17" t="s">
        <v>37</v>
      </c>
      <c r="R2571" s="8" t="s">
        <v>8880</v>
      </c>
      <c r="S2571" s="8"/>
      <c r="T2571" s="7" t="str">
        <f>HYPERLINK("https://miland.ru/api/getInfo/image/40beee45-fdba-11f0-a28e-00155d82e908")</f>
        <v>https://miland.ru/api/getInfo/image/40beee45-fdba-11f0-a28e-00155d82e908</v>
      </c>
      <c r="U2571" s="7"/>
      <c r="V2571" s="7"/>
      <c r="W2571" s="7"/>
      <c r="X2571" s="7"/>
      <c r="Y2571" s="7" t="s">
        <v>41</v>
      </c>
      <c r="Z2571" s="7"/>
      <c r="AA2571" s="7" t="str">
        <f>HYPERLINK("https://miland.ru/api/getInfo/item/40beee45-fdba-11f0-a28e-00155d82e908")</f>
        <v>https://miland.ru/api/getInfo/item/40beee45-fdba-11f0-a28e-00155d82e908</v>
      </c>
      <c r="AB2571" s="7" t="s">
        <v>50</v>
      </c>
      <c r="AC2571" s="7"/>
      <c r="AD2571" s="7"/>
      <c r="AE2571" s="54"/>
    </row>
    <row r="2572" spans="2:31" ht="12" customHeight="1" outlineLevel="3">
      <c r="B2572" s="70" t="s">
        <v>8881</v>
      </c>
      <c r="C2572" s="70"/>
      <c r="D2572" s="70"/>
      <c r="E2572" s="70"/>
      <c r="F2572" s="70"/>
      <c r="G2572" s="70"/>
    </row>
    <row r="2573" spans="2:31" ht="12" customHeight="1" outlineLevel="4">
      <c r="B2573" s="70" t="s">
        <v>8882</v>
      </c>
      <c r="C2573" s="70"/>
      <c r="D2573" s="70"/>
      <c r="E2573" s="70"/>
      <c r="F2573" s="70"/>
      <c r="G2573" s="70"/>
    </row>
    <row r="2574" spans="2:31" ht="12" customHeight="1" outlineLevel="5">
      <c r="B2574" s="70" t="s">
        <v>8883</v>
      </c>
      <c r="C2574" s="70"/>
      <c r="D2574" s="70"/>
      <c r="E2574" s="70"/>
      <c r="F2574" s="70"/>
      <c r="G2574" s="70"/>
    </row>
    <row r="2575" spans="2:31" s="1" customFormat="1" ht="96.3" customHeight="1" outlineLevel="6">
      <c r="B2575" s="58">
        <v>1994</v>
      </c>
      <c r="C2575" s="7" t="s">
        <v>8884</v>
      </c>
      <c r="D2575" s="71" t="s">
        <v>8885</v>
      </c>
      <c r="E2575" s="71"/>
      <c r="F2575" s="71"/>
      <c r="G2575" s="71"/>
      <c r="H2575" s="8" t="s">
        <v>8886</v>
      </c>
      <c r="I2575" s="9" t="s">
        <v>36</v>
      </c>
      <c r="J2575" s="8"/>
      <c r="K2575" s="6">
        <v>1</v>
      </c>
      <c r="L2575" s="10">
        <v>976.99</v>
      </c>
      <c r="M2575" s="11"/>
      <c r="N2575" s="8">
        <f>L2575*M2575</f>
        <v>0</v>
      </c>
      <c r="O2575" s="12">
        <f>0.538*M2575</f>
        <v>0</v>
      </c>
      <c r="P2575" s="13">
        <f>0.00434*M2575</f>
        <v>0</v>
      </c>
      <c r="Q2575" s="17" t="s">
        <v>37</v>
      </c>
      <c r="R2575" s="8" t="s">
        <v>8887</v>
      </c>
      <c r="S2575" s="8"/>
      <c r="T2575" s="7" t="str">
        <f>HYPERLINK("https://miland.ru/api/getInfo/image/e6ae0e6e-d114-11f0-a28b-00155d82e908")</f>
        <v>https://miland.ru/api/getInfo/image/e6ae0e6e-d114-11f0-a28b-00155d82e908</v>
      </c>
      <c r="U2575" s="7"/>
      <c r="V2575" s="7"/>
      <c r="W2575" s="7" t="s">
        <v>8888</v>
      </c>
      <c r="X2575" s="7"/>
      <c r="Y2575" s="7" t="s">
        <v>41</v>
      </c>
      <c r="Z2575" s="7"/>
      <c r="AA2575" s="7" t="str">
        <f>HYPERLINK("https://miland.ru/api/getInfo/item/e6ae0e6e-d114-11f0-a28b-00155d82e908")</f>
        <v>https://miland.ru/api/getInfo/item/e6ae0e6e-d114-11f0-a28b-00155d82e908</v>
      </c>
      <c r="AB2575" s="7" t="s">
        <v>42</v>
      </c>
      <c r="AC2575" s="7"/>
      <c r="AD2575" s="7"/>
      <c r="AE2575" s="54"/>
    </row>
    <row r="2576" spans="2:31" s="1" customFormat="1" ht="96.3" customHeight="1" outlineLevel="6">
      <c r="B2576" s="58">
        <v>1995</v>
      </c>
      <c r="C2576" s="7" t="s">
        <v>8889</v>
      </c>
      <c r="D2576" s="71" t="s">
        <v>8890</v>
      </c>
      <c r="E2576" s="71"/>
      <c r="F2576" s="71"/>
      <c r="G2576" s="71"/>
      <c r="H2576" s="8" t="s">
        <v>8891</v>
      </c>
      <c r="I2576" s="9" t="s">
        <v>36</v>
      </c>
      <c r="J2576" s="8"/>
      <c r="K2576" s="6">
        <v>1</v>
      </c>
      <c r="L2576" s="10">
        <v>976.99</v>
      </c>
      <c r="M2576" s="11"/>
      <c r="N2576" s="8">
        <f>L2576*M2576</f>
        <v>0</v>
      </c>
      <c r="O2576" s="18">
        <f>0.54*M2576</f>
        <v>0</v>
      </c>
      <c r="P2576" s="13">
        <f>0.00454*M2576</f>
        <v>0</v>
      </c>
      <c r="Q2576" s="17" t="s">
        <v>37</v>
      </c>
      <c r="R2576" s="8" t="s">
        <v>8892</v>
      </c>
      <c r="S2576" s="8"/>
      <c r="T2576" s="7" t="str">
        <f>HYPERLINK("https://miland.ru/api/getInfo/image/a7a80965-d115-11f0-a28b-00155d82e908")</f>
        <v>https://miland.ru/api/getInfo/image/a7a80965-d115-11f0-a28b-00155d82e908</v>
      </c>
      <c r="U2576" s="7"/>
      <c r="V2576" s="7"/>
      <c r="W2576" s="7" t="s">
        <v>8888</v>
      </c>
      <c r="X2576" s="7"/>
      <c r="Y2576" s="7" t="s">
        <v>41</v>
      </c>
      <c r="Z2576" s="7"/>
      <c r="AA2576" s="7" t="str">
        <f>HYPERLINK("https://miland.ru/api/getInfo/item/a7a80965-d115-11f0-a28b-00155d82e908")</f>
        <v>https://miland.ru/api/getInfo/item/a7a80965-d115-11f0-a28b-00155d82e908</v>
      </c>
      <c r="AB2576" s="7" t="s">
        <v>42</v>
      </c>
      <c r="AC2576" s="7"/>
      <c r="AD2576" s="7"/>
      <c r="AE2576" s="54"/>
    </row>
    <row r="2577" spans="2:31" ht="12" customHeight="1" outlineLevel="4">
      <c r="B2577" s="70" t="s">
        <v>8893</v>
      </c>
      <c r="C2577" s="70"/>
      <c r="D2577" s="70"/>
      <c r="E2577" s="70"/>
      <c r="F2577" s="70"/>
      <c r="G2577" s="70"/>
    </row>
    <row r="2578" spans="2:31" s="1" customFormat="1" ht="96.3" customHeight="1" outlineLevel="5">
      <c r="B2578" s="57">
        <v>1996</v>
      </c>
      <c r="C2578" s="21" t="s">
        <v>8894</v>
      </c>
      <c r="D2578" s="72" t="s">
        <v>8895</v>
      </c>
      <c r="E2578" s="72"/>
      <c r="F2578" s="72"/>
      <c r="G2578" s="72"/>
      <c r="H2578" s="22" t="s">
        <v>8896</v>
      </c>
      <c r="I2578" s="23" t="s">
        <v>36</v>
      </c>
      <c r="J2578" s="22"/>
      <c r="K2578" s="20">
        <v>2</v>
      </c>
      <c r="L2578" s="24">
        <v>291.99</v>
      </c>
      <c r="M2578" s="11"/>
      <c r="N2578" s="22">
        <f t="shared" ref="N2578:N2585" si="122">L2578*M2578</f>
        <v>0</v>
      </c>
      <c r="O2578" s="25">
        <f>0.053*M2578</f>
        <v>0</v>
      </c>
      <c r="P2578" s="26">
        <f>0.00048*M2578</f>
        <v>0</v>
      </c>
      <c r="Q2578" s="30"/>
      <c r="R2578" s="22" t="s">
        <v>8897</v>
      </c>
      <c r="S2578" s="22"/>
      <c r="T2578" s="21" t="str">
        <f>HYPERLINK("https://miland.ru/api/getInfo/image/fd2ed836-e12b-11ee-a25a-00155d82e908")</f>
        <v>https://miland.ru/api/getInfo/image/fd2ed836-e12b-11ee-a25a-00155d82e908</v>
      </c>
      <c r="U2578" s="21"/>
      <c r="V2578" s="21" t="s">
        <v>8898</v>
      </c>
      <c r="W2578" s="21" t="s">
        <v>8899</v>
      </c>
      <c r="X2578" s="21"/>
      <c r="Y2578" s="21" t="s">
        <v>697</v>
      </c>
      <c r="Z2578" s="21"/>
      <c r="AA2578" s="21" t="str">
        <f>HYPERLINK("https://miland.ru/api/getInfo/item/fd2ed836-e12b-11ee-a25a-00155d82e908")</f>
        <v>https://miland.ru/api/getInfo/item/fd2ed836-e12b-11ee-a25a-00155d82e908</v>
      </c>
      <c r="AB2578" s="21" t="s">
        <v>42</v>
      </c>
      <c r="AC2578" s="21" t="s">
        <v>8900</v>
      </c>
      <c r="AD2578" s="21"/>
    </row>
    <row r="2579" spans="2:31" s="1" customFormat="1" ht="96.3" customHeight="1" outlineLevel="5">
      <c r="B2579" s="57">
        <v>1997</v>
      </c>
      <c r="C2579" s="21" t="s">
        <v>8901</v>
      </c>
      <c r="D2579" s="72" t="s">
        <v>8902</v>
      </c>
      <c r="E2579" s="72"/>
      <c r="F2579" s="72"/>
      <c r="G2579" s="72"/>
      <c r="H2579" s="22" t="s">
        <v>8903</v>
      </c>
      <c r="I2579" s="23" t="s">
        <v>36</v>
      </c>
      <c r="J2579" s="22"/>
      <c r="K2579" s="20">
        <v>2</v>
      </c>
      <c r="L2579" s="24">
        <v>291.99</v>
      </c>
      <c r="M2579" s="11"/>
      <c r="N2579" s="22">
        <f t="shared" si="122"/>
        <v>0</v>
      </c>
      <c r="O2579" s="25">
        <f>0.052*M2579</f>
        <v>0</v>
      </c>
      <c r="P2579" s="29">
        <f>0.0005*M2579</f>
        <v>0</v>
      </c>
      <c r="Q2579" s="30"/>
      <c r="R2579" s="22" t="s">
        <v>8904</v>
      </c>
      <c r="S2579" s="22"/>
      <c r="T2579" s="21" t="str">
        <f>HYPERLINK("https://miland.ru/api/getInfo/image/2f165133-e12d-11ee-a25a-00155d82e908")</f>
        <v>https://miland.ru/api/getInfo/image/2f165133-e12d-11ee-a25a-00155d82e908</v>
      </c>
      <c r="U2579" s="21"/>
      <c r="V2579" s="21" t="s">
        <v>8898</v>
      </c>
      <c r="W2579" s="21" t="s">
        <v>8899</v>
      </c>
      <c r="X2579" s="21"/>
      <c r="Y2579" s="21" t="s">
        <v>697</v>
      </c>
      <c r="Z2579" s="21"/>
      <c r="AA2579" s="21" t="str">
        <f>HYPERLINK("https://miland.ru/api/getInfo/item/2f165133-e12d-11ee-a25a-00155d82e908")</f>
        <v>https://miland.ru/api/getInfo/item/2f165133-e12d-11ee-a25a-00155d82e908</v>
      </c>
      <c r="AB2579" s="21" t="s">
        <v>42</v>
      </c>
      <c r="AC2579" s="21" t="s">
        <v>8905</v>
      </c>
      <c r="AD2579" s="21"/>
    </row>
    <row r="2580" spans="2:31" s="1" customFormat="1" ht="96.3" customHeight="1" outlineLevel="5">
      <c r="B2580" s="58">
        <v>1998</v>
      </c>
      <c r="C2580" s="7" t="s">
        <v>8906</v>
      </c>
      <c r="D2580" s="71" t="s">
        <v>8907</v>
      </c>
      <c r="E2580" s="71"/>
      <c r="F2580" s="71"/>
      <c r="G2580" s="71"/>
      <c r="H2580" s="8" t="s">
        <v>8908</v>
      </c>
      <c r="I2580" s="9" t="s">
        <v>36</v>
      </c>
      <c r="J2580" s="8"/>
      <c r="K2580" s="6">
        <v>2</v>
      </c>
      <c r="L2580" s="10">
        <v>368.27</v>
      </c>
      <c r="M2580" s="11"/>
      <c r="N2580" s="8">
        <f t="shared" si="122"/>
        <v>0</v>
      </c>
      <c r="O2580" s="12">
        <f>0.063*M2580</f>
        <v>0</v>
      </c>
      <c r="P2580" s="13">
        <f>0.00053*M2580</f>
        <v>0</v>
      </c>
      <c r="Q2580" s="17" t="s">
        <v>37</v>
      </c>
      <c r="R2580" s="8" t="s">
        <v>8909</v>
      </c>
      <c r="S2580" s="8"/>
      <c r="T2580" s="7" t="str">
        <f>HYPERLINK("https://miland.ru/api/getInfo/image/9f6a8be4-2f54-11f1-a292-00155d82e908")</f>
        <v>https://miland.ru/api/getInfo/image/9f6a8be4-2f54-11f1-a292-00155d82e908</v>
      </c>
      <c r="U2580" s="7"/>
      <c r="V2580" s="7" t="s">
        <v>8898</v>
      </c>
      <c r="W2580" s="7" t="s">
        <v>8899</v>
      </c>
      <c r="X2580" s="7"/>
      <c r="Y2580" s="7" t="s">
        <v>697</v>
      </c>
      <c r="Z2580" s="7"/>
      <c r="AA2580" s="7" t="str">
        <f>HYPERLINK("https://miland.ru/api/getInfo/item/9f6a8be4-2f54-11f1-a292-00155d82e908")</f>
        <v>https://miland.ru/api/getInfo/item/9f6a8be4-2f54-11f1-a292-00155d82e908</v>
      </c>
      <c r="AB2580" s="7" t="s">
        <v>42</v>
      </c>
      <c r="AC2580" s="7"/>
      <c r="AD2580" s="7"/>
      <c r="AE2580" s="54"/>
    </row>
    <row r="2581" spans="2:31" s="1" customFormat="1" ht="96.3" customHeight="1" outlineLevel="5">
      <c r="B2581" s="58">
        <v>1999</v>
      </c>
      <c r="C2581" s="7" t="s">
        <v>8910</v>
      </c>
      <c r="D2581" s="71" t="s">
        <v>8911</v>
      </c>
      <c r="E2581" s="71"/>
      <c r="F2581" s="71"/>
      <c r="G2581" s="71"/>
      <c r="H2581" s="8" t="s">
        <v>8912</v>
      </c>
      <c r="I2581" s="9" t="s">
        <v>36</v>
      </c>
      <c r="J2581" s="8"/>
      <c r="K2581" s="6">
        <v>2</v>
      </c>
      <c r="L2581" s="10">
        <v>392.88</v>
      </c>
      <c r="M2581" s="11"/>
      <c r="N2581" s="8">
        <f t="shared" si="122"/>
        <v>0</v>
      </c>
      <c r="O2581" s="12">
        <f>0.061*M2581</f>
        <v>0</v>
      </c>
      <c r="P2581" s="13">
        <f>0.00049*M2581</f>
        <v>0</v>
      </c>
      <c r="Q2581" s="17" t="s">
        <v>37</v>
      </c>
      <c r="R2581" s="8" t="s">
        <v>8913</v>
      </c>
      <c r="S2581" s="8"/>
      <c r="T2581" s="7" t="str">
        <f>HYPERLINK("https://miland.ru/api/getInfo/image/b226b90d-2f54-11f1-a292-00155d82e908")</f>
        <v>https://miland.ru/api/getInfo/image/b226b90d-2f54-11f1-a292-00155d82e908</v>
      </c>
      <c r="U2581" s="7"/>
      <c r="V2581" s="7" t="s">
        <v>8898</v>
      </c>
      <c r="W2581" s="7" t="s">
        <v>8899</v>
      </c>
      <c r="X2581" s="7"/>
      <c r="Y2581" s="7" t="s">
        <v>697</v>
      </c>
      <c r="Z2581" s="7"/>
      <c r="AA2581" s="7" t="str">
        <f>HYPERLINK("https://miland.ru/api/getInfo/item/b226b90d-2f54-11f1-a292-00155d82e908")</f>
        <v>https://miland.ru/api/getInfo/item/b226b90d-2f54-11f1-a292-00155d82e908</v>
      </c>
      <c r="AB2581" s="7" t="s">
        <v>42</v>
      </c>
      <c r="AC2581" s="7"/>
      <c r="AD2581" s="7"/>
      <c r="AE2581" s="54"/>
    </row>
    <row r="2582" spans="2:31" s="1" customFormat="1" ht="96.3" customHeight="1" outlineLevel="5">
      <c r="B2582" s="58">
        <v>2000</v>
      </c>
      <c r="C2582" s="7" t="s">
        <v>8914</v>
      </c>
      <c r="D2582" s="71" t="s">
        <v>8915</v>
      </c>
      <c r="E2582" s="71"/>
      <c r="F2582" s="71"/>
      <c r="G2582" s="71"/>
      <c r="H2582" s="8" t="s">
        <v>8916</v>
      </c>
      <c r="I2582" s="9" t="s">
        <v>36</v>
      </c>
      <c r="J2582" s="8"/>
      <c r="K2582" s="6">
        <v>1</v>
      </c>
      <c r="L2582" s="10">
        <v>482.49</v>
      </c>
      <c r="M2582" s="11"/>
      <c r="N2582" s="8">
        <f t="shared" si="122"/>
        <v>0</v>
      </c>
      <c r="O2582" s="12">
        <f>0.066*M2582</f>
        <v>0</v>
      </c>
      <c r="P2582" s="13">
        <f>0.00052*M2582</f>
        <v>0</v>
      </c>
      <c r="Q2582" s="17" t="s">
        <v>37</v>
      </c>
      <c r="R2582" s="8" t="s">
        <v>8917</v>
      </c>
      <c r="S2582" s="8"/>
      <c r="T2582" s="7" t="str">
        <f>HYPERLINK("https://miland.ru/api/getInfo/image/ebeb2022-2f54-11f1-a292-00155d82e908")</f>
        <v>https://miland.ru/api/getInfo/image/ebeb2022-2f54-11f1-a292-00155d82e908</v>
      </c>
      <c r="U2582" s="7"/>
      <c r="V2582" s="7" t="s">
        <v>8898</v>
      </c>
      <c r="W2582" s="7" t="s">
        <v>8899</v>
      </c>
      <c r="X2582" s="7"/>
      <c r="Y2582" s="7" t="s">
        <v>697</v>
      </c>
      <c r="Z2582" s="7"/>
      <c r="AA2582" s="7" t="str">
        <f>HYPERLINK("https://miland.ru/api/getInfo/item/ebeb2022-2f54-11f1-a292-00155d82e908")</f>
        <v>https://miland.ru/api/getInfo/item/ebeb2022-2f54-11f1-a292-00155d82e908</v>
      </c>
      <c r="AB2582" s="7" t="s">
        <v>42</v>
      </c>
      <c r="AC2582" s="7"/>
      <c r="AD2582" s="7"/>
      <c r="AE2582" s="54"/>
    </row>
    <row r="2583" spans="2:31" s="1" customFormat="1" ht="96.3" customHeight="1" outlineLevel="5">
      <c r="B2583" s="57">
        <v>2001</v>
      </c>
      <c r="C2583" s="21" t="s">
        <v>8918</v>
      </c>
      <c r="D2583" s="72" t="s">
        <v>8919</v>
      </c>
      <c r="E2583" s="72"/>
      <c r="F2583" s="72"/>
      <c r="G2583" s="72"/>
      <c r="H2583" s="22" t="s">
        <v>8920</v>
      </c>
      <c r="I2583" s="23" t="s">
        <v>36</v>
      </c>
      <c r="J2583" s="22"/>
      <c r="K2583" s="20">
        <v>1</v>
      </c>
      <c r="L2583" s="24">
        <v>814.42</v>
      </c>
      <c r="M2583" s="11"/>
      <c r="N2583" s="22">
        <f t="shared" si="122"/>
        <v>0</v>
      </c>
      <c r="O2583" s="25">
        <f>0.093*M2583</f>
        <v>0</v>
      </c>
      <c r="P2583" s="26">
        <f>0.00066*M2583</f>
        <v>0</v>
      </c>
      <c r="Q2583" s="30"/>
      <c r="R2583" s="22" t="s">
        <v>8921</v>
      </c>
      <c r="S2583" s="22" t="s">
        <v>435</v>
      </c>
      <c r="T2583" s="21" t="str">
        <f>HYPERLINK("https://miland.ru/api/getInfo/image/3330c5f7-221a-11ee-a23d-00155d82e902")</f>
        <v>https://miland.ru/api/getInfo/image/3330c5f7-221a-11ee-a23d-00155d82e902</v>
      </c>
      <c r="U2583" s="21"/>
      <c r="V2583" s="21" t="s">
        <v>8898</v>
      </c>
      <c r="W2583" s="21" t="s">
        <v>8899</v>
      </c>
      <c r="X2583" s="21"/>
      <c r="Y2583" s="21" t="s">
        <v>697</v>
      </c>
      <c r="Z2583" s="21"/>
      <c r="AA2583" s="21" t="str">
        <f>HYPERLINK("https://miland.ru/api/getInfo/item/3330c5f7-221a-11ee-a23d-00155d82e902")</f>
        <v>https://miland.ru/api/getInfo/item/3330c5f7-221a-11ee-a23d-00155d82e902</v>
      </c>
      <c r="AB2583" s="21" t="s">
        <v>42</v>
      </c>
      <c r="AC2583" s="21"/>
      <c r="AD2583" s="21"/>
    </row>
    <row r="2584" spans="2:31" s="1" customFormat="1" ht="96.3" customHeight="1" outlineLevel="5">
      <c r="B2584" s="57">
        <v>2002</v>
      </c>
      <c r="C2584" s="21" t="s">
        <v>8922</v>
      </c>
      <c r="D2584" s="72" t="s">
        <v>8923</v>
      </c>
      <c r="E2584" s="72"/>
      <c r="F2584" s="72"/>
      <c r="G2584" s="72"/>
      <c r="H2584" s="22" t="s">
        <v>8924</v>
      </c>
      <c r="I2584" s="23" t="s">
        <v>36</v>
      </c>
      <c r="J2584" s="22"/>
      <c r="K2584" s="20">
        <v>2</v>
      </c>
      <c r="L2584" s="24">
        <v>328.47</v>
      </c>
      <c r="M2584" s="11"/>
      <c r="N2584" s="22">
        <f t="shared" si="122"/>
        <v>0</v>
      </c>
      <c r="O2584" s="25">
        <f>0.092*M2584</f>
        <v>0</v>
      </c>
      <c r="P2584" s="26">
        <f>0.00062*M2584</f>
        <v>0</v>
      </c>
      <c r="Q2584" s="30"/>
      <c r="R2584" s="22" t="s">
        <v>8925</v>
      </c>
      <c r="S2584" s="22" t="s">
        <v>435</v>
      </c>
      <c r="T2584" s="21" t="str">
        <f>HYPERLINK("https://miland.ru/api/getInfo/image/2c7ba901-2219-11ee-a23d-00155d82e902")</f>
        <v>https://miland.ru/api/getInfo/image/2c7ba901-2219-11ee-a23d-00155d82e902</v>
      </c>
      <c r="U2584" s="21"/>
      <c r="V2584" s="21" t="s">
        <v>8898</v>
      </c>
      <c r="W2584" s="21" t="s">
        <v>8899</v>
      </c>
      <c r="X2584" s="21"/>
      <c r="Y2584" s="21" t="s">
        <v>697</v>
      </c>
      <c r="Z2584" s="21"/>
      <c r="AA2584" s="21" t="str">
        <f>HYPERLINK("https://miland.ru/api/getInfo/item/2c7ba901-2219-11ee-a23d-00155d82e902")</f>
        <v>https://miland.ru/api/getInfo/item/2c7ba901-2219-11ee-a23d-00155d82e902</v>
      </c>
      <c r="AB2584" s="21" t="s">
        <v>42</v>
      </c>
      <c r="AC2584" s="21"/>
      <c r="AD2584" s="21"/>
    </row>
    <row r="2585" spans="2:31" s="1" customFormat="1" ht="96.3" customHeight="1" outlineLevel="5">
      <c r="B2585" s="57">
        <v>2003</v>
      </c>
      <c r="C2585" s="21" t="s">
        <v>8926</v>
      </c>
      <c r="D2585" s="72" t="s">
        <v>8927</v>
      </c>
      <c r="E2585" s="72"/>
      <c r="F2585" s="72"/>
      <c r="G2585" s="72"/>
      <c r="H2585" s="22" t="s">
        <v>8928</v>
      </c>
      <c r="I2585" s="23" t="s">
        <v>36</v>
      </c>
      <c r="J2585" s="22"/>
      <c r="K2585" s="20">
        <v>1</v>
      </c>
      <c r="L2585" s="24">
        <v>490.45</v>
      </c>
      <c r="M2585" s="11"/>
      <c r="N2585" s="22">
        <f t="shared" si="122"/>
        <v>0</v>
      </c>
      <c r="O2585" s="25">
        <f>0.115*M2585</f>
        <v>0</v>
      </c>
      <c r="P2585" s="26">
        <f>0.00064*M2585</f>
        <v>0</v>
      </c>
      <c r="Q2585" s="30"/>
      <c r="R2585" s="22" t="s">
        <v>8929</v>
      </c>
      <c r="S2585" s="22" t="s">
        <v>435</v>
      </c>
      <c r="T2585" s="21" t="str">
        <f>HYPERLINK("https://miland.ru/api/getInfo/image/e64cef70-2219-11ee-a23d-00155d82e902")</f>
        <v>https://miland.ru/api/getInfo/image/e64cef70-2219-11ee-a23d-00155d82e902</v>
      </c>
      <c r="U2585" s="21"/>
      <c r="V2585" s="21" t="s">
        <v>8898</v>
      </c>
      <c r="W2585" s="21" t="s">
        <v>8899</v>
      </c>
      <c r="X2585" s="21"/>
      <c r="Y2585" s="21" t="s">
        <v>697</v>
      </c>
      <c r="Z2585" s="21"/>
      <c r="AA2585" s="21" t="str">
        <f>HYPERLINK("https://miland.ru/api/getInfo/item/e64cef70-2219-11ee-a23d-00155d82e902")</f>
        <v>https://miland.ru/api/getInfo/item/e64cef70-2219-11ee-a23d-00155d82e902</v>
      </c>
      <c r="AB2585" s="21" t="s">
        <v>42</v>
      </c>
      <c r="AC2585" s="21"/>
      <c r="AD2585" s="21"/>
    </row>
    <row r="2586" spans="2:31" ht="12" customHeight="1" outlineLevel="4">
      <c r="B2586" s="70" t="s">
        <v>8930</v>
      </c>
      <c r="C2586" s="70"/>
      <c r="D2586" s="70"/>
      <c r="E2586" s="70"/>
      <c r="F2586" s="70"/>
      <c r="G2586" s="70"/>
    </row>
    <row r="2587" spans="2:31" s="1" customFormat="1" ht="96.3" customHeight="1" outlineLevel="5">
      <c r="B2587" s="57">
        <v>2004</v>
      </c>
      <c r="C2587" s="21" t="s">
        <v>8931</v>
      </c>
      <c r="D2587" s="72" t="s">
        <v>8932</v>
      </c>
      <c r="E2587" s="72"/>
      <c r="F2587" s="72"/>
      <c r="G2587" s="72"/>
      <c r="H2587" s="22" t="s">
        <v>8933</v>
      </c>
      <c r="I2587" s="23" t="s">
        <v>36</v>
      </c>
      <c r="J2587" s="22"/>
      <c r="K2587" s="20">
        <v>2</v>
      </c>
      <c r="L2587" s="24">
        <v>320.55</v>
      </c>
      <c r="M2587" s="11"/>
      <c r="N2587" s="22">
        <f>L2587*M2587</f>
        <v>0</v>
      </c>
      <c r="O2587" s="25">
        <f>0.015*M2587</f>
        <v>0</v>
      </c>
      <c r="P2587" s="26">
        <f>0.00005*M2587</f>
        <v>0</v>
      </c>
      <c r="Q2587" s="30"/>
      <c r="R2587" s="22" t="s">
        <v>8934</v>
      </c>
      <c r="S2587" s="22"/>
      <c r="T2587" s="21" t="str">
        <f>HYPERLINK("https://miland.ru/api/getInfo/image/3605ef65-dcac-11ef-a273-00155d82e908")</f>
        <v>https://miland.ru/api/getInfo/image/3605ef65-dcac-11ef-a273-00155d82e908</v>
      </c>
      <c r="U2587" s="21"/>
      <c r="V2587" s="21"/>
      <c r="W2587" s="21" t="s">
        <v>8899</v>
      </c>
      <c r="X2587" s="21"/>
      <c r="Y2587" s="21"/>
      <c r="Z2587" s="21"/>
      <c r="AA2587" s="21" t="str">
        <f>HYPERLINK("https://miland.ru/api/getInfo/item/3605ef65-dcac-11ef-a273-00155d82e908")</f>
        <v>https://miland.ru/api/getInfo/item/3605ef65-dcac-11ef-a273-00155d82e908</v>
      </c>
      <c r="AB2587" s="21" t="s">
        <v>42</v>
      </c>
      <c r="AC2587" s="21"/>
      <c r="AD2587" s="21"/>
    </row>
    <row r="2588" spans="2:31" ht="12" customHeight="1" outlineLevel="4">
      <c r="B2588" s="70" t="s">
        <v>8935</v>
      </c>
      <c r="C2588" s="70"/>
      <c r="D2588" s="70"/>
      <c r="E2588" s="70"/>
      <c r="F2588" s="70"/>
      <c r="G2588" s="70"/>
    </row>
    <row r="2589" spans="2:31" s="1" customFormat="1" ht="96.3" customHeight="1" outlineLevel="5">
      <c r="B2589" s="57">
        <v>2005</v>
      </c>
      <c r="C2589" s="21" t="s">
        <v>8936</v>
      </c>
      <c r="D2589" s="72" t="s">
        <v>8937</v>
      </c>
      <c r="E2589" s="72"/>
      <c r="F2589" s="72"/>
      <c r="G2589" s="72"/>
      <c r="H2589" s="22" t="s">
        <v>8938</v>
      </c>
      <c r="I2589" s="23" t="s">
        <v>36</v>
      </c>
      <c r="J2589" s="22"/>
      <c r="K2589" s="20">
        <v>1</v>
      </c>
      <c r="L2589" s="24">
        <v>982.25</v>
      </c>
      <c r="M2589" s="11"/>
      <c r="N2589" s="22">
        <f t="shared" ref="N2589:N2602" si="123">L2589*M2589</f>
        <v>0</v>
      </c>
      <c r="O2589" s="25">
        <f>0.168*M2589</f>
        <v>0</v>
      </c>
      <c r="P2589" s="26">
        <f>0.00141*M2589</f>
        <v>0</v>
      </c>
      <c r="Q2589" s="30"/>
      <c r="R2589" s="22" t="s">
        <v>8939</v>
      </c>
      <c r="S2589" s="22"/>
      <c r="T2589" s="21" t="str">
        <f>HYPERLINK("https://miland.ru/api/getInfo/image/7c30cb49-a3d1-11ed-a22f-00155d82e902")</f>
        <v>https://miland.ru/api/getInfo/image/7c30cb49-a3d1-11ed-a22f-00155d82e902</v>
      </c>
      <c r="U2589" s="21"/>
      <c r="V2589" s="21" t="s">
        <v>8940</v>
      </c>
      <c r="W2589" s="21" t="s">
        <v>8941</v>
      </c>
      <c r="X2589" s="21"/>
      <c r="Y2589" s="21" t="s">
        <v>41</v>
      </c>
      <c r="Z2589" s="21"/>
      <c r="AA2589" s="21" t="str">
        <f>HYPERLINK("https://miland.ru/api/getInfo/item/7c30cb49-a3d1-11ed-a22f-00155d82e902")</f>
        <v>https://miland.ru/api/getInfo/item/7c30cb49-a3d1-11ed-a22f-00155d82e902</v>
      </c>
      <c r="AB2589" s="21" t="s">
        <v>42</v>
      </c>
      <c r="AC2589" s="21" t="s">
        <v>8942</v>
      </c>
      <c r="AD2589" s="21"/>
    </row>
    <row r="2590" spans="2:31" s="1" customFormat="1" ht="96.3" customHeight="1" outlineLevel="5">
      <c r="B2590" s="57">
        <v>2006</v>
      </c>
      <c r="C2590" s="21" t="s">
        <v>8943</v>
      </c>
      <c r="D2590" s="72" t="s">
        <v>8944</v>
      </c>
      <c r="E2590" s="72"/>
      <c r="F2590" s="72"/>
      <c r="G2590" s="72"/>
      <c r="H2590" s="22" t="s">
        <v>8945</v>
      </c>
      <c r="I2590" s="23" t="s">
        <v>36</v>
      </c>
      <c r="J2590" s="22"/>
      <c r="K2590" s="20">
        <v>3</v>
      </c>
      <c r="L2590" s="24">
        <v>205.22</v>
      </c>
      <c r="M2590" s="11"/>
      <c r="N2590" s="22">
        <f t="shared" si="123"/>
        <v>0</v>
      </c>
      <c r="O2590" s="25">
        <f>0.023*M2590</f>
        <v>0</v>
      </c>
      <c r="P2590" s="26">
        <f>0.00077*M2590</f>
        <v>0</v>
      </c>
      <c r="Q2590" s="30"/>
      <c r="R2590" s="22" t="s">
        <v>8946</v>
      </c>
      <c r="S2590" s="22" t="s">
        <v>435</v>
      </c>
      <c r="T2590" s="21" t="str">
        <f>HYPERLINK("https://miland.ru/api/getInfo/image/bb9d8bfc-a3cf-11ed-a22f-00155d82e902")</f>
        <v>https://miland.ru/api/getInfo/image/bb9d8bfc-a3cf-11ed-a22f-00155d82e902</v>
      </c>
      <c r="U2590" s="21"/>
      <c r="V2590" s="21" t="s">
        <v>8940</v>
      </c>
      <c r="W2590" s="21" t="s">
        <v>8941</v>
      </c>
      <c r="X2590" s="21"/>
      <c r="Y2590" s="21" t="s">
        <v>41</v>
      </c>
      <c r="Z2590" s="21"/>
      <c r="AA2590" s="21" t="str">
        <f>HYPERLINK("https://miland.ru/api/getInfo/item/bb9d8bfc-a3cf-11ed-a22f-00155d82e902")</f>
        <v>https://miland.ru/api/getInfo/item/bb9d8bfc-a3cf-11ed-a22f-00155d82e902</v>
      </c>
      <c r="AB2590" s="21" t="s">
        <v>42</v>
      </c>
      <c r="AC2590" s="21" t="s">
        <v>8947</v>
      </c>
      <c r="AD2590" s="21"/>
    </row>
    <row r="2591" spans="2:31" s="1" customFormat="1" ht="96.3" customHeight="1" outlineLevel="5">
      <c r="B2591" s="57">
        <v>2007</v>
      </c>
      <c r="C2591" s="21" t="s">
        <v>8948</v>
      </c>
      <c r="D2591" s="72" t="s">
        <v>8949</v>
      </c>
      <c r="E2591" s="72"/>
      <c r="F2591" s="72"/>
      <c r="G2591" s="72"/>
      <c r="H2591" s="22" t="s">
        <v>8950</v>
      </c>
      <c r="I2591" s="27">
        <v>164</v>
      </c>
      <c r="J2591" s="22"/>
      <c r="K2591" s="20">
        <v>3</v>
      </c>
      <c r="L2591" s="24">
        <v>229.51</v>
      </c>
      <c r="M2591" s="11"/>
      <c r="N2591" s="22">
        <f t="shared" si="123"/>
        <v>0</v>
      </c>
      <c r="O2591" s="25">
        <f>0.033*M2591</f>
        <v>0</v>
      </c>
      <c r="P2591" s="26">
        <f>0.00042*M2591</f>
        <v>0</v>
      </c>
      <c r="Q2591" s="30"/>
      <c r="R2591" s="22" t="s">
        <v>8951</v>
      </c>
      <c r="S2591" s="22" t="s">
        <v>435</v>
      </c>
      <c r="T2591" s="21" t="str">
        <f>HYPERLINK("https://miland.ru/api/getInfo/image/19f0bc1b-a3d0-11ed-a22f-00155d82e902")</f>
        <v>https://miland.ru/api/getInfo/image/19f0bc1b-a3d0-11ed-a22f-00155d82e902</v>
      </c>
      <c r="U2591" s="21"/>
      <c r="V2591" s="21" t="s">
        <v>8940</v>
      </c>
      <c r="W2591" s="21" t="s">
        <v>8941</v>
      </c>
      <c r="X2591" s="21"/>
      <c r="Y2591" s="21" t="s">
        <v>41</v>
      </c>
      <c r="Z2591" s="21"/>
      <c r="AA2591" s="21" t="str">
        <f>HYPERLINK("https://miland.ru/api/getInfo/item/19f0bc1b-a3d0-11ed-a22f-00155d82e902")</f>
        <v>https://miland.ru/api/getInfo/item/19f0bc1b-a3d0-11ed-a22f-00155d82e902</v>
      </c>
      <c r="AB2591" s="21" t="s">
        <v>42</v>
      </c>
      <c r="AC2591" s="21" t="s">
        <v>8952</v>
      </c>
      <c r="AD2591" s="21"/>
    </row>
    <row r="2592" spans="2:31" s="1" customFormat="1" ht="96.3" customHeight="1" outlineLevel="5">
      <c r="B2592" s="57">
        <v>2008</v>
      </c>
      <c r="C2592" s="21" t="s">
        <v>8953</v>
      </c>
      <c r="D2592" s="72" t="s">
        <v>8954</v>
      </c>
      <c r="E2592" s="72"/>
      <c r="F2592" s="72"/>
      <c r="G2592" s="72"/>
      <c r="H2592" s="22" t="s">
        <v>8955</v>
      </c>
      <c r="I2592" s="23" t="s">
        <v>36</v>
      </c>
      <c r="J2592" s="22"/>
      <c r="K2592" s="20">
        <v>2</v>
      </c>
      <c r="L2592" s="24">
        <v>294.68</v>
      </c>
      <c r="M2592" s="11"/>
      <c r="N2592" s="22">
        <f t="shared" si="123"/>
        <v>0</v>
      </c>
      <c r="O2592" s="25">
        <f>0.034*M2592</f>
        <v>0</v>
      </c>
      <c r="P2592" s="26">
        <f>0.00074*M2592</f>
        <v>0</v>
      </c>
      <c r="Q2592" s="30"/>
      <c r="R2592" s="22" t="s">
        <v>8956</v>
      </c>
      <c r="S2592" s="22" t="s">
        <v>435</v>
      </c>
      <c r="T2592" s="21" t="str">
        <f>HYPERLINK("https://miland.ru/api/getInfo/image/c7320611-a3d0-11ed-a22f-00155d82e902")</f>
        <v>https://miland.ru/api/getInfo/image/c7320611-a3d0-11ed-a22f-00155d82e902</v>
      </c>
      <c r="U2592" s="21"/>
      <c r="V2592" s="21" t="s">
        <v>8940</v>
      </c>
      <c r="W2592" s="21" t="s">
        <v>8941</v>
      </c>
      <c r="X2592" s="21"/>
      <c r="Y2592" s="21" t="s">
        <v>41</v>
      </c>
      <c r="Z2592" s="21"/>
      <c r="AA2592" s="21" t="str">
        <f>HYPERLINK("https://miland.ru/api/getInfo/item/c7320611-a3d0-11ed-a22f-00155d82e902")</f>
        <v>https://miland.ru/api/getInfo/item/c7320611-a3d0-11ed-a22f-00155d82e902</v>
      </c>
      <c r="AB2592" s="21" t="s">
        <v>42</v>
      </c>
      <c r="AC2592" s="21" t="s">
        <v>8957</v>
      </c>
      <c r="AD2592" s="21"/>
    </row>
    <row r="2593" spans="2:31" s="1" customFormat="1" ht="96.3" customHeight="1" outlineLevel="5">
      <c r="B2593" s="57">
        <v>2009</v>
      </c>
      <c r="C2593" s="21" t="s">
        <v>8958</v>
      </c>
      <c r="D2593" s="72" t="s">
        <v>8959</v>
      </c>
      <c r="E2593" s="72"/>
      <c r="F2593" s="72"/>
      <c r="G2593" s="72"/>
      <c r="H2593" s="22" t="s">
        <v>8960</v>
      </c>
      <c r="I2593" s="27">
        <v>221</v>
      </c>
      <c r="J2593" s="22"/>
      <c r="K2593" s="20">
        <v>3</v>
      </c>
      <c r="L2593" s="24">
        <v>187.77</v>
      </c>
      <c r="M2593" s="11"/>
      <c r="N2593" s="22">
        <f t="shared" si="123"/>
        <v>0</v>
      </c>
      <c r="O2593" s="25">
        <f>0.037*M2593</f>
        <v>0</v>
      </c>
      <c r="P2593" s="29">
        <f>0.0006*M2593</f>
        <v>0</v>
      </c>
      <c r="Q2593" s="30"/>
      <c r="R2593" s="22" t="s">
        <v>8961</v>
      </c>
      <c r="S2593" s="22" t="s">
        <v>435</v>
      </c>
      <c r="T2593" s="21" t="str">
        <f>HYPERLINK("https://miland.ru/api/getInfo/image/421fa32d-a3cf-11ed-a22f-00155d82e902")</f>
        <v>https://miland.ru/api/getInfo/image/421fa32d-a3cf-11ed-a22f-00155d82e902</v>
      </c>
      <c r="U2593" s="21"/>
      <c r="V2593" s="21" t="s">
        <v>8940</v>
      </c>
      <c r="W2593" s="21" t="s">
        <v>8941</v>
      </c>
      <c r="X2593" s="21"/>
      <c r="Y2593" s="21" t="s">
        <v>41</v>
      </c>
      <c r="Z2593" s="21"/>
      <c r="AA2593" s="21" t="str">
        <f>HYPERLINK("https://miland.ru/api/getInfo/item/421fa32d-a3cf-11ed-a22f-00155d82e902")</f>
        <v>https://miland.ru/api/getInfo/item/421fa32d-a3cf-11ed-a22f-00155d82e902</v>
      </c>
      <c r="AB2593" s="21" t="s">
        <v>42</v>
      </c>
      <c r="AC2593" s="21" t="s">
        <v>8962</v>
      </c>
      <c r="AD2593" s="21"/>
    </row>
    <row r="2594" spans="2:31" s="1" customFormat="1" ht="96.3" customHeight="1" outlineLevel="5">
      <c r="B2594" s="57">
        <v>2010</v>
      </c>
      <c r="C2594" s="21" t="s">
        <v>8963</v>
      </c>
      <c r="D2594" s="72" t="s">
        <v>8964</v>
      </c>
      <c r="E2594" s="72"/>
      <c r="F2594" s="72"/>
      <c r="G2594" s="72"/>
      <c r="H2594" s="22" t="s">
        <v>8965</v>
      </c>
      <c r="I2594" s="23" t="s">
        <v>36</v>
      </c>
      <c r="J2594" s="22"/>
      <c r="K2594" s="20">
        <v>2</v>
      </c>
      <c r="L2594" s="24">
        <v>297.41000000000003</v>
      </c>
      <c r="M2594" s="11"/>
      <c r="N2594" s="22">
        <f t="shared" si="123"/>
        <v>0</v>
      </c>
      <c r="O2594" s="25">
        <f>0.027*M2594</f>
        <v>0</v>
      </c>
      <c r="P2594" s="26">
        <f>0.00168*M2594</f>
        <v>0</v>
      </c>
      <c r="Q2594" s="30"/>
      <c r="R2594" s="22" t="s">
        <v>8966</v>
      </c>
      <c r="S2594" s="22" t="s">
        <v>435</v>
      </c>
      <c r="T2594" s="21" t="str">
        <f>HYPERLINK("https://miland.ru/api/getInfo/image/68e85fff-a3d0-11ed-a22f-00155d82e902")</f>
        <v>https://miland.ru/api/getInfo/image/68e85fff-a3d0-11ed-a22f-00155d82e902</v>
      </c>
      <c r="U2594" s="21"/>
      <c r="V2594" s="21" t="s">
        <v>8940</v>
      </c>
      <c r="W2594" s="21" t="s">
        <v>8941</v>
      </c>
      <c r="X2594" s="21"/>
      <c r="Y2594" s="21" t="s">
        <v>41</v>
      </c>
      <c r="Z2594" s="21"/>
      <c r="AA2594" s="21" t="str">
        <f>HYPERLINK("https://miland.ru/api/getInfo/item/68e85fff-a3d0-11ed-a22f-00155d82e902")</f>
        <v>https://miland.ru/api/getInfo/item/68e85fff-a3d0-11ed-a22f-00155d82e902</v>
      </c>
      <c r="AB2594" s="21" t="s">
        <v>42</v>
      </c>
      <c r="AC2594" s="21" t="s">
        <v>8957</v>
      </c>
      <c r="AD2594" s="21"/>
    </row>
    <row r="2595" spans="2:31" s="1" customFormat="1" ht="96.3" customHeight="1" outlineLevel="5">
      <c r="B2595" s="57">
        <v>2011</v>
      </c>
      <c r="C2595" s="21" t="s">
        <v>8967</v>
      </c>
      <c r="D2595" s="72" t="s">
        <v>8968</v>
      </c>
      <c r="E2595" s="72"/>
      <c r="F2595" s="72"/>
      <c r="G2595" s="72"/>
      <c r="H2595" s="22" t="s">
        <v>8969</v>
      </c>
      <c r="I2595" s="23" t="s">
        <v>36</v>
      </c>
      <c r="J2595" s="22"/>
      <c r="K2595" s="20">
        <v>3</v>
      </c>
      <c r="L2595" s="24">
        <v>254.93</v>
      </c>
      <c r="M2595" s="11"/>
      <c r="N2595" s="22">
        <f t="shared" si="123"/>
        <v>0</v>
      </c>
      <c r="O2595" s="25">
        <f>0.042*M2595</f>
        <v>0</v>
      </c>
      <c r="P2595" s="26">
        <f>0.00082*M2595</f>
        <v>0</v>
      </c>
      <c r="Q2595" s="30"/>
      <c r="R2595" s="22" t="s">
        <v>8970</v>
      </c>
      <c r="S2595" s="22"/>
      <c r="T2595" s="21" t="str">
        <f>HYPERLINK("https://miland.ru/api/getInfo/image/25b4e525-a3d1-11ed-a22f-00155d82e902")</f>
        <v>https://miland.ru/api/getInfo/image/25b4e525-a3d1-11ed-a22f-00155d82e902</v>
      </c>
      <c r="U2595" s="21"/>
      <c r="V2595" s="21" t="s">
        <v>8940</v>
      </c>
      <c r="W2595" s="21" t="s">
        <v>8941</v>
      </c>
      <c r="X2595" s="21"/>
      <c r="Y2595" s="21" t="s">
        <v>41</v>
      </c>
      <c r="Z2595" s="21"/>
      <c r="AA2595" s="21" t="str">
        <f>HYPERLINK("https://miland.ru/api/getInfo/item/25b4e525-a3d1-11ed-a22f-00155d82e902")</f>
        <v>https://miland.ru/api/getInfo/item/25b4e525-a3d1-11ed-a22f-00155d82e902</v>
      </c>
      <c r="AB2595" s="21" t="s">
        <v>42</v>
      </c>
      <c r="AC2595" s="21" t="s">
        <v>8942</v>
      </c>
      <c r="AD2595" s="21"/>
    </row>
    <row r="2596" spans="2:31" s="1" customFormat="1" ht="96.3" customHeight="1" outlineLevel="5">
      <c r="B2596" s="57">
        <v>2012</v>
      </c>
      <c r="C2596" s="21" t="s">
        <v>8971</v>
      </c>
      <c r="D2596" s="72" t="s">
        <v>8972</v>
      </c>
      <c r="E2596" s="72"/>
      <c r="F2596" s="72"/>
      <c r="G2596" s="72"/>
      <c r="H2596" s="22" t="s">
        <v>8973</v>
      </c>
      <c r="I2596" s="23" t="s">
        <v>36</v>
      </c>
      <c r="J2596" s="22"/>
      <c r="K2596" s="20">
        <v>3</v>
      </c>
      <c r="L2596" s="24">
        <v>254.93</v>
      </c>
      <c r="M2596" s="11"/>
      <c r="N2596" s="22">
        <f t="shared" si="123"/>
        <v>0</v>
      </c>
      <c r="O2596" s="25">
        <f>0.045*M2596</f>
        <v>0</v>
      </c>
      <c r="P2596" s="26">
        <f>0.00077*M2596</f>
        <v>0</v>
      </c>
      <c r="Q2596" s="30"/>
      <c r="R2596" s="22" t="s">
        <v>8974</v>
      </c>
      <c r="S2596" s="22"/>
      <c r="T2596" s="21" t="str">
        <f>HYPERLINK("https://miland.ru/api/getInfo/image/e99e6ac0-a3ce-11ed-a22f-00155d82e902")</f>
        <v>https://miland.ru/api/getInfo/image/e99e6ac0-a3ce-11ed-a22f-00155d82e902</v>
      </c>
      <c r="U2596" s="21"/>
      <c r="V2596" s="21" t="s">
        <v>8940</v>
      </c>
      <c r="W2596" s="21" t="s">
        <v>8941</v>
      </c>
      <c r="X2596" s="21"/>
      <c r="Y2596" s="21" t="s">
        <v>41</v>
      </c>
      <c r="Z2596" s="21"/>
      <c r="AA2596" s="21" t="str">
        <f>HYPERLINK("https://miland.ru/api/getInfo/item/e99e6ac0-a3ce-11ed-a22f-00155d82e902")</f>
        <v>https://miland.ru/api/getInfo/item/e99e6ac0-a3ce-11ed-a22f-00155d82e902</v>
      </c>
      <c r="AB2596" s="21" t="s">
        <v>42</v>
      </c>
      <c r="AC2596" s="21" t="s">
        <v>8942</v>
      </c>
      <c r="AD2596" s="21"/>
    </row>
    <row r="2597" spans="2:31" s="1" customFormat="1" ht="96.3" customHeight="1" outlineLevel="5">
      <c r="B2597" s="57">
        <v>2013</v>
      </c>
      <c r="C2597" s="21" t="s">
        <v>8975</v>
      </c>
      <c r="D2597" s="72" t="s">
        <v>8976</v>
      </c>
      <c r="E2597" s="72"/>
      <c r="F2597" s="72"/>
      <c r="G2597" s="72"/>
      <c r="H2597" s="22" t="s">
        <v>8977</v>
      </c>
      <c r="I2597" s="27">
        <v>204</v>
      </c>
      <c r="J2597" s="22"/>
      <c r="K2597" s="20">
        <v>2</v>
      </c>
      <c r="L2597" s="24">
        <v>307.47000000000003</v>
      </c>
      <c r="M2597" s="11"/>
      <c r="N2597" s="22">
        <f t="shared" si="123"/>
        <v>0</v>
      </c>
      <c r="O2597" s="25">
        <f>0.041*M2597</f>
        <v>0</v>
      </c>
      <c r="P2597" s="26">
        <f>0.00079*M2597</f>
        <v>0</v>
      </c>
      <c r="Q2597" s="30"/>
      <c r="R2597" s="22" t="s">
        <v>8978</v>
      </c>
      <c r="S2597" s="22"/>
      <c r="T2597" s="21" t="str">
        <f>HYPERLINK("https://miland.ru/api/getInfo/image/0621009e-a3cd-11ed-a22f-00155d82e902")</f>
        <v>https://miland.ru/api/getInfo/image/0621009e-a3cd-11ed-a22f-00155d82e902</v>
      </c>
      <c r="U2597" s="21"/>
      <c r="V2597" s="21" t="s">
        <v>8940</v>
      </c>
      <c r="W2597" s="21" t="s">
        <v>8941</v>
      </c>
      <c r="X2597" s="21"/>
      <c r="Y2597" s="21" t="s">
        <v>41</v>
      </c>
      <c r="Z2597" s="21"/>
      <c r="AA2597" s="21" t="str">
        <f>HYPERLINK("https://miland.ru/api/getInfo/item/0621009e-a3cd-11ed-a22f-00155d82e902")</f>
        <v>https://miland.ru/api/getInfo/item/0621009e-a3cd-11ed-a22f-00155d82e902</v>
      </c>
      <c r="AB2597" s="21" t="s">
        <v>42</v>
      </c>
      <c r="AC2597" s="21" t="s">
        <v>8979</v>
      </c>
      <c r="AD2597" s="21"/>
    </row>
    <row r="2598" spans="2:31" s="1" customFormat="1" ht="96.3" customHeight="1" outlineLevel="5">
      <c r="B2598" s="57">
        <v>2014</v>
      </c>
      <c r="C2598" s="21" t="s">
        <v>8980</v>
      </c>
      <c r="D2598" s="72" t="s">
        <v>8981</v>
      </c>
      <c r="E2598" s="72"/>
      <c r="F2598" s="72"/>
      <c r="G2598" s="72"/>
      <c r="H2598" s="22" t="s">
        <v>8982</v>
      </c>
      <c r="I2598" s="27">
        <v>230</v>
      </c>
      <c r="J2598" s="22"/>
      <c r="K2598" s="20">
        <v>10</v>
      </c>
      <c r="L2598" s="24">
        <v>79.98</v>
      </c>
      <c r="M2598" s="11"/>
      <c r="N2598" s="22">
        <f t="shared" si="123"/>
        <v>0</v>
      </c>
      <c r="O2598" s="28">
        <f>0.02*M2598</f>
        <v>0</v>
      </c>
      <c r="P2598" s="26">
        <f>0.00038*M2598</f>
        <v>0</v>
      </c>
      <c r="Q2598" s="30"/>
      <c r="R2598" s="22" t="s">
        <v>8983</v>
      </c>
      <c r="S2598" s="22" t="s">
        <v>435</v>
      </c>
      <c r="T2598" s="21" t="str">
        <f>HYPERLINK("https://miland.ru/api/getInfo/image/38a47b52-a3c3-11ed-a22f-00155d82e902")</f>
        <v>https://miland.ru/api/getInfo/image/38a47b52-a3c3-11ed-a22f-00155d82e902</v>
      </c>
      <c r="U2598" s="21"/>
      <c r="V2598" s="21" t="s">
        <v>8940</v>
      </c>
      <c r="W2598" s="21" t="s">
        <v>8941</v>
      </c>
      <c r="X2598" s="21"/>
      <c r="Y2598" s="21" t="s">
        <v>41</v>
      </c>
      <c r="Z2598" s="21"/>
      <c r="AA2598" s="21" t="str">
        <f>HYPERLINK("https://miland.ru/api/getInfo/item/38a47b52-a3c3-11ed-a22f-00155d82e902")</f>
        <v>https://miland.ru/api/getInfo/item/38a47b52-a3c3-11ed-a22f-00155d82e902</v>
      </c>
      <c r="AB2598" s="21" t="s">
        <v>42</v>
      </c>
      <c r="AC2598" s="21" t="s">
        <v>8984</v>
      </c>
      <c r="AD2598" s="21"/>
    </row>
    <row r="2599" spans="2:31" s="1" customFormat="1" ht="96.3" customHeight="1" outlineLevel="5">
      <c r="B2599" s="57">
        <v>2015</v>
      </c>
      <c r="C2599" s="21" t="s">
        <v>8985</v>
      </c>
      <c r="D2599" s="72" t="s">
        <v>8986</v>
      </c>
      <c r="E2599" s="72"/>
      <c r="F2599" s="72"/>
      <c r="G2599" s="72"/>
      <c r="H2599" s="22" t="s">
        <v>8987</v>
      </c>
      <c r="I2599" s="23" t="s">
        <v>36</v>
      </c>
      <c r="J2599" s="22"/>
      <c r="K2599" s="20">
        <v>3</v>
      </c>
      <c r="L2599" s="24">
        <v>186.86</v>
      </c>
      <c r="M2599" s="11"/>
      <c r="N2599" s="22">
        <f t="shared" si="123"/>
        <v>0</v>
      </c>
      <c r="O2599" s="25">
        <f>0.017*M2599</f>
        <v>0</v>
      </c>
      <c r="P2599" s="26">
        <f>0.00044*M2599</f>
        <v>0</v>
      </c>
      <c r="Q2599" s="30"/>
      <c r="R2599" s="22" t="s">
        <v>8988</v>
      </c>
      <c r="S2599" s="22"/>
      <c r="T2599" s="21" t="str">
        <f>HYPERLINK("https://miland.ru/api/getInfo/image/d7d870c1-a3cd-11ed-a22f-00155d82e902")</f>
        <v>https://miland.ru/api/getInfo/image/d7d870c1-a3cd-11ed-a22f-00155d82e902</v>
      </c>
      <c r="U2599" s="21"/>
      <c r="V2599" s="21" t="s">
        <v>8940</v>
      </c>
      <c r="W2599" s="21" t="s">
        <v>82</v>
      </c>
      <c r="X2599" s="21"/>
      <c r="Y2599" s="21" t="s">
        <v>41</v>
      </c>
      <c r="Z2599" s="21"/>
      <c r="AA2599" s="21" t="str">
        <f>HYPERLINK("https://miland.ru/api/getInfo/item/d7d870c1-a3cd-11ed-a22f-00155d82e902")</f>
        <v>https://miland.ru/api/getInfo/item/d7d870c1-a3cd-11ed-a22f-00155d82e902</v>
      </c>
      <c r="AB2599" s="21" t="s">
        <v>42</v>
      </c>
      <c r="AC2599" s="21" t="s">
        <v>8989</v>
      </c>
      <c r="AD2599" s="21"/>
    </row>
    <row r="2600" spans="2:31" s="1" customFormat="1" ht="96.3" customHeight="1" outlineLevel="5">
      <c r="B2600" s="57">
        <v>2016</v>
      </c>
      <c r="C2600" s="21" t="s">
        <v>8990</v>
      </c>
      <c r="D2600" s="72" t="s">
        <v>8991</v>
      </c>
      <c r="E2600" s="72"/>
      <c r="F2600" s="72"/>
      <c r="G2600" s="72"/>
      <c r="H2600" s="22" t="s">
        <v>8992</v>
      </c>
      <c r="I2600" s="23" t="s">
        <v>36</v>
      </c>
      <c r="J2600" s="22"/>
      <c r="K2600" s="20">
        <v>3</v>
      </c>
      <c r="L2600" s="24">
        <v>254.93</v>
      </c>
      <c r="M2600" s="11"/>
      <c r="N2600" s="22">
        <f t="shared" si="123"/>
        <v>0</v>
      </c>
      <c r="O2600" s="25">
        <f>0.041*M2600</f>
        <v>0</v>
      </c>
      <c r="P2600" s="26">
        <f>0.00073*M2600</f>
        <v>0</v>
      </c>
      <c r="Q2600" s="30"/>
      <c r="R2600" s="22" t="s">
        <v>8993</v>
      </c>
      <c r="S2600" s="22"/>
      <c r="T2600" s="21" t="str">
        <f>HYPERLINK("https://miland.ru/api/getInfo/image/826b1581-a3ce-11ed-a22f-00155d82e902")</f>
        <v>https://miland.ru/api/getInfo/image/826b1581-a3ce-11ed-a22f-00155d82e902</v>
      </c>
      <c r="U2600" s="21"/>
      <c r="V2600" s="21" t="s">
        <v>8940</v>
      </c>
      <c r="W2600" s="21" t="s">
        <v>8941</v>
      </c>
      <c r="X2600" s="21"/>
      <c r="Y2600" s="21" t="s">
        <v>41</v>
      </c>
      <c r="Z2600" s="21"/>
      <c r="AA2600" s="21" t="str">
        <f>HYPERLINK("https://miland.ru/api/getInfo/item/826b1581-a3ce-11ed-a22f-00155d82e902")</f>
        <v>https://miland.ru/api/getInfo/item/826b1581-a3ce-11ed-a22f-00155d82e902</v>
      </c>
      <c r="AB2600" s="21" t="s">
        <v>42</v>
      </c>
      <c r="AC2600" s="21" t="s">
        <v>8942</v>
      </c>
      <c r="AD2600" s="21"/>
    </row>
    <row r="2601" spans="2:31" s="1" customFormat="1" ht="96.3" customHeight="1" outlineLevel="5">
      <c r="B2601" s="57">
        <v>2017</v>
      </c>
      <c r="C2601" s="21" t="s">
        <v>8994</v>
      </c>
      <c r="D2601" s="72" t="s">
        <v>8995</v>
      </c>
      <c r="E2601" s="72"/>
      <c r="F2601" s="72"/>
      <c r="G2601" s="72"/>
      <c r="H2601" s="22" t="s">
        <v>8996</v>
      </c>
      <c r="I2601" s="23" t="s">
        <v>36</v>
      </c>
      <c r="J2601" s="22"/>
      <c r="K2601" s="20">
        <v>3</v>
      </c>
      <c r="L2601" s="24">
        <v>252.18</v>
      </c>
      <c r="M2601" s="11"/>
      <c r="N2601" s="22">
        <f t="shared" si="123"/>
        <v>0</v>
      </c>
      <c r="O2601" s="25">
        <f>0.037*M2601</f>
        <v>0</v>
      </c>
      <c r="P2601" s="26">
        <f>0.00144*M2601</f>
        <v>0</v>
      </c>
      <c r="Q2601" s="30"/>
      <c r="R2601" s="22" t="s">
        <v>8997</v>
      </c>
      <c r="S2601" s="22"/>
      <c r="T2601" s="21" t="str">
        <f>HYPERLINK("https://miland.ru/api/getInfo/image/300f9813-a3ce-11ed-a22f-00155d82e902")</f>
        <v>https://miland.ru/api/getInfo/image/300f9813-a3ce-11ed-a22f-00155d82e902</v>
      </c>
      <c r="U2601" s="21"/>
      <c r="V2601" s="21" t="s">
        <v>8940</v>
      </c>
      <c r="W2601" s="21" t="s">
        <v>8941</v>
      </c>
      <c r="X2601" s="21"/>
      <c r="Y2601" s="21" t="s">
        <v>41</v>
      </c>
      <c r="Z2601" s="21"/>
      <c r="AA2601" s="21" t="str">
        <f>HYPERLINK("https://miland.ru/api/getInfo/item/300f9813-a3ce-11ed-a22f-00155d82e902")</f>
        <v>https://miland.ru/api/getInfo/item/300f9813-a3ce-11ed-a22f-00155d82e902</v>
      </c>
      <c r="AB2601" s="21" t="s">
        <v>42</v>
      </c>
      <c r="AC2601" s="21" t="s">
        <v>8942</v>
      </c>
      <c r="AD2601" s="21"/>
    </row>
    <row r="2602" spans="2:31" s="1" customFormat="1" ht="96.3" customHeight="1" outlineLevel="5">
      <c r="B2602" s="57">
        <v>2018</v>
      </c>
      <c r="C2602" s="21" t="s">
        <v>8998</v>
      </c>
      <c r="D2602" s="72" t="s">
        <v>8999</v>
      </c>
      <c r="E2602" s="72"/>
      <c r="F2602" s="72"/>
      <c r="G2602" s="72"/>
      <c r="H2602" s="22" t="s">
        <v>9000</v>
      </c>
      <c r="I2602" s="23" t="s">
        <v>36</v>
      </c>
      <c r="J2602" s="22"/>
      <c r="K2602" s="20">
        <v>3</v>
      </c>
      <c r="L2602" s="24">
        <v>226.15</v>
      </c>
      <c r="M2602" s="11"/>
      <c r="N2602" s="22">
        <f t="shared" si="123"/>
        <v>0</v>
      </c>
      <c r="O2602" s="28">
        <f>0.05*M2602</f>
        <v>0</v>
      </c>
      <c r="P2602" s="26">
        <f>0.00144*M2602</f>
        <v>0</v>
      </c>
      <c r="Q2602" s="30"/>
      <c r="R2602" s="22" t="s">
        <v>9001</v>
      </c>
      <c r="S2602" s="22"/>
      <c r="T2602" s="21" t="str">
        <f>HYPERLINK("https://miland.ru/api/getInfo/image/773b531d-bb60-11ee-a25a-00155d82e908")</f>
        <v>https://miland.ru/api/getInfo/image/773b531d-bb60-11ee-a25a-00155d82e908</v>
      </c>
      <c r="U2602" s="21"/>
      <c r="V2602" s="21" t="s">
        <v>8940</v>
      </c>
      <c r="W2602" s="21" t="s">
        <v>8941</v>
      </c>
      <c r="X2602" s="21"/>
      <c r="Y2602" s="21" t="s">
        <v>41</v>
      </c>
      <c r="Z2602" s="21"/>
      <c r="AA2602" s="21" t="str">
        <f>HYPERLINK("https://miland.ru/api/getInfo/item/773b531d-bb60-11ee-a25a-00155d82e908")</f>
        <v>https://miland.ru/api/getInfo/item/773b531d-bb60-11ee-a25a-00155d82e908</v>
      </c>
      <c r="AB2602" s="21" t="s">
        <v>42</v>
      </c>
      <c r="AC2602" s="21" t="s">
        <v>9002</v>
      </c>
      <c r="AD2602" s="21"/>
    </row>
    <row r="2603" spans="2:31" ht="16.05" customHeight="1" outlineLevel="1">
      <c r="B2603" s="68" t="s">
        <v>9003</v>
      </c>
      <c r="C2603" s="68"/>
      <c r="D2603" s="68"/>
      <c r="E2603" s="68"/>
      <c r="F2603" s="68"/>
      <c r="G2603" s="68"/>
    </row>
    <row r="2604" spans="2:31" ht="12" customHeight="1" outlineLevel="2">
      <c r="B2604" s="69" t="s">
        <v>9004</v>
      </c>
      <c r="C2604" s="69"/>
      <c r="D2604" s="69"/>
      <c r="E2604" s="69"/>
      <c r="F2604" s="69"/>
      <c r="G2604" s="69"/>
    </row>
    <row r="2605" spans="2:31" s="1" customFormat="1" ht="96.3" customHeight="1" outlineLevel="3">
      <c r="B2605" s="59">
        <v>2019</v>
      </c>
      <c r="C2605" s="35" t="s">
        <v>9005</v>
      </c>
      <c r="D2605" s="73" t="s">
        <v>9006</v>
      </c>
      <c r="E2605" s="73"/>
      <c r="F2605" s="73"/>
      <c r="G2605" s="73"/>
      <c r="H2605" s="36" t="s">
        <v>9007</v>
      </c>
      <c r="I2605" s="56" t="s">
        <v>36</v>
      </c>
      <c r="J2605" s="36"/>
      <c r="K2605" s="34">
        <v>10</v>
      </c>
      <c r="L2605" s="41">
        <v>8.2000000000000011</v>
      </c>
      <c r="M2605" s="11"/>
      <c r="N2605" s="36">
        <f t="shared" ref="N2605:N2618" si="124">L2605*M2605</f>
        <v>0</v>
      </c>
      <c r="O2605" s="42">
        <f>0.008*M2605</f>
        <v>0</v>
      </c>
      <c r="P2605" s="43">
        <f>0.00003*M2605</f>
        <v>0</v>
      </c>
      <c r="Q2605" s="50" t="s">
        <v>37</v>
      </c>
      <c r="R2605" s="36" t="s">
        <v>9008</v>
      </c>
      <c r="S2605" s="36"/>
      <c r="T2605" s="35"/>
      <c r="U2605" s="35"/>
      <c r="V2605" s="35" t="s">
        <v>9009</v>
      </c>
      <c r="W2605" s="35" t="s">
        <v>9010</v>
      </c>
      <c r="X2605" s="35"/>
      <c r="Y2605" s="35"/>
      <c r="Z2605" s="35"/>
      <c r="AA2605" s="35"/>
      <c r="AB2605" s="35" t="s">
        <v>50</v>
      </c>
      <c r="AC2605" s="35"/>
      <c r="AD2605" s="35"/>
      <c r="AE2605" s="52" t="s">
        <v>1251</v>
      </c>
    </row>
    <row r="2606" spans="2:31" s="1" customFormat="1" ht="96.3" customHeight="1" outlineLevel="3">
      <c r="B2606" s="59">
        <v>2020</v>
      </c>
      <c r="C2606" s="35" t="s">
        <v>9011</v>
      </c>
      <c r="D2606" s="73" t="s">
        <v>9012</v>
      </c>
      <c r="E2606" s="73"/>
      <c r="F2606" s="73"/>
      <c r="G2606" s="73"/>
      <c r="H2606" s="36" t="s">
        <v>9013</v>
      </c>
      <c r="I2606" s="56" t="s">
        <v>36</v>
      </c>
      <c r="J2606" s="36"/>
      <c r="K2606" s="34">
        <v>10</v>
      </c>
      <c r="L2606" s="41">
        <v>8.2000000000000011</v>
      </c>
      <c r="M2606" s="11"/>
      <c r="N2606" s="36">
        <f t="shared" si="124"/>
        <v>0</v>
      </c>
      <c r="O2606" s="42">
        <f>0.008*M2606</f>
        <v>0</v>
      </c>
      <c r="P2606" s="43">
        <f>0.00003*M2606</f>
        <v>0</v>
      </c>
      <c r="Q2606" s="50" t="s">
        <v>37</v>
      </c>
      <c r="R2606" s="36" t="s">
        <v>9014</v>
      </c>
      <c r="S2606" s="36"/>
      <c r="T2606" s="35"/>
      <c r="U2606" s="35"/>
      <c r="V2606" s="35" t="s">
        <v>9009</v>
      </c>
      <c r="W2606" s="35" t="s">
        <v>9010</v>
      </c>
      <c r="X2606" s="35"/>
      <c r="Y2606" s="35"/>
      <c r="Z2606" s="35"/>
      <c r="AA2606" s="35"/>
      <c r="AB2606" s="35" t="s">
        <v>50</v>
      </c>
      <c r="AC2606" s="35"/>
      <c r="AD2606" s="35"/>
      <c r="AE2606" s="52" t="s">
        <v>1251</v>
      </c>
    </row>
    <row r="2607" spans="2:31" s="1" customFormat="1" ht="96.3" customHeight="1" outlineLevel="3">
      <c r="B2607" s="59">
        <v>2021</v>
      </c>
      <c r="C2607" s="35" t="s">
        <v>9015</v>
      </c>
      <c r="D2607" s="73" t="s">
        <v>9016</v>
      </c>
      <c r="E2607" s="73"/>
      <c r="F2607" s="73"/>
      <c r="G2607" s="73"/>
      <c r="H2607" s="36" t="s">
        <v>9017</v>
      </c>
      <c r="I2607" s="56" t="s">
        <v>36</v>
      </c>
      <c r="J2607" s="36"/>
      <c r="K2607" s="34">
        <v>12</v>
      </c>
      <c r="L2607" s="41">
        <v>34.533333333333331</v>
      </c>
      <c r="M2607" s="11"/>
      <c r="N2607" s="36">
        <f t="shared" si="124"/>
        <v>0</v>
      </c>
      <c r="O2607" s="42">
        <f>0.035*M2607</f>
        <v>0</v>
      </c>
      <c r="P2607" s="43">
        <f>0.00093*M2607</f>
        <v>0</v>
      </c>
      <c r="Q2607" s="50"/>
      <c r="R2607" s="36" t="s">
        <v>9018</v>
      </c>
      <c r="S2607" s="36"/>
      <c r="T2607" s="35" t="str">
        <f>HYPERLINK("https://miland.ru/api/getInfo/image/0aef1f40-379c-11f0-a27c-00155d82e908")</f>
        <v>https://miland.ru/api/getInfo/image/0aef1f40-379c-11f0-a27c-00155d82e908</v>
      </c>
      <c r="U2607" s="35"/>
      <c r="V2607" s="35" t="s">
        <v>6525</v>
      </c>
      <c r="W2607" s="35" t="s">
        <v>378</v>
      </c>
      <c r="X2607" s="35"/>
      <c r="Y2607" s="35" t="s">
        <v>41</v>
      </c>
      <c r="Z2607" s="35"/>
      <c r="AA2607" s="35" t="str">
        <f>HYPERLINK("https://miland.ru/api/getInfo/item/0aef1f40-379c-11f0-a27c-00155d82e908")</f>
        <v>https://miland.ru/api/getInfo/item/0aef1f40-379c-11f0-a27c-00155d82e908</v>
      </c>
      <c r="AB2607" s="35" t="s">
        <v>42</v>
      </c>
      <c r="AC2607" s="35"/>
      <c r="AD2607" s="35"/>
      <c r="AE2607" s="52" t="s">
        <v>1251</v>
      </c>
    </row>
    <row r="2608" spans="2:31" s="1" customFormat="1" ht="96.3" customHeight="1" outlineLevel="3">
      <c r="B2608" s="59">
        <v>2022</v>
      </c>
      <c r="C2608" s="35" t="s">
        <v>9019</v>
      </c>
      <c r="D2608" s="73" t="s">
        <v>9020</v>
      </c>
      <c r="E2608" s="73"/>
      <c r="F2608" s="73"/>
      <c r="G2608" s="73"/>
      <c r="H2608" s="36" t="s">
        <v>9021</v>
      </c>
      <c r="I2608" s="40">
        <v>420</v>
      </c>
      <c r="J2608" s="36"/>
      <c r="K2608" s="34">
        <v>12</v>
      </c>
      <c r="L2608" s="41">
        <v>34.533333333333331</v>
      </c>
      <c r="M2608" s="11"/>
      <c r="N2608" s="36">
        <f t="shared" si="124"/>
        <v>0</v>
      </c>
      <c r="O2608" s="42">
        <f>0.058*M2608</f>
        <v>0</v>
      </c>
      <c r="P2608" s="43">
        <f>0.00027*M2608</f>
        <v>0</v>
      </c>
      <c r="Q2608" s="50"/>
      <c r="R2608" s="36" t="s">
        <v>9022</v>
      </c>
      <c r="S2608" s="36"/>
      <c r="T2608" s="35" t="str">
        <f>HYPERLINK("https://miland.ru/api/getInfo/image/45d25846-379c-11f0-a27c-00155d82e908")</f>
        <v>https://miland.ru/api/getInfo/image/45d25846-379c-11f0-a27c-00155d82e908</v>
      </c>
      <c r="U2608" s="35"/>
      <c r="V2608" s="35" t="s">
        <v>6525</v>
      </c>
      <c r="W2608" s="35" t="s">
        <v>378</v>
      </c>
      <c r="X2608" s="35"/>
      <c r="Y2608" s="35" t="s">
        <v>41</v>
      </c>
      <c r="Z2608" s="35"/>
      <c r="AA2608" s="35" t="str">
        <f>HYPERLINK("https://miland.ru/api/getInfo/item/45d25846-379c-11f0-a27c-00155d82e908")</f>
        <v>https://miland.ru/api/getInfo/item/45d25846-379c-11f0-a27c-00155d82e908</v>
      </c>
      <c r="AB2608" s="35" t="s">
        <v>42</v>
      </c>
      <c r="AC2608" s="35"/>
      <c r="AD2608" s="35"/>
      <c r="AE2608" s="52" t="s">
        <v>1251</v>
      </c>
    </row>
    <row r="2609" spans="2:31" s="1" customFormat="1" ht="96.3" customHeight="1" outlineLevel="3">
      <c r="B2609" s="59">
        <v>2023</v>
      </c>
      <c r="C2609" s="35" t="s">
        <v>9023</v>
      </c>
      <c r="D2609" s="73" t="s">
        <v>9024</v>
      </c>
      <c r="E2609" s="73"/>
      <c r="F2609" s="73"/>
      <c r="G2609" s="73"/>
      <c r="H2609" s="36" t="s">
        <v>9025</v>
      </c>
      <c r="I2609" s="56" t="s">
        <v>36</v>
      </c>
      <c r="J2609" s="36"/>
      <c r="K2609" s="34">
        <v>12</v>
      </c>
      <c r="L2609" s="41">
        <v>34.533333333333331</v>
      </c>
      <c r="M2609" s="11"/>
      <c r="N2609" s="36">
        <f t="shared" si="124"/>
        <v>0</v>
      </c>
      <c r="O2609" s="42">
        <f>0.058*M2609</f>
        <v>0</v>
      </c>
      <c r="P2609" s="43">
        <f>0.00027*M2609</f>
        <v>0</v>
      </c>
      <c r="Q2609" s="50"/>
      <c r="R2609" s="36" t="s">
        <v>9026</v>
      </c>
      <c r="S2609" s="36"/>
      <c r="T2609" s="35" t="str">
        <f>HYPERLINK("https://miland.ru/api/getInfo/image/6febb1c7-379c-11f0-a27c-00155d82e908")</f>
        <v>https://miland.ru/api/getInfo/image/6febb1c7-379c-11f0-a27c-00155d82e908</v>
      </c>
      <c r="U2609" s="35"/>
      <c r="V2609" s="35" t="s">
        <v>6525</v>
      </c>
      <c r="W2609" s="35" t="s">
        <v>378</v>
      </c>
      <c r="X2609" s="35"/>
      <c r="Y2609" s="35" t="s">
        <v>41</v>
      </c>
      <c r="Z2609" s="35"/>
      <c r="AA2609" s="35" t="str">
        <f>HYPERLINK("https://miland.ru/api/getInfo/item/6febb1c7-379c-11f0-a27c-00155d82e908")</f>
        <v>https://miland.ru/api/getInfo/item/6febb1c7-379c-11f0-a27c-00155d82e908</v>
      </c>
      <c r="AB2609" s="35" t="s">
        <v>42</v>
      </c>
      <c r="AC2609" s="35"/>
      <c r="AD2609" s="35"/>
      <c r="AE2609" s="52" t="s">
        <v>1251</v>
      </c>
    </row>
    <row r="2610" spans="2:31" s="1" customFormat="1" ht="96.3" customHeight="1" outlineLevel="3">
      <c r="B2610" s="59">
        <v>2024</v>
      </c>
      <c r="C2610" s="35" t="s">
        <v>9027</v>
      </c>
      <c r="D2610" s="73" t="s">
        <v>9028</v>
      </c>
      <c r="E2610" s="73"/>
      <c r="F2610" s="73"/>
      <c r="G2610" s="73"/>
      <c r="H2610" s="36" t="s">
        <v>9029</v>
      </c>
      <c r="I2610" s="56" t="s">
        <v>36</v>
      </c>
      <c r="J2610" s="36"/>
      <c r="K2610" s="34">
        <v>12</v>
      </c>
      <c r="L2610" s="41">
        <v>53.586666666666666</v>
      </c>
      <c r="M2610" s="11"/>
      <c r="N2610" s="36">
        <f t="shared" si="124"/>
        <v>0</v>
      </c>
      <c r="O2610" s="42">
        <f>0.058*M2610</f>
        <v>0</v>
      </c>
      <c r="P2610" s="43">
        <f>0.00027*M2610</f>
        <v>0</v>
      </c>
      <c r="Q2610" s="50"/>
      <c r="R2610" s="36" t="s">
        <v>9030</v>
      </c>
      <c r="S2610" s="36"/>
      <c r="T2610" s="35" t="str">
        <f>HYPERLINK("https://miland.ru/api/getInfo/image/e928ec4c-379c-11f0-a27c-00155d82e908")</f>
        <v>https://miland.ru/api/getInfo/image/e928ec4c-379c-11f0-a27c-00155d82e908</v>
      </c>
      <c r="U2610" s="35"/>
      <c r="V2610" s="35" t="s">
        <v>6525</v>
      </c>
      <c r="W2610" s="35" t="s">
        <v>378</v>
      </c>
      <c r="X2610" s="35"/>
      <c r="Y2610" s="35" t="s">
        <v>41</v>
      </c>
      <c r="Z2610" s="35"/>
      <c r="AA2610" s="35" t="str">
        <f>HYPERLINK("https://miland.ru/api/getInfo/item/e928ec4c-379c-11f0-a27c-00155d82e908")</f>
        <v>https://miland.ru/api/getInfo/item/e928ec4c-379c-11f0-a27c-00155d82e908</v>
      </c>
      <c r="AB2610" s="35" t="s">
        <v>42</v>
      </c>
      <c r="AC2610" s="35"/>
      <c r="AD2610" s="35"/>
      <c r="AE2610" s="52" t="s">
        <v>1251</v>
      </c>
    </row>
    <row r="2611" spans="2:31" s="1" customFormat="1" ht="96.3" customHeight="1" outlineLevel="3">
      <c r="B2611" s="59">
        <v>2025</v>
      </c>
      <c r="C2611" s="35" t="s">
        <v>9031</v>
      </c>
      <c r="D2611" s="73" t="s">
        <v>9032</v>
      </c>
      <c r="E2611" s="73"/>
      <c r="F2611" s="73"/>
      <c r="G2611" s="73"/>
      <c r="H2611" s="36" t="s">
        <v>9033</v>
      </c>
      <c r="I2611" s="56" t="s">
        <v>36</v>
      </c>
      <c r="J2611" s="36"/>
      <c r="K2611" s="34">
        <v>12</v>
      </c>
      <c r="L2611" s="41">
        <v>53.586666666666666</v>
      </c>
      <c r="M2611" s="11"/>
      <c r="N2611" s="36">
        <f t="shared" si="124"/>
        <v>0</v>
      </c>
      <c r="O2611" s="42">
        <f>0.058*M2611</f>
        <v>0</v>
      </c>
      <c r="P2611" s="43">
        <f>0.00027*M2611</f>
        <v>0</v>
      </c>
      <c r="Q2611" s="50"/>
      <c r="R2611" s="36" t="s">
        <v>9034</v>
      </c>
      <c r="S2611" s="36"/>
      <c r="T2611" s="35" t="str">
        <f>HYPERLINK("https://miland.ru/api/getInfo/image/ae34f858-379c-11f0-a27c-00155d82e908")</f>
        <v>https://miland.ru/api/getInfo/image/ae34f858-379c-11f0-a27c-00155d82e908</v>
      </c>
      <c r="U2611" s="35"/>
      <c r="V2611" s="35" t="s">
        <v>6525</v>
      </c>
      <c r="W2611" s="35" t="s">
        <v>378</v>
      </c>
      <c r="X2611" s="35"/>
      <c r="Y2611" s="35" t="s">
        <v>41</v>
      </c>
      <c r="Z2611" s="35"/>
      <c r="AA2611" s="35" t="str">
        <f>HYPERLINK("https://miland.ru/api/getInfo/item/ae34f858-379c-11f0-a27c-00155d82e908")</f>
        <v>https://miland.ru/api/getInfo/item/ae34f858-379c-11f0-a27c-00155d82e908</v>
      </c>
      <c r="AB2611" s="35" t="s">
        <v>42</v>
      </c>
      <c r="AC2611" s="35"/>
      <c r="AD2611" s="35"/>
      <c r="AE2611" s="52" t="s">
        <v>1251</v>
      </c>
    </row>
    <row r="2612" spans="2:31" s="1" customFormat="1" ht="96.3" customHeight="1" outlineLevel="3">
      <c r="B2612" s="59">
        <v>2026</v>
      </c>
      <c r="C2612" s="35" t="s">
        <v>9035</v>
      </c>
      <c r="D2612" s="73" t="s">
        <v>9036</v>
      </c>
      <c r="E2612" s="73"/>
      <c r="F2612" s="73"/>
      <c r="G2612" s="73"/>
      <c r="H2612" s="36" t="s">
        <v>9037</v>
      </c>
      <c r="I2612" s="56" t="s">
        <v>36</v>
      </c>
      <c r="J2612" s="36"/>
      <c r="K2612" s="34">
        <v>12</v>
      </c>
      <c r="L2612" s="41">
        <v>53.586666666666666</v>
      </c>
      <c r="M2612" s="11"/>
      <c r="N2612" s="36">
        <f t="shared" si="124"/>
        <v>0</v>
      </c>
      <c r="O2612" s="42">
        <f>0.058*M2612</f>
        <v>0</v>
      </c>
      <c r="P2612" s="43">
        <f>0.00027*M2612</f>
        <v>0</v>
      </c>
      <c r="Q2612" s="50"/>
      <c r="R2612" s="36" t="s">
        <v>9038</v>
      </c>
      <c r="S2612" s="36"/>
      <c r="T2612" s="35" t="str">
        <f>HYPERLINK("https://miland.ru/api/getInfo/image/1c26e6cb-379d-11f0-a27c-00155d82e908")</f>
        <v>https://miland.ru/api/getInfo/image/1c26e6cb-379d-11f0-a27c-00155d82e908</v>
      </c>
      <c r="U2612" s="35"/>
      <c r="V2612" s="35" t="s">
        <v>6525</v>
      </c>
      <c r="W2612" s="35" t="s">
        <v>378</v>
      </c>
      <c r="X2612" s="35"/>
      <c r="Y2612" s="35" t="s">
        <v>41</v>
      </c>
      <c r="Z2612" s="35"/>
      <c r="AA2612" s="35" t="str">
        <f>HYPERLINK("https://miland.ru/api/getInfo/item/1c26e6cb-379d-11f0-a27c-00155d82e908")</f>
        <v>https://miland.ru/api/getInfo/item/1c26e6cb-379d-11f0-a27c-00155d82e908</v>
      </c>
      <c r="AB2612" s="35" t="s">
        <v>42</v>
      </c>
      <c r="AC2612" s="35"/>
      <c r="AD2612" s="35"/>
      <c r="AE2612" s="52" t="s">
        <v>1251</v>
      </c>
    </row>
    <row r="2613" spans="2:31" s="1" customFormat="1" ht="96.3" customHeight="1" outlineLevel="3">
      <c r="B2613" s="57">
        <v>2027</v>
      </c>
      <c r="C2613" s="21" t="s">
        <v>9039</v>
      </c>
      <c r="D2613" s="72" t="s">
        <v>9040</v>
      </c>
      <c r="E2613" s="72"/>
      <c r="F2613" s="72"/>
      <c r="G2613" s="72"/>
      <c r="H2613" s="22" t="s">
        <v>9041</v>
      </c>
      <c r="I2613" s="23" t="s">
        <v>36</v>
      </c>
      <c r="J2613" s="22"/>
      <c r="K2613" s="20">
        <v>3</v>
      </c>
      <c r="L2613" s="24">
        <v>266.26</v>
      </c>
      <c r="M2613" s="11"/>
      <c r="N2613" s="22">
        <f t="shared" si="124"/>
        <v>0</v>
      </c>
      <c r="O2613" s="25">
        <f>0.049*M2613</f>
        <v>0</v>
      </c>
      <c r="P2613" s="26">
        <f>0.00023*M2613</f>
        <v>0</v>
      </c>
      <c r="Q2613" s="30"/>
      <c r="R2613" s="22" t="s">
        <v>9042</v>
      </c>
      <c r="S2613" s="22"/>
      <c r="T2613" s="21" t="str">
        <f>HYPERLINK("https://miland.ru/api/getInfo/image/42a2ee6f-7a59-11ef-a265-00155d82e908")</f>
        <v>https://miland.ru/api/getInfo/image/42a2ee6f-7a59-11ef-a265-00155d82e908</v>
      </c>
      <c r="U2613" s="21"/>
      <c r="V2613" s="21"/>
      <c r="W2613" s="21"/>
      <c r="X2613" s="21"/>
      <c r="Y2613" s="21" t="s">
        <v>41</v>
      </c>
      <c r="Z2613" s="21"/>
      <c r="AA2613" s="21" t="str">
        <f>HYPERLINK("https://miland.ru/api/getInfo/item/42a2ee6f-7a59-11ef-a265-00155d82e908")</f>
        <v>https://miland.ru/api/getInfo/item/42a2ee6f-7a59-11ef-a265-00155d82e908</v>
      </c>
      <c r="AB2613" s="21" t="s">
        <v>50</v>
      </c>
      <c r="AC2613" s="21"/>
      <c r="AD2613" s="21"/>
    </row>
    <row r="2614" spans="2:31" s="1" customFormat="1" ht="96.3" customHeight="1" outlineLevel="3">
      <c r="B2614" s="57">
        <v>2028</v>
      </c>
      <c r="C2614" s="21" t="s">
        <v>9043</v>
      </c>
      <c r="D2614" s="72" t="s">
        <v>9044</v>
      </c>
      <c r="E2614" s="72"/>
      <c r="F2614" s="72"/>
      <c r="G2614" s="72"/>
      <c r="H2614" s="22" t="s">
        <v>9045</v>
      </c>
      <c r="I2614" s="23" t="s">
        <v>36</v>
      </c>
      <c r="J2614" s="22"/>
      <c r="K2614" s="20">
        <v>50</v>
      </c>
      <c r="L2614" s="24">
        <v>18.59</v>
      </c>
      <c r="M2614" s="11"/>
      <c r="N2614" s="22">
        <f t="shared" si="124"/>
        <v>0</v>
      </c>
      <c r="O2614" s="25">
        <f>0.014*M2614</f>
        <v>0</v>
      </c>
      <c r="P2614" s="26">
        <f>0.00012*M2614</f>
        <v>0</v>
      </c>
      <c r="Q2614" s="30"/>
      <c r="R2614" s="22" t="s">
        <v>9046</v>
      </c>
      <c r="S2614" s="22"/>
      <c r="T2614" s="21" t="str">
        <f>HYPERLINK("https://miland.ru/api/getInfo/image/e97dfc1b-3551-11f0-a27c-00155d82e908")</f>
        <v>https://miland.ru/api/getInfo/image/e97dfc1b-3551-11f0-a27c-00155d82e908</v>
      </c>
      <c r="U2614" s="21"/>
      <c r="V2614" s="21"/>
      <c r="W2614" s="21" t="s">
        <v>408</v>
      </c>
      <c r="X2614" s="21"/>
      <c r="Y2614" s="21" t="s">
        <v>41</v>
      </c>
      <c r="Z2614" s="21"/>
      <c r="AA2614" s="21" t="str">
        <f>HYPERLINK("https://miland.ru/api/getInfo/item/e97dfc1b-3551-11f0-a27c-00155d82e908")</f>
        <v>https://miland.ru/api/getInfo/item/e97dfc1b-3551-11f0-a27c-00155d82e908</v>
      </c>
      <c r="AB2614" s="21" t="s">
        <v>50</v>
      </c>
      <c r="AC2614" s="21"/>
      <c r="AD2614" s="21"/>
    </row>
    <row r="2615" spans="2:31" s="1" customFormat="1" ht="96.3" customHeight="1" outlineLevel="3">
      <c r="B2615" s="57">
        <v>2029</v>
      </c>
      <c r="C2615" s="21" t="s">
        <v>9047</v>
      </c>
      <c r="D2615" s="72" t="s">
        <v>9048</v>
      </c>
      <c r="E2615" s="72"/>
      <c r="F2615" s="72"/>
      <c r="G2615" s="72"/>
      <c r="H2615" s="22" t="s">
        <v>9049</v>
      </c>
      <c r="I2615" s="23" t="s">
        <v>36</v>
      </c>
      <c r="J2615" s="22"/>
      <c r="K2615" s="20">
        <v>50</v>
      </c>
      <c r="L2615" s="24">
        <v>18.59</v>
      </c>
      <c r="M2615" s="11"/>
      <c r="N2615" s="22">
        <f t="shared" si="124"/>
        <v>0</v>
      </c>
      <c r="O2615" s="25">
        <f>0.013*M2615</f>
        <v>0</v>
      </c>
      <c r="P2615" s="26">
        <f>0.00012*M2615</f>
        <v>0</v>
      </c>
      <c r="Q2615" s="30"/>
      <c r="R2615" s="22" t="s">
        <v>9050</v>
      </c>
      <c r="S2615" s="22"/>
      <c r="T2615" s="21" t="str">
        <f>HYPERLINK("https://miland.ru/api/getInfo/image/32fa7b53-3552-11f0-a27c-00155d82e908")</f>
        <v>https://miland.ru/api/getInfo/image/32fa7b53-3552-11f0-a27c-00155d82e908</v>
      </c>
      <c r="U2615" s="21"/>
      <c r="V2615" s="21"/>
      <c r="W2615" s="21" t="s">
        <v>408</v>
      </c>
      <c r="X2615" s="21"/>
      <c r="Y2615" s="21" t="s">
        <v>41</v>
      </c>
      <c r="Z2615" s="21"/>
      <c r="AA2615" s="21" t="str">
        <f>HYPERLINK("https://miland.ru/api/getInfo/item/32fa7b53-3552-11f0-a27c-00155d82e908")</f>
        <v>https://miland.ru/api/getInfo/item/32fa7b53-3552-11f0-a27c-00155d82e908</v>
      </c>
      <c r="AB2615" s="21" t="s">
        <v>50</v>
      </c>
      <c r="AC2615" s="21"/>
      <c r="AD2615" s="21"/>
    </row>
    <row r="2616" spans="2:31" s="1" customFormat="1" ht="96.3" customHeight="1" outlineLevel="3">
      <c r="B2616" s="57">
        <v>2030</v>
      </c>
      <c r="C2616" s="21" t="s">
        <v>9051</v>
      </c>
      <c r="D2616" s="72" t="s">
        <v>9052</v>
      </c>
      <c r="E2616" s="72"/>
      <c r="F2616" s="72"/>
      <c r="G2616" s="72"/>
      <c r="H2616" s="22" t="s">
        <v>9053</v>
      </c>
      <c r="I2616" s="23" t="s">
        <v>36</v>
      </c>
      <c r="J2616" s="22"/>
      <c r="K2616" s="20">
        <v>12</v>
      </c>
      <c r="L2616" s="24">
        <v>50.08</v>
      </c>
      <c r="M2616" s="11"/>
      <c r="N2616" s="22">
        <f t="shared" si="124"/>
        <v>0</v>
      </c>
      <c r="O2616" s="25">
        <f>0.058*M2616</f>
        <v>0</v>
      </c>
      <c r="P2616" s="26">
        <f>0.00027*M2616</f>
        <v>0</v>
      </c>
      <c r="Q2616" s="30"/>
      <c r="R2616" s="22" t="s">
        <v>9054</v>
      </c>
      <c r="S2616" s="22"/>
      <c r="T2616" s="21" t="str">
        <f>HYPERLINK("https://miland.ru/api/getInfo/image/7652c0ae-379b-11f0-a27c-00155d82e908")</f>
        <v>https://miland.ru/api/getInfo/image/7652c0ae-379b-11f0-a27c-00155d82e908</v>
      </c>
      <c r="U2616" s="21"/>
      <c r="V2616" s="21" t="s">
        <v>6525</v>
      </c>
      <c r="W2616" s="21" t="s">
        <v>378</v>
      </c>
      <c r="X2616" s="21"/>
      <c r="Y2616" s="21" t="s">
        <v>41</v>
      </c>
      <c r="Z2616" s="21"/>
      <c r="AA2616" s="21" t="str">
        <f>HYPERLINK("https://miland.ru/api/getInfo/item/7652c0ae-379b-11f0-a27c-00155d82e908")</f>
        <v>https://miland.ru/api/getInfo/item/7652c0ae-379b-11f0-a27c-00155d82e908</v>
      </c>
      <c r="AB2616" s="21" t="s">
        <v>42</v>
      </c>
      <c r="AC2616" s="21"/>
      <c r="AD2616" s="21"/>
    </row>
    <row r="2617" spans="2:31" s="1" customFormat="1" ht="96.3" customHeight="1" outlineLevel="3">
      <c r="B2617" s="57">
        <v>2031</v>
      </c>
      <c r="C2617" s="21" t="s">
        <v>9055</v>
      </c>
      <c r="D2617" s="72" t="s">
        <v>9056</v>
      </c>
      <c r="E2617" s="72"/>
      <c r="F2617" s="72"/>
      <c r="G2617" s="72"/>
      <c r="H2617" s="22" t="s">
        <v>9057</v>
      </c>
      <c r="I2617" s="23" t="s">
        <v>36</v>
      </c>
      <c r="J2617" s="22"/>
      <c r="K2617" s="20">
        <v>12</v>
      </c>
      <c r="L2617" s="24">
        <v>50.08</v>
      </c>
      <c r="M2617" s="11"/>
      <c r="N2617" s="22">
        <f t="shared" si="124"/>
        <v>0</v>
      </c>
      <c r="O2617" s="28">
        <f>0.03*M2617</f>
        <v>0</v>
      </c>
      <c r="P2617" s="26">
        <f>0.00013*M2617</f>
        <v>0</v>
      </c>
      <c r="Q2617" s="30"/>
      <c r="R2617" s="22" t="s">
        <v>9058</v>
      </c>
      <c r="S2617" s="22"/>
      <c r="T2617" s="21" t="str">
        <f>HYPERLINK("https://miland.ru/api/getInfo/image/da2e6bf6-379b-11f0-a27c-00155d82e908")</f>
        <v>https://miland.ru/api/getInfo/image/da2e6bf6-379b-11f0-a27c-00155d82e908</v>
      </c>
      <c r="U2617" s="21"/>
      <c r="V2617" s="21" t="s">
        <v>6525</v>
      </c>
      <c r="W2617" s="21" t="s">
        <v>378</v>
      </c>
      <c r="X2617" s="21"/>
      <c r="Y2617" s="21" t="s">
        <v>41</v>
      </c>
      <c r="Z2617" s="21"/>
      <c r="AA2617" s="21" t="str">
        <f>HYPERLINK("https://miland.ru/api/getInfo/item/da2e6bf6-379b-11f0-a27c-00155d82e908")</f>
        <v>https://miland.ru/api/getInfo/item/da2e6bf6-379b-11f0-a27c-00155d82e908</v>
      </c>
      <c r="AB2617" s="21" t="s">
        <v>42</v>
      </c>
      <c r="AC2617" s="21"/>
      <c r="AD2617" s="21"/>
    </row>
    <row r="2618" spans="2:31" s="1" customFormat="1" ht="96.3" customHeight="1" outlineLevel="3">
      <c r="B2618" s="57">
        <v>2032</v>
      </c>
      <c r="C2618" s="21" t="s">
        <v>9059</v>
      </c>
      <c r="D2618" s="72" t="s">
        <v>9060</v>
      </c>
      <c r="E2618" s="72"/>
      <c r="F2618" s="72"/>
      <c r="G2618" s="72"/>
      <c r="H2618" s="22" t="s">
        <v>9061</v>
      </c>
      <c r="I2618" s="23" t="s">
        <v>36</v>
      </c>
      <c r="J2618" s="22"/>
      <c r="K2618" s="20">
        <v>12</v>
      </c>
      <c r="L2618" s="24">
        <v>50.08</v>
      </c>
      <c r="M2618" s="11"/>
      <c r="N2618" s="22">
        <f t="shared" si="124"/>
        <v>0</v>
      </c>
      <c r="O2618" s="28">
        <f>0.05*M2618</f>
        <v>0</v>
      </c>
      <c r="P2618" s="26">
        <f>0.00027*M2618</f>
        <v>0</v>
      </c>
      <c r="Q2618" s="30"/>
      <c r="R2618" s="22" t="s">
        <v>9062</v>
      </c>
      <c r="S2618" s="22"/>
      <c r="T2618" s="21" t="str">
        <f>HYPERLINK("https://miland.ru/api/getInfo/image/b685f1c7-379b-11f0-a27c-00155d82e908")</f>
        <v>https://miland.ru/api/getInfo/image/b685f1c7-379b-11f0-a27c-00155d82e908</v>
      </c>
      <c r="U2618" s="21"/>
      <c r="V2618" s="21" t="s">
        <v>6525</v>
      </c>
      <c r="W2618" s="21" t="s">
        <v>378</v>
      </c>
      <c r="X2618" s="21"/>
      <c r="Y2618" s="21" t="s">
        <v>41</v>
      </c>
      <c r="Z2618" s="21"/>
      <c r="AA2618" s="21" t="str">
        <f>HYPERLINK("https://miland.ru/api/getInfo/item/b685f1c7-379b-11f0-a27c-00155d82e908")</f>
        <v>https://miland.ru/api/getInfo/item/b685f1c7-379b-11f0-a27c-00155d82e908</v>
      </c>
      <c r="AB2618" s="21" t="s">
        <v>42</v>
      </c>
      <c r="AC2618" s="21"/>
      <c r="AD2618" s="21"/>
    </row>
    <row r="2619" spans="2:31" ht="12" customHeight="1" outlineLevel="2">
      <c r="B2619" s="69" t="s">
        <v>9063</v>
      </c>
      <c r="C2619" s="69"/>
      <c r="D2619" s="69"/>
      <c r="E2619" s="69"/>
      <c r="F2619" s="69"/>
      <c r="G2619" s="69"/>
    </row>
    <row r="2620" spans="2:31" s="1" customFormat="1" ht="96.3" customHeight="1" outlineLevel="3">
      <c r="B2620" s="59">
        <v>2033</v>
      </c>
      <c r="C2620" s="35" t="s">
        <v>9064</v>
      </c>
      <c r="D2620" s="73" t="s">
        <v>9065</v>
      </c>
      <c r="E2620" s="73"/>
      <c r="F2620" s="73"/>
      <c r="G2620" s="73"/>
      <c r="H2620" s="36" t="s">
        <v>9066</v>
      </c>
      <c r="I2620" s="56" t="s">
        <v>36</v>
      </c>
      <c r="J2620" s="36"/>
      <c r="K2620" s="34">
        <v>10</v>
      </c>
      <c r="L2620" s="41">
        <v>8.2000000000000011</v>
      </c>
      <c r="M2620" s="11"/>
      <c r="N2620" s="36">
        <f t="shared" ref="N2620:N2631" si="125">L2620*M2620</f>
        <v>0</v>
      </c>
      <c r="O2620" s="42">
        <f>0.008*M2620</f>
        <v>0</v>
      </c>
      <c r="P2620" s="43">
        <f>0.00003*M2620</f>
        <v>0</v>
      </c>
      <c r="Q2620" s="50" t="s">
        <v>37</v>
      </c>
      <c r="R2620" s="36" t="s">
        <v>9067</v>
      </c>
      <c r="S2620" s="36"/>
      <c r="T2620" s="35"/>
      <c r="U2620" s="35"/>
      <c r="V2620" s="35"/>
      <c r="W2620" s="35"/>
      <c r="X2620" s="35"/>
      <c r="Y2620" s="35"/>
      <c r="Z2620" s="35"/>
      <c r="AA2620" s="35"/>
      <c r="AB2620" s="35" t="s">
        <v>50</v>
      </c>
      <c r="AC2620" s="35"/>
      <c r="AD2620" s="35"/>
      <c r="AE2620" s="52" t="s">
        <v>1251</v>
      </c>
    </row>
    <row r="2621" spans="2:31" s="1" customFormat="1" ht="96.3" customHeight="1" outlineLevel="3">
      <c r="B2621" s="59">
        <v>2034</v>
      </c>
      <c r="C2621" s="35" t="s">
        <v>9068</v>
      </c>
      <c r="D2621" s="73" t="s">
        <v>9069</v>
      </c>
      <c r="E2621" s="73"/>
      <c r="F2621" s="73"/>
      <c r="G2621" s="73"/>
      <c r="H2621" s="36" t="s">
        <v>9070</v>
      </c>
      <c r="I2621" s="56" t="s">
        <v>36</v>
      </c>
      <c r="J2621" s="36"/>
      <c r="K2621" s="34">
        <v>10</v>
      </c>
      <c r="L2621" s="41">
        <v>8.2000000000000011</v>
      </c>
      <c r="M2621" s="11"/>
      <c r="N2621" s="36">
        <f t="shared" si="125"/>
        <v>0</v>
      </c>
      <c r="O2621" s="42">
        <f>0.008*M2621</f>
        <v>0</v>
      </c>
      <c r="P2621" s="43">
        <f>0.00003*M2621</f>
        <v>0</v>
      </c>
      <c r="Q2621" s="50" t="s">
        <v>37</v>
      </c>
      <c r="R2621" s="36" t="s">
        <v>9071</v>
      </c>
      <c r="S2621" s="36"/>
      <c r="T2621" s="35"/>
      <c r="U2621" s="35"/>
      <c r="V2621" s="35"/>
      <c r="W2621" s="35"/>
      <c r="X2621" s="35"/>
      <c r="Y2621" s="35"/>
      <c r="Z2621" s="35"/>
      <c r="AA2621" s="35"/>
      <c r="AB2621" s="35" t="s">
        <v>50</v>
      </c>
      <c r="AC2621" s="35"/>
      <c r="AD2621" s="35"/>
      <c r="AE2621" s="52" t="s">
        <v>1251</v>
      </c>
    </row>
    <row r="2622" spans="2:31" s="1" customFormat="1" ht="96.3" customHeight="1" outlineLevel="3">
      <c r="B2622" s="59">
        <v>2035</v>
      </c>
      <c r="C2622" s="35" t="s">
        <v>9072</v>
      </c>
      <c r="D2622" s="73" t="s">
        <v>9073</v>
      </c>
      <c r="E2622" s="73"/>
      <c r="F2622" s="73"/>
      <c r="G2622" s="73"/>
      <c r="H2622" s="36" t="s">
        <v>9074</v>
      </c>
      <c r="I2622" s="56" t="s">
        <v>36</v>
      </c>
      <c r="J2622" s="36"/>
      <c r="K2622" s="34">
        <v>12</v>
      </c>
      <c r="L2622" s="41">
        <v>53.586666666666666</v>
      </c>
      <c r="M2622" s="11"/>
      <c r="N2622" s="36">
        <f t="shared" si="125"/>
        <v>0</v>
      </c>
      <c r="O2622" s="42">
        <f>0.058*M2622</f>
        <v>0</v>
      </c>
      <c r="P2622" s="43">
        <f>0.00027*M2622</f>
        <v>0</v>
      </c>
      <c r="Q2622" s="50"/>
      <c r="R2622" s="36" t="s">
        <v>9075</v>
      </c>
      <c r="S2622" s="36"/>
      <c r="T2622" s="35" t="str">
        <f>HYPERLINK("https://miland.ru/api/getInfo/image/17ba71d3-379b-11f0-a27c-00155d82e908")</f>
        <v>https://miland.ru/api/getInfo/image/17ba71d3-379b-11f0-a27c-00155d82e908</v>
      </c>
      <c r="U2622" s="35"/>
      <c r="V2622" s="35" t="s">
        <v>6525</v>
      </c>
      <c r="W2622" s="35" t="s">
        <v>378</v>
      </c>
      <c r="X2622" s="35"/>
      <c r="Y2622" s="35" t="s">
        <v>41</v>
      </c>
      <c r="Z2622" s="35"/>
      <c r="AA2622" s="35" t="str">
        <f>HYPERLINK("https://miland.ru/api/getInfo/item/17ba71d3-379b-11f0-a27c-00155d82e908")</f>
        <v>https://miland.ru/api/getInfo/item/17ba71d3-379b-11f0-a27c-00155d82e908</v>
      </c>
      <c r="AB2622" s="35" t="s">
        <v>42</v>
      </c>
      <c r="AC2622" s="35"/>
      <c r="AD2622" s="35"/>
      <c r="AE2622" s="52" t="s">
        <v>1251</v>
      </c>
    </row>
    <row r="2623" spans="2:31" s="1" customFormat="1" ht="96.3" customHeight="1" outlineLevel="3">
      <c r="B2623" s="59">
        <v>2036</v>
      </c>
      <c r="C2623" s="35" t="s">
        <v>9076</v>
      </c>
      <c r="D2623" s="73" t="s">
        <v>9077</v>
      </c>
      <c r="E2623" s="73"/>
      <c r="F2623" s="73"/>
      <c r="G2623" s="73"/>
      <c r="H2623" s="36" t="s">
        <v>9078</v>
      </c>
      <c r="I2623" s="56" t="s">
        <v>36</v>
      </c>
      <c r="J2623" s="36"/>
      <c r="K2623" s="34">
        <v>12</v>
      </c>
      <c r="L2623" s="41">
        <v>53.586666666666666</v>
      </c>
      <c r="M2623" s="11"/>
      <c r="N2623" s="36">
        <f t="shared" si="125"/>
        <v>0</v>
      </c>
      <c r="O2623" s="42">
        <f>0.058*M2623</f>
        <v>0</v>
      </c>
      <c r="P2623" s="43">
        <f>0.00027*M2623</f>
        <v>0</v>
      </c>
      <c r="Q2623" s="50"/>
      <c r="R2623" s="36" t="s">
        <v>9079</v>
      </c>
      <c r="S2623" s="36"/>
      <c r="T2623" s="35" t="str">
        <f>HYPERLINK("https://miland.ru/api/getInfo/image/496f233f-379b-11f0-a27c-00155d82e908")</f>
        <v>https://miland.ru/api/getInfo/image/496f233f-379b-11f0-a27c-00155d82e908</v>
      </c>
      <c r="U2623" s="35"/>
      <c r="V2623" s="35" t="s">
        <v>6525</v>
      </c>
      <c r="W2623" s="35" t="s">
        <v>378</v>
      </c>
      <c r="X2623" s="35"/>
      <c r="Y2623" s="35" t="s">
        <v>41</v>
      </c>
      <c r="Z2623" s="35"/>
      <c r="AA2623" s="35" t="str">
        <f>HYPERLINK("https://miland.ru/api/getInfo/item/496f233f-379b-11f0-a27c-00155d82e908")</f>
        <v>https://miland.ru/api/getInfo/item/496f233f-379b-11f0-a27c-00155d82e908</v>
      </c>
      <c r="AB2623" s="35" t="s">
        <v>42</v>
      </c>
      <c r="AC2623" s="35"/>
      <c r="AD2623" s="35"/>
      <c r="AE2623" s="52" t="s">
        <v>1251</v>
      </c>
    </row>
    <row r="2624" spans="2:31" s="1" customFormat="1" ht="96.3" customHeight="1" outlineLevel="3">
      <c r="B2624" s="59">
        <v>2037</v>
      </c>
      <c r="C2624" s="35" t="s">
        <v>9080</v>
      </c>
      <c r="D2624" s="73" t="s">
        <v>9081</v>
      </c>
      <c r="E2624" s="73"/>
      <c r="F2624" s="73"/>
      <c r="G2624" s="73"/>
      <c r="H2624" s="36" t="s">
        <v>9082</v>
      </c>
      <c r="I2624" s="56" t="s">
        <v>36</v>
      </c>
      <c r="J2624" s="36"/>
      <c r="K2624" s="34">
        <v>12</v>
      </c>
      <c r="L2624" s="41">
        <v>53.586666666666666</v>
      </c>
      <c r="M2624" s="11"/>
      <c r="N2624" s="36">
        <f t="shared" si="125"/>
        <v>0</v>
      </c>
      <c r="O2624" s="47">
        <f>0.06*M2624</f>
        <v>0</v>
      </c>
      <c r="P2624" s="43">
        <f>0.00018*M2624</f>
        <v>0</v>
      </c>
      <c r="Q2624" s="50"/>
      <c r="R2624" s="36" t="s">
        <v>9083</v>
      </c>
      <c r="S2624" s="36"/>
      <c r="T2624" s="35" t="str">
        <f>HYPERLINK("https://miland.ru/api/getInfo/image/ebfeb293-379a-11f0-a27c-00155d82e908")</f>
        <v>https://miland.ru/api/getInfo/image/ebfeb293-379a-11f0-a27c-00155d82e908</v>
      </c>
      <c r="U2624" s="35"/>
      <c r="V2624" s="35" t="s">
        <v>6525</v>
      </c>
      <c r="W2624" s="35" t="s">
        <v>378</v>
      </c>
      <c r="X2624" s="35"/>
      <c r="Y2624" s="35" t="s">
        <v>41</v>
      </c>
      <c r="Z2624" s="35"/>
      <c r="AA2624" s="35" t="str">
        <f>HYPERLINK("https://miland.ru/api/getInfo/item/ebfeb293-379a-11f0-a27c-00155d82e908")</f>
        <v>https://miland.ru/api/getInfo/item/ebfeb293-379a-11f0-a27c-00155d82e908</v>
      </c>
      <c r="AB2624" s="35" t="s">
        <v>42</v>
      </c>
      <c r="AC2624" s="35"/>
      <c r="AD2624" s="35"/>
      <c r="AE2624" s="52" t="s">
        <v>1251</v>
      </c>
    </row>
    <row r="2625" spans="2:30" s="1" customFormat="1" ht="96.3" customHeight="1" outlineLevel="3">
      <c r="B2625" s="57">
        <v>2038</v>
      </c>
      <c r="C2625" s="21" t="s">
        <v>9084</v>
      </c>
      <c r="D2625" s="72" t="s">
        <v>9085</v>
      </c>
      <c r="E2625" s="72"/>
      <c r="F2625" s="72"/>
      <c r="G2625" s="72"/>
      <c r="H2625" s="22" t="s">
        <v>9086</v>
      </c>
      <c r="I2625" s="23" t="s">
        <v>36</v>
      </c>
      <c r="J2625" s="22"/>
      <c r="K2625" s="20">
        <v>50</v>
      </c>
      <c r="L2625" s="24">
        <v>18.59</v>
      </c>
      <c r="M2625" s="11"/>
      <c r="N2625" s="22">
        <f t="shared" si="125"/>
        <v>0</v>
      </c>
      <c r="O2625" s="25">
        <f>0.013*M2625</f>
        <v>0</v>
      </c>
      <c r="P2625" s="26">
        <f>0.00012*M2625</f>
        <v>0</v>
      </c>
      <c r="Q2625" s="30"/>
      <c r="R2625" s="22" t="s">
        <v>9087</v>
      </c>
      <c r="S2625" s="22"/>
      <c r="T2625" s="21" t="str">
        <f>HYPERLINK("https://miland.ru/api/getInfo/image/d8988746-3550-11f0-a27c-00155d82e908")</f>
        <v>https://miland.ru/api/getInfo/image/d8988746-3550-11f0-a27c-00155d82e908</v>
      </c>
      <c r="U2625" s="21"/>
      <c r="V2625" s="21"/>
      <c r="W2625" s="21" t="s">
        <v>408</v>
      </c>
      <c r="X2625" s="21"/>
      <c r="Y2625" s="21" t="s">
        <v>41</v>
      </c>
      <c r="Z2625" s="21"/>
      <c r="AA2625" s="21" t="str">
        <f>HYPERLINK("https://miland.ru/api/getInfo/item/d8988746-3550-11f0-a27c-00155d82e908")</f>
        <v>https://miland.ru/api/getInfo/item/d8988746-3550-11f0-a27c-00155d82e908</v>
      </c>
      <c r="AB2625" s="21" t="s">
        <v>50</v>
      </c>
      <c r="AC2625" s="21"/>
      <c r="AD2625" s="21"/>
    </row>
    <row r="2626" spans="2:30" s="1" customFormat="1" ht="96.3" customHeight="1" outlineLevel="3">
      <c r="B2626" s="57">
        <v>2039</v>
      </c>
      <c r="C2626" s="21" t="s">
        <v>9088</v>
      </c>
      <c r="D2626" s="72" t="s">
        <v>9089</v>
      </c>
      <c r="E2626" s="72"/>
      <c r="F2626" s="72"/>
      <c r="G2626" s="72"/>
      <c r="H2626" s="22" t="s">
        <v>9090</v>
      </c>
      <c r="I2626" s="23" t="s">
        <v>36</v>
      </c>
      <c r="J2626" s="22"/>
      <c r="K2626" s="20">
        <v>50</v>
      </c>
      <c r="L2626" s="24">
        <v>18.59</v>
      </c>
      <c r="M2626" s="11"/>
      <c r="N2626" s="22">
        <f t="shared" si="125"/>
        <v>0</v>
      </c>
      <c r="O2626" s="25">
        <f>0.014*M2626</f>
        <v>0</v>
      </c>
      <c r="P2626" s="26">
        <f>0.00012*M2626</f>
        <v>0</v>
      </c>
      <c r="Q2626" s="30"/>
      <c r="R2626" s="22" t="s">
        <v>9091</v>
      </c>
      <c r="S2626" s="22"/>
      <c r="T2626" s="21" t="str">
        <f>HYPERLINK("https://miland.ru/api/getInfo/image/36c061ca-3551-11f0-a27c-00155d82e908")</f>
        <v>https://miland.ru/api/getInfo/image/36c061ca-3551-11f0-a27c-00155d82e908</v>
      </c>
      <c r="U2626" s="21"/>
      <c r="V2626" s="21"/>
      <c r="W2626" s="21" t="s">
        <v>408</v>
      </c>
      <c r="X2626" s="21"/>
      <c r="Y2626" s="21" t="s">
        <v>41</v>
      </c>
      <c r="Z2626" s="21"/>
      <c r="AA2626" s="21" t="str">
        <f>HYPERLINK("https://miland.ru/api/getInfo/item/36c061ca-3551-11f0-a27c-00155d82e908")</f>
        <v>https://miland.ru/api/getInfo/item/36c061ca-3551-11f0-a27c-00155d82e908</v>
      </c>
      <c r="AB2626" s="21" t="s">
        <v>50</v>
      </c>
      <c r="AC2626" s="21"/>
      <c r="AD2626" s="21"/>
    </row>
    <row r="2627" spans="2:30" s="1" customFormat="1" ht="96.3" customHeight="1" outlineLevel="3">
      <c r="B2627" s="57">
        <v>2040</v>
      </c>
      <c r="C2627" s="21" t="s">
        <v>9092</v>
      </c>
      <c r="D2627" s="72" t="s">
        <v>9093</v>
      </c>
      <c r="E2627" s="72"/>
      <c r="F2627" s="72"/>
      <c r="G2627" s="72"/>
      <c r="H2627" s="22" t="s">
        <v>9094</v>
      </c>
      <c r="I2627" s="27">
        <v>36</v>
      </c>
      <c r="J2627" s="22"/>
      <c r="K2627" s="20">
        <v>12</v>
      </c>
      <c r="L2627" s="24">
        <v>50.08</v>
      </c>
      <c r="M2627" s="11"/>
      <c r="N2627" s="22">
        <f t="shared" si="125"/>
        <v>0</v>
      </c>
      <c r="O2627" s="28">
        <f>0.03*M2627</f>
        <v>0</v>
      </c>
      <c r="P2627" s="26">
        <f>0.00013*M2627</f>
        <v>0</v>
      </c>
      <c r="Q2627" s="30"/>
      <c r="R2627" s="22" t="s">
        <v>9095</v>
      </c>
      <c r="S2627" s="22"/>
      <c r="T2627" s="21" t="str">
        <f>HYPERLINK("https://miland.ru/api/getInfo/image/0572ef34-3798-11f0-a27c-00155d82e908")</f>
        <v>https://miland.ru/api/getInfo/image/0572ef34-3798-11f0-a27c-00155d82e908</v>
      </c>
      <c r="U2627" s="21"/>
      <c r="V2627" s="21" t="s">
        <v>6525</v>
      </c>
      <c r="W2627" s="21" t="s">
        <v>378</v>
      </c>
      <c r="X2627" s="21"/>
      <c r="Y2627" s="21" t="s">
        <v>41</v>
      </c>
      <c r="Z2627" s="21"/>
      <c r="AA2627" s="21" t="str">
        <f>HYPERLINK("https://miland.ru/api/getInfo/item/0572ef34-3798-11f0-a27c-00155d82e908")</f>
        <v>https://miland.ru/api/getInfo/item/0572ef34-3798-11f0-a27c-00155d82e908</v>
      </c>
      <c r="AB2627" s="21" t="s">
        <v>42</v>
      </c>
      <c r="AC2627" s="21"/>
      <c r="AD2627" s="21"/>
    </row>
    <row r="2628" spans="2:30" s="1" customFormat="1" ht="96.3" customHeight="1" outlineLevel="3">
      <c r="B2628" s="57">
        <v>2041</v>
      </c>
      <c r="C2628" s="21" t="s">
        <v>9096</v>
      </c>
      <c r="D2628" s="72" t="s">
        <v>9097</v>
      </c>
      <c r="E2628" s="72"/>
      <c r="F2628" s="72"/>
      <c r="G2628" s="72"/>
      <c r="H2628" s="22" t="s">
        <v>9098</v>
      </c>
      <c r="I2628" s="27">
        <v>36</v>
      </c>
      <c r="J2628" s="22"/>
      <c r="K2628" s="20">
        <v>12</v>
      </c>
      <c r="L2628" s="24">
        <v>50.08</v>
      </c>
      <c r="M2628" s="11"/>
      <c r="N2628" s="22">
        <f t="shared" si="125"/>
        <v>0</v>
      </c>
      <c r="O2628" s="25">
        <f>0.058*M2628</f>
        <v>0</v>
      </c>
      <c r="P2628" s="26">
        <f>0.00027*M2628</f>
        <v>0</v>
      </c>
      <c r="Q2628" s="30"/>
      <c r="R2628" s="22" t="s">
        <v>9099</v>
      </c>
      <c r="S2628" s="22"/>
      <c r="T2628" s="21" t="str">
        <f>HYPERLINK("https://miland.ru/api/getInfo/image/a6116eed-3799-11f0-a27c-00155d82e908")</f>
        <v>https://miland.ru/api/getInfo/image/a6116eed-3799-11f0-a27c-00155d82e908</v>
      </c>
      <c r="U2628" s="21"/>
      <c r="V2628" s="21" t="s">
        <v>6525</v>
      </c>
      <c r="W2628" s="21" t="s">
        <v>378</v>
      </c>
      <c r="X2628" s="21"/>
      <c r="Y2628" s="21" t="s">
        <v>41</v>
      </c>
      <c r="Z2628" s="21"/>
      <c r="AA2628" s="21" t="str">
        <f>HYPERLINK("https://miland.ru/api/getInfo/item/a6116eed-3799-11f0-a27c-00155d82e908")</f>
        <v>https://miland.ru/api/getInfo/item/a6116eed-3799-11f0-a27c-00155d82e908</v>
      </c>
      <c r="AB2628" s="21" t="s">
        <v>42</v>
      </c>
      <c r="AC2628" s="21"/>
      <c r="AD2628" s="21"/>
    </row>
    <row r="2629" spans="2:30" s="1" customFormat="1" ht="96.3" customHeight="1" outlineLevel="3">
      <c r="B2629" s="57">
        <v>2042</v>
      </c>
      <c r="C2629" s="21" t="s">
        <v>9100</v>
      </c>
      <c r="D2629" s="72" t="s">
        <v>9101</v>
      </c>
      <c r="E2629" s="72"/>
      <c r="F2629" s="72"/>
      <c r="G2629" s="72"/>
      <c r="H2629" s="22" t="s">
        <v>9102</v>
      </c>
      <c r="I2629" s="23" t="s">
        <v>36</v>
      </c>
      <c r="J2629" s="22"/>
      <c r="K2629" s="20">
        <v>12</v>
      </c>
      <c r="L2629" s="24">
        <v>50.08</v>
      </c>
      <c r="M2629" s="11"/>
      <c r="N2629" s="22">
        <f t="shared" si="125"/>
        <v>0</v>
      </c>
      <c r="O2629" s="28">
        <f>0.03*M2629</f>
        <v>0</v>
      </c>
      <c r="P2629" s="26">
        <f>0.00013*M2629</f>
        <v>0</v>
      </c>
      <c r="Q2629" s="30"/>
      <c r="R2629" s="22" t="s">
        <v>9103</v>
      </c>
      <c r="S2629" s="22"/>
      <c r="T2629" s="21" t="str">
        <f>HYPERLINK("https://miland.ru/api/getInfo/image/50ff974a-3799-11f0-a27c-00155d82e908")</f>
        <v>https://miland.ru/api/getInfo/image/50ff974a-3799-11f0-a27c-00155d82e908</v>
      </c>
      <c r="U2629" s="21"/>
      <c r="V2629" s="21" t="s">
        <v>6525</v>
      </c>
      <c r="W2629" s="21" t="s">
        <v>378</v>
      </c>
      <c r="X2629" s="21"/>
      <c r="Y2629" s="21" t="s">
        <v>41</v>
      </c>
      <c r="Z2629" s="21"/>
      <c r="AA2629" s="21" t="str">
        <f>HYPERLINK("https://miland.ru/api/getInfo/item/50ff974a-3799-11f0-a27c-00155d82e908")</f>
        <v>https://miland.ru/api/getInfo/item/50ff974a-3799-11f0-a27c-00155d82e908</v>
      </c>
      <c r="AB2629" s="21" t="s">
        <v>42</v>
      </c>
      <c r="AC2629" s="21"/>
      <c r="AD2629" s="21"/>
    </row>
    <row r="2630" spans="2:30" s="1" customFormat="1" ht="96.3" customHeight="1" outlineLevel="3">
      <c r="B2630" s="57">
        <v>2043</v>
      </c>
      <c r="C2630" s="21" t="s">
        <v>9104</v>
      </c>
      <c r="D2630" s="72" t="s">
        <v>9105</v>
      </c>
      <c r="E2630" s="72"/>
      <c r="F2630" s="72"/>
      <c r="G2630" s="72"/>
      <c r="H2630" s="22" t="s">
        <v>9106</v>
      </c>
      <c r="I2630" s="23" t="s">
        <v>36</v>
      </c>
      <c r="J2630" s="22"/>
      <c r="K2630" s="20">
        <v>100</v>
      </c>
      <c r="L2630" s="24">
        <v>4.88</v>
      </c>
      <c r="M2630" s="11"/>
      <c r="N2630" s="22">
        <f t="shared" si="125"/>
        <v>0</v>
      </c>
      <c r="O2630" s="25">
        <f>0.003*M2630</f>
        <v>0</v>
      </c>
      <c r="P2630" s="26">
        <f>0.00006*M2630</f>
        <v>0</v>
      </c>
      <c r="Q2630" s="30"/>
      <c r="R2630" s="22" t="s">
        <v>9107</v>
      </c>
      <c r="S2630" s="22"/>
      <c r="T2630" s="21" t="str">
        <f>HYPERLINK("https://miland.ru/api/getInfo/image/e4709e7f-354f-11f0-a27c-00155d82e908")</f>
        <v>https://miland.ru/api/getInfo/image/e4709e7f-354f-11f0-a27c-00155d82e908</v>
      </c>
      <c r="U2630" s="21"/>
      <c r="V2630" s="21"/>
      <c r="W2630" s="21" t="s">
        <v>408</v>
      </c>
      <c r="X2630" s="21"/>
      <c r="Y2630" s="21" t="s">
        <v>41</v>
      </c>
      <c r="Z2630" s="21"/>
      <c r="AA2630" s="21" t="str">
        <f>HYPERLINK("https://miland.ru/api/getInfo/item/e4709e7f-354f-11f0-a27c-00155d82e908")</f>
        <v>https://miland.ru/api/getInfo/item/e4709e7f-354f-11f0-a27c-00155d82e908</v>
      </c>
      <c r="AB2630" s="21" t="s">
        <v>50</v>
      </c>
      <c r="AC2630" s="21"/>
      <c r="AD2630" s="21"/>
    </row>
    <row r="2631" spans="2:30" s="1" customFormat="1" ht="96.3" customHeight="1" outlineLevel="3">
      <c r="B2631" s="57">
        <v>2044</v>
      </c>
      <c r="C2631" s="21" t="s">
        <v>9108</v>
      </c>
      <c r="D2631" s="72" t="s">
        <v>9109</v>
      </c>
      <c r="E2631" s="72"/>
      <c r="F2631" s="72"/>
      <c r="G2631" s="72"/>
      <c r="H2631" s="22" t="s">
        <v>9110</v>
      </c>
      <c r="I2631" s="23" t="s">
        <v>36</v>
      </c>
      <c r="J2631" s="22"/>
      <c r="K2631" s="20">
        <v>1</v>
      </c>
      <c r="L2631" s="24">
        <v>538.29999999999995</v>
      </c>
      <c r="M2631" s="11"/>
      <c r="N2631" s="22">
        <f t="shared" si="125"/>
        <v>0</v>
      </c>
      <c r="O2631" s="25">
        <f>0.216*M2631</f>
        <v>0</v>
      </c>
      <c r="P2631" s="26">
        <f>0.00382*M2631</f>
        <v>0</v>
      </c>
      <c r="Q2631" s="30"/>
      <c r="R2631" s="22" t="s">
        <v>9111</v>
      </c>
      <c r="S2631" s="22"/>
      <c r="T2631" s="21" t="str">
        <f>HYPERLINK("https://miland.ru/api/getInfo/image/0a7c569c-92ee-11f0-a284-00155d82e908")</f>
        <v>https://miland.ru/api/getInfo/image/0a7c569c-92ee-11f0-a284-00155d82e908</v>
      </c>
      <c r="U2631" s="21"/>
      <c r="V2631" s="21"/>
      <c r="W2631" s="21"/>
      <c r="X2631" s="21"/>
      <c r="Y2631" s="21" t="s">
        <v>41</v>
      </c>
      <c r="Z2631" s="21"/>
      <c r="AA2631" s="21" t="str">
        <f>HYPERLINK("https://miland.ru/api/getInfo/item/0a7c569c-92ee-11f0-a284-00155d82e908")</f>
        <v>https://miland.ru/api/getInfo/item/0a7c569c-92ee-11f0-a284-00155d82e908</v>
      </c>
      <c r="AB2631" s="21" t="s">
        <v>50</v>
      </c>
      <c r="AC2631" s="21"/>
      <c r="AD2631" s="21"/>
    </row>
    <row r="2632" spans="2:30" ht="16.05" customHeight="1" outlineLevel="1">
      <c r="B2632" s="68" t="s">
        <v>428</v>
      </c>
      <c r="C2632" s="68"/>
      <c r="D2632" s="68"/>
      <c r="E2632" s="68"/>
      <c r="F2632" s="68"/>
      <c r="G2632" s="68"/>
    </row>
    <row r="2633" spans="2:30" ht="12" customHeight="1" outlineLevel="2">
      <c r="B2633" s="69" t="s">
        <v>9112</v>
      </c>
      <c r="C2633" s="69"/>
      <c r="D2633" s="69"/>
      <c r="E2633" s="69"/>
      <c r="F2633" s="69"/>
      <c r="G2633" s="69"/>
    </row>
    <row r="2634" spans="2:30" ht="12" customHeight="1" outlineLevel="3">
      <c r="B2634" s="70" t="s">
        <v>9113</v>
      </c>
      <c r="C2634" s="70"/>
      <c r="D2634" s="70"/>
      <c r="E2634" s="70"/>
      <c r="F2634" s="70"/>
      <c r="G2634" s="70"/>
    </row>
    <row r="2635" spans="2:30" ht="12" customHeight="1" outlineLevel="4">
      <c r="B2635" s="70" t="s">
        <v>471</v>
      </c>
      <c r="C2635" s="70"/>
      <c r="D2635" s="70"/>
      <c r="E2635" s="70"/>
      <c r="F2635" s="70"/>
      <c r="G2635" s="70"/>
    </row>
    <row r="2636" spans="2:30" ht="12" customHeight="1" outlineLevel="5">
      <c r="B2636" s="70" t="s">
        <v>479</v>
      </c>
      <c r="C2636" s="70"/>
      <c r="D2636" s="70"/>
      <c r="E2636" s="70"/>
      <c r="F2636" s="70"/>
      <c r="G2636" s="70"/>
    </row>
    <row r="2637" spans="2:30" s="1" customFormat="1" ht="96.3" customHeight="1" outlineLevel="6">
      <c r="B2637" s="57">
        <v>2045</v>
      </c>
      <c r="C2637" s="21" t="s">
        <v>9114</v>
      </c>
      <c r="D2637" s="72" t="s">
        <v>9115</v>
      </c>
      <c r="E2637" s="72"/>
      <c r="F2637" s="72"/>
      <c r="G2637" s="72"/>
      <c r="H2637" s="22" t="s">
        <v>9116</v>
      </c>
      <c r="I2637" s="23" t="s">
        <v>36</v>
      </c>
      <c r="J2637" s="22"/>
      <c r="K2637" s="20">
        <v>3</v>
      </c>
      <c r="L2637" s="24">
        <v>257.12</v>
      </c>
      <c r="M2637" s="11"/>
      <c r="N2637" s="22">
        <f>L2637*M2637</f>
        <v>0</v>
      </c>
      <c r="O2637" s="25">
        <f>0.086*M2637</f>
        <v>0</v>
      </c>
      <c r="P2637" s="26">
        <f>0.00003*M2637</f>
        <v>0</v>
      </c>
      <c r="Q2637" s="30"/>
      <c r="R2637" s="22" t="s">
        <v>9117</v>
      </c>
      <c r="S2637" s="22"/>
      <c r="T2637" s="21" t="str">
        <f>HYPERLINK("https://miland.ru/api/getInfo/image/3d86c8e2-fe6a-11ef-a277-00155d82e908")</f>
        <v>https://miland.ru/api/getInfo/image/3d86c8e2-fe6a-11ef-a277-00155d82e908</v>
      </c>
      <c r="U2637" s="21"/>
      <c r="V2637" s="21" t="s">
        <v>1818</v>
      </c>
      <c r="W2637" s="21" t="s">
        <v>1819</v>
      </c>
      <c r="X2637" s="21" t="s">
        <v>172</v>
      </c>
      <c r="Y2637" s="21" t="s">
        <v>477</v>
      </c>
      <c r="Z2637" s="21" t="s">
        <v>9118</v>
      </c>
      <c r="AA2637" s="21" t="str">
        <f>HYPERLINK("https://miland.ru/api/getInfo/item/3d86c8e2-fe6a-11ef-a277-00155d82e908")</f>
        <v>https://miland.ru/api/getInfo/item/3d86c8e2-fe6a-11ef-a277-00155d82e908</v>
      </c>
      <c r="AB2637" s="21" t="s">
        <v>50</v>
      </c>
      <c r="AC2637" s="21"/>
      <c r="AD2637" s="21"/>
    </row>
    <row r="2638" spans="2:30" ht="12" customHeight="1" outlineLevel="3">
      <c r="B2638" s="70" t="s">
        <v>9119</v>
      </c>
      <c r="C2638" s="70"/>
      <c r="D2638" s="70"/>
      <c r="E2638" s="70"/>
      <c r="F2638" s="70"/>
      <c r="G2638" s="70"/>
    </row>
    <row r="2639" spans="2:30" ht="12" customHeight="1" outlineLevel="4">
      <c r="B2639" s="70" t="s">
        <v>471</v>
      </c>
      <c r="C2639" s="70"/>
      <c r="D2639" s="70"/>
      <c r="E2639" s="70"/>
      <c r="F2639" s="70"/>
      <c r="G2639" s="70"/>
    </row>
    <row r="2640" spans="2:30" ht="12" customHeight="1" outlineLevel="5">
      <c r="B2640" s="70" t="s">
        <v>479</v>
      </c>
      <c r="C2640" s="70"/>
      <c r="D2640" s="70"/>
      <c r="E2640" s="70"/>
      <c r="F2640" s="70"/>
      <c r="G2640" s="70"/>
    </row>
    <row r="2641" spans="2:31" s="1" customFormat="1" ht="96.3" customHeight="1" outlineLevel="6">
      <c r="B2641" s="57">
        <v>2046</v>
      </c>
      <c r="C2641" s="21" t="s">
        <v>9120</v>
      </c>
      <c r="D2641" s="72" t="s">
        <v>9121</v>
      </c>
      <c r="E2641" s="72"/>
      <c r="F2641" s="72"/>
      <c r="G2641" s="72"/>
      <c r="H2641" s="22" t="s">
        <v>9122</v>
      </c>
      <c r="I2641" s="23" t="s">
        <v>36</v>
      </c>
      <c r="J2641" s="22"/>
      <c r="K2641" s="20">
        <v>3</v>
      </c>
      <c r="L2641" s="24">
        <v>263.55</v>
      </c>
      <c r="M2641" s="11"/>
      <c r="N2641" s="22">
        <f>L2641*M2641</f>
        <v>0</v>
      </c>
      <c r="O2641" s="25">
        <f>0.084*M2641</f>
        <v>0</v>
      </c>
      <c r="P2641" s="26">
        <f>0.00012*M2641</f>
        <v>0</v>
      </c>
      <c r="Q2641" s="30"/>
      <c r="R2641" s="22" t="s">
        <v>9123</v>
      </c>
      <c r="S2641" s="22"/>
      <c r="T2641" s="21" t="str">
        <f>HYPERLINK("https://miland.ru/api/getInfo/image/00289acb-fe68-11ef-a277-00155d82e908")</f>
        <v>https://miland.ru/api/getInfo/image/00289acb-fe68-11ef-a277-00155d82e908</v>
      </c>
      <c r="U2641" s="21"/>
      <c r="V2641" s="21" t="s">
        <v>1818</v>
      </c>
      <c r="W2641" s="21" t="s">
        <v>1819</v>
      </c>
      <c r="X2641" s="21" t="s">
        <v>172</v>
      </c>
      <c r="Y2641" s="21" t="s">
        <v>477</v>
      </c>
      <c r="Z2641" s="21" t="s">
        <v>9124</v>
      </c>
      <c r="AA2641" s="21" t="str">
        <f>HYPERLINK("https://miland.ru/api/getInfo/item/00289acb-fe68-11ef-a277-00155d82e908")</f>
        <v>https://miland.ru/api/getInfo/item/00289acb-fe68-11ef-a277-00155d82e908</v>
      </c>
      <c r="AB2641" s="21" t="s">
        <v>50</v>
      </c>
      <c r="AC2641" s="21"/>
      <c r="AD2641" s="21"/>
    </row>
    <row r="2642" spans="2:31" ht="12" customHeight="1" outlineLevel="2">
      <c r="B2642" s="69" t="s">
        <v>638</v>
      </c>
      <c r="C2642" s="69"/>
      <c r="D2642" s="69"/>
      <c r="E2642" s="69"/>
      <c r="F2642" s="69"/>
      <c r="G2642" s="69"/>
    </row>
    <row r="2643" spans="2:31" ht="12" customHeight="1" outlineLevel="3">
      <c r="B2643" s="70" t="s">
        <v>471</v>
      </c>
      <c r="C2643" s="70"/>
      <c r="D2643" s="70"/>
      <c r="E2643" s="70"/>
      <c r="F2643" s="70"/>
      <c r="G2643" s="70"/>
    </row>
    <row r="2644" spans="2:31" ht="12" customHeight="1" outlineLevel="4">
      <c r="B2644" s="70" t="s">
        <v>9125</v>
      </c>
      <c r="C2644" s="70"/>
      <c r="D2644" s="70"/>
      <c r="E2644" s="70"/>
      <c r="F2644" s="70"/>
      <c r="G2644" s="70"/>
    </row>
    <row r="2645" spans="2:31" s="1" customFormat="1" ht="96.3" customHeight="1" outlineLevel="5">
      <c r="B2645" s="57">
        <v>2047</v>
      </c>
      <c r="C2645" s="21" t="s">
        <v>9126</v>
      </c>
      <c r="D2645" s="72" t="s">
        <v>9127</v>
      </c>
      <c r="E2645" s="72"/>
      <c r="F2645" s="72"/>
      <c r="G2645" s="72"/>
      <c r="H2645" s="22" t="s">
        <v>9128</v>
      </c>
      <c r="I2645" s="23" t="s">
        <v>36</v>
      </c>
      <c r="J2645" s="22"/>
      <c r="K2645" s="20">
        <v>3</v>
      </c>
      <c r="L2645" s="24">
        <v>257.12</v>
      </c>
      <c r="M2645" s="11"/>
      <c r="N2645" s="22">
        <f>L2645*M2645</f>
        <v>0</v>
      </c>
      <c r="O2645" s="25">
        <f>0.092*M2645</f>
        <v>0</v>
      </c>
      <c r="P2645" s="26">
        <f>0.00025*M2645</f>
        <v>0</v>
      </c>
      <c r="Q2645" s="30"/>
      <c r="R2645" s="22" t="s">
        <v>9129</v>
      </c>
      <c r="S2645" s="22"/>
      <c r="T2645" s="21" t="str">
        <f>HYPERLINK("https://miland.ru/api/getInfo/image/7f8405d6-dfaf-11ef-a273-00155d82e908")</f>
        <v>https://miland.ru/api/getInfo/image/7f8405d6-dfaf-11ef-a273-00155d82e908</v>
      </c>
      <c r="U2645" s="21"/>
      <c r="V2645" s="21" t="s">
        <v>1818</v>
      </c>
      <c r="W2645" s="21" t="s">
        <v>1819</v>
      </c>
      <c r="X2645" s="21" t="s">
        <v>172</v>
      </c>
      <c r="Y2645" s="21" t="s">
        <v>477</v>
      </c>
      <c r="Z2645" s="21" t="s">
        <v>9130</v>
      </c>
      <c r="AA2645" s="21" t="str">
        <f>HYPERLINK("https://miland.ru/api/getInfo/item/7f8405d6-dfaf-11ef-a273-00155d82e908")</f>
        <v>https://miland.ru/api/getInfo/item/7f8405d6-dfaf-11ef-a273-00155d82e908</v>
      </c>
      <c r="AB2645" s="21" t="s">
        <v>50</v>
      </c>
      <c r="AC2645" s="21"/>
      <c r="AD2645" s="21"/>
    </row>
    <row r="2646" spans="2:31" ht="12" customHeight="1" outlineLevel="3">
      <c r="B2646" s="70" t="s">
        <v>180</v>
      </c>
      <c r="C2646" s="70"/>
      <c r="D2646" s="70"/>
      <c r="E2646" s="70"/>
      <c r="F2646" s="70"/>
      <c r="G2646" s="70"/>
    </row>
    <row r="2647" spans="2:31" s="1" customFormat="1" ht="96.3" customHeight="1" outlineLevel="4">
      <c r="B2647" s="57">
        <v>2048</v>
      </c>
      <c r="C2647" s="21" t="s">
        <v>9131</v>
      </c>
      <c r="D2647" s="72" t="s">
        <v>9132</v>
      </c>
      <c r="E2647" s="72"/>
      <c r="F2647" s="72"/>
      <c r="G2647" s="72"/>
      <c r="H2647" s="22" t="s">
        <v>9133</v>
      </c>
      <c r="I2647" s="23" t="s">
        <v>36</v>
      </c>
      <c r="J2647" s="22"/>
      <c r="K2647" s="20">
        <v>1</v>
      </c>
      <c r="L2647" s="24">
        <v>572.22</v>
      </c>
      <c r="M2647" s="11"/>
      <c r="N2647" s="22">
        <f>L2647*M2647</f>
        <v>0</v>
      </c>
      <c r="O2647" s="25">
        <f>0.302*M2647</f>
        <v>0</v>
      </c>
      <c r="P2647" s="26">
        <f>0.00123*M2647</f>
        <v>0</v>
      </c>
      <c r="Q2647" s="30"/>
      <c r="R2647" s="22" t="s">
        <v>9134</v>
      </c>
      <c r="S2647" s="22"/>
      <c r="T2647" s="21" t="str">
        <f>HYPERLINK("https://miland.ru/api/getInfo/image/ea124ed1-502d-11f0-a27e-00155d82e908")</f>
        <v>https://miland.ru/api/getInfo/image/ea124ed1-502d-11f0-a27e-00155d82e908</v>
      </c>
      <c r="U2647" s="21"/>
      <c r="V2647" s="21" t="s">
        <v>5723</v>
      </c>
      <c r="W2647" s="21" t="s">
        <v>185</v>
      </c>
      <c r="X2647" s="21"/>
      <c r="Y2647" s="21" t="s">
        <v>697</v>
      </c>
      <c r="Z2647" s="21"/>
      <c r="AA2647" s="21" t="str">
        <f>HYPERLINK("https://miland.ru/api/getInfo/item/ea124ed1-502d-11f0-a27e-00155d82e908")</f>
        <v>https://miland.ru/api/getInfo/item/ea124ed1-502d-11f0-a27e-00155d82e908</v>
      </c>
      <c r="AB2647" s="21" t="s">
        <v>42</v>
      </c>
      <c r="AC2647" s="21"/>
      <c r="AD2647" s="21"/>
    </row>
    <row r="2648" spans="2:31" ht="16.05" customHeight="1" outlineLevel="1">
      <c r="B2648" s="68" t="s">
        <v>9135</v>
      </c>
      <c r="C2648" s="68"/>
      <c r="D2648" s="68"/>
      <c r="E2648" s="68"/>
      <c r="F2648" s="68"/>
      <c r="G2648" s="68"/>
    </row>
    <row r="2649" spans="2:31" ht="12" customHeight="1" outlineLevel="2">
      <c r="B2649" s="69" t="s">
        <v>9136</v>
      </c>
      <c r="C2649" s="69"/>
      <c r="D2649" s="69"/>
      <c r="E2649" s="69"/>
      <c r="F2649" s="69"/>
      <c r="G2649" s="69"/>
    </row>
    <row r="2650" spans="2:31" ht="12" customHeight="1" outlineLevel="3">
      <c r="B2650" s="70" t="s">
        <v>9137</v>
      </c>
      <c r="C2650" s="70"/>
      <c r="D2650" s="70"/>
      <c r="E2650" s="70"/>
      <c r="F2650" s="70"/>
      <c r="G2650" s="70"/>
    </row>
    <row r="2651" spans="2:31" s="1" customFormat="1" ht="96.3" customHeight="1" outlineLevel="4">
      <c r="B2651" s="59">
        <v>2049</v>
      </c>
      <c r="C2651" s="35" t="s">
        <v>9138</v>
      </c>
      <c r="D2651" s="73" t="s">
        <v>9139</v>
      </c>
      <c r="E2651" s="73"/>
      <c r="F2651" s="73"/>
      <c r="G2651" s="73"/>
      <c r="H2651" s="36" t="s">
        <v>9140</v>
      </c>
      <c r="I2651" s="56" t="s">
        <v>36</v>
      </c>
      <c r="J2651" s="36"/>
      <c r="K2651" s="34">
        <v>20</v>
      </c>
      <c r="L2651" s="41">
        <v>19.333333333333332</v>
      </c>
      <c r="M2651" s="11"/>
      <c r="N2651" s="36">
        <f t="shared" ref="N2651:N2669" si="126">L2651*M2651</f>
        <v>0</v>
      </c>
      <c r="O2651" s="42">
        <f>0.005*M2651</f>
        <v>0</v>
      </c>
      <c r="P2651" s="43">
        <f>0.00001*M2651</f>
        <v>0</v>
      </c>
      <c r="Q2651" s="50"/>
      <c r="R2651" s="36" t="s">
        <v>9141</v>
      </c>
      <c r="S2651" s="36" t="s">
        <v>435</v>
      </c>
      <c r="T2651" s="35" t="str">
        <f>HYPERLINK("https://miland.ru/api/getInfo/image/bd571bc0-4fa8-11ed-a21a-ac1f6b442185")</f>
        <v>https://miland.ru/api/getInfo/image/bd571bc0-4fa8-11ed-a21a-ac1f6b442185</v>
      </c>
      <c r="U2651" s="35"/>
      <c r="V2651" s="35" t="s">
        <v>9142</v>
      </c>
      <c r="W2651" s="35" t="s">
        <v>9143</v>
      </c>
      <c r="X2651" s="35"/>
      <c r="Y2651" s="35" t="s">
        <v>41</v>
      </c>
      <c r="Z2651" s="35"/>
      <c r="AA2651" s="35" t="str">
        <f>HYPERLINK("https://miland.ru/api/getInfo/item/bd571bc0-4fa8-11ed-a21a-ac1f6b442185")</f>
        <v>https://miland.ru/api/getInfo/item/bd571bc0-4fa8-11ed-a21a-ac1f6b442185</v>
      </c>
      <c r="AB2651" s="35" t="s">
        <v>50</v>
      </c>
      <c r="AC2651" s="35"/>
      <c r="AD2651" s="35"/>
      <c r="AE2651" s="52" t="s">
        <v>1251</v>
      </c>
    </row>
    <row r="2652" spans="2:31" s="1" customFormat="1" ht="96.3" customHeight="1" outlineLevel="4">
      <c r="B2652" s="57">
        <v>2050</v>
      </c>
      <c r="C2652" s="21" t="s">
        <v>9144</v>
      </c>
      <c r="D2652" s="72" t="s">
        <v>9145</v>
      </c>
      <c r="E2652" s="72"/>
      <c r="F2652" s="72"/>
      <c r="G2652" s="72"/>
      <c r="H2652" s="22" t="s">
        <v>9146</v>
      </c>
      <c r="I2652" s="23" t="s">
        <v>36</v>
      </c>
      <c r="J2652" s="22"/>
      <c r="K2652" s="20">
        <v>20</v>
      </c>
      <c r="L2652" s="24">
        <v>39.94</v>
      </c>
      <c r="M2652" s="11"/>
      <c r="N2652" s="22">
        <f t="shared" si="126"/>
        <v>0</v>
      </c>
      <c r="O2652" s="25">
        <f>0.006*M2652</f>
        <v>0</v>
      </c>
      <c r="P2652" s="26">
        <f>0.00001*M2652</f>
        <v>0</v>
      </c>
      <c r="Q2652" s="30"/>
      <c r="R2652" s="22" t="s">
        <v>9147</v>
      </c>
      <c r="S2652" s="22"/>
      <c r="T2652" s="21" t="str">
        <f>HYPERLINK("https://miland.ru/api/getInfo/image/05a0f7b0-3af8-11f0-a27c-00155d82e908")</f>
        <v>https://miland.ru/api/getInfo/image/05a0f7b0-3af8-11f0-a27c-00155d82e908</v>
      </c>
      <c r="U2652" s="21"/>
      <c r="V2652" s="21" t="s">
        <v>9142</v>
      </c>
      <c r="W2652" s="21" t="s">
        <v>9143</v>
      </c>
      <c r="X2652" s="21"/>
      <c r="Y2652" s="21" t="s">
        <v>41</v>
      </c>
      <c r="Z2652" s="21"/>
      <c r="AA2652" s="21" t="str">
        <f>HYPERLINK("https://miland.ru/api/getInfo/item/05a0f7b0-3af8-11f0-a27c-00155d82e908")</f>
        <v>https://miland.ru/api/getInfo/item/05a0f7b0-3af8-11f0-a27c-00155d82e908</v>
      </c>
      <c r="AB2652" s="21" t="s">
        <v>50</v>
      </c>
      <c r="AC2652" s="21"/>
      <c r="AD2652" s="21"/>
    </row>
    <row r="2653" spans="2:31" s="1" customFormat="1" ht="96.3" customHeight="1" outlineLevel="4">
      <c r="B2653" s="59">
        <v>2051</v>
      </c>
      <c r="C2653" s="35" t="s">
        <v>9148</v>
      </c>
      <c r="D2653" s="73" t="s">
        <v>9149</v>
      </c>
      <c r="E2653" s="73"/>
      <c r="F2653" s="73"/>
      <c r="G2653" s="73"/>
      <c r="H2653" s="36" t="s">
        <v>9150</v>
      </c>
      <c r="I2653" s="40">
        <v>200</v>
      </c>
      <c r="J2653" s="36"/>
      <c r="K2653" s="34">
        <v>20</v>
      </c>
      <c r="L2653" s="41">
        <v>22</v>
      </c>
      <c r="M2653" s="11"/>
      <c r="N2653" s="36">
        <f t="shared" si="126"/>
        <v>0</v>
      </c>
      <c r="O2653" s="42">
        <f>0.056*M2653</f>
        <v>0</v>
      </c>
      <c r="P2653" s="43">
        <f>0.00015*M2653</f>
        <v>0</v>
      </c>
      <c r="Q2653" s="50"/>
      <c r="R2653" s="36" t="s">
        <v>9151</v>
      </c>
      <c r="S2653" s="36" t="s">
        <v>435</v>
      </c>
      <c r="T2653" s="35" t="str">
        <f>HYPERLINK("https://miland.ru/api/getInfo/image/7dd95da4-3afc-11f0-a27c-00155d82e908")</f>
        <v>https://miland.ru/api/getInfo/image/7dd95da4-3afc-11f0-a27c-00155d82e908</v>
      </c>
      <c r="U2653" s="35"/>
      <c r="V2653" s="35" t="s">
        <v>9142</v>
      </c>
      <c r="W2653" s="35" t="s">
        <v>9143</v>
      </c>
      <c r="X2653" s="35"/>
      <c r="Y2653" s="35" t="s">
        <v>41</v>
      </c>
      <c r="Z2653" s="35"/>
      <c r="AA2653" s="35" t="str">
        <f>HYPERLINK("https://miland.ru/api/getInfo/item/7dd95da4-3afc-11f0-a27c-00155d82e908")</f>
        <v>https://miland.ru/api/getInfo/item/7dd95da4-3afc-11f0-a27c-00155d82e908</v>
      </c>
      <c r="AB2653" s="35" t="s">
        <v>50</v>
      </c>
      <c r="AC2653" s="35"/>
      <c r="AD2653" s="35"/>
      <c r="AE2653" s="52" t="s">
        <v>9152</v>
      </c>
    </row>
    <row r="2654" spans="2:31" s="1" customFormat="1" ht="96.3" customHeight="1" outlineLevel="4">
      <c r="B2654" s="59">
        <v>2052</v>
      </c>
      <c r="C2654" s="35" t="s">
        <v>9153</v>
      </c>
      <c r="D2654" s="73" t="s">
        <v>9154</v>
      </c>
      <c r="E2654" s="73"/>
      <c r="F2654" s="73"/>
      <c r="G2654" s="73"/>
      <c r="H2654" s="36" t="s">
        <v>9155</v>
      </c>
      <c r="I2654" s="40">
        <v>391</v>
      </c>
      <c r="J2654" s="36"/>
      <c r="K2654" s="34">
        <v>20</v>
      </c>
      <c r="L2654" s="41">
        <v>20.666666666666668</v>
      </c>
      <c r="M2654" s="11"/>
      <c r="N2654" s="36">
        <f t="shared" si="126"/>
        <v>0</v>
      </c>
      <c r="O2654" s="42">
        <f>0.005*M2654</f>
        <v>0</v>
      </c>
      <c r="P2654" s="43">
        <f>0.00003*M2654</f>
        <v>0</v>
      </c>
      <c r="Q2654" s="50"/>
      <c r="R2654" s="36" t="s">
        <v>9156</v>
      </c>
      <c r="S2654" s="36" t="s">
        <v>435</v>
      </c>
      <c r="T2654" s="35" t="str">
        <f>HYPERLINK("https://miland.ru/api/getInfo/image/34814e9d-cb9f-11ec-a212-ac1f6b442185")</f>
        <v>https://miland.ru/api/getInfo/image/34814e9d-cb9f-11ec-a212-ac1f6b442185</v>
      </c>
      <c r="U2654" s="35"/>
      <c r="V2654" s="35" t="s">
        <v>9142</v>
      </c>
      <c r="W2654" s="35" t="s">
        <v>9143</v>
      </c>
      <c r="X2654" s="35"/>
      <c r="Y2654" s="35" t="s">
        <v>41</v>
      </c>
      <c r="Z2654" s="35"/>
      <c r="AA2654" s="35" t="str">
        <f>HYPERLINK("https://miland.ru/api/getInfo/item/34814e9d-cb9f-11ec-a212-ac1f6b442185")</f>
        <v>https://miland.ru/api/getInfo/item/34814e9d-cb9f-11ec-a212-ac1f6b442185</v>
      </c>
      <c r="AB2654" s="35" t="s">
        <v>50</v>
      </c>
      <c r="AC2654" s="35"/>
      <c r="AD2654" s="35"/>
      <c r="AE2654" s="52" t="s">
        <v>1251</v>
      </c>
    </row>
    <row r="2655" spans="2:31" s="1" customFormat="1" ht="96.3" customHeight="1" outlineLevel="4">
      <c r="B2655" s="58">
        <v>2053</v>
      </c>
      <c r="C2655" s="7" t="s">
        <v>9157</v>
      </c>
      <c r="D2655" s="71" t="s">
        <v>9158</v>
      </c>
      <c r="E2655" s="71"/>
      <c r="F2655" s="71"/>
      <c r="G2655" s="71"/>
      <c r="H2655" s="8" t="s">
        <v>9159</v>
      </c>
      <c r="I2655" s="14">
        <v>460</v>
      </c>
      <c r="J2655" s="8"/>
      <c r="K2655" s="6">
        <v>20</v>
      </c>
      <c r="L2655" s="10">
        <v>39.94</v>
      </c>
      <c r="M2655" s="11"/>
      <c r="N2655" s="8">
        <f t="shared" si="126"/>
        <v>0</v>
      </c>
      <c r="O2655" s="8">
        <v>0</v>
      </c>
      <c r="P2655" s="8">
        <v>0</v>
      </c>
      <c r="Q2655" s="17" t="s">
        <v>37</v>
      </c>
      <c r="R2655" s="8" t="s">
        <v>9160</v>
      </c>
      <c r="S2655" s="8"/>
      <c r="T2655" s="7" t="str">
        <f>HYPERLINK("https://miland.ru/api/getInfo/image/aaf33a02-632e-11f1-a296-00155d82e908")</f>
        <v>https://miland.ru/api/getInfo/image/aaf33a02-632e-11f1-a296-00155d82e908</v>
      </c>
      <c r="U2655" s="7"/>
      <c r="V2655" s="7" t="s">
        <v>9142</v>
      </c>
      <c r="W2655" s="7" t="s">
        <v>9143</v>
      </c>
      <c r="X2655" s="7"/>
      <c r="Y2655" s="7" t="s">
        <v>41</v>
      </c>
      <c r="Z2655" s="7"/>
      <c r="AA2655" s="7" t="str">
        <f>HYPERLINK("https://miland.ru/api/getInfo/item/aaf33a02-632e-11f1-a296-00155d82e908")</f>
        <v>https://miland.ru/api/getInfo/item/aaf33a02-632e-11f1-a296-00155d82e908</v>
      </c>
      <c r="AB2655" s="7" t="s">
        <v>50</v>
      </c>
      <c r="AC2655" s="7"/>
      <c r="AD2655" s="7"/>
      <c r="AE2655" s="54"/>
    </row>
    <row r="2656" spans="2:31" s="1" customFormat="1" ht="96.3" customHeight="1" outlineLevel="4">
      <c r="B2656" s="58">
        <v>2054</v>
      </c>
      <c r="C2656" s="7" t="s">
        <v>9161</v>
      </c>
      <c r="D2656" s="71" t="s">
        <v>9162</v>
      </c>
      <c r="E2656" s="71"/>
      <c r="F2656" s="71"/>
      <c r="G2656" s="71"/>
      <c r="H2656" s="8" t="s">
        <v>9163</v>
      </c>
      <c r="I2656" s="14">
        <v>290</v>
      </c>
      <c r="J2656" s="8"/>
      <c r="K2656" s="6">
        <v>20</v>
      </c>
      <c r="L2656" s="10">
        <v>39.94</v>
      </c>
      <c r="M2656" s="11"/>
      <c r="N2656" s="8">
        <f t="shared" si="126"/>
        <v>0</v>
      </c>
      <c r="O2656" s="8">
        <v>0</v>
      </c>
      <c r="P2656" s="8">
        <v>0</v>
      </c>
      <c r="Q2656" s="17" t="s">
        <v>37</v>
      </c>
      <c r="R2656" s="8" t="s">
        <v>9164</v>
      </c>
      <c r="S2656" s="8"/>
      <c r="T2656" s="7" t="str">
        <f>HYPERLINK("https://miland.ru/api/getInfo/image/92bc359a-632b-11f1-a296-00155d82e908")</f>
        <v>https://miland.ru/api/getInfo/image/92bc359a-632b-11f1-a296-00155d82e908</v>
      </c>
      <c r="U2656" s="7"/>
      <c r="V2656" s="7" t="s">
        <v>9142</v>
      </c>
      <c r="W2656" s="7" t="s">
        <v>9143</v>
      </c>
      <c r="X2656" s="7"/>
      <c r="Y2656" s="7" t="s">
        <v>41</v>
      </c>
      <c r="Z2656" s="7"/>
      <c r="AA2656" s="7" t="str">
        <f>HYPERLINK("https://miland.ru/api/getInfo/item/92bc359a-632b-11f1-a296-00155d82e908")</f>
        <v>https://miland.ru/api/getInfo/item/92bc359a-632b-11f1-a296-00155d82e908</v>
      </c>
      <c r="AB2656" s="7" t="s">
        <v>50</v>
      </c>
      <c r="AC2656" s="7"/>
      <c r="AD2656" s="7"/>
      <c r="AE2656" s="54"/>
    </row>
    <row r="2657" spans="2:31" s="1" customFormat="1" ht="96.3" customHeight="1" outlineLevel="4">
      <c r="B2657" s="59">
        <v>2055</v>
      </c>
      <c r="C2657" s="35" t="s">
        <v>9165</v>
      </c>
      <c r="D2657" s="73" t="s">
        <v>9166</v>
      </c>
      <c r="E2657" s="73"/>
      <c r="F2657" s="73"/>
      <c r="G2657" s="73"/>
      <c r="H2657" s="36" t="s">
        <v>9167</v>
      </c>
      <c r="I2657" s="40">
        <v>340</v>
      </c>
      <c r="J2657" s="36"/>
      <c r="K2657" s="34">
        <v>20</v>
      </c>
      <c r="L2657" s="41">
        <v>20.666666666666668</v>
      </c>
      <c r="M2657" s="11"/>
      <c r="N2657" s="36">
        <f t="shared" si="126"/>
        <v>0</v>
      </c>
      <c r="O2657" s="42">
        <f>0.006*M2657</f>
        <v>0</v>
      </c>
      <c r="P2657" s="43">
        <f>0.00001*M2657</f>
        <v>0</v>
      </c>
      <c r="Q2657" s="50"/>
      <c r="R2657" s="36" t="s">
        <v>9168</v>
      </c>
      <c r="S2657" s="36" t="s">
        <v>435</v>
      </c>
      <c r="T2657" s="35" t="str">
        <f>HYPERLINK("https://miland.ru/api/getInfo/image/c3d26685-e993-11ed-a233-00155d82e902")</f>
        <v>https://miland.ru/api/getInfo/image/c3d26685-e993-11ed-a233-00155d82e902</v>
      </c>
      <c r="U2657" s="35"/>
      <c r="V2657" s="35" t="s">
        <v>9142</v>
      </c>
      <c r="W2657" s="35" t="s">
        <v>9143</v>
      </c>
      <c r="X2657" s="35"/>
      <c r="Y2657" s="35" t="s">
        <v>41</v>
      </c>
      <c r="Z2657" s="35"/>
      <c r="AA2657" s="35" t="str">
        <f>HYPERLINK("https://miland.ru/api/getInfo/item/c3d26685-e993-11ed-a233-00155d82e902")</f>
        <v>https://miland.ru/api/getInfo/item/c3d26685-e993-11ed-a233-00155d82e902</v>
      </c>
      <c r="AB2657" s="35" t="s">
        <v>50</v>
      </c>
      <c r="AC2657" s="35"/>
      <c r="AD2657" s="35"/>
      <c r="AE2657" s="52" t="s">
        <v>1251</v>
      </c>
    </row>
    <row r="2658" spans="2:31" s="1" customFormat="1" ht="96.3" customHeight="1" outlineLevel="4">
      <c r="B2658" s="58">
        <v>2056</v>
      </c>
      <c r="C2658" s="7" t="s">
        <v>9169</v>
      </c>
      <c r="D2658" s="71" t="s">
        <v>9170</v>
      </c>
      <c r="E2658" s="71"/>
      <c r="F2658" s="71"/>
      <c r="G2658" s="71"/>
      <c r="H2658" s="8" t="s">
        <v>9171</v>
      </c>
      <c r="I2658" s="14">
        <v>370</v>
      </c>
      <c r="J2658" s="8"/>
      <c r="K2658" s="6">
        <v>20</v>
      </c>
      <c r="L2658" s="10">
        <v>39.94</v>
      </c>
      <c r="M2658" s="11"/>
      <c r="N2658" s="8">
        <f t="shared" si="126"/>
        <v>0</v>
      </c>
      <c r="O2658" s="8">
        <v>0</v>
      </c>
      <c r="P2658" s="8">
        <v>0</v>
      </c>
      <c r="Q2658" s="17" t="s">
        <v>37</v>
      </c>
      <c r="R2658" s="8" t="s">
        <v>9172</v>
      </c>
      <c r="S2658" s="8"/>
      <c r="T2658" s="7" t="str">
        <f>HYPERLINK("https://miland.ru/api/getInfo/image/b895e356-6320-11f1-a296-00155d82e908")</f>
        <v>https://miland.ru/api/getInfo/image/b895e356-6320-11f1-a296-00155d82e908</v>
      </c>
      <c r="U2658" s="7"/>
      <c r="V2658" s="7" t="s">
        <v>9142</v>
      </c>
      <c r="W2658" s="7" t="s">
        <v>9143</v>
      </c>
      <c r="X2658" s="7"/>
      <c r="Y2658" s="7" t="s">
        <v>41</v>
      </c>
      <c r="Z2658" s="7"/>
      <c r="AA2658" s="7" t="str">
        <f>HYPERLINK("https://miland.ru/api/getInfo/item/b895e356-6320-11f1-a296-00155d82e908")</f>
        <v>https://miland.ru/api/getInfo/item/b895e356-6320-11f1-a296-00155d82e908</v>
      </c>
      <c r="AB2658" s="7" t="s">
        <v>50</v>
      </c>
      <c r="AC2658" s="7"/>
      <c r="AD2658" s="7"/>
      <c r="AE2658" s="54"/>
    </row>
    <row r="2659" spans="2:31" s="1" customFormat="1" ht="96.3" customHeight="1" outlineLevel="4">
      <c r="B2659" s="60">
        <v>2057</v>
      </c>
      <c r="C2659" s="38" t="s">
        <v>9173</v>
      </c>
      <c r="D2659" s="74" t="s">
        <v>9174</v>
      </c>
      <c r="E2659" s="74"/>
      <c r="F2659" s="74"/>
      <c r="G2659" s="74"/>
      <c r="H2659" s="39" t="s">
        <v>9175</v>
      </c>
      <c r="I2659" s="44">
        <v>133</v>
      </c>
      <c r="J2659" s="39"/>
      <c r="K2659" s="37">
        <v>10</v>
      </c>
      <c r="L2659" s="41">
        <v>17.400000000000002</v>
      </c>
      <c r="M2659" s="11"/>
      <c r="N2659" s="39">
        <f t="shared" si="126"/>
        <v>0</v>
      </c>
      <c r="O2659" s="48">
        <f>0.005*M2659</f>
        <v>0</v>
      </c>
      <c r="P2659" s="46">
        <f>0.00001*M2659</f>
        <v>0</v>
      </c>
      <c r="Q2659" s="51"/>
      <c r="R2659" s="39" t="s">
        <v>9176</v>
      </c>
      <c r="S2659" s="39" t="s">
        <v>435</v>
      </c>
      <c r="T2659" s="38" t="str">
        <f>HYPERLINK("https://miland.ru/api/getInfo/image/4ce2ac6c-4b33-11ee-a244-00155d82e902")</f>
        <v>https://miland.ru/api/getInfo/image/4ce2ac6c-4b33-11ee-a244-00155d82e902</v>
      </c>
      <c r="U2659" s="38"/>
      <c r="V2659" s="38" t="s">
        <v>9142</v>
      </c>
      <c r="W2659" s="38" t="s">
        <v>9143</v>
      </c>
      <c r="X2659" s="38"/>
      <c r="Y2659" s="38" t="s">
        <v>41</v>
      </c>
      <c r="Z2659" s="38"/>
      <c r="AA2659" s="38" t="str">
        <f>HYPERLINK("https://miland.ru/api/getInfo/item/4ce2ac6c-4b33-11ee-a244-00155d82e902")</f>
        <v>https://miland.ru/api/getInfo/item/4ce2ac6c-4b33-11ee-a244-00155d82e902</v>
      </c>
      <c r="AB2659" s="38" t="s">
        <v>50</v>
      </c>
      <c r="AC2659" s="38"/>
      <c r="AD2659" s="38"/>
      <c r="AE2659" s="53" t="s">
        <v>1306</v>
      </c>
    </row>
    <row r="2660" spans="2:31" s="1" customFormat="1" ht="96.3" customHeight="1" outlineLevel="4">
      <c r="B2660" s="59">
        <v>2058</v>
      </c>
      <c r="C2660" s="35" t="s">
        <v>9177</v>
      </c>
      <c r="D2660" s="73" t="s">
        <v>9178</v>
      </c>
      <c r="E2660" s="73"/>
      <c r="F2660" s="73"/>
      <c r="G2660" s="73"/>
      <c r="H2660" s="36" t="s">
        <v>9179</v>
      </c>
      <c r="I2660" s="40">
        <v>320</v>
      </c>
      <c r="J2660" s="36"/>
      <c r="K2660" s="34">
        <v>20</v>
      </c>
      <c r="L2660" s="41">
        <v>19.333333333333332</v>
      </c>
      <c r="M2660" s="11"/>
      <c r="N2660" s="36">
        <f t="shared" si="126"/>
        <v>0</v>
      </c>
      <c r="O2660" s="42">
        <f>0.006*M2660</f>
        <v>0</v>
      </c>
      <c r="P2660" s="43">
        <f>0.00001*M2660</f>
        <v>0</v>
      </c>
      <c r="Q2660" s="50"/>
      <c r="R2660" s="36" t="s">
        <v>9180</v>
      </c>
      <c r="S2660" s="36" t="s">
        <v>435</v>
      </c>
      <c r="T2660" s="35" t="str">
        <f>HYPERLINK("https://miland.ru/api/getInfo/image/d30ef0fb-4b32-11ee-a244-00155d82e902")</f>
        <v>https://miland.ru/api/getInfo/image/d30ef0fb-4b32-11ee-a244-00155d82e902</v>
      </c>
      <c r="U2660" s="35"/>
      <c r="V2660" s="35" t="s">
        <v>9142</v>
      </c>
      <c r="W2660" s="35" t="s">
        <v>9143</v>
      </c>
      <c r="X2660" s="35"/>
      <c r="Y2660" s="35" t="s">
        <v>41</v>
      </c>
      <c r="Z2660" s="35"/>
      <c r="AA2660" s="35" t="str">
        <f>HYPERLINK("https://miland.ru/api/getInfo/item/d30ef0fb-4b32-11ee-a244-00155d82e902")</f>
        <v>https://miland.ru/api/getInfo/item/d30ef0fb-4b32-11ee-a244-00155d82e902</v>
      </c>
      <c r="AB2660" s="35" t="s">
        <v>50</v>
      </c>
      <c r="AC2660" s="35"/>
      <c r="AD2660" s="35"/>
      <c r="AE2660" s="52" t="s">
        <v>1251</v>
      </c>
    </row>
    <row r="2661" spans="2:31" s="1" customFormat="1" ht="96.3" customHeight="1" outlineLevel="4">
      <c r="B2661" s="58">
        <v>2059</v>
      </c>
      <c r="C2661" s="7" t="s">
        <v>9181</v>
      </c>
      <c r="D2661" s="71" t="s">
        <v>9182</v>
      </c>
      <c r="E2661" s="71"/>
      <c r="F2661" s="71"/>
      <c r="G2661" s="71"/>
      <c r="H2661" s="8" t="s">
        <v>9183</v>
      </c>
      <c r="I2661" s="14">
        <v>340</v>
      </c>
      <c r="J2661" s="8"/>
      <c r="K2661" s="6">
        <v>20</v>
      </c>
      <c r="L2661" s="10">
        <v>39.94</v>
      </c>
      <c r="M2661" s="11"/>
      <c r="N2661" s="8">
        <f t="shared" si="126"/>
        <v>0</v>
      </c>
      <c r="O2661" s="8">
        <v>0</v>
      </c>
      <c r="P2661" s="8">
        <v>0</v>
      </c>
      <c r="Q2661" s="17" t="s">
        <v>37</v>
      </c>
      <c r="R2661" s="8" t="s">
        <v>9184</v>
      </c>
      <c r="S2661" s="8"/>
      <c r="T2661" s="7" t="str">
        <f>HYPERLINK("https://miland.ru/api/getInfo/image/68e04961-632d-11f1-a296-00155d82e908")</f>
        <v>https://miland.ru/api/getInfo/image/68e04961-632d-11f1-a296-00155d82e908</v>
      </c>
      <c r="U2661" s="7"/>
      <c r="V2661" s="7" t="s">
        <v>9142</v>
      </c>
      <c r="W2661" s="7" t="s">
        <v>9143</v>
      </c>
      <c r="X2661" s="7"/>
      <c r="Y2661" s="7" t="s">
        <v>41</v>
      </c>
      <c r="Z2661" s="7"/>
      <c r="AA2661" s="7" t="str">
        <f>HYPERLINK("https://miland.ru/api/getInfo/item/68e04961-632d-11f1-a296-00155d82e908")</f>
        <v>https://miland.ru/api/getInfo/item/68e04961-632d-11f1-a296-00155d82e908</v>
      </c>
      <c r="AB2661" s="7" t="s">
        <v>50</v>
      </c>
      <c r="AC2661" s="7"/>
      <c r="AD2661" s="7"/>
      <c r="AE2661" s="54"/>
    </row>
    <row r="2662" spans="2:31" s="1" customFormat="1" ht="96.3" customHeight="1" outlineLevel="4">
      <c r="B2662" s="58">
        <v>2060</v>
      </c>
      <c r="C2662" s="7" t="s">
        <v>9185</v>
      </c>
      <c r="D2662" s="71" t="s">
        <v>9186</v>
      </c>
      <c r="E2662" s="71"/>
      <c r="F2662" s="71"/>
      <c r="G2662" s="71"/>
      <c r="H2662" s="8" t="s">
        <v>9187</v>
      </c>
      <c r="I2662" s="14">
        <v>420</v>
      </c>
      <c r="J2662" s="8"/>
      <c r="K2662" s="6">
        <v>20</v>
      </c>
      <c r="L2662" s="10">
        <v>39.94</v>
      </c>
      <c r="M2662" s="11"/>
      <c r="N2662" s="8">
        <f t="shared" si="126"/>
        <v>0</v>
      </c>
      <c r="O2662" s="8">
        <v>0</v>
      </c>
      <c r="P2662" s="8">
        <v>0</v>
      </c>
      <c r="Q2662" s="17" t="s">
        <v>37</v>
      </c>
      <c r="R2662" s="8" t="s">
        <v>9188</v>
      </c>
      <c r="S2662" s="8"/>
      <c r="T2662" s="7" t="str">
        <f>HYPERLINK("https://miland.ru/api/getInfo/image/fafa6be0-632d-11f1-a296-00155d82e908")</f>
        <v>https://miland.ru/api/getInfo/image/fafa6be0-632d-11f1-a296-00155d82e908</v>
      </c>
      <c r="U2662" s="7"/>
      <c r="V2662" s="7" t="s">
        <v>9142</v>
      </c>
      <c r="W2662" s="7" t="s">
        <v>9143</v>
      </c>
      <c r="X2662" s="7"/>
      <c r="Y2662" s="7" t="s">
        <v>41</v>
      </c>
      <c r="Z2662" s="7"/>
      <c r="AA2662" s="7" t="str">
        <f>HYPERLINK("https://miland.ru/api/getInfo/item/fafa6be0-632d-11f1-a296-00155d82e908")</f>
        <v>https://miland.ru/api/getInfo/item/fafa6be0-632d-11f1-a296-00155d82e908</v>
      </c>
      <c r="AB2662" s="7" t="s">
        <v>50</v>
      </c>
      <c r="AC2662" s="7"/>
      <c r="AD2662" s="7"/>
      <c r="AE2662" s="54"/>
    </row>
    <row r="2663" spans="2:31" s="1" customFormat="1" ht="96.3" customHeight="1" outlineLevel="4">
      <c r="B2663" s="58">
        <v>2061</v>
      </c>
      <c r="C2663" s="7" t="s">
        <v>9189</v>
      </c>
      <c r="D2663" s="71" t="s">
        <v>9190</v>
      </c>
      <c r="E2663" s="71"/>
      <c r="F2663" s="71"/>
      <c r="G2663" s="71"/>
      <c r="H2663" s="8" t="s">
        <v>9191</v>
      </c>
      <c r="I2663" s="14">
        <v>350</v>
      </c>
      <c r="J2663" s="8"/>
      <c r="K2663" s="6">
        <v>20</v>
      </c>
      <c r="L2663" s="10">
        <v>39.94</v>
      </c>
      <c r="M2663" s="11"/>
      <c r="N2663" s="8">
        <f t="shared" si="126"/>
        <v>0</v>
      </c>
      <c r="O2663" s="8">
        <v>0</v>
      </c>
      <c r="P2663" s="8">
        <v>0</v>
      </c>
      <c r="Q2663" s="17" t="s">
        <v>37</v>
      </c>
      <c r="R2663" s="8" t="s">
        <v>9192</v>
      </c>
      <c r="S2663" s="8"/>
      <c r="T2663" s="7" t="str">
        <f>HYPERLINK("https://miland.ru/api/getInfo/image/a19439ed-632f-11f1-a296-00155d82e908")</f>
        <v>https://miland.ru/api/getInfo/image/a19439ed-632f-11f1-a296-00155d82e908</v>
      </c>
      <c r="U2663" s="7"/>
      <c r="V2663" s="7" t="s">
        <v>9142</v>
      </c>
      <c r="W2663" s="7" t="s">
        <v>9143</v>
      </c>
      <c r="X2663" s="7"/>
      <c r="Y2663" s="7" t="s">
        <v>41</v>
      </c>
      <c r="Z2663" s="7"/>
      <c r="AA2663" s="7" t="str">
        <f>HYPERLINK("https://miland.ru/api/getInfo/item/a19439ed-632f-11f1-a296-00155d82e908")</f>
        <v>https://miland.ru/api/getInfo/item/a19439ed-632f-11f1-a296-00155d82e908</v>
      </c>
      <c r="AB2663" s="7" t="s">
        <v>50</v>
      </c>
      <c r="AC2663" s="7"/>
      <c r="AD2663" s="7"/>
      <c r="AE2663" s="54"/>
    </row>
    <row r="2664" spans="2:31" s="1" customFormat="1" ht="96.3" customHeight="1" outlineLevel="4">
      <c r="B2664" s="59">
        <v>2062</v>
      </c>
      <c r="C2664" s="35" t="s">
        <v>9193</v>
      </c>
      <c r="D2664" s="73" t="s">
        <v>9194</v>
      </c>
      <c r="E2664" s="73"/>
      <c r="F2664" s="73"/>
      <c r="G2664" s="73"/>
      <c r="H2664" s="36" t="s">
        <v>9195</v>
      </c>
      <c r="I2664" s="40">
        <v>400</v>
      </c>
      <c r="J2664" s="36"/>
      <c r="K2664" s="34">
        <v>20</v>
      </c>
      <c r="L2664" s="41">
        <v>22</v>
      </c>
      <c r="M2664" s="11"/>
      <c r="N2664" s="36">
        <f t="shared" si="126"/>
        <v>0</v>
      </c>
      <c r="O2664" s="42">
        <f>0.005*M2664</f>
        <v>0</v>
      </c>
      <c r="P2664" s="43">
        <f>0.00001*M2664</f>
        <v>0</v>
      </c>
      <c r="Q2664" s="50"/>
      <c r="R2664" s="36" t="s">
        <v>9196</v>
      </c>
      <c r="S2664" s="36" t="s">
        <v>435</v>
      </c>
      <c r="T2664" s="35" t="str">
        <f>HYPERLINK("https://miland.ru/api/getInfo/image/e8fcbeba-3afb-11f0-a27c-00155d82e908")</f>
        <v>https://miland.ru/api/getInfo/image/e8fcbeba-3afb-11f0-a27c-00155d82e908</v>
      </c>
      <c r="U2664" s="35"/>
      <c r="V2664" s="35" t="s">
        <v>9142</v>
      </c>
      <c r="W2664" s="35" t="s">
        <v>9143</v>
      </c>
      <c r="X2664" s="35"/>
      <c r="Y2664" s="35" t="s">
        <v>41</v>
      </c>
      <c r="Z2664" s="35"/>
      <c r="AA2664" s="35" t="str">
        <f>HYPERLINK("https://miland.ru/api/getInfo/item/e8fcbeba-3afb-11f0-a27c-00155d82e908")</f>
        <v>https://miland.ru/api/getInfo/item/e8fcbeba-3afb-11f0-a27c-00155d82e908</v>
      </c>
      <c r="AB2664" s="35" t="s">
        <v>50</v>
      </c>
      <c r="AC2664" s="35"/>
      <c r="AD2664" s="35"/>
      <c r="AE2664" s="52" t="s">
        <v>9152</v>
      </c>
    </row>
    <row r="2665" spans="2:31" s="1" customFormat="1" ht="96.3" customHeight="1" outlineLevel="4">
      <c r="B2665" s="58">
        <v>2063</v>
      </c>
      <c r="C2665" s="7" t="s">
        <v>9197</v>
      </c>
      <c r="D2665" s="71" t="s">
        <v>9198</v>
      </c>
      <c r="E2665" s="71"/>
      <c r="F2665" s="71"/>
      <c r="G2665" s="71"/>
      <c r="H2665" s="8" t="s">
        <v>9199</v>
      </c>
      <c r="I2665" s="14">
        <v>420</v>
      </c>
      <c r="J2665" s="8"/>
      <c r="K2665" s="6">
        <v>20</v>
      </c>
      <c r="L2665" s="10">
        <v>39.94</v>
      </c>
      <c r="M2665" s="11"/>
      <c r="N2665" s="8">
        <f t="shared" si="126"/>
        <v>0</v>
      </c>
      <c r="O2665" s="8">
        <v>0</v>
      </c>
      <c r="P2665" s="8">
        <v>0</v>
      </c>
      <c r="Q2665" s="17" t="s">
        <v>37</v>
      </c>
      <c r="R2665" s="8" t="s">
        <v>9200</v>
      </c>
      <c r="S2665" s="8"/>
      <c r="T2665" s="7" t="str">
        <f>HYPERLINK("https://miland.ru/api/getInfo/image/cfb26092-632a-11f1-a296-00155d82e908")</f>
        <v>https://miland.ru/api/getInfo/image/cfb26092-632a-11f1-a296-00155d82e908</v>
      </c>
      <c r="U2665" s="7"/>
      <c r="V2665" s="7" t="s">
        <v>9142</v>
      </c>
      <c r="W2665" s="7" t="s">
        <v>9143</v>
      </c>
      <c r="X2665" s="7"/>
      <c r="Y2665" s="7" t="s">
        <v>41</v>
      </c>
      <c r="Z2665" s="7"/>
      <c r="AA2665" s="7" t="str">
        <f>HYPERLINK("https://miland.ru/api/getInfo/item/cfb26092-632a-11f1-a296-00155d82e908")</f>
        <v>https://miland.ru/api/getInfo/item/cfb26092-632a-11f1-a296-00155d82e908</v>
      </c>
      <c r="AB2665" s="7" t="s">
        <v>50</v>
      </c>
      <c r="AC2665" s="7"/>
      <c r="AD2665" s="7"/>
      <c r="AE2665" s="54"/>
    </row>
    <row r="2666" spans="2:31" s="1" customFormat="1" ht="96.3" customHeight="1" outlineLevel="4">
      <c r="B2666" s="57">
        <v>2064</v>
      </c>
      <c r="C2666" s="21" t="s">
        <v>9201</v>
      </c>
      <c r="D2666" s="72" t="s">
        <v>9202</v>
      </c>
      <c r="E2666" s="72"/>
      <c r="F2666" s="72"/>
      <c r="G2666" s="72"/>
      <c r="H2666" s="22" t="s">
        <v>9203</v>
      </c>
      <c r="I2666" s="27">
        <v>400</v>
      </c>
      <c r="J2666" s="22"/>
      <c r="K2666" s="20">
        <v>20</v>
      </c>
      <c r="L2666" s="24">
        <v>39.94</v>
      </c>
      <c r="M2666" s="11"/>
      <c r="N2666" s="22">
        <f t="shared" si="126"/>
        <v>0</v>
      </c>
      <c r="O2666" s="25">
        <f>0.005*M2666</f>
        <v>0</v>
      </c>
      <c r="P2666" s="26">
        <f>0.00001*M2666</f>
        <v>0</v>
      </c>
      <c r="Q2666" s="30"/>
      <c r="R2666" s="22" t="s">
        <v>9204</v>
      </c>
      <c r="S2666" s="22"/>
      <c r="T2666" s="21" t="str">
        <f>HYPERLINK("https://miland.ru/api/getInfo/image/c2599fa9-3afb-11f0-a27c-00155d82e908")</f>
        <v>https://miland.ru/api/getInfo/image/c2599fa9-3afb-11f0-a27c-00155d82e908</v>
      </c>
      <c r="U2666" s="21"/>
      <c r="V2666" s="21" t="s">
        <v>9142</v>
      </c>
      <c r="W2666" s="21" t="s">
        <v>9143</v>
      </c>
      <c r="X2666" s="21"/>
      <c r="Y2666" s="21" t="s">
        <v>41</v>
      </c>
      <c r="Z2666" s="21"/>
      <c r="AA2666" s="21" t="str">
        <f>HYPERLINK("https://miland.ru/api/getInfo/item/c2599fa9-3afb-11f0-a27c-00155d82e908")</f>
        <v>https://miland.ru/api/getInfo/item/c2599fa9-3afb-11f0-a27c-00155d82e908</v>
      </c>
      <c r="AB2666" s="21" t="s">
        <v>50</v>
      </c>
      <c r="AC2666" s="21"/>
      <c r="AD2666" s="21"/>
    </row>
    <row r="2667" spans="2:31" s="1" customFormat="1" ht="96.3" customHeight="1" outlineLevel="4">
      <c r="B2667" s="58">
        <v>2065</v>
      </c>
      <c r="C2667" s="7" t="s">
        <v>9205</v>
      </c>
      <c r="D2667" s="71" t="s">
        <v>9206</v>
      </c>
      <c r="E2667" s="71"/>
      <c r="F2667" s="71"/>
      <c r="G2667" s="71"/>
      <c r="H2667" s="8" t="s">
        <v>9207</v>
      </c>
      <c r="I2667" s="14">
        <v>350</v>
      </c>
      <c r="J2667" s="8"/>
      <c r="K2667" s="6">
        <v>20</v>
      </c>
      <c r="L2667" s="10">
        <v>39.94</v>
      </c>
      <c r="M2667" s="11"/>
      <c r="N2667" s="8">
        <f t="shared" si="126"/>
        <v>0</v>
      </c>
      <c r="O2667" s="8">
        <v>0</v>
      </c>
      <c r="P2667" s="8">
        <v>0</v>
      </c>
      <c r="Q2667" s="17" t="s">
        <v>37</v>
      </c>
      <c r="R2667" s="8" t="s">
        <v>9208</v>
      </c>
      <c r="S2667" s="8"/>
      <c r="T2667" s="7" t="str">
        <f>HYPERLINK("https://miland.ru/api/getInfo/image/27ca0c67-632f-11f1-a296-00155d82e908")</f>
        <v>https://miland.ru/api/getInfo/image/27ca0c67-632f-11f1-a296-00155d82e908</v>
      </c>
      <c r="U2667" s="7"/>
      <c r="V2667" s="7" t="s">
        <v>9142</v>
      </c>
      <c r="W2667" s="7" t="s">
        <v>9143</v>
      </c>
      <c r="X2667" s="7"/>
      <c r="Y2667" s="7" t="s">
        <v>41</v>
      </c>
      <c r="Z2667" s="7"/>
      <c r="AA2667" s="7" t="str">
        <f>HYPERLINK("https://miland.ru/api/getInfo/item/27ca0c67-632f-11f1-a296-00155d82e908")</f>
        <v>https://miland.ru/api/getInfo/item/27ca0c67-632f-11f1-a296-00155d82e908</v>
      </c>
      <c r="AB2667" s="7" t="s">
        <v>50</v>
      </c>
      <c r="AC2667" s="7"/>
      <c r="AD2667" s="7"/>
      <c r="AE2667" s="54"/>
    </row>
    <row r="2668" spans="2:31" s="1" customFormat="1" ht="96.3" customHeight="1" outlineLevel="4">
      <c r="B2668" s="59">
        <v>2066</v>
      </c>
      <c r="C2668" s="35" t="s">
        <v>9209</v>
      </c>
      <c r="D2668" s="73" t="s">
        <v>9210</v>
      </c>
      <c r="E2668" s="73"/>
      <c r="F2668" s="73"/>
      <c r="G2668" s="73"/>
      <c r="H2668" s="36" t="s">
        <v>9211</v>
      </c>
      <c r="I2668" s="40">
        <v>320</v>
      </c>
      <c r="J2668" s="36"/>
      <c r="K2668" s="34">
        <v>20</v>
      </c>
      <c r="L2668" s="41">
        <v>20.666666666666668</v>
      </c>
      <c r="M2668" s="11"/>
      <c r="N2668" s="36">
        <f t="shared" si="126"/>
        <v>0</v>
      </c>
      <c r="O2668" s="42">
        <f>0.005*M2668</f>
        <v>0</v>
      </c>
      <c r="P2668" s="43">
        <f>0.00001*M2668</f>
        <v>0</v>
      </c>
      <c r="Q2668" s="50"/>
      <c r="R2668" s="36" t="s">
        <v>9212</v>
      </c>
      <c r="S2668" s="36" t="s">
        <v>435</v>
      </c>
      <c r="T2668" s="35" t="str">
        <f>HYPERLINK("https://miland.ru/api/getInfo/image/29f9d527-4fa7-11ed-a21a-ac1f6b442185")</f>
        <v>https://miland.ru/api/getInfo/image/29f9d527-4fa7-11ed-a21a-ac1f6b442185</v>
      </c>
      <c r="U2668" s="35"/>
      <c r="V2668" s="35" t="s">
        <v>9142</v>
      </c>
      <c r="W2668" s="35" t="s">
        <v>9143</v>
      </c>
      <c r="X2668" s="35"/>
      <c r="Y2668" s="35" t="s">
        <v>41</v>
      </c>
      <c r="Z2668" s="35"/>
      <c r="AA2668" s="35" t="str">
        <f>HYPERLINK("https://miland.ru/api/getInfo/item/29f9d527-4fa7-11ed-a21a-ac1f6b442185")</f>
        <v>https://miland.ru/api/getInfo/item/29f9d527-4fa7-11ed-a21a-ac1f6b442185</v>
      </c>
      <c r="AB2668" s="35" t="s">
        <v>50</v>
      </c>
      <c r="AC2668" s="35"/>
      <c r="AD2668" s="35"/>
      <c r="AE2668" s="52" t="s">
        <v>1251</v>
      </c>
    </row>
    <row r="2669" spans="2:31" s="1" customFormat="1" ht="96.3" customHeight="1" outlineLevel="4">
      <c r="B2669" s="59">
        <v>2067</v>
      </c>
      <c r="C2669" s="35" t="s">
        <v>9213</v>
      </c>
      <c r="D2669" s="73" t="s">
        <v>9214</v>
      </c>
      <c r="E2669" s="73"/>
      <c r="F2669" s="73"/>
      <c r="G2669" s="73"/>
      <c r="H2669" s="36" t="s">
        <v>9215</v>
      </c>
      <c r="I2669" s="40">
        <v>140</v>
      </c>
      <c r="J2669" s="36"/>
      <c r="K2669" s="34">
        <v>20</v>
      </c>
      <c r="L2669" s="41">
        <v>22</v>
      </c>
      <c r="M2669" s="11"/>
      <c r="N2669" s="36">
        <f t="shared" si="126"/>
        <v>0</v>
      </c>
      <c r="O2669" s="42">
        <f>0.005*M2669</f>
        <v>0</v>
      </c>
      <c r="P2669" s="43">
        <f>0.00001*M2669</f>
        <v>0</v>
      </c>
      <c r="Q2669" s="50"/>
      <c r="R2669" s="36" t="s">
        <v>9216</v>
      </c>
      <c r="S2669" s="36" t="s">
        <v>435</v>
      </c>
      <c r="T2669" s="35" t="str">
        <f>HYPERLINK("https://miland.ru/api/getInfo/image/9a7490ad-3afc-11f0-a27c-00155d82e908")</f>
        <v>https://miland.ru/api/getInfo/image/9a7490ad-3afc-11f0-a27c-00155d82e908</v>
      </c>
      <c r="U2669" s="35"/>
      <c r="V2669" s="35" t="s">
        <v>9142</v>
      </c>
      <c r="W2669" s="35" t="s">
        <v>9143</v>
      </c>
      <c r="X2669" s="35"/>
      <c r="Y2669" s="35" t="s">
        <v>41</v>
      </c>
      <c r="Z2669" s="35"/>
      <c r="AA2669" s="35" t="str">
        <f>HYPERLINK("https://miland.ru/api/getInfo/item/9a7490ad-3afc-11f0-a27c-00155d82e908")</f>
        <v>https://miland.ru/api/getInfo/item/9a7490ad-3afc-11f0-a27c-00155d82e908</v>
      </c>
      <c r="AB2669" s="35" t="s">
        <v>50</v>
      </c>
      <c r="AC2669" s="35"/>
      <c r="AD2669" s="35"/>
      <c r="AE2669" s="52" t="s">
        <v>9152</v>
      </c>
    </row>
    <row r="2670" spans="2:31" ht="12" customHeight="1" outlineLevel="3">
      <c r="B2670" s="70" t="s">
        <v>9217</v>
      </c>
      <c r="C2670" s="70"/>
      <c r="D2670" s="70"/>
      <c r="E2670" s="70"/>
      <c r="F2670" s="70"/>
      <c r="G2670" s="70"/>
    </row>
    <row r="2671" spans="2:31" s="1" customFormat="1" ht="96.3" customHeight="1" outlineLevel="4">
      <c r="B2671" s="57">
        <v>2068</v>
      </c>
      <c r="C2671" s="21" t="s">
        <v>9218</v>
      </c>
      <c r="D2671" s="72" t="s">
        <v>9219</v>
      </c>
      <c r="E2671" s="72"/>
      <c r="F2671" s="72"/>
      <c r="G2671" s="72"/>
      <c r="H2671" s="22" t="s">
        <v>9220</v>
      </c>
      <c r="I2671" s="27">
        <v>11</v>
      </c>
      <c r="J2671" s="22"/>
      <c r="K2671" s="20">
        <v>4</v>
      </c>
      <c r="L2671" s="24">
        <v>151.81</v>
      </c>
      <c r="M2671" s="11"/>
      <c r="N2671" s="22">
        <f>L2671*M2671</f>
        <v>0</v>
      </c>
      <c r="O2671" s="25">
        <f>0.061*M2671</f>
        <v>0</v>
      </c>
      <c r="P2671" s="29">
        <f>0.0002*M2671</f>
        <v>0</v>
      </c>
      <c r="Q2671" s="30"/>
      <c r="R2671" s="22" t="s">
        <v>9221</v>
      </c>
      <c r="S2671" s="22" t="s">
        <v>435</v>
      </c>
      <c r="T2671" s="21" t="str">
        <f>HYPERLINK("https://miland.ru/api/getInfo/image/6df344c0-57ab-11e6-9636-5cf3fc4a2490")</f>
        <v>https://miland.ru/api/getInfo/image/6df344c0-57ab-11e6-9636-5cf3fc4a2490</v>
      </c>
      <c r="U2671" s="21"/>
      <c r="V2671" s="21" t="s">
        <v>9222</v>
      </c>
      <c r="W2671" s="21" t="s">
        <v>9223</v>
      </c>
      <c r="X2671" s="21"/>
      <c r="Y2671" s="21" t="s">
        <v>41</v>
      </c>
      <c r="Z2671" s="21"/>
      <c r="AA2671" s="21" t="str">
        <f>HYPERLINK("https://miland.ru/api/getInfo/item/6df344c0-57ab-11e6-9636-5cf3fc4a2490")</f>
        <v>https://miland.ru/api/getInfo/item/6df344c0-57ab-11e6-9636-5cf3fc4a2490</v>
      </c>
      <c r="AB2671" s="21" t="s">
        <v>50</v>
      </c>
      <c r="AC2671" s="21" t="s">
        <v>9224</v>
      </c>
      <c r="AD2671" s="21"/>
    </row>
    <row r="2672" spans="2:31" s="1" customFormat="1" ht="96.3" customHeight="1" outlineLevel="4">
      <c r="B2672" s="59">
        <v>2069</v>
      </c>
      <c r="C2672" s="35" t="s">
        <v>9225</v>
      </c>
      <c r="D2672" s="73" t="s">
        <v>9226</v>
      </c>
      <c r="E2672" s="73"/>
      <c r="F2672" s="73"/>
      <c r="G2672" s="73"/>
      <c r="H2672" s="36" t="s">
        <v>9227</v>
      </c>
      <c r="I2672" s="40">
        <v>46</v>
      </c>
      <c r="J2672" s="36"/>
      <c r="K2672" s="34">
        <v>4</v>
      </c>
      <c r="L2672" s="41">
        <v>144</v>
      </c>
      <c r="M2672" s="11"/>
      <c r="N2672" s="36">
        <f>L2672*M2672</f>
        <v>0</v>
      </c>
      <c r="O2672" s="47">
        <f>0.05*M2672</f>
        <v>0</v>
      </c>
      <c r="P2672" s="43">
        <f>0.00005*M2672</f>
        <v>0</v>
      </c>
      <c r="Q2672" s="50"/>
      <c r="R2672" s="36" t="s">
        <v>9228</v>
      </c>
      <c r="S2672" s="36" t="s">
        <v>435</v>
      </c>
      <c r="T2672" s="35" t="str">
        <f>HYPERLINK("https://miland.ru/api/getInfo/image/3f6a1abe-b2a9-11e8-a209-ac1f6b442184")</f>
        <v>https://miland.ru/api/getInfo/image/3f6a1abe-b2a9-11e8-a209-ac1f6b442184</v>
      </c>
      <c r="U2672" s="35"/>
      <c r="V2672" s="35" t="s">
        <v>9222</v>
      </c>
      <c r="W2672" s="35" t="s">
        <v>9223</v>
      </c>
      <c r="X2672" s="35"/>
      <c r="Y2672" s="35" t="s">
        <v>41</v>
      </c>
      <c r="Z2672" s="35"/>
      <c r="AA2672" s="35" t="str">
        <f>HYPERLINK("https://miland.ru/api/getInfo/item/3f6a1abe-b2a9-11e8-a209-ac1f6b442184")</f>
        <v>https://miland.ru/api/getInfo/item/3f6a1abe-b2a9-11e8-a209-ac1f6b442184</v>
      </c>
      <c r="AB2672" s="35" t="s">
        <v>50</v>
      </c>
      <c r="AC2672" s="35"/>
      <c r="AD2672" s="35"/>
      <c r="AE2672" s="52" t="s">
        <v>9152</v>
      </c>
    </row>
    <row r="2673" spans="2:31" ht="12" customHeight="1" outlineLevel="3">
      <c r="B2673" s="70" t="s">
        <v>9229</v>
      </c>
      <c r="C2673" s="70"/>
      <c r="D2673" s="70"/>
      <c r="E2673" s="70"/>
      <c r="F2673" s="70"/>
      <c r="G2673" s="70"/>
    </row>
    <row r="2674" spans="2:31" ht="12" customHeight="1" outlineLevel="4">
      <c r="B2674" s="70" t="s">
        <v>9230</v>
      </c>
      <c r="C2674" s="70"/>
      <c r="D2674" s="70"/>
      <c r="E2674" s="70"/>
      <c r="F2674" s="70"/>
      <c r="G2674" s="70"/>
    </row>
    <row r="2675" spans="2:31" s="1" customFormat="1" ht="96.3" customHeight="1" outlineLevel="5">
      <c r="B2675" s="59">
        <v>2070</v>
      </c>
      <c r="C2675" s="35" t="s">
        <v>9231</v>
      </c>
      <c r="D2675" s="73" t="s">
        <v>9232</v>
      </c>
      <c r="E2675" s="73"/>
      <c r="F2675" s="73"/>
      <c r="G2675" s="73"/>
      <c r="H2675" s="36" t="s">
        <v>9233</v>
      </c>
      <c r="I2675" s="40">
        <v>103</v>
      </c>
      <c r="J2675" s="36"/>
      <c r="K2675" s="34">
        <v>2</v>
      </c>
      <c r="L2675" s="41">
        <v>206.66666666666666</v>
      </c>
      <c r="M2675" s="11"/>
      <c r="N2675" s="36">
        <f>L2675*M2675</f>
        <v>0</v>
      </c>
      <c r="O2675" s="47">
        <f>0.03*M2675</f>
        <v>0</v>
      </c>
      <c r="P2675" s="43">
        <f>0.00008*M2675</f>
        <v>0</v>
      </c>
      <c r="Q2675" s="50"/>
      <c r="R2675" s="36" t="s">
        <v>9234</v>
      </c>
      <c r="S2675" s="36" t="s">
        <v>435</v>
      </c>
      <c r="T2675" s="35" t="str">
        <f>HYPERLINK("https://miland.ru/api/getInfo/image/c5292adb-14e1-11ea-a237-ac1f6b442184")</f>
        <v>https://miland.ru/api/getInfo/image/c5292adb-14e1-11ea-a237-ac1f6b442184</v>
      </c>
      <c r="U2675" s="35"/>
      <c r="V2675" s="35"/>
      <c r="W2675" s="35"/>
      <c r="X2675" s="35"/>
      <c r="Y2675" s="35" t="s">
        <v>41</v>
      </c>
      <c r="Z2675" s="35"/>
      <c r="AA2675" s="35" t="str">
        <f>HYPERLINK("https://miland.ru/api/getInfo/item/c5292adb-14e1-11ea-a237-ac1f6b442184")</f>
        <v>https://miland.ru/api/getInfo/item/c5292adb-14e1-11ea-a237-ac1f6b442184</v>
      </c>
      <c r="AB2675" s="35" t="s">
        <v>50</v>
      </c>
      <c r="AC2675" s="35"/>
      <c r="AD2675" s="35"/>
      <c r="AE2675" s="52" t="s">
        <v>9152</v>
      </c>
    </row>
    <row r="2676" spans="2:31" ht="12" customHeight="1" outlineLevel="4">
      <c r="B2676" s="70" t="s">
        <v>9235</v>
      </c>
      <c r="C2676" s="70"/>
      <c r="D2676" s="70"/>
      <c r="E2676" s="70"/>
      <c r="F2676" s="70"/>
      <c r="G2676" s="70"/>
    </row>
    <row r="2677" spans="2:31" s="1" customFormat="1" ht="96.3" customHeight="1" outlineLevel="5">
      <c r="B2677" s="59">
        <v>2071</v>
      </c>
      <c r="C2677" s="35" t="s">
        <v>9236</v>
      </c>
      <c r="D2677" s="73" t="s">
        <v>9237</v>
      </c>
      <c r="E2677" s="73"/>
      <c r="F2677" s="73"/>
      <c r="G2677" s="73"/>
      <c r="H2677" s="36" t="s">
        <v>9238</v>
      </c>
      <c r="I2677" s="40">
        <v>162</v>
      </c>
      <c r="J2677" s="36"/>
      <c r="K2677" s="34">
        <v>10</v>
      </c>
      <c r="L2677" s="41">
        <v>28.933333333333334</v>
      </c>
      <c r="M2677" s="11"/>
      <c r="N2677" s="36">
        <f>L2677*M2677</f>
        <v>0</v>
      </c>
      <c r="O2677" s="42">
        <f>0.029*M2677</f>
        <v>0</v>
      </c>
      <c r="P2677" s="43">
        <f>0.00004*M2677</f>
        <v>0</v>
      </c>
      <c r="Q2677" s="50"/>
      <c r="R2677" s="36" t="s">
        <v>9239</v>
      </c>
      <c r="S2677" s="36" t="s">
        <v>435</v>
      </c>
      <c r="T2677" s="35" t="str">
        <f>HYPERLINK("https://miland.ru/api/getInfo/image/1d12865c-38e3-11ed-a216-ac1f6b442185")</f>
        <v>https://miland.ru/api/getInfo/image/1d12865c-38e3-11ed-a216-ac1f6b442185</v>
      </c>
      <c r="U2677" s="35"/>
      <c r="V2677" s="35" t="s">
        <v>9142</v>
      </c>
      <c r="W2677" s="35" t="s">
        <v>9143</v>
      </c>
      <c r="X2677" s="35"/>
      <c r="Y2677" s="35" t="s">
        <v>41</v>
      </c>
      <c r="Z2677" s="35"/>
      <c r="AA2677" s="35" t="str">
        <f>HYPERLINK("https://miland.ru/api/getInfo/item/1d12865c-38e3-11ed-a216-ac1f6b442185")</f>
        <v>https://miland.ru/api/getInfo/item/1d12865c-38e3-11ed-a216-ac1f6b442185</v>
      </c>
      <c r="AB2677" s="35" t="s">
        <v>50</v>
      </c>
      <c r="AC2677" s="35"/>
      <c r="AD2677" s="35"/>
      <c r="AE2677" s="52" t="s">
        <v>1251</v>
      </c>
    </row>
    <row r="2678" spans="2:31" s="1" customFormat="1" ht="96.3" customHeight="1" outlineLevel="5">
      <c r="B2678" s="59">
        <v>2072</v>
      </c>
      <c r="C2678" s="35" t="s">
        <v>9240</v>
      </c>
      <c r="D2678" s="73" t="s">
        <v>9241</v>
      </c>
      <c r="E2678" s="73"/>
      <c r="F2678" s="73"/>
      <c r="G2678" s="73"/>
      <c r="H2678" s="36" t="s">
        <v>9242</v>
      </c>
      <c r="I2678" s="40">
        <v>494</v>
      </c>
      <c r="J2678" s="36"/>
      <c r="K2678" s="34">
        <v>10</v>
      </c>
      <c r="L2678" s="41">
        <v>49.466666666666669</v>
      </c>
      <c r="M2678" s="11"/>
      <c r="N2678" s="36">
        <f>L2678*M2678</f>
        <v>0</v>
      </c>
      <c r="O2678" s="42">
        <f>0.003*M2678</f>
        <v>0</v>
      </c>
      <c r="P2678" s="43">
        <f>0.00008*M2678</f>
        <v>0</v>
      </c>
      <c r="Q2678" s="50" t="s">
        <v>37</v>
      </c>
      <c r="R2678" s="36" t="s">
        <v>9243</v>
      </c>
      <c r="S2678" s="36"/>
      <c r="T2678" s="35" t="str">
        <f>HYPERLINK("https://miland.ru/api/getInfo/image/5dcee1f1-defc-11f0-a28c-00155d82e908")</f>
        <v>https://miland.ru/api/getInfo/image/5dcee1f1-defc-11f0-a28c-00155d82e908</v>
      </c>
      <c r="U2678" s="35"/>
      <c r="V2678" s="35" t="s">
        <v>9142</v>
      </c>
      <c r="W2678" s="35" t="s">
        <v>9143</v>
      </c>
      <c r="X2678" s="35"/>
      <c r="Y2678" s="35" t="s">
        <v>41</v>
      </c>
      <c r="Z2678" s="35"/>
      <c r="AA2678" s="35" t="str">
        <f>HYPERLINK("https://miland.ru/api/getInfo/item/5dcee1f1-defc-11f0-a28c-00155d82e908")</f>
        <v>https://miland.ru/api/getInfo/item/5dcee1f1-defc-11f0-a28c-00155d82e908</v>
      </c>
      <c r="AB2678" s="35" t="s">
        <v>50</v>
      </c>
      <c r="AC2678" s="35"/>
      <c r="AD2678" s="35"/>
      <c r="AE2678" s="52" t="s">
        <v>9152</v>
      </c>
    </row>
    <row r="2679" spans="2:31" s="1" customFormat="1" ht="96.3" customHeight="1" outlineLevel="5">
      <c r="B2679" s="59">
        <v>2073</v>
      </c>
      <c r="C2679" s="35" t="s">
        <v>9244</v>
      </c>
      <c r="D2679" s="73" t="s">
        <v>9245</v>
      </c>
      <c r="E2679" s="73"/>
      <c r="F2679" s="73"/>
      <c r="G2679" s="73"/>
      <c r="H2679" s="36" t="s">
        <v>9246</v>
      </c>
      <c r="I2679" s="40">
        <v>337</v>
      </c>
      <c r="J2679" s="36"/>
      <c r="K2679" s="34">
        <v>10</v>
      </c>
      <c r="L2679" s="41">
        <v>49.466666666666669</v>
      </c>
      <c r="M2679" s="11"/>
      <c r="N2679" s="36">
        <f>L2679*M2679</f>
        <v>0</v>
      </c>
      <c r="O2679" s="42">
        <f>0.003*M2679</f>
        <v>0</v>
      </c>
      <c r="P2679" s="43">
        <f>0.00008*M2679</f>
        <v>0</v>
      </c>
      <c r="Q2679" s="50" t="s">
        <v>37</v>
      </c>
      <c r="R2679" s="36" t="s">
        <v>9247</v>
      </c>
      <c r="S2679" s="36"/>
      <c r="T2679" s="35" t="str">
        <f>HYPERLINK("https://miland.ru/api/getInfo/image/377697e0-defa-11f0-a28c-00155d82e908")</f>
        <v>https://miland.ru/api/getInfo/image/377697e0-defa-11f0-a28c-00155d82e908</v>
      </c>
      <c r="U2679" s="35"/>
      <c r="V2679" s="35" t="s">
        <v>9142</v>
      </c>
      <c r="W2679" s="35" t="s">
        <v>9143</v>
      </c>
      <c r="X2679" s="35"/>
      <c r="Y2679" s="35" t="s">
        <v>41</v>
      </c>
      <c r="Z2679" s="35"/>
      <c r="AA2679" s="35" t="str">
        <f>HYPERLINK("https://miland.ru/api/getInfo/item/377697e0-defa-11f0-a28c-00155d82e908")</f>
        <v>https://miland.ru/api/getInfo/item/377697e0-defa-11f0-a28c-00155d82e908</v>
      </c>
      <c r="AB2679" s="35" t="s">
        <v>50</v>
      </c>
      <c r="AC2679" s="35"/>
      <c r="AD2679" s="35"/>
      <c r="AE2679" s="52" t="s">
        <v>9152</v>
      </c>
    </row>
    <row r="2680" spans="2:31" s="1" customFormat="1" ht="96.3" customHeight="1" outlineLevel="5">
      <c r="B2680" s="58">
        <v>2074</v>
      </c>
      <c r="C2680" s="7" t="s">
        <v>9248</v>
      </c>
      <c r="D2680" s="71" t="s">
        <v>9249</v>
      </c>
      <c r="E2680" s="71"/>
      <c r="F2680" s="71"/>
      <c r="G2680" s="71"/>
      <c r="H2680" s="8" t="s">
        <v>9250</v>
      </c>
      <c r="I2680" s="14">
        <v>190</v>
      </c>
      <c r="J2680" s="8"/>
      <c r="K2680" s="6">
        <v>10</v>
      </c>
      <c r="L2680" s="10">
        <v>60.57</v>
      </c>
      <c r="M2680" s="11"/>
      <c r="N2680" s="8">
        <f>L2680*M2680</f>
        <v>0</v>
      </c>
      <c r="O2680" s="12">
        <f>0.003*M2680</f>
        <v>0</v>
      </c>
      <c r="P2680" s="13">
        <f>0.00008*M2680</f>
        <v>0</v>
      </c>
      <c r="Q2680" s="17" t="s">
        <v>37</v>
      </c>
      <c r="R2680" s="8" t="s">
        <v>9251</v>
      </c>
      <c r="S2680" s="8"/>
      <c r="T2680" s="7" t="str">
        <f>HYPERLINK("https://miland.ru/api/getInfo/image/002cd0f1-defa-11f0-a28c-00155d82e908")</f>
        <v>https://miland.ru/api/getInfo/image/002cd0f1-defa-11f0-a28c-00155d82e908</v>
      </c>
      <c r="U2680" s="7"/>
      <c r="V2680" s="7" t="s">
        <v>9142</v>
      </c>
      <c r="W2680" s="7" t="s">
        <v>9143</v>
      </c>
      <c r="X2680" s="7"/>
      <c r="Y2680" s="7" t="s">
        <v>41</v>
      </c>
      <c r="Z2680" s="7"/>
      <c r="AA2680" s="7" t="str">
        <f>HYPERLINK("https://miland.ru/api/getInfo/item/002cd0f1-defa-11f0-a28c-00155d82e908")</f>
        <v>https://miland.ru/api/getInfo/item/002cd0f1-defa-11f0-a28c-00155d82e908</v>
      </c>
      <c r="AB2680" s="7" t="s">
        <v>50</v>
      </c>
      <c r="AC2680" s="7"/>
      <c r="AD2680" s="7"/>
      <c r="AE2680" s="54"/>
    </row>
    <row r="2681" spans="2:31" ht="12" customHeight="1" outlineLevel="4">
      <c r="B2681" s="70" t="s">
        <v>9252</v>
      </c>
      <c r="C2681" s="70"/>
      <c r="D2681" s="70"/>
      <c r="E2681" s="70"/>
      <c r="F2681" s="70"/>
      <c r="G2681" s="70"/>
    </row>
    <row r="2682" spans="2:31" s="1" customFormat="1" ht="96.3" customHeight="1" outlineLevel="5">
      <c r="B2682" s="57">
        <v>2075</v>
      </c>
      <c r="C2682" s="21" t="s">
        <v>9253</v>
      </c>
      <c r="D2682" s="72" t="s">
        <v>9254</v>
      </c>
      <c r="E2682" s="72"/>
      <c r="F2682" s="72"/>
      <c r="G2682" s="72"/>
      <c r="H2682" s="22" t="s">
        <v>9255</v>
      </c>
      <c r="I2682" s="27">
        <v>211</v>
      </c>
      <c r="J2682" s="22"/>
      <c r="K2682" s="20">
        <v>6</v>
      </c>
      <c r="L2682" s="24">
        <v>131.47999999999999</v>
      </c>
      <c r="M2682" s="11"/>
      <c r="N2682" s="22">
        <f t="shared" ref="N2682:N2701" si="127">L2682*M2682</f>
        <v>0</v>
      </c>
      <c r="O2682" s="25">
        <f>0.039*M2682</f>
        <v>0</v>
      </c>
      <c r="P2682" s="26">
        <f>0.00007*M2682</f>
        <v>0</v>
      </c>
      <c r="Q2682" s="30"/>
      <c r="R2682" s="22" t="s">
        <v>9256</v>
      </c>
      <c r="S2682" s="22"/>
      <c r="T2682" s="21" t="str">
        <f>HYPERLINK("https://miland.ru/api/getInfo/image/159f0425-38dd-11ed-a216-ac1f6b442185")</f>
        <v>https://miland.ru/api/getInfo/image/159f0425-38dd-11ed-a216-ac1f6b442185</v>
      </c>
      <c r="U2682" s="21"/>
      <c r="V2682" s="21" t="s">
        <v>9142</v>
      </c>
      <c r="W2682" s="21" t="s">
        <v>9143</v>
      </c>
      <c r="X2682" s="21"/>
      <c r="Y2682" s="21" t="s">
        <v>41</v>
      </c>
      <c r="Z2682" s="21"/>
      <c r="AA2682" s="21" t="str">
        <f>HYPERLINK("https://miland.ru/api/getInfo/item/159f0425-38dd-11ed-a216-ac1f6b442185")</f>
        <v>https://miland.ru/api/getInfo/item/159f0425-38dd-11ed-a216-ac1f6b442185</v>
      </c>
      <c r="AB2682" s="21" t="s">
        <v>50</v>
      </c>
      <c r="AC2682" s="21" t="s">
        <v>9257</v>
      </c>
      <c r="AD2682" s="21"/>
    </row>
    <row r="2683" spans="2:31" s="1" customFormat="1" ht="96.3" customHeight="1" outlineLevel="5">
      <c r="B2683" s="59">
        <v>2076</v>
      </c>
      <c r="C2683" s="35" t="s">
        <v>9258</v>
      </c>
      <c r="D2683" s="73" t="s">
        <v>9259</v>
      </c>
      <c r="E2683" s="73"/>
      <c r="F2683" s="73"/>
      <c r="G2683" s="73"/>
      <c r="H2683" s="36" t="s">
        <v>9260</v>
      </c>
      <c r="I2683" s="40">
        <v>349</v>
      </c>
      <c r="J2683" s="36"/>
      <c r="K2683" s="34">
        <v>7</v>
      </c>
      <c r="L2683" s="41">
        <v>48</v>
      </c>
      <c r="M2683" s="11"/>
      <c r="N2683" s="36">
        <f t="shared" si="127"/>
        <v>0</v>
      </c>
      <c r="O2683" s="47">
        <f>0.03*M2683</f>
        <v>0</v>
      </c>
      <c r="P2683" s="55">
        <f>0.0001*M2683</f>
        <v>0</v>
      </c>
      <c r="Q2683" s="50"/>
      <c r="R2683" s="36" t="s">
        <v>9261</v>
      </c>
      <c r="S2683" s="36" t="s">
        <v>435</v>
      </c>
      <c r="T2683" s="35" t="str">
        <f>HYPERLINK("https://miland.ru/api/getInfo/image/76723570-1a45-11ee-a23b-00155d82e902")</f>
        <v>https://miland.ru/api/getInfo/image/76723570-1a45-11ee-a23b-00155d82e902</v>
      </c>
      <c r="U2683" s="35"/>
      <c r="V2683" s="35" t="s">
        <v>9142</v>
      </c>
      <c r="W2683" s="35" t="s">
        <v>9143</v>
      </c>
      <c r="X2683" s="35"/>
      <c r="Y2683" s="35" t="s">
        <v>41</v>
      </c>
      <c r="Z2683" s="35"/>
      <c r="AA2683" s="35" t="str">
        <f>HYPERLINK("https://miland.ru/api/getInfo/item/76723570-1a45-11ee-a23b-00155d82e902")</f>
        <v>https://miland.ru/api/getInfo/item/76723570-1a45-11ee-a23b-00155d82e902</v>
      </c>
      <c r="AB2683" s="35" t="s">
        <v>50</v>
      </c>
      <c r="AC2683" s="35"/>
      <c r="AD2683" s="35"/>
      <c r="AE2683" s="52" t="s">
        <v>1251</v>
      </c>
    </row>
    <row r="2684" spans="2:31" s="1" customFormat="1" ht="96.3" customHeight="1" outlineLevel="5">
      <c r="B2684" s="59">
        <v>2077</v>
      </c>
      <c r="C2684" s="35" t="s">
        <v>9262</v>
      </c>
      <c r="D2684" s="73" t="s">
        <v>9263</v>
      </c>
      <c r="E2684" s="73"/>
      <c r="F2684" s="73"/>
      <c r="G2684" s="73"/>
      <c r="H2684" s="36" t="s">
        <v>9264</v>
      </c>
      <c r="I2684" s="40">
        <v>41</v>
      </c>
      <c r="J2684" s="36"/>
      <c r="K2684" s="34">
        <v>6</v>
      </c>
      <c r="L2684" s="41">
        <v>49.466666666666669</v>
      </c>
      <c r="M2684" s="11"/>
      <c r="N2684" s="36">
        <f t="shared" si="127"/>
        <v>0</v>
      </c>
      <c r="O2684" s="42">
        <f>0.035*M2684</f>
        <v>0</v>
      </c>
      <c r="P2684" s="43">
        <f>0.00006*M2684</f>
        <v>0</v>
      </c>
      <c r="Q2684" s="50"/>
      <c r="R2684" s="36" t="s">
        <v>9265</v>
      </c>
      <c r="S2684" s="36" t="s">
        <v>435</v>
      </c>
      <c r="T2684" s="35" t="str">
        <f>HYPERLINK("https://miland.ru/api/getInfo/image/6cc7e6b0-3afe-11f0-a27c-00155d82e908")</f>
        <v>https://miland.ru/api/getInfo/image/6cc7e6b0-3afe-11f0-a27c-00155d82e908</v>
      </c>
      <c r="U2684" s="35"/>
      <c r="V2684" s="35" t="s">
        <v>9142</v>
      </c>
      <c r="W2684" s="35" t="s">
        <v>9143</v>
      </c>
      <c r="X2684" s="35"/>
      <c r="Y2684" s="35" t="s">
        <v>41</v>
      </c>
      <c r="Z2684" s="35"/>
      <c r="AA2684" s="35" t="str">
        <f>HYPERLINK("https://miland.ru/api/getInfo/item/6cc7e6b0-3afe-11f0-a27c-00155d82e908")</f>
        <v>https://miland.ru/api/getInfo/item/6cc7e6b0-3afe-11f0-a27c-00155d82e908</v>
      </c>
      <c r="AB2684" s="35" t="s">
        <v>50</v>
      </c>
      <c r="AC2684" s="35"/>
      <c r="AD2684" s="35"/>
      <c r="AE2684" s="52" t="s">
        <v>9152</v>
      </c>
    </row>
    <row r="2685" spans="2:31" s="1" customFormat="1" ht="96.3" customHeight="1" outlineLevel="5">
      <c r="B2685" s="59">
        <v>2078</v>
      </c>
      <c r="C2685" s="35" t="s">
        <v>9266</v>
      </c>
      <c r="D2685" s="73" t="s">
        <v>9267</v>
      </c>
      <c r="E2685" s="73"/>
      <c r="F2685" s="73"/>
      <c r="G2685" s="73"/>
      <c r="H2685" s="36" t="s">
        <v>9268</v>
      </c>
      <c r="I2685" s="40">
        <v>15</v>
      </c>
      <c r="J2685" s="36"/>
      <c r="K2685" s="34">
        <v>7</v>
      </c>
      <c r="L2685" s="41">
        <v>49.466666666666669</v>
      </c>
      <c r="M2685" s="11"/>
      <c r="N2685" s="36">
        <f t="shared" si="127"/>
        <v>0</v>
      </c>
      <c r="O2685" s="42">
        <f>0.038*M2685</f>
        <v>0</v>
      </c>
      <c r="P2685" s="43">
        <f>0.00011*M2685</f>
        <v>0</v>
      </c>
      <c r="Q2685" s="50"/>
      <c r="R2685" s="36" t="s">
        <v>9269</v>
      </c>
      <c r="S2685" s="36" t="s">
        <v>435</v>
      </c>
      <c r="T2685" s="35" t="str">
        <f>HYPERLINK("https://miland.ru/api/getInfo/image/1123735d-fbdc-11ee-a25d-00155d82e908")</f>
        <v>https://miland.ru/api/getInfo/image/1123735d-fbdc-11ee-a25d-00155d82e908</v>
      </c>
      <c r="U2685" s="35"/>
      <c r="V2685" s="35" t="s">
        <v>9142</v>
      </c>
      <c r="W2685" s="35" t="s">
        <v>9143</v>
      </c>
      <c r="X2685" s="35"/>
      <c r="Y2685" s="35" t="s">
        <v>41</v>
      </c>
      <c r="Z2685" s="35"/>
      <c r="AA2685" s="35" t="str">
        <f>HYPERLINK("https://miland.ru/api/getInfo/item/1123735d-fbdc-11ee-a25d-00155d82e908")</f>
        <v>https://miland.ru/api/getInfo/item/1123735d-fbdc-11ee-a25d-00155d82e908</v>
      </c>
      <c r="AB2685" s="35" t="s">
        <v>50</v>
      </c>
      <c r="AC2685" s="35"/>
      <c r="AD2685" s="35"/>
      <c r="AE2685" s="52" t="s">
        <v>9152</v>
      </c>
    </row>
    <row r="2686" spans="2:31" s="1" customFormat="1" ht="96.3" customHeight="1" outlineLevel="5">
      <c r="B2686" s="58">
        <v>2079</v>
      </c>
      <c r="C2686" s="7" t="s">
        <v>9270</v>
      </c>
      <c r="D2686" s="71" t="s">
        <v>9271</v>
      </c>
      <c r="E2686" s="71"/>
      <c r="F2686" s="71"/>
      <c r="G2686" s="71"/>
      <c r="H2686" s="8" t="s">
        <v>9272</v>
      </c>
      <c r="I2686" s="14">
        <v>380</v>
      </c>
      <c r="J2686" s="8"/>
      <c r="K2686" s="6">
        <v>6</v>
      </c>
      <c r="L2686" s="10">
        <v>131.47999999999999</v>
      </c>
      <c r="M2686" s="11"/>
      <c r="N2686" s="8">
        <f t="shared" si="127"/>
        <v>0</v>
      </c>
      <c r="O2686" s="12">
        <f>0.036*M2686</f>
        <v>0</v>
      </c>
      <c r="P2686" s="16">
        <f>0.0001*M2686</f>
        <v>0</v>
      </c>
      <c r="Q2686" s="17" t="s">
        <v>37</v>
      </c>
      <c r="R2686" s="8" t="s">
        <v>9273</v>
      </c>
      <c r="S2686" s="8"/>
      <c r="T2686" s="7" t="str">
        <f>HYPERLINK("https://miland.ru/api/getInfo/image/2742932f-2910-11f1-a291-00155d82e908")</f>
        <v>https://miland.ru/api/getInfo/image/2742932f-2910-11f1-a291-00155d82e908</v>
      </c>
      <c r="U2686" s="7"/>
      <c r="V2686" s="7" t="s">
        <v>9142</v>
      </c>
      <c r="W2686" s="7" t="s">
        <v>9274</v>
      </c>
      <c r="X2686" s="7"/>
      <c r="Y2686" s="7" t="s">
        <v>41</v>
      </c>
      <c r="Z2686" s="7"/>
      <c r="AA2686" s="7" t="str">
        <f>HYPERLINK("https://miland.ru/api/getInfo/item/2742932f-2910-11f1-a291-00155d82e908")</f>
        <v>https://miland.ru/api/getInfo/item/2742932f-2910-11f1-a291-00155d82e908</v>
      </c>
      <c r="AB2686" s="7" t="s">
        <v>50</v>
      </c>
      <c r="AC2686" s="7"/>
      <c r="AD2686" s="7"/>
      <c r="AE2686" s="54"/>
    </row>
    <row r="2687" spans="2:31" s="1" customFormat="1" ht="96.3" customHeight="1" outlineLevel="5">
      <c r="B2687" s="59">
        <v>2080</v>
      </c>
      <c r="C2687" s="35" t="s">
        <v>9275</v>
      </c>
      <c r="D2687" s="73" t="s">
        <v>9276</v>
      </c>
      <c r="E2687" s="73"/>
      <c r="F2687" s="73"/>
      <c r="G2687" s="73"/>
      <c r="H2687" s="36" t="s">
        <v>9277</v>
      </c>
      <c r="I2687" s="40">
        <v>369</v>
      </c>
      <c r="J2687" s="36"/>
      <c r="K2687" s="34">
        <v>7</v>
      </c>
      <c r="L2687" s="41">
        <v>48</v>
      </c>
      <c r="M2687" s="11"/>
      <c r="N2687" s="36">
        <f t="shared" si="127"/>
        <v>0</v>
      </c>
      <c r="O2687" s="42">
        <f>0.038*M2687</f>
        <v>0</v>
      </c>
      <c r="P2687" s="43">
        <f>0.00011*M2687</f>
        <v>0</v>
      </c>
      <c r="Q2687" s="50"/>
      <c r="R2687" s="36" t="s">
        <v>9278</v>
      </c>
      <c r="S2687" s="36" t="s">
        <v>435</v>
      </c>
      <c r="T2687" s="35" t="str">
        <f>HYPERLINK("https://miland.ru/api/getInfo/image/58bab797-fbdc-11ee-a25d-00155d82e908")</f>
        <v>https://miland.ru/api/getInfo/image/58bab797-fbdc-11ee-a25d-00155d82e908</v>
      </c>
      <c r="U2687" s="35"/>
      <c r="V2687" s="35" t="s">
        <v>9142</v>
      </c>
      <c r="W2687" s="35" t="s">
        <v>9143</v>
      </c>
      <c r="X2687" s="35"/>
      <c r="Y2687" s="35" t="s">
        <v>41</v>
      </c>
      <c r="Z2687" s="35"/>
      <c r="AA2687" s="35" t="str">
        <f>HYPERLINK("https://miland.ru/api/getInfo/item/58bab797-fbdc-11ee-a25d-00155d82e908")</f>
        <v>https://miland.ru/api/getInfo/item/58bab797-fbdc-11ee-a25d-00155d82e908</v>
      </c>
      <c r="AB2687" s="35" t="s">
        <v>50</v>
      </c>
      <c r="AC2687" s="35"/>
      <c r="AD2687" s="35"/>
      <c r="AE2687" s="52" t="s">
        <v>1251</v>
      </c>
    </row>
    <row r="2688" spans="2:31" s="1" customFormat="1" ht="96.3" customHeight="1" outlineLevel="5">
      <c r="B2688" s="58">
        <v>2081</v>
      </c>
      <c r="C2688" s="7" t="s">
        <v>9279</v>
      </c>
      <c r="D2688" s="71" t="s">
        <v>9280</v>
      </c>
      <c r="E2688" s="71"/>
      <c r="F2688" s="71"/>
      <c r="G2688" s="71"/>
      <c r="H2688" s="8" t="s">
        <v>9281</v>
      </c>
      <c r="I2688" s="14">
        <v>382</v>
      </c>
      <c r="J2688" s="8"/>
      <c r="K2688" s="6">
        <v>6</v>
      </c>
      <c r="L2688" s="10">
        <v>131.47999999999999</v>
      </c>
      <c r="M2688" s="11"/>
      <c r="N2688" s="8">
        <f t="shared" si="127"/>
        <v>0</v>
      </c>
      <c r="O2688" s="12">
        <f>0.037*M2688</f>
        <v>0</v>
      </c>
      <c r="P2688" s="13">
        <f>0.00024*M2688</f>
        <v>0</v>
      </c>
      <c r="Q2688" s="17" t="s">
        <v>37</v>
      </c>
      <c r="R2688" s="8" t="s">
        <v>9282</v>
      </c>
      <c r="S2688" s="8"/>
      <c r="T2688" s="7" t="str">
        <f>HYPERLINK("https://miland.ru/api/getInfo/image/fac3bc8c-290f-11f1-a291-00155d82e908")</f>
        <v>https://miland.ru/api/getInfo/image/fac3bc8c-290f-11f1-a291-00155d82e908</v>
      </c>
      <c r="U2688" s="7"/>
      <c r="V2688" s="7" t="s">
        <v>9142</v>
      </c>
      <c r="W2688" s="7" t="s">
        <v>9274</v>
      </c>
      <c r="X2688" s="7"/>
      <c r="Y2688" s="7" t="s">
        <v>41</v>
      </c>
      <c r="Z2688" s="7"/>
      <c r="AA2688" s="7" t="str">
        <f>HYPERLINK("https://miland.ru/api/getInfo/item/fac3bc8c-290f-11f1-a291-00155d82e908")</f>
        <v>https://miland.ru/api/getInfo/item/fac3bc8c-290f-11f1-a291-00155d82e908</v>
      </c>
      <c r="AB2688" s="7" t="s">
        <v>50</v>
      </c>
      <c r="AC2688" s="7"/>
      <c r="AD2688" s="7"/>
      <c r="AE2688" s="54"/>
    </row>
    <row r="2689" spans="2:31" s="1" customFormat="1" ht="96.3" customHeight="1" outlineLevel="5">
      <c r="B2689" s="58">
        <v>2082</v>
      </c>
      <c r="C2689" s="7" t="s">
        <v>9283</v>
      </c>
      <c r="D2689" s="71" t="s">
        <v>9284</v>
      </c>
      <c r="E2689" s="71"/>
      <c r="F2689" s="71"/>
      <c r="G2689" s="71"/>
      <c r="H2689" s="8" t="s">
        <v>9285</v>
      </c>
      <c r="I2689" s="14">
        <v>224</v>
      </c>
      <c r="J2689" s="8"/>
      <c r="K2689" s="6">
        <v>6</v>
      </c>
      <c r="L2689" s="10">
        <v>131.47999999999999</v>
      </c>
      <c r="M2689" s="11"/>
      <c r="N2689" s="8">
        <f t="shared" si="127"/>
        <v>0</v>
      </c>
      <c r="O2689" s="12">
        <f>0.037*M2689</f>
        <v>0</v>
      </c>
      <c r="P2689" s="13">
        <f>0.00017*M2689</f>
        <v>0</v>
      </c>
      <c r="Q2689" s="17" t="s">
        <v>37</v>
      </c>
      <c r="R2689" s="8" t="s">
        <v>9286</v>
      </c>
      <c r="S2689" s="8"/>
      <c r="T2689" s="7" t="str">
        <f>HYPERLINK("https://miland.ru/api/getInfo/image/52770f96-2910-11f1-a291-00155d82e908")</f>
        <v>https://miland.ru/api/getInfo/image/52770f96-2910-11f1-a291-00155d82e908</v>
      </c>
      <c r="U2689" s="7"/>
      <c r="V2689" s="7" t="s">
        <v>9142</v>
      </c>
      <c r="W2689" s="7" t="s">
        <v>9274</v>
      </c>
      <c r="X2689" s="7"/>
      <c r="Y2689" s="7" t="s">
        <v>41</v>
      </c>
      <c r="Z2689" s="7"/>
      <c r="AA2689" s="7" t="str">
        <f>HYPERLINK("https://miland.ru/api/getInfo/item/52770f96-2910-11f1-a291-00155d82e908")</f>
        <v>https://miland.ru/api/getInfo/item/52770f96-2910-11f1-a291-00155d82e908</v>
      </c>
      <c r="AB2689" s="7" t="s">
        <v>50</v>
      </c>
      <c r="AC2689" s="7"/>
      <c r="AD2689" s="7"/>
      <c r="AE2689" s="54"/>
    </row>
    <row r="2690" spans="2:31" s="1" customFormat="1" ht="96.3" customHeight="1" outlineLevel="5">
      <c r="B2690" s="58">
        <v>2083</v>
      </c>
      <c r="C2690" s="7" t="s">
        <v>9287</v>
      </c>
      <c r="D2690" s="71" t="s">
        <v>9288</v>
      </c>
      <c r="E2690" s="71"/>
      <c r="F2690" s="71"/>
      <c r="G2690" s="71"/>
      <c r="H2690" s="8" t="s">
        <v>9289</v>
      </c>
      <c r="I2690" s="14">
        <v>282</v>
      </c>
      <c r="J2690" s="8"/>
      <c r="K2690" s="6">
        <v>6</v>
      </c>
      <c r="L2690" s="10">
        <v>131.47999999999999</v>
      </c>
      <c r="M2690" s="11"/>
      <c r="N2690" s="8">
        <f t="shared" si="127"/>
        <v>0</v>
      </c>
      <c r="O2690" s="12">
        <f>0.038*M2690</f>
        <v>0</v>
      </c>
      <c r="P2690" s="13">
        <f>0.00017*M2690</f>
        <v>0</v>
      </c>
      <c r="Q2690" s="17" t="s">
        <v>37</v>
      </c>
      <c r="R2690" s="8" t="s">
        <v>9290</v>
      </c>
      <c r="S2690" s="8"/>
      <c r="T2690" s="7" t="str">
        <f>HYPERLINK("https://miland.ru/api/getInfo/image/895494fd-290f-11f1-a291-00155d82e908")</f>
        <v>https://miland.ru/api/getInfo/image/895494fd-290f-11f1-a291-00155d82e908</v>
      </c>
      <c r="U2690" s="7"/>
      <c r="V2690" s="7" t="s">
        <v>9142</v>
      </c>
      <c r="W2690" s="7" t="s">
        <v>9274</v>
      </c>
      <c r="X2690" s="7"/>
      <c r="Y2690" s="7" t="s">
        <v>41</v>
      </c>
      <c r="Z2690" s="7"/>
      <c r="AA2690" s="7" t="str">
        <f>HYPERLINK("https://miland.ru/api/getInfo/item/895494fd-290f-11f1-a291-00155d82e908")</f>
        <v>https://miland.ru/api/getInfo/item/895494fd-290f-11f1-a291-00155d82e908</v>
      </c>
      <c r="AB2690" s="7" t="s">
        <v>50</v>
      </c>
      <c r="AC2690" s="7"/>
      <c r="AD2690" s="7"/>
      <c r="AE2690" s="54"/>
    </row>
    <row r="2691" spans="2:31" s="1" customFormat="1" ht="96.3" customHeight="1" outlineLevel="5">
      <c r="B2691" s="57">
        <v>2084</v>
      </c>
      <c r="C2691" s="21" t="s">
        <v>9291</v>
      </c>
      <c r="D2691" s="72" t="s">
        <v>9292</v>
      </c>
      <c r="E2691" s="72"/>
      <c r="F2691" s="72"/>
      <c r="G2691" s="72"/>
      <c r="H2691" s="22" t="s">
        <v>9293</v>
      </c>
      <c r="I2691" s="27">
        <v>40</v>
      </c>
      <c r="J2691" s="22"/>
      <c r="K2691" s="20">
        <v>6</v>
      </c>
      <c r="L2691" s="24">
        <v>131.47999999999999</v>
      </c>
      <c r="M2691" s="11"/>
      <c r="N2691" s="22">
        <f t="shared" si="127"/>
        <v>0</v>
      </c>
      <c r="O2691" s="25">
        <f>0.038*M2691</f>
        <v>0</v>
      </c>
      <c r="P2691" s="26">
        <f>0.00017*M2691</f>
        <v>0</v>
      </c>
      <c r="Q2691" s="30"/>
      <c r="R2691" s="22" t="s">
        <v>9294</v>
      </c>
      <c r="S2691" s="22"/>
      <c r="T2691" s="21" t="str">
        <f>HYPERLINK("https://miland.ru/api/getInfo/image/fbcb5714-3afd-11f0-a27c-00155d82e908")</f>
        <v>https://miland.ru/api/getInfo/image/fbcb5714-3afd-11f0-a27c-00155d82e908</v>
      </c>
      <c r="U2691" s="21"/>
      <c r="V2691" s="21" t="s">
        <v>9142</v>
      </c>
      <c r="W2691" s="21" t="s">
        <v>9143</v>
      </c>
      <c r="X2691" s="21"/>
      <c r="Y2691" s="21" t="s">
        <v>41</v>
      </c>
      <c r="Z2691" s="21"/>
      <c r="AA2691" s="21" t="str">
        <f>HYPERLINK("https://miland.ru/api/getInfo/item/fbcb5714-3afd-11f0-a27c-00155d82e908")</f>
        <v>https://miland.ru/api/getInfo/item/fbcb5714-3afd-11f0-a27c-00155d82e908</v>
      </c>
      <c r="AB2691" s="21" t="s">
        <v>50</v>
      </c>
      <c r="AC2691" s="21"/>
      <c r="AD2691" s="21"/>
    </row>
    <row r="2692" spans="2:31" s="1" customFormat="1" ht="96.3" customHeight="1" outlineLevel="5">
      <c r="B2692" s="58">
        <v>2085</v>
      </c>
      <c r="C2692" s="7" t="s">
        <v>9295</v>
      </c>
      <c r="D2692" s="71" t="s">
        <v>9296</v>
      </c>
      <c r="E2692" s="71"/>
      <c r="F2692" s="71"/>
      <c r="G2692" s="71"/>
      <c r="H2692" s="8" t="s">
        <v>9297</v>
      </c>
      <c r="I2692" s="14">
        <v>316</v>
      </c>
      <c r="J2692" s="8"/>
      <c r="K2692" s="6">
        <v>6</v>
      </c>
      <c r="L2692" s="10">
        <v>131.47999999999999</v>
      </c>
      <c r="M2692" s="11"/>
      <c r="N2692" s="8">
        <f t="shared" si="127"/>
        <v>0</v>
      </c>
      <c r="O2692" s="12">
        <f>0.038*M2692</f>
        <v>0</v>
      </c>
      <c r="P2692" s="13">
        <f>0.00014*M2692</f>
        <v>0</v>
      </c>
      <c r="Q2692" s="17" t="s">
        <v>37</v>
      </c>
      <c r="R2692" s="8" t="s">
        <v>9298</v>
      </c>
      <c r="S2692" s="8"/>
      <c r="T2692" s="7" t="str">
        <f>HYPERLINK("https://miland.ru/api/getInfo/image/40770f32-2910-11f1-a291-00155d82e908")</f>
        <v>https://miland.ru/api/getInfo/image/40770f32-2910-11f1-a291-00155d82e908</v>
      </c>
      <c r="U2692" s="7"/>
      <c r="V2692" s="7" t="s">
        <v>9142</v>
      </c>
      <c r="W2692" s="7" t="s">
        <v>9274</v>
      </c>
      <c r="X2692" s="7"/>
      <c r="Y2692" s="7" t="s">
        <v>41</v>
      </c>
      <c r="Z2692" s="7"/>
      <c r="AA2692" s="7" t="str">
        <f>HYPERLINK("https://miland.ru/api/getInfo/item/40770f32-2910-11f1-a291-00155d82e908")</f>
        <v>https://miland.ru/api/getInfo/item/40770f32-2910-11f1-a291-00155d82e908</v>
      </c>
      <c r="AB2692" s="7" t="s">
        <v>50</v>
      </c>
      <c r="AC2692" s="7"/>
      <c r="AD2692" s="7"/>
      <c r="AE2692" s="54"/>
    </row>
    <row r="2693" spans="2:31" s="1" customFormat="1" ht="96.3" customHeight="1" outlineLevel="5">
      <c r="B2693" s="57">
        <v>2086</v>
      </c>
      <c r="C2693" s="21" t="s">
        <v>9299</v>
      </c>
      <c r="D2693" s="72" t="s">
        <v>9300</v>
      </c>
      <c r="E2693" s="72"/>
      <c r="F2693" s="72"/>
      <c r="G2693" s="72"/>
      <c r="H2693" s="22" t="s">
        <v>9301</v>
      </c>
      <c r="I2693" s="27">
        <v>7</v>
      </c>
      <c r="J2693" s="22"/>
      <c r="K2693" s="20">
        <v>6</v>
      </c>
      <c r="L2693" s="24">
        <v>131.47999999999999</v>
      </c>
      <c r="M2693" s="11"/>
      <c r="N2693" s="22">
        <f t="shared" si="127"/>
        <v>0</v>
      </c>
      <c r="O2693" s="25">
        <f>0.041*M2693</f>
        <v>0</v>
      </c>
      <c r="P2693" s="26">
        <f>0.00014*M2693</f>
        <v>0</v>
      </c>
      <c r="Q2693" s="30"/>
      <c r="R2693" s="22" t="s">
        <v>9302</v>
      </c>
      <c r="S2693" s="22"/>
      <c r="T2693" s="21" t="str">
        <f>HYPERLINK("https://miland.ru/api/getInfo/image/d7e94906-3afe-11f0-a27c-00155d82e908")</f>
        <v>https://miland.ru/api/getInfo/image/d7e94906-3afe-11f0-a27c-00155d82e908</v>
      </c>
      <c r="U2693" s="21"/>
      <c r="V2693" s="21" t="s">
        <v>9142</v>
      </c>
      <c r="W2693" s="21" t="s">
        <v>9143</v>
      </c>
      <c r="X2693" s="21"/>
      <c r="Y2693" s="21" t="s">
        <v>41</v>
      </c>
      <c r="Z2693" s="21"/>
      <c r="AA2693" s="21" t="str">
        <f>HYPERLINK("https://miland.ru/api/getInfo/item/d7e94906-3afe-11f0-a27c-00155d82e908")</f>
        <v>https://miland.ru/api/getInfo/item/d7e94906-3afe-11f0-a27c-00155d82e908</v>
      </c>
      <c r="AB2693" s="21" t="s">
        <v>50</v>
      </c>
      <c r="AC2693" s="21"/>
      <c r="AD2693" s="21"/>
    </row>
    <row r="2694" spans="2:31" s="1" customFormat="1" ht="96.3" customHeight="1" outlineLevel="5">
      <c r="B2694" s="59">
        <v>2087</v>
      </c>
      <c r="C2694" s="35" t="s">
        <v>9303</v>
      </c>
      <c r="D2694" s="73" t="s">
        <v>9304</v>
      </c>
      <c r="E2694" s="73"/>
      <c r="F2694" s="73"/>
      <c r="G2694" s="73"/>
      <c r="H2694" s="36" t="s">
        <v>9305</v>
      </c>
      <c r="I2694" s="40">
        <v>152</v>
      </c>
      <c r="J2694" s="36"/>
      <c r="K2694" s="34">
        <v>6</v>
      </c>
      <c r="L2694" s="41">
        <v>49.466666666666669</v>
      </c>
      <c r="M2694" s="11"/>
      <c r="N2694" s="36">
        <f t="shared" si="127"/>
        <v>0</v>
      </c>
      <c r="O2694" s="42">
        <f>0.035*M2694</f>
        <v>0</v>
      </c>
      <c r="P2694" s="43">
        <f>0.00006*M2694</f>
        <v>0</v>
      </c>
      <c r="Q2694" s="50"/>
      <c r="R2694" s="36" t="s">
        <v>9306</v>
      </c>
      <c r="S2694" s="36" t="s">
        <v>435</v>
      </c>
      <c r="T2694" s="35" t="str">
        <f>HYPERLINK("https://miland.ru/api/getInfo/image/2f26bff7-3afd-11f0-a27c-00155d82e908")</f>
        <v>https://miland.ru/api/getInfo/image/2f26bff7-3afd-11f0-a27c-00155d82e908</v>
      </c>
      <c r="U2694" s="35"/>
      <c r="V2694" s="35" t="s">
        <v>9142</v>
      </c>
      <c r="W2694" s="35" t="s">
        <v>9143</v>
      </c>
      <c r="X2694" s="35"/>
      <c r="Y2694" s="35" t="s">
        <v>41</v>
      </c>
      <c r="Z2694" s="35"/>
      <c r="AA2694" s="35" t="str">
        <f>HYPERLINK("https://miland.ru/api/getInfo/item/2f26bff7-3afd-11f0-a27c-00155d82e908")</f>
        <v>https://miland.ru/api/getInfo/item/2f26bff7-3afd-11f0-a27c-00155d82e908</v>
      </c>
      <c r="AB2694" s="35" t="s">
        <v>50</v>
      </c>
      <c r="AC2694" s="35"/>
      <c r="AD2694" s="35"/>
      <c r="AE2694" s="52" t="s">
        <v>9152</v>
      </c>
    </row>
    <row r="2695" spans="2:31" s="1" customFormat="1" ht="96.3" customHeight="1" outlineLevel="5">
      <c r="B2695" s="59">
        <v>2088</v>
      </c>
      <c r="C2695" s="35" t="s">
        <v>9307</v>
      </c>
      <c r="D2695" s="73" t="s">
        <v>9308</v>
      </c>
      <c r="E2695" s="73"/>
      <c r="F2695" s="73"/>
      <c r="G2695" s="73"/>
      <c r="H2695" s="36" t="s">
        <v>9309</v>
      </c>
      <c r="I2695" s="40">
        <v>306</v>
      </c>
      <c r="J2695" s="36"/>
      <c r="K2695" s="34">
        <v>7</v>
      </c>
      <c r="L2695" s="41">
        <v>48</v>
      </c>
      <c r="M2695" s="11"/>
      <c r="N2695" s="36">
        <f t="shared" si="127"/>
        <v>0</v>
      </c>
      <c r="O2695" s="42">
        <f>0.038*M2695</f>
        <v>0</v>
      </c>
      <c r="P2695" s="43">
        <f>0.00011*M2695</f>
        <v>0</v>
      </c>
      <c r="Q2695" s="50"/>
      <c r="R2695" s="36" t="s">
        <v>9310</v>
      </c>
      <c r="S2695" s="36" t="s">
        <v>435</v>
      </c>
      <c r="T2695" s="35" t="str">
        <f>HYPERLINK("https://miland.ru/api/getInfo/image/9088d999-fbdc-11ee-a25d-00155d82e908")</f>
        <v>https://miland.ru/api/getInfo/image/9088d999-fbdc-11ee-a25d-00155d82e908</v>
      </c>
      <c r="U2695" s="35"/>
      <c r="V2695" s="35" t="s">
        <v>9142</v>
      </c>
      <c r="W2695" s="35" t="s">
        <v>9143</v>
      </c>
      <c r="X2695" s="35"/>
      <c r="Y2695" s="35" t="s">
        <v>41</v>
      </c>
      <c r="Z2695" s="35"/>
      <c r="AA2695" s="35" t="str">
        <f>HYPERLINK("https://miland.ru/api/getInfo/item/9088d999-fbdc-11ee-a25d-00155d82e908")</f>
        <v>https://miland.ru/api/getInfo/item/9088d999-fbdc-11ee-a25d-00155d82e908</v>
      </c>
      <c r="AB2695" s="35" t="s">
        <v>50</v>
      </c>
      <c r="AC2695" s="35"/>
      <c r="AD2695" s="35"/>
      <c r="AE2695" s="52" t="s">
        <v>1251</v>
      </c>
    </row>
    <row r="2696" spans="2:31" s="1" customFormat="1" ht="96.3" customHeight="1" outlineLevel="5">
      <c r="B2696" s="59">
        <v>2089</v>
      </c>
      <c r="C2696" s="35" t="s">
        <v>9311</v>
      </c>
      <c r="D2696" s="73" t="s">
        <v>9312</v>
      </c>
      <c r="E2696" s="73"/>
      <c r="F2696" s="73"/>
      <c r="G2696" s="73"/>
      <c r="H2696" s="36" t="s">
        <v>9313</v>
      </c>
      <c r="I2696" s="40">
        <v>233</v>
      </c>
      <c r="J2696" s="36"/>
      <c r="K2696" s="34">
        <v>6</v>
      </c>
      <c r="L2696" s="41">
        <v>49.466666666666669</v>
      </c>
      <c r="M2696" s="11"/>
      <c r="N2696" s="36">
        <f t="shared" si="127"/>
        <v>0</v>
      </c>
      <c r="O2696" s="42">
        <f>0.035*M2696</f>
        <v>0</v>
      </c>
      <c r="P2696" s="43">
        <f>0.00006*M2696</f>
        <v>0</v>
      </c>
      <c r="Q2696" s="50"/>
      <c r="R2696" s="36" t="s">
        <v>9314</v>
      </c>
      <c r="S2696" s="36" t="s">
        <v>435</v>
      </c>
      <c r="T2696" s="35" t="str">
        <f>HYPERLINK("https://miland.ru/api/getInfo/image/c902d245-3af9-11f0-a27c-00155d82e908")</f>
        <v>https://miland.ru/api/getInfo/image/c902d245-3af9-11f0-a27c-00155d82e908</v>
      </c>
      <c r="U2696" s="35"/>
      <c r="V2696" s="35" t="s">
        <v>9142</v>
      </c>
      <c r="W2696" s="35" t="s">
        <v>9143</v>
      </c>
      <c r="X2696" s="35"/>
      <c r="Y2696" s="35" t="s">
        <v>41</v>
      </c>
      <c r="Z2696" s="35"/>
      <c r="AA2696" s="35" t="str">
        <f>HYPERLINK("https://miland.ru/api/getInfo/item/c902d245-3af9-11f0-a27c-00155d82e908")</f>
        <v>https://miland.ru/api/getInfo/item/c902d245-3af9-11f0-a27c-00155d82e908</v>
      </c>
      <c r="AB2696" s="35" t="s">
        <v>50</v>
      </c>
      <c r="AC2696" s="35"/>
      <c r="AD2696" s="35"/>
      <c r="AE2696" s="52" t="s">
        <v>9152</v>
      </c>
    </row>
    <row r="2697" spans="2:31" s="1" customFormat="1" ht="96.3" customHeight="1" outlineLevel="5">
      <c r="B2697" s="57">
        <v>2090</v>
      </c>
      <c r="C2697" s="21" t="s">
        <v>9315</v>
      </c>
      <c r="D2697" s="72" t="s">
        <v>9316</v>
      </c>
      <c r="E2697" s="72"/>
      <c r="F2697" s="72"/>
      <c r="G2697" s="72"/>
      <c r="H2697" s="22" t="s">
        <v>9317</v>
      </c>
      <c r="I2697" s="27">
        <v>18</v>
      </c>
      <c r="J2697" s="22"/>
      <c r="K2697" s="20">
        <v>6</v>
      </c>
      <c r="L2697" s="24">
        <v>131.47999999999999</v>
      </c>
      <c r="M2697" s="11"/>
      <c r="N2697" s="22">
        <f t="shared" si="127"/>
        <v>0</v>
      </c>
      <c r="O2697" s="25">
        <f>0.034*M2697</f>
        <v>0</v>
      </c>
      <c r="P2697" s="26">
        <f>0.00007*M2697</f>
        <v>0</v>
      </c>
      <c r="Q2697" s="30"/>
      <c r="R2697" s="22" t="s">
        <v>9318</v>
      </c>
      <c r="S2697" s="22"/>
      <c r="T2697" s="21" t="str">
        <f>HYPERLINK("https://miland.ru/api/getInfo/image/6c89d3e1-3afb-11f0-a27c-00155d82e908")</f>
        <v>https://miland.ru/api/getInfo/image/6c89d3e1-3afb-11f0-a27c-00155d82e908</v>
      </c>
      <c r="U2697" s="21"/>
      <c r="V2697" s="21" t="s">
        <v>9142</v>
      </c>
      <c r="W2697" s="21" t="s">
        <v>9143</v>
      </c>
      <c r="X2697" s="21"/>
      <c r="Y2697" s="21" t="s">
        <v>41</v>
      </c>
      <c r="Z2697" s="21"/>
      <c r="AA2697" s="21" t="str">
        <f>HYPERLINK("https://miland.ru/api/getInfo/item/6c89d3e1-3afb-11f0-a27c-00155d82e908")</f>
        <v>https://miland.ru/api/getInfo/item/6c89d3e1-3afb-11f0-a27c-00155d82e908</v>
      </c>
      <c r="AB2697" s="21" t="s">
        <v>50</v>
      </c>
      <c r="AC2697" s="21"/>
      <c r="AD2697" s="21"/>
    </row>
    <row r="2698" spans="2:31" s="1" customFormat="1" ht="96.3" customHeight="1" outlineLevel="5">
      <c r="B2698" s="59">
        <v>2091</v>
      </c>
      <c r="C2698" s="35" t="s">
        <v>9319</v>
      </c>
      <c r="D2698" s="73" t="s">
        <v>9320</v>
      </c>
      <c r="E2698" s="73"/>
      <c r="F2698" s="73"/>
      <c r="G2698" s="73"/>
      <c r="H2698" s="36" t="s">
        <v>9321</v>
      </c>
      <c r="I2698" s="56" t="s">
        <v>36</v>
      </c>
      <c r="J2698" s="36"/>
      <c r="K2698" s="34">
        <v>7</v>
      </c>
      <c r="L2698" s="41">
        <v>48</v>
      </c>
      <c r="M2698" s="11"/>
      <c r="N2698" s="36">
        <f t="shared" si="127"/>
        <v>0</v>
      </c>
      <c r="O2698" s="42">
        <f>0.038*M2698</f>
        <v>0</v>
      </c>
      <c r="P2698" s="43">
        <f>0.00011*M2698</f>
        <v>0</v>
      </c>
      <c r="Q2698" s="50"/>
      <c r="R2698" s="36" t="s">
        <v>9322</v>
      </c>
      <c r="S2698" s="36" t="s">
        <v>435</v>
      </c>
      <c r="T2698" s="35" t="str">
        <f>HYPERLINK("https://miland.ru/api/getInfo/image/0b62d876-fbdd-11ee-a25d-00155d82e908")</f>
        <v>https://miland.ru/api/getInfo/image/0b62d876-fbdd-11ee-a25d-00155d82e908</v>
      </c>
      <c r="U2698" s="35"/>
      <c r="V2698" s="35" t="s">
        <v>9142</v>
      </c>
      <c r="W2698" s="35" t="s">
        <v>9143</v>
      </c>
      <c r="X2698" s="35"/>
      <c r="Y2698" s="35" t="s">
        <v>41</v>
      </c>
      <c r="Z2698" s="35"/>
      <c r="AA2698" s="35" t="str">
        <f>HYPERLINK("https://miland.ru/api/getInfo/item/0b62d876-fbdd-11ee-a25d-00155d82e908")</f>
        <v>https://miland.ru/api/getInfo/item/0b62d876-fbdd-11ee-a25d-00155d82e908</v>
      </c>
      <c r="AB2698" s="35" t="s">
        <v>50</v>
      </c>
      <c r="AC2698" s="35"/>
      <c r="AD2698" s="35"/>
      <c r="AE2698" s="52" t="s">
        <v>1251</v>
      </c>
    </row>
    <row r="2699" spans="2:31" s="1" customFormat="1" ht="96.3" customHeight="1" outlineLevel="5">
      <c r="B2699" s="57">
        <v>2092</v>
      </c>
      <c r="C2699" s="21" t="s">
        <v>9323</v>
      </c>
      <c r="D2699" s="72" t="s">
        <v>9324</v>
      </c>
      <c r="E2699" s="72"/>
      <c r="F2699" s="72"/>
      <c r="G2699" s="72"/>
      <c r="H2699" s="22" t="s">
        <v>9325</v>
      </c>
      <c r="I2699" s="27">
        <v>137</v>
      </c>
      <c r="J2699" s="22"/>
      <c r="K2699" s="20">
        <v>6</v>
      </c>
      <c r="L2699" s="24">
        <v>131.47999999999999</v>
      </c>
      <c r="M2699" s="11"/>
      <c r="N2699" s="22">
        <f t="shared" si="127"/>
        <v>0</v>
      </c>
      <c r="O2699" s="25">
        <f>0.034*M2699</f>
        <v>0</v>
      </c>
      <c r="P2699" s="26">
        <f>0.00012*M2699</f>
        <v>0</v>
      </c>
      <c r="Q2699" s="30"/>
      <c r="R2699" s="22" t="s">
        <v>9326</v>
      </c>
      <c r="S2699" s="22"/>
      <c r="T2699" s="21" t="str">
        <f>HYPERLINK("https://miland.ru/api/getInfo/image/1ded4672-1a46-11ee-a23b-00155d82e902")</f>
        <v>https://miland.ru/api/getInfo/image/1ded4672-1a46-11ee-a23b-00155d82e902</v>
      </c>
      <c r="U2699" s="21"/>
      <c r="V2699" s="21" t="s">
        <v>9142</v>
      </c>
      <c r="W2699" s="21" t="s">
        <v>9143</v>
      </c>
      <c r="X2699" s="21"/>
      <c r="Y2699" s="21" t="s">
        <v>41</v>
      </c>
      <c r="Z2699" s="21"/>
      <c r="AA2699" s="21" t="str">
        <f>HYPERLINK("https://miland.ru/api/getInfo/item/1ded4672-1a46-11ee-a23b-00155d82e902")</f>
        <v>https://miland.ru/api/getInfo/item/1ded4672-1a46-11ee-a23b-00155d82e902</v>
      </c>
      <c r="AB2699" s="21" t="s">
        <v>50</v>
      </c>
      <c r="AC2699" s="21"/>
      <c r="AD2699" s="21"/>
    </row>
    <row r="2700" spans="2:31" s="1" customFormat="1" ht="96.3" customHeight="1" outlineLevel="5">
      <c r="B2700" s="59">
        <v>2093</v>
      </c>
      <c r="C2700" s="35" t="s">
        <v>9327</v>
      </c>
      <c r="D2700" s="73" t="s">
        <v>9328</v>
      </c>
      <c r="E2700" s="73"/>
      <c r="F2700" s="73"/>
      <c r="G2700" s="73"/>
      <c r="H2700" s="36" t="s">
        <v>9329</v>
      </c>
      <c r="I2700" s="40">
        <v>103</v>
      </c>
      <c r="J2700" s="36"/>
      <c r="K2700" s="34">
        <v>6</v>
      </c>
      <c r="L2700" s="41">
        <v>49.466666666666669</v>
      </c>
      <c r="M2700" s="11"/>
      <c r="N2700" s="36">
        <f t="shared" si="127"/>
        <v>0</v>
      </c>
      <c r="O2700" s="42">
        <f>0.036*M2700</f>
        <v>0</v>
      </c>
      <c r="P2700" s="43">
        <f>0.00011*M2700</f>
        <v>0</v>
      </c>
      <c r="Q2700" s="50"/>
      <c r="R2700" s="36" t="s">
        <v>9330</v>
      </c>
      <c r="S2700" s="36"/>
      <c r="T2700" s="35" t="str">
        <f>HYPERLINK("https://miland.ru/api/getInfo/image/de32b3e2-fbdc-11ee-a25d-00155d82e908")</f>
        <v>https://miland.ru/api/getInfo/image/de32b3e2-fbdc-11ee-a25d-00155d82e908</v>
      </c>
      <c r="U2700" s="35"/>
      <c r="V2700" s="35" t="s">
        <v>9142</v>
      </c>
      <c r="W2700" s="35" t="s">
        <v>9143</v>
      </c>
      <c r="X2700" s="35"/>
      <c r="Y2700" s="35" t="s">
        <v>41</v>
      </c>
      <c r="Z2700" s="35"/>
      <c r="AA2700" s="35" t="str">
        <f>HYPERLINK("https://miland.ru/api/getInfo/item/de32b3e2-fbdc-11ee-a25d-00155d82e908")</f>
        <v>https://miland.ru/api/getInfo/item/de32b3e2-fbdc-11ee-a25d-00155d82e908</v>
      </c>
      <c r="AB2700" s="35" t="s">
        <v>50</v>
      </c>
      <c r="AC2700" s="35"/>
      <c r="AD2700" s="35"/>
      <c r="AE2700" s="52" t="s">
        <v>9152</v>
      </c>
    </row>
    <row r="2701" spans="2:31" s="1" customFormat="1" ht="96.3" customHeight="1" outlineLevel="5">
      <c r="B2701" s="57">
        <v>2094</v>
      </c>
      <c r="C2701" s="21" t="s">
        <v>9331</v>
      </c>
      <c r="D2701" s="72" t="s">
        <v>9332</v>
      </c>
      <c r="E2701" s="72"/>
      <c r="F2701" s="72"/>
      <c r="G2701" s="72"/>
      <c r="H2701" s="22" t="s">
        <v>9333</v>
      </c>
      <c r="I2701" s="27">
        <v>41</v>
      </c>
      <c r="J2701" s="22"/>
      <c r="K2701" s="20">
        <v>6</v>
      </c>
      <c r="L2701" s="24">
        <v>131.47999999999999</v>
      </c>
      <c r="M2701" s="11"/>
      <c r="N2701" s="22">
        <f t="shared" si="127"/>
        <v>0</v>
      </c>
      <c r="O2701" s="25">
        <f>0.044*M2701</f>
        <v>0</v>
      </c>
      <c r="P2701" s="26">
        <f>0.00012*M2701</f>
        <v>0</v>
      </c>
      <c r="Q2701" s="30"/>
      <c r="R2701" s="22" t="s">
        <v>9334</v>
      </c>
      <c r="S2701" s="22"/>
      <c r="T2701" s="21" t="str">
        <f>HYPERLINK("https://miland.ru/api/getInfo/image/c53381c9-fbdc-11ee-a25d-00155d82e908")</f>
        <v>https://miland.ru/api/getInfo/image/c53381c9-fbdc-11ee-a25d-00155d82e908</v>
      </c>
      <c r="U2701" s="21"/>
      <c r="V2701" s="21" t="s">
        <v>9142</v>
      </c>
      <c r="W2701" s="21" t="s">
        <v>9143</v>
      </c>
      <c r="X2701" s="21"/>
      <c r="Y2701" s="21" t="s">
        <v>41</v>
      </c>
      <c r="Z2701" s="21"/>
      <c r="AA2701" s="21" t="str">
        <f>HYPERLINK("https://miland.ru/api/getInfo/item/c53381c9-fbdc-11ee-a25d-00155d82e908")</f>
        <v>https://miland.ru/api/getInfo/item/c53381c9-fbdc-11ee-a25d-00155d82e908</v>
      </c>
      <c r="AB2701" s="21" t="s">
        <v>50</v>
      </c>
      <c r="AC2701" s="21"/>
      <c r="AD2701" s="21"/>
    </row>
    <row r="2702" spans="2:31" ht="12" customHeight="1" outlineLevel="4">
      <c r="B2702" s="70" t="s">
        <v>9335</v>
      </c>
      <c r="C2702" s="70"/>
      <c r="D2702" s="70"/>
      <c r="E2702" s="70"/>
      <c r="F2702" s="70"/>
      <c r="G2702" s="70"/>
    </row>
    <row r="2703" spans="2:31" s="1" customFormat="1" ht="96.3" customHeight="1" outlineLevel="5">
      <c r="B2703" s="57">
        <v>2095</v>
      </c>
      <c r="C2703" s="21" t="s">
        <v>9336</v>
      </c>
      <c r="D2703" s="72" t="s">
        <v>9337</v>
      </c>
      <c r="E2703" s="72"/>
      <c r="F2703" s="72"/>
      <c r="G2703" s="72"/>
      <c r="H2703" s="22" t="s">
        <v>9338</v>
      </c>
      <c r="I2703" s="27">
        <v>210</v>
      </c>
      <c r="J2703" s="22"/>
      <c r="K2703" s="20">
        <v>10</v>
      </c>
      <c r="L2703" s="24">
        <v>75.2</v>
      </c>
      <c r="M2703" s="11"/>
      <c r="N2703" s="22">
        <f t="shared" ref="N2703:N2710" si="128">L2703*M2703</f>
        <v>0</v>
      </c>
      <c r="O2703" s="25">
        <f>0.036*M2703</f>
        <v>0</v>
      </c>
      <c r="P2703" s="26">
        <f>0.00009*M2703</f>
        <v>0</v>
      </c>
      <c r="Q2703" s="30"/>
      <c r="R2703" s="22" t="s">
        <v>9339</v>
      </c>
      <c r="S2703" s="22"/>
      <c r="T2703" s="21" t="str">
        <f>HYPERLINK("https://miland.ru/api/getInfo/image/967925be-2ca7-11e6-b4ab-5cf3fc4a2490")</f>
        <v>https://miland.ru/api/getInfo/image/967925be-2ca7-11e6-b4ab-5cf3fc4a2490</v>
      </c>
      <c r="U2703" s="21"/>
      <c r="V2703" s="21"/>
      <c r="W2703" s="21"/>
      <c r="X2703" s="21"/>
      <c r="Y2703" s="21" t="s">
        <v>41</v>
      </c>
      <c r="Z2703" s="21"/>
      <c r="AA2703" s="21" t="str">
        <f>HYPERLINK("https://miland.ru/api/getInfo/item/967925be-2ca7-11e6-b4ab-5cf3fc4a2490")</f>
        <v>https://miland.ru/api/getInfo/item/967925be-2ca7-11e6-b4ab-5cf3fc4a2490</v>
      </c>
      <c r="AB2703" s="21" t="s">
        <v>50</v>
      </c>
      <c r="AC2703" s="21" t="s">
        <v>9257</v>
      </c>
      <c r="AD2703" s="21"/>
    </row>
    <row r="2704" spans="2:31" s="1" customFormat="1" ht="96.3" customHeight="1" outlineLevel="5">
      <c r="B2704" s="57">
        <v>2096</v>
      </c>
      <c r="C2704" s="21" t="s">
        <v>9340</v>
      </c>
      <c r="D2704" s="72" t="s">
        <v>9341</v>
      </c>
      <c r="E2704" s="72"/>
      <c r="F2704" s="72"/>
      <c r="G2704" s="72"/>
      <c r="H2704" s="22" t="s">
        <v>9342</v>
      </c>
      <c r="I2704" s="27">
        <v>201</v>
      </c>
      <c r="J2704" s="22"/>
      <c r="K2704" s="20">
        <v>10</v>
      </c>
      <c r="L2704" s="24">
        <v>82.93</v>
      </c>
      <c r="M2704" s="11"/>
      <c r="N2704" s="22">
        <f t="shared" si="128"/>
        <v>0</v>
      </c>
      <c r="O2704" s="25">
        <f>0.043*M2704</f>
        <v>0</v>
      </c>
      <c r="P2704" s="26">
        <f>0.00019*M2704</f>
        <v>0</v>
      </c>
      <c r="Q2704" s="30"/>
      <c r="R2704" s="22" t="s">
        <v>9343</v>
      </c>
      <c r="S2704" s="22"/>
      <c r="T2704" s="21" t="str">
        <f>HYPERLINK("https://miland.ru/api/getInfo/image/a04ff4fe-2ca8-11e6-b4ab-5cf3fc4a2490")</f>
        <v>https://miland.ru/api/getInfo/image/a04ff4fe-2ca8-11e6-b4ab-5cf3fc4a2490</v>
      </c>
      <c r="U2704" s="21"/>
      <c r="V2704" s="21"/>
      <c r="W2704" s="21"/>
      <c r="X2704" s="21"/>
      <c r="Y2704" s="21" t="s">
        <v>41</v>
      </c>
      <c r="Z2704" s="21"/>
      <c r="AA2704" s="21" t="str">
        <f>HYPERLINK("https://miland.ru/api/getInfo/item/a04ff4fe-2ca8-11e6-b4ab-5cf3fc4a2490")</f>
        <v>https://miland.ru/api/getInfo/item/a04ff4fe-2ca8-11e6-b4ab-5cf3fc4a2490</v>
      </c>
      <c r="AB2704" s="21" t="s">
        <v>50</v>
      </c>
      <c r="AC2704" s="21" t="s">
        <v>9257</v>
      </c>
      <c r="AD2704" s="21"/>
    </row>
    <row r="2705" spans="2:31" s="1" customFormat="1" ht="96.3" customHeight="1" outlineLevel="5">
      <c r="B2705" s="59">
        <v>2097</v>
      </c>
      <c r="C2705" s="35" t="s">
        <v>9344</v>
      </c>
      <c r="D2705" s="73" t="s">
        <v>9345</v>
      </c>
      <c r="E2705" s="73"/>
      <c r="F2705" s="73"/>
      <c r="G2705" s="73"/>
      <c r="H2705" s="36" t="s">
        <v>9346</v>
      </c>
      <c r="I2705" s="40">
        <v>255</v>
      </c>
      <c r="J2705" s="36"/>
      <c r="K2705" s="34">
        <v>5</v>
      </c>
      <c r="L2705" s="41">
        <v>39.333333333333336</v>
      </c>
      <c r="M2705" s="11"/>
      <c r="N2705" s="36">
        <f t="shared" si="128"/>
        <v>0</v>
      </c>
      <c r="O2705" s="42">
        <f>0.043*M2705</f>
        <v>0</v>
      </c>
      <c r="P2705" s="43">
        <f>0.00012*M2705</f>
        <v>0</v>
      </c>
      <c r="Q2705" s="50"/>
      <c r="R2705" s="36" t="s">
        <v>9347</v>
      </c>
      <c r="S2705" s="36" t="s">
        <v>435</v>
      </c>
      <c r="T2705" s="35" t="str">
        <f>HYPERLINK("https://miland.ru/api/getInfo/image/13258a3e-2ca9-11e6-b4ab-5cf3fc4a2490")</f>
        <v>https://miland.ru/api/getInfo/image/13258a3e-2ca9-11e6-b4ab-5cf3fc4a2490</v>
      </c>
      <c r="U2705" s="35"/>
      <c r="V2705" s="35"/>
      <c r="W2705" s="35"/>
      <c r="X2705" s="35"/>
      <c r="Y2705" s="35" t="s">
        <v>41</v>
      </c>
      <c r="Z2705" s="35"/>
      <c r="AA2705" s="35" t="str">
        <f>HYPERLINK("https://miland.ru/api/getInfo/item/13258a3e-2ca9-11e6-b4ab-5cf3fc4a2490")</f>
        <v>https://miland.ru/api/getInfo/item/13258a3e-2ca9-11e6-b4ab-5cf3fc4a2490</v>
      </c>
      <c r="AB2705" s="35" t="s">
        <v>50</v>
      </c>
      <c r="AC2705" s="35" t="s">
        <v>9257</v>
      </c>
      <c r="AD2705" s="35"/>
      <c r="AE2705" s="52" t="s">
        <v>9152</v>
      </c>
    </row>
    <row r="2706" spans="2:31" s="1" customFormat="1" ht="96.3" customHeight="1" outlineLevel="5">
      <c r="B2706" s="59">
        <v>2098</v>
      </c>
      <c r="C2706" s="35" t="s">
        <v>9348</v>
      </c>
      <c r="D2706" s="73" t="s">
        <v>9349</v>
      </c>
      <c r="E2706" s="73"/>
      <c r="F2706" s="73"/>
      <c r="G2706" s="73"/>
      <c r="H2706" s="36" t="s">
        <v>9350</v>
      </c>
      <c r="I2706" s="56" t="s">
        <v>36</v>
      </c>
      <c r="J2706" s="36"/>
      <c r="K2706" s="34">
        <v>10</v>
      </c>
      <c r="L2706" s="41">
        <v>39.333333333333336</v>
      </c>
      <c r="M2706" s="11"/>
      <c r="N2706" s="36">
        <f t="shared" si="128"/>
        <v>0</v>
      </c>
      <c r="O2706" s="42">
        <f>0.035*M2706</f>
        <v>0</v>
      </c>
      <c r="P2706" s="43">
        <f>0.00009*M2706</f>
        <v>0</v>
      </c>
      <c r="Q2706" s="50"/>
      <c r="R2706" s="36" t="s">
        <v>9351</v>
      </c>
      <c r="S2706" s="36" t="s">
        <v>435</v>
      </c>
      <c r="T2706" s="35" t="str">
        <f>HYPERLINK("https://miland.ru/api/getInfo/image/9b6c09c2-b2a7-11e8-a209-ac1f6b442184")</f>
        <v>https://miland.ru/api/getInfo/image/9b6c09c2-b2a7-11e8-a209-ac1f6b442184</v>
      </c>
      <c r="U2706" s="35"/>
      <c r="V2706" s="35"/>
      <c r="W2706" s="35"/>
      <c r="X2706" s="35"/>
      <c r="Y2706" s="35" t="s">
        <v>41</v>
      </c>
      <c r="Z2706" s="35"/>
      <c r="AA2706" s="35" t="str">
        <f>HYPERLINK("https://miland.ru/api/getInfo/item/9b6c09c2-b2a7-11e8-a209-ac1f6b442184")</f>
        <v>https://miland.ru/api/getInfo/item/9b6c09c2-b2a7-11e8-a209-ac1f6b442184</v>
      </c>
      <c r="AB2706" s="35" t="s">
        <v>50</v>
      </c>
      <c r="AC2706" s="35"/>
      <c r="AD2706" s="35"/>
      <c r="AE2706" s="52" t="s">
        <v>9152</v>
      </c>
    </row>
    <row r="2707" spans="2:31" s="1" customFormat="1" ht="96.3" customHeight="1" outlineLevel="5">
      <c r="B2707" s="59">
        <v>2099</v>
      </c>
      <c r="C2707" s="35" t="s">
        <v>9352</v>
      </c>
      <c r="D2707" s="73" t="s">
        <v>9353</v>
      </c>
      <c r="E2707" s="73"/>
      <c r="F2707" s="73"/>
      <c r="G2707" s="73"/>
      <c r="H2707" s="36" t="s">
        <v>9354</v>
      </c>
      <c r="I2707" s="40">
        <v>313</v>
      </c>
      <c r="J2707" s="36"/>
      <c r="K2707" s="34">
        <v>10</v>
      </c>
      <c r="L2707" s="41">
        <v>39.333333333333336</v>
      </c>
      <c r="M2707" s="11"/>
      <c r="N2707" s="36">
        <f t="shared" si="128"/>
        <v>0</v>
      </c>
      <c r="O2707" s="42">
        <f>0.041*M2707</f>
        <v>0</v>
      </c>
      <c r="P2707" s="43">
        <f>0.00009*M2707</f>
        <v>0</v>
      </c>
      <c r="Q2707" s="50"/>
      <c r="R2707" s="36" t="s">
        <v>9355</v>
      </c>
      <c r="S2707" s="36"/>
      <c r="T2707" s="35" t="str">
        <f>HYPERLINK("https://miland.ru/api/getInfo/image/20c85306-b2a8-11e8-a209-ac1f6b442184")</f>
        <v>https://miland.ru/api/getInfo/image/20c85306-b2a8-11e8-a209-ac1f6b442184</v>
      </c>
      <c r="U2707" s="35"/>
      <c r="V2707" s="35"/>
      <c r="W2707" s="35"/>
      <c r="X2707" s="35"/>
      <c r="Y2707" s="35" t="s">
        <v>41</v>
      </c>
      <c r="Z2707" s="35"/>
      <c r="AA2707" s="35" t="str">
        <f>HYPERLINK("https://miland.ru/api/getInfo/item/20c85306-b2a8-11e8-a209-ac1f6b442184")</f>
        <v>https://miland.ru/api/getInfo/item/20c85306-b2a8-11e8-a209-ac1f6b442184</v>
      </c>
      <c r="AB2707" s="35" t="s">
        <v>50</v>
      </c>
      <c r="AC2707" s="35"/>
      <c r="AD2707" s="35"/>
      <c r="AE2707" s="52" t="s">
        <v>9152</v>
      </c>
    </row>
    <row r="2708" spans="2:31" s="1" customFormat="1" ht="96.3" customHeight="1" outlineLevel="5">
      <c r="B2708" s="57">
        <v>2100</v>
      </c>
      <c r="C2708" s="21" t="s">
        <v>9356</v>
      </c>
      <c r="D2708" s="72" t="s">
        <v>9357</v>
      </c>
      <c r="E2708" s="72"/>
      <c r="F2708" s="72"/>
      <c r="G2708" s="72"/>
      <c r="H2708" s="22" t="s">
        <v>9358</v>
      </c>
      <c r="I2708" s="27">
        <v>449</v>
      </c>
      <c r="J2708" s="22"/>
      <c r="K2708" s="20">
        <v>10</v>
      </c>
      <c r="L2708" s="24">
        <v>82.93</v>
      </c>
      <c r="M2708" s="11"/>
      <c r="N2708" s="22">
        <f t="shared" si="128"/>
        <v>0</v>
      </c>
      <c r="O2708" s="25">
        <f>0.043*M2708</f>
        <v>0</v>
      </c>
      <c r="P2708" s="26">
        <f>0.00013*M2708</f>
        <v>0</v>
      </c>
      <c r="Q2708" s="30"/>
      <c r="R2708" s="22" t="s">
        <v>9359</v>
      </c>
      <c r="S2708" s="22"/>
      <c r="T2708" s="21" t="str">
        <f>HYPERLINK("https://miland.ru/api/getInfo/image/5b5e40db-b2a8-11e8-a209-ac1f6b442184")</f>
        <v>https://miland.ru/api/getInfo/image/5b5e40db-b2a8-11e8-a209-ac1f6b442184</v>
      </c>
      <c r="U2708" s="21"/>
      <c r="V2708" s="21"/>
      <c r="W2708" s="21"/>
      <c r="X2708" s="21"/>
      <c r="Y2708" s="21" t="s">
        <v>41</v>
      </c>
      <c r="Z2708" s="21"/>
      <c r="AA2708" s="21" t="str">
        <f>HYPERLINK("https://miland.ru/api/getInfo/item/5b5e40db-b2a8-11e8-a209-ac1f6b442184")</f>
        <v>https://miland.ru/api/getInfo/item/5b5e40db-b2a8-11e8-a209-ac1f6b442184</v>
      </c>
      <c r="AB2708" s="21" t="s">
        <v>50</v>
      </c>
      <c r="AC2708" s="21"/>
      <c r="AD2708" s="21"/>
    </row>
    <row r="2709" spans="2:31" s="1" customFormat="1" ht="96.3" customHeight="1" outlineLevel="5">
      <c r="B2709" s="57">
        <v>2101</v>
      </c>
      <c r="C2709" s="21" t="s">
        <v>9360</v>
      </c>
      <c r="D2709" s="72" t="s">
        <v>9361</v>
      </c>
      <c r="E2709" s="72"/>
      <c r="F2709" s="72"/>
      <c r="G2709" s="72"/>
      <c r="H2709" s="22" t="s">
        <v>9362</v>
      </c>
      <c r="I2709" s="27">
        <v>219</v>
      </c>
      <c r="J2709" s="22"/>
      <c r="K2709" s="20">
        <v>10</v>
      </c>
      <c r="L2709" s="24">
        <v>82.93</v>
      </c>
      <c r="M2709" s="11"/>
      <c r="N2709" s="22">
        <f t="shared" si="128"/>
        <v>0</v>
      </c>
      <c r="O2709" s="25">
        <f>0.041*M2709</f>
        <v>0</v>
      </c>
      <c r="P2709" s="26">
        <f>0.00018*M2709</f>
        <v>0</v>
      </c>
      <c r="Q2709" s="30"/>
      <c r="R2709" s="22" t="s">
        <v>9363</v>
      </c>
      <c r="S2709" s="22"/>
      <c r="T2709" s="21" t="str">
        <f>HYPERLINK("https://miland.ru/api/getInfo/image/73776d5e-2ca8-11e6-b4ab-5cf3fc4a2490")</f>
        <v>https://miland.ru/api/getInfo/image/73776d5e-2ca8-11e6-b4ab-5cf3fc4a2490</v>
      </c>
      <c r="U2709" s="21"/>
      <c r="V2709" s="21"/>
      <c r="W2709" s="21"/>
      <c r="X2709" s="21"/>
      <c r="Y2709" s="21" t="s">
        <v>41</v>
      </c>
      <c r="Z2709" s="21"/>
      <c r="AA2709" s="21" t="str">
        <f>HYPERLINK("https://miland.ru/api/getInfo/item/73776d5e-2ca8-11e6-b4ab-5cf3fc4a2490")</f>
        <v>https://miland.ru/api/getInfo/item/73776d5e-2ca8-11e6-b4ab-5cf3fc4a2490</v>
      </c>
      <c r="AB2709" s="21" t="s">
        <v>50</v>
      </c>
      <c r="AC2709" s="21" t="s">
        <v>9257</v>
      </c>
      <c r="AD2709" s="21"/>
    </row>
    <row r="2710" spans="2:31" s="1" customFormat="1" ht="96.3" customHeight="1" outlineLevel="5">
      <c r="B2710" s="59">
        <v>2102</v>
      </c>
      <c r="C2710" s="35" t="s">
        <v>9364</v>
      </c>
      <c r="D2710" s="73" t="s">
        <v>9365</v>
      </c>
      <c r="E2710" s="73"/>
      <c r="F2710" s="73"/>
      <c r="G2710" s="73"/>
      <c r="H2710" s="36" t="s">
        <v>9366</v>
      </c>
      <c r="I2710" s="40">
        <v>8</v>
      </c>
      <c r="J2710" s="36"/>
      <c r="K2710" s="34">
        <v>8</v>
      </c>
      <c r="L2710" s="41">
        <v>21.653333333333332</v>
      </c>
      <c r="M2710" s="11"/>
      <c r="N2710" s="36">
        <f t="shared" si="128"/>
        <v>0</v>
      </c>
      <c r="O2710" s="47">
        <f>0.04*M2710</f>
        <v>0</v>
      </c>
      <c r="P2710" s="43">
        <f>0.00004*M2710</f>
        <v>0</v>
      </c>
      <c r="Q2710" s="50"/>
      <c r="R2710" s="36" t="s">
        <v>9367</v>
      </c>
      <c r="S2710" s="36" t="s">
        <v>435</v>
      </c>
      <c r="T2710" s="35" t="str">
        <f>HYPERLINK("https://miland.ru/api/getInfo/image/db144a05-6af2-11e8-84c9-5cf3fc4a2490")</f>
        <v>https://miland.ru/api/getInfo/image/db144a05-6af2-11e8-84c9-5cf3fc4a2490</v>
      </c>
      <c r="U2710" s="35"/>
      <c r="V2710" s="35"/>
      <c r="W2710" s="35"/>
      <c r="X2710" s="35"/>
      <c r="Y2710" s="35" t="s">
        <v>41</v>
      </c>
      <c r="Z2710" s="35"/>
      <c r="AA2710" s="35" t="str">
        <f>HYPERLINK("https://miland.ru/api/getInfo/item/db144a05-6af2-11e8-84c9-5cf3fc4a2490")</f>
        <v>https://miland.ru/api/getInfo/item/db144a05-6af2-11e8-84c9-5cf3fc4a2490</v>
      </c>
      <c r="AB2710" s="35" t="s">
        <v>42</v>
      </c>
      <c r="AC2710" s="35" t="s">
        <v>9257</v>
      </c>
      <c r="AD2710" s="35"/>
      <c r="AE2710" s="52" t="s">
        <v>1251</v>
      </c>
    </row>
    <row r="2711" spans="2:31" ht="12" customHeight="1" outlineLevel="4">
      <c r="B2711" s="70" t="s">
        <v>9368</v>
      </c>
      <c r="C2711" s="70"/>
      <c r="D2711" s="70"/>
      <c r="E2711" s="70"/>
      <c r="F2711" s="70"/>
      <c r="G2711" s="70"/>
    </row>
    <row r="2712" spans="2:31" s="1" customFormat="1" ht="96.3" customHeight="1" outlineLevel="5">
      <c r="B2712" s="57">
        <v>2103</v>
      </c>
      <c r="C2712" s="21" t="s">
        <v>9369</v>
      </c>
      <c r="D2712" s="72" t="s">
        <v>9370</v>
      </c>
      <c r="E2712" s="72"/>
      <c r="F2712" s="72"/>
      <c r="G2712" s="72"/>
      <c r="H2712" s="22" t="s">
        <v>9371</v>
      </c>
      <c r="I2712" s="23" t="s">
        <v>36</v>
      </c>
      <c r="J2712" s="22"/>
      <c r="K2712" s="20">
        <v>24</v>
      </c>
      <c r="L2712" s="24">
        <v>29.68</v>
      </c>
      <c r="M2712" s="11"/>
      <c r="N2712" s="22">
        <f>L2712*M2712</f>
        <v>0</v>
      </c>
      <c r="O2712" s="25">
        <f>0.034*M2712</f>
        <v>0</v>
      </c>
      <c r="P2712" s="29">
        <f>0.0001*M2712</f>
        <v>0</v>
      </c>
      <c r="Q2712" s="30"/>
      <c r="R2712" s="22" t="s">
        <v>9372</v>
      </c>
      <c r="S2712" s="22"/>
      <c r="T2712" s="21" t="str">
        <f>HYPERLINK("https://miland.ru/api/getInfo/image/bb260adb-6af2-11e8-84c9-5cf3fc4a2490")</f>
        <v>https://miland.ru/api/getInfo/image/bb260adb-6af2-11e8-84c9-5cf3fc4a2490</v>
      </c>
      <c r="U2712" s="21"/>
      <c r="V2712" s="21"/>
      <c r="W2712" s="21" t="s">
        <v>9143</v>
      </c>
      <c r="X2712" s="21"/>
      <c r="Y2712" s="21" t="s">
        <v>41</v>
      </c>
      <c r="Z2712" s="21"/>
      <c r="AA2712" s="21" t="str">
        <f>HYPERLINK("https://miland.ru/api/getInfo/item/bb260adb-6af2-11e8-84c9-5cf3fc4a2490")</f>
        <v>https://miland.ru/api/getInfo/item/bb260adb-6af2-11e8-84c9-5cf3fc4a2490</v>
      </c>
      <c r="AB2712" s="21" t="s">
        <v>42</v>
      </c>
      <c r="AC2712" s="21" t="s">
        <v>9257</v>
      </c>
      <c r="AD2712" s="21"/>
    </row>
    <row r="2713" spans="2:31" s="1" customFormat="1" ht="96.3" customHeight="1" outlineLevel="5">
      <c r="B2713" s="57">
        <v>2104</v>
      </c>
      <c r="C2713" s="21" t="s">
        <v>9373</v>
      </c>
      <c r="D2713" s="72" t="s">
        <v>9374</v>
      </c>
      <c r="E2713" s="72"/>
      <c r="F2713" s="72"/>
      <c r="G2713" s="72"/>
      <c r="H2713" s="22" t="s">
        <v>9375</v>
      </c>
      <c r="I2713" s="23" t="s">
        <v>36</v>
      </c>
      <c r="J2713" s="22"/>
      <c r="K2713" s="20">
        <v>24</v>
      </c>
      <c r="L2713" s="24">
        <v>29.68</v>
      </c>
      <c r="M2713" s="11"/>
      <c r="N2713" s="22">
        <f>L2713*M2713</f>
        <v>0</v>
      </c>
      <c r="O2713" s="25">
        <f>0.031*M2713</f>
        <v>0</v>
      </c>
      <c r="P2713" s="29">
        <f>0.0001*M2713</f>
        <v>0</v>
      </c>
      <c r="Q2713" s="30"/>
      <c r="R2713" s="22" t="s">
        <v>9376</v>
      </c>
      <c r="S2713" s="22"/>
      <c r="T2713" s="21" t="str">
        <f>HYPERLINK("https://miland.ru/api/getInfo/image/cd42f7f0-224b-11ee-a23d-00155d82e902")</f>
        <v>https://miland.ru/api/getInfo/image/cd42f7f0-224b-11ee-a23d-00155d82e902</v>
      </c>
      <c r="U2713" s="21"/>
      <c r="V2713" s="21"/>
      <c r="W2713" s="21" t="s">
        <v>9143</v>
      </c>
      <c r="X2713" s="21"/>
      <c r="Y2713" s="21" t="s">
        <v>41</v>
      </c>
      <c r="Z2713" s="21"/>
      <c r="AA2713" s="21" t="str">
        <f>HYPERLINK("https://miland.ru/api/getInfo/item/cd42f7f0-224b-11ee-a23d-00155d82e902")</f>
        <v>https://miland.ru/api/getInfo/item/cd42f7f0-224b-11ee-a23d-00155d82e902</v>
      </c>
      <c r="AB2713" s="21" t="s">
        <v>42</v>
      </c>
      <c r="AC2713" s="21" t="s">
        <v>9377</v>
      </c>
      <c r="AD2713" s="21"/>
    </row>
    <row r="2714" spans="2:31" s="1" customFormat="1" ht="96.3" customHeight="1" outlineLevel="5">
      <c r="B2714" s="57">
        <v>2105</v>
      </c>
      <c r="C2714" s="21" t="s">
        <v>9378</v>
      </c>
      <c r="D2714" s="72" t="s">
        <v>9379</v>
      </c>
      <c r="E2714" s="72"/>
      <c r="F2714" s="72"/>
      <c r="G2714" s="72"/>
      <c r="H2714" s="22" t="s">
        <v>9380</v>
      </c>
      <c r="I2714" s="23" t="s">
        <v>36</v>
      </c>
      <c r="J2714" s="22"/>
      <c r="K2714" s="20">
        <v>24</v>
      </c>
      <c r="L2714" s="24">
        <v>29.68</v>
      </c>
      <c r="M2714" s="11"/>
      <c r="N2714" s="22">
        <f>L2714*M2714</f>
        <v>0</v>
      </c>
      <c r="O2714" s="25">
        <f>0.033*M2714</f>
        <v>0</v>
      </c>
      <c r="P2714" s="26">
        <f>0.00022*M2714</f>
        <v>0</v>
      </c>
      <c r="Q2714" s="30"/>
      <c r="R2714" s="22" t="s">
        <v>9381</v>
      </c>
      <c r="S2714" s="22"/>
      <c r="T2714" s="21" t="str">
        <f>HYPERLINK("https://miland.ru/api/getInfo/image/2f8b700b-224c-11ee-a23d-00155d82e902")</f>
        <v>https://miland.ru/api/getInfo/image/2f8b700b-224c-11ee-a23d-00155d82e902</v>
      </c>
      <c r="U2714" s="21"/>
      <c r="V2714" s="21"/>
      <c r="W2714" s="21" t="s">
        <v>9143</v>
      </c>
      <c r="X2714" s="21"/>
      <c r="Y2714" s="21" t="s">
        <v>41</v>
      </c>
      <c r="Z2714" s="21"/>
      <c r="AA2714" s="21" t="str">
        <f>HYPERLINK("https://miland.ru/api/getInfo/item/2f8b700b-224c-11ee-a23d-00155d82e902")</f>
        <v>https://miland.ru/api/getInfo/item/2f8b700b-224c-11ee-a23d-00155d82e902</v>
      </c>
      <c r="AB2714" s="21" t="s">
        <v>42</v>
      </c>
      <c r="AC2714" s="21" t="s">
        <v>9377</v>
      </c>
      <c r="AD2714" s="21"/>
    </row>
    <row r="2715" spans="2:31" ht="12" customHeight="1" outlineLevel="4">
      <c r="B2715" s="70" t="s">
        <v>9382</v>
      </c>
      <c r="C2715" s="70"/>
      <c r="D2715" s="70"/>
      <c r="E2715" s="70"/>
      <c r="F2715" s="70"/>
      <c r="G2715" s="70"/>
    </row>
    <row r="2716" spans="2:31" s="1" customFormat="1" ht="96.3" customHeight="1" outlineLevel="5">
      <c r="B2716" s="59">
        <v>2106</v>
      </c>
      <c r="C2716" s="35" t="s">
        <v>9383</v>
      </c>
      <c r="D2716" s="73" t="s">
        <v>9384</v>
      </c>
      <c r="E2716" s="73"/>
      <c r="F2716" s="73"/>
      <c r="G2716" s="73"/>
      <c r="H2716" s="36" t="s">
        <v>9385</v>
      </c>
      <c r="I2716" s="40">
        <v>30</v>
      </c>
      <c r="J2716" s="36"/>
      <c r="K2716" s="34">
        <v>1</v>
      </c>
      <c r="L2716" s="41">
        <v>515.81333333333339</v>
      </c>
      <c r="M2716" s="11"/>
      <c r="N2716" s="36">
        <f t="shared" ref="N2716:N2726" si="129">L2716*M2716</f>
        <v>0</v>
      </c>
      <c r="O2716" s="47">
        <f>0.09*M2716</f>
        <v>0</v>
      </c>
      <c r="P2716" s="43">
        <f>0.00027*M2716</f>
        <v>0</v>
      </c>
      <c r="Q2716" s="50"/>
      <c r="R2716" s="36" t="s">
        <v>9386</v>
      </c>
      <c r="S2716" s="36" t="s">
        <v>435</v>
      </c>
      <c r="T2716" s="35" t="str">
        <f>HYPERLINK("https://miland.ru/api/getInfo/image/c667636f-f73d-11ee-a25d-00155d82e908")</f>
        <v>https://miland.ru/api/getInfo/image/c667636f-f73d-11ee-a25d-00155d82e908</v>
      </c>
      <c r="U2716" s="35"/>
      <c r="V2716" s="35"/>
      <c r="W2716" s="35" t="s">
        <v>9143</v>
      </c>
      <c r="X2716" s="35"/>
      <c r="Y2716" s="35" t="s">
        <v>41</v>
      </c>
      <c r="Z2716" s="35"/>
      <c r="AA2716" s="35" t="str">
        <f>HYPERLINK("https://miland.ru/api/getInfo/item/c667636f-f73d-11ee-a25d-00155d82e908")</f>
        <v>https://miland.ru/api/getInfo/item/c667636f-f73d-11ee-a25d-00155d82e908</v>
      </c>
      <c r="AB2716" s="35" t="s">
        <v>42</v>
      </c>
      <c r="AC2716" s="35" t="s">
        <v>9387</v>
      </c>
      <c r="AD2716" s="35"/>
      <c r="AE2716" s="52" t="s">
        <v>9152</v>
      </c>
    </row>
    <row r="2717" spans="2:31" s="1" customFormat="1" ht="96.3" customHeight="1" outlineLevel="5">
      <c r="B2717" s="57">
        <v>2107</v>
      </c>
      <c r="C2717" s="21" t="s">
        <v>9388</v>
      </c>
      <c r="D2717" s="72" t="s">
        <v>9389</v>
      </c>
      <c r="E2717" s="72"/>
      <c r="F2717" s="72"/>
      <c r="G2717" s="72"/>
      <c r="H2717" s="22" t="s">
        <v>9390</v>
      </c>
      <c r="I2717" s="27">
        <v>8</v>
      </c>
      <c r="J2717" s="22"/>
      <c r="K2717" s="20">
        <v>1</v>
      </c>
      <c r="L2717" s="24">
        <v>755.28</v>
      </c>
      <c r="M2717" s="11"/>
      <c r="N2717" s="22">
        <f t="shared" si="129"/>
        <v>0</v>
      </c>
      <c r="O2717" s="25">
        <f>0.092*M2717</f>
        <v>0</v>
      </c>
      <c r="P2717" s="26">
        <f>0.00036*M2717</f>
        <v>0</v>
      </c>
      <c r="Q2717" s="30"/>
      <c r="R2717" s="22" t="s">
        <v>9391</v>
      </c>
      <c r="S2717" s="22" t="s">
        <v>435</v>
      </c>
      <c r="T2717" s="21" t="str">
        <f>HYPERLINK("https://miland.ru/api/getInfo/image/5b6eca75-f73d-11ee-a25d-00155d82e908")</f>
        <v>https://miland.ru/api/getInfo/image/5b6eca75-f73d-11ee-a25d-00155d82e908</v>
      </c>
      <c r="U2717" s="21"/>
      <c r="V2717" s="21"/>
      <c r="W2717" s="21" t="s">
        <v>9143</v>
      </c>
      <c r="X2717" s="21"/>
      <c r="Y2717" s="21" t="s">
        <v>41</v>
      </c>
      <c r="Z2717" s="21"/>
      <c r="AA2717" s="21" t="str">
        <f>HYPERLINK("https://miland.ru/api/getInfo/item/5b6eca75-f73d-11ee-a25d-00155d82e908")</f>
        <v>https://miland.ru/api/getInfo/item/5b6eca75-f73d-11ee-a25d-00155d82e908</v>
      </c>
      <c r="AB2717" s="21" t="s">
        <v>42</v>
      </c>
      <c r="AC2717" s="21" t="s">
        <v>9387</v>
      </c>
      <c r="AD2717" s="21"/>
    </row>
    <row r="2718" spans="2:31" s="1" customFormat="1" ht="96.3" customHeight="1" outlineLevel="5">
      <c r="B2718" s="59">
        <v>2108</v>
      </c>
      <c r="C2718" s="35" t="s">
        <v>9392</v>
      </c>
      <c r="D2718" s="73" t="s">
        <v>9393</v>
      </c>
      <c r="E2718" s="73"/>
      <c r="F2718" s="73"/>
      <c r="G2718" s="73"/>
      <c r="H2718" s="36" t="s">
        <v>9394</v>
      </c>
      <c r="I2718" s="40">
        <v>5</v>
      </c>
      <c r="J2718" s="36"/>
      <c r="K2718" s="34">
        <v>1</v>
      </c>
      <c r="L2718" s="41">
        <v>515.81333333333339</v>
      </c>
      <c r="M2718" s="11"/>
      <c r="N2718" s="36">
        <f t="shared" si="129"/>
        <v>0</v>
      </c>
      <c r="O2718" s="42">
        <f>0.086*M2718</f>
        <v>0</v>
      </c>
      <c r="P2718" s="43">
        <f>0.00037*M2718</f>
        <v>0</v>
      </c>
      <c r="Q2718" s="50"/>
      <c r="R2718" s="36" t="s">
        <v>9395</v>
      </c>
      <c r="S2718" s="36" t="s">
        <v>435</v>
      </c>
      <c r="T2718" s="35" t="str">
        <f>HYPERLINK("https://miland.ru/api/getInfo/image/a9e335c0-f73d-11ee-a25d-00155d82e908")</f>
        <v>https://miland.ru/api/getInfo/image/a9e335c0-f73d-11ee-a25d-00155d82e908</v>
      </c>
      <c r="U2718" s="35"/>
      <c r="V2718" s="35"/>
      <c r="W2718" s="35" t="s">
        <v>9143</v>
      </c>
      <c r="X2718" s="35"/>
      <c r="Y2718" s="35" t="s">
        <v>41</v>
      </c>
      <c r="Z2718" s="35"/>
      <c r="AA2718" s="35" t="str">
        <f>HYPERLINK("https://miland.ru/api/getInfo/item/a9e335c0-f73d-11ee-a25d-00155d82e908")</f>
        <v>https://miland.ru/api/getInfo/item/a9e335c0-f73d-11ee-a25d-00155d82e908</v>
      </c>
      <c r="AB2718" s="35" t="s">
        <v>42</v>
      </c>
      <c r="AC2718" s="35" t="s">
        <v>9387</v>
      </c>
      <c r="AD2718" s="35"/>
      <c r="AE2718" s="52" t="s">
        <v>9152</v>
      </c>
    </row>
    <row r="2719" spans="2:31" s="1" customFormat="1" ht="96.3" customHeight="1" outlineLevel="5">
      <c r="B2719" s="59">
        <v>2109</v>
      </c>
      <c r="C2719" s="35" t="s">
        <v>9396</v>
      </c>
      <c r="D2719" s="73" t="s">
        <v>9397</v>
      </c>
      <c r="E2719" s="73"/>
      <c r="F2719" s="73"/>
      <c r="G2719" s="73"/>
      <c r="H2719" s="36" t="s">
        <v>9398</v>
      </c>
      <c r="I2719" s="40">
        <v>162</v>
      </c>
      <c r="J2719" s="36"/>
      <c r="K2719" s="34">
        <v>1</v>
      </c>
      <c r="L2719" s="41">
        <v>601.76</v>
      </c>
      <c r="M2719" s="11"/>
      <c r="N2719" s="36">
        <f t="shared" si="129"/>
        <v>0</v>
      </c>
      <c r="O2719" s="47">
        <f>0.14*M2719</f>
        <v>0</v>
      </c>
      <c r="P2719" s="55">
        <f>0.0004*M2719</f>
        <v>0</v>
      </c>
      <c r="Q2719" s="50"/>
      <c r="R2719" s="36" t="s">
        <v>9399</v>
      </c>
      <c r="S2719" s="36" t="s">
        <v>435</v>
      </c>
      <c r="T2719" s="35" t="str">
        <f>HYPERLINK("https://miland.ru/api/getInfo/image/f666d22c-f73c-11ee-a25d-00155d82e908")</f>
        <v>https://miland.ru/api/getInfo/image/f666d22c-f73c-11ee-a25d-00155d82e908</v>
      </c>
      <c r="U2719" s="35"/>
      <c r="V2719" s="35"/>
      <c r="W2719" s="35" t="s">
        <v>9143</v>
      </c>
      <c r="X2719" s="35"/>
      <c r="Y2719" s="35" t="s">
        <v>41</v>
      </c>
      <c r="Z2719" s="35"/>
      <c r="AA2719" s="35" t="str">
        <f>HYPERLINK("https://miland.ru/api/getInfo/item/f666d22c-f73c-11ee-a25d-00155d82e908")</f>
        <v>https://miland.ru/api/getInfo/item/f666d22c-f73c-11ee-a25d-00155d82e908</v>
      </c>
      <c r="AB2719" s="35" t="s">
        <v>42</v>
      </c>
      <c r="AC2719" s="35" t="s">
        <v>9400</v>
      </c>
      <c r="AD2719" s="35"/>
      <c r="AE2719" s="52" t="s">
        <v>9152</v>
      </c>
    </row>
    <row r="2720" spans="2:31" s="1" customFormat="1" ht="96.3" customHeight="1" outlineLevel="5">
      <c r="B2720" s="59">
        <v>2110</v>
      </c>
      <c r="C2720" s="35" t="s">
        <v>9401</v>
      </c>
      <c r="D2720" s="73" t="s">
        <v>9402</v>
      </c>
      <c r="E2720" s="73"/>
      <c r="F2720" s="73"/>
      <c r="G2720" s="73"/>
      <c r="H2720" s="36" t="s">
        <v>9403</v>
      </c>
      <c r="I2720" s="40">
        <v>213</v>
      </c>
      <c r="J2720" s="36"/>
      <c r="K2720" s="34">
        <v>1</v>
      </c>
      <c r="L2720" s="41">
        <v>601.76</v>
      </c>
      <c r="M2720" s="11"/>
      <c r="N2720" s="36">
        <f t="shared" si="129"/>
        <v>0</v>
      </c>
      <c r="O2720" s="42">
        <f>0.145*M2720</f>
        <v>0</v>
      </c>
      <c r="P2720" s="43">
        <f>0.00039*M2720</f>
        <v>0</v>
      </c>
      <c r="Q2720" s="50"/>
      <c r="R2720" s="36" t="s">
        <v>9404</v>
      </c>
      <c r="S2720" s="36" t="s">
        <v>435</v>
      </c>
      <c r="T2720" s="35" t="str">
        <f>HYPERLINK("https://miland.ru/api/getInfo/image/1b3c62de-f73d-11ee-a25d-00155d82e908")</f>
        <v>https://miland.ru/api/getInfo/image/1b3c62de-f73d-11ee-a25d-00155d82e908</v>
      </c>
      <c r="U2720" s="35"/>
      <c r="V2720" s="35"/>
      <c r="W2720" s="35" t="s">
        <v>9143</v>
      </c>
      <c r="X2720" s="35"/>
      <c r="Y2720" s="35" t="s">
        <v>41</v>
      </c>
      <c r="Z2720" s="35"/>
      <c r="AA2720" s="35" t="str">
        <f>HYPERLINK("https://miland.ru/api/getInfo/item/1b3c62de-f73d-11ee-a25d-00155d82e908")</f>
        <v>https://miland.ru/api/getInfo/item/1b3c62de-f73d-11ee-a25d-00155d82e908</v>
      </c>
      <c r="AB2720" s="35" t="s">
        <v>42</v>
      </c>
      <c r="AC2720" s="35" t="s">
        <v>9400</v>
      </c>
      <c r="AD2720" s="35"/>
      <c r="AE2720" s="52" t="s">
        <v>9152</v>
      </c>
    </row>
    <row r="2721" spans="2:31" s="1" customFormat="1" ht="96.3" customHeight="1" outlineLevel="5">
      <c r="B2721" s="59">
        <v>2111</v>
      </c>
      <c r="C2721" s="35" t="s">
        <v>9405</v>
      </c>
      <c r="D2721" s="73" t="s">
        <v>9406</v>
      </c>
      <c r="E2721" s="73"/>
      <c r="F2721" s="73"/>
      <c r="G2721" s="73"/>
      <c r="H2721" s="36" t="s">
        <v>9407</v>
      </c>
      <c r="I2721" s="40">
        <v>300</v>
      </c>
      <c r="J2721" s="36"/>
      <c r="K2721" s="34">
        <v>1</v>
      </c>
      <c r="L2721" s="41">
        <v>483.38666666666671</v>
      </c>
      <c r="M2721" s="11"/>
      <c r="N2721" s="36">
        <f t="shared" si="129"/>
        <v>0</v>
      </c>
      <c r="O2721" s="42">
        <f>0.094*M2721</f>
        <v>0</v>
      </c>
      <c r="P2721" s="43">
        <f>0.00045*M2721</f>
        <v>0</v>
      </c>
      <c r="Q2721" s="50"/>
      <c r="R2721" s="36" t="s">
        <v>9408</v>
      </c>
      <c r="S2721" s="36"/>
      <c r="T2721" s="35" t="str">
        <f>HYPERLINK("https://miland.ru/api/getInfo/image/a1790051-f739-11ee-a25d-00155d82e908")</f>
        <v>https://miland.ru/api/getInfo/image/a1790051-f739-11ee-a25d-00155d82e908</v>
      </c>
      <c r="U2721" s="35"/>
      <c r="V2721" s="35"/>
      <c r="W2721" s="35" t="s">
        <v>9143</v>
      </c>
      <c r="X2721" s="35"/>
      <c r="Y2721" s="35" t="s">
        <v>41</v>
      </c>
      <c r="Z2721" s="35"/>
      <c r="AA2721" s="35" t="str">
        <f>HYPERLINK("https://miland.ru/api/getInfo/item/a1790051-f739-11ee-a25d-00155d82e908")</f>
        <v>https://miland.ru/api/getInfo/item/a1790051-f739-11ee-a25d-00155d82e908</v>
      </c>
      <c r="AB2721" s="35" t="s">
        <v>42</v>
      </c>
      <c r="AC2721" s="35" t="s">
        <v>9387</v>
      </c>
      <c r="AD2721" s="35"/>
      <c r="AE2721" s="52" t="s">
        <v>9152</v>
      </c>
    </row>
    <row r="2722" spans="2:31" s="1" customFormat="1" ht="96.3" customHeight="1" outlineLevel="5">
      <c r="B2722" s="57">
        <v>2112</v>
      </c>
      <c r="C2722" s="21" t="s">
        <v>9409</v>
      </c>
      <c r="D2722" s="72" t="s">
        <v>9410</v>
      </c>
      <c r="E2722" s="72"/>
      <c r="F2722" s="72"/>
      <c r="G2722" s="72"/>
      <c r="H2722" s="22" t="s">
        <v>9411</v>
      </c>
      <c r="I2722" s="27">
        <v>11</v>
      </c>
      <c r="J2722" s="22"/>
      <c r="K2722" s="20">
        <v>1</v>
      </c>
      <c r="L2722" s="24">
        <v>604.23</v>
      </c>
      <c r="M2722" s="11"/>
      <c r="N2722" s="22">
        <f t="shared" si="129"/>
        <v>0</v>
      </c>
      <c r="O2722" s="25">
        <f>0.096*M2722</f>
        <v>0</v>
      </c>
      <c r="P2722" s="26">
        <f>0.00044*M2722</f>
        <v>0</v>
      </c>
      <c r="Q2722" s="30"/>
      <c r="R2722" s="22" t="s">
        <v>9412</v>
      </c>
      <c r="S2722" s="22" t="s">
        <v>435</v>
      </c>
      <c r="T2722" s="21" t="str">
        <f>HYPERLINK("https://miland.ru/api/getInfo/image/87d2deed-f739-11ee-a25d-00155d82e908")</f>
        <v>https://miland.ru/api/getInfo/image/87d2deed-f739-11ee-a25d-00155d82e908</v>
      </c>
      <c r="U2722" s="21"/>
      <c r="V2722" s="21"/>
      <c r="W2722" s="21" t="s">
        <v>9143</v>
      </c>
      <c r="X2722" s="21"/>
      <c r="Y2722" s="21" t="s">
        <v>41</v>
      </c>
      <c r="Z2722" s="21"/>
      <c r="AA2722" s="21" t="str">
        <f>HYPERLINK("https://miland.ru/api/getInfo/item/87d2deed-f739-11ee-a25d-00155d82e908")</f>
        <v>https://miland.ru/api/getInfo/item/87d2deed-f739-11ee-a25d-00155d82e908</v>
      </c>
      <c r="AB2722" s="21" t="s">
        <v>42</v>
      </c>
      <c r="AC2722" s="21" t="s">
        <v>9387</v>
      </c>
      <c r="AD2722" s="21"/>
    </row>
    <row r="2723" spans="2:31" s="1" customFormat="1" ht="96.3" customHeight="1" outlineLevel="5">
      <c r="B2723" s="57">
        <v>2113</v>
      </c>
      <c r="C2723" s="21" t="s">
        <v>9413</v>
      </c>
      <c r="D2723" s="72" t="s">
        <v>9414</v>
      </c>
      <c r="E2723" s="72"/>
      <c r="F2723" s="72"/>
      <c r="G2723" s="72"/>
      <c r="H2723" s="22" t="s">
        <v>9415</v>
      </c>
      <c r="I2723" s="27">
        <v>61</v>
      </c>
      <c r="J2723" s="22"/>
      <c r="K2723" s="20">
        <v>1</v>
      </c>
      <c r="L2723" s="24">
        <v>493.45</v>
      </c>
      <c r="M2723" s="11"/>
      <c r="N2723" s="22">
        <f t="shared" si="129"/>
        <v>0</v>
      </c>
      <c r="O2723" s="25">
        <f>0.111*M2723</f>
        <v>0</v>
      </c>
      <c r="P2723" s="26">
        <f>0.00035*M2723</f>
        <v>0</v>
      </c>
      <c r="Q2723" s="30"/>
      <c r="R2723" s="22" t="s">
        <v>9416</v>
      </c>
      <c r="S2723" s="22" t="s">
        <v>435</v>
      </c>
      <c r="T2723" s="21" t="str">
        <f>HYPERLINK("https://miland.ru/api/getInfo/image/fe65ee14-f73b-11ee-a25d-00155d82e908")</f>
        <v>https://miland.ru/api/getInfo/image/fe65ee14-f73b-11ee-a25d-00155d82e908</v>
      </c>
      <c r="U2723" s="21"/>
      <c r="V2723" s="21"/>
      <c r="W2723" s="21" t="s">
        <v>9143</v>
      </c>
      <c r="X2723" s="21"/>
      <c r="Y2723" s="21" t="s">
        <v>41</v>
      </c>
      <c r="Z2723" s="21"/>
      <c r="AA2723" s="21" t="str">
        <f>HYPERLINK("https://miland.ru/api/getInfo/item/fe65ee14-f73b-11ee-a25d-00155d82e908")</f>
        <v>https://miland.ru/api/getInfo/item/fe65ee14-f73b-11ee-a25d-00155d82e908</v>
      </c>
      <c r="AB2723" s="21" t="s">
        <v>42</v>
      </c>
      <c r="AC2723" s="21" t="s">
        <v>9387</v>
      </c>
      <c r="AD2723" s="21"/>
    </row>
    <row r="2724" spans="2:31" s="1" customFormat="1" ht="96.3" customHeight="1" outlineLevel="5">
      <c r="B2724" s="57">
        <v>2114</v>
      </c>
      <c r="C2724" s="21" t="s">
        <v>9417</v>
      </c>
      <c r="D2724" s="72" t="s">
        <v>9418</v>
      </c>
      <c r="E2724" s="72"/>
      <c r="F2724" s="72"/>
      <c r="G2724" s="72"/>
      <c r="H2724" s="22" t="s">
        <v>9419</v>
      </c>
      <c r="I2724" s="27">
        <v>59</v>
      </c>
      <c r="J2724" s="22"/>
      <c r="K2724" s="20">
        <v>1</v>
      </c>
      <c r="L2724" s="24">
        <v>427.99</v>
      </c>
      <c r="M2724" s="11"/>
      <c r="N2724" s="22">
        <f t="shared" si="129"/>
        <v>0</v>
      </c>
      <c r="O2724" s="25">
        <f>0.071*M2724</f>
        <v>0</v>
      </c>
      <c r="P2724" s="26">
        <f>0.00021*M2724</f>
        <v>0</v>
      </c>
      <c r="Q2724" s="30"/>
      <c r="R2724" s="22" t="s">
        <v>9420</v>
      </c>
      <c r="S2724" s="22" t="s">
        <v>435</v>
      </c>
      <c r="T2724" s="21" t="str">
        <f>HYPERLINK("https://miland.ru/api/getInfo/image/1f6268a8-f73b-11ee-a25d-00155d82e908")</f>
        <v>https://miland.ru/api/getInfo/image/1f6268a8-f73b-11ee-a25d-00155d82e908</v>
      </c>
      <c r="U2724" s="21"/>
      <c r="V2724" s="21"/>
      <c r="W2724" s="21" t="s">
        <v>9143</v>
      </c>
      <c r="X2724" s="21"/>
      <c r="Y2724" s="21" t="s">
        <v>41</v>
      </c>
      <c r="Z2724" s="21"/>
      <c r="AA2724" s="21" t="str">
        <f>HYPERLINK("https://miland.ru/api/getInfo/item/1f6268a8-f73b-11ee-a25d-00155d82e908")</f>
        <v>https://miland.ru/api/getInfo/item/1f6268a8-f73b-11ee-a25d-00155d82e908</v>
      </c>
      <c r="AB2724" s="21" t="s">
        <v>42</v>
      </c>
      <c r="AC2724" s="21" t="s">
        <v>9387</v>
      </c>
      <c r="AD2724" s="21"/>
    </row>
    <row r="2725" spans="2:31" s="1" customFormat="1" ht="96.3" customHeight="1" outlineLevel="5">
      <c r="B2725" s="59">
        <v>2115</v>
      </c>
      <c r="C2725" s="35" t="s">
        <v>9421</v>
      </c>
      <c r="D2725" s="73" t="s">
        <v>9422</v>
      </c>
      <c r="E2725" s="73"/>
      <c r="F2725" s="73"/>
      <c r="G2725" s="73"/>
      <c r="H2725" s="36" t="s">
        <v>9423</v>
      </c>
      <c r="I2725" s="40">
        <v>52</v>
      </c>
      <c r="J2725" s="36"/>
      <c r="K2725" s="34">
        <v>1</v>
      </c>
      <c r="L2725" s="41">
        <v>417.56</v>
      </c>
      <c r="M2725" s="11"/>
      <c r="N2725" s="36">
        <f t="shared" si="129"/>
        <v>0</v>
      </c>
      <c r="O2725" s="42">
        <f>0.063*M2725</f>
        <v>0</v>
      </c>
      <c r="P2725" s="43">
        <f>0.00022*M2725</f>
        <v>0</v>
      </c>
      <c r="Q2725" s="50"/>
      <c r="R2725" s="36" t="s">
        <v>9424</v>
      </c>
      <c r="S2725" s="36" t="s">
        <v>435</v>
      </c>
      <c r="T2725" s="35" t="str">
        <f>HYPERLINK("https://miland.ru/api/getInfo/image/aeaa611c-f73a-11ee-a25d-00155d82e908")</f>
        <v>https://miland.ru/api/getInfo/image/aeaa611c-f73a-11ee-a25d-00155d82e908</v>
      </c>
      <c r="U2725" s="35"/>
      <c r="V2725" s="35"/>
      <c r="W2725" s="35" t="s">
        <v>9143</v>
      </c>
      <c r="X2725" s="35"/>
      <c r="Y2725" s="35" t="s">
        <v>41</v>
      </c>
      <c r="Z2725" s="35"/>
      <c r="AA2725" s="35" t="str">
        <f>HYPERLINK("https://miland.ru/api/getInfo/item/aeaa611c-f73a-11ee-a25d-00155d82e908")</f>
        <v>https://miland.ru/api/getInfo/item/aeaa611c-f73a-11ee-a25d-00155d82e908</v>
      </c>
      <c r="AB2725" s="35" t="s">
        <v>42</v>
      </c>
      <c r="AC2725" s="35" t="s">
        <v>9387</v>
      </c>
      <c r="AD2725" s="35"/>
      <c r="AE2725" s="52" t="s">
        <v>9152</v>
      </c>
    </row>
    <row r="2726" spans="2:31" s="1" customFormat="1" ht="96.3" customHeight="1" outlineLevel="5">
      <c r="B2726" s="59">
        <v>2116</v>
      </c>
      <c r="C2726" s="35" t="s">
        <v>9425</v>
      </c>
      <c r="D2726" s="73" t="s">
        <v>9426</v>
      </c>
      <c r="E2726" s="73"/>
      <c r="F2726" s="73"/>
      <c r="G2726" s="73"/>
      <c r="H2726" s="36" t="s">
        <v>9427</v>
      </c>
      <c r="I2726" s="40">
        <v>89</v>
      </c>
      <c r="J2726" s="36"/>
      <c r="K2726" s="34">
        <v>1</v>
      </c>
      <c r="L2726" s="41">
        <v>417.56</v>
      </c>
      <c r="M2726" s="11"/>
      <c r="N2726" s="36">
        <f t="shared" si="129"/>
        <v>0</v>
      </c>
      <c r="O2726" s="42">
        <f>0.068*M2726</f>
        <v>0</v>
      </c>
      <c r="P2726" s="43">
        <f>0.00007*M2726</f>
        <v>0</v>
      </c>
      <c r="Q2726" s="50"/>
      <c r="R2726" s="36" t="s">
        <v>9428</v>
      </c>
      <c r="S2726" s="36" t="s">
        <v>435</v>
      </c>
      <c r="T2726" s="35" t="str">
        <f>HYPERLINK("https://miland.ru/api/getInfo/image/0173adb0-f73b-11ee-a25d-00155d82e908")</f>
        <v>https://miland.ru/api/getInfo/image/0173adb0-f73b-11ee-a25d-00155d82e908</v>
      </c>
      <c r="U2726" s="35"/>
      <c r="V2726" s="35"/>
      <c r="W2726" s="35" t="s">
        <v>9143</v>
      </c>
      <c r="X2726" s="35"/>
      <c r="Y2726" s="35" t="s">
        <v>41</v>
      </c>
      <c r="Z2726" s="35"/>
      <c r="AA2726" s="35" t="str">
        <f>HYPERLINK("https://miland.ru/api/getInfo/item/0173adb0-f73b-11ee-a25d-00155d82e908")</f>
        <v>https://miland.ru/api/getInfo/item/0173adb0-f73b-11ee-a25d-00155d82e908</v>
      </c>
      <c r="AB2726" s="35" t="s">
        <v>42</v>
      </c>
      <c r="AC2726" s="35" t="s">
        <v>9387</v>
      </c>
      <c r="AD2726" s="35"/>
      <c r="AE2726" s="52" t="s">
        <v>9152</v>
      </c>
    </row>
    <row r="2727" spans="2:31" ht="12" customHeight="1" outlineLevel="3">
      <c r="B2727" s="70" t="s">
        <v>9429</v>
      </c>
      <c r="C2727" s="70"/>
      <c r="D2727" s="70"/>
      <c r="E2727" s="70"/>
      <c r="F2727" s="70"/>
      <c r="G2727" s="70"/>
    </row>
    <row r="2728" spans="2:31" ht="12" customHeight="1" outlineLevel="4">
      <c r="B2728" s="70" t="s">
        <v>9430</v>
      </c>
      <c r="C2728" s="70"/>
      <c r="D2728" s="70"/>
      <c r="E2728" s="70"/>
      <c r="F2728" s="70"/>
      <c r="G2728" s="70"/>
    </row>
    <row r="2729" spans="2:31" ht="12" customHeight="1" outlineLevel="5">
      <c r="B2729" s="70" t="s">
        <v>9431</v>
      </c>
      <c r="C2729" s="70"/>
      <c r="D2729" s="70"/>
      <c r="E2729" s="70"/>
      <c r="F2729" s="70"/>
      <c r="G2729" s="70"/>
    </row>
    <row r="2730" spans="2:31" s="1" customFormat="1" ht="96.3" customHeight="1" outlineLevel="6">
      <c r="B2730" s="57">
        <v>2117</v>
      </c>
      <c r="C2730" s="21" t="s">
        <v>9432</v>
      </c>
      <c r="D2730" s="72" t="s">
        <v>9433</v>
      </c>
      <c r="E2730" s="72"/>
      <c r="F2730" s="72"/>
      <c r="G2730" s="72"/>
      <c r="H2730" s="22" t="s">
        <v>9434</v>
      </c>
      <c r="I2730" s="27">
        <v>169</v>
      </c>
      <c r="J2730" s="22"/>
      <c r="K2730" s="20">
        <v>5</v>
      </c>
      <c r="L2730" s="24">
        <v>137.76</v>
      </c>
      <c r="M2730" s="11"/>
      <c r="N2730" s="22">
        <f>L2730*M2730</f>
        <v>0</v>
      </c>
      <c r="O2730" s="25">
        <f>0.062*M2730</f>
        <v>0</v>
      </c>
      <c r="P2730" s="26">
        <f>0.00015*M2730</f>
        <v>0</v>
      </c>
      <c r="Q2730" s="30"/>
      <c r="R2730" s="22" t="s">
        <v>9435</v>
      </c>
      <c r="S2730" s="22"/>
      <c r="T2730" s="21" t="str">
        <f>HYPERLINK("https://miland.ru/api/getInfo/image/7beb8fbe-2ca9-11e6-b4ab-5cf3fc4a2490")</f>
        <v>https://miland.ru/api/getInfo/image/7beb8fbe-2ca9-11e6-b4ab-5cf3fc4a2490</v>
      </c>
      <c r="U2730" s="21"/>
      <c r="V2730" s="21"/>
      <c r="W2730" s="21"/>
      <c r="X2730" s="21"/>
      <c r="Y2730" s="21" t="s">
        <v>41</v>
      </c>
      <c r="Z2730" s="21"/>
      <c r="AA2730" s="21" t="str">
        <f>HYPERLINK("https://miland.ru/api/getInfo/item/7beb8fbe-2ca9-11e6-b4ab-5cf3fc4a2490")</f>
        <v>https://miland.ru/api/getInfo/item/7beb8fbe-2ca9-11e6-b4ab-5cf3fc4a2490</v>
      </c>
      <c r="AB2730" s="21" t="s">
        <v>50</v>
      </c>
      <c r="AC2730" s="21" t="s">
        <v>9257</v>
      </c>
      <c r="AD2730" s="21"/>
    </row>
    <row r="2731" spans="2:31" s="1" customFormat="1" ht="96.3" customHeight="1" outlineLevel="6">
      <c r="B2731" s="57">
        <v>2118</v>
      </c>
      <c r="C2731" s="21" t="s">
        <v>9436</v>
      </c>
      <c r="D2731" s="72" t="s">
        <v>9437</v>
      </c>
      <c r="E2731" s="72"/>
      <c r="F2731" s="72"/>
      <c r="G2731" s="72"/>
      <c r="H2731" s="22" t="s">
        <v>9438</v>
      </c>
      <c r="I2731" s="27">
        <v>71</v>
      </c>
      <c r="J2731" s="22"/>
      <c r="K2731" s="20">
        <v>5</v>
      </c>
      <c r="L2731" s="24">
        <v>137.76</v>
      </c>
      <c r="M2731" s="11"/>
      <c r="N2731" s="22">
        <f>L2731*M2731</f>
        <v>0</v>
      </c>
      <c r="O2731" s="25">
        <f>0.062*M2731</f>
        <v>0</v>
      </c>
      <c r="P2731" s="26">
        <f>0.00009*M2731</f>
        <v>0</v>
      </c>
      <c r="Q2731" s="30"/>
      <c r="R2731" s="22" t="s">
        <v>9439</v>
      </c>
      <c r="S2731" s="22"/>
      <c r="T2731" s="21" t="str">
        <f>HYPERLINK("https://miland.ru/api/getInfo/image/4df5631e-2ca9-11e6-b4ab-5cf3fc4a2490")</f>
        <v>https://miland.ru/api/getInfo/image/4df5631e-2ca9-11e6-b4ab-5cf3fc4a2490</v>
      </c>
      <c r="U2731" s="21"/>
      <c r="V2731" s="21"/>
      <c r="W2731" s="21"/>
      <c r="X2731" s="21"/>
      <c r="Y2731" s="21" t="s">
        <v>41</v>
      </c>
      <c r="Z2731" s="21"/>
      <c r="AA2731" s="21" t="str">
        <f>HYPERLINK("https://miland.ru/api/getInfo/item/4df5631e-2ca9-11e6-b4ab-5cf3fc4a2490")</f>
        <v>https://miland.ru/api/getInfo/item/4df5631e-2ca9-11e6-b4ab-5cf3fc4a2490</v>
      </c>
      <c r="AB2731" s="21" t="s">
        <v>50</v>
      </c>
      <c r="AC2731" s="21" t="s">
        <v>9257</v>
      </c>
      <c r="AD2731" s="21"/>
    </row>
    <row r="2732" spans="2:31" s="1" customFormat="1" ht="96.3" customHeight="1" outlineLevel="6">
      <c r="B2732" s="57">
        <v>2119</v>
      </c>
      <c r="C2732" s="21" t="s">
        <v>9440</v>
      </c>
      <c r="D2732" s="72" t="s">
        <v>9441</v>
      </c>
      <c r="E2732" s="72"/>
      <c r="F2732" s="72"/>
      <c r="G2732" s="72"/>
      <c r="H2732" s="22" t="s">
        <v>9442</v>
      </c>
      <c r="I2732" s="27">
        <v>17</v>
      </c>
      <c r="J2732" s="22"/>
      <c r="K2732" s="20">
        <v>5</v>
      </c>
      <c r="L2732" s="24">
        <v>137.76</v>
      </c>
      <c r="M2732" s="11"/>
      <c r="N2732" s="22">
        <f>L2732*M2732</f>
        <v>0</v>
      </c>
      <c r="O2732" s="25">
        <f>0.065*M2732</f>
        <v>0</v>
      </c>
      <c r="P2732" s="26">
        <f>0.00012*M2732</f>
        <v>0</v>
      </c>
      <c r="Q2732" s="30"/>
      <c r="R2732" s="22" t="s">
        <v>9443</v>
      </c>
      <c r="S2732" s="22"/>
      <c r="T2732" s="21" t="str">
        <f>HYPERLINK("https://miland.ru/api/getInfo/image/63248420-9f91-11e7-b8ef-5cf3fc4a2490")</f>
        <v>https://miland.ru/api/getInfo/image/63248420-9f91-11e7-b8ef-5cf3fc4a2490</v>
      </c>
      <c r="U2732" s="21"/>
      <c r="V2732" s="21"/>
      <c r="W2732" s="21"/>
      <c r="X2732" s="21"/>
      <c r="Y2732" s="21" t="s">
        <v>41</v>
      </c>
      <c r="Z2732" s="21"/>
      <c r="AA2732" s="21" t="str">
        <f>HYPERLINK("https://miland.ru/api/getInfo/item/63248420-9f91-11e7-b8ef-5cf3fc4a2490")</f>
        <v>https://miland.ru/api/getInfo/item/63248420-9f91-11e7-b8ef-5cf3fc4a2490</v>
      </c>
      <c r="AB2732" s="21" t="s">
        <v>50</v>
      </c>
      <c r="AC2732" s="21" t="s">
        <v>9257</v>
      </c>
      <c r="AD2732" s="21"/>
    </row>
    <row r="2733" spans="2:31" s="1" customFormat="1" ht="96.3" customHeight="1" outlineLevel="6">
      <c r="B2733" s="57">
        <v>2120</v>
      </c>
      <c r="C2733" s="21" t="s">
        <v>9444</v>
      </c>
      <c r="D2733" s="72" t="s">
        <v>9445</v>
      </c>
      <c r="E2733" s="72"/>
      <c r="F2733" s="72"/>
      <c r="G2733" s="72"/>
      <c r="H2733" s="22" t="s">
        <v>9446</v>
      </c>
      <c r="I2733" s="27">
        <v>82</v>
      </c>
      <c r="J2733" s="22"/>
      <c r="K2733" s="20">
        <v>5</v>
      </c>
      <c r="L2733" s="24">
        <v>137.76</v>
      </c>
      <c r="M2733" s="11"/>
      <c r="N2733" s="22">
        <f>L2733*M2733</f>
        <v>0</v>
      </c>
      <c r="O2733" s="25">
        <f>0.069*M2733</f>
        <v>0</v>
      </c>
      <c r="P2733" s="29">
        <f>0.0002*M2733</f>
        <v>0</v>
      </c>
      <c r="Q2733" s="30"/>
      <c r="R2733" s="22" t="s">
        <v>9447</v>
      </c>
      <c r="S2733" s="22"/>
      <c r="T2733" s="21" t="str">
        <f>HYPERLINK("https://miland.ru/api/getInfo/image/373e23fe-2ca9-11e6-b4ab-5cf3fc4a2490")</f>
        <v>https://miland.ru/api/getInfo/image/373e23fe-2ca9-11e6-b4ab-5cf3fc4a2490</v>
      </c>
      <c r="U2733" s="21"/>
      <c r="V2733" s="21"/>
      <c r="W2733" s="21"/>
      <c r="X2733" s="21"/>
      <c r="Y2733" s="21" t="s">
        <v>41</v>
      </c>
      <c r="Z2733" s="21"/>
      <c r="AA2733" s="21" t="str">
        <f>HYPERLINK("https://miland.ru/api/getInfo/item/373e23fe-2ca9-11e6-b4ab-5cf3fc4a2490")</f>
        <v>https://miland.ru/api/getInfo/item/373e23fe-2ca9-11e6-b4ab-5cf3fc4a2490</v>
      </c>
      <c r="AB2733" s="21" t="s">
        <v>50</v>
      </c>
      <c r="AC2733" s="21" t="s">
        <v>9257</v>
      </c>
      <c r="AD2733" s="21"/>
    </row>
    <row r="2734" spans="2:31" ht="12" customHeight="1" outlineLevel="4">
      <c r="B2734" s="70" t="s">
        <v>9448</v>
      </c>
      <c r="C2734" s="70"/>
      <c r="D2734" s="70"/>
      <c r="E2734" s="70"/>
      <c r="F2734" s="70"/>
      <c r="G2734" s="70"/>
    </row>
    <row r="2735" spans="2:31" s="1" customFormat="1" ht="96.3" customHeight="1" outlineLevel="5">
      <c r="B2735" s="57">
        <v>2121</v>
      </c>
      <c r="C2735" s="21" t="s">
        <v>9449</v>
      </c>
      <c r="D2735" s="72" t="s">
        <v>9450</v>
      </c>
      <c r="E2735" s="72"/>
      <c r="F2735" s="72"/>
      <c r="G2735" s="72"/>
      <c r="H2735" s="22" t="s">
        <v>9451</v>
      </c>
      <c r="I2735" s="23" t="s">
        <v>36</v>
      </c>
      <c r="J2735" s="22"/>
      <c r="K2735" s="20">
        <v>4</v>
      </c>
      <c r="L2735" s="24">
        <v>171.49</v>
      </c>
      <c r="M2735" s="11"/>
      <c r="N2735" s="22">
        <f>L2735*M2735</f>
        <v>0</v>
      </c>
      <c r="O2735" s="25">
        <f>0.093*M2735</f>
        <v>0</v>
      </c>
      <c r="P2735" s="26">
        <f>0.00073*M2735</f>
        <v>0</v>
      </c>
      <c r="Q2735" s="30"/>
      <c r="R2735" s="22" t="s">
        <v>9452</v>
      </c>
      <c r="S2735" s="22"/>
      <c r="T2735" s="21" t="str">
        <f>HYPERLINK("https://miland.ru/api/getInfo/image/1bb64560-e861-11ef-a274-00155d82e908")</f>
        <v>https://miland.ru/api/getInfo/image/1bb64560-e861-11ef-a274-00155d82e908</v>
      </c>
      <c r="U2735" s="21"/>
      <c r="V2735" s="21"/>
      <c r="W2735" s="21" t="s">
        <v>4899</v>
      </c>
      <c r="X2735" s="21"/>
      <c r="Y2735" s="21" t="s">
        <v>41</v>
      </c>
      <c r="Z2735" s="21"/>
      <c r="AA2735" s="21" t="str">
        <f>HYPERLINK("https://miland.ru/api/getInfo/item/1bb64560-e861-11ef-a274-00155d82e908")</f>
        <v>https://miland.ru/api/getInfo/item/1bb64560-e861-11ef-a274-00155d82e908</v>
      </c>
      <c r="AB2735" s="21" t="s">
        <v>50</v>
      </c>
      <c r="AC2735" s="21"/>
      <c r="AD2735" s="21"/>
    </row>
    <row r="2736" spans="2:31" s="1" customFormat="1" ht="96.3" customHeight="1" outlineLevel="5">
      <c r="B2736" s="57">
        <v>2122</v>
      </c>
      <c r="C2736" s="21" t="s">
        <v>9453</v>
      </c>
      <c r="D2736" s="72" t="s">
        <v>9454</v>
      </c>
      <c r="E2736" s="72"/>
      <c r="F2736" s="72"/>
      <c r="G2736" s="72"/>
      <c r="H2736" s="22" t="s">
        <v>9455</v>
      </c>
      <c r="I2736" s="23" t="s">
        <v>36</v>
      </c>
      <c r="J2736" s="22"/>
      <c r="K2736" s="20">
        <v>4</v>
      </c>
      <c r="L2736" s="24">
        <v>171.49</v>
      </c>
      <c r="M2736" s="11"/>
      <c r="N2736" s="22">
        <f>L2736*M2736</f>
        <v>0</v>
      </c>
      <c r="O2736" s="25">
        <f>0.115*M2736</f>
        <v>0</v>
      </c>
      <c r="P2736" s="26">
        <f>0.00032*M2736</f>
        <v>0</v>
      </c>
      <c r="Q2736" s="30"/>
      <c r="R2736" s="22" t="s">
        <v>9456</v>
      </c>
      <c r="S2736" s="22"/>
      <c r="T2736" s="21" t="str">
        <f>HYPERLINK("https://miland.ru/api/getInfo/image/72d9e4f3-6f10-11ee-a247-00155d82e902")</f>
        <v>https://miland.ru/api/getInfo/image/72d9e4f3-6f10-11ee-a247-00155d82e902</v>
      </c>
      <c r="U2736" s="21"/>
      <c r="V2736" s="21"/>
      <c r="W2736" s="21"/>
      <c r="X2736" s="21"/>
      <c r="Y2736" s="21" t="s">
        <v>41</v>
      </c>
      <c r="Z2736" s="21"/>
      <c r="AA2736" s="21" t="str">
        <f>HYPERLINK("https://miland.ru/api/getInfo/item/72d9e4f3-6f10-11ee-a247-00155d82e902")</f>
        <v>https://miland.ru/api/getInfo/item/72d9e4f3-6f10-11ee-a247-00155d82e902</v>
      </c>
      <c r="AB2736" s="21" t="s">
        <v>50</v>
      </c>
      <c r="AC2736" s="21"/>
      <c r="AD2736" s="21"/>
    </row>
    <row r="2737" spans="2:31" s="1" customFormat="1" ht="96.3" customHeight="1" outlineLevel="5">
      <c r="B2737" s="57">
        <v>2123</v>
      </c>
      <c r="C2737" s="21" t="s">
        <v>9457</v>
      </c>
      <c r="D2737" s="72" t="s">
        <v>9458</v>
      </c>
      <c r="E2737" s="72"/>
      <c r="F2737" s="72"/>
      <c r="G2737" s="72"/>
      <c r="H2737" s="22" t="s">
        <v>9459</v>
      </c>
      <c r="I2737" s="27">
        <v>324</v>
      </c>
      <c r="J2737" s="22"/>
      <c r="K2737" s="20">
        <v>4</v>
      </c>
      <c r="L2737" s="24">
        <v>173.69</v>
      </c>
      <c r="M2737" s="11"/>
      <c r="N2737" s="22">
        <f>L2737*M2737</f>
        <v>0</v>
      </c>
      <c r="O2737" s="28">
        <f>0.14*M2737</f>
        <v>0</v>
      </c>
      <c r="P2737" s="26">
        <f>0.00022*M2737</f>
        <v>0</v>
      </c>
      <c r="Q2737" s="30"/>
      <c r="R2737" s="22" t="s">
        <v>9460</v>
      </c>
      <c r="S2737" s="22"/>
      <c r="T2737" s="21" t="str">
        <f>HYPERLINK("https://miland.ru/api/getInfo/image/7259c6e9-e861-11ef-a274-00155d82e908")</f>
        <v>https://miland.ru/api/getInfo/image/7259c6e9-e861-11ef-a274-00155d82e908</v>
      </c>
      <c r="U2737" s="21"/>
      <c r="V2737" s="21"/>
      <c r="W2737" s="21"/>
      <c r="X2737" s="21"/>
      <c r="Y2737" s="21" t="s">
        <v>41</v>
      </c>
      <c r="Z2737" s="21"/>
      <c r="AA2737" s="21" t="str">
        <f>HYPERLINK("https://miland.ru/api/getInfo/item/7259c6e9-e861-11ef-a274-00155d82e908")</f>
        <v>https://miland.ru/api/getInfo/item/7259c6e9-e861-11ef-a274-00155d82e908</v>
      </c>
      <c r="AB2737" s="21" t="s">
        <v>50</v>
      </c>
      <c r="AC2737" s="21"/>
      <c r="AD2737" s="21"/>
    </row>
    <row r="2738" spans="2:31" s="1" customFormat="1" ht="96.3" customHeight="1" outlineLevel="5">
      <c r="B2738" s="57">
        <v>2124</v>
      </c>
      <c r="C2738" s="21" t="s">
        <v>9461</v>
      </c>
      <c r="D2738" s="72" t="s">
        <v>9462</v>
      </c>
      <c r="E2738" s="72"/>
      <c r="F2738" s="72"/>
      <c r="G2738" s="72"/>
      <c r="H2738" s="22" t="s">
        <v>9463</v>
      </c>
      <c r="I2738" s="27">
        <v>83</v>
      </c>
      <c r="J2738" s="22"/>
      <c r="K2738" s="20">
        <v>4</v>
      </c>
      <c r="L2738" s="24">
        <v>173.69</v>
      </c>
      <c r="M2738" s="11"/>
      <c r="N2738" s="22">
        <f>L2738*M2738</f>
        <v>0</v>
      </c>
      <c r="O2738" s="25">
        <f>0.146*M2738</f>
        <v>0</v>
      </c>
      <c r="P2738" s="26">
        <f>0.00034*M2738</f>
        <v>0</v>
      </c>
      <c r="Q2738" s="30"/>
      <c r="R2738" s="22" t="s">
        <v>9464</v>
      </c>
      <c r="S2738" s="22"/>
      <c r="T2738" s="21" t="str">
        <f>HYPERLINK("https://miland.ru/api/getInfo/image/a78c655d-e861-11ef-a274-00155d82e908")</f>
        <v>https://miland.ru/api/getInfo/image/a78c655d-e861-11ef-a274-00155d82e908</v>
      </c>
      <c r="U2738" s="21"/>
      <c r="V2738" s="21"/>
      <c r="W2738" s="21"/>
      <c r="X2738" s="21"/>
      <c r="Y2738" s="21" t="s">
        <v>41</v>
      </c>
      <c r="Z2738" s="21"/>
      <c r="AA2738" s="21" t="str">
        <f>HYPERLINK("https://miland.ru/api/getInfo/item/a78c655d-e861-11ef-a274-00155d82e908")</f>
        <v>https://miland.ru/api/getInfo/item/a78c655d-e861-11ef-a274-00155d82e908</v>
      </c>
      <c r="AB2738" s="21" t="s">
        <v>50</v>
      </c>
      <c r="AC2738" s="21"/>
      <c r="AD2738" s="21"/>
    </row>
    <row r="2739" spans="2:31" s="1" customFormat="1" ht="96.3" customHeight="1" outlineLevel="5">
      <c r="B2739" s="57">
        <v>2125</v>
      </c>
      <c r="C2739" s="21" t="s">
        <v>9465</v>
      </c>
      <c r="D2739" s="72" t="s">
        <v>9466</v>
      </c>
      <c r="E2739" s="72"/>
      <c r="F2739" s="72"/>
      <c r="G2739" s="72"/>
      <c r="H2739" s="22" t="s">
        <v>9467</v>
      </c>
      <c r="I2739" s="27">
        <v>241</v>
      </c>
      <c r="J2739" s="22"/>
      <c r="K2739" s="20">
        <v>2</v>
      </c>
      <c r="L2739" s="24">
        <v>350.21</v>
      </c>
      <c r="M2739" s="11"/>
      <c r="N2739" s="22">
        <f>L2739*M2739</f>
        <v>0</v>
      </c>
      <c r="O2739" s="28">
        <f>0.26*M2739</f>
        <v>0</v>
      </c>
      <c r="P2739" s="26">
        <f>0.00014*M2739</f>
        <v>0</v>
      </c>
      <c r="Q2739" s="30"/>
      <c r="R2739" s="22" t="s">
        <v>9468</v>
      </c>
      <c r="S2739" s="22"/>
      <c r="T2739" s="21" t="str">
        <f>HYPERLINK("https://miland.ru/api/getInfo/image/47861fe1-e861-11ef-a274-00155d82e908")</f>
        <v>https://miland.ru/api/getInfo/image/47861fe1-e861-11ef-a274-00155d82e908</v>
      </c>
      <c r="U2739" s="21"/>
      <c r="V2739" s="21"/>
      <c r="W2739" s="21"/>
      <c r="X2739" s="21"/>
      <c r="Y2739" s="21" t="s">
        <v>41</v>
      </c>
      <c r="Z2739" s="21"/>
      <c r="AA2739" s="21" t="str">
        <f>HYPERLINK("https://miland.ru/api/getInfo/item/47861fe1-e861-11ef-a274-00155d82e908")</f>
        <v>https://miland.ru/api/getInfo/item/47861fe1-e861-11ef-a274-00155d82e908</v>
      </c>
      <c r="AB2739" s="21" t="s">
        <v>50</v>
      </c>
      <c r="AC2739" s="21"/>
      <c r="AD2739" s="21"/>
    </row>
    <row r="2740" spans="2:31" ht="12" customHeight="1" outlineLevel="3">
      <c r="B2740" s="70" t="s">
        <v>9469</v>
      </c>
      <c r="C2740" s="70"/>
      <c r="D2740" s="70"/>
      <c r="E2740" s="70"/>
      <c r="F2740" s="70"/>
      <c r="G2740" s="70"/>
    </row>
    <row r="2741" spans="2:31" s="1" customFormat="1" ht="96.3" customHeight="1" outlineLevel="4">
      <c r="B2741" s="57">
        <v>2126</v>
      </c>
      <c r="C2741" s="21" t="s">
        <v>9470</v>
      </c>
      <c r="D2741" s="72" t="s">
        <v>9471</v>
      </c>
      <c r="E2741" s="72"/>
      <c r="F2741" s="72"/>
      <c r="G2741" s="72"/>
      <c r="H2741" s="22" t="s">
        <v>9472</v>
      </c>
      <c r="I2741" s="27">
        <v>151</v>
      </c>
      <c r="J2741" s="22"/>
      <c r="K2741" s="20">
        <v>1</v>
      </c>
      <c r="L2741" s="24">
        <v>635.99</v>
      </c>
      <c r="M2741" s="11"/>
      <c r="N2741" s="22">
        <f>L2741*M2741</f>
        <v>0</v>
      </c>
      <c r="O2741" s="25">
        <f>0.416*M2741</f>
        <v>0</v>
      </c>
      <c r="P2741" s="29">
        <f>0.0034*M2741</f>
        <v>0</v>
      </c>
      <c r="Q2741" s="30"/>
      <c r="R2741" s="22" t="s">
        <v>9473</v>
      </c>
      <c r="S2741" s="22"/>
      <c r="T2741" s="21" t="str">
        <f>HYPERLINK("https://miland.ru/api/getInfo/image/2fab8221-3238-11f0-a27c-00155d82e908")</f>
        <v>https://miland.ru/api/getInfo/image/2fab8221-3238-11f0-a27c-00155d82e908</v>
      </c>
      <c r="U2741" s="21"/>
      <c r="V2741" s="21" t="s">
        <v>9474</v>
      </c>
      <c r="W2741" s="21" t="s">
        <v>9475</v>
      </c>
      <c r="X2741" s="21"/>
      <c r="Y2741" s="21" t="s">
        <v>41</v>
      </c>
      <c r="Z2741" s="21"/>
      <c r="AA2741" s="21" t="str">
        <f>HYPERLINK("https://miland.ru/api/getInfo/item/2fab8221-3238-11f0-a27c-00155d82e908")</f>
        <v>https://miland.ru/api/getInfo/item/2fab8221-3238-11f0-a27c-00155d82e908</v>
      </c>
      <c r="AB2741" s="21" t="s">
        <v>50</v>
      </c>
      <c r="AC2741" s="21"/>
      <c r="AD2741" s="21"/>
    </row>
    <row r="2742" spans="2:31" s="1" customFormat="1" ht="96.3" customHeight="1" outlineLevel="4">
      <c r="B2742" s="57">
        <v>2127</v>
      </c>
      <c r="C2742" s="21" t="s">
        <v>9476</v>
      </c>
      <c r="D2742" s="72" t="s">
        <v>9477</v>
      </c>
      <c r="E2742" s="72"/>
      <c r="F2742" s="72"/>
      <c r="G2742" s="72"/>
      <c r="H2742" s="22" t="s">
        <v>9478</v>
      </c>
      <c r="I2742" s="27">
        <v>210</v>
      </c>
      <c r="J2742" s="22"/>
      <c r="K2742" s="20">
        <v>1</v>
      </c>
      <c r="L2742" s="24">
        <v>635.99</v>
      </c>
      <c r="M2742" s="11"/>
      <c r="N2742" s="22">
        <f>L2742*M2742</f>
        <v>0</v>
      </c>
      <c r="O2742" s="25">
        <f>0.404*M2742</f>
        <v>0</v>
      </c>
      <c r="P2742" s="26">
        <f>0.00355*M2742</f>
        <v>0</v>
      </c>
      <c r="Q2742" s="30"/>
      <c r="R2742" s="22" t="s">
        <v>9479</v>
      </c>
      <c r="S2742" s="22"/>
      <c r="T2742" s="21" t="str">
        <f>HYPERLINK("https://miland.ru/api/getInfo/image/dd7265eb-3237-11f0-a27c-00155d82e908")</f>
        <v>https://miland.ru/api/getInfo/image/dd7265eb-3237-11f0-a27c-00155d82e908</v>
      </c>
      <c r="U2742" s="21"/>
      <c r="V2742" s="21" t="s">
        <v>9474</v>
      </c>
      <c r="W2742" s="21" t="s">
        <v>9475</v>
      </c>
      <c r="X2742" s="21"/>
      <c r="Y2742" s="21" t="s">
        <v>41</v>
      </c>
      <c r="Z2742" s="21"/>
      <c r="AA2742" s="21" t="str">
        <f>HYPERLINK("https://miland.ru/api/getInfo/item/dd7265eb-3237-11f0-a27c-00155d82e908")</f>
        <v>https://miland.ru/api/getInfo/item/dd7265eb-3237-11f0-a27c-00155d82e908</v>
      </c>
      <c r="AB2742" s="21" t="s">
        <v>50</v>
      </c>
      <c r="AC2742" s="21"/>
      <c r="AD2742" s="21"/>
    </row>
    <row r="2743" spans="2:31" s="1" customFormat="1" ht="96.3" customHeight="1" outlineLevel="4">
      <c r="B2743" s="57">
        <v>2128</v>
      </c>
      <c r="C2743" s="21" t="s">
        <v>9480</v>
      </c>
      <c r="D2743" s="72" t="s">
        <v>9481</v>
      </c>
      <c r="E2743" s="72"/>
      <c r="F2743" s="72"/>
      <c r="G2743" s="72"/>
      <c r="H2743" s="22" t="s">
        <v>9482</v>
      </c>
      <c r="I2743" s="27">
        <v>222</v>
      </c>
      <c r="J2743" s="22"/>
      <c r="K2743" s="20">
        <v>1</v>
      </c>
      <c r="L2743" s="24">
        <v>635.99</v>
      </c>
      <c r="M2743" s="11"/>
      <c r="N2743" s="22">
        <f>L2743*M2743</f>
        <v>0</v>
      </c>
      <c r="O2743" s="25">
        <f>0.411*M2743</f>
        <v>0</v>
      </c>
      <c r="P2743" s="26">
        <f>0.00356*M2743</f>
        <v>0</v>
      </c>
      <c r="Q2743" s="30"/>
      <c r="R2743" s="22" t="s">
        <v>9483</v>
      </c>
      <c r="S2743" s="22"/>
      <c r="T2743" s="21" t="str">
        <f>HYPERLINK("https://miland.ru/api/getInfo/image/5d0cda52-3238-11f0-a27c-00155d82e908")</f>
        <v>https://miland.ru/api/getInfo/image/5d0cda52-3238-11f0-a27c-00155d82e908</v>
      </c>
      <c r="U2743" s="21"/>
      <c r="V2743" s="21" t="s">
        <v>9474</v>
      </c>
      <c r="W2743" s="21" t="s">
        <v>9475</v>
      </c>
      <c r="X2743" s="21"/>
      <c r="Y2743" s="21" t="s">
        <v>41</v>
      </c>
      <c r="Z2743" s="21"/>
      <c r="AA2743" s="21" t="str">
        <f>HYPERLINK("https://miland.ru/api/getInfo/item/5d0cda52-3238-11f0-a27c-00155d82e908")</f>
        <v>https://miland.ru/api/getInfo/item/5d0cda52-3238-11f0-a27c-00155d82e908</v>
      </c>
      <c r="AB2743" s="21" t="s">
        <v>50</v>
      </c>
      <c r="AC2743" s="21"/>
      <c r="AD2743" s="21"/>
    </row>
    <row r="2744" spans="2:31" s="1" customFormat="1" ht="96.3" customHeight="1" outlineLevel="4">
      <c r="B2744" s="57">
        <v>2129</v>
      </c>
      <c r="C2744" s="21" t="s">
        <v>9484</v>
      </c>
      <c r="D2744" s="72" t="s">
        <v>9485</v>
      </c>
      <c r="E2744" s="72"/>
      <c r="F2744" s="72"/>
      <c r="G2744" s="72"/>
      <c r="H2744" s="22" t="s">
        <v>9486</v>
      </c>
      <c r="I2744" s="27">
        <v>56</v>
      </c>
      <c r="J2744" s="22"/>
      <c r="K2744" s="20">
        <v>1</v>
      </c>
      <c r="L2744" s="24">
        <v>635.99</v>
      </c>
      <c r="M2744" s="11"/>
      <c r="N2744" s="22">
        <f>L2744*M2744</f>
        <v>0</v>
      </c>
      <c r="O2744" s="25">
        <f>0.408*M2744</f>
        <v>0</v>
      </c>
      <c r="P2744" s="26">
        <f>0.00356*M2744</f>
        <v>0</v>
      </c>
      <c r="Q2744" s="30"/>
      <c r="R2744" s="22" t="s">
        <v>9487</v>
      </c>
      <c r="S2744" s="22"/>
      <c r="T2744" s="21" t="str">
        <f>HYPERLINK("https://miland.ru/api/getInfo/image/821c0652-0311-11f0-a277-00155d82e908")</f>
        <v>https://miland.ru/api/getInfo/image/821c0652-0311-11f0-a277-00155d82e908</v>
      </c>
      <c r="U2744" s="21"/>
      <c r="V2744" s="21" t="s">
        <v>9474</v>
      </c>
      <c r="W2744" s="21" t="s">
        <v>9475</v>
      </c>
      <c r="X2744" s="21"/>
      <c r="Y2744" s="21" t="s">
        <v>41</v>
      </c>
      <c r="Z2744" s="21"/>
      <c r="AA2744" s="21" t="str">
        <f>HYPERLINK("https://miland.ru/api/getInfo/item/821c0652-0311-11f0-a277-00155d82e908")</f>
        <v>https://miland.ru/api/getInfo/item/821c0652-0311-11f0-a277-00155d82e908</v>
      </c>
      <c r="AB2744" s="21" t="s">
        <v>50</v>
      </c>
      <c r="AC2744" s="21"/>
      <c r="AD2744" s="21"/>
    </row>
    <row r="2745" spans="2:31" s="1" customFormat="1" ht="96.3" customHeight="1" outlineLevel="4">
      <c r="B2745" s="57">
        <v>2130</v>
      </c>
      <c r="C2745" s="21" t="s">
        <v>9488</v>
      </c>
      <c r="D2745" s="72" t="s">
        <v>9489</v>
      </c>
      <c r="E2745" s="72"/>
      <c r="F2745" s="72"/>
      <c r="G2745" s="72"/>
      <c r="H2745" s="22" t="s">
        <v>9490</v>
      </c>
      <c r="I2745" s="27">
        <v>48</v>
      </c>
      <c r="J2745" s="22"/>
      <c r="K2745" s="20">
        <v>1</v>
      </c>
      <c r="L2745" s="24">
        <v>635.99</v>
      </c>
      <c r="M2745" s="11"/>
      <c r="N2745" s="22">
        <f>L2745*M2745</f>
        <v>0</v>
      </c>
      <c r="O2745" s="33">
        <f>0.4*M2745</f>
        <v>0</v>
      </c>
      <c r="P2745" s="29">
        <f>0.0033*M2745</f>
        <v>0</v>
      </c>
      <c r="Q2745" s="30"/>
      <c r="R2745" s="22" t="s">
        <v>9491</v>
      </c>
      <c r="S2745" s="22"/>
      <c r="T2745" s="21" t="str">
        <f>HYPERLINK("https://miland.ru/api/getInfo/image/3951c8b9-0311-11f0-a277-00155d82e908")</f>
        <v>https://miland.ru/api/getInfo/image/3951c8b9-0311-11f0-a277-00155d82e908</v>
      </c>
      <c r="U2745" s="21"/>
      <c r="V2745" s="21" t="s">
        <v>9474</v>
      </c>
      <c r="W2745" s="21" t="s">
        <v>9475</v>
      </c>
      <c r="X2745" s="21"/>
      <c r="Y2745" s="21" t="s">
        <v>41</v>
      </c>
      <c r="Z2745" s="21"/>
      <c r="AA2745" s="21" t="str">
        <f>HYPERLINK("https://miland.ru/api/getInfo/item/3951c8b9-0311-11f0-a277-00155d82e908")</f>
        <v>https://miland.ru/api/getInfo/item/3951c8b9-0311-11f0-a277-00155d82e908</v>
      </c>
      <c r="AB2745" s="21" t="s">
        <v>50</v>
      </c>
      <c r="AC2745" s="21"/>
      <c r="AD2745" s="21"/>
    </row>
    <row r="2746" spans="2:31" ht="12" customHeight="1" outlineLevel="2">
      <c r="B2746" s="69" t="s">
        <v>9492</v>
      </c>
      <c r="C2746" s="69"/>
      <c r="D2746" s="69"/>
      <c r="E2746" s="69"/>
      <c r="F2746" s="69"/>
      <c r="G2746" s="69"/>
    </row>
    <row r="2747" spans="2:31" ht="12" customHeight="1" outlineLevel="3">
      <c r="B2747" s="70" t="s">
        <v>9493</v>
      </c>
      <c r="C2747" s="70"/>
      <c r="D2747" s="70"/>
      <c r="E2747" s="70"/>
      <c r="F2747" s="70"/>
      <c r="G2747" s="70"/>
    </row>
    <row r="2748" spans="2:31" ht="12" customHeight="1" outlineLevel="4">
      <c r="B2748" s="70" t="s">
        <v>9494</v>
      </c>
      <c r="C2748" s="70"/>
      <c r="D2748" s="70"/>
      <c r="E2748" s="70"/>
      <c r="F2748" s="70"/>
      <c r="G2748" s="70"/>
    </row>
    <row r="2749" spans="2:31" s="1" customFormat="1" ht="96.3" customHeight="1" outlineLevel="5">
      <c r="B2749" s="59">
        <v>2131</v>
      </c>
      <c r="C2749" s="35" t="s">
        <v>9495</v>
      </c>
      <c r="D2749" s="73" t="s">
        <v>9496</v>
      </c>
      <c r="E2749" s="73"/>
      <c r="F2749" s="73"/>
      <c r="G2749" s="73"/>
      <c r="H2749" s="36" t="s">
        <v>9497</v>
      </c>
      <c r="I2749" s="40">
        <v>6</v>
      </c>
      <c r="J2749" s="36"/>
      <c r="K2749" s="34">
        <v>1</v>
      </c>
      <c r="L2749" s="41">
        <v>280.25333333333333</v>
      </c>
      <c r="M2749" s="11"/>
      <c r="N2749" s="36">
        <f t="shared" ref="N2749:N2758" si="130">L2749*M2749</f>
        <v>0</v>
      </c>
      <c r="O2749" s="42">
        <f>0.406*M2749</f>
        <v>0</v>
      </c>
      <c r="P2749" s="43">
        <f>0.00171*M2749</f>
        <v>0</v>
      </c>
      <c r="Q2749" s="50"/>
      <c r="R2749" s="36" t="s">
        <v>9498</v>
      </c>
      <c r="S2749" s="36" t="s">
        <v>435</v>
      </c>
      <c r="T2749" s="35" t="str">
        <f>HYPERLINK("https://miland.ru/api/getInfo/image/37e8439c-f2ef-11ed-a237-00155d82e902")</f>
        <v>https://miland.ru/api/getInfo/image/37e8439c-f2ef-11ed-a237-00155d82e902</v>
      </c>
      <c r="U2749" s="35"/>
      <c r="V2749" s="35"/>
      <c r="W2749" s="35" t="s">
        <v>8646</v>
      </c>
      <c r="X2749" s="35"/>
      <c r="Y2749" s="35" t="s">
        <v>41</v>
      </c>
      <c r="Z2749" s="35"/>
      <c r="AA2749" s="35" t="str">
        <f>HYPERLINK("https://miland.ru/api/getInfo/item/37e8439c-f2ef-11ed-a237-00155d82e902")</f>
        <v>https://miland.ru/api/getInfo/item/37e8439c-f2ef-11ed-a237-00155d82e902</v>
      </c>
      <c r="AB2749" s="35" t="s">
        <v>42</v>
      </c>
      <c r="AC2749" s="35" t="s">
        <v>9499</v>
      </c>
      <c r="AD2749" s="35"/>
      <c r="AE2749" s="52" t="s">
        <v>1251</v>
      </c>
    </row>
    <row r="2750" spans="2:31" s="1" customFormat="1" ht="96.3" customHeight="1" outlineLevel="5">
      <c r="B2750" s="59">
        <v>2132</v>
      </c>
      <c r="C2750" s="35" t="s">
        <v>9500</v>
      </c>
      <c r="D2750" s="73" t="s">
        <v>9501</v>
      </c>
      <c r="E2750" s="73"/>
      <c r="F2750" s="73"/>
      <c r="G2750" s="73"/>
      <c r="H2750" s="36" t="s">
        <v>9502</v>
      </c>
      <c r="I2750" s="40">
        <v>175</v>
      </c>
      <c r="J2750" s="36"/>
      <c r="K2750" s="34">
        <v>1</v>
      </c>
      <c r="L2750" s="41">
        <v>330.26666666666665</v>
      </c>
      <c r="M2750" s="11"/>
      <c r="N2750" s="36">
        <f t="shared" si="130"/>
        <v>0</v>
      </c>
      <c r="O2750" s="42">
        <f>0.405*M2750</f>
        <v>0</v>
      </c>
      <c r="P2750" s="43">
        <f>0.00149*M2750</f>
        <v>0</v>
      </c>
      <c r="Q2750" s="50" t="s">
        <v>37</v>
      </c>
      <c r="R2750" s="36" t="s">
        <v>9503</v>
      </c>
      <c r="S2750" s="36" t="s">
        <v>435</v>
      </c>
      <c r="T2750" s="35" t="str">
        <f>HYPERLINK("https://miland.ru/api/getInfo/image/c27c42a5-ae7a-11f0-a286-00155d82e908")</f>
        <v>https://miland.ru/api/getInfo/image/c27c42a5-ae7a-11f0-a286-00155d82e908</v>
      </c>
      <c r="U2750" s="35"/>
      <c r="V2750" s="35"/>
      <c r="W2750" s="35" t="s">
        <v>8646</v>
      </c>
      <c r="X2750" s="35"/>
      <c r="Y2750" s="35" t="s">
        <v>41</v>
      </c>
      <c r="Z2750" s="35"/>
      <c r="AA2750" s="35" t="str">
        <f>HYPERLINK("https://miland.ru/api/getInfo/item/c27c42a5-ae7a-11f0-a286-00155d82e908")</f>
        <v>https://miland.ru/api/getInfo/item/c27c42a5-ae7a-11f0-a286-00155d82e908</v>
      </c>
      <c r="AB2750" s="35" t="s">
        <v>42</v>
      </c>
      <c r="AC2750" s="35"/>
      <c r="AD2750" s="35"/>
      <c r="AE2750" s="52" t="s">
        <v>9152</v>
      </c>
    </row>
    <row r="2751" spans="2:31" s="1" customFormat="1" ht="96.3" customHeight="1" outlineLevel="5">
      <c r="B2751" s="59">
        <v>2133</v>
      </c>
      <c r="C2751" s="35" t="s">
        <v>9504</v>
      </c>
      <c r="D2751" s="73" t="s">
        <v>9505</v>
      </c>
      <c r="E2751" s="73"/>
      <c r="F2751" s="73"/>
      <c r="G2751" s="73"/>
      <c r="H2751" s="36" t="s">
        <v>9506</v>
      </c>
      <c r="I2751" s="40">
        <v>221</v>
      </c>
      <c r="J2751" s="36"/>
      <c r="K2751" s="34">
        <v>1</v>
      </c>
      <c r="L2751" s="41">
        <v>330.26666666666665</v>
      </c>
      <c r="M2751" s="11"/>
      <c r="N2751" s="36">
        <f t="shared" si="130"/>
        <v>0</v>
      </c>
      <c r="O2751" s="42">
        <f>0.342*M2751</f>
        <v>0</v>
      </c>
      <c r="P2751" s="43">
        <f>0.00158*M2751</f>
        <v>0</v>
      </c>
      <c r="Q2751" s="50" t="s">
        <v>37</v>
      </c>
      <c r="R2751" s="36" t="s">
        <v>9507</v>
      </c>
      <c r="S2751" s="36" t="s">
        <v>435</v>
      </c>
      <c r="T2751" s="35" t="str">
        <f>HYPERLINK("https://miland.ru/api/getInfo/image/26d65238-ae7a-11f0-a286-00155d82e908")</f>
        <v>https://miland.ru/api/getInfo/image/26d65238-ae7a-11f0-a286-00155d82e908</v>
      </c>
      <c r="U2751" s="35"/>
      <c r="V2751" s="35"/>
      <c r="W2751" s="35" t="s">
        <v>8646</v>
      </c>
      <c r="X2751" s="35"/>
      <c r="Y2751" s="35" t="s">
        <v>41</v>
      </c>
      <c r="Z2751" s="35"/>
      <c r="AA2751" s="35" t="str">
        <f>HYPERLINK("https://miland.ru/api/getInfo/item/26d65238-ae7a-11f0-a286-00155d82e908")</f>
        <v>https://miland.ru/api/getInfo/item/26d65238-ae7a-11f0-a286-00155d82e908</v>
      </c>
      <c r="AB2751" s="35" t="s">
        <v>42</v>
      </c>
      <c r="AC2751" s="35"/>
      <c r="AD2751" s="35"/>
      <c r="AE2751" s="52" t="s">
        <v>9152</v>
      </c>
    </row>
    <row r="2752" spans="2:31" s="1" customFormat="1" ht="96.3" customHeight="1" outlineLevel="5">
      <c r="B2752" s="59">
        <v>2134</v>
      </c>
      <c r="C2752" s="35" t="s">
        <v>9508</v>
      </c>
      <c r="D2752" s="73" t="s">
        <v>9509</v>
      </c>
      <c r="E2752" s="73"/>
      <c r="F2752" s="73"/>
      <c r="G2752" s="73"/>
      <c r="H2752" s="36" t="s">
        <v>9510</v>
      </c>
      <c r="I2752" s="40">
        <v>264</v>
      </c>
      <c r="J2752" s="36"/>
      <c r="K2752" s="34">
        <v>1</v>
      </c>
      <c r="L2752" s="41">
        <v>355.68</v>
      </c>
      <c r="M2752" s="11"/>
      <c r="N2752" s="36">
        <f t="shared" si="130"/>
        <v>0</v>
      </c>
      <c r="O2752" s="42">
        <f>0.345*M2752</f>
        <v>0</v>
      </c>
      <c r="P2752" s="43">
        <f>0.00164*M2752</f>
        <v>0</v>
      </c>
      <c r="Q2752" s="50" t="s">
        <v>37</v>
      </c>
      <c r="R2752" s="36" t="s">
        <v>9511</v>
      </c>
      <c r="S2752" s="36" t="s">
        <v>435</v>
      </c>
      <c r="T2752" s="35" t="str">
        <f>HYPERLINK("https://miland.ru/api/getInfo/image/5ca8949d-ae7b-11f0-a286-00155d82e908")</f>
        <v>https://miland.ru/api/getInfo/image/5ca8949d-ae7b-11f0-a286-00155d82e908</v>
      </c>
      <c r="U2752" s="35"/>
      <c r="V2752" s="35"/>
      <c r="W2752" s="35" t="s">
        <v>8646</v>
      </c>
      <c r="X2752" s="35"/>
      <c r="Y2752" s="35" t="s">
        <v>41</v>
      </c>
      <c r="Z2752" s="35"/>
      <c r="AA2752" s="35" t="str">
        <f>HYPERLINK("https://miland.ru/api/getInfo/item/5ca8949d-ae7b-11f0-a286-00155d82e908")</f>
        <v>https://miland.ru/api/getInfo/item/5ca8949d-ae7b-11f0-a286-00155d82e908</v>
      </c>
      <c r="AB2752" s="35" t="s">
        <v>42</v>
      </c>
      <c r="AC2752" s="35"/>
      <c r="AD2752" s="35"/>
      <c r="AE2752" s="52" t="s">
        <v>9152</v>
      </c>
    </row>
    <row r="2753" spans="2:31" s="1" customFormat="1" ht="96.3" customHeight="1" outlineLevel="5">
      <c r="B2753" s="59">
        <v>2135</v>
      </c>
      <c r="C2753" s="35" t="s">
        <v>9512</v>
      </c>
      <c r="D2753" s="73" t="s">
        <v>9513</v>
      </c>
      <c r="E2753" s="73"/>
      <c r="F2753" s="73"/>
      <c r="G2753" s="73"/>
      <c r="H2753" s="36" t="s">
        <v>9514</v>
      </c>
      <c r="I2753" s="40">
        <v>250</v>
      </c>
      <c r="J2753" s="36"/>
      <c r="K2753" s="34">
        <v>1</v>
      </c>
      <c r="L2753" s="41">
        <v>330.26666666666665</v>
      </c>
      <c r="M2753" s="11"/>
      <c r="N2753" s="36">
        <f t="shared" si="130"/>
        <v>0</v>
      </c>
      <c r="O2753" s="42">
        <f>0.322*M2753</f>
        <v>0</v>
      </c>
      <c r="P2753" s="43">
        <f>0.00158*M2753</f>
        <v>0</v>
      </c>
      <c r="Q2753" s="50" t="s">
        <v>37</v>
      </c>
      <c r="R2753" s="36" t="s">
        <v>9515</v>
      </c>
      <c r="S2753" s="36" t="s">
        <v>435</v>
      </c>
      <c r="T2753" s="35" t="str">
        <f>HYPERLINK("https://miland.ru/api/getInfo/image/eb75e765-ae7a-11f0-a286-00155d82e908")</f>
        <v>https://miland.ru/api/getInfo/image/eb75e765-ae7a-11f0-a286-00155d82e908</v>
      </c>
      <c r="U2753" s="35"/>
      <c r="V2753" s="35"/>
      <c r="W2753" s="35" t="s">
        <v>8646</v>
      </c>
      <c r="X2753" s="35"/>
      <c r="Y2753" s="35" t="s">
        <v>41</v>
      </c>
      <c r="Z2753" s="35"/>
      <c r="AA2753" s="35" t="str">
        <f>HYPERLINK("https://miland.ru/api/getInfo/item/eb75e765-ae7a-11f0-a286-00155d82e908")</f>
        <v>https://miland.ru/api/getInfo/item/eb75e765-ae7a-11f0-a286-00155d82e908</v>
      </c>
      <c r="AB2753" s="35" t="s">
        <v>42</v>
      </c>
      <c r="AC2753" s="35"/>
      <c r="AD2753" s="35"/>
      <c r="AE2753" s="52" t="s">
        <v>9152</v>
      </c>
    </row>
    <row r="2754" spans="2:31" s="1" customFormat="1" ht="96.3" customHeight="1" outlineLevel="5">
      <c r="B2754" s="59">
        <v>2136</v>
      </c>
      <c r="C2754" s="35" t="s">
        <v>9516</v>
      </c>
      <c r="D2754" s="73" t="s">
        <v>9517</v>
      </c>
      <c r="E2754" s="73"/>
      <c r="F2754" s="73"/>
      <c r="G2754" s="73"/>
      <c r="H2754" s="36" t="s">
        <v>9518</v>
      </c>
      <c r="I2754" s="40">
        <v>232</v>
      </c>
      <c r="J2754" s="36"/>
      <c r="K2754" s="34">
        <v>1</v>
      </c>
      <c r="L2754" s="41">
        <v>355.68</v>
      </c>
      <c r="M2754" s="11"/>
      <c r="N2754" s="36">
        <f t="shared" si="130"/>
        <v>0</v>
      </c>
      <c r="O2754" s="42">
        <f>0.351*M2754</f>
        <v>0</v>
      </c>
      <c r="P2754" s="43">
        <f>0.00152*M2754</f>
        <v>0</v>
      </c>
      <c r="Q2754" s="50" t="s">
        <v>37</v>
      </c>
      <c r="R2754" s="36" t="s">
        <v>9519</v>
      </c>
      <c r="S2754" s="36" t="s">
        <v>435</v>
      </c>
      <c r="T2754" s="35" t="str">
        <f>HYPERLINK("https://miland.ru/api/getInfo/image/7a2b63c2-ae7b-11f0-a286-00155d82e908")</f>
        <v>https://miland.ru/api/getInfo/image/7a2b63c2-ae7b-11f0-a286-00155d82e908</v>
      </c>
      <c r="U2754" s="35"/>
      <c r="V2754" s="35"/>
      <c r="W2754" s="35" t="s">
        <v>8646</v>
      </c>
      <c r="X2754" s="35"/>
      <c r="Y2754" s="35" t="s">
        <v>41</v>
      </c>
      <c r="Z2754" s="35"/>
      <c r="AA2754" s="35" t="str">
        <f>HYPERLINK("https://miland.ru/api/getInfo/item/7a2b63c2-ae7b-11f0-a286-00155d82e908")</f>
        <v>https://miland.ru/api/getInfo/item/7a2b63c2-ae7b-11f0-a286-00155d82e908</v>
      </c>
      <c r="AB2754" s="35" t="s">
        <v>42</v>
      </c>
      <c r="AC2754" s="35"/>
      <c r="AD2754" s="35"/>
      <c r="AE2754" s="52" t="s">
        <v>9152</v>
      </c>
    </row>
    <row r="2755" spans="2:31" s="1" customFormat="1" ht="96.3" customHeight="1" outlineLevel="5">
      <c r="B2755" s="58">
        <v>2137</v>
      </c>
      <c r="C2755" s="7" t="s">
        <v>9520</v>
      </c>
      <c r="D2755" s="71" t="s">
        <v>9521</v>
      </c>
      <c r="E2755" s="71"/>
      <c r="F2755" s="71"/>
      <c r="G2755" s="71"/>
      <c r="H2755" s="8" t="s">
        <v>9522</v>
      </c>
      <c r="I2755" s="9" t="s">
        <v>36</v>
      </c>
      <c r="J2755" s="8"/>
      <c r="K2755" s="6">
        <v>1</v>
      </c>
      <c r="L2755" s="10">
        <v>984.48</v>
      </c>
      <c r="M2755" s="11"/>
      <c r="N2755" s="8">
        <f t="shared" si="130"/>
        <v>0</v>
      </c>
      <c r="O2755" s="12">
        <f>0.423*M2755</f>
        <v>0</v>
      </c>
      <c r="P2755" s="13">
        <f>0.00122*M2755</f>
        <v>0</v>
      </c>
      <c r="Q2755" s="17" t="s">
        <v>37</v>
      </c>
      <c r="R2755" s="8" t="s">
        <v>9523</v>
      </c>
      <c r="S2755" s="8"/>
      <c r="T2755" s="7" t="str">
        <f>HYPERLINK("https://miland.ru/api/getInfo/image/d36d8b09-280c-11f1-a291-00155d82e908")</f>
        <v>https://miland.ru/api/getInfo/image/d36d8b09-280c-11f1-a291-00155d82e908</v>
      </c>
      <c r="U2755" s="7"/>
      <c r="V2755" s="7"/>
      <c r="W2755" s="7" t="s">
        <v>8646</v>
      </c>
      <c r="X2755" s="7"/>
      <c r="Y2755" s="7" t="s">
        <v>41</v>
      </c>
      <c r="Z2755" s="7"/>
      <c r="AA2755" s="7" t="str">
        <f>HYPERLINK("https://miland.ru/api/getInfo/item/d36d8b09-280c-11f1-a291-00155d82e908")</f>
        <v>https://miland.ru/api/getInfo/item/d36d8b09-280c-11f1-a291-00155d82e908</v>
      </c>
      <c r="AB2755" s="7" t="s">
        <v>42</v>
      </c>
      <c r="AC2755" s="7"/>
      <c r="AD2755" s="7"/>
      <c r="AE2755" s="54"/>
    </row>
    <row r="2756" spans="2:31" s="1" customFormat="1" ht="96.3" customHeight="1" outlineLevel="5">
      <c r="B2756" s="57">
        <v>2138</v>
      </c>
      <c r="C2756" s="21" t="s">
        <v>9524</v>
      </c>
      <c r="D2756" s="72" t="s">
        <v>9525</v>
      </c>
      <c r="E2756" s="72"/>
      <c r="F2756" s="72"/>
      <c r="G2756" s="72"/>
      <c r="H2756" s="22" t="s">
        <v>9526</v>
      </c>
      <c r="I2756" s="27">
        <v>46</v>
      </c>
      <c r="J2756" s="22"/>
      <c r="K2756" s="20">
        <v>1</v>
      </c>
      <c r="L2756" s="24">
        <v>604.23</v>
      </c>
      <c r="M2756" s="11"/>
      <c r="N2756" s="22">
        <f t="shared" si="130"/>
        <v>0</v>
      </c>
      <c r="O2756" s="28">
        <f>0.48*M2756</f>
        <v>0</v>
      </c>
      <c r="P2756" s="26">
        <f>0.00186*M2756</f>
        <v>0</v>
      </c>
      <c r="Q2756" s="30"/>
      <c r="R2756" s="22" t="s">
        <v>9527</v>
      </c>
      <c r="S2756" s="22" t="s">
        <v>435</v>
      </c>
      <c r="T2756" s="21" t="str">
        <f>HYPERLINK("https://miland.ru/api/getInfo/image/230f68d6-f2f1-11ed-a237-00155d82e902")</f>
        <v>https://miland.ru/api/getInfo/image/230f68d6-f2f1-11ed-a237-00155d82e902</v>
      </c>
      <c r="U2756" s="21"/>
      <c r="V2756" s="21"/>
      <c r="W2756" s="21" t="s">
        <v>8646</v>
      </c>
      <c r="X2756" s="21"/>
      <c r="Y2756" s="21" t="s">
        <v>41</v>
      </c>
      <c r="Z2756" s="21"/>
      <c r="AA2756" s="21" t="str">
        <f>HYPERLINK("https://miland.ru/api/getInfo/item/230f68d6-f2f1-11ed-a237-00155d82e902")</f>
        <v>https://miland.ru/api/getInfo/item/230f68d6-f2f1-11ed-a237-00155d82e902</v>
      </c>
      <c r="AB2756" s="21" t="s">
        <v>42</v>
      </c>
      <c r="AC2756" s="21" t="s">
        <v>9528</v>
      </c>
      <c r="AD2756" s="21"/>
    </row>
    <row r="2757" spans="2:31" s="1" customFormat="1" ht="96.3" customHeight="1" outlineLevel="5">
      <c r="B2757" s="59">
        <v>2139</v>
      </c>
      <c r="C2757" s="35" t="s">
        <v>9529</v>
      </c>
      <c r="D2757" s="73" t="s">
        <v>9530</v>
      </c>
      <c r="E2757" s="73"/>
      <c r="F2757" s="73"/>
      <c r="G2757" s="73"/>
      <c r="H2757" s="36" t="s">
        <v>9531</v>
      </c>
      <c r="I2757" s="40">
        <v>6</v>
      </c>
      <c r="J2757" s="36"/>
      <c r="K2757" s="34">
        <v>1</v>
      </c>
      <c r="L2757" s="41">
        <v>322.25333333333333</v>
      </c>
      <c r="M2757" s="11"/>
      <c r="N2757" s="36">
        <f t="shared" si="130"/>
        <v>0</v>
      </c>
      <c r="O2757" s="47">
        <f>0.52*M2757</f>
        <v>0</v>
      </c>
      <c r="P2757" s="43">
        <f>0.00151*M2757</f>
        <v>0</v>
      </c>
      <c r="Q2757" s="50"/>
      <c r="R2757" s="36" t="s">
        <v>9532</v>
      </c>
      <c r="S2757" s="36"/>
      <c r="T2757" s="35" t="str">
        <f>HYPERLINK("https://miland.ru/api/getInfo/image/8458aa80-f2f3-11ed-a237-00155d82e902")</f>
        <v>https://miland.ru/api/getInfo/image/8458aa80-f2f3-11ed-a237-00155d82e902</v>
      </c>
      <c r="U2757" s="35"/>
      <c r="V2757" s="35"/>
      <c r="W2757" s="35" t="s">
        <v>8646</v>
      </c>
      <c r="X2757" s="35"/>
      <c r="Y2757" s="35" t="s">
        <v>41</v>
      </c>
      <c r="Z2757" s="35"/>
      <c r="AA2757" s="35" t="str">
        <f>HYPERLINK("https://miland.ru/api/getInfo/item/8458aa80-f2f3-11ed-a237-00155d82e902")</f>
        <v>https://miland.ru/api/getInfo/item/8458aa80-f2f3-11ed-a237-00155d82e902</v>
      </c>
      <c r="AB2757" s="35" t="s">
        <v>42</v>
      </c>
      <c r="AC2757" s="35" t="s">
        <v>9533</v>
      </c>
      <c r="AD2757" s="35"/>
      <c r="AE2757" s="52" t="s">
        <v>9152</v>
      </c>
    </row>
    <row r="2758" spans="2:31" s="1" customFormat="1" ht="96.3" customHeight="1" outlineLevel="5">
      <c r="B2758" s="58">
        <v>2140</v>
      </c>
      <c r="C2758" s="7" t="s">
        <v>9534</v>
      </c>
      <c r="D2758" s="71" t="s">
        <v>9535</v>
      </c>
      <c r="E2758" s="71"/>
      <c r="F2758" s="71"/>
      <c r="G2758" s="71"/>
      <c r="H2758" s="8" t="s">
        <v>9536</v>
      </c>
      <c r="I2758" s="14">
        <v>7</v>
      </c>
      <c r="J2758" s="8"/>
      <c r="K2758" s="6">
        <v>1</v>
      </c>
      <c r="L2758" s="15">
        <v>1337.63</v>
      </c>
      <c r="M2758" s="11"/>
      <c r="N2758" s="8">
        <f t="shared" si="130"/>
        <v>0</v>
      </c>
      <c r="O2758" s="12">
        <f>1.227*M2758</f>
        <v>0</v>
      </c>
      <c r="P2758" s="13">
        <f>0.00651*M2758</f>
        <v>0</v>
      </c>
      <c r="Q2758" s="17" t="s">
        <v>37</v>
      </c>
      <c r="R2758" s="8" t="s">
        <v>9537</v>
      </c>
      <c r="S2758" s="8"/>
      <c r="T2758" s="7" t="str">
        <f>HYPERLINK("https://miland.ru/api/getInfo/image/113d5802-ae7c-11f0-a286-00155d82e908")</f>
        <v>https://miland.ru/api/getInfo/image/113d5802-ae7c-11f0-a286-00155d82e908</v>
      </c>
      <c r="U2758" s="7"/>
      <c r="V2758" s="7"/>
      <c r="W2758" s="7" t="s">
        <v>8646</v>
      </c>
      <c r="X2758" s="7"/>
      <c r="Y2758" s="7" t="s">
        <v>41</v>
      </c>
      <c r="Z2758" s="7"/>
      <c r="AA2758" s="7" t="str">
        <f>HYPERLINK("https://miland.ru/api/getInfo/item/113d5802-ae7c-11f0-a286-00155d82e908")</f>
        <v>https://miland.ru/api/getInfo/item/113d5802-ae7c-11f0-a286-00155d82e908</v>
      </c>
      <c r="AB2758" s="7" t="s">
        <v>42</v>
      </c>
      <c r="AC2758" s="7"/>
      <c r="AD2758" s="7"/>
      <c r="AE2758" s="54"/>
    </row>
    <row r="2759" spans="2:31" ht="12" customHeight="1" outlineLevel="3">
      <c r="B2759" s="70" t="s">
        <v>9538</v>
      </c>
      <c r="C2759" s="70"/>
      <c r="D2759" s="70"/>
      <c r="E2759" s="70"/>
      <c r="F2759" s="70"/>
      <c r="G2759" s="70"/>
    </row>
    <row r="2760" spans="2:31" ht="12" customHeight="1" outlineLevel="4">
      <c r="B2760" s="70" t="s">
        <v>1146</v>
      </c>
      <c r="C2760" s="70"/>
      <c r="D2760" s="70"/>
      <c r="E2760" s="70"/>
      <c r="F2760" s="70"/>
      <c r="G2760" s="70"/>
    </row>
    <row r="2761" spans="2:31" ht="12" customHeight="1" outlineLevel="5">
      <c r="B2761" s="70" t="s">
        <v>9539</v>
      </c>
      <c r="C2761" s="70"/>
      <c r="D2761" s="70"/>
      <c r="E2761" s="70"/>
      <c r="F2761" s="70"/>
      <c r="G2761" s="70"/>
    </row>
    <row r="2762" spans="2:31" ht="12" customHeight="1" outlineLevel="6">
      <c r="B2762" s="70" t="s">
        <v>9540</v>
      </c>
      <c r="C2762" s="70"/>
      <c r="D2762" s="70"/>
      <c r="E2762" s="70"/>
      <c r="F2762" s="70"/>
      <c r="G2762" s="70"/>
    </row>
    <row r="2763" spans="2:31" s="1" customFormat="1" ht="96.3" customHeight="1" outlineLevel="7">
      <c r="B2763" s="58">
        <v>2141</v>
      </c>
      <c r="C2763" s="7" t="s">
        <v>9541</v>
      </c>
      <c r="D2763" s="71" t="s">
        <v>9542</v>
      </c>
      <c r="E2763" s="71"/>
      <c r="F2763" s="71"/>
      <c r="G2763" s="71"/>
      <c r="H2763" s="8" t="s">
        <v>9543</v>
      </c>
      <c r="I2763" s="14">
        <v>6</v>
      </c>
      <c r="J2763" s="8"/>
      <c r="K2763" s="6">
        <v>3</v>
      </c>
      <c r="L2763" s="10">
        <v>229.76</v>
      </c>
      <c r="M2763" s="11"/>
      <c r="N2763" s="8">
        <f>L2763*M2763</f>
        <v>0</v>
      </c>
      <c r="O2763" s="12">
        <f>0.107*M2763</f>
        <v>0</v>
      </c>
      <c r="P2763" s="13">
        <f>0.00123*M2763</f>
        <v>0</v>
      </c>
      <c r="Q2763" s="17" t="s">
        <v>37</v>
      </c>
      <c r="R2763" s="8" t="s">
        <v>9544</v>
      </c>
      <c r="S2763" s="8"/>
      <c r="T2763" s="7" t="str">
        <f>HYPERLINK("https://miland.ru/api/getInfo/image/a4ba9c03-ab5e-11f0-a286-00155d82e908")</f>
        <v>https://miland.ru/api/getInfo/image/a4ba9c03-ab5e-11f0-a286-00155d82e908</v>
      </c>
      <c r="U2763" s="7"/>
      <c r="V2763" s="7"/>
      <c r="W2763" s="7" t="s">
        <v>8836</v>
      </c>
      <c r="X2763" s="7"/>
      <c r="Y2763" s="7" t="s">
        <v>41</v>
      </c>
      <c r="Z2763" s="7"/>
      <c r="AA2763" s="7" t="str">
        <f>HYPERLINK("https://miland.ru/api/getInfo/item/a4ba9c03-ab5e-11f0-a286-00155d82e908")</f>
        <v>https://miland.ru/api/getInfo/item/a4ba9c03-ab5e-11f0-a286-00155d82e908</v>
      </c>
      <c r="AB2763" s="7" t="s">
        <v>42</v>
      </c>
      <c r="AC2763" s="7"/>
      <c r="AD2763" s="7"/>
      <c r="AE2763" s="54"/>
    </row>
    <row r="2764" spans="2:31" ht="12" customHeight="1" outlineLevel="5">
      <c r="B2764" s="70" t="s">
        <v>9545</v>
      </c>
      <c r="C2764" s="70"/>
      <c r="D2764" s="70"/>
      <c r="E2764" s="70"/>
      <c r="F2764" s="70"/>
      <c r="G2764" s="70"/>
    </row>
    <row r="2765" spans="2:31" ht="12" customHeight="1" outlineLevel="6">
      <c r="B2765" s="70" t="s">
        <v>9546</v>
      </c>
      <c r="C2765" s="70"/>
      <c r="D2765" s="70"/>
      <c r="E2765" s="70"/>
      <c r="F2765" s="70"/>
      <c r="G2765" s="70"/>
    </row>
    <row r="2766" spans="2:31" s="1" customFormat="1" ht="96.3" customHeight="1" outlineLevel="7">
      <c r="B2766" s="57">
        <v>2142</v>
      </c>
      <c r="C2766" s="21" t="s">
        <v>9547</v>
      </c>
      <c r="D2766" s="72" t="s">
        <v>9548</v>
      </c>
      <c r="E2766" s="72"/>
      <c r="F2766" s="72"/>
      <c r="G2766" s="72"/>
      <c r="H2766" s="22" t="s">
        <v>9549</v>
      </c>
      <c r="I2766" s="27">
        <v>5</v>
      </c>
      <c r="J2766" s="22"/>
      <c r="K2766" s="20">
        <v>1</v>
      </c>
      <c r="L2766" s="24">
        <v>872.48</v>
      </c>
      <c r="M2766" s="11"/>
      <c r="N2766" s="22">
        <f>L2766*M2766</f>
        <v>0</v>
      </c>
      <c r="O2766" s="25">
        <f>0.214*M2766</f>
        <v>0</v>
      </c>
      <c r="P2766" s="26">
        <f>0.00192*M2766</f>
        <v>0</v>
      </c>
      <c r="Q2766" s="30"/>
      <c r="R2766" s="22" t="s">
        <v>9550</v>
      </c>
      <c r="S2766" s="22" t="s">
        <v>435</v>
      </c>
      <c r="T2766" s="21" t="str">
        <f>HYPERLINK("https://miland.ru/api/getInfo/image/7c4b244e-0864-11ef-a25d-00155d82e908")</f>
        <v>https://miland.ru/api/getInfo/image/7c4b244e-0864-11ef-a25d-00155d82e908</v>
      </c>
      <c r="U2766" s="21"/>
      <c r="V2766" s="21"/>
      <c r="W2766" s="21"/>
      <c r="X2766" s="21"/>
      <c r="Y2766" s="21" t="s">
        <v>41</v>
      </c>
      <c r="Z2766" s="21"/>
      <c r="AA2766" s="21" t="str">
        <f>HYPERLINK("https://miland.ru/api/getInfo/item/7c4b244e-0864-11ef-a25d-00155d82e908")</f>
        <v>https://miland.ru/api/getInfo/item/7c4b244e-0864-11ef-a25d-00155d82e908</v>
      </c>
      <c r="AB2766" s="21" t="s">
        <v>42</v>
      </c>
      <c r="AC2766" s="21"/>
      <c r="AD2766" s="21"/>
    </row>
    <row r="2767" spans="2:31" s="1" customFormat="1" ht="96.3" customHeight="1" outlineLevel="7">
      <c r="B2767" s="57">
        <v>2143</v>
      </c>
      <c r="C2767" s="21" t="s">
        <v>9551</v>
      </c>
      <c r="D2767" s="72" t="s">
        <v>9552</v>
      </c>
      <c r="E2767" s="72"/>
      <c r="F2767" s="72"/>
      <c r="G2767" s="72"/>
      <c r="H2767" s="22" t="s">
        <v>9553</v>
      </c>
      <c r="I2767" s="27">
        <v>5</v>
      </c>
      <c r="J2767" s="22"/>
      <c r="K2767" s="20">
        <v>1</v>
      </c>
      <c r="L2767" s="24">
        <v>614.6</v>
      </c>
      <c r="M2767" s="11"/>
      <c r="N2767" s="22">
        <f>L2767*M2767</f>
        <v>0</v>
      </c>
      <c r="O2767" s="28">
        <f>0.23*M2767</f>
        <v>0</v>
      </c>
      <c r="P2767" s="26">
        <f>0.00261*M2767</f>
        <v>0</v>
      </c>
      <c r="Q2767" s="30"/>
      <c r="R2767" s="22" t="s">
        <v>9554</v>
      </c>
      <c r="S2767" s="22" t="s">
        <v>435</v>
      </c>
      <c r="T2767" s="21" t="str">
        <f>HYPERLINK("https://miland.ru/api/getInfo/image/08c800c9-fb07-11ed-a239-00155d82e902")</f>
        <v>https://miland.ru/api/getInfo/image/08c800c9-fb07-11ed-a239-00155d82e902</v>
      </c>
      <c r="U2767" s="21"/>
      <c r="V2767" s="21"/>
      <c r="W2767" s="21"/>
      <c r="X2767" s="21"/>
      <c r="Y2767" s="21" t="s">
        <v>41</v>
      </c>
      <c r="Z2767" s="21"/>
      <c r="AA2767" s="21" t="str">
        <f>HYPERLINK("https://miland.ru/api/getInfo/item/08c800c9-fb07-11ed-a239-00155d82e902")</f>
        <v>https://miland.ru/api/getInfo/item/08c800c9-fb07-11ed-a239-00155d82e902</v>
      </c>
      <c r="AB2767" s="21" t="s">
        <v>42</v>
      </c>
      <c r="AC2767" s="21" t="s">
        <v>9555</v>
      </c>
      <c r="AD2767" s="21"/>
    </row>
    <row r="2768" spans="2:31" s="1" customFormat="1" ht="96.3" customHeight="1" outlineLevel="7">
      <c r="B2768" s="57">
        <v>2144</v>
      </c>
      <c r="C2768" s="21" t="s">
        <v>9556</v>
      </c>
      <c r="D2768" s="72" t="s">
        <v>9557</v>
      </c>
      <c r="E2768" s="72"/>
      <c r="F2768" s="72"/>
      <c r="G2768" s="72"/>
      <c r="H2768" s="22" t="s">
        <v>9558</v>
      </c>
      <c r="I2768" s="27">
        <v>5</v>
      </c>
      <c r="J2768" s="22"/>
      <c r="K2768" s="20">
        <v>1</v>
      </c>
      <c r="L2768" s="32">
        <v>1245.26</v>
      </c>
      <c r="M2768" s="11"/>
      <c r="N2768" s="22">
        <f>L2768*M2768</f>
        <v>0</v>
      </c>
      <c r="O2768" s="25">
        <f>0.195*M2768</f>
        <v>0</v>
      </c>
      <c r="P2768" s="26">
        <f>0.00092*M2768</f>
        <v>0</v>
      </c>
      <c r="Q2768" s="30"/>
      <c r="R2768" s="22" t="s">
        <v>9559</v>
      </c>
      <c r="S2768" s="22" t="s">
        <v>435</v>
      </c>
      <c r="T2768" s="21" t="str">
        <f>HYPERLINK("https://miland.ru/api/getInfo/image/8c3a4508-fb06-11ed-a239-00155d82e902")</f>
        <v>https://miland.ru/api/getInfo/image/8c3a4508-fb06-11ed-a239-00155d82e902</v>
      </c>
      <c r="U2768" s="21"/>
      <c r="V2768" s="21"/>
      <c r="W2768" s="21"/>
      <c r="X2768" s="21"/>
      <c r="Y2768" s="21" t="s">
        <v>41</v>
      </c>
      <c r="Z2768" s="21"/>
      <c r="AA2768" s="21" t="str">
        <f>HYPERLINK("https://miland.ru/api/getInfo/item/8c3a4508-fb06-11ed-a239-00155d82e902")</f>
        <v>https://miland.ru/api/getInfo/item/8c3a4508-fb06-11ed-a239-00155d82e902</v>
      </c>
      <c r="AB2768" s="21" t="s">
        <v>42</v>
      </c>
      <c r="AC2768" s="21" t="s">
        <v>9560</v>
      </c>
      <c r="AD2768" s="21"/>
    </row>
    <row r="2769" spans="2:31" s="1" customFormat="1" ht="96.3" customHeight="1" outlineLevel="7">
      <c r="B2769" s="59">
        <v>2145</v>
      </c>
      <c r="C2769" s="35" t="s">
        <v>9561</v>
      </c>
      <c r="D2769" s="73" t="s">
        <v>9562</v>
      </c>
      <c r="E2769" s="73"/>
      <c r="F2769" s="73"/>
      <c r="G2769" s="73"/>
      <c r="H2769" s="36" t="s">
        <v>9563</v>
      </c>
      <c r="I2769" s="40">
        <v>166</v>
      </c>
      <c r="J2769" s="36"/>
      <c r="K2769" s="34">
        <v>2</v>
      </c>
      <c r="L2769" s="41">
        <v>199.37333333333333</v>
      </c>
      <c r="M2769" s="11"/>
      <c r="N2769" s="36">
        <f>L2769*M2769</f>
        <v>0</v>
      </c>
      <c r="O2769" s="42">
        <f>0.134*M2769</f>
        <v>0</v>
      </c>
      <c r="P2769" s="43">
        <f>0.00184*M2769</f>
        <v>0</v>
      </c>
      <c r="Q2769" s="50"/>
      <c r="R2769" s="36" t="s">
        <v>9564</v>
      </c>
      <c r="S2769" s="36" t="s">
        <v>435</v>
      </c>
      <c r="T2769" s="35" t="str">
        <f>HYPERLINK("https://miland.ru/api/getInfo/image/4055dcbe-9831-11ef-a267-00155d82e908")</f>
        <v>https://miland.ru/api/getInfo/image/4055dcbe-9831-11ef-a267-00155d82e908</v>
      </c>
      <c r="U2769" s="35"/>
      <c r="V2769" s="35"/>
      <c r="W2769" s="35" t="s">
        <v>8836</v>
      </c>
      <c r="X2769" s="35"/>
      <c r="Y2769" s="35" t="s">
        <v>41</v>
      </c>
      <c r="Z2769" s="35"/>
      <c r="AA2769" s="35" t="str">
        <f>HYPERLINK("https://miland.ru/api/getInfo/item/4055dcbe-9831-11ef-a267-00155d82e908")</f>
        <v>https://miland.ru/api/getInfo/item/4055dcbe-9831-11ef-a267-00155d82e908</v>
      </c>
      <c r="AB2769" s="35" t="s">
        <v>42</v>
      </c>
      <c r="AC2769" s="35"/>
      <c r="AD2769" s="35"/>
      <c r="AE2769" s="52" t="s">
        <v>9152</v>
      </c>
    </row>
    <row r="2770" spans="2:31" ht="12" customHeight="1" outlineLevel="6">
      <c r="B2770" s="70" t="s">
        <v>9565</v>
      </c>
      <c r="C2770" s="70"/>
      <c r="D2770" s="70"/>
      <c r="E2770" s="70"/>
      <c r="F2770" s="70"/>
      <c r="G2770" s="70"/>
    </row>
    <row r="2771" spans="2:31" s="1" customFormat="1" ht="96.3" customHeight="1" outlineLevel="7">
      <c r="B2771" s="57">
        <v>2146</v>
      </c>
      <c r="C2771" s="21" t="s">
        <v>9566</v>
      </c>
      <c r="D2771" s="72" t="s">
        <v>9567</v>
      </c>
      <c r="E2771" s="72"/>
      <c r="F2771" s="72"/>
      <c r="G2771" s="72"/>
      <c r="H2771" s="22" t="s">
        <v>9568</v>
      </c>
      <c r="I2771" s="27">
        <v>5</v>
      </c>
      <c r="J2771" s="22"/>
      <c r="K2771" s="20">
        <v>1</v>
      </c>
      <c r="L2771" s="24">
        <v>481.52</v>
      </c>
      <c r="M2771" s="11"/>
      <c r="N2771" s="22">
        <f>L2771*M2771</f>
        <v>0</v>
      </c>
      <c r="O2771" s="25">
        <f>0.235*M2771</f>
        <v>0</v>
      </c>
      <c r="P2771" s="26">
        <f>0.00251*M2771</f>
        <v>0</v>
      </c>
      <c r="Q2771" s="30"/>
      <c r="R2771" s="22" t="s">
        <v>9569</v>
      </c>
      <c r="S2771" s="22" t="s">
        <v>435</v>
      </c>
      <c r="T2771" s="21" t="str">
        <f>HYPERLINK("https://miland.ru/api/getInfo/image/dffb3468-0863-11ef-a25d-00155d82e908")</f>
        <v>https://miland.ru/api/getInfo/image/dffb3468-0863-11ef-a25d-00155d82e908</v>
      </c>
      <c r="U2771" s="21"/>
      <c r="V2771" s="21" t="s">
        <v>8245</v>
      </c>
      <c r="W2771" s="21" t="s">
        <v>8246</v>
      </c>
      <c r="X2771" s="21"/>
      <c r="Y2771" s="21" t="s">
        <v>41</v>
      </c>
      <c r="Z2771" s="21"/>
      <c r="AA2771" s="21" t="str">
        <f>HYPERLINK("https://miland.ru/api/getInfo/item/dffb3468-0863-11ef-a25d-00155d82e908")</f>
        <v>https://miland.ru/api/getInfo/item/dffb3468-0863-11ef-a25d-00155d82e908</v>
      </c>
      <c r="AB2771" s="21" t="s">
        <v>42</v>
      </c>
      <c r="AC2771" s="21"/>
      <c r="AD2771" s="21"/>
    </row>
    <row r="2772" spans="2:31" s="1" customFormat="1" ht="96.3" customHeight="1" outlineLevel="7">
      <c r="B2772" s="57">
        <v>2147</v>
      </c>
      <c r="C2772" s="21" t="s">
        <v>9570</v>
      </c>
      <c r="D2772" s="72" t="s">
        <v>9571</v>
      </c>
      <c r="E2772" s="72"/>
      <c r="F2772" s="72"/>
      <c r="G2772" s="72"/>
      <c r="H2772" s="22" t="s">
        <v>9572</v>
      </c>
      <c r="I2772" s="27">
        <v>5</v>
      </c>
      <c r="J2772" s="22"/>
      <c r="K2772" s="20">
        <v>1</v>
      </c>
      <c r="L2772" s="32">
        <v>1164.95</v>
      </c>
      <c r="M2772" s="11"/>
      <c r="N2772" s="22">
        <f>L2772*M2772</f>
        <v>0</v>
      </c>
      <c r="O2772" s="33">
        <f>0.3*M2772</f>
        <v>0</v>
      </c>
      <c r="P2772" s="29">
        <f>0.0029*M2772</f>
        <v>0</v>
      </c>
      <c r="Q2772" s="30"/>
      <c r="R2772" s="22" t="s">
        <v>9573</v>
      </c>
      <c r="S2772" s="22" t="s">
        <v>435</v>
      </c>
      <c r="T2772" s="21" t="str">
        <f>HYPERLINK("https://miland.ru/api/getInfo/image/cff0f1ae-9831-11ef-a267-00155d82e908")</f>
        <v>https://miland.ru/api/getInfo/image/cff0f1ae-9831-11ef-a267-00155d82e908</v>
      </c>
      <c r="U2772" s="21"/>
      <c r="V2772" s="21"/>
      <c r="W2772" s="21" t="s">
        <v>8836</v>
      </c>
      <c r="X2772" s="21"/>
      <c r="Y2772" s="21" t="s">
        <v>41</v>
      </c>
      <c r="Z2772" s="21"/>
      <c r="AA2772" s="21" t="str">
        <f>HYPERLINK("https://miland.ru/api/getInfo/item/cff0f1ae-9831-11ef-a267-00155d82e908")</f>
        <v>https://miland.ru/api/getInfo/item/cff0f1ae-9831-11ef-a267-00155d82e908</v>
      </c>
      <c r="AB2772" s="21" t="s">
        <v>42</v>
      </c>
      <c r="AC2772" s="21"/>
      <c r="AD2772" s="21"/>
    </row>
    <row r="2773" spans="2:31" ht="12" customHeight="1" outlineLevel="6">
      <c r="B2773" s="70" t="s">
        <v>9574</v>
      </c>
      <c r="C2773" s="70"/>
      <c r="D2773" s="70"/>
      <c r="E2773" s="70"/>
      <c r="F2773" s="70"/>
      <c r="G2773" s="70"/>
    </row>
    <row r="2774" spans="2:31" s="1" customFormat="1" ht="96.3" customHeight="1" outlineLevel="7">
      <c r="B2774" s="57">
        <v>2148</v>
      </c>
      <c r="C2774" s="21" t="s">
        <v>9575</v>
      </c>
      <c r="D2774" s="72" t="s">
        <v>9576</v>
      </c>
      <c r="E2774" s="72"/>
      <c r="F2774" s="72"/>
      <c r="G2774" s="72"/>
      <c r="H2774" s="22" t="s">
        <v>9577</v>
      </c>
      <c r="I2774" s="27">
        <v>5</v>
      </c>
      <c r="J2774" s="22"/>
      <c r="K2774" s="20">
        <v>1</v>
      </c>
      <c r="L2774" s="24">
        <v>566.04</v>
      </c>
      <c r="M2774" s="11"/>
      <c r="N2774" s="22">
        <f>L2774*M2774</f>
        <v>0</v>
      </c>
      <c r="O2774" s="25">
        <f>0.302*M2774</f>
        <v>0</v>
      </c>
      <c r="P2774" s="26">
        <f>0.00506*M2774</f>
        <v>0</v>
      </c>
      <c r="Q2774" s="30"/>
      <c r="R2774" s="22" t="s">
        <v>9578</v>
      </c>
      <c r="S2774" s="22" t="s">
        <v>435</v>
      </c>
      <c r="T2774" s="21" t="str">
        <f>HYPERLINK("https://miland.ru/api/getInfo/image/3aef8e77-9832-11ef-a267-00155d82e908")</f>
        <v>https://miland.ru/api/getInfo/image/3aef8e77-9832-11ef-a267-00155d82e908</v>
      </c>
      <c r="U2774" s="21"/>
      <c r="V2774" s="21"/>
      <c r="W2774" s="21" t="s">
        <v>8836</v>
      </c>
      <c r="X2774" s="21"/>
      <c r="Y2774" s="21" t="s">
        <v>41</v>
      </c>
      <c r="Z2774" s="21"/>
      <c r="AA2774" s="21" t="str">
        <f>HYPERLINK("https://miland.ru/api/getInfo/item/3aef8e77-9832-11ef-a267-00155d82e908")</f>
        <v>https://miland.ru/api/getInfo/item/3aef8e77-9832-11ef-a267-00155d82e908</v>
      </c>
      <c r="AB2774" s="21" t="s">
        <v>42</v>
      </c>
      <c r="AC2774" s="21"/>
      <c r="AD2774" s="21"/>
    </row>
    <row r="2775" spans="2:31" ht="12" customHeight="1" outlineLevel="5">
      <c r="B2775" s="70" t="s">
        <v>1363</v>
      </c>
      <c r="C2775" s="70"/>
      <c r="D2775" s="70"/>
      <c r="E2775" s="70"/>
      <c r="F2775" s="70"/>
      <c r="G2775" s="70"/>
    </row>
    <row r="2776" spans="2:31" ht="12" customHeight="1" outlineLevel="6">
      <c r="B2776" s="70" t="s">
        <v>9540</v>
      </c>
      <c r="C2776" s="70"/>
      <c r="D2776" s="70"/>
      <c r="E2776" s="70"/>
      <c r="F2776" s="70"/>
      <c r="G2776" s="70"/>
    </row>
    <row r="2777" spans="2:31" s="1" customFormat="1" ht="96.3" customHeight="1" outlineLevel="7">
      <c r="B2777" s="59">
        <v>2149</v>
      </c>
      <c r="C2777" s="35" t="s">
        <v>9579</v>
      </c>
      <c r="D2777" s="73" t="s">
        <v>9580</v>
      </c>
      <c r="E2777" s="73"/>
      <c r="F2777" s="73"/>
      <c r="G2777" s="73"/>
      <c r="H2777" s="36" t="s">
        <v>9581</v>
      </c>
      <c r="I2777" s="40">
        <v>120</v>
      </c>
      <c r="J2777" s="36"/>
      <c r="K2777" s="34">
        <v>1</v>
      </c>
      <c r="L2777" s="41">
        <v>416.22666666666669</v>
      </c>
      <c r="M2777" s="11"/>
      <c r="N2777" s="36">
        <f>L2777*M2777</f>
        <v>0</v>
      </c>
      <c r="O2777" s="42">
        <f>0.349*M2777</f>
        <v>0</v>
      </c>
      <c r="P2777" s="43">
        <f>0.00164*M2777</f>
        <v>0</v>
      </c>
      <c r="Q2777" s="50"/>
      <c r="R2777" s="36" t="s">
        <v>9582</v>
      </c>
      <c r="S2777" s="36" t="s">
        <v>435</v>
      </c>
      <c r="T2777" s="35" t="str">
        <f>HYPERLINK("https://miland.ru/api/getInfo/image/58330334-9afa-11ed-a22e-00155d82e902")</f>
        <v>https://miland.ru/api/getInfo/image/58330334-9afa-11ed-a22e-00155d82e902</v>
      </c>
      <c r="U2777" s="35"/>
      <c r="V2777" s="35"/>
      <c r="W2777" s="35" t="s">
        <v>8836</v>
      </c>
      <c r="X2777" s="35"/>
      <c r="Y2777" s="35" t="s">
        <v>41</v>
      </c>
      <c r="Z2777" s="35"/>
      <c r="AA2777" s="35" t="str">
        <f>HYPERLINK("https://miland.ru/api/getInfo/item/58330334-9afa-11ed-a22e-00155d82e902")</f>
        <v>https://miland.ru/api/getInfo/item/58330334-9afa-11ed-a22e-00155d82e902</v>
      </c>
      <c r="AB2777" s="35" t="s">
        <v>42</v>
      </c>
      <c r="AC2777" s="35"/>
      <c r="AD2777" s="35"/>
      <c r="AE2777" s="52" t="s">
        <v>9152</v>
      </c>
    </row>
    <row r="2778" spans="2:31" s="1" customFormat="1" ht="96.3" customHeight="1" outlineLevel="7">
      <c r="B2778" s="59">
        <v>2150</v>
      </c>
      <c r="C2778" s="35" t="s">
        <v>9583</v>
      </c>
      <c r="D2778" s="73" t="s">
        <v>9584</v>
      </c>
      <c r="E2778" s="73"/>
      <c r="F2778" s="73"/>
      <c r="G2778" s="73"/>
      <c r="H2778" s="36" t="s">
        <v>9585</v>
      </c>
      <c r="I2778" s="40">
        <v>281</v>
      </c>
      <c r="J2778" s="36"/>
      <c r="K2778" s="34">
        <v>1</v>
      </c>
      <c r="L2778" s="41">
        <v>416.22666666666669</v>
      </c>
      <c r="M2778" s="11"/>
      <c r="N2778" s="36">
        <f>L2778*M2778</f>
        <v>0</v>
      </c>
      <c r="O2778" s="42">
        <f>0.351*M2778</f>
        <v>0</v>
      </c>
      <c r="P2778" s="43">
        <f>0.00151*M2778</f>
        <v>0</v>
      </c>
      <c r="Q2778" s="50"/>
      <c r="R2778" s="36" t="s">
        <v>9586</v>
      </c>
      <c r="S2778" s="36" t="s">
        <v>435</v>
      </c>
      <c r="T2778" s="35" t="str">
        <f>HYPERLINK("https://miland.ru/api/getInfo/image/aac09199-9afa-11ed-a22e-00155d82e902")</f>
        <v>https://miland.ru/api/getInfo/image/aac09199-9afa-11ed-a22e-00155d82e902</v>
      </c>
      <c r="U2778" s="35"/>
      <c r="V2778" s="35"/>
      <c r="W2778" s="35" t="s">
        <v>8836</v>
      </c>
      <c r="X2778" s="35"/>
      <c r="Y2778" s="35" t="s">
        <v>41</v>
      </c>
      <c r="Z2778" s="35"/>
      <c r="AA2778" s="35" t="str">
        <f>HYPERLINK("https://miland.ru/api/getInfo/item/aac09199-9afa-11ed-a22e-00155d82e902")</f>
        <v>https://miland.ru/api/getInfo/item/aac09199-9afa-11ed-a22e-00155d82e902</v>
      </c>
      <c r="AB2778" s="35" t="s">
        <v>42</v>
      </c>
      <c r="AC2778" s="35"/>
      <c r="AD2778" s="35"/>
      <c r="AE2778" s="52" t="s">
        <v>9152</v>
      </c>
    </row>
    <row r="2779" spans="2:31" s="1" customFormat="1" ht="96.3" customHeight="1" outlineLevel="7">
      <c r="B2779" s="57">
        <v>2151</v>
      </c>
      <c r="C2779" s="21" t="s">
        <v>9587</v>
      </c>
      <c r="D2779" s="72" t="s">
        <v>9588</v>
      </c>
      <c r="E2779" s="72"/>
      <c r="F2779" s="72"/>
      <c r="G2779" s="72"/>
      <c r="H2779" s="22" t="s">
        <v>9589</v>
      </c>
      <c r="I2779" s="27">
        <v>5</v>
      </c>
      <c r="J2779" s="22"/>
      <c r="K2779" s="20">
        <v>1</v>
      </c>
      <c r="L2779" s="24">
        <v>471.03</v>
      </c>
      <c r="M2779" s="11"/>
      <c r="N2779" s="22">
        <f>L2779*M2779</f>
        <v>0</v>
      </c>
      <c r="O2779" s="25">
        <f>0.118*M2779</f>
        <v>0</v>
      </c>
      <c r="P2779" s="26">
        <f>0.00121*M2779</f>
        <v>0</v>
      </c>
      <c r="Q2779" s="30"/>
      <c r="R2779" s="22" t="s">
        <v>9590</v>
      </c>
      <c r="S2779" s="22" t="s">
        <v>435</v>
      </c>
      <c r="T2779" s="21" t="str">
        <f>HYPERLINK("https://miland.ru/api/getInfo/image/0aa9948d-9aed-11ed-a22e-00155d82e902")</f>
        <v>https://miland.ru/api/getInfo/image/0aa9948d-9aed-11ed-a22e-00155d82e902</v>
      </c>
      <c r="U2779" s="21"/>
      <c r="V2779" s="21"/>
      <c r="W2779" s="21"/>
      <c r="X2779" s="21"/>
      <c r="Y2779" s="21" t="s">
        <v>41</v>
      </c>
      <c r="Z2779" s="21"/>
      <c r="AA2779" s="21" t="str">
        <f>HYPERLINK("https://miland.ru/api/getInfo/item/0aa9948d-9aed-11ed-a22e-00155d82e902")</f>
        <v>https://miland.ru/api/getInfo/item/0aa9948d-9aed-11ed-a22e-00155d82e902</v>
      </c>
      <c r="AB2779" s="21" t="s">
        <v>42</v>
      </c>
      <c r="AC2779" s="21" t="s">
        <v>9591</v>
      </c>
      <c r="AD2779" s="21"/>
    </row>
    <row r="2780" spans="2:31" ht="12" customHeight="1" outlineLevel="6">
      <c r="B2780" s="70" t="s">
        <v>9592</v>
      </c>
      <c r="C2780" s="70"/>
      <c r="D2780" s="70"/>
      <c r="E2780" s="70"/>
      <c r="F2780" s="70"/>
      <c r="G2780" s="70"/>
    </row>
    <row r="2781" spans="2:31" s="1" customFormat="1" ht="96.3" customHeight="1" outlineLevel="7">
      <c r="B2781" s="59">
        <v>2152</v>
      </c>
      <c r="C2781" s="35" t="s">
        <v>9593</v>
      </c>
      <c r="D2781" s="73" t="s">
        <v>9594</v>
      </c>
      <c r="E2781" s="73"/>
      <c r="F2781" s="73"/>
      <c r="G2781" s="73"/>
      <c r="H2781" s="36" t="s">
        <v>9595</v>
      </c>
      <c r="I2781" s="40">
        <v>162</v>
      </c>
      <c r="J2781" s="36"/>
      <c r="K2781" s="34">
        <v>1</v>
      </c>
      <c r="L2781" s="41">
        <v>345.92</v>
      </c>
      <c r="M2781" s="11"/>
      <c r="N2781" s="36">
        <f>L2781*M2781</f>
        <v>0</v>
      </c>
      <c r="O2781" s="42">
        <f>0.194*M2781</f>
        <v>0</v>
      </c>
      <c r="P2781" s="43">
        <f>0.00295*M2781</f>
        <v>0</v>
      </c>
      <c r="Q2781" s="50"/>
      <c r="R2781" s="36" t="s">
        <v>9596</v>
      </c>
      <c r="S2781" s="36" t="s">
        <v>435</v>
      </c>
      <c r="T2781" s="35" t="str">
        <f>HYPERLINK("https://miland.ru/api/getInfo/image/9b4e9c41-9af7-11ed-a22e-00155d82e902")</f>
        <v>https://miland.ru/api/getInfo/image/9b4e9c41-9af7-11ed-a22e-00155d82e902</v>
      </c>
      <c r="U2781" s="35"/>
      <c r="V2781" s="35"/>
      <c r="W2781" s="35" t="s">
        <v>8836</v>
      </c>
      <c r="X2781" s="35"/>
      <c r="Y2781" s="35" t="s">
        <v>41</v>
      </c>
      <c r="Z2781" s="35"/>
      <c r="AA2781" s="35" t="str">
        <f>HYPERLINK("https://miland.ru/api/getInfo/item/9b4e9c41-9af7-11ed-a22e-00155d82e902")</f>
        <v>https://miland.ru/api/getInfo/item/9b4e9c41-9af7-11ed-a22e-00155d82e902</v>
      </c>
      <c r="AB2781" s="35" t="s">
        <v>42</v>
      </c>
      <c r="AC2781" s="35"/>
      <c r="AD2781" s="35"/>
      <c r="AE2781" s="52" t="s">
        <v>9152</v>
      </c>
    </row>
    <row r="2782" spans="2:31" ht="12" customHeight="1" outlineLevel="6">
      <c r="B2782" s="70" t="s">
        <v>9597</v>
      </c>
      <c r="C2782" s="70"/>
      <c r="D2782" s="70"/>
      <c r="E2782" s="70"/>
      <c r="F2782" s="70"/>
      <c r="G2782" s="70"/>
    </row>
    <row r="2783" spans="2:31" s="1" customFormat="1" ht="96.3" customHeight="1" outlineLevel="7">
      <c r="B2783" s="59">
        <v>2153</v>
      </c>
      <c r="C2783" s="35" t="s">
        <v>9598</v>
      </c>
      <c r="D2783" s="73" t="s">
        <v>9599</v>
      </c>
      <c r="E2783" s="73"/>
      <c r="F2783" s="73"/>
      <c r="G2783" s="73"/>
      <c r="H2783" s="36" t="s">
        <v>9600</v>
      </c>
      <c r="I2783" s="40">
        <v>18</v>
      </c>
      <c r="J2783" s="36"/>
      <c r="K2783" s="34">
        <v>1</v>
      </c>
      <c r="L2783" s="41">
        <v>463.18666666666667</v>
      </c>
      <c r="M2783" s="11"/>
      <c r="N2783" s="36">
        <f>L2783*M2783</f>
        <v>0</v>
      </c>
      <c r="O2783" s="42">
        <f>0.422*M2783</f>
        <v>0</v>
      </c>
      <c r="P2783" s="43">
        <f>0.00282*M2783</f>
        <v>0</v>
      </c>
      <c r="Q2783" s="50"/>
      <c r="R2783" s="36" t="s">
        <v>9601</v>
      </c>
      <c r="S2783" s="36" t="s">
        <v>435</v>
      </c>
      <c r="T2783" s="35" t="str">
        <f>HYPERLINK("https://miland.ru/api/getInfo/image/7c045a17-95cd-11ee-a250-00155d82e908")</f>
        <v>https://miland.ru/api/getInfo/image/7c045a17-95cd-11ee-a250-00155d82e908</v>
      </c>
      <c r="U2783" s="35"/>
      <c r="V2783" s="35"/>
      <c r="W2783" s="35"/>
      <c r="X2783" s="35"/>
      <c r="Y2783" s="35" t="s">
        <v>41</v>
      </c>
      <c r="Z2783" s="35"/>
      <c r="AA2783" s="35" t="str">
        <f>HYPERLINK("https://miland.ru/api/getInfo/item/7c045a17-95cd-11ee-a250-00155d82e908")</f>
        <v>https://miland.ru/api/getInfo/item/7c045a17-95cd-11ee-a250-00155d82e908</v>
      </c>
      <c r="AB2783" s="35" t="s">
        <v>42</v>
      </c>
      <c r="AC2783" s="35" t="s">
        <v>9602</v>
      </c>
      <c r="AD2783" s="35"/>
      <c r="AE2783" s="52" t="s">
        <v>1251</v>
      </c>
    </row>
    <row r="2784" spans="2:31" ht="12" customHeight="1" outlineLevel="4">
      <c r="B2784" s="70" t="s">
        <v>9603</v>
      </c>
      <c r="C2784" s="70"/>
      <c r="D2784" s="70"/>
      <c r="E2784" s="70"/>
      <c r="F2784" s="70"/>
      <c r="G2784" s="70"/>
    </row>
    <row r="2785" spans="2:31" ht="12" customHeight="1" outlineLevel="5">
      <c r="B2785" s="70" t="s">
        <v>9539</v>
      </c>
      <c r="C2785" s="70"/>
      <c r="D2785" s="70"/>
      <c r="E2785" s="70"/>
      <c r="F2785" s="70"/>
      <c r="G2785" s="70"/>
    </row>
    <row r="2786" spans="2:31" ht="12" customHeight="1" outlineLevel="6">
      <c r="B2786" s="70" t="s">
        <v>9604</v>
      </c>
      <c r="C2786" s="70"/>
      <c r="D2786" s="70"/>
      <c r="E2786" s="70"/>
      <c r="F2786" s="70"/>
      <c r="G2786" s="70"/>
    </row>
    <row r="2787" spans="2:31" s="1" customFormat="1" ht="96.3" customHeight="1" outlineLevel="7">
      <c r="B2787" s="57">
        <v>2154</v>
      </c>
      <c r="C2787" s="21" t="s">
        <v>9605</v>
      </c>
      <c r="D2787" s="72" t="s">
        <v>9606</v>
      </c>
      <c r="E2787" s="72"/>
      <c r="F2787" s="72"/>
      <c r="G2787" s="72"/>
      <c r="H2787" s="22" t="s">
        <v>9607</v>
      </c>
      <c r="I2787" s="23" t="s">
        <v>36</v>
      </c>
      <c r="J2787" s="22"/>
      <c r="K2787" s="20">
        <v>3</v>
      </c>
      <c r="L2787" s="24">
        <v>174.18</v>
      </c>
      <c r="M2787" s="11"/>
      <c r="N2787" s="22">
        <f t="shared" ref="N2787:N2792" si="131">L2787*M2787</f>
        <v>0</v>
      </c>
      <c r="O2787" s="25">
        <f>0.188*M2787</f>
        <v>0</v>
      </c>
      <c r="P2787" s="26">
        <f>0.00089*M2787</f>
        <v>0</v>
      </c>
      <c r="Q2787" s="30"/>
      <c r="R2787" s="22" t="s">
        <v>9608</v>
      </c>
      <c r="S2787" s="22"/>
      <c r="T2787" s="21" t="str">
        <f>HYPERLINK("https://miland.ru/api/getInfo/image/ca3db652-6886-11f0-a283-00155d82e908")</f>
        <v>https://miland.ru/api/getInfo/image/ca3db652-6886-11f0-a283-00155d82e908</v>
      </c>
      <c r="U2787" s="21"/>
      <c r="V2787" s="21" t="s">
        <v>9609</v>
      </c>
      <c r="W2787" s="21" t="s">
        <v>185</v>
      </c>
      <c r="X2787" s="21"/>
      <c r="Y2787" s="21" t="s">
        <v>697</v>
      </c>
      <c r="Z2787" s="21"/>
      <c r="AA2787" s="21" t="str">
        <f>HYPERLINK("https://miland.ru/api/getInfo/item/ca3db652-6886-11f0-a283-00155d82e908")</f>
        <v>https://miland.ru/api/getInfo/item/ca3db652-6886-11f0-a283-00155d82e908</v>
      </c>
      <c r="AB2787" s="21" t="s">
        <v>42</v>
      </c>
      <c r="AC2787" s="21"/>
      <c r="AD2787" s="21"/>
    </row>
    <row r="2788" spans="2:31" s="1" customFormat="1" ht="96.3" customHeight="1" outlineLevel="7">
      <c r="B2788" s="57">
        <v>2155</v>
      </c>
      <c r="C2788" s="21" t="s">
        <v>9610</v>
      </c>
      <c r="D2788" s="72" t="s">
        <v>9611</v>
      </c>
      <c r="E2788" s="72"/>
      <c r="F2788" s="72"/>
      <c r="G2788" s="72"/>
      <c r="H2788" s="22" t="s">
        <v>9612</v>
      </c>
      <c r="I2788" s="23" t="s">
        <v>36</v>
      </c>
      <c r="J2788" s="22"/>
      <c r="K2788" s="20">
        <v>3</v>
      </c>
      <c r="L2788" s="24">
        <v>188.2</v>
      </c>
      <c r="M2788" s="11"/>
      <c r="N2788" s="22">
        <f t="shared" si="131"/>
        <v>0</v>
      </c>
      <c r="O2788" s="25">
        <f>0.198*M2788</f>
        <v>0</v>
      </c>
      <c r="P2788" s="26">
        <f>0.00082*M2788</f>
        <v>0</v>
      </c>
      <c r="Q2788" s="30"/>
      <c r="R2788" s="22" t="s">
        <v>9613</v>
      </c>
      <c r="S2788" s="22"/>
      <c r="T2788" s="21" t="str">
        <f>HYPERLINK("https://miland.ru/api/getInfo/image/0056bbb1-6888-11f0-a283-00155d82e908")</f>
        <v>https://miland.ru/api/getInfo/image/0056bbb1-6888-11f0-a283-00155d82e908</v>
      </c>
      <c r="U2788" s="21"/>
      <c r="V2788" s="21" t="s">
        <v>9609</v>
      </c>
      <c r="W2788" s="21" t="s">
        <v>185</v>
      </c>
      <c r="X2788" s="21"/>
      <c r="Y2788" s="21" t="s">
        <v>697</v>
      </c>
      <c r="Z2788" s="21"/>
      <c r="AA2788" s="21" t="str">
        <f>HYPERLINK("https://miland.ru/api/getInfo/item/0056bbb1-6888-11f0-a283-00155d82e908")</f>
        <v>https://miland.ru/api/getInfo/item/0056bbb1-6888-11f0-a283-00155d82e908</v>
      </c>
      <c r="AB2788" s="21" t="s">
        <v>42</v>
      </c>
      <c r="AC2788" s="21"/>
      <c r="AD2788" s="21"/>
    </row>
    <row r="2789" spans="2:31" s="1" customFormat="1" ht="96.3" customHeight="1" outlineLevel="7">
      <c r="B2789" s="57">
        <v>2156</v>
      </c>
      <c r="C2789" s="21" t="s">
        <v>9614</v>
      </c>
      <c r="D2789" s="72" t="s">
        <v>9615</v>
      </c>
      <c r="E2789" s="72"/>
      <c r="F2789" s="72"/>
      <c r="G2789" s="72"/>
      <c r="H2789" s="22" t="s">
        <v>9616</v>
      </c>
      <c r="I2789" s="23" t="s">
        <v>36</v>
      </c>
      <c r="J2789" s="22"/>
      <c r="K2789" s="20">
        <v>3</v>
      </c>
      <c r="L2789" s="24">
        <v>188.2</v>
      </c>
      <c r="M2789" s="11"/>
      <c r="N2789" s="22">
        <f t="shared" si="131"/>
        <v>0</v>
      </c>
      <c r="O2789" s="33">
        <f>0.2*M2789</f>
        <v>0</v>
      </c>
      <c r="P2789" s="26">
        <f>0.00083*M2789</f>
        <v>0</v>
      </c>
      <c r="Q2789" s="30"/>
      <c r="R2789" s="22" t="s">
        <v>9617</v>
      </c>
      <c r="S2789" s="22"/>
      <c r="T2789" s="21" t="str">
        <f>HYPERLINK("https://miland.ru/api/getInfo/image/3d6cf7e3-6889-11f0-a283-00155d82e908")</f>
        <v>https://miland.ru/api/getInfo/image/3d6cf7e3-6889-11f0-a283-00155d82e908</v>
      </c>
      <c r="U2789" s="21"/>
      <c r="V2789" s="21" t="s">
        <v>9609</v>
      </c>
      <c r="W2789" s="21" t="s">
        <v>185</v>
      </c>
      <c r="X2789" s="21"/>
      <c r="Y2789" s="21" t="s">
        <v>697</v>
      </c>
      <c r="Z2789" s="21"/>
      <c r="AA2789" s="21" t="str">
        <f>HYPERLINK("https://miland.ru/api/getInfo/item/3d6cf7e3-6889-11f0-a283-00155d82e908")</f>
        <v>https://miland.ru/api/getInfo/item/3d6cf7e3-6889-11f0-a283-00155d82e908</v>
      </c>
      <c r="AB2789" s="21" t="s">
        <v>42</v>
      </c>
      <c r="AC2789" s="21"/>
      <c r="AD2789" s="21"/>
    </row>
    <row r="2790" spans="2:31" s="1" customFormat="1" ht="96.3" customHeight="1" outlineLevel="7">
      <c r="B2790" s="57">
        <v>2157</v>
      </c>
      <c r="C2790" s="21" t="s">
        <v>9618</v>
      </c>
      <c r="D2790" s="72" t="s">
        <v>9619</v>
      </c>
      <c r="E2790" s="72"/>
      <c r="F2790" s="72"/>
      <c r="G2790" s="72"/>
      <c r="H2790" s="22" t="s">
        <v>9620</v>
      </c>
      <c r="I2790" s="23" t="s">
        <v>36</v>
      </c>
      <c r="J2790" s="22"/>
      <c r="K2790" s="20">
        <v>3</v>
      </c>
      <c r="L2790" s="24">
        <v>188.2</v>
      </c>
      <c r="M2790" s="11"/>
      <c r="N2790" s="22">
        <f t="shared" si="131"/>
        <v>0</v>
      </c>
      <c r="O2790" s="25">
        <f>0.212*M2790</f>
        <v>0</v>
      </c>
      <c r="P2790" s="26">
        <f>0.00079*M2790</f>
        <v>0</v>
      </c>
      <c r="Q2790" s="30"/>
      <c r="R2790" s="22" t="s">
        <v>9621</v>
      </c>
      <c r="S2790" s="22"/>
      <c r="T2790" s="21" t="str">
        <f>HYPERLINK("https://miland.ru/api/getInfo/image/a74e43d4-6889-11f0-a283-00155d82e908")</f>
        <v>https://miland.ru/api/getInfo/image/a74e43d4-6889-11f0-a283-00155d82e908</v>
      </c>
      <c r="U2790" s="21"/>
      <c r="V2790" s="21" t="s">
        <v>9609</v>
      </c>
      <c r="W2790" s="21" t="s">
        <v>185</v>
      </c>
      <c r="X2790" s="21"/>
      <c r="Y2790" s="21" t="s">
        <v>697</v>
      </c>
      <c r="Z2790" s="21"/>
      <c r="AA2790" s="21" t="str">
        <f>HYPERLINK("https://miland.ru/api/getInfo/item/a74e43d4-6889-11f0-a283-00155d82e908")</f>
        <v>https://miland.ru/api/getInfo/item/a74e43d4-6889-11f0-a283-00155d82e908</v>
      </c>
      <c r="AB2790" s="21" t="s">
        <v>42</v>
      </c>
      <c r="AC2790" s="21"/>
      <c r="AD2790" s="21"/>
    </row>
    <row r="2791" spans="2:31" s="1" customFormat="1" ht="96.3" customHeight="1" outlineLevel="7">
      <c r="B2791" s="57">
        <v>2158</v>
      </c>
      <c r="C2791" s="21" t="s">
        <v>9622</v>
      </c>
      <c r="D2791" s="72" t="s">
        <v>9623</v>
      </c>
      <c r="E2791" s="72"/>
      <c r="F2791" s="72"/>
      <c r="G2791" s="72"/>
      <c r="H2791" s="22" t="s">
        <v>9624</v>
      </c>
      <c r="I2791" s="23" t="s">
        <v>36</v>
      </c>
      <c r="J2791" s="22"/>
      <c r="K2791" s="20">
        <v>3</v>
      </c>
      <c r="L2791" s="24">
        <v>188.2</v>
      </c>
      <c r="M2791" s="11"/>
      <c r="N2791" s="22">
        <f t="shared" si="131"/>
        <v>0</v>
      </c>
      <c r="O2791" s="28">
        <f>0.18*M2791</f>
        <v>0</v>
      </c>
      <c r="P2791" s="29">
        <f>0.0009*M2791</f>
        <v>0</v>
      </c>
      <c r="Q2791" s="30"/>
      <c r="R2791" s="22" t="s">
        <v>9625</v>
      </c>
      <c r="S2791" s="22"/>
      <c r="T2791" s="21" t="str">
        <f>HYPERLINK("https://miland.ru/api/getInfo/image/9b324dcb-6888-11f0-a283-00155d82e908")</f>
        <v>https://miland.ru/api/getInfo/image/9b324dcb-6888-11f0-a283-00155d82e908</v>
      </c>
      <c r="U2791" s="21"/>
      <c r="V2791" s="21" t="s">
        <v>9609</v>
      </c>
      <c r="W2791" s="21" t="s">
        <v>185</v>
      </c>
      <c r="X2791" s="21"/>
      <c r="Y2791" s="21" t="s">
        <v>697</v>
      </c>
      <c r="Z2791" s="21"/>
      <c r="AA2791" s="21" t="str">
        <f>HYPERLINK("https://miland.ru/api/getInfo/item/9b324dcb-6888-11f0-a283-00155d82e908")</f>
        <v>https://miland.ru/api/getInfo/item/9b324dcb-6888-11f0-a283-00155d82e908</v>
      </c>
      <c r="AB2791" s="21" t="s">
        <v>42</v>
      </c>
      <c r="AC2791" s="21"/>
      <c r="AD2791" s="21"/>
    </row>
    <row r="2792" spans="2:31" s="1" customFormat="1" ht="96.3" customHeight="1" outlineLevel="7">
      <c r="B2792" s="57">
        <v>2159</v>
      </c>
      <c r="C2792" s="21" t="s">
        <v>9626</v>
      </c>
      <c r="D2792" s="72" t="s">
        <v>9627</v>
      </c>
      <c r="E2792" s="72"/>
      <c r="F2792" s="72"/>
      <c r="G2792" s="72"/>
      <c r="H2792" s="22" t="s">
        <v>9628</v>
      </c>
      <c r="I2792" s="23" t="s">
        <v>36</v>
      </c>
      <c r="J2792" s="22"/>
      <c r="K2792" s="20">
        <v>3</v>
      </c>
      <c r="L2792" s="24">
        <v>188.2</v>
      </c>
      <c r="M2792" s="11"/>
      <c r="N2792" s="22">
        <f t="shared" si="131"/>
        <v>0</v>
      </c>
      <c r="O2792" s="25">
        <f>0.189*M2792</f>
        <v>0</v>
      </c>
      <c r="P2792" s="29">
        <f>0.0008*M2792</f>
        <v>0</v>
      </c>
      <c r="Q2792" s="30"/>
      <c r="R2792" s="22" t="s">
        <v>9629</v>
      </c>
      <c r="S2792" s="22"/>
      <c r="T2792" s="21" t="str">
        <f>HYPERLINK("https://miland.ru/api/getInfo/image/09a52fc5-6889-11f0-a283-00155d82e908")</f>
        <v>https://miland.ru/api/getInfo/image/09a52fc5-6889-11f0-a283-00155d82e908</v>
      </c>
      <c r="U2792" s="21"/>
      <c r="V2792" s="21" t="s">
        <v>9609</v>
      </c>
      <c r="W2792" s="21" t="s">
        <v>185</v>
      </c>
      <c r="X2792" s="21"/>
      <c r="Y2792" s="21" t="s">
        <v>697</v>
      </c>
      <c r="Z2792" s="21"/>
      <c r="AA2792" s="21" t="str">
        <f>HYPERLINK("https://miland.ru/api/getInfo/item/09a52fc5-6889-11f0-a283-00155d82e908")</f>
        <v>https://miland.ru/api/getInfo/item/09a52fc5-6889-11f0-a283-00155d82e908</v>
      </c>
      <c r="AB2792" s="21" t="s">
        <v>42</v>
      </c>
      <c r="AC2792" s="21"/>
      <c r="AD2792" s="21"/>
    </row>
    <row r="2793" spans="2:31" ht="12" customHeight="1" outlineLevel="6">
      <c r="B2793" s="70" t="s">
        <v>9630</v>
      </c>
      <c r="C2793" s="70"/>
      <c r="D2793" s="70"/>
      <c r="E2793" s="70"/>
      <c r="F2793" s="70"/>
      <c r="G2793" s="70"/>
    </row>
    <row r="2794" spans="2:31" s="1" customFormat="1" ht="96.3" customHeight="1" outlineLevel="7">
      <c r="B2794" s="57">
        <v>2160</v>
      </c>
      <c r="C2794" s="21" t="s">
        <v>9631</v>
      </c>
      <c r="D2794" s="72" t="s">
        <v>9632</v>
      </c>
      <c r="E2794" s="72"/>
      <c r="F2794" s="72"/>
      <c r="G2794" s="72"/>
      <c r="H2794" s="22" t="s">
        <v>9633</v>
      </c>
      <c r="I2794" s="23" t="s">
        <v>36</v>
      </c>
      <c r="J2794" s="22"/>
      <c r="K2794" s="20">
        <v>3</v>
      </c>
      <c r="L2794" s="24">
        <v>222.72</v>
      </c>
      <c r="M2794" s="11"/>
      <c r="N2794" s="22">
        <f>L2794*M2794</f>
        <v>0</v>
      </c>
      <c r="O2794" s="33">
        <f>0.2*M2794</f>
        <v>0</v>
      </c>
      <c r="P2794" s="29">
        <f>0.0009*M2794</f>
        <v>0</v>
      </c>
      <c r="Q2794" s="30"/>
      <c r="R2794" s="22" t="s">
        <v>9634</v>
      </c>
      <c r="S2794" s="22"/>
      <c r="T2794" s="21" t="str">
        <f>HYPERLINK("https://miland.ru/api/getInfo/image/0d05e052-688a-11f0-a283-00155d82e908")</f>
        <v>https://miland.ru/api/getInfo/image/0d05e052-688a-11f0-a283-00155d82e908</v>
      </c>
      <c r="U2794" s="21"/>
      <c r="V2794" s="21" t="s">
        <v>9609</v>
      </c>
      <c r="W2794" s="21" t="s">
        <v>185</v>
      </c>
      <c r="X2794" s="21"/>
      <c r="Y2794" s="21" t="s">
        <v>697</v>
      </c>
      <c r="Z2794" s="21"/>
      <c r="AA2794" s="21" t="str">
        <f>HYPERLINK("https://miland.ru/api/getInfo/item/0d05e052-688a-11f0-a283-00155d82e908")</f>
        <v>https://miland.ru/api/getInfo/item/0d05e052-688a-11f0-a283-00155d82e908</v>
      </c>
      <c r="AB2794" s="21" t="s">
        <v>42</v>
      </c>
      <c r="AC2794" s="21"/>
      <c r="AD2794" s="21"/>
    </row>
    <row r="2795" spans="2:31" s="1" customFormat="1" ht="96.3" customHeight="1" outlineLevel="7">
      <c r="B2795" s="57">
        <v>2161</v>
      </c>
      <c r="C2795" s="21" t="s">
        <v>9635</v>
      </c>
      <c r="D2795" s="72" t="s">
        <v>9636</v>
      </c>
      <c r="E2795" s="72"/>
      <c r="F2795" s="72"/>
      <c r="G2795" s="72"/>
      <c r="H2795" s="22" t="s">
        <v>9637</v>
      </c>
      <c r="I2795" s="23" t="s">
        <v>36</v>
      </c>
      <c r="J2795" s="22"/>
      <c r="K2795" s="20">
        <v>3</v>
      </c>
      <c r="L2795" s="24">
        <v>222.72</v>
      </c>
      <c r="M2795" s="11"/>
      <c r="N2795" s="22">
        <f>L2795*M2795</f>
        <v>0</v>
      </c>
      <c r="O2795" s="25">
        <f>0.272*M2795</f>
        <v>0</v>
      </c>
      <c r="P2795" s="26">
        <f>0.00109*M2795</f>
        <v>0</v>
      </c>
      <c r="Q2795" s="30"/>
      <c r="R2795" s="22" t="s">
        <v>9638</v>
      </c>
      <c r="S2795" s="22"/>
      <c r="T2795" s="21" t="str">
        <f>HYPERLINK("https://miland.ru/api/getInfo/image/371d0255-688a-11f0-a283-00155d82e908")</f>
        <v>https://miland.ru/api/getInfo/image/371d0255-688a-11f0-a283-00155d82e908</v>
      </c>
      <c r="U2795" s="21"/>
      <c r="V2795" s="21" t="s">
        <v>9609</v>
      </c>
      <c r="W2795" s="21" t="s">
        <v>185</v>
      </c>
      <c r="X2795" s="21"/>
      <c r="Y2795" s="21" t="s">
        <v>697</v>
      </c>
      <c r="Z2795" s="21"/>
      <c r="AA2795" s="21" t="str">
        <f>HYPERLINK("https://miland.ru/api/getInfo/item/371d0255-688a-11f0-a283-00155d82e908")</f>
        <v>https://miland.ru/api/getInfo/item/371d0255-688a-11f0-a283-00155d82e908</v>
      </c>
      <c r="AB2795" s="21" t="s">
        <v>42</v>
      </c>
      <c r="AC2795" s="21"/>
      <c r="AD2795" s="21"/>
    </row>
    <row r="2796" spans="2:31" s="1" customFormat="1" ht="96.3" customHeight="1" outlineLevel="7">
      <c r="B2796" s="57">
        <v>2162</v>
      </c>
      <c r="C2796" s="21" t="s">
        <v>9639</v>
      </c>
      <c r="D2796" s="72" t="s">
        <v>9640</v>
      </c>
      <c r="E2796" s="72"/>
      <c r="F2796" s="72"/>
      <c r="G2796" s="72"/>
      <c r="H2796" s="22" t="s">
        <v>9641</v>
      </c>
      <c r="I2796" s="23" t="s">
        <v>36</v>
      </c>
      <c r="J2796" s="22"/>
      <c r="K2796" s="20">
        <v>3</v>
      </c>
      <c r="L2796" s="24">
        <v>222.72</v>
      </c>
      <c r="M2796" s="11"/>
      <c r="N2796" s="22">
        <f>L2796*M2796</f>
        <v>0</v>
      </c>
      <c r="O2796" s="28">
        <f>0.28*M2796</f>
        <v>0</v>
      </c>
      <c r="P2796" s="26">
        <f>0.00091*M2796</f>
        <v>0</v>
      </c>
      <c r="Q2796" s="30"/>
      <c r="R2796" s="22" t="s">
        <v>9642</v>
      </c>
      <c r="S2796" s="22"/>
      <c r="T2796" s="21" t="str">
        <f>HYPERLINK("https://miland.ru/api/getInfo/image/579d478c-688b-11f0-a283-00155d82e908")</f>
        <v>https://miland.ru/api/getInfo/image/579d478c-688b-11f0-a283-00155d82e908</v>
      </c>
      <c r="U2796" s="21"/>
      <c r="V2796" s="21" t="s">
        <v>9609</v>
      </c>
      <c r="W2796" s="21" t="s">
        <v>185</v>
      </c>
      <c r="X2796" s="21"/>
      <c r="Y2796" s="21" t="s">
        <v>697</v>
      </c>
      <c r="Z2796" s="21"/>
      <c r="AA2796" s="21" t="str">
        <f>HYPERLINK("https://miland.ru/api/getInfo/item/579d478c-688b-11f0-a283-00155d82e908")</f>
        <v>https://miland.ru/api/getInfo/item/579d478c-688b-11f0-a283-00155d82e908</v>
      </c>
      <c r="AB2796" s="21" t="s">
        <v>42</v>
      </c>
      <c r="AC2796" s="21"/>
      <c r="AD2796" s="21"/>
    </row>
    <row r="2797" spans="2:31" s="1" customFormat="1" ht="96.3" customHeight="1" outlineLevel="7">
      <c r="B2797" s="57">
        <v>2163</v>
      </c>
      <c r="C2797" s="21" t="s">
        <v>9643</v>
      </c>
      <c r="D2797" s="72" t="s">
        <v>9644</v>
      </c>
      <c r="E2797" s="72"/>
      <c r="F2797" s="72"/>
      <c r="G2797" s="72"/>
      <c r="H2797" s="22" t="s">
        <v>9645</v>
      </c>
      <c r="I2797" s="23" t="s">
        <v>36</v>
      </c>
      <c r="J2797" s="22"/>
      <c r="K2797" s="20">
        <v>3</v>
      </c>
      <c r="L2797" s="24">
        <v>222.72</v>
      </c>
      <c r="M2797" s="11"/>
      <c r="N2797" s="22">
        <f>L2797*M2797</f>
        <v>0</v>
      </c>
      <c r="O2797" s="25">
        <f>0.277*M2797</f>
        <v>0</v>
      </c>
      <c r="P2797" s="26">
        <f>0.00098*M2797</f>
        <v>0</v>
      </c>
      <c r="Q2797" s="30"/>
      <c r="R2797" s="22" t="s">
        <v>9646</v>
      </c>
      <c r="S2797" s="22"/>
      <c r="T2797" s="21" t="str">
        <f>HYPERLINK("https://miland.ru/api/getInfo/image/e152df2a-688a-11f0-a283-00155d82e908")</f>
        <v>https://miland.ru/api/getInfo/image/e152df2a-688a-11f0-a283-00155d82e908</v>
      </c>
      <c r="U2797" s="21"/>
      <c r="V2797" s="21" t="s">
        <v>9609</v>
      </c>
      <c r="W2797" s="21" t="s">
        <v>185</v>
      </c>
      <c r="X2797" s="21"/>
      <c r="Y2797" s="21" t="s">
        <v>697</v>
      </c>
      <c r="Z2797" s="21"/>
      <c r="AA2797" s="21" t="str">
        <f>HYPERLINK("https://miland.ru/api/getInfo/item/e152df2a-688a-11f0-a283-00155d82e908")</f>
        <v>https://miland.ru/api/getInfo/item/e152df2a-688a-11f0-a283-00155d82e908</v>
      </c>
      <c r="AB2797" s="21" t="s">
        <v>42</v>
      </c>
      <c r="AC2797" s="21"/>
      <c r="AD2797" s="21"/>
    </row>
    <row r="2798" spans="2:31" s="1" customFormat="1" ht="96.3" customHeight="1" outlineLevel="7">
      <c r="B2798" s="57">
        <v>2164</v>
      </c>
      <c r="C2798" s="21" t="s">
        <v>9647</v>
      </c>
      <c r="D2798" s="72" t="s">
        <v>9648</v>
      </c>
      <c r="E2798" s="72"/>
      <c r="F2798" s="72"/>
      <c r="G2798" s="72"/>
      <c r="H2798" s="22" t="s">
        <v>9649</v>
      </c>
      <c r="I2798" s="23" t="s">
        <v>36</v>
      </c>
      <c r="J2798" s="22"/>
      <c r="K2798" s="20">
        <v>3</v>
      </c>
      <c r="L2798" s="24">
        <v>222.72</v>
      </c>
      <c r="M2798" s="11"/>
      <c r="N2798" s="22">
        <f>L2798*M2798</f>
        <v>0</v>
      </c>
      <c r="O2798" s="25">
        <f>0.273*M2798</f>
        <v>0</v>
      </c>
      <c r="P2798" s="26">
        <f>0.00092*M2798</f>
        <v>0</v>
      </c>
      <c r="Q2798" s="30"/>
      <c r="R2798" s="22" t="s">
        <v>9650</v>
      </c>
      <c r="S2798" s="22"/>
      <c r="T2798" s="21" t="str">
        <f>HYPERLINK("https://miland.ru/api/getInfo/image/c347fd47-688b-11f0-a283-00155d82e908")</f>
        <v>https://miland.ru/api/getInfo/image/c347fd47-688b-11f0-a283-00155d82e908</v>
      </c>
      <c r="U2798" s="21"/>
      <c r="V2798" s="21" t="s">
        <v>9609</v>
      </c>
      <c r="W2798" s="21" t="s">
        <v>185</v>
      </c>
      <c r="X2798" s="21"/>
      <c r="Y2798" s="21" t="s">
        <v>697</v>
      </c>
      <c r="Z2798" s="21"/>
      <c r="AA2798" s="21" t="str">
        <f>HYPERLINK("https://miland.ru/api/getInfo/item/c347fd47-688b-11f0-a283-00155d82e908")</f>
        <v>https://miland.ru/api/getInfo/item/c347fd47-688b-11f0-a283-00155d82e908</v>
      </c>
      <c r="AB2798" s="21" t="s">
        <v>42</v>
      </c>
      <c r="AC2798" s="21"/>
      <c r="AD2798" s="21"/>
    </row>
    <row r="2799" spans="2:31" ht="12" customHeight="1" outlineLevel="5">
      <c r="B2799" s="70" t="s">
        <v>9651</v>
      </c>
      <c r="C2799" s="70"/>
      <c r="D2799" s="70"/>
      <c r="E2799" s="70"/>
      <c r="F2799" s="70"/>
      <c r="G2799" s="70"/>
    </row>
    <row r="2800" spans="2:31" s="1" customFormat="1" ht="96.3" customHeight="1" outlineLevel="6">
      <c r="B2800" s="59">
        <v>2165</v>
      </c>
      <c r="C2800" s="35" t="s">
        <v>9652</v>
      </c>
      <c r="D2800" s="73" t="s">
        <v>9653</v>
      </c>
      <c r="E2800" s="73"/>
      <c r="F2800" s="73"/>
      <c r="G2800" s="73"/>
      <c r="H2800" s="36" t="s">
        <v>9654</v>
      </c>
      <c r="I2800" s="56" t="s">
        <v>36</v>
      </c>
      <c r="J2800" s="36"/>
      <c r="K2800" s="34">
        <v>1</v>
      </c>
      <c r="L2800" s="41">
        <v>772.01333333333332</v>
      </c>
      <c r="M2800" s="11"/>
      <c r="N2800" s="36">
        <f>L2800*M2800</f>
        <v>0</v>
      </c>
      <c r="O2800" s="42">
        <f>0.656*M2800</f>
        <v>0</v>
      </c>
      <c r="P2800" s="43">
        <f>0.00244*M2800</f>
        <v>0</v>
      </c>
      <c r="Q2800" s="50"/>
      <c r="R2800" s="36" t="s">
        <v>9655</v>
      </c>
      <c r="S2800" s="36" t="s">
        <v>435</v>
      </c>
      <c r="T2800" s="35" t="str">
        <f>HYPERLINK("https://miland.ru/api/getInfo/image/ee6e7a12-c0fb-11ef-a267-00155d82e908")</f>
        <v>https://miland.ru/api/getInfo/image/ee6e7a12-c0fb-11ef-a267-00155d82e908</v>
      </c>
      <c r="U2800" s="35"/>
      <c r="V2800" s="35" t="s">
        <v>9609</v>
      </c>
      <c r="W2800" s="35" t="s">
        <v>185</v>
      </c>
      <c r="X2800" s="35"/>
      <c r="Y2800" s="35" t="s">
        <v>697</v>
      </c>
      <c r="Z2800" s="35"/>
      <c r="AA2800" s="35" t="str">
        <f>HYPERLINK("https://miland.ru/api/getInfo/item/ee6e7a12-c0fb-11ef-a267-00155d82e908")</f>
        <v>https://miland.ru/api/getInfo/item/ee6e7a12-c0fb-11ef-a267-00155d82e908</v>
      </c>
      <c r="AB2800" s="35" t="s">
        <v>42</v>
      </c>
      <c r="AC2800" s="35"/>
      <c r="AD2800" s="35"/>
      <c r="AE2800" s="52" t="s">
        <v>9152</v>
      </c>
    </row>
    <row r="2801" spans="2:31" s="1" customFormat="1" ht="96.3" customHeight="1" outlineLevel="6">
      <c r="B2801" s="59">
        <v>2166</v>
      </c>
      <c r="C2801" s="35" t="s">
        <v>9656</v>
      </c>
      <c r="D2801" s="73" t="s">
        <v>9657</v>
      </c>
      <c r="E2801" s="73"/>
      <c r="F2801" s="73"/>
      <c r="G2801" s="73"/>
      <c r="H2801" s="36" t="s">
        <v>9658</v>
      </c>
      <c r="I2801" s="56" t="s">
        <v>36</v>
      </c>
      <c r="J2801" s="36"/>
      <c r="K2801" s="34">
        <v>1</v>
      </c>
      <c r="L2801" s="41">
        <v>562.80000000000007</v>
      </c>
      <c r="M2801" s="11"/>
      <c r="N2801" s="36">
        <f>L2801*M2801</f>
        <v>0</v>
      </c>
      <c r="O2801" s="42">
        <f>0.713*M2801</f>
        <v>0</v>
      </c>
      <c r="P2801" s="43">
        <f>0.00278*M2801</f>
        <v>0</v>
      </c>
      <c r="Q2801" s="50"/>
      <c r="R2801" s="36" t="s">
        <v>9659</v>
      </c>
      <c r="S2801" s="36" t="s">
        <v>435</v>
      </c>
      <c r="T2801" s="35" t="str">
        <f>HYPERLINK("https://miland.ru/api/getInfo/image/0e35cce8-c0fc-11ef-a267-00155d82e908")</f>
        <v>https://miland.ru/api/getInfo/image/0e35cce8-c0fc-11ef-a267-00155d82e908</v>
      </c>
      <c r="U2801" s="35"/>
      <c r="V2801" s="35" t="s">
        <v>9609</v>
      </c>
      <c r="W2801" s="35" t="s">
        <v>185</v>
      </c>
      <c r="X2801" s="35"/>
      <c r="Y2801" s="35" t="s">
        <v>697</v>
      </c>
      <c r="Z2801" s="35"/>
      <c r="AA2801" s="35" t="str">
        <f>HYPERLINK("https://miland.ru/api/getInfo/item/0e35cce8-c0fc-11ef-a267-00155d82e908")</f>
        <v>https://miland.ru/api/getInfo/item/0e35cce8-c0fc-11ef-a267-00155d82e908</v>
      </c>
      <c r="AB2801" s="35" t="s">
        <v>42</v>
      </c>
      <c r="AC2801" s="35"/>
      <c r="AD2801" s="35"/>
      <c r="AE2801" s="52" t="s">
        <v>9152</v>
      </c>
    </row>
    <row r="2802" spans="2:31" s="1" customFormat="1" ht="96.3" customHeight="1" outlineLevel="6">
      <c r="B2802" s="59">
        <v>2167</v>
      </c>
      <c r="C2802" s="35" t="s">
        <v>9660</v>
      </c>
      <c r="D2802" s="73" t="s">
        <v>9661</v>
      </c>
      <c r="E2802" s="73"/>
      <c r="F2802" s="73"/>
      <c r="G2802" s="73"/>
      <c r="H2802" s="36" t="s">
        <v>9662</v>
      </c>
      <c r="I2802" s="56" t="s">
        <v>36</v>
      </c>
      <c r="J2802" s="36"/>
      <c r="K2802" s="34">
        <v>1</v>
      </c>
      <c r="L2802" s="41">
        <v>960.66666666666663</v>
      </c>
      <c r="M2802" s="11"/>
      <c r="N2802" s="36">
        <f>L2802*M2802</f>
        <v>0</v>
      </c>
      <c r="O2802" s="42">
        <f>0.685*M2802</f>
        <v>0</v>
      </c>
      <c r="P2802" s="43">
        <f>0.00259*M2802</f>
        <v>0</v>
      </c>
      <c r="Q2802" s="50"/>
      <c r="R2802" s="36" t="s">
        <v>9663</v>
      </c>
      <c r="S2802" s="36" t="s">
        <v>435</v>
      </c>
      <c r="T2802" s="35" t="str">
        <f>HYPERLINK("https://miland.ru/api/getInfo/image/63398af4-c0fb-11ef-a267-00155d82e908")</f>
        <v>https://miland.ru/api/getInfo/image/63398af4-c0fb-11ef-a267-00155d82e908</v>
      </c>
      <c r="U2802" s="35"/>
      <c r="V2802" s="35" t="s">
        <v>9609</v>
      </c>
      <c r="W2802" s="35" t="s">
        <v>185</v>
      </c>
      <c r="X2802" s="35"/>
      <c r="Y2802" s="35" t="s">
        <v>697</v>
      </c>
      <c r="Z2802" s="35"/>
      <c r="AA2802" s="35" t="str">
        <f>HYPERLINK("https://miland.ru/api/getInfo/item/63398af4-c0fb-11ef-a267-00155d82e908")</f>
        <v>https://miland.ru/api/getInfo/item/63398af4-c0fb-11ef-a267-00155d82e908</v>
      </c>
      <c r="AB2802" s="35" t="s">
        <v>42</v>
      </c>
      <c r="AC2802" s="35"/>
      <c r="AD2802" s="35"/>
      <c r="AE2802" s="52" t="s">
        <v>9152</v>
      </c>
    </row>
    <row r="2803" spans="2:31" ht="12" customHeight="1" outlineLevel="5">
      <c r="B2803" s="70" t="s">
        <v>9664</v>
      </c>
      <c r="C2803" s="70"/>
      <c r="D2803" s="70"/>
      <c r="E2803" s="70"/>
      <c r="F2803" s="70"/>
      <c r="G2803" s="70"/>
    </row>
    <row r="2804" spans="2:31" ht="12" customHeight="1" outlineLevel="6">
      <c r="B2804" s="70" t="s">
        <v>9665</v>
      </c>
      <c r="C2804" s="70"/>
      <c r="D2804" s="70"/>
      <c r="E2804" s="70"/>
      <c r="F2804" s="70"/>
      <c r="G2804" s="70"/>
    </row>
    <row r="2805" spans="2:31" s="1" customFormat="1" ht="96.3" customHeight="1" outlineLevel="7">
      <c r="B2805" s="57">
        <v>2168</v>
      </c>
      <c r="C2805" s="21" t="s">
        <v>9666</v>
      </c>
      <c r="D2805" s="72" t="s">
        <v>9667</v>
      </c>
      <c r="E2805" s="72"/>
      <c r="F2805" s="72"/>
      <c r="G2805" s="72"/>
      <c r="H2805" s="22" t="s">
        <v>9668</v>
      </c>
      <c r="I2805" s="23" t="s">
        <v>36</v>
      </c>
      <c r="J2805" s="22"/>
      <c r="K2805" s="20">
        <v>4</v>
      </c>
      <c r="L2805" s="24">
        <v>174.18</v>
      </c>
      <c r="M2805" s="11"/>
      <c r="N2805" s="22">
        <f>L2805*M2805</f>
        <v>0</v>
      </c>
      <c r="O2805" s="25">
        <f>0.186*M2805</f>
        <v>0</v>
      </c>
      <c r="P2805" s="26">
        <f>0.00087*M2805</f>
        <v>0</v>
      </c>
      <c r="Q2805" s="30"/>
      <c r="R2805" s="22" t="s">
        <v>9669</v>
      </c>
      <c r="S2805" s="22"/>
      <c r="T2805" s="21" t="str">
        <f>HYPERLINK("https://miland.ru/api/getInfo/image/0a565541-1b1d-11ea-a237-ac1f6b442184")</f>
        <v>https://miland.ru/api/getInfo/image/0a565541-1b1d-11ea-a237-ac1f6b442184</v>
      </c>
      <c r="U2805" s="21"/>
      <c r="V2805" s="21" t="s">
        <v>9609</v>
      </c>
      <c r="W2805" s="21" t="s">
        <v>185</v>
      </c>
      <c r="X2805" s="21"/>
      <c r="Y2805" s="21" t="s">
        <v>697</v>
      </c>
      <c r="Z2805" s="21"/>
      <c r="AA2805" s="21" t="str">
        <f>HYPERLINK("https://miland.ru/api/getInfo/item/0a565541-1b1d-11ea-a237-ac1f6b442184")</f>
        <v>https://miland.ru/api/getInfo/item/0a565541-1b1d-11ea-a237-ac1f6b442184</v>
      </c>
      <c r="AB2805" s="21" t="s">
        <v>42</v>
      </c>
      <c r="AC2805" s="21" t="s">
        <v>9670</v>
      </c>
      <c r="AD2805" s="21"/>
    </row>
    <row r="2806" spans="2:31" s="1" customFormat="1" ht="96.3" customHeight="1" outlineLevel="7">
      <c r="B2806" s="57">
        <v>2169</v>
      </c>
      <c r="C2806" s="21" t="s">
        <v>9671</v>
      </c>
      <c r="D2806" s="72" t="s">
        <v>9672</v>
      </c>
      <c r="E2806" s="72"/>
      <c r="F2806" s="72"/>
      <c r="G2806" s="72"/>
      <c r="H2806" s="22" t="s">
        <v>9673</v>
      </c>
      <c r="I2806" s="23" t="s">
        <v>36</v>
      </c>
      <c r="J2806" s="22"/>
      <c r="K2806" s="20">
        <v>4</v>
      </c>
      <c r="L2806" s="24">
        <v>182.48</v>
      </c>
      <c r="M2806" s="11"/>
      <c r="N2806" s="22">
        <f>L2806*M2806</f>
        <v>0</v>
      </c>
      <c r="O2806" s="33">
        <f>0.2*M2806</f>
        <v>0</v>
      </c>
      <c r="P2806" s="26">
        <f>0.00081*M2806</f>
        <v>0</v>
      </c>
      <c r="Q2806" s="30"/>
      <c r="R2806" s="22" t="s">
        <v>9674</v>
      </c>
      <c r="S2806" s="22"/>
      <c r="T2806" s="21" t="str">
        <f>HYPERLINK("https://miland.ru/api/getInfo/image/d17f64ac-1b1c-11ea-a237-ac1f6b442184")</f>
        <v>https://miland.ru/api/getInfo/image/d17f64ac-1b1c-11ea-a237-ac1f6b442184</v>
      </c>
      <c r="U2806" s="21"/>
      <c r="V2806" s="21" t="s">
        <v>9609</v>
      </c>
      <c r="W2806" s="21" t="s">
        <v>185</v>
      </c>
      <c r="X2806" s="21"/>
      <c r="Y2806" s="21" t="s">
        <v>697</v>
      </c>
      <c r="Z2806" s="21"/>
      <c r="AA2806" s="21" t="str">
        <f>HYPERLINK("https://miland.ru/api/getInfo/item/d17f64ac-1b1c-11ea-a237-ac1f6b442184")</f>
        <v>https://miland.ru/api/getInfo/item/d17f64ac-1b1c-11ea-a237-ac1f6b442184</v>
      </c>
      <c r="AB2806" s="21" t="s">
        <v>42</v>
      </c>
      <c r="AC2806" s="21" t="s">
        <v>9670</v>
      </c>
      <c r="AD2806" s="21"/>
    </row>
    <row r="2807" spans="2:31" s="1" customFormat="1" ht="96.3" customHeight="1" outlineLevel="7">
      <c r="B2807" s="57">
        <v>2170</v>
      </c>
      <c r="C2807" s="21" t="s">
        <v>9675</v>
      </c>
      <c r="D2807" s="72" t="s">
        <v>9676</v>
      </c>
      <c r="E2807" s="72"/>
      <c r="F2807" s="72"/>
      <c r="G2807" s="72"/>
      <c r="H2807" s="22" t="s">
        <v>9677</v>
      </c>
      <c r="I2807" s="23" t="s">
        <v>36</v>
      </c>
      <c r="J2807" s="22"/>
      <c r="K2807" s="20">
        <v>4</v>
      </c>
      <c r="L2807" s="24">
        <v>182.48</v>
      </c>
      <c r="M2807" s="11"/>
      <c r="N2807" s="22">
        <f>L2807*M2807</f>
        <v>0</v>
      </c>
      <c r="O2807" s="33">
        <f>0.2*M2807</f>
        <v>0</v>
      </c>
      <c r="P2807" s="26">
        <f>0.00081*M2807</f>
        <v>0</v>
      </c>
      <c r="Q2807" s="30"/>
      <c r="R2807" s="22" t="s">
        <v>9678</v>
      </c>
      <c r="S2807" s="22"/>
      <c r="T2807" s="21" t="str">
        <f>HYPERLINK("https://miland.ru/api/getInfo/image/2e2a6c88-1b1d-11ea-a237-ac1f6b442184")</f>
        <v>https://miland.ru/api/getInfo/image/2e2a6c88-1b1d-11ea-a237-ac1f6b442184</v>
      </c>
      <c r="U2807" s="21"/>
      <c r="V2807" s="21" t="s">
        <v>9609</v>
      </c>
      <c r="W2807" s="21" t="s">
        <v>185</v>
      </c>
      <c r="X2807" s="21"/>
      <c r="Y2807" s="21" t="s">
        <v>697</v>
      </c>
      <c r="Z2807" s="21"/>
      <c r="AA2807" s="21" t="str">
        <f>HYPERLINK("https://miland.ru/api/getInfo/item/2e2a6c88-1b1d-11ea-a237-ac1f6b442184")</f>
        <v>https://miland.ru/api/getInfo/item/2e2a6c88-1b1d-11ea-a237-ac1f6b442184</v>
      </c>
      <c r="AB2807" s="21" t="s">
        <v>42</v>
      </c>
      <c r="AC2807" s="21" t="s">
        <v>9670</v>
      </c>
      <c r="AD2807" s="21"/>
    </row>
    <row r="2808" spans="2:31" s="1" customFormat="1" ht="96.3" customHeight="1" outlineLevel="7">
      <c r="B2808" s="57">
        <v>2171</v>
      </c>
      <c r="C2808" s="21" t="s">
        <v>9679</v>
      </c>
      <c r="D2808" s="72" t="s">
        <v>9680</v>
      </c>
      <c r="E2808" s="72"/>
      <c r="F2808" s="72"/>
      <c r="G2808" s="72"/>
      <c r="H2808" s="22" t="s">
        <v>9681</v>
      </c>
      <c r="I2808" s="23" t="s">
        <v>36</v>
      </c>
      <c r="J2808" s="22"/>
      <c r="K2808" s="20">
        <v>4</v>
      </c>
      <c r="L2808" s="24">
        <v>182.48</v>
      </c>
      <c r="M2808" s="11"/>
      <c r="N2808" s="22">
        <f>L2808*M2808</f>
        <v>0</v>
      </c>
      <c r="O2808" s="25">
        <f>0.198*M2808</f>
        <v>0</v>
      </c>
      <c r="P2808" s="26">
        <f>0.00082*M2808</f>
        <v>0</v>
      </c>
      <c r="Q2808" s="30"/>
      <c r="R2808" s="22" t="s">
        <v>9682</v>
      </c>
      <c r="S2808" s="22"/>
      <c r="T2808" s="21" t="str">
        <f>HYPERLINK("https://miland.ru/api/getInfo/image/519b0777-1b1d-11ea-a237-ac1f6b442184")</f>
        <v>https://miland.ru/api/getInfo/image/519b0777-1b1d-11ea-a237-ac1f6b442184</v>
      </c>
      <c r="U2808" s="21"/>
      <c r="V2808" s="21" t="s">
        <v>9609</v>
      </c>
      <c r="W2808" s="21" t="s">
        <v>185</v>
      </c>
      <c r="X2808" s="21"/>
      <c r="Y2808" s="21" t="s">
        <v>697</v>
      </c>
      <c r="Z2808" s="21"/>
      <c r="AA2808" s="21" t="str">
        <f>HYPERLINK("https://miland.ru/api/getInfo/item/519b0777-1b1d-11ea-a237-ac1f6b442184")</f>
        <v>https://miland.ru/api/getInfo/item/519b0777-1b1d-11ea-a237-ac1f6b442184</v>
      </c>
      <c r="AB2808" s="21" t="s">
        <v>42</v>
      </c>
      <c r="AC2808" s="21" t="s">
        <v>9670</v>
      </c>
      <c r="AD2808" s="21"/>
    </row>
    <row r="2809" spans="2:31" ht="12" customHeight="1" outlineLevel="6">
      <c r="B2809" s="70" t="s">
        <v>9683</v>
      </c>
      <c r="C2809" s="70"/>
      <c r="D2809" s="70"/>
      <c r="E2809" s="70"/>
      <c r="F2809" s="70"/>
      <c r="G2809" s="70"/>
    </row>
    <row r="2810" spans="2:31" s="1" customFormat="1" ht="96.3" customHeight="1" outlineLevel="7">
      <c r="B2810" s="57">
        <v>2172</v>
      </c>
      <c r="C2810" s="21" t="s">
        <v>9684</v>
      </c>
      <c r="D2810" s="72" t="s">
        <v>9685</v>
      </c>
      <c r="E2810" s="72"/>
      <c r="F2810" s="72"/>
      <c r="G2810" s="72"/>
      <c r="H2810" s="22" t="s">
        <v>9686</v>
      </c>
      <c r="I2810" s="23" t="s">
        <v>36</v>
      </c>
      <c r="J2810" s="22"/>
      <c r="K2810" s="20">
        <v>3</v>
      </c>
      <c r="L2810" s="24">
        <v>217</v>
      </c>
      <c r="M2810" s="11"/>
      <c r="N2810" s="22">
        <f t="shared" ref="N2810:N2815" si="132">L2810*M2810</f>
        <v>0</v>
      </c>
      <c r="O2810" s="25">
        <f>0.273*M2810</f>
        <v>0</v>
      </c>
      <c r="P2810" s="29">
        <f>0.0009*M2810</f>
        <v>0</v>
      </c>
      <c r="Q2810" s="30"/>
      <c r="R2810" s="22" t="s">
        <v>9687</v>
      </c>
      <c r="S2810" s="22"/>
      <c r="T2810" s="21" t="str">
        <f>HYPERLINK("https://miland.ru/api/getInfo/image/3a769c47-1b1c-11ea-a237-ac1f6b442184")</f>
        <v>https://miland.ru/api/getInfo/image/3a769c47-1b1c-11ea-a237-ac1f6b442184</v>
      </c>
      <c r="U2810" s="21"/>
      <c r="V2810" s="21" t="s">
        <v>9609</v>
      </c>
      <c r="W2810" s="21" t="s">
        <v>185</v>
      </c>
      <c r="X2810" s="21"/>
      <c r="Y2810" s="21" t="s">
        <v>697</v>
      </c>
      <c r="Z2810" s="21"/>
      <c r="AA2810" s="21" t="str">
        <f>HYPERLINK("https://miland.ru/api/getInfo/item/3a769c47-1b1c-11ea-a237-ac1f6b442184")</f>
        <v>https://miland.ru/api/getInfo/item/3a769c47-1b1c-11ea-a237-ac1f6b442184</v>
      </c>
      <c r="AB2810" s="21" t="s">
        <v>42</v>
      </c>
      <c r="AC2810" s="21" t="s">
        <v>9688</v>
      </c>
      <c r="AD2810" s="21"/>
    </row>
    <row r="2811" spans="2:31" s="1" customFormat="1" ht="96.3" customHeight="1" outlineLevel="7">
      <c r="B2811" s="57">
        <v>2173</v>
      </c>
      <c r="C2811" s="21" t="s">
        <v>9689</v>
      </c>
      <c r="D2811" s="72" t="s">
        <v>9690</v>
      </c>
      <c r="E2811" s="72"/>
      <c r="F2811" s="72"/>
      <c r="G2811" s="72"/>
      <c r="H2811" s="22" t="s">
        <v>9691</v>
      </c>
      <c r="I2811" s="23" t="s">
        <v>36</v>
      </c>
      <c r="J2811" s="22"/>
      <c r="K2811" s="20">
        <v>3</v>
      </c>
      <c r="L2811" s="24">
        <v>217</v>
      </c>
      <c r="M2811" s="11"/>
      <c r="N2811" s="22">
        <f t="shared" si="132"/>
        <v>0</v>
      </c>
      <c r="O2811" s="25">
        <f>0.278*M2811</f>
        <v>0</v>
      </c>
      <c r="P2811" s="26">
        <f>0.00115*M2811</f>
        <v>0</v>
      </c>
      <c r="Q2811" s="30"/>
      <c r="R2811" s="22" t="s">
        <v>9692</v>
      </c>
      <c r="S2811" s="22"/>
      <c r="T2811" s="21" t="str">
        <f>HYPERLINK("https://miland.ru/api/getInfo/image/1675fbf6-1b1c-11ea-a237-ac1f6b442184")</f>
        <v>https://miland.ru/api/getInfo/image/1675fbf6-1b1c-11ea-a237-ac1f6b442184</v>
      </c>
      <c r="U2811" s="21"/>
      <c r="V2811" s="21" t="s">
        <v>9609</v>
      </c>
      <c r="W2811" s="21" t="s">
        <v>185</v>
      </c>
      <c r="X2811" s="21"/>
      <c r="Y2811" s="21" t="s">
        <v>697</v>
      </c>
      <c r="Z2811" s="21"/>
      <c r="AA2811" s="21" t="str">
        <f>HYPERLINK("https://miland.ru/api/getInfo/item/1675fbf6-1b1c-11ea-a237-ac1f6b442184")</f>
        <v>https://miland.ru/api/getInfo/item/1675fbf6-1b1c-11ea-a237-ac1f6b442184</v>
      </c>
      <c r="AB2811" s="21" t="s">
        <v>42</v>
      </c>
      <c r="AC2811" s="21" t="s">
        <v>9688</v>
      </c>
      <c r="AD2811" s="21"/>
    </row>
    <row r="2812" spans="2:31" s="1" customFormat="1" ht="96.3" customHeight="1" outlineLevel="7">
      <c r="B2812" s="57">
        <v>2174</v>
      </c>
      <c r="C2812" s="21" t="s">
        <v>9693</v>
      </c>
      <c r="D2812" s="72" t="s">
        <v>9694</v>
      </c>
      <c r="E2812" s="72"/>
      <c r="F2812" s="72"/>
      <c r="G2812" s="72"/>
      <c r="H2812" s="22" t="s">
        <v>9695</v>
      </c>
      <c r="I2812" s="23" t="s">
        <v>36</v>
      </c>
      <c r="J2812" s="22"/>
      <c r="K2812" s="20">
        <v>3</v>
      </c>
      <c r="L2812" s="24">
        <v>217</v>
      </c>
      <c r="M2812" s="11"/>
      <c r="N2812" s="22">
        <f t="shared" si="132"/>
        <v>0</v>
      </c>
      <c r="O2812" s="25">
        <f>0.282*M2812</f>
        <v>0</v>
      </c>
      <c r="P2812" s="26">
        <f>0.00617*M2812</f>
        <v>0</v>
      </c>
      <c r="Q2812" s="30"/>
      <c r="R2812" s="22" t="s">
        <v>9696</v>
      </c>
      <c r="S2812" s="22"/>
      <c r="T2812" s="21" t="str">
        <f>HYPERLINK("https://miland.ru/api/getInfo/image/4b89430b-6917-11f0-a283-00155d82e908")</f>
        <v>https://miland.ru/api/getInfo/image/4b89430b-6917-11f0-a283-00155d82e908</v>
      </c>
      <c r="U2812" s="21"/>
      <c r="V2812" s="21" t="s">
        <v>9609</v>
      </c>
      <c r="W2812" s="21" t="s">
        <v>185</v>
      </c>
      <c r="X2812" s="21"/>
      <c r="Y2812" s="21" t="s">
        <v>697</v>
      </c>
      <c r="Z2812" s="21"/>
      <c r="AA2812" s="21" t="str">
        <f>HYPERLINK("https://miland.ru/api/getInfo/item/4b89430b-6917-11f0-a283-00155d82e908")</f>
        <v>https://miland.ru/api/getInfo/item/4b89430b-6917-11f0-a283-00155d82e908</v>
      </c>
      <c r="AB2812" s="21" t="s">
        <v>42</v>
      </c>
      <c r="AC2812" s="21"/>
      <c r="AD2812" s="21"/>
    </row>
    <row r="2813" spans="2:31" s="1" customFormat="1" ht="96.3" customHeight="1" outlineLevel="7">
      <c r="B2813" s="57">
        <v>2175</v>
      </c>
      <c r="C2813" s="21" t="s">
        <v>9697</v>
      </c>
      <c r="D2813" s="72" t="s">
        <v>9698</v>
      </c>
      <c r="E2813" s="72"/>
      <c r="F2813" s="72"/>
      <c r="G2813" s="72"/>
      <c r="H2813" s="22" t="s">
        <v>9699</v>
      </c>
      <c r="I2813" s="23" t="s">
        <v>36</v>
      </c>
      <c r="J2813" s="22"/>
      <c r="K2813" s="20">
        <v>3</v>
      </c>
      <c r="L2813" s="24">
        <v>217</v>
      </c>
      <c r="M2813" s="11"/>
      <c r="N2813" s="22">
        <f t="shared" si="132"/>
        <v>0</v>
      </c>
      <c r="O2813" s="25">
        <f>0.275*M2813</f>
        <v>0</v>
      </c>
      <c r="P2813" s="29">
        <f>0.0009*M2813</f>
        <v>0</v>
      </c>
      <c r="Q2813" s="30"/>
      <c r="R2813" s="22" t="s">
        <v>9700</v>
      </c>
      <c r="S2813" s="22"/>
      <c r="T2813" s="21" t="str">
        <f>HYPERLINK("https://miland.ru/api/getInfo/image/70f38ae7-1b1c-11ea-a237-ac1f6b442184")</f>
        <v>https://miland.ru/api/getInfo/image/70f38ae7-1b1c-11ea-a237-ac1f6b442184</v>
      </c>
      <c r="U2813" s="21"/>
      <c r="V2813" s="21" t="s">
        <v>9609</v>
      </c>
      <c r="W2813" s="21" t="s">
        <v>185</v>
      </c>
      <c r="X2813" s="21"/>
      <c r="Y2813" s="21" t="s">
        <v>697</v>
      </c>
      <c r="Z2813" s="21"/>
      <c r="AA2813" s="21" t="str">
        <f>HYPERLINK("https://miland.ru/api/getInfo/item/70f38ae7-1b1c-11ea-a237-ac1f6b442184")</f>
        <v>https://miland.ru/api/getInfo/item/70f38ae7-1b1c-11ea-a237-ac1f6b442184</v>
      </c>
      <c r="AB2813" s="21" t="s">
        <v>42</v>
      </c>
      <c r="AC2813" s="21" t="s">
        <v>9688</v>
      </c>
      <c r="AD2813" s="21"/>
    </row>
    <row r="2814" spans="2:31" s="1" customFormat="1" ht="96.3" customHeight="1" outlineLevel="7">
      <c r="B2814" s="57">
        <v>2176</v>
      </c>
      <c r="C2814" s="21" t="s">
        <v>9701</v>
      </c>
      <c r="D2814" s="72" t="s">
        <v>9702</v>
      </c>
      <c r="E2814" s="72"/>
      <c r="F2814" s="72"/>
      <c r="G2814" s="72"/>
      <c r="H2814" s="22" t="s">
        <v>9703</v>
      </c>
      <c r="I2814" s="23" t="s">
        <v>36</v>
      </c>
      <c r="J2814" s="22"/>
      <c r="K2814" s="20">
        <v>3</v>
      </c>
      <c r="L2814" s="24">
        <v>193.22</v>
      </c>
      <c r="M2814" s="11"/>
      <c r="N2814" s="22">
        <f t="shared" si="132"/>
        <v>0</v>
      </c>
      <c r="O2814" s="25">
        <f>0.272*M2814</f>
        <v>0</v>
      </c>
      <c r="P2814" s="26">
        <f>0.00099*M2814</f>
        <v>0</v>
      </c>
      <c r="Q2814" s="30"/>
      <c r="R2814" s="22" t="s">
        <v>9704</v>
      </c>
      <c r="S2814" s="22"/>
      <c r="T2814" s="21" t="str">
        <f>HYPERLINK("https://miland.ru/api/getInfo/image/9f4a1cb9-1b1c-11ea-a237-ac1f6b442184")</f>
        <v>https://miland.ru/api/getInfo/image/9f4a1cb9-1b1c-11ea-a237-ac1f6b442184</v>
      </c>
      <c r="U2814" s="21"/>
      <c r="V2814" s="21" t="s">
        <v>9609</v>
      </c>
      <c r="W2814" s="21" t="s">
        <v>185</v>
      </c>
      <c r="X2814" s="21"/>
      <c r="Y2814" s="21" t="s">
        <v>697</v>
      </c>
      <c r="Z2814" s="21"/>
      <c r="AA2814" s="21" t="str">
        <f>HYPERLINK("https://miland.ru/api/getInfo/item/9f4a1cb9-1b1c-11ea-a237-ac1f6b442184")</f>
        <v>https://miland.ru/api/getInfo/item/9f4a1cb9-1b1c-11ea-a237-ac1f6b442184</v>
      </c>
      <c r="AB2814" s="21" t="s">
        <v>42</v>
      </c>
      <c r="AC2814" s="21" t="s">
        <v>9688</v>
      </c>
      <c r="AD2814" s="21"/>
    </row>
    <row r="2815" spans="2:31" s="1" customFormat="1" ht="96.3" customHeight="1" outlineLevel="7">
      <c r="B2815" s="57">
        <v>2177</v>
      </c>
      <c r="C2815" s="21" t="s">
        <v>9705</v>
      </c>
      <c r="D2815" s="72" t="s">
        <v>9706</v>
      </c>
      <c r="E2815" s="72"/>
      <c r="F2815" s="72"/>
      <c r="G2815" s="72"/>
      <c r="H2815" s="22" t="s">
        <v>9707</v>
      </c>
      <c r="I2815" s="23" t="s">
        <v>36</v>
      </c>
      <c r="J2815" s="22"/>
      <c r="K2815" s="20">
        <v>3</v>
      </c>
      <c r="L2815" s="24">
        <v>217</v>
      </c>
      <c r="M2815" s="11"/>
      <c r="N2815" s="22">
        <f t="shared" si="132"/>
        <v>0</v>
      </c>
      <c r="O2815" s="28">
        <f>0.27*M2815</f>
        <v>0</v>
      </c>
      <c r="P2815" s="29">
        <f>0.0009*M2815</f>
        <v>0</v>
      </c>
      <c r="Q2815" s="30"/>
      <c r="R2815" s="22" t="s">
        <v>9708</v>
      </c>
      <c r="S2815" s="22"/>
      <c r="T2815" s="21" t="str">
        <f>HYPERLINK("https://miland.ru/api/getInfo/image/6eac6d6b-6917-11f0-a283-00155d82e908")</f>
        <v>https://miland.ru/api/getInfo/image/6eac6d6b-6917-11f0-a283-00155d82e908</v>
      </c>
      <c r="U2815" s="21"/>
      <c r="V2815" s="21" t="s">
        <v>9609</v>
      </c>
      <c r="W2815" s="21" t="s">
        <v>185</v>
      </c>
      <c r="X2815" s="21"/>
      <c r="Y2815" s="21" t="s">
        <v>697</v>
      </c>
      <c r="Z2815" s="21"/>
      <c r="AA2815" s="21" t="str">
        <f>HYPERLINK("https://miland.ru/api/getInfo/item/6eac6d6b-6917-11f0-a283-00155d82e908")</f>
        <v>https://miland.ru/api/getInfo/item/6eac6d6b-6917-11f0-a283-00155d82e908</v>
      </c>
      <c r="AB2815" s="21" t="s">
        <v>42</v>
      </c>
      <c r="AC2815" s="21"/>
      <c r="AD2815" s="21"/>
    </row>
    <row r="2816" spans="2:31" ht="12" customHeight="1" outlineLevel="5">
      <c r="B2816" s="70" t="s">
        <v>1363</v>
      </c>
      <c r="C2816" s="70"/>
      <c r="D2816" s="70"/>
      <c r="E2816" s="70"/>
      <c r="F2816" s="70"/>
      <c r="G2816" s="70"/>
    </row>
    <row r="2817" spans="2:30" ht="12" customHeight="1" outlineLevel="6">
      <c r="B2817" s="70" t="s">
        <v>9604</v>
      </c>
      <c r="C2817" s="70"/>
      <c r="D2817" s="70"/>
      <c r="E2817" s="70"/>
      <c r="F2817" s="70"/>
      <c r="G2817" s="70"/>
    </row>
    <row r="2818" spans="2:30" s="1" customFormat="1" ht="96.3" customHeight="1" outlineLevel="7">
      <c r="B2818" s="57">
        <v>2178</v>
      </c>
      <c r="C2818" s="21" t="s">
        <v>9709</v>
      </c>
      <c r="D2818" s="72" t="s">
        <v>9710</v>
      </c>
      <c r="E2818" s="72"/>
      <c r="F2818" s="72"/>
      <c r="G2818" s="72"/>
      <c r="H2818" s="22" t="s">
        <v>9711</v>
      </c>
      <c r="I2818" s="23" t="s">
        <v>36</v>
      </c>
      <c r="J2818" s="22"/>
      <c r="K2818" s="20">
        <v>4</v>
      </c>
      <c r="L2818" s="24">
        <v>174.18</v>
      </c>
      <c r="M2818" s="11"/>
      <c r="N2818" s="22">
        <f>L2818*M2818</f>
        <v>0</v>
      </c>
      <c r="O2818" s="25">
        <f>0.185*M2818</f>
        <v>0</v>
      </c>
      <c r="P2818" s="26">
        <f>0.00084*M2818</f>
        <v>0</v>
      </c>
      <c r="Q2818" s="30"/>
      <c r="R2818" s="22" t="s">
        <v>9712</v>
      </c>
      <c r="S2818" s="22"/>
      <c r="T2818" s="21" t="str">
        <f>HYPERLINK("https://miland.ru/api/getInfo/image/fb3184e6-6916-11f0-a283-00155d82e908")</f>
        <v>https://miland.ru/api/getInfo/image/fb3184e6-6916-11f0-a283-00155d82e908</v>
      </c>
      <c r="U2818" s="21"/>
      <c r="V2818" s="21" t="s">
        <v>9609</v>
      </c>
      <c r="W2818" s="21" t="s">
        <v>185</v>
      </c>
      <c r="X2818" s="21"/>
      <c r="Y2818" s="21" t="s">
        <v>697</v>
      </c>
      <c r="Z2818" s="21"/>
      <c r="AA2818" s="21" t="str">
        <f>HYPERLINK("https://miland.ru/api/getInfo/item/fb3184e6-6916-11f0-a283-00155d82e908")</f>
        <v>https://miland.ru/api/getInfo/item/fb3184e6-6916-11f0-a283-00155d82e908</v>
      </c>
      <c r="AB2818" s="21" t="s">
        <v>42</v>
      </c>
      <c r="AC2818" s="21"/>
      <c r="AD2818" s="21"/>
    </row>
    <row r="2819" spans="2:30" s="1" customFormat="1" ht="96.3" customHeight="1" outlineLevel="7">
      <c r="B2819" s="57">
        <v>2179</v>
      </c>
      <c r="C2819" s="21" t="s">
        <v>9713</v>
      </c>
      <c r="D2819" s="72" t="s">
        <v>9714</v>
      </c>
      <c r="E2819" s="72"/>
      <c r="F2819" s="72"/>
      <c r="G2819" s="72"/>
      <c r="H2819" s="22" t="s">
        <v>9715</v>
      </c>
      <c r="I2819" s="23" t="s">
        <v>36</v>
      </c>
      <c r="J2819" s="22"/>
      <c r="K2819" s="20">
        <v>4</v>
      </c>
      <c r="L2819" s="24">
        <v>174.18</v>
      </c>
      <c r="M2819" s="11"/>
      <c r="N2819" s="22">
        <f>L2819*M2819</f>
        <v>0</v>
      </c>
      <c r="O2819" s="25">
        <f>0.187*M2819</f>
        <v>0</v>
      </c>
      <c r="P2819" s="26">
        <f>0.00082*M2819</f>
        <v>0</v>
      </c>
      <c r="Q2819" s="30"/>
      <c r="R2819" s="22" t="s">
        <v>9716</v>
      </c>
      <c r="S2819" s="22"/>
      <c r="T2819" s="21" t="str">
        <f>HYPERLINK("https://miland.ru/api/getInfo/image/29468b54-6917-11f0-a283-00155d82e908")</f>
        <v>https://miland.ru/api/getInfo/image/29468b54-6917-11f0-a283-00155d82e908</v>
      </c>
      <c r="U2819" s="21"/>
      <c r="V2819" s="21" t="s">
        <v>9609</v>
      </c>
      <c r="W2819" s="21" t="s">
        <v>185</v>
      </c>
      <c r="X2819" s="21"/>
      <c r="Y2819" s="21" t="s">
        <v>697</v>
      </c>
      <c r="Z2819" s="21"/>
      <c r="AA2819" s="21" t="str">
        <f>HYPERLINK("https://miland.ru/api/getInfo/item/29468b54-6917-11f0-a283-00155d82e908")</f>
        <v>https://miland.ru/api/getInfo/item/29468b54-6917-11f0-a283-00155d82e908</v>
      </c>
      <c r="AB2819" s="21" t="s">
        <v>42</v>
      </c>
      <c r="AC2819" s="21"/>
      <c r="AD2819" s="21"/>
    </row>
    <row r="2820" spans="2:30" ht="12" customHeight="1" outlineLevel="3">
      <c r="B2820" s="70" t="s">
        <v>9717</v>
      </c>
      <c r="C2820" s="70"/>
      <c r="D2820" s="70"/>
      <c r="E2820" s="70"/>
      <c r="F2820" s="70"/>
      <c r="G2820" s="70"/>
    </row>
    <row r="2821" spans="2:30" ht="12" customHeight="1" outlineLevel="4">
      <c r="B2821" s="70" t="s">
        <v>1146</v>
      </c>
      <c r="C2821" s="70"/>
      <c r="D2821" s="70"/>
      <c r="E2821" s="70"/>
      <c r="F2821" s="70"/>
      <c r="G2821" s="70"/>
    </row>
    <row r="2822" spans="2:30" s="1" customFormat="1" ht="96.3" customHeight="1" outlineLevel="5">
      <c r="B2822" s="57">
        <v>2180</v>
      </c>
      <c r="C2822" s="21" t="s">
        <v>9718</v>
      </c>
      <c r="D2822" s="72" t="s">
        <v>9719</v>
      </c>
      <c r="E2822" s="72"/>
      <c r="F2822" s="72"/>
      <c r="G2822" s="72"/>
      <c r="H2822" s="22" t="s">
        <v>9720</v>
      </c>
      <c r="I2822" s="23" t="s">
        <v>36</v>
      </c>
      <c r="J2822" s="22"/>
      <c r="K2822" s="20">
        <v>1</v>
      </c>
      <c r="L2822" s="24">
        <v>489.06</v>
      </c>
      <c r="M2822" s="11"/>
      <c r="N2822" s="22">
        <f t="shared" ref="N2822:N2830" si="133">L2822*M2822</f>
        <v>0</v>
      </c>
      <c r="O2822" s="25">
        <f>0.436*M2822</f>
        <v>0</v>
      </c>
      <c r="P2822" s="26">
        <f>0.00272*M2822</f>
        <v>0</v>
      </c>
      <c r="Q2822" s="30"/>
      <c r="R2822" s="22" t="s">
        <v>9721</v>
      </c>
      <c r="S2822" s="22"/>
      <c r="T2822" s="21" t="str">
        <f>HYPERLINK("https://miland.ru/api/getInfo/image/fa198040-f5b5-11ee-a25b-00155d82e908")</f>
        <v>https://miland.ru/api/getInfo/image/fa198040-f5b5-11ee-a25b-00155d82e908</v>
      </c>
      <c r="U2822" s="21"/>
      <c r="V2822" s="21"/>
      <c r="W2822" s="21" t="s">
        <v>8836</v>
      </c>
      <c r="X2822" s="21"/>
      <c r="Y2822" s="21" t="s">
        <v>41</v>
      </c>
      <c r="Z2822" s="21"/>
      <c r="AA2822" s="21" t="str">
        <f>HYPERLINK("https://miland.ru/api/getInfo/item/fa198040-f5b5-11ee-a25b-00155d82e908")</f>
        <v>https://miland.ru/api/getInfo/item/fa198040-f5b5-11ee-a25b-00155d82e908</v>
      </c>
      <c r="AB2822" s="21" t="s">
        <v>42</v>
      </c>
      <c r="AC2822" s="21" t="s">
        <v>9591</v>
      </c>
      <c r="AD2822" s="21"/>
    </row>
    <row r="2823" spans="2:30" s="1" customFormat="1" ht="96.3" customHeight="1" outlineLevel="5">
      <c r="B2823" s="57">
        <v>2181</v>
      </c>
      <c r="C2823" s="21" t="s">
        <v>9722</v>
      </c>
      <c r="D2823" s="72" t="s">
        <v>9723</v>
      </c>
      <c r="E2823" s="72"/>
      <c r="F2823" s="72"/>
      <c r="G2823" s="72"/>
      <c r="H2823" s="22" t="s">
        <v>9724</v>
      </c>
      <c r="I2823" s="23" t="s">
        <v>36</v>
      </c>
      <c r="J2823" s="22"/>
      <c r="K2823" s="20">
        <v>1</v>
      </c>
      <c r="L2823" s="24">
        <v>463.04</v>
      </c>
      <c r="M2823" s="11"/>
      <c r="N2823" s="22">
        <f t="shared" si="133"/>
        <v>0</v>
      </c>
      <c r="O2823" s="25">
        <f>0.307*M2823</f>
        <v>0</v>
      </c>
      <c r="P2823" s="26">
        <f>0.00272*M2823</f>
        <v>0</v>
      </c>
      <c r="Q2823" s="30"/>
      <c r="R2823" s="22" t="s">
        <v>9725</v>
      </c>
      <c r="S2823" s="22"/>
      <c r="T2823" s="21" t="str">
        <f>HYPERLINK("https://miland.ru/api/getInfo/image/ead5cb38-f5b5-11ee-a25b-00155d82e908")</f>
        <v>https://miland.ru/api/getInfo/image/ead5cb38-f5b5-11ee-a25b-00155d82e908</v>
      </c>
      <c r="U2823" s="21"/>
      <c r="V2823" s="21"/>
      <c r="W2823" s="21" t="s">
        <v>8836</v>
      </c>
      <c r="X2823" s="21"/>
      <c r="Y2823" s="21" t="s">
        <v>41</v>
      </c>
      <c r="Z2823" s="21"/>
      <c r="AA2823" s="21" t="str">
        <f>HYPERLINK("https://miland.ru/api/getInfo/item/ead5cb38-f5b5-11ee-a25b-00155d82e908")</f>
        <v>https://miland.ru/api/getInfo/item/ead5cb38-f5b5-11ee-a25b-00155d82e908</v>
      </c>
      <c r="AB2823" s="21" t="s">
        <v>42</v>
      </c>
      <c r="AC2823" s="21" t="s">
        <v>9591</v>
      </c>
      <c r="AD2823" s="21"/>
    </row>
    <row r="2824" spans="2:30" s="1" customFormat="1" ht="96.3" customHeight="1" outlineLevel="5">
      <c r="B2824" s="57">
        <v>2182</v>
      </c>
      <c r="C2824" s="21" t="s">
        <v>9726</v>
      </c>
      <c r="D2824" s="72" t="s">
        <v>9727</v>
      </c>
      <c r="E2824" s="72"/>
      <c r="F2824" s="72"/>
      <c r="G2824" s="72"/>
      <c r="H2824" s="22" t="s">
        <v>9728</v>
      </c>
      <c r="I2824" s="23" t="s">
        <v>36</v>
      </c>
      <c r="J2824" s="22"/>
      <c r="K2824" s="20">
        <v>1</v>
      </c>
      <c r="L2824" s="24">
        <v>442.24</v>
      </c>
      <c r="M2824" s="11"/>
      <c r="N2824" s="22">
        <f t="shared" si="133"/>
        <v>0</v>
      </c>
      <c r="O2824" s="25">
        <f>0.306*M2824</f>
        <v>0</v>
      </c>
      <c r="P2824" s="26">
        <f>0.00277*M2824</f>
        <v>0</v>
      </c>
      <c r="Q2824" s="30"/>
      <c r="R2824" s="22" t="s">
        <v>9729</v>
      </c>
      <c r="S2824" s="22"/>
      <c r="T2824" s="21" t="str">
        <f>HYPERLINK("https://miland.ru/api/getInfo/image/e0d89c46-dcfa-11ed-a233-00155d82e902")</f>
        <v>https://miland.ru/api/getInfo/image/e0d89c46-dcfa-11ed-a233-00155d82e902</v>
      </c>
      <c r="U2824" s="21"/>
      <c r="V2824" s="21"/>
      <c r="W2824" s="21" t="s">
        <v>8836</v>
      </c>
      <c r="X2824" s="21"/>
      <c r="Y2824" s="21" t="s">
        <v>41</v>
      </c>
      <c r="Z2824" s="21"/>
      <c r="AA2824" s="21" t="str">
        <f>HYPERLINK("https://miland.ru/api/getInfo/item/e0d89c46-dcfa-11ed-a233-00155d82e902")</f>
        <v>https://miland.ru/api/getInfo/item/e0d89c46-dcfa-11ed-a233-00155d82e902</v>
      </c>
      <c r="AB2824" s="21" t="s">
        <v>42</v>
      </c>
      <c r="AC2824" s="21" t="s">
        <v>9591</v>
      </c>
      <c r="AD2824" s="21"/>
    </row>
    <row r="2825" spans="2:30" s="1" customFormat="1" ht="96.3" customHeight="1" outlineLevel="5">
      <c r="B2825" s="57">
        <v>2183</v>
      </c>
      <c r="C2825" s="21" t="s">
        <v>9730</v>
      </c>
      <c r="D2825" s="72" t="s">
        <v>9731</v>
      </c>
      <c r="E2825" s="72"/>
      <c r="F2825" s="72"/>
      <c r="G2825" s="72"/>
      <c r="H2825" s="22" t="s">
        <v>9732</v>
      </c>
      <c r="I2825" s="27">
        <v>272</v>
      </c>
      <c r="J2825" s="22"/>
      <c r="K2825" s="20">
        <v>1</v>
      </c>
      <c r="L2825" s="24">
        <v>842.58</v>
      </c>
      <c r="M2825" s="11"/>
      <c r="N2825" s="22">
        <f t="shared" si="133"/>
        <v>0</v>
      </c>
      <c r="O2825" s="25">
        <f>0.343*M2825</f>
        <v>0</v>
      </c>
      <c r="P2825" s="26">
        <f>0.00341*M2825</f>
        <v>0</v>
      </c>
      <c r="Q2825" s="30"/>
      <c r="R2825" s="22" t="s">
        <v>9733</v>
      </c>
      <c r="S2825" s="22"/>
      <c r="T2825" s="21" t="str">
        <f>HYPERLINK("https://miland.ru/api/getInfo/image/b84be637-29a7-11f0-a279-00155d82e908")</f>
        <v>https://miland.ru/api/getInfo/image/b84be637-29a7-11f0-a279-00155d82e908</v>
      </c>
      <c r="U2825" s="21"/>
      <c r="V2825" s="21"/>
      <c r="W2825" s="21" t="s">
        <v>8836</v>
      </c>
      <c r="X2825" s="21"/>
      <c r="Y2825" s="21" t="s">
        <v>41</v>
      </c>
      <c r="Z2825" s="21"/>
      <c r="AA2825" s="21" t="str">
        <f>HYPERLINK("https://miland.ru/api/getInfo/item/b84be637-29a7-11f0-a279-00155d82e908")</f>
        <v>https://miland.ru/api/getInfo/item/b84be637-29a7-11f0-a279-00155d82e908</v>
      </c>
      <c r="AB2825" s="21" t="s">
        <v>42</v>
      </c>
      <c r="AC2825" s="21"/>
      <c r="AD2825" s="21"/>
    </row>
    <row r="2826" spans="2:30" s="1" customFormat="1" ht="96.3" customHeight="1" outlineLevel="5">
      <c r="B2826" s="57">
        <v>2184</v>
      </c>
      <c r="C2826" s="21" t="s">
        <v>9734</v>
      </c>
      <c r="D2826" s="72" t="s">
        <v>9735</v>
      </c>
      <c r="E2826" s="72"/>
      <c r="F2826" s="72"/>
      <c r="G2826" s="72"/>
      <c r="H2826" s="22" t="s">
        <v>9736</v>
      </c>
      <c r="I2826" s="27">
        <v>314</v>
      </c>
      <c r="J2826" s="22"/>
      <c r="K2826" s="20">
        <v>1</v>
      </c>
      <c r="L2826" s="24">
        <v>442.24</v>
      </c>
      <c r="M2826" s="11"/>
      <c r="N2826" s="22">
        <f t="shared" si="133"/>
        <v>0</v>
      </c>
      <c r="O2826" s="25">
        <f>0.285*M2826</f>
        <v>0</v>
      </c>
      <c r="P2826" s="26">
        <f>0.00266*M2826</f>
        <v>0</v>
      </c>
      <c r="Q2826" s="30"/>
      <c r="R2826" s="22" t="s">
        <v>9737</v>
      </c>
      <c r="S2826" s="22"/>
      <c r="T2826" s="21" t="str">
        <f>HYPERLINK("https://miland.ru/api/getInfo/image/3197ca3e-dcf9-11ed-a233-00155d82e902")</f>
        <v>https://miland.ru/api/getInfo/image/3197ca3e-dcf9-11ed-a233-00155d82e902</v>
      </c>
      <c r="U2826" s="21"/>
      <c r="V2826" s="21"/>
      <c r="W2826" s="21" t="s">
        <v>8836</v>
      </c>
      <c r="X2826" s="21"/>
      <c r="Y2826" s="21" t="s">
        <v>41</v>
      </c>
      <c r="Z2826" s="21"/>
      <c r="AA2826" s="21" t="str">
        <f>HYPERLINK("https://miland.ru/api/getInfo/item/3197ca3e-dcf9-11ed-a233-00155d82e902")</f>
        <v>https://miland.ru/api/getInfo/item/3197ca3e-dcf9-11ed-a233-00155d82e902</v>
      </c>
      <c r="AB2826" s="21" t="s">
        <v>42</v>
      </c>
      <c r="AC2826" s="21" t="s">
        <v>9591</v>
      </c>
      <c r="AD2826" s="21"/>
    </row>
    <row r="2827" spans="2:30" s="1" customFormat="1" ht="96.3" customHeight="1" outlineLevel="5">
      <c r="B2827" s="57">
        <v>2185</v>
      </c>
      <c r="C2827" s="21" t="s">
        <v>9738</v>
      </c>
      <c r="D2827" s="72" t="s">
        <v>9739</v>
      </c>
      <c r="E2827" s="72"/>
      <c r="F2827" s="72"/>
      <c r="G2827" s="72"/>
      <c r="H2827" s="22" t="s">
        <v>9740</v>
      </c>
      <c r="I2827" s="27">
        <v>6</v>
      </c>
      <c r="J2827" s="22"/>
      <c r="K2827" s="20">
        <v>1</v>
      </c>
      <c r="L2827" s="24">
        <v>445.52</v>
      </c>
      <c r="M2827" s="11"/>
      <c r="N2827" s="22">
        <f t="shared" si="133"/>
        <v>0</v>
      </c>
      <c r="O2827" s="25">
        <f>0.326*M2827</f>
        <v>0</v>
      </c>
      <c r="P2827" s="26">
        <f>0.00285*M2827</f>
        <v>0</v>
      </c>
      <c r="Q2827" s="30"/>
      <c r="R2827" s="22" t="s">
        <v>9741</v>
      </c>
      <c r="S2827" s="22"/>
      <c r="T2827" s="21" t="str">
        <f>HYPERLINK("https://miland.ru/api/getInfo/image/fe4cdda9-dcf9-11ed-a233-00155d82e902")</f>
        <v>https://miland.ru/api/getInfo/image/fe4cdda9-dcf9-11ed-a233-00155d82e902</v>
      </c>
      <c r="U2827" s="21"/>
      <c r="V2827" s="21"/>
      <c r="W2827" s="21" t="s">
        <v>8836</v>
      </c>
      <c r="X2827" s="21"/>
      <c r="Y2827" s="21" t="s">
        <v>41</v>
      </c>
      <c r="Z2827" s="21"/>
      <c r="AA2827" s="21" t="str">
        <f>HYPERLINK("https://miland.ru/api/getInfo/item/fe4cdda9-dcf9-11ed-a233-00155d82e902")</f>
        <v>https://miland.ru/api/getInfo/item/fe4cdda9-dcf9-11ed-a233-00155d82e902</v>
      </c>
      <c r="AB2827" s="21" t="s">
        <v>42</v>
      </c>
      <c r="AC2827" s="21" t="s">
        <v>9591</v>
      </c>
      <c r="AD2827" s="21"/>
    </row>
    <row r="2828" spans="2:30" s="1" customFormat="1" ht="96.3" customHeight="1" outlineLevel="5">
      <c r="B2828" s="57">
        <v>2186</v>
      </c>
      <c r="C2828" s="21" t="s">
        <v>9742</v>
      </c>
      <c r="D2828" s="72" t="s">
        <v>9743</v>
      </c>
      <c r="E2828" s="72"/>
      <c r="F2828" s="72"/>
      <c r="G2828" s="72"/>
      <c r="H2828" s="22" t="s">
        <v>9744</v>
      </c>
      <c r="I2828" s="27">
        <v>271</v>
      </c>
      <c r="J2828" s="22"/>
      <c r="K2828" s="20">
        <v>1</v>
      </c>
      <c r="L2828" s="24">
        <v>452.64</v>
      </c>
      <c r="M2828" s="11"/>
      <c r="N2828" s="22">
        <f t="shared" si="133"/>
        <v>0</v>
      </c>
      <c r="O2828" s="25">
        <f>0.297*M2828</f>
        <v>0</v>
      </c>
      <c r="P2828" s="29">
        <f>0.0027*M2828</f>
        <v>0</v>
      </c>
      <c r="Q2828" s="30"/>
      <c r="R2828" s="22" t="s">
        <v>9745</v>
      </c>
      <c r="S2828" s="22"/>
      <c r="T2828" s="21" t="str">
        <f>HYPERLINK("https://miland.ru/api/getInfo/image/c3887775-f5b5-11ee-a25b-00155d82e908")</f>
        <v>https://miland.ru/api/getInfo/image/c3887775-f5b5-11ee-a25b-00155d82e908</v>
      </c>
      <c r="U2828" s="21"/>
      <c r="V2828" s="21"/>
      <c r="W2828" s="21" t="s">
        <v>8836</v>
      </c>
      <c r="X2828" s="21"/>
      <c r="Y2828" s="21" t="s">
        <v>41</v>
      </c>
      <c r="Z2828" s="21"/>
      <c r="AA2828" s="21" t="str">
        <f>HYPERLINK("https://miland.ru/api/getInfo/item/c3887775-f5b5-11ee-a25b-00155d82e908")</f>
        <v>https://miland.ru/api/getInfo/item/c3887775-f5b5-11ee-a25b-00155d82e908</v>
      </c>
      <c r="AB2828" s="21" t="s">
        <v>42</v>
      </c>
      <c r="AC2828" s="21" t="s">
        <v>9591</v>
      </c>
      <c r="AD2828" s="21"/>
    </row>
    <row r="2829" spans="2:30" s="1" customFormat="1" ht="96.3" customHeight="1" outlineLevel="5">
      <c r="B2829" s="57">
        <v>2187</v>
      </c>
      <c r="C2829" s="21" t="s">
        <v>9746</v>
      </c>
      <c r="D2829" s="72" t="s">
        <v>9747</v>
      </c>
      <c r="E2829" s="72"/>
      <c r="F2829" s="72"/>
      <c r="G2829" s="72"/>
      <c r="H2829" s="22" t="s">
        <v>9748</v>
      </c>
      <c r="I2829" s="27">
        <v>405</v>
      </c>
      <c r="J2829" s="22"/>
      <c r="K2829" s="20">
        <v>1</v>
      </c>
      <c r="L2829" s="24">
        <v>442.24</v>
      </c>
      <c r="M2829" s="11"/>
      <c r="N2829" s="22">
        <f t="shared" si="133"/>
        <v>0</v>
      </c>
      <c r="O2829" s="25">
        <f>0.287*M2829</f>
        <v>0</v>
      </c>
      <c r="P2829" s="26">
        <f>0.00271*M2829</f>
        <v>0</v>
      </c>
      <c r="Q2829" s="30"/>
      <c r="R2829" s="22" t="s">
        <v>9749</v>
      </c>
      <c r="S2829" s="22"/>
      <c r="T2829" s="21" t="str">
        <f>HYPERLINK("https://miland.ru/api/getInfo/image/bc0203b6-dcf9-11ed-a233-00155d82e902")</f>
        <v>https://miland.ru/api/getInfo/image/bc0203b6-dcf9-11ed-a233-00155d82e902</v>
      </c>
      <c r="U2829" s="21"/>
      <c r="V2829" s="21"/>
      <c r="W2829" s="21" t="s">
        <v>8836</v>
      </c>
      <c r="X2829" s="21"/>
      <c r="Y2829" s="21" t="s">
        <v>41</v>
      </c>
      <c r="Z2829" s="21"/>
      <c r="AA2829" s="21" t="str">
        <f>HYPERLINK("https://miland.ru/api/getInfo/item/bc0203b6-dcf9-11ed-a233-00155d82e902")</f>
        <v>https://miland.ru/api/getInfo/item/bc0203b6-dcf9-11ed-a233-00155d82e902</v>
      </c>
      <c r="AB2829" s="21" t="s">
        <v>42</v>
      </c>
      <c r="AC2829" s="21" t="s">
        <v>9591</v>
      </c>
      <c r="AD2829" s="21"/>
    </row>
    <row r="2830" spans="2:30" s="1" customFormat="1" ht="96.3" customHeight="1" outlineLevel="5">
      <c r="B2830" s="57">
        <v>2188</v>
      </c>
      <c r="C2830" s="21" t="s">
        <v>9750</v>
      </c>
      <c r="D2830" s="72" t="s">
        <v>9751</v>
      </c>
      <c r="E2830" s="72"/>
      <c r="F2830" s="72"/>
      <c r="G2830" s="72"/>
      <c r="H2830" s="22" t="s">
        <v>9752</v>
      </c>
      <c r="I2830" s="27">
        <v>108</v>
      </c>
      <c r="J2830" s="22"/>
      <c r="K2830" s="20">
        <v>1</v>
      </c>
      <c r="L2830" s="24">
        <v>489.06</v>
      </c>
      <c r="M2830" s="11"/>
      <c r="N2830" s="22">
        <f t="shared" si="133"/>
        <v>0</v>
      </c>
      <c r="O2830" s="28">
        <f>0.51*M2830</f>
        <v>0</v>
      </c>
      <c r="P2830" s="26">
        <f>0.00312*M2830</f>
        <v>0</v>
      </c>
      <c r="Q2830" s="30"/>
      <c r="R2830" s="22" t="s">
        <v>9753</v>
      </c>
      <c r="S2830" s="22"/>
      <c r="T2830" s="21" t="str">
        <f>HYPERLINK("https://miland.ru/api/getInfo/image/a6540180-29a6-11f0-a279-00155d82e908")</f>
        <v>https://miland.ru/api/getInfo/image/a6540180-29a6-11f0-a279-00155d82e908</v>
      </c>
      <c r="U2830" s="21"/>
      <c r="V2830" s="21"/>
      <c r="W2830" s="21" t="s">
        <v>8836</v>
      </c>
      <c r="X2830" s="21"/>
      <c r="Y2830" s="21" t="s">
        <v>41</v>
      </c>
      <c r="Z2830" s="21"/>
      <c r="AA2830" s="21" t="str">
        <f>HYPERLINK("https://miland.ru/api/getInfo/item/a6540180-29a6-11f0-a279-00155d82e908")</f>
        <v>https://miland.ru/api/getInfo/item/a6540180-29a6-11f0-a279-00155d82e908</v>
      </c>
      <c r="AB2830" s="21" t="s">
        <v>42</v>
      </c>
      <c r="AC2830" s="21"/>
      <c r="AD2830" s="21"/>
    </row>
    <row r="2831" spans="2:30" ht="12" customHeight="1" outlineLevel="3">
      <c r="B2831" s="70" t="s">
        <v>9754</v>
      </c>
      <c r="C2831" s="70"/>
      <c r="D2831" s="70"/>
      <c r="E2831" s="70"/>
      <c r="F2831" s="70"/>
      <c r="G2831" s="70"/>
    </row>
    <row r="2832" spans="2:30" ht="12" customHeight="1" outlineLevel="4">
      <c r="B2832" s="70" t="s">
        <v>9755</v>
      </c>
      <c r="C2832" s="70"/>
      <c r="D2832" s="70"/>
      <c r="E2832" s="70"/>
      <c r="F2832" s="70"/>
      <c r="G2832" s="70"/>
    </row>
    <row r="2833" spans="2:31" s="1" customFormat="1" ht="96.3" customHeight="1" outlineLevel="5">
      <c r="B2833" s="59">
        <v>2189</v>
      </c>
      <c r="C2833" s="35" t="s">
        <v>9756</v>
      </c>
      <c r="D2833" s="73" t="s">
        <v>9757</v>
      </c>
      <c r="E2833" s="73"/>
      <c r="F2833" s="73"/>
      <c r="G2833" s="73"/>
      <c r="H2833" s="36" t="s">
        <v>9758</v>
      </c>
      <c r="I2833" s="40">
        <v>236</v>
      </c>
      <c r="J2833" s="36"/>
      <c r="K2833" s="34">
        <v>1</v>
      </c>
      <c r="L2833" s="41">
        <v>344.82666666666665</v>
      </c>
      <c r="M2833" s="11"/>
      <c r="N2833" s="36">
        <f t="shared" ref="N2833:N2838" si="134">L2833*M2833</f>
        <v>0</v>
      </c>
      <c r="O2833" s="42">
        <f>0.207*M2833</f>
        <v>0</v>
      </c>
      <c r="P2833" s="43">
        <f>0.00164*M2833</f>
        <v>0</v>
      </c>
      <c r="Q2833" s="50"/>
      <c r="R2833" s="36" t="s">
        <v>9759</v>
      </c>
      <c r="S2833" s="36" t="s">
        <v>435</v>
      </c>
      <c r="T2833" s="35" t="str">
        <f>HYPERLINK("https://miland.ru/api/getInfo/image/c297dfc3-1117-11ef-a25d-00155d82e908")</f>
        <v>https://miland.ru/api/getInfo/image/c297dfc3-1117-11ef-a25d-00155d82e908</v>
      </c>
      <c r="U2833" s="35"/>
      <c r="V2833" s="35"/>
      <c r="W2833" s="35" t="s">
        <v>9760</v>
      </c>
      <c r="X2833" s="35"/>
      <c r="Y2833" s="35" t="s">
        <v>41</v>
      </c>
      <c r="Z2833" s="35"/>
      <c r="AA2833" s="35" t="str">
        <f>HYPERLINK("https://miland.ru/api/getInfo/item/c297dfc3-1117-11ef-a25d-00155d82e908")</f>
        <v>https://miland.ru/api/getInfo/item/c297dfc3-1117-11ef-a25d-00155d82e908</v>
      </c>
      <c r="AB2833" s="35" t="s">
        <v>42</v>
      </c>
      <c r="AC2833" s="35"/>
      <c r="AD2833" s="35"/>
      <c r="AE2833" s="52" t="s">
        <v>9152</v>
      </c>
    </row>
    <row r="2834" spans="2:31" s="1" customFormat="1" ht="96.3" customHeight="1" outlineLevel="5">
      <c r="B2834" s="59">
        <v>2190</v>
      </c>
      <c r="C2834" s="35" t="s">
        <v>9761</v>
      </c>
      <c r="D2834" s="73" t="s">
        <v>9762</v>
      </c>
      <c r="E2834" s="73"/>
      <c r="F2834" s="73"/>
      <c r="G2834" s="73"/>
      <c r="H2834" s="36" t="s">
        <v>9763</v>
      </c>
      <c r="I2834" s="40">
        <v>148</v>
      </c>
      <c r="J2834" s="36"/>
      <c r="K2834" s="34">
        <v>1</v>
      </c>
      <c r="L2834" s="41">
        <v>344.82666666666665</v>
      </c>
      <c r="M2834" s="11"/>
      <c r="N2834" s="36">
        <f t="shared" si="134"/>
        <v>0</v>
      </c>
      <c r="O2834" s="42">
        <f>0.204*M2834</f>
        <v>0</v>
      </c>
      <c r="P2834" s="43">
        <f>0.00164*M2834</f>
        <v>0</v>
      </c>
      <c r="Q2834" s="50"/>
      <c r="R2834" s="36" t="s">
        <v>9764</v>
      </c>
      <c r="S2834" s="36" t="s">
        <v>435</v>
      </c>
      <c r="T2834" s="35" t="str">
        <f>HYPERLINK("https://miland.ru/api/getInfo/image/ccc9cbe7-1116-11ef-a25d-00155d82e908")</f>
        <v>https://miland.ru/api/getInfo/image/ccc9cbe7-1116-11ef-a25d-00155d82e908</v>
      </c>
      <c r="U2834" s="35"/>
      <c r="V2834" s="35"/>
      <c r="W2834" s="35" t="s">
        <v>9760</v>
      </c>
      <c r="X2834" s="35"/>
      <c r="Y2834" s="35" t="s">
        <v>41</v>
      </c>
      <c r="Z2834" s="35"/>
      <c r="AA2834" s="35" t="str">
        <f>HYPERLINK("https://miland.ru/api/getInfo/item/ccc9cbe7-1116-11ef-a25d-00155d82e908")</f>
        <v>https://miland.ru/api/getInfo/item/ccc9cbe7-1116-11ef-a25d-00155d82e908</v>
      </c>
      <c r="AB2834" s="35" t="s">
        <v>42</v>
      </c>
      <c r="AC2834" s="35"/>
      <c r="AD2834" s="35"/>
      <c r="AE2834" s="52" t="s">
        <v>9152</v>
      </c>
    </row>
    <row r="2835" spans="2:31" s="1" customFormat="1" ht="96.3" customHeight="1" outlineLevel="5">
      <c r="B2835" s="59">
        <v>2191</v>
      </c>
      <c r="C2835" s="35" t="s">
        <v>9765</v>
      </c>
      <c r="D2835" s="73" t="s">
        <v>9766</v>
      </c>
      <c r="E2835" s="73"/>
      <c r="F2835" s="73"/>
      <c r="G2835" s="73"/>
      <c r="H2835" s="36" t="s">
        <v>9767</v>
      </c>
      <c r="I2835" s="40">
        <v>68</v>
      </c>
      <c r="J2835" s="36"/>
      <c r="K2835" s="34">
        <v>1</v>
      </c>
      <c r="L2835" s="41">
        <v>344.82666666666665</v>
      </c>
      <c r="M2835" s="11"/>
      <c r="N2835" s="36">
        <f t="shared" si="134"/>
        <v>0</v>
      </c>
      <c r="O2835" s="42">
        <f>0.205*M2835</f>
        <v>0</v>
      </c>
      <c r="P2835" s="55">
        <f>0.0016*M2835</f>
        <v>0</v>
      </c>
      <c r="Q2835" s="50"/>
      <c r="R2835" s="36" t="s">
        <v>9768</v>
      </c>
      <c r="S2835" s="36" t="s">
        <v>435</v>
      </c>
      <c r="T2835" s="35" t="str">
        <f>HYPERLINK("https://miland.ru/api/getInfo/image/820afa32-1117-11ef-a25d-00155d82e908")</f>
        <v>https://miland.ru/api/getInfo/image/820afa32-1117-11ef-a25d-00155d82e908</v>
      </c>
      <c r="U2835" s="35"/>
      <c r="V2835" s="35"/>
      <c r="W2835" s="35" t="s">
        <v>9760</v>
      </c>
      <c r="X2835" s="35"/>
      <c r="Y2835" s="35" t="s">
        <v>41</v>
      </c>
      <c r="Z2835" s="35"/>
      <c r="AA2835" s="35" t="str">
        <f>HYPERLINK("https://miland.ru/api/getInfo/item/820afa32-1117-11ef-a25d-00155d82e908")</f>
        <v>https://miland.ru/api/getInfo/item/820afa32-1117-11ef-a25d-00155d82e908</v>
      </c>
      <c r="AB2835" s="35" t="s">
        <v>42</v>
      </c>
      <c r="AC2835" s="35"/>
      <c r="AD2835" s="35"/>
      <c r="AE2835" s="52" t="s">
        <v>9152</v>
      </c>
    </row>
    <row r="2836" spans="2:31" s="1" customFormat="1" ht="96.3" customHeight="1" outlineLevel="5">
      <c r="B2836" s="59">
        <v>2192</v>
      </c>
      <c r="C2836" s="35" t="s">
        <v>9769</v>
      </c>
      <c r="D2836" s="73" t="s">
        <v>9770</v>
      </c>
      <c r="E2836" s="73"/>
      <c r="F2836" s="73"/>
      <c r="G2836" s="73"/>
      <c r="H2836" s="36" t="s">
        <v>9771</v>
      </c>
      <c r="I2836" s="40">
        <v>395</v>
      </c>
      <c r="J2836" s="36"/>
      <c r="K2836" s="34">
        <v>1</v>
      </c>
      <c r="L2836" s="41">
        <v>344.82666666666665</v>
      </c>
      <c r="M2836" s="11"/>
      <c r="N2836" s="36">
        <f t="shared" si="134"/>
        <v>0</v>
      </c>
      <c r="O2836" s="42">
        <f>0.204*M2836</f>
        <v>0</v>
      </c>
      <c r="P2836" s="43">
        <f>0.00169*M2836</f>
        <v>0</v>
      </c>
      <c r="Q2836" s="50"/>
      <c r="R2836" s="36" t="s">
        <v>9772</v>
      </c>
      <c r="S2836" s="36" t="s">
        <v>435</v>
      </c>
      <c r="T2836" s="35" t="str">
        <f>HYPERLINK("https://miland.ru/api/getInfo/image/a42ab05f-1117-11ef-a25d-00155d82e908")</f>
        <v>https://miland.ru/api/getInfo/image/a42ab05f-1117-11ef-a25d-00155d82e908</v>
      </c>
      <c r="U2836" s="35"/>
      <c r="V2836" s="35"/>
      <c r="W2836" s="35" t="s">
        <v>9760</v>
      </c>
      <c r="X2836" s="35"/>
      <c r="Y2836" s="35" t="s">
        <v>41</v>
      </c>
      <c r="Z2836" s="35"/>
      <c r="AA2836" s="35" t="str">
        <f>HYPERLINK("https://miland.ru/api/getInfo/item/a42ab05f-1117-11ef-a25d-00155d82e908")</f>
        <v>https://miland.ru/api/getInfo/item/a42ab05f-1117-11ef-a25d-00155d82e908</v>
      </c>
      <c r="AB2836" s="35" t="s">
        <v>42</v>
      </c>
      <c r="AC2836" s="35"/>
      <c r="AD2836" s="35"/>
      <c r="AE2836" s="52" t="s">
        <v>9152</v>
      </c>
    </row>
    <row r="2837" spans="2:31" s="1" customFormat="1" ht="96.3" customHeight="1" outlineLevel="5">
      <c r="B2837" s="59">
        <v>2193</v>
      </c>
      <c r="C2837" s="35" t="s">
        <v>9773</v>
      </c>
      <c r="D2837" s="73" t="s">
        <v>9774</v>
      </c>
      <c r="E2837" s="73"/>
      <c r="F2837" s="73"/>
      <c r="G2837" s="73"/>
      <c r="H2837" s="36" t="s">
        <v>9775</v>
      </c>
      <c r="I2837" s="40">
        <v>277</v>
      </c>
      <c r="J2837" s="36"/>
      <c r="K2837" s="34">
        <v>1</v>
      </c>
      <c r="L2837" s="41">
        <v>344.82666666666665</v>
      </c>
      <c r="M2837" s="11"/>
      <c r="N2837" s="36">
        <f t="shared" si="134"/>
        <v>0</v>
      </c>
      <c r="O2837" s="42">
        <f>0.207*M2837</f>
        <v>0</v>
      </c>
      <c r="P2837" s="43">
        <f>0.00167*M2837</f>
        <v>0</v>
      </c>
      <c r="Q2837" s="50"/>
      <c r="R2837" s="36" t="s">
        <v>9776</v>
      </c>
      <c r="S2837" s="36" t="s">
        <v>435</v>
      </c>
      <c r="T2837" s="35" t="str">
        <f>HYPERLINK("https://miland.ru/api/getInfo/image/b28982f1-1117-11ef-a25d-00155d82e908")</f>
        <v>https://miland.ru/api/getInfo/image/b28982f1-1117-11ef-a25d-00155d82e908</v>
      </c>
      <c r="U2837" s="35"/>
      <c r="V2837" s="35"/>
      <c r="W2837" s="35" t="s">
        <v>9760</v>
      </c>
      <c r="X2837" s="35"/>
      <c r="Y2837" s="35" t="s">
        <v>41</v>
      </c>
      <c r="Z2837" s="35"/>
      <c r="AA2837" s="35" t="str">
        <f>HYPERLINK("https://miland.ru/api/getInfo/item/b28982f1-1117-11ef-a25d-00155d82e908")</f>
        <v>https://miland.ru/api/getInfo/item/b28982f1-1117-11ef-a25d-00155d82e908</v>
      </c>
      <c r="AB2837" s="35" t="s">
        <v>42</v>
      </c>
      <c r="AC2837" s="35"/>
      <c r="AD2837" s="35"/>
      <c r="AE2837" s="52" t="s">
        <v>9152</v>
      </c>
    </row>
    <row r="2838" spans="2:31" s="1" customFormat="1" ht="96.3" customHeight="1" outlineLevel="5">
      <c r="B2838" s="59">
        <v>2194</v>
      </c>
      <c r="C2838" s="35" t="s">
        <v>9777</v>
      </c>
      <c r="D2838" s="73" t="s">
        <v>9778</v>
      </c>
      <c r="E2838" s="73"/>
      <c r="F2838" s="73"/>
      <c r="G2838" s="73"/>
      <c r="H2838" s="36" t="s">
        <v>9779</v>
      </c>
      <c r="I2838" s="40">
        <v>239</v>
      </c>
      <c r="J2838" s="36"/>
      <c r="K2838" s="34">
        <v>1</v>
      </c>
      <c r="L2838" s="41">
        <v>344.82666666666665</v>
      </c>
      <c r="M2838" s="11"/>
      <c r="N2838" s="36">
        <f t="shared" si="134"/>
        <v>0</v>
      </c>
      <c r="O2838" s="42">
        <f>0.209*M2838</f>
        <v>0</v>
      </c>
      <c r="P2838" s="43">
        <f>0.00167*M2838</f>
        <v>0</v>
      </c>
      <c r="Q2838" s="50"/>
      <c r="R2838" s="36" t="s">
        <v>9780</v>
      </c>
      <c r="S2838" s="36" t="s">
        <v>435</v>
      </c>
      <c r="T2838" s="35" t="str">
        <f>HYPERLINK("https://miland.ru/api/getInfo/image/d2cec492-1117-11ef-a25d-00155d82e908")</f>
        <v>https://miland.ru/api/getInfo/image/d2cec492-1117-11ef-a25d-00155d82e908</v>
      </c>
      <c r="U2838" s="35"/>
      <c r="V2838" s="35"/>
      <c r="W2838" s="35" t="s">
        <v>9760</v>
      </c>
      <c r="X2838" s="35"/>
      <c r="Y2838" s="35" t="s">
        <v>41</v>
      </c>
      <c r="Z2838" s="35"/>
      <c r="AA2838" s="35" t="str">
        <f>HYPERLINK("https://miland.ru/api/getInfo/item/d2cec492-1117-11ef-a25d-00155d82e908")</f>
        <v>https://miland.ru/api/getInfo/item/d2cec492-1117-11ef-a25d-00155d82e908</v>
      </c>
      <c r="AB2838" s="35" t="s">
        <v>42</v>
      </c>
      <c r="AC2838" s="35"/>
      <c r="AD2838" s="35"/>
      <c r="AE2838" s="52" t="s">
        <v>9152</v>
      </c>
    </row>
    <row r="2839" spans="2:31" ht="12" customHeight="1" outlineLevel="4">
      <c r="B2839" s="70" t="s">
        <v>9781</v>
      </c>
      <c r="C2839" s="70"/>
      <c r="D2839" s="70"/>
      <c r="E2839" s="70"/>
      <c r="F2839" s="70"/>
      <c r="G2839" s="70"/>
    </row>
    <row r="2840" spans="2:31" s="1" customFormat="1" ht="96.3" customHeight="1" outlineLevel="5">
      <c r="B2840" s="58">
        <v>2195</v>
      </c>
      <c r="C2840" s="7" t="s">
        <v>9782</v>
      </c>
      <c r="D2840" s="71" t="s">
        <v>9783</v>
      </c>
      <c r="E2840" s="71"/>
      <c r="F2840" s="71"/>
      <c r="G2840" s="71"/>
      <c r="H2840" s="8" t="s">
        <v>9784</v>
      </c>
      <c r="I2840" s="9" t="s">
        <v>36</v>
      </c>
      <c r="J2840" s="8"/>
      <c r="K2840" s="6">
        <v>3</v>
      </c>
      <c r="L2840" s="10">
        <v>241.04</v>
      </c>
      <c r="M2840" s="11"/>
      <c r="N2840" s="8">
        <f t="shared" ref="N2840:N2849" si="135">L2840*M2840</f>
        <v>0</v>
      </c>
      <c r="O2840" s="12">
        <f t="shared" ref="O2840:O2849" si="136">0.182*M2840</f>
        <v>0</v>
      </c>
      <c r="P2840" s="13">
        <f t="shared" ref="P2840:P2849" si="137">0.00123*M2840</f>
        <v>0</v>
      </c>
      <c r="Q2840" s="17" t="s">
        <v>37</v>
      </c>
      <c r="R2840" s="8" t="s">
        <v>9785</v>
      </c>
      <c r="S2840" s="8"/>
      <c r="T2840" s="7" t="str">
        <f>HYPERLINK("https://miland.ru/api/getInfo/image/9cd6db6f-331f-11f1-a292-00155d82e908")</f>
        <v>https://miland.ru/api/getInfo/image/9cd6db6f-331f-11f1-a292-00155d82e908</v>
      </c>
      <c r="U2840" s="7"/>
      <c r="V2840" s="7"/>
      <c r="W2840" s="7"/>
      <c r="X2840" s="7"/>
      <c r="Y2840" s="7" t="s">
        <v>41</v>
      </c>
      <c r="Z2840" s="7"/>
      <c r="AA2840" s="7" t="str">
        <f>HYPERLINK("https://miland.ru/api/getInfo/item/9cd6db6f-331f-11f1-a292-00155d82e908")</f>
        <v>https://miland.ru/api/getInfo/item/9cd6db6f-331f-11f1-a292-00155d82e908</v>
      </c>
      <c r="AB2840" s="7" t="s">
        <v>42</v>
      </c>
      <c r="AC2840" s="7"/>
      <c r="AD2840" s="7"/>
      <c r="AE2840" s="54"/>
    </row>
    <row r="2841" spans="2:31" s="1" customFormat="1" ht="96.3" customHeight="1" outlineLevel="5">
      <c r="B2841" s="58">
        <v>2196</v>
      </c>
      <c r="C2841" s="7" t="s">
        <v>9786</v>
      </c>
      <c r="D2841" s="71" t="s">
        <v>9787</v>
      </c>
      <c r="E2841" s="71"/>
      <c r="F2841" s="71"/>
      <c r="G2841" s="71"/>
      <c r="H2841" s="8" t="s">
        <v>9788</v>
      </c>
      <c r="I2841" s="9" t="s">
        <v>36</v>
      </c>
      <c r="J2841" s="8"/>
      <c r="K2841" s="6">
        <v>3</v>
      </c>
      <c r="L2841" s="10">
        <v>241.04</v>
      </c>
      <c r="M2841" s="11"/>
      <c r="N2841" s="8">
        <f t="shared" si="135"/>
        <v>0</v>
      </c>
      <c r="O2841" s="12">
        <f t="shared" si="136"/>
        <v>0</v>
      </c>
      <c r="P2841" s="13">
        <f t="shared" si="137"/>
        <v>0</v>
      </c>
      <c r="Q2841" s="17" t="s">
        <v>37</v>
      </c>
      <c r="R2841" s="8" t="s">
        <v>9789</v>
      </c>
      <c r="S2841" s="8"/>
      <c r="T2841" s="7" t="str">
        <f>HYPERLINK("https://miland.ru/api/getInfo/image/253819c0-331f-11f1-a292-00155d82e908")</f>
        <v>https://miland.ru/api/getInfo/image/253819c0-331f-11f1-a292-00155d82e908</v>
      </c>
      <c r="U2841" s="7"/>
      <c r="V2841" s="7"/>
      <c r="W2841" s="7"/>
      <c r="X2841" s="7"/>
      <c r="Y2841" s="7" t="s">
        <v>41</v>
      </c>
      <c r="Z2841" s="7"/>
      <c r="AA2841" s="7" t="str">
        <f>HYPERLINK("https://miland.ru/api/getInfo/item/253819c0-331f-11f1-a292-00155d82e908")</f>
        <v>https://miland.ru/api/getInfo/item/253819c0-331f-11f1-a292-00155d82e908</v>
      </c>
      <c r="AB2841" s="7" t="s">
        <v>42</v>
      </c>
      <c r="AC2841" s="7"/>
      <c r="AD2841" s="7"/>
      <c r="AE2841" s="54"/>
    </row>
    <row r="2842" spans="2:31" s="1" customFormat="1" ht="96.3" customHeight="1" outlineLevel="5">
      <c r="B2842" s="58">
        <v>2197</v>
      </c>
      <c r="C2842" s="7" t="s">
        <v>9790</v>
      </c>
      <c r="D2842" s="71" t="s">
        <v>9791</v>
      </c>
      <c r="E2842" s="71"/>
      <c r="F2842" s="71"/>
      <c r="G2842" s="71"/>
      <c r="H2842" s="8" t="s">
        <v>9792</v>
      </c>
      <c r="I2842" s="9" t="s">
        <v>36</v>
      </c>
      <c r="J2842" s="8"/>
      <c r="K2842" s="6">
        <v>3</v>
      </c>
      <c r="L2842" s="10">
        <v>241.04</v>
      </c>
      <c r="M2842" s="11"/>
      <c r="N2842" s="8">
        <f t="shared" si="135"/>
        <v>0</v>
      </c>
      <c r="O2842" s="12">
        <f t="shared" si="136"/>
        <v>0</v>
      </c>
      <c r="P2842" s="13">
        <f t="shared" si="137"/>
        <v>0</v>
      </c>
      <c r="Q2842" s="17" t="s">
        <v>37</v>
      </c>
      <c r="R2842" s="8" t="s">
        <v>9793</v>
      </c>
      <c r="S2842" s="8"/>
      <c r="T2842" s="7" t="str">
        <f>HYPERLINK("https://miland.ru/api/getInfo/image/34d79b4c-3320-11f1-a292-00155d82e908")</f>
        <v>https://miland.ru/api/getInfo/image/34d79b4c-3320-11f1-a292-00155d82e908</v>
      </c>
      <c r="U2842" s="7"/>
      <c r="V2842" s="7"/>
      <c r="W2842" s="7"/>
      <c r="X2842" s="7"/>
      <c r="Y2842" s="7" t="s">
        <v>41</v>
      </c>
      <c r="Z2842" s="7"/>
      <c r="AA2842" s="7" t="str">
        <f>HYPERLINK("https://miland.ru/api/getInfo/item/34d79b4c-3320-11f1-a292-00155d82e908")</f>
        <v>https://miland.ru/api/getInfo/item/34d79b4c-3320-11f1-a292-00155d82e908</v>
      </c>
      <c r="AB2842" s="7" t="s">
        <v>42</v>
      </c>
      <c r="AC2842" s="7"/>
      <c r="AD2842" s="7"/>
      <c r="AE2842" s="54"/>
    </row>
    <row r="2843" spans="2:31" s="1" customFormat="1" ht="96.3" customHeight="1" outlineLevel="5">
      <c r="B2843" s="58">
        <v>2198</v>
      </c>
      <c r="C2843" s="7" t="s">
        <v>9794</v>
      </c>
      <c r="D2843" s="71" t="s">
        <v>9795</v>
      </c>
      <c r="E2843" s="71"/>
      <c r="F2843" s="71"/>
      <c r="G2843" s="71"/>
      <c r="H2843" s="8" t="s">
        <v>9796</v>
      </c>
      <c r="I2843" s="9" t="s">
        <v>36</v>
      </c>
      <c r="J2843" s="8"/>
      <c r="K2843" s="6">
        <v>3</v>
      </c>
      <c r="L2843" s="10">
        <v>241.04</v>
      </c>
      <c r="M2843" s="11"/>
      <c r="N2843" s="8">
        <f t="shared" si="135"/>
        <v>0</v>
      </c>
      <c r="O2843" s="12">
        <f t="shared" si="136"/>
        <v>0</v>
      </c>
      <c r="P2843" s="13">
        <f t="shared" si="137"/>
        <v>0</v>
      </c>
      <c r="Q2843" s="17" t="s">
        <v>37</v>
      </c>
      <c r="R2843" s="8" t="s">
        <v>9797</v>
      </c>
      <c r="S2843" s="8"/>
      <c r="T2843" s="7" t="str">
        <f>HYPERLINK("https://miland.ru/api/getInfo/image/afed37b1-331f-11f1-a292-00155d82e908")</f>
        <v>https://miland.ru/api/getInfo/image/afed37b1-331f-11f1-a292-00155d82e908</v>
      </c>
      <c r="U2843" s="7"/>
      <c r="V2843" s="7"/>
      <c r="W2843" s="7"/>
      <c r="X2843" s="7"/>
      <c r="Y2843" s="7" t="s">
        <v>41</v>
      </c>
      <c r="Z2843" s="7"/>
      <c r="AA2843" s="7" t="str">
        <f>HYPERLINK("https://miland.ru/api/getInfo/item/afed37b1-331f-11f1-a292-00155d82e908")</f>
        <v>https://miland.ru/api/getInfo/item/afed37b1-331f-11f1-a292-00155d82e908</v>
      </c>
      <c r="AB2843" s="7" t="s">
        <v>42</v>
      </c>
      <c r="AC2843" s="7"/>
      <c r="AD2843" s="7"/>
      <c r="AE2843" s="54"/>
    </row>
    <row r="2844" spans="2:31" s="1" customFormat="1" ht="96.3" customHeight="1" outlineLevel="5">
      <c r="B2844" s="58">
        <v>2199</v>
      </c>
      <c r="C2844" s="7" t="s">
        <v>9798</v>
      </c>
      <c r="D2844" s="71" t="s">
        <v>9799</v>
      </c>
      <c r="E2844" s="71"/>
      <c r="F2844" s="71"/>
      <c r="G2844" s="71"/>
      <c r="H2844" s="8" t="s">
        <v>9800</v>
      </c>
      <c r="I2844" s="9" t="s">
        <v>36</v>
      </c>
      <c r="J2844" s="8"/>
      <c r="K2844" s="6">
        <v>3</v>
      </c>
      <c r="L2844" s="10">
        <v>241.04</v>
      </c>
      <c r="M2844" s="11"/>
      <c r="N2844" s="8">
        <f t="shared" si="135"/>
        <v>0</v>
      </c>
      <c r="O2844" s="12">
        <f t="shared" si="136"/>
        <v>0</v>
      </c>
      <c r="P2844" s="13">
        <f t="shared" si="137"/>
        <v>0</v>
      </c>
      <c r="Q2844" s="17" t="s">
        <v>37</v>
      </c>
      <c r="R2844" s="8" t="s">
        <v>9801</v>
      </c>
      <c r="S2844" s="8"/>
      <c r="T2844" s="7" t="str">
        <f>HYPERLINK("https://miland.ru/api/getInfo/image/83130b3c-331f-11f1-a292-00155d82e908")</f>
        <v>https://miland.ru/api/getInfo/image/83130b3c-331f-11f1-a292-00155d82e908</v>
      </c>
      <c r="U2844" s="7"/>
      <c r="V2844" s="7"/>
      <c r="W2844" s="7"/>
      <c r="X2844" s="7"/>
      <c r="Y2844" s="7" t="s">
        <v>41</v>
      </c>
      <c r="Z2844" s="7"/>
      <c r="AA2844" s="7" t="str">
        <f>HYPERLINK("https://miland.ru/api/getInfo/item/83130b3c-331f-11f1-a292-00155d82e908")</f>
        <v>https://miland.ru/api/getInfo/item/83130b3c-331f-11f1-a292-00155d82e908</v>
      </c>
      <c r="AB2844" s="7" t="s">
        <v>42</v>
      </c>
      <c r="AC2844" s="7"/>
      <c r="AD2844" s="7"/>
      <c r="AE2844" s="54"/>
    </row>
    <row r="2845" spans="2:31" s="1" customFormat="1" ht="96.3" customHeight="1" outlineLevel="5">
      <c r="B2845" s="58">
        <v>2200</v>
      </c>
      <c r="C2845" s="7" t="s">
        <v>9802</v>
      </c>
      <c r="D2845" s="71" t="s">
        <v>9803</v>
      </c>
      <c r="E2845" s="71"/>
      <c r="F2845" s="71"/>
      <c r="G2845" s="71"/>
      <c r="H2845" s="8" t="s">
        <v>9804</v>
      </c>
      <c r="I2845" s="9" t="s">
        <v>36</v>
      </c>
      <c r="J2845" s="8"/>
      <c r="K2845" s="6">
        <v>3</v>
      </c>
      <c r="L2845" s="10">
        <v>241.04</v>
      </c>
      <c r="M2845" s="11"/>
      <c r="N2845" s="8">
        <f t="shared" si="135"/>
        <v>0</v>
      </c>
      <c r="O2845" s="12">
        <f t="shared" si="136"/>
        <v>0</v>
      </c>
      <c r="P2845" s="13">
        <f t="shared" si="137"/>
        <v>0</v>
      </c>
      <c r="Q2845" s="17" t="s">
        <v>37</v>
      </c>
      <c r="R2845" s="8" t="s">
        <v>9805</v>
      </c>
      <c r="S2845" s="8"/>
      <c r="T2845" s="7" t="str">
        <f>HYPERLINK("https://miland.ru/api/getInfo/image/12842f90-3320-11f1-a292-00155d82e908")</f>
        <v>https://miland.ru/api/getInfo/image/12842f90-3320-11f1-a292-00155d82e908</v>
      </c>
      <c r="U2845" s="7"/>
      <c r="V2845" s="7"/>
      <c r="W2845" s="7"/>
      <c r="X2845" s="7"/>
      <c r="Y2845" s="7" t="s">
        <v>41</v>
      </c>
      <c r="Z2845" s="7"/>
      <c r="AA2845" s="7" t="str">
        <f>HYPERLINK("https://miland.ru/api/getInfo/item/12842f90-3320-11f1-a292-00155d82e908")</f>
        <v>https://miland.ru/api/getInfo/item/12842f90-3320-11f1-a292-00155d82e908</v>
      </c>
      <c r="AB2845" s="7" t="s">
        <v>42</v>
      </c>
      <c r="AC2845" s="7"/>
      <c r="AD2845" s="7"/>
      <c r="AE2845" s="54"/>
    </row>
    <row r="2846" spans="2:31" s="1" customFormat="1" ht="96.3" customHeight="1" outlineLevel="5">
      <c r="B2846" s="58">
        <v>2201</v>
      </c>
      <c r="C2846" s="7" t="s">
        <v>9806</v>
      </c>
      <c r="D2846" s="71" t="s">
        <v>9807</v>
      </c>
      <c r="E2846" s="71"/>
      <c r="F2846" s="71"/>
      <c r="G2846" s="71"/>
      <c r="H2846" s="8" t="s">
        <v>9808</v>
      </c>
      <c r="I2846" s="9" t="s">
        <v>36</v>
      </c>
      <c r="J2846" s="8"/>
      <c r="K2846" s="6">
        <v>3</v>
      </c>
      <c r="L2846" s="10">
        <v>241.04</v>
      </c>
      <c r="M2846" s="11"/>
      <c r="N2846" s="8">
        <f t="shared" si="135"/>
        <v>0</v>
      </c>
      <c r="O2846" s="12">
        <f t="shared" si="136"/>
        <v>0</v>
      </c>
      <c r="P2846" s="13">
        <f t="shared" si="137"/>
        <v>0</v>
      </c>
      <c r="Q2846" s="17" t="s">
        <v>37</v>
      </c>
      <c r="R2846" s="8" t="s">
        <v>9809</v>
      </c>
      <c r="S2846" s="8"/>
      <c r="T2846" s="7" t="str">
        <f>HYPERLINK("https://miland.ru/api/getInfo/image/e6020bde-331e-11f1-a292-00155d82e908")</f>
        <v>https://miland.ru/api/getInfo/image/e6020bde-331e-11f1-a292-00155d82e908</v>
      </c>
      <c r="U2846" s="7"/>
      <c r="V2846" s="7"/>
      <c r="W2846" s="7"/>
      <c r="X2846" s="7"/>
      <c r="Y2846" s="7" t="s">
        <v>41</v>
      </c>
      <c r="Z2846" s="7"/>
      <c r="AA2846" s="7" t="str">
        <f>HYPERLINK("https://miland.ru/api/getInfo/item/e6020bde-331e-11f1-a292-00155d82e908")</f>
        <v>https://miland.ru/api/getInfo/item/e6020bde-331e-11f1-a292-00155d82e908</v>
      </c>
      <c r="AB2846" s="7" t="s">
        <v>42</v>
      </c>
      <c r="AC2846" s="7"/>
      <c r="AD2846" s="7"/>
      <c r="AE2846" s="54"/>
    </row>
    <row r="2847" spans="2:31" s="1" customFormat="1" ht="96.3" customHeight="1" outlineLevel="5">
      <c r="B2847" s="58">
        <v>2202</v>
      </c>
      <c r="C2847" s="7" t="s">
        <v>9810</v>
      </c>
      <c r="D2847" s="71" t="s">
        <v>9811</v>
      </c>
      <c r="E2847" s="71"/>
      <c r="F2847" s="71"/>
      <c r="G2847" s="71"/>
      <c r="H2847" s="8" t="s">
        <v>9812</v>
      </c>
      <c r="I2847" s="9" t="s">
        <v>36</v>
      </c>
      <c r="J2847" s="8"/>
      <c r="K2847" s="6">
        <v>3</v>
      </c>
      <c r="L2847" s="10">
        <v>241.04</v>
      </c>
      <c r="M2847" s="11"/>
      <c r="N2847" s="8">
        <f t="shared" si="135"/>
        <v>0</v>
      </c>
      <c r="O2847" s="12">
        <f t="shared" si="136"/>
        <v>0</v>
      </c>
      <c r="P2847" s="13">
        <f t="shared" si="137"/>
        <v>0</v>
      </c>
      <c r="Q2847" s="17" t="s">
        <v>37</v>
      </c>
      <c r="R2847" s="8" t="s">
        <v>9813</v>
      </c>
      <c r="S2847" s="8"/>
      <c r="T2847" s="7" t="str">
        <f>HYPERLINK("https://miland.ru/api/getInfo/image/c9ba067b-331f-11f1-a292-00155d82e908")</f>
        <v>https://miland.ru/api/getInfo/image/c9ba067b-331f-11f1-a292-00155d82e908</v>
      </c>
      <c r="U2847" s="7"/>
      <c r="V2847" s="7"/>
      <c r="W2847" s="7"/>
      <c r="X2847" s="7"/>
      <c r="Y2847" s="7" t="s">
        <v>41</v>
      </c>
      <c r="Z2847" s="7"/>
      <c r="AA2847" s="7" t="str">
        <f>HYPERLINK("https://miland.ru/api/getInfo/item/c9ba067b-331f-11f1-a292-00155d82e908")</f>
        <v>https://miland.ru/api/getInfo/item/c9ba067b-331f-11f1-a292-00155d82e908</v>
      </c>
      <c r="AB2847" s="7" t="s">
        <v>42</v>
      </c>
      <c r="AC2847" s="7"/>
      <c r="AD2847" s="7"/>
      <c r="AE2847" s="54"/>
    </row>
    <row r="2848" spans="2:31" s="1" customFormat="1" ht="96.3" customHeight="1" outlineLevel="5">
      <c r="B2848" s="58">
        <v>2203</v>
      </c>
      <c r="C2848" s="7" t="s">
        <v>9814</v>
      </c>
      <c r="D2848" s="71" t="s">
        <v>9815</v>
      </c>
      <c r="E2848" s="71"/>
      <c r="F2848" s="71"/>
      <c r="G2848" s="71"/>
      <c r="H2848" s="8" t="s">
        <v>9816</v>
      </c>
      <c r="I2848" s="9" t="s">
        <v>36</v>
      </c>
      <c r="J2848" s="8"/>
      <c r="K2848" s="6">
        <v>3</v>
      </c>
      <c r="L2848" s="10">
        <v>241.04</v>
      </c>
      <c r="M2848" s="11"/>
      <c r="N2848" s="8">
        <f t="shared" si="135"/>
        <v>0</v>
      </c>
      <c r="O2848" s="12">
        <f t="shared" si="136"/>
        <v>0</v>
      </c>
      <c r="P2848" s="13">
        <f t="shared" si="137"/>
        <v>0</v>
      </c>
      <c r="Q2848" s="17" t="s">
        <v>37</v>
      </c>
      <c r="R2848" s="8" t="s">
        <v>9817</v>
      </c>
      <c r="S2848" s="8"/>
      <c r="T2848" s="7" t="str">
        <f>HYPERLINK("https://miland.ru/api/getInfo/image/e0c0103f-331f-11f1-a292-00155d82e908")</f>
        <v>https://miland.ru/api/getInfo/image/e0c0103f-331f-11f1-a292-00155d82e908</v>
      </c>
      <c r="U2848" s="7"/>
      <c r="V2848" s="7"/>
      <c r="W2848" s="7"/>
      <c r="X2848" s="7"/>
      <c r="Y2848" s="7" t="s">
        <v>41</v>
      </c>
      <c r="Z2848" s="7"/>
      <c r="AA2848" s="7" t="str">
        <f>HYPERLINK("https://miland.ru/api/getInfo/item/e0c0103f-331f-11f1-a292-00155d82e908")</f>
        <v>https://miland.ru/api/getInfo/item/e0c0103f-331f-11f1-a292-00155d82e908</v>
      </c>
      <c r="AB2848" s="7" t="s">
        <v>42</v>
      </c>
      <c r="AC2848" s="7"/>
      <c r="AD2848" s="7"/>
      <c r="AE2848" s="54"/>
    </row>
    <row r="2849" spans="2:31" s="1" customFormat="1" ht="96.3" customHeight="1" outlineLevel="5">
      <c r="B2849" s="58">
        <v>2204</v>
      </c>
      <c r="C2849" s="7" t="s">
        <v>9818</v>
      </c>
      <c r="D2849" s="71" t="s">
        <v>9819</v>
      </c>
      <c r="E2849" s="71"/>
      <c r="F2849" s="71"/>
      <c r="G2849" s="71"/>
      <c r="H2849" s="8" t="s">
        <v>9820</v>
      </c>
      <c r="I2849" s="9" t="s">
        <v>36</v>
      </c>
      <c r="J2849" s="8"/>
      <c r="K2849" s="6">
        <v>3</v>
      </c>
      <c r="L2849" s="10">
        <v>241.04</v>
      </c>
      <c r="M2849" s="11"/>
      <c r="N2849" s="8">
        <f t="shared" si="135"/>
        <v>0</v>
      </c>
      <c r="O2849" s="12">
        <f t="shared" si="136"/>
        <v>0</v>
      </c>
      <c r="P2849" s="13">
        <f t="shared" si="137"/>
        <v>0</v>
      </c>
      <c r="Q2849" s="17" t="s">
        <v>37</v>
      </c>
      <c r="R2849" s="8" t="s">
        <v>9821</v>
      </c>
      <c r="S2849" s="8"/>
      <c r="T2849" s="7" t="str">
        <f>HYPERLINK("https://miland.ru/api/getInfo/image/fdafcbc8-331f-11f1-a292-00155d82e908")</f>
        <v>https://miland.ru/api/getInfo/image/fdafcbc8-331f-11f1-a292-00155d82e908</v>
      </c>
      <c r="U2849" s="7"/>
      <c r="V2849" s="7"/>
      <c r="W2849" s="7"/>
      <c r="X2849" s="7"/>
      <c r="Y2849" s="7" t="s">
        <v>41</v>
      </c>
      <c r="Z2849" s="7"/>
      <c r="AA2849" s="7" t="str">
        <f>HYPERLINK("https://miland.ru/api/getInfo/item/fdafcbc8-331f-11f1-a292-00155d82e908")</f>
        <v>https://miland.ru/api/getInfo/item/fdafcbc8-331f-11f1-a292-00155d82e908</v>
      </c>
      <c r="AB2849" s="7" t="s">
        <v>42</v>
      </c>
      <c r="AC2849" s="7"/>
      <c r="AD2849" s="7"/>
      <c r="AE2849" s="54"/>
    </row>
    <row r="2850" spans="2:31" ht="12" customHeight="1" outlineLevel="4">
      <c r="B2850" s="70" t="s">
        <v>9822</v>
      </c>
      <c r="C2850" s="70"/>
      <c r="D2850" s="70"/>
      <c r="E2850" s="70"/>
      <c r="F2850" s="70"/>
      <c r="G2850" s="70"/>
    </row>
    <row r="2851" spans="2:31" s="1" customFormat="1" ht="96.3" customHeight="1" outlineLevel="5">
      <c r="B2851" s="59">
        <v>2205</v>
      </c>
      <c r="C2851" s="35" t="s">
        <v>9823</v>
      </c>
      <c r="D2851" s="73" t="s">
        <v>9824</v>
      </c>
      <c r="E2851" s="73"/>
      <c r="F2851" s="73"/>
      <c r="G2851" s="73"/>
      <c r="H2851" s="36" t="s">
        <v>9825</v>
      </c>
      <c r="I2851" s="40">
        <v>425</v>
      </c>
      <c r="J2851" s="36"/>
      <c r="K2851" s="34">
        <v>2</v>
      </c>
      <c r="L2851" s="41">
        <v>158.97333333333333</v>
      </c>
      <c r="M2851" s="11"/>
      <c r="N2851" s="36">
        <f t="shared" ref="N2851:N2874" si="138">L2851*M2851</f>
        <v>0</v>
      </c>
      <c r="O2851" s="42">
        <f>0.192*M2851</f>
        <v>0</v>
      </c>
      <c r="P2851" s="43">
        <f>0.00203*M2851</f>
        <v>0</v>
      </c>
      <c r="Q2851" s="50"/>
      <c r="R2851" s="36" t="s">
        <v>9826</v>
      </c>
      <c r="S2851" s="36" t="s">
        <v>435</v>
      </c>
      <c r="T2851" s="35" t="str">
        <f>HYPERLINK("https://miland.ru/api/getInfo/image/c330b638-3776-11ee-a240-00155d82e902")</f>
        <v>https://miland.ru/api/getInfo/image/c330b638-3776-11ee-a240-00155d82e902</v>
      </c>
      <c r="U2851" s="35"/>
      <c r="V2851" s="35"/>
      <c r="W2851" s="35" t="s">
        <v>9760</v>
      </c>
      <c r="X2851" s="35"/>
      <c r="Y2851" s="35" t="s">
        <v>41</v>
      </c>
      <c r="Z2851" s="35"/>
      <c r="AA2851" s="35" t="str">
        <f>HYPERLINK("https://miland.ru/api/getInfo/item/c330b638-3776-11ee-a240-00155d82e902")</f>
        <v>https://miland.ru/api/getInfo/item/c330b638-3776-11ee-a240-00155d82e902</v>
      </c>
      <c r="AB2851" s="35" t="s">
        <v>42</v>
      </c>
      <c r="AC2851" s="35"/>
      <c r="AD2851" s="35"/>
      <c r="AE2851" s="52" t="s">
        <v>9152</v>
      </c>
    </row>
    <row r="2852" spans="2:31" s="1" customFormat="1" ht="96.3" customHeight="1" outlineLevel="5">
      <c r="B2852" s="59">
        <v>2206</v>
      </c>
      <c r="C2852" s="35" t="s">
        <v>9827</v>
      </c>
      <c r="D2852" s="73" t="s">
        <v>9828</v>
      </c>
      <c r="E2852" s="73"/>
      <c r="F2852" s="73"/>
      <c r="G2852" s="73"/>
      <c r="H2852" s="36" t="s">
        <v>9829</v>
      </c>
      <c r="I2852" s="40">
        <v>465</v>
      </c>
      <c r="J2852" s="36"/>
      <c r="K2852" s="34">
        <v>2</v>
      </c>
      <c r="L2852" s="41">
        <v>164.58666666666667</v>
      </c>
      <c r="M2852" s="11"/>
      <c r="N2852" s="36">
        <f t="shared" si="138"/>
        <v>0</v>
      </c>
      <c r="O2852" s="42">
        <f>0.191*M2852</f>
        <v>0</v>
      </c>
      <c r="P2852" s="43">
        <f>0.03704*M2852</f>
        <v>0</v>
      </c>
      <c r="Q2852" s="50"/>
      <c r="R2852" s="36" t="s">
        <v>9830</v>
      </c>
      <c r="S2852" s="36" t="s">
        <v>435</v>
      </c>
      <c r="T2852" s="35" t="str">
        <f>HYPERLINK("https://miland.ru/api/getInfo/image/b1fbc1f0-5e16-11ef-a262-00155d82e908")</f>
        <v>https://miland.ru/api/getInfo/image/b1fbc1f0-5e16-11ef-a262-00155d82e908</v>
      </c>
      <c r="U2852" s="35"/>
      <c r="V2852" s="35"/>
      <c r="W2852" s="35" t="s">
        <v>9760</v>
      </c>
      <c r="X2852" s="35"/>
      <c r="Y2852" s="35" t="s">
        <v>41</v>
      </c>
      <c r="Z2852" s="35"/>
      <c r="AA2852" s="35" t="str">
        <f>HYPERLINK("https://miland.ru/api/getInfo/item/b1fbc1f0-5e16-11ef-a262-00155d82e908")</f>
        <v>https://miland.ru/api/getInfo/item/b1fbc1f0-5e16-11ef-a262-00155d82e908</v>
      </c>
      <c r="AB2852" s="35" t="s">
        <v>42</v>
      </c>
      <c r="AC2852" s="35" t="s">
        <v>9831</v>
      </c>
      <c r="AD2852" s="35"/>
      <c r="AE2852" s="52" t="s">
        <v>9152</v>
      </c>
    </row>
    <row r="2853" spans="2:31" s="1" customFormat="1" ht="96.3" customHeight="1" outlineLevel="5">
      <c r="B2853" s="59">
        <v>2207</v>
      </c>
      <c r="C2853" s="35" t="s">
        <v>9832</v>
      </c>
      <c r="D2853" s="73" t="s">
        <v>9833</v>
      </c>
      <c r="E2853" s="73"/>
      <c r="F2853" s="73"/>
      <c r="G2853" s="73"/>
      <c r="H2853" s="36" t="s">
        <v>9834</v>
      </c>
      <c r="I2853" s="56" t="s">
        <v>36</v>
      </c>
      <c r="J2853" s="36"/>
      <c r="K2853" s="34">
        <v>2</v>
      </c>
      <c r="L2853" s="41">
        <v>158.97333333333333</v>
      </c>
      <c r="M2853" s="11"/>
      <c r="N2853" s="36">
        <f t="shared" si="138"/>
        <v>0</v>
      </c>
      <c r="O2853" s="42">
        <f>0.192*M2853</f>
        <v>0</v>
      </c>
      <c r="P2853" s="42">
        <f>0.002*M2853</f>
        <v>0</v>
      </c>
      <c r="Q2853" s="50"/>
      <c r="R2853" s="36" t="s">
        <v>9835</v>
      </c>
      <c r="S2853" s="36" t="s">
        <v>435</v>
      </c>
      <c r="T2853" s="35" t="str">
        <f>HYPERLINK("https://miland.ru/api/getInfo/image/6325d2c8-3777-11ee-a240-00155d82e902")</f>
        <v>https://miland.ru/api/getInfo/image/6325d2c8-3777-11ee-a240-00155d82e902</v>
      </c>
      <c r="U2853" s="35"/>
      <c r="V2853" s="35"/>
      <c r="W2853" s="35" t="s">
        <v>9760</v>
      </c>
      <c r="X2853" s="35"/>
      <c r="Y2853" s="35" t="s">
        <v>41</v>
      </c>
      <c r="Z2853" s="35"/>
      <c r="AA2853" s="35" t="str">
        <f>HYPERLINK("https://miland.ru/api/getInfo/item/6325d2c8-3777-11ee-a240-00155d82e902")</f>
        <v>https://miland.ru/api/getInfo/item/6325d2c8-3777-11ee-a240-00155d82e902</v>
      </c>
      <c r="AB2853" s="35" t="s">
        <v>42</v>
      </c>
      <c r="AC2853" s="35"/>
      <c r="AD2853" s="35"/>
      <c r="AE2853" s="52" t="s">
        <v>9152</v>
      </c>
    </row>
    <row r="2854" spans="2:31" s="1" customFormat="1" ht="96.3" customHeight="1" outlineLevel="5">
      <c r="B2854" s="57">
        <v>2208</v>
      </c>
      <c r="C2854" s="21" t="s">
        <v>9836</v>
      </c>
      <c r="D2854" s="72" t="s">
        <v>9837</v>
      </c>
      <c r="E2854" s="72"/>
      <c r="F2854" s="72"/>
      <c r="G2854" s="72"/>
      <c r="H2854" s="22" t="s">
        <v>9838</v>
      </c>
      <c r="I2854" s="27">
        <v>226</v>
      </c>
      <c r="J2854" s="22"/>
      <c r="K2854" s="20">
        <v>2</v>
      </c>
      <c r="L2854" s="24">
        <v>331.37</v>
      </c>
      <c r="M2854" s="11"/>
      <c r="N2854" s="22">
        <f t="shared" si="138"/>
        <v>0</v>
      </c>
      <c r="O2854" s="25">
        <f>0.183*M2854</f>
        <v>0</v>
      </c>
      <c r="P2854" s="26">
        <f>0.01278*M2854</f>
        <v>0</v>
      </c>
      <c r="Q2854" s="30"/>
      <c r="R2854" s="22" t="s">
        <v>9839</v>
      </c>
      <c r="S2854" s="22" t="s">
        <v>435</v>
      </c>
      <c r="T2854" s="21" t="str">
        <f>HYPERLINK("https://miland.ru/api/getInfo/image/8b87f8a7-fdd0-11ec-a213-ac1f6b442185")</f>
        <v>https://miland.ru/api/getInfo/image/8b87f8a7-fdd0-11ec-a213-ac1f6b442185</v>
      </c>
      <c r="U2854" s="21"/>
      <c r="V2854" s="21"/>
      <c r="W2854" s="21" t="s">
        <v>9760</v>
      </c>
      <c r="X2854" s="21"/>
      <c r="Y2854" s="21" t="s">
        <v>41</v>
      </c>
      <c r="Z2854" s="21"/>
      <c r="AA2854" s="21" t="str">
        <f>HYPERLINK("https://miland.ru/api/getInfo/item/8b87f8a7-fdd0-11ec-a213-ac1f6b442185")</f>
        <v>https://miland.ru/api/getInfo/item/8b87f8a7-fdd0-11ec-a213-ac1f6b442185</v>
      </c>
      <c r="AB2854" s="21" t="s">
        <v>42</v>
      </c>
      <c r="AC2854" s="21" t="s">
        <v>9831</v>
      </c>
      <c r="AD2854" s="21"/>
    </row>
    <row r="2855" spans="2:31" s="1" customFormat="1" ht="96.3" customHeight="1" outlineLevel="5">
      <c r="B2855" s="59">
        <v>2209</v>
      </c>
      <c r="C2855" s="35" t="s">
        <v>9840</v>
      </c>
      <c r="D2855" s="73" t="s">
        <v>9841</v>
      </c>
      <c r="E2855" s="73"/>
      <c r="F2855" s="73"/>
      <c r="G2855" s="73"/>
      <c r="H2855" s="36" t="s">
        <v>9842</v>
      </c>
      <c r="I2855" s="40">
        <v>124</v>
      </c>
      <c r="J2855" s="36"/>
      <c r="K2855" s="34">
        <v>2</v>
      </c>
      <c r="L2855" s="41">
        <v>158.97333333333333</v>
      </c>
      <c r="M2855" s="11"/>
      <c r="N2855" s="36">
        <f t="shared" si="138"/>
        <v>0</v>
      </c>
      <c r="O2855" s="42">
        <f>0.191*M2855</f>
        <v>0</v>
      </c>
      <c r="P2855" s="43">
        <f>0.00204*M2855</f>
        <v>0</v>
      </c>
      <c r="Q2855" s="50"/>
      <c r="R2855" s="36" t="s">
        <v>9843</v>
      </c>
      <c r="S2855" s="36" t="s">
        <v>435</v>
      </c>
      <c r="T2855" s="35" t="str">
        <f>HYPERLINK("https://miland.ru/api/getInfo/image/1223b74a-3777-11ee-a240-00155d82e902")</f>
        <v>https://miland.ru/api/getInfo/image/1223b74a-3777-11ee-a240-00155d82e902</v>
      </c>
      <c r="U2855" s="35"/>
      <c r="V2855" s="35"/>
      <c r="W2855" s="35" t="s">
        <v>9760</v>
      </c>
      <c r="X2855" s="35"/>
      <c r="Y2855" s="35" t="s">
        <v>41</v>
      </c>
      <c r="Z2855" s="35"/>
      <c r="AA2855" s="35" t="str">
        <f>HYPERLINK("https://miland.ru/api/getInfo/item/1223b74a-3777-11ee-a240-00155d82e902")</f>
        <v>https://miland.ru/api/getInfo/item/1223b74a-3777-11ee-a240-00155d82e902</v>
      </c>
      <c r="AB2855" s="35" t="s">
        <v>42</v>
      </c>
      <c r="AC2855" s="35"/>
      <c r="AD2855" s="35"/>
      <c r="AE2855" s="52" t="s">
        <v>9152</v>
      </c>
    </row>
    <row r="2856" spans="2:31" s="1" customFormat="1" ht="96.3" customHeight="1" outlineLevel="5">
      <c r="B2856" s="59">
        <v>2210</v>
      </c>
      <c r="C2856" s="35" t="s">
        <v>9844</v>
      </c>
      <c r="D2856" s="73" t="s">
        <v>9845</v>
      </c>
      <c r="E2856" s="73"/>
      <c r="F2856" s="73"/>
      <c r="G2856" s="73"/>
      <c r="H2856" s="36" t="s">
        <v>9846</v>
      </c>
      <c r="I2856" s="40">
        <v>432</v>
      </c>
      <c r="J2856" s="36"/>
      <c r="K2856" s="34">
        <v>1</v>
      </c>
      <c r="L2856" s="41">
        <v>216.01333333333332</v>
      </c>
      <c r="M2856" s="11"/>
      <c r="N2856" s="36">
        <f t="shared" si="138"/>
        <v>0</v>
      </c>
      <c r="O2856" s="42">
        <f>0.188*M2856</f>
        <v>0</v>
      </c>
      <c r="P2856" s="43">
        <f>0.00216*M2856</f>
        <v>0</v>
      </c>
      <c r="Q2856" s="50"/>
      <c r="R2856" s="36" t="s">
        <v>9847</v>
      </c>
      <c r="S2856" s="36" t="s">
        <v>435</v>
      </c>
      <c r="T2856" s="35" t="str">
        <f>HYPERLINK("https://miland.ru/api/getInfo/image/5979685b-3776-11ee-a240-00155d82e902")</f>
        <v>https://miland.ru/api/getInfo/image/5979685b-3776-11ee-a240-00155d82e902</v>
      </c>
      <c r="U2856" s="35"/>
      <c r="V2856" s="35"/>
      <c r="W2856" s="35" t="s">
        <v>9760</v>
      </c>
      <c r="X2856" s="35"/>
      <c r="Y2856" s="35" t="s">
        <v>41</v>
      </c>
      <c r="Z2856" s="35"/>
      <c r="AA2856" s="35" t="str">
        <f>HYPERLINK("https://miland.ru/api/getInfo/item/5979685b-3776-11ee-a240-00155d82e902")</f>
        <v>https://miland.ru/api/getInfo/item/5979685b-3776-11ee-a240-00155d82e902</v>
      </c>
      <c r="AB2856" s="35" t="s">
        <v>42</v>
      </c>
      <c r="AC2856" s="35"/>
      <c r="AD2856" s="35"/>
      <c r="AE2856" s="52" t="s">
        <v>9152</v>
      </c>
    </row>
    <row r="2857" spans="2:31" s="1" customFormat="1" ht="96.3" customHeight="1" outlineLevel="5">
      <c r="B2857" s="59">
        <v>2211</v>
      </c>
      <c r="C2857" s="35" t="s">
        <v>9848</v>
      </c>
      <c r="D2857" s="73" t="s">
        <v>9849</v>
      </c>
      <c r="E2857" s="73"/>
      <c r="F2857" s="73"/>
      <c r="G2857" s="73"/>
      <c r="H2857" s="36" t="s">
        <v>9850</v>
      </c>
      <c r="I2857" s="40">
        <v>460</v>
      </c>
      <c r="J2857" s="36"/>
      <c r="K2857" s="34">
        <v>2</v>
      </c>
      <c r="L2857" s="41">
        <v>158.97333333333333</v>
      </c>
      <c r="M2857" s="11"/>
      <c r="N2857" s="36">
        <f t="shared" si="138"/>
        <v>0</v>
      </c>
      <c r="O2857" s="42">
        <f>0.197*M2857</f>
        <v>0</v>
      </c>
      <c r="P2857" s="42">
        <f>0.002*M2857</f>
        <v>0</v>
      </c>
      <c r="Q2857" s="50"/>
      <c r="R2857" s="36" t="s">
        <v>9851</v>
      </c>
      <c r="S2857" s="36" t="s">
        <v>435</v>
      </c>
      <c r="T2857" s="35" t="str">
        <f>HYPERLINK("https://miland.ru/api/getInfo/image/ea925851-3775-11ee-a240-00155d82e902")</f>
        <v>https://miland.ru/api/getInfo/image/ea925851-3775-11ee-a240-00155d82e902</v>
      </c>
      <c r="U2857" s="35"/>
      <c r="V2857" s="35"/>
      <c r="W2857" s="35" t="s">
        <v>9760</v>
      </c>
      <c r="X2857" s="35"/>
      <c r="Y2857" s="35" t="s">
        <v>41</v>
      </c>
      <c r="Z2857" s="35"/>
      <c r="AA2857" s="35" t="str">
        <f>HYPERLINK("https://miland.ru/api/getInfo/item/ea925851-3775-11ee-a240-00155d82e902")</f>
        <v>https://miland.ru/api/getInfo/item/ea925851-3775-11ee-a240-00155d82e902</v>
      </c>
      <c r="AB2857" s="35" t="s">
        <v>42</v>
      </c>
      <c r="AC2857" s="35"/>
      <c r="AD2857" s="35"/>
      <c r="AE2857" s="52" t="s">
        <v>9152</v>
      </c>
    </row>
    <row r="2858" spans="2:31" s="1" customFormat="1" ht="96.3" customHeight="1" outlineLevel="5">
      <c r="B2858" s="59">
        <v>2212</v>
      </c>
      <c r="C2858" s="35" t="s">
        <v>9852</v>
      </c>
      <c r="D2858" s="73" t="s">
        <v>9853</v>
      </c>
      <c r="E2858" s="73"/>
      <c r="F2858" s="73"/>
      <c r="G2858" s="73"/>
      <c r="H2858" s="36" t="s">
        <v>9854</v>
      </c>
      <c r="I2858" s="56" t="s">
        <v>36</v>
      </c>
      <c r="J2858" s="36"/>
      <c r="K2858" s="34">
        <v>2</v>
      </c>
      <c r="L2858" s="41">
        <v>153.01333333333335</v>
      </c>
      <c r="M2858" s="11"/>
      <c r="N2858" s="36">
        <f t="shared" si="138"/>
        <v>0</v>
      </c>
      <c r="O2858" s="42">
        <f>0.155*M2858</f>
        <v>0</v>
      </c>
      <c r="P2858" s="43">
        <f>0.00171*M2858</f>
        <v>0</v>
      </c>
      <c r="Q2858" s="50"/>
      <c r="R2858" s="36" t="s">
        <v>9855</v>
      </c>
      <c r="S2858" s="36" t="s">
        <v>435</v>
      </c>
      <c r="T2858" s="35" t="str">
        <f>HYPERLINK("https://miland.ru/api/getInfo/image/720b3068-5e15-11ef-a262-00155d82e908")</f>
        <v>https://miland.ru/api/getInfo/image/720b3068-5e15-11ef-a262-00155d82e908</v>
      </c>
      <c r="U2858" s="35"/>
      <c r="V2858" s="35"/>
      <c r="W2858" s="35" t="s">
        <v>9760</v>
      </c>
      <c r="X2858" s="35"/>
      <c r="Y2858" s="35" t="s">
        <v>41</v>
      </c>
      <c r="Z2858" s="35"/>
      <c r="AA2858" s="35" t="str">
        <f>HYPERLINK("https://miland.ru/api/getInfo/item/720b3068-5e15-11ef-a262-00155d82e908")</f>
        <v>https://miland.ru/api/getInfo/item/720b3068-5e15-11ef-a262-00155d82e908</v>
      </c>
      <c r="AB2858" s="35" t="s">
        <v>42</v>
      </c>
      <c r="AC2858" s="35" t="s">
        <v>9856</v>
      </c>
      <c r="AD2858" s="35"/>
      <c r="AE2858" s="52" t="s">
        <v>9152</v>
      </c>
    </row>
    <row r="2859" spans="2:31" s="1" customFormat="1" ht="96.3" customHeight="1" outlineLevel="5">
      <c r="B2859" s="59">
        <v>2213</v>
      </c>
      <c r="C2859" s="35" t="s">
        <v>9857</v>
      </c>
      <c r="D2859" s="73" t="s">
        <v>9858</v>
      </c>
      <c r="E2859" s="73"/>
      <c r="F2859" s="73"/>
      <c r="G2859" s="73"/>
      <c r="H2859" s="36" t="s">
        <v>9859</v>
      </c>
      <c r="I2859" s="56" t="s">
        <v>36</v>
      </c>
      <c r="J2859" s="36"/>
      <c r="K2859" s="34">
        <v>2</v>
      </c>
      <c r="L2859" s="41">
        <v>153.01333333333335</v>
      </c>
      <c r="M2859" s="11"/>
      <c r="N2859" s="36">
        <f t="shared" si="138"/>
        <v>0</v>
      </c>
      <c r="O2859" s="42">
        <f>0.154*M2859</f>
        <v>0</v>
      </c>
      <c r="P2859" s="43">
        <f>0.00164*M2859</f>
        <v>0</v>
      </c>
      <c r="Q2859" s="50"/>
      <c r="R2859" s="36" t="s">
        <v>9860</v>
      </c>
      <c r="S2859" s="36" t="s">
        <v>435</v>
      </c>
      <c r="T2859" s="35" t="str">
        <f>HYPERLINK("https://miland.ru/api/getInfo/image/f29f7802-5e15-11ef-a262-00155d82e908")</f>
        <v>https://miland.ru/api/getInfo/image/f29f7802-5e15-11ef-a262-00155d82e908</v>
      </c>
      <c r="U2859" s="35"/>
      <c r="V2859" s="35"/>
      <c r="W2859" s="35" t="s">
        <v>9760</v>
      </c>
      <c r="X2859" s="35"/>
      <c r="Y2859" s="35" t="s">
        <v>41</v>
      </c>
      <c r="Z2859" s="35"/>
      <c r="AA2859" s="35" t="str">
        <f>HYPERLINK("https://miland.ru/api/getInfo/item/f29f7802-5e15-11ef-a262-00155d82e908")</f>
        <v>https://miland.ru/api/getInfo/item/f29f7802-5e15-11ef-a262-00155d82e908</v>
      </c>
      <c r="AB2859" s="35" t="s">
        <v>42</v>
      </c>
      <c r="AC2859" s="35" t="s">
        <v>9856</v>
      </c>
      <c r="AD2859" s="35"/>
      <c r="AE2859" s="52" t="s">
        <v>9152</v>
      </c>
    </row>
    <row r="2860" spans="2:31" s="1" customFormat="1" ht="96.3" customHeight="1" outlineLevel="5">
      <c r="B2860" s="59">
        <v>2214</v>
      </c>
      <c r="C2860" s="35" t="s">
        <v>9861</v>
      </c>
      <c r="D2860" s="73" t="s">
        <v>9862</v>
      </c>
      <c r="E2860" s="73"/>
      <c r="F2860" s="73"/>
      <c r="G2860" s="73"/>
      <c r="H2860" s="36" t="s">
        <v>9863</v>
      </c>
      <c r="I2860" s="40">
        <v>350</v>
      </c>
      <c r="J2860" s="36"/>
      <c r="K2860" s="34">
        <v>1</v>
      </c>
      <c r="L2860" s="41">
        <v>191.58666666666667</v>
      </c>
      <c r="M2860" s="11"/>
      <c r="N2860" s="36">
        <f t="shared" si="138"/>
        <v>0</v>
      </c>
      <c r="O2860" s="42">
        <f>0.155*M2860</f>
        <v>0</v>
      </c>
      <c r="P2860" s="43">
        <f>0.00186*M2860</f>
        <v>0</v>
      </c>
      <c r="Q2860" s="50"/>
      <c r="R2860" s="36" t="s">
        <v>9864</v>
      </c>
      <c r="S2860" s="36" t="s">
        <v>435</v>
      </c>
      <c r="T2860" s="35" t="str">
        <f>HYPERLINK("https://miland.ru/api/getInfo/image/fd25e7b5-3774-11ee-a240-00155d82e902")</f>
        <v>https://miland.ru/api/getInfo/image/fd25e7b5-3774-11ee-a240-00155d82e902</v>
      </c>
      <c r="U2860" s="35"/>
      <c r="V2860" s="35"/>
      <c r="W2860" s="35" t="s">
        <v>9760</v>
      </c>
      <c r="X2860" s="35"/>
      <c r="Y2860" s="35" t="s">
        <v>41</v>
      </c>
      <c r="Z2860" s="35"/>
      <c r="AA2860" s="35" t="str">
        <f>HYPERLINK("https://miland.ru/api/getInfo/item/fd25e7b5-3774-11ee-a240-00155d82e902")</f>
        <v>https://miland.ru/api/getInfo/item/fd25e7b5-3774-11ee-a240-00155d82e902</v>
      </c>
      <c r="AB2860" s="35" t="s">
        <v>42</v>
      </c>
      <c r="AC2860" s="35"/>
      <c r="AD2860" s="35"/>
      <c r="AE2860" s="52" t="s">
        <v>9152</v>
      </c>
    </row>
    <row r="2861" spans="2:31" s="1" customFormat="1" ht="96.3" customHeight="1" outlineLevel="5">
      <c r="B2861" s="59">
        <v>2215</v>
      </c>
      <c r="C2861" s="35" t="s">
        <v>9865</v>
      </c>
      <c r="D2861" s="73" t="s">
        <v>9866</v>
      </c>
      <c r="E2861" s="73"/>
      <c r="F2861" s="73"/>
      <c r="G2861" s="73"/>
      <c r="H2861" s="36" t="s">
        <v>9867</v>
      </c>
      <c r="I2861" s="40">
        <v>62</v>
      </c>
      <c r="J2861" s="36"/>
      <c r="K2861" s="34">
        <v>2</v>
      </c>
      <c r="L2861" s="41">
        <v>119.44</v>
      </c>
      <c r="M2861" s="11"/>
      <c r="N2861" s="36">
        <f t="shared" si="138"/>
        <v>0</v>
      </c>
      <c r="O2861" s="42">
        <f>0.187*M2861</f>
        <v>0</v>
      </c>
      <c r="P2861" s="43">
        <f>0.00207*M2861</f>
        <v>0</v>
      </c>
      <c r="Q2861" s="50"/>
      <c r="R2861" s="36" t="s">
        <v>9868</v>
      </c>
      <c r="S2861" s="36" t="s">
        <v>435</v>
      </c>
      <c r="T2861" s="35" t="str">
        <f>HYPERLINK("https://miland.ru/api/getInfo/image/eea1f826-fdd0-11ec-a213-ac1f6b442185")</f>
        <v>https://miland.ru/api/getInfo/image/eea1f826-fdd0-11ec-a213-ac1f6b442185</v>
      </c>
      <c r="U2861" s="35"/>
      <c r="V2861" s="35"/>
      <c r="W2861" s="35" t="s">
        <v>9760</v>
      </c>
      <c r="X2861" s="35"/>
      <c r="Y2861" s="35" t="s">
        <v>41</v>
      </c>
      <c r="Z2861" s="35"/>
      <c r="AA2861" s="35" t="str">
        <f>HYPERLINK("https://miland.ru/api/getInfo/item/eea1f826-fdd0-11ec-a213-ac1f6b442185")</f>
        <v>https://miland.ru/api/getInfo/item/eea1f826-fdd0-11ec-a213-ac1f6b442185</v>
      </c>
      <c r="AB2861" s="35" t="s">
        <v>42</v>
      </c>
      <c r="AC2861" s="35" t="s">
        <v>9831</v>
      </c>
      <c r="AD2861" s="35"/>
      <c r="AE2861" s="52" t="s">
        <v>9152</v>
      </c>
    </row>
    <row r="2862" spans="2:31" s="1" customFormat="1" ht="96.3" customHeight="1" outlineLevel="5">
      <c r="B2862" s="59">
        <v>2216</v>
      </c>
      <c r="C2862" s="35" t="s">
        <v>9869</v>
      </c>
      <c r="D2862" s="73" t="s">
        <v>9870</v>
      </c>
      <c r="E2862" s="73"/>
      <c r="F2862" s="73"/>
      <c r="G2862" s="73"/>
      <c r="H2862" s="36" t="s">
        <v>9871</v>
      </c>
      <c r="I2862" s="56" t="s">
        <v>36</v>
      </c>
      <c r="J2862" s="36"/>
      <c r="K2862" s="34">
        <v>1</v>
      </c>
      <c r="L2862" s="41">
        <v>191.58666666666667</v>
      </c>
      <c r="M2862" s="11"/>
      <c r="N2862" s="36">
        <f t="shared" si="138"/>
        <v>0</v>
      </c>
      <c r="O2862" s="42">
        <f>0.155*M2862</f>
        <v>0</v>
      </c>
      <c r="P2862" s="43">
        <f>0.00167*M2862</f>
        <v>0</v>
      </c>
      <c r="Q2862" s="50"/>
      <c r="R2862" s="36" t="s">
        <v>9872</v>
      </c>
      <c r="S2862" s="36" t="s">
        <v>435</v>
      </c>
      <c r="T2862" s="35" t="str">
        <f>HYPERLINK("https://miland.ru/api/getInfo/image/4478aa89-3773-11ee-a240-00155d82e902")</f>
        <v>https://miland.ru/api/getInfo/image/4478aa89-3773-11ee-a240-00155d82e902</v>
      </c>
      <c r="U2862" s="35"/>
      <c r="V2862" s="35"/>
      <c r="W2862" s="35" t="s">
        <v>9760</v>
      </c>
      <c r="X2862" s="35"/>
      <c r="Y2862" s="35" t="s">
        <v>41</v>
      </c>
      <c r="Z2862" s="35"/>
      <c r="AA2862" s="35" t="str">
        <f>HYPERLINK("https://miland.ru/api/getInfo/item/4478aa89-3773-11ee-a240-00155d82e902")</f>
        <v>https://miland.ru/api/getInfo/item/4478aa89-3773-11ee-a240-00155d82e902</v>
      </c>
      <c r="AB2862" s="35" t="s">
        <v>42</v>
      </c>
      <c r="AC2862" s="35"/>
      <c r="AD2862" s="35"/>
      <c r="AE2862" s="52" t="s">
        <v>9152</v>
      </c>
    </row>
    <row r="2863" spans="2:31" s="1" customFormat="1" ht="96.3" customHeight="1" outlineLevel="5">
      <c r="B2863" s="59">
        <v>2217</v>
      </c>
      <c r="C2863" s="35" t="s">
        <v>9873</v>
      </c>
      <c r="D2863" s="73" t="s">
        <v>9874</v>
      </c>
      <c r="E2863" s="73"/>
      <c r="F2863" s="73"/>
      <c r="G2863" s="73"/>
      <c r="H2863" s="36" t="s">
        <v>9875</v>
      </c>
      <c r="I2863" s="56" t="s">
        <v>36</v>
      </c>
      <c r="J2863" s="36"/>
      <c r="K2863" s="34">
        <v>2</v>
      </c>
      <c r="L2863" s="41">
        <v>153.01333333333335</v>
      </c>
      <c r="M2863" s="11"/>
      <c r="N2863" s="36">
        <f t="shared" si="138"/>
        <v>0</v>
      </c>
      <c r="O2863" s="42">
        <f>0.159*M2863</f>
        <v>0</v>
      </c>
      <c r="P2863" s="43">
        <f>0.00163*M2863</f>
        <v>0</v>
      </c>
      <c r="Q2863" s="50"/>
      <c r="R2863" s="36" t="s">
        <v>9876</v>
      </c>
      <c r="S2863" s="36" t="s">
        <v>435</v>
      </c>
      <c r="T2863" s="35" t="str">
        <f>HYPERLINK("https://miland.ru/api/getInfo/image/0c3019be-5e16-11ef-a262-00155d82e908")</f>
        <v>https://miland.ru/api/getInfo/image/0c3019be-5e16-11ef-a262-00155d82e908</v>
      </c>
      <c r="U2863" s="35"/>
      <c r="V2863" s="35"/>
      <c r="W2863" s="35" t="s">
        <v>9760</v>
      </c>
      <c r="X2863" s="35"/>
      <c r="Y2863" s="35" t="s">
        <v>41</v>
      </c>
      <c r="Z2863" s="35"/>
      <c r="AA2863" s="35" t="str">
        <f>HYPERLINK("https://miland.ru/api/getInfo/item/0c3019be-5e16-11ef-a262-00155d82e908")</f>
        <v>https://miland.ru/api/getInfo/item/0c3019be-5e16-11ef-a262-00155d82e908</v>
      </c>
      <c r="AB2863" s="35" t="s">
        <v>42</v>
      </c>
      <c r="AC2863" s="35" t="s">
        <v>9856</v>
      </c>
      <c r="AD2863" s="35"/>
      <c r="AE2863" s="52" t="s">
        <v>9152</v>
      </c>
    </row>
    <row r="2864" spans="2:31" s="1" customFormat="1" ht="96.3" customHeight="1" outlineLevel="5">
      <c r="B2864" s="59">
        <v>2218</v>
      </c>
      <c r="C2864" s="35" t="s">
        <v>9877</v>
      </c>
      <c r="D2864" s="73" t="s">
        <v>9878</v>
      </c>
      <c r="E2864" s="73"/>
      <c r="F2864" s="73"/>
      <c r="G2864" s="73"/>
      <c r="H2864" s="36" t="s">
        <v>9879</v>
      </c>
      <c r="I2864" s="56" t="s">
        <v>36</v>
      </c>
      <c r="J2864" s="36"/>
      <c r="K2864" s="34">
        <v>2</v>
      </c>
      <c r="L2864" s="41">
        <v>153.01333333333335</v>
      </c>
      <c r="M2864" s="11"/>
      <c r="N2864" s="36">
        <f t="shared" si="138"/>
        <v>0</v>
      </c>
      <c r="O2864" s="42">
        <f>0.157*M2864</f>
        <v>0</v>
      </c>
      <c r="P2864" s="43">
        <f>0.00177*M2864</f>
        <v>0</v>
      </c>
      <c r="Q2864" s="50"/>
      <c r="R2864" s="36" t="s">
        <v>9880</v>
      </c>
      <c r="S2864" s="36" t="s">
        <v>435</v>
      </c>
      <c r="T2864" s="35" t="str">
        <f>HYPERLINK("https://miland.ru/api/getInfo/image/4ab2dbca-5e16-11ef-a262-00155d82e908")</f>
        <v>https://miland.ru/api/getInfo/image/4ab2dbca-5e16-11ef-a262-00155d82e908</v>
      </c>
      <c r="U2864" s="35"/>
      <c r="V2864" s="35"/>
      <c r="W2864" s="35" t="s">
        <v>9760</v>
      </c>
      <c r="X2864" s="35"/>
      <c r="Y2864" s="35" t="s">
        <v>41</v>
      </c>
      <c r="Z2864" s="35"/>
      <c r="AA2864" s="35" t="str">
        <f>HYPERLINK("https://miland.ru/api/getInfo/item/4ab2dbca-5e16-11ef-a262-00155d82e908")</f>
        <v>https://miland.ru/api/getInfo/item/4ab2dbca-5e16-11ef-a262-00155d82e908</v>
      </c>
      <c r="AB2864" s="35" t="s">
        <v>42</v>
      </c>
      <c r="AC2864" s="35" t="s">
        <v>9856</v>
      </c>
      <c r="AD2864" s="35"/>
      <c r="AE2864" s="52" t="s">
        <v>9152</v>
      </c>
    </row>
    <row r="2865" spans="2:31" s="1" customFormat="1" ht="96.3" customHeight="1" outlineLevel="5">
      <c r="B2865" s="59">
        <v>2219</v>
      </c>
      <c r="C2865" s="35" t="s">
        <v>9881</v>
      </c>
      <c r="D2865" s="73" t="s">
        <v>9882</v>
      </c>
      <c r="E2865" s="73"/>
      <c r="F2865" s="73"/>
      <c r="G2865" s="73"/>
      <c r="H2865" s="36" t="s">
        <v>9883</v>
      </c>
      <c r="I2865" s="56" t="s">
        <v>36</v>
      </c>
      <c r="J2865" s="36"/>
      <c r="K2865" s="34">
        <v>2</v>
      </c>
      <c r="L2865" s="41">
        <v>140.98666666666665</v>
      </c>
      <c r="M2865" s="11"/>
      <c r="N2865" s="36">
        <f t="shared" si="138"/>
        <v>0</v>
      </c>
      <c r="O2865" s="42">
        <f>0.163*M2865</f>
        <v>0</v>
      </c>
      <c r="P2865" s="43">
        <f>0.00171*M2865</f>
        <v>0</v>
      </c>
      <c r="Q2865" s="50"/>
      <c r="R2865" s="36" t="s">
        <v>9884</v>
      </c>
      <c r="S2865" s="36" t="s">
        <v>435</v>
      </c>
      <c r="T2865" s="35" t="str">
        <f>HYPERLINK("https://miland.ru/api/getInfo/image/6a8f7fea-3775-11ee-a240-00155d82e902")</f>
        <v>https://miland.ru/api/getInfo/image/6a8f7fea-3775-11ee-a240-00155d82e902</v>
      </c>
      <c r="U2865" s="35"/>
      <c r="V2865" s="35"/>
      <c r="W2865" s="35" t="s">
        <v>9760</v>
      </c>
      <c r="X2865" s="35"/>
      <c r="Y2865" s="35" t="s">
        <v>41</v>
      </c>
      <c r="Z2865" s="35"/>
      <c r="AA2865" s="35" t="str">
        <f>HYPERLINK("https://miland.ru/api/getInfo/item/6a8f7fea-3775-11ee-a240-00155d82e902")</f>
        <v>https://miland.ru/api/getInfo/item/6a8f7fea-3775-11ee-a240-00155d82e902</v>
      </c>
      <c r="AB2865" s="35" t="s">
        <v>42</v>
      </c>
      <c r="AC2865" s="35"/>
      <c r="AD2865" s="35"/>
      <c r="AE2865" s="52" t="s">
        <v>9152</v>
      </c>
    </row>
    <row r="2866" spans="2:31" s="1" customFormat="1" ht="96.3" customHeight="1" outlineLevel="5">
      <c r="B2866" s="59">
        <v>2220</v>
      </c>
      <c r="C2866" s="35" t="s">
        <v>9885</v>
      </c>
      <c r="D2866" s="73" t="s">
        <v>9886</v>
      </c>
      <c r="E2866" s="73"/>
      <c r="F2866" s="73"/>
      <c r="G2866" s="73"/>
      <c r="H2866" s="36" t="s">
        <v>9887</v>
      </c>
      <c r="I2866" s="40">
        <v>347</v>
      </c>
      <c r="J2866" s="36"/>
      <c r="K2866" s="34">
        <v>2</v>
      </c>
      <c r="L2866" s="41">
        <v>153.01333333333335</v>
      </c>
      <c r="M2866" s="11"/>
      <c r="N2866" s="36">
        <f t="shared" si="138"/>
        <v>0</v>
      </c>
      <c r="O2866" s="42">
        <f>0.156*M2866</f>
        <v>0</v>
      </c>
      <c r="P2866" s="55">
        <f>0.0018*M2866</f>
        <v>0</v>
      </c>
      <c r="Q2866" s="50"/>
      <c r="R2866" s="36" t="s">
        <v>9888</v>
      </c>
      <c r="S2866" s="36" t="s">
        <v>435</v>
      </c>
      <c r="T2866" s="35" t="str">
        <f>HYPERLINK("https://miland.ru/api/getInfo/image/316e8540-5e16-11ef-a262-00155d82e908")</f>
        <v>https://miland.ru/api/getInfo/image/316e8540-5e16-11ef-a262-00155d82e908</v>
      </c>
      <c r="U2866" s="35"/>
      <c r="V2866" s="35"/>
      <c r="W2866" s="35" t="s">
        <v>9760</v>
      </c>
      <c r="X2866" s="35"/>
      <c r="Y2866" s="35" t="s">
        <v>41</v>
      </c>
      <c r="Z2866" s="35"/>
      <c r="AA2866" s="35" t="str">
        <f>HYPERLINK("https://miland.ru/api/getInfo/item/316e8540-5e16-11ef-a262-00155d82e908")</f>
        <v>https://miland.ru/api/getInfo/item/316e8540-5e16-11ef-a262-00155d82e908</v>
      </c>
      <c r="AB2866" s="35" t="s">
        <v>42</v>
      </c>
      <c r="AC2866" s="35" t="s">
        <v>9856</v>
      </c>
      <c r="AD2866" s="35"/>
      <c r="AE2866" s="52" t="s">
        <v>9152</v>
      </c>
    </row>
    <row r="2867" spans="2:31" s="1" customFormat="1" ht="96.3" customHeight="1" outlineLevel="5">
      <c r="B2867" s="59">
        <v>2221</v>
      </c>
      <c r="C2867" s="35" t="s">
        <v>9889</v>
      </c>
      <c r="D2867" s="73" t="s">
        <v>9890</v>
      </c>
      <c r="E2867" s="73"/>
      <c r="F2867" s="73"/>
      <c r="G2867" s="73"/>
      <c r="H2867" s="36" t="s">
        <v>9891</v>
      </c>
      <c r="I2867" s="40">
        <v>221</v>
      </c>
      <c r="J2867" s="36"/>
      <c r="K2867" s="34">
        <v>2</v>
      </c>
      <c r="L2867" s="41">
        <v>111.04</v>
      </c>
      <c r="M2867" s="11"/>
      <c r="N2867" s="36">
        <f t="shared" si="138"/>
        <v>0</v>
      </c>
      <c r="O2867" s="42">
        <f>0.155*M2867</f>
        <v>0</v>
      </c>
      <c r="P2867" s="43">
        <f>0.00193*M2867</f>
        <v>0</v>
      </c>
      <c r="Q2867" s="50"/>
      <c r="R2867" s="36" t="s">
        <v>9892</v>
      </c>
      <c r="S2867" s="36" t="s">
        <v>435</v>
      </c>
      <c r="T2867" s="35" t="str">
        <f>HYPERLINK("https://miland.ru/api/getInfo/image/14df5f92-fdc6-11ec-a213-ac1f6b442185")</f>
        <v>https://miland.ru/api/getInfo/image/14df5f92-fdc6-11ec-a213-ac1f6b442185</v>
      </c>
      <c r="U2867" s="35"/>
      <c r="V2867" s="35"/>
      <c r="W2867" s="35" t="s">
        <v>9760</v>
      </c>
      <c r="X2867" s="35"/>
      <c r="Y2867" s="35" t="s">
        <v>41</v>
      </c>
      <c r="Z2867" s="35"/>
      <c r="AA2867" s="35" t="str">
        <f>HYPERLINK("https://miland.ru/api/getInfo/item/14df5f92-fdc6-11ec-a213-ac1f6b442185")</f>
        <v>https://miland.ru/api/getInfo/item/14df5f92-fdc6-11ec-a213-ac1f6b442185</v>
      </c>
      <c r="AB2867" s="35" t="s">
        <v>42</v>
      </c>
      <c r="AC2867" s="35" t="s">
        <v>9856</v>
      </c>
      <c r="AD2867" s="35"/>
      <c r="AE2867" s="52" t="s">
        <v>9152</v>
      </c>
    </row>
    <row r="2868" spans="2:31" s="1" customFormat="1" ht="96.3" customHeight="1" outlineLevel="5">
      <c r="B2868" s="59">
        <v>2222</v>
      </c>
      <c r="C2868" s="35" t="s">
        <v>9893</v>
      </c>
      <c r="D2868" s="73" t="s">
        <v>9894</v>
      </c>
      <c r="E2868" s="73"/>
      <c r="F2868" s="73"/>
      <c r="G2868" s="73"/>
      <c r="H2868" s="36" t="s">
        <v>9895</v>
      </c>
      <c r="I2868" s="40">
        <v>92</v>
      </c>
      <c r="J2868" s="36"/>
      <c r="K2868" s="34">
        <v>2</v>
      </c>
      <c r="L2868" s="41">
        <v>164.58666666666667</v>
      </c>
      <c r="M2868" s="11"/>
      <c r="N2868" s="36">
        <f t="shared" si="138"/>
        <v>0</v>
      </c>
      <c r="O2868" s="42">
        <f>0.182*M2868</f>
        <v>0</v>
      </c>
      <c r="P2868" s="43">
        <f>0.00209*M2868</f>
        <v>0</v>
      </c>
      <c r="Q2868" s="50"/>
      <c r="R2868" s="36" t="s">
        <v>9896</v>
      </c>
      <c r="S2868" s="36" t="s">
        <v>435</v>
      </c>
      <c r="T2868" s="35" t="str">
        <f>HYPERLINK("https://miland.ru/api/getInfo/image/940ce2f8-5e16-11ef-a262-00155d82e908")</f>
        <v>https://miland.ru/api/getInfo/image/940ce2f8-5e16-11ef-a262-00155d82e908</v>
      </c>
      <c r="U2868" s="35"/>
      <c r="V2868" s="35"/>
      <c r="W2868" s="35" t="s">
        <v>9760</v>
      </c>
      <c r="X2868" s="35"/>
      <c r="Y2868" s="35" t="s">
        <v>41</v>
      </c>
      <c r="Z2868" s="35"/>
      <c r="AA2868" s="35" t="str">
        <f>HYPERLINK("https://miland.ru/api/getInfo/item/940ce2f8-5e16-11ef-a262-00155d82e908")</f>
        <v>https://miland.ru/api/getInfo/item/940ce2f8-5e16-11ef-a262-00155d82e908</v>
      </c>
      <c r="AB2868" s="35" t="s">
        <v>42</v>
      </c>
      <c r="AC2868" s="35" t="s">
        <v>9831</v>
      </c>
      <c r="AD2868" s="35"/>
      <c r="AE2868" s="52" t="s">
        <v>9152</v>
      </c>
    </row>
    <row r="2869" spans="2:31" s="1" customFormat="1" ht="96.3" customHeight="1" outlineLevel="5">
      <c r="B2869" s="59">
        <v>2223</v>
      </c>
      <c r="C2869" s="35" t="s">
        <v>9897</v>
      </c>
      <c r="D2869" s="73" t="s">
        <v>9898</v>
      </c>
      <c r="E2869" s="73"/>
      <c r="F2869" s="73"/>
      <c r="G2869" s="73"/>
      <c r="H2869" s="36" t="s">
        <v>9899</v>
      </c>
      <c r="I2869" s="56" t="s">
        <v>36</v>
      </c>
      <c r="J2869" s="36"/>
      <c r="K2869" s="34">
        <v>2</v>
      </c>
      <c r="L2869" s="41">
        <v>164.58666666666667</v>
      </c>
      <c r="M2869" s="11"/>
      <c r="N2869" s="36">
        <f t="shared" si="138"/>
        <v>0</v>
      </c>
      <c r="O2869" s="42">
        <f>0.186*M2869</f>
        <v>0</v>
      </c>
      <c r="P2869" s="43">
        <f>0.00218*M2869</f>
        <v>0</v>
      </c>
      <c r="Q2869" s="50"/>
      <c r="R2869" s="36" t="s">
        <v>9900</v>
      </c>
      <c r="S2869" s="36" t="s">
        <v>435</v>
      </c>
      <c r="T2869" s="35" t="str">
        <f>HYPERLINK("https://miland.ru/api/getInfo/image/e364069b-5e16-11ef-a262-00155d82e908")</f>
        <v>https://miland.ru/api/getInfo/image/e364069b-5e16-11ef-a262-00155d82e908</v>
      </c>
      <c r="U2869" s="35"/>
      <c r="V2869" s="35"/>
      <c r="W2869" s="35" t="s">
        <v>9760</v>
      </c>
      <c r="X2869" s="35"/>
      <c r="Y2869" s="35" t="s">
        <v>41</v>
      </c>
      <c r="Z2869" s="35"/>
      <c r="AA2869" s="35" t="str">
        <f>HYPERLINK("https://miland.ru/api/getInfo/item/e364069b-5e16-11ef-a262-00155d82e908")</f>
        <v>https://miland.ru/api/getInfo/item/e364069b-5e16-11ef-a262-00155d82e908</v>
      </c>
      <c r="AB2869" s="35" t="s">
        <v>42</v>
      </c>
      <c r="AC2869" s="35" t="s">
        <v>9831</v>
      </c>
      <c r="AD2869" s="35"/>
      <c r="AE2869" s="52" t="s">
        <v>9152</v>
      </c>
    </row>
    <row r="2870" spans="2:31" s="1" customFormat="1" ht="96.3" customHeight="1" outlineLevel="5">
      <c r="B2870" s="59">
        <v>2224</v>
      </c>
      <c r="C2870" s="35" t="s">
        <v>9901</v>
      </c>
      <c r="D2870" s="73" t="s">
        <v>9902</v>
      </c>
      <c r="E2870" s="73"/>
      <c r="F2870" s="73"/>
      <c r="G2870" s="73"/>
      <c r="H2870" s="36" t="s">
        <v>9903</v>
      </c>
      <c r="I2870" s="40">
        <v>417</v>
      </c>
      <c r="J2870" s="36"/>
      <c r="K2870" s="34">
        <v>2</v>
      </c>
      <c r="L2870" s="41">
        <v>141.12</v>
      </c>
      <c r="M2870" s="11"/>
      <c r="N2870" s="36">
        <f t="shared" si="138"/>
        <v>0</v>
      </c>
      <c r="O2870" s="42">
        <f>0.185*M2870</f>
        <v>0</v>
      </c>
      <c r="P2870" s="43">
        <f>0.01291*M2870</f>
        <v>0</v>
      </c>
      <c r="Q2870" s="50"/>
      <c r="R2870" s="36" t="s">
        <v>9904</v>
      </c>
      <c r="S2870" s="36" t="s">
        <v>435</v>
      </c>
      <c r="T2870" s="35" t="str">
        <f>HYPERLINK("https://miland.ru/api/getInfo/image/b00d659b-fdcf-11ec-a213-ac1f6b442185")</f>
        <v>https://miland.ru/api/getInfo/image/b00d659b-fdcf-11ec-a213-ac1f6b442185</v>
      </c>
      <c r="U2870" s="35"/>
      <c r="V2870" s="35"/>
      <c r="W2870" s="35" t="s">
        <v>9760</v>
      </c>
      <c r="X2870" s="35"/>
      <c r="Y2870" s="35" t="s">
        <v>41</v>
      </c>
      <c r="Z2870" s="35"/>
      <c r="AA2870" s="35" t="str">
        <f>HYPERLINK("https://miland.ru/api/getInfo/item/b00d659b-fdcf-11ec-a213-ac1f6b442185")</f>
        <v>https://miland.ru/api/getInfo/item/b00d659b-fdcf-11ec-a213-ac1f6b442185</v>
      </c>
      <c r="AB2870" s="35" t="s">
        <v>42</v>
      </c>
      <c r="AC2870" s="35" t="s">
        <v>9831</v>
      </c>
      <c r="AD2870" s="35"/>
      <c r="AE2870" s="52" t="s">
        <v>9152</v>
      </c>
    </row>
    <row r="2871" spans="2:31" s="1" customFormat="1" ht="96.3" customHeight="1" outlineLevel="5">
      <c r="B2871" s="57">
        <v>2225</v>
      </c>
      <c r="C2871" s="21" t="s">
        <v>9905</v>
      </c>
      <c r="D2871" s="72" t="s">
        <v>9906</v>
      </c>
      <c r="E2871" s="72"/>
      <c r="F2871" s="72"/>
      <c r="G2871" s="72"/>
      <c r="H2871" s="22" t="s">
        <v>9907</v>
      </c>
      <c r="I2871" s="27">
        <v>7</v>
      </c>
      <c r="J2871" s="22"/>
      <c r="K2871" s="20">
        <v>2</v>
      </c>
      <c r="L2871" s="24">
        <v>331.37</v>
      </c>
      <c r="M2871" s="11"/>
      <c r="N2871" s="22">
        <f t="shared" si="138"/>
        <v>0</v>
      </c>
      <c r="O2871" s="25">
        <f>0.188*M2871</f>
        <v>0</v>
      </c>
      <c r="P2871" s="26">
        <f>0.00205*M2871</f>
        <v>0</v>
      </c>
      <c r="Q2871" s="30"/>
      <c r="R2871" s="22" t="s">
        <v>9908</v>
      </c>
      <c r="S2871" s="22" t="s">
        <v>435</v>
      </c>
      <c r="T2871" s="21" t="str">
        <f>HYPERLINK("https://miland.ru/api/getInfo/image/f3ac75dd-fdcf-11ec-a213-ac1f6b442185")</f>
        <v>https://miland.ru/api/getInfo/image/f3ac75dd-fdcf-11ec-a213-ac1f6b442185</v>
      </c>
      <c r="U2871" s="21"/>
      <c r="V2871" s="21"/>
      <c r="W2871" s="21" t="s">
        <v>9760</v>
      </c>
      <c r="X2871" s="21"/>
      <c r="Y2871" s="21" t="s">
        <v>41</v>
      </c>
      <c r="Z2871" s="21"/>
      <c r="AA2871" s="21" t="str">
        <f>HYPERLINK("https://miland.ru/api/getInfo/item/f3ac75dd-fdcf-11ec-a213-ac1f6b442185")</f>
        <v>https://miland.ru/api/getInfo/item/f3ac75dd-fdcf-11ec-a213-ac1f6b442185</v>
      </c>
      <c r="AB2871" s="21" t="s">
        <v>42</v>
      </c>
      <c r="AC2871" s="21" t="s">
        <v>9831</v>
      </c>
      <c r="AD2871" s="21"/>
    </row>
    <row r="2872" spans="2:31" s="1" customFormat="1" ht="96.3" customHeight="1" outlineLevel="5">
      <c r="B2872" s="59">
        <v>2226</v>
      </c>
      <c r="C2872" s="35" t="s">
        <v>9909</v>
      </c>
      <c r="D2872" s="73" t="s">
        <v>9910</v>
      </c>
      <c r="E2872" s="73"/>
      <c r="F2872" s="73"/>
      <c r="G2872" s="73"/>
      <c r="H2872" s="36" t="s">
        <v>9911</v>
      </c>
      <c r="I2872" s="40">
        <v>219</v>
      </c>
      <c r="J2872" s="36"/>
      <c r="K2872" s="34">
        <v>2</v>
      </c>
      <c r="L2872" s="41">
        <v>164.58666666666667</v>
      </c>
      <c r="M2872" s="11"/>
      <c r="N2872" s="36">
        <f t="shared" si="138"/>
        <v>0</v>
      </c>
      <c r="O2872" s="42">
        <f>0.188*M2872</f>
        <v>0</v>
      </c>
      <c r="P2872" s="55">
        <f>0.0022*M2872</f>
        <v>0</v>
      </c>
      <c r="Q2872" s="50"/>
      <c r="R2872" s="36" t="s">
        <v>9912</v>
      </c>
      <c r="S2872" s="36" t="s">
        <v>435</v>
      </c>
      <c r="T2872" s="35" t="str">
        <f>HYPERLINK("https://miland.ru/api/getInfo/image/7f96c307-5e16-11ef-a262-00155d82e908")</f>
        <v>https://miland.ru/api/getInfo/image/7f96c307-5e16-11ef-a262-00155d82e908</v>
      </c>
      <c r="U2872" s="35"/>
      <c r="V2872" s="35"/>
      <c r="W2872" s="35" t="s">
        <v>9760</v>
      </c>
      <c r="X2872" s="35"/>
      <c r="Y2872" s="35" t="s">
        <v>41</v>
      </c>
      <c r="Z2872" s="35"/>
      <c r="AA2872" s="35" t="str">
        <f>HYPERLINK("https://miland.ru/api/getInfo/item/7f96c307-5e16-11ef-a262-00155d82e908")</f>
        <v>https://miland.ru/api/getInfo/item/7f96c307-5e16-11ef-a262-00155d82e908</v>
      </c>
      <c r="AB2872" s="35" t="s">
        <v>42</v>
      </c>
      <c r="AC2872" s="35" t="s">
        <v>9831</v>
      </c>
      <c r="AD2872" s="35"/>
      <c r="AE2872" s="52" t="s">
        <v>9152</v>
      </c>
    </row>
    <row r="2873" spans="2:31" s="1" customFormat="1" ht="96.3" customHeight="1" outlineLevel="5">
      <c r="B2873" s="59">
        <v>2227</v>
      </c>
      <c r="C2873" s="35" t="s">
        <v>9913</v>
      </c>
      <c r="D2873" s="73" t="s">
        <v>9914</v>
      </c>
      <c r="E2873" s="73"/>
      <c r="F2873" s="73"/>
      <c r="G2873" s="73"/>
      <c r="H2873" s="36" t="s">
        <v>9915</v>
      </c>
      <c r="I2873" s="56" t="s">
        <v>36</v>
      </c>
      <c r="J2873" s="36"/>
      <c r="K2873" s="34">
        <v>2</v>
      </c>
      <c r="L2873" s="41">
        <v>164.58666666666667</v>
      </c>
      <c r="M2873" s="11"/>
      <c r="N2873" s="36">
        <f t="shared" si="138"/>
        <v>0</v>
      </c>
      <c r="O2873" s="47">
        <f>0.19*M2873</f>
        <v>0</v>
      </c>
      <c r="P2873" s="43">
        <f>0.03634*M2873</f>
        <v>0</v>
      </c>
      <c r="Q2873" s="50"/>
      <c r="R2873" s="36" t="s">
        <v>9916</v>
      </c>
      <c r="S2873" s="36" t="s">
        <v>435</v>
      </c>
      <c r="T2873" s="35" t="str">
        <f>HYPERLINK("https://miland.ru/api/getInfo/image/63c2be41-5e16-11ef-a262-00155d82e908")</f>
        <v>https://miland.ru/api/getInfo/image/63c2be41-5e16-11ef-a262-00155d82e908</v>
      </c>
      <c r="U2873" s="35"/>
      <c r="V2873" s="35"/>
      <c r="W2873" s="35" t="s">
        <v>9760</v>
      </c>
      <c r="X2873" s="35"/>
      <c r="Y2873" s="35" t="s">
        <v>41</v>
      </c>
      <c r="Z2873" s="35"/>
      <c r="AA2873" s="35" t="str">
        <f>HYPERLINK("https://miland.ru/api/getInfo/item/63c2be41-5e16-11ef-a262-00155d82e908")</f>
        <v>https://miland.ru/api/getInfo/item/63c2be41-5e16-11ef-a262-00155d82e908</v>
      </c>
      <c r="AB2873" s="35" t="s">
        <v>42</v>
      </c>
      <c r="AC2873" s="35" t="s">
        <v>9831</v>
      </c>
      <c r="AD2873" s="35"/>
      <c r="AE2873" s="52" t="s">
        <v>9152</v>
      </c>
    </row>
    <row r="2874" spans="2:31" s="1" customFormat="1" ht="96.3" customHeight="1" outlineLevel="5">
      <c r="B2874" s="59">
        <v>2228</v>
      </c>
      <c r="C2874" s="35" t="s">
        <v>9917</v>
      </c>
      <c r="D2874" s="73" t="s">
        <v>9918</v>
      </c>
      <c r="E2874" s="73"/>
      <c r="F2874" s="73"/>
      <c r="G2874" s="73"/>
      <c r="H2874" s="36" t="s">
        <v>9919</v>
      </c>
      <c r="I2874" s="40">
        <v>320</v>
      </c>
      <c r="J2874" s="36"/>
      <c r="K2874" s="34">
        <v>2</v>
      </c>
      <c r="L2874" s="41">
        <v>111.04</v>
      </c>
      <c r="M2874" s="11"/>
      <c r="N2874" s="36">
        <f t="shared" si="138"/>
        <v>0</v>
      </c>
      <c r="O2874" s="42">
        <f>0.158*M2874</f>
        <v>0</v>
      </c>
      <c r="P2874" s="55">
        <f>0.0017*M2874</f>
        <v>0</v>
      </c>
      <c r="Q2874" s="50"/>
      <c r="R2874" s="36" t="s">
        <v>9920</v>
      </c>
      <c r="S2874" s="36" t="s">
        <v>435</v>
      </c>
      <c r="T2874" s="35" t="str">
        <f>HYPERLINK("https://miland.ru/api/getInfo/image/9af4e8d0-fdc7-11ec-a213-ac1f6b442185")</f>
        <v>https://miland.ru/api/getInfo/image/9af4e8d0-fdc7-11ec-a213-ac1f6b442185</v>
      </c>
      <c r="U2874" s="35"/>
      <c r="V2874" s="35"/>
      <c r="W2874" s="35" t="s">
        <v>9760</v>
      </c>
      <c r="X2874" s="35"/>
      <c r="Y2874" s="35" t="s">
        <v>41</v>
      </c>
      <c r="Z2874" s="35"/>
      <c r="AA2874" s="35" t="str">
        <f>HYPERLINK("https://miland.ru/api/getInfo/item/9af4e8d0-fdc7-11ec-a213-ac1f6b442185")</f>
        <v>https://miland.ru/api/getInfo/item/9af4e8d0-fdc7-11ec-a213-ac1f6b442185</v>
      </c>
      <c r="AB2874" s="35" t="s">
        <v>42</v>
      </c>
      <c r="AC2874" s="35" t="s">
        <v>9856</v>
      </c>
      <c r="AD2874" s="35"/>
      <c r="AE2874" s="52" t="s">
        <v>9152</v>
      </c>
    </row>
    <row r="2875" spans="2:31" ht="12" customHeight="1" outlineLevel="4">
      <c r="B2875" s="70" t="s">
        <v>9921</v>
      </c>
      <c r="C2875" s="70"/>
      <c r="D2875" s="70"/>
      <c r="E2875" s="70"/>
      <c r="F2875" s="70"/>
      <c r="G2875" s="70"/>
    </row>
    <row r="2876" spans="2:31" ht="12" customHeight="1" outlineLevel="5">
      <c r="B2876" s="70" t="s">
        <v>9922</v>
      </c>
      <c r="C2876" s="70"/>
      <c r="D2876" s="70"/>
      <c r="E2876" s="70"/>
      <c r="F2876" s="70"/>
      <c r="G2876" s="70"/>
    </row>
    <row r="2877" spans="2:31" s="1" customFormat="1" ht="96.3" customHeight="1" outlineLevel="6">
      <c r="B2877" s="58">
        <v>2229</v>
      </c>
      <c r="C2877" s="7" t="s">
        <v>9923</v>
      </c>
      <c r="D2877" s="71" t="s">
        <v>9924</v>
      </c>
      <c r="E2877" s="71"/>
      <c r="F2877" s="71"/>
      <c r="G2877" s="71"/>
      <c r="H2877" s="8" t="s">
        <v>9925</v>
      </c>
      <c r="I2877" s="14">
        <v>226</v>
      </c>
      <c r="J2877" s="8"/>
      <c r="K2877" s="6">
        <v>1</v>
      </c>
      <c r="L2877" s="15">
        <v>1412.26</v>
      </c>
      <c r="M2877" s="11"/>
      <c r="N2877" s="8">
        <f t="shared" ref="N2877:N2882" si="139">L2877*M2877</f>
        <v>0</v>
      </c>
      <c r="O2877" s="12">
        <f>0.725*M2877</f>
        <v>0</v>
      </c>
      <c r="P2877" s="13">
        <f>0.00499*M2877</f>
        <v>0</v>
      </c>
      <c r="Q2877" s="17" t="s">
        <v>37</v>
      </c>
      <c r="R2877" s="8" t="s">
        <v>9926</v>
      </c>
      <c r="S2877" s="8"/>
      <c r="T2877" s="7" t="str">
        <f>HYPERLINK("https://miland.ru/api/getInfo/image/7aced020-dc0e-11f0-a28c-00155d82e908")</f>
        <v>https://miland.ru/api/getInfo/image/7aced020-dc0e-11f0-a28c-00155d82e908</v>
      </c>
      <c r="U2877" s="7"/>
      <c r="V2877" s="7" t="s">
        <v>9927</v>
      </c>
      <c r="W2877" s="7" t="s">
        <v>9760</v>
      </c>
      <c r="X2877" s="7"/>
      <c r="Y2877" s="7" t="s">
        <v>697</v>
      </c>
      <c r="Z2877" s="7"/>
      <c r="AA2877" s="7" t="str">
        <f>HYPERLINK("https://miland.ru/api/getInfo/item/7aced020-dc0e-11f0-a28c-00155d82e908")</f>
        <v>https://miland.ru/api/getInfo/item/7aced020-dc0e-11f0-a28c-00155d82e908</v>
      </c>
      <c r="AB2877" s="7" t="s">
        <v>42</v>
      </c>
      <c r="AC2877" s="7"/>
      <c r="AD2877" s="7"/>
      <c r="AE2877" s="54"/>
    </row>
    <row r="2878" spans="2:31" s="1" customFormat="1" ht="96.3" customHeight="1" outlineLevel="6">
      <c r="B2878" s="58">
        <v>2230</v>
      </c>
      <c r="C2878" s="7" t="s">
        <v>9928</v>
      </c>
      <c r="D2878" s="71" t="s">
        <v>9929</v>
      </c>
      <c r="E2878" s="71"/>
      <c r="F2878" s="71"/>
      <c r="G2878" s="71"/>
      <c r="H2878" s="8" t="s">
        <v>9930</v>
      </c>
      <c r="I2878" s="14">
        <v>22</v>
      </c>
      <c r="J2878" s="8"/>
      <c r="K2878" s="6">
        <v>1</v>
      </c>
      <c r="L2878" s="15">
        <v>1412.26</v>
      </c>
      <c r="M2878" s="11"/>
      <c r="N2878" s="8">
        <f t="shared" si="139"/>
        <v>0</v>
      </c>
      <c r="O2878" s="12">
        <f>0.712*M2878</f>
        <v>0</v>
      </c>
      <c r="P2878" s="13">
        <f>0.00504*M2878</f>
        <v>0</v>
      </c>
      <c r="Q2878" s="17" t="s">
        <v>37</v>
      </c>
      <c r="R2878" s="8" t="s">
        <v>9931</v>
      </c>
      <c r="S2878" s="8"/>
      <c r="T2878" s="7" t="str">
        <f>HYPERLINK("https://miland.ru/api/getInfo/image/aab9349e-dc0e-11f0-a28c-00155d82e908")</f>
        <v>https://miland.ru/api/getInfo/image/aab9349e-dc0e-11f0-a28c-00155d82e908</v>
      </c>
      <c r="U2878" s="7"/>
      <c r="V2878" s="7" t="s">
        <v>9927</v>
      </c>
      <c r="W2878" s="7" t="s">
        <v>9760</v>
      </c>
      <c r="X2878" s="7"/>
      <c r="Y2878" s="7" t="s">
        <v>697</v>
      </c>
      <c r="Z2878" s="7"/>
      <c r="AA2878" s="7" t="str">
        <f>HYPERLINK("https://miland.ru/api/getInfo/item/aab9349e-dc0e-11f0-a28c-00155d82e908")</f>
        <v>https://miland.ru/api/getInfo/item/aab9349e-dc0e-11f0-a28c-00155d82e908</v>
      </c>
      <c r="AB2878" s="7" t="s">
        <v>42</v>
      </c>
      <c r="AC2878" s="7"/>
      <c r="AD2878" s="7"/>
      <c r="AE2878" s="54"/>
    </row>
    <row r="2879" spans="2:31" s="1" customFormat="1" ht="96.3" customHeight="1" outlineLevel="6">
      <c r="B2879" s="58">
        <v>2231</v>
      </c>
      <c r="C2879" s="7" t="s">
        <v>9932</v>
      </c>
      <c r="D2879" s="71" t="s">
        <v>9933</v>
      </c>
      <c r="E2879" s="71"/>
      <c r="F2879" s="71"/>
      <c r="G2879" s="71"/>
      <c r="H2879" s="8" t="s">
        <v>9934</v>
      </c>
      <c r="I2879" s="14">
        <v>135</v>
      </c>
      <c r="J2879" s="8"/>
      <c r="K2879" s="6">
        <v>1</v>
      </c>
      <c r="L2879" s="15">
        <v>1412.26</v>
      </c>
      <c r="M2879" s="11"/>
      <c r="N2879" s="8">
        <f t="shared" si="139"/>
        <v>0</v>
      </c>
      <c r="O2879" s="12">
        <f>0.742*M2879</f>
        <v>0</v>
      </c>
      <c r="P2879" s="13">
        <f>0.00507*M2879</f>
        <v>0</v>
      </c>
      <c r="Q2879" s="17" t="s">
        <v>37</v>
      </c>
      <c r="R2879" s="8" t="s">
        <v>9935</v>
      </c>
      <c r="S2879" s="8"/>
      <c r="T2879" s="7" t="str">
        <f>HYPERLINK("https://miland.ru/api/getInfo/image/fb11e401-dc0d-11f0-a28c-00155d82e908")</f>
        <v>https://miland.ru/api/getInfo/image/fb11e401-dc0d-11f0-a28c-00155d82e908</v>
      </c>
      <c r="U2879" s="7"/>
      <c r="V2879" s="7" t="s">
        <v>9927</v>
      </c>
      <c r="W2879" s="7" t="s">
        <v>9760</v>
      </c>
      <c r="X2879" s="7"/>
      <c r="Y2879" s="7" t="s">
        <v>697</v>
      </c>
      <c r="Z2879" s="7"/>
      <c r="AA2879" s="7" t="str">
        <f>HYPERLINK("https://miland.ru/api/getInfo/item/fb11e401-dc0d-11f0-a28c-00155d82e908")</f>
        <v>https://miland.ru/api/getInfo/item/fb11e401-dc0d-11f0-a28c-00155d82e908</v>
      </c>
      <c r="AB2879" s="7" t="s">
        <v>42</v>
      </c>
      <c r="AC2879" s="7"/>
      <c r="AD2879" s="7"/>
      <c r="AE2879" s="54"/>
    </row>
    <row r="2880" spans="2:31" s="1" customFormat="1" ht="96.3" customHeight="1" outlineLevel="6">
      <c r="B2880" s="58">
        <v>2232</v>
      </c>
      <c r="C2880" s="7" t="s">
        <v>9936</v>
      </c>
      <c r="D2880" s="71" t="s">
        <v>9937</v>
      </c>
      <c r="E2880" s="71"/>
      <c r="F2880" s="71"/>
      <c r="G2880" s="71"/>
      <c r="H2880" s="8" t="s">
        <v>9938</v>
      </c>
      <c r="I2880" s="14">
        <v>33</v>
      </c>
      <c r="J2880" s="8"/>
      <c r="K2880" s="6">
        <v>1</v>
      </c>
      <c r="L2880" s="15">
        <v>1490.56</v>
      </c>
      <c r="M2880" s="11"/>
      <c r="N2880" s="8">
        <f t="shared" si="139"/>
        <v>0</v>
      </c>
      <c r="O2880" s="12">
        <f>0.706*M2880</f>
        <v>0</v>
      </c>
      <c r="P2880" s="13">
        <f>0.00502*M2880</f>
        <v>0</v>
      </c>
      <c r="Q2880" s="17" t="s">
        <v>37</v>
      </c>
      <c r="R2880" s="8" t="s">
        <v>9939</v>
      </c>
      <c r="S2880" s="8"/>
      <c r="T2880" s="7" t="str">
        <f>HYPERLINK("https://miland.ru/api/getInfo/image/4e32aed4-dc0e-11f0-a28c-00155d82e908")</f>
        <v>https://miland.ru/api/getInfo/image/4e32aed4-dc0e-11f0-a28c-00155d82e908</v>
      </c>
      <c r="U2880" s="7"/>
      <c r="V2880" s="7" t="s">
        <v>9927</v>
      </c>
      <c r="W2880" s="7" t="s">
        <v>9760</v>
      </c>
      <c r="X2880" s="7"/>
      <c r="Y2880" s="7" t="s">
        <v>697</v>
      </c>
      <c r="Z2880" s="7"/>
      <c r="AA2880" s="7" t="str">
        <f>HYPERLINK("https://miland.ru/api/getInfo/item/4e32aed4-dc0e-11f0-a28c-00155d82e908")</f>
        <v>https://miland.ru/api/getInfo/item/4e32aed4-dc0e-11f0-a28c-00155d82e908</v>
      </c>
      <c r="AB2880" s="7" t="s">
        <v>42</v>
      </c>
      <c r="AC2880" s="7"/>
      <c r="AD2880" s="7"/>
      <c r="AE2880" s="54"/>
    </row>
    <row r="2881" spans="2:31" s="1" customFormat="1" ht="96.3" customHeight="1" outlineLevel="6">
      <c r="B2881" s="58">
        <v>2233</v>
      </c>
      <c r="C2881" s="7" t="s">
        <v>9940</v>
      </c>
      <c r="D2881" s="71" t="s">
        <v>9941</v>
      </c>
      <c r="E2881" s="71"/>
      <c r="F2881" s="71"/>
      <c r="G2881" s="71"/>
      <c r="H2881" s="8" t="s">
        <v>9942</v>
      </c>
      <c r="I2881" s="14">
        <v>8</v>
      </c>
      <c r="J2881" s="8"/>
      <c r="K2881" s="6">
        <v>1</v>
      </c>
      <c r="L2881" s="15">
        <v>1412.26</v>
      </c>
      <c r="M2881" s="11"/>
      <c r="N2881" s="8">
        <f t="shared" si="139"/>
        <v>0</v>
      </c>
      <c r="O2881" s="12">
        <f>0.724*M2881</f>
        <v>0</v>
      </c>
      <c r="P2881" s="13">
        <f>0.00511*M2881</f>
        <v>0</v>
      </c>
      <c r="Q2881" s="17" t="s">
        <v>37</v>
      </c>
      <c r="R2881" s="8" t="s">
        <v>9943</v>
      </c>
      <c r="S2881" s="8"/>
      <c r="T2881" s="7" t="str">
        <f>HYPERLINK("https://miland.ru/api/getInfo/image/6bdec333-dc0d-11f0-a28c-00155d82e908")</f>
        <v>https://miland.ru/api/getInfo/image/6bdec333-dc0d-11f0-a28c-00155d82e908</v>
      </c>
      <c r="U2881" s="7"/>
      <c r="V2881" s="7" t="s">
        <v>9927</v>
      </c>
      <c r="W2881" s="7" t="s">
        <v>9760</v>
      </c>
      <c r="X2881" s="7"/>
      <c r="Y2881" s="7" t="s">
        <v>697</v>
      </c>
      <c r="Z2881" s="7"/>
      <c r="AA2881" s="7" t="str">
        <f>HYPERLINK("https://miland.ru/api/getInfo/item/6bdec333-dc0d-11f0-a28c-00155d82e908")</f>
        <v>https://miland.ru/api/getInfo/item/6bdec333-dc0d-11f0-a28c-00155d82e908</v>
      </c>
      <c r="AB2881" s="7" t="s">
        <v>42</v>
      </c>
      <c r="AC2881" s="7"/>
      <c r="AD2881" s="7"/>
      <c r="AE2881" s="54"/>
    </row>
    <row r="2882" spans="2:31" s="1" customFormat="1" ht="96.3" customHeight="1" outlineLevel="6">
      <c r="B2882" s="58">
        <v>2234</v>
      </c>
      <c r="C2882" s="7" t="s">
        <v>9944</v>
      </c>
      <c r="D2882" s="71" t="s">
        <v>9945</v>
      </c>
      <c r="E2882" s="71"/>
      <c r="F2882" s="71"/>
      <c r="G2882" s="71"/>
      <c r="H2882" s="8" t="s">
        <v>9946</v>
      </c>
      <c r="I2882" s="14">
        <v>105</v>
      </c>
      <c r="J2882" s="8"/>
      <c r="K2882" s="6">
        <v>1</v>
      </c>
      <c r="L2882" s="10">
        <v>746.15</v>
      </c>
      <c r="M2882" s="11"/>
      <c r="N2882" s="8">
        <f t="shared" si="139"/>
        <v>0</v>
      </c>
      <c r="O2882" s="12">
        <f>0.594*M2882</f>
        <v>0</v>
      </c>
      <c r="P2882" s="13">
        <f>0.00516*M2882</f>
        <v>0</v>
      </c>
      <c r="Q2882" s="17" t="s">
        <v>37</v>
      </c>
      <c r="R2882" s="8" t="s">
        <v>9947</v>
      </c>
      <c r="S2882" s="8"/>
      <c r="T2882" s="7" t="str">
        <f>HYPERLINK("https://miland.ru/api/getInfo/image/db80d175-dc07-11f0-a28c-00155d82e908")</f>
        <v>https://miland.ru/api/getInfo/image/db80d175-dc07-11f0-a28c-00155d82e908</v>
      </c>
      <c r="U2882" s="7"/>
      <c r="V2882" s="7" t="s">
        <v>9927</v>
      </c>
      <c r="W2882" s="7" t="s">
        <v>9760</v>
      </c>
      <c r="X2882" s="7"/>
      <c r="Y2882" s="7" t="s">
        <v>697</v>
      </c>
      <c r="Z2882" s="7"/>
      <c r="AA2882" s="7" t="str">
        <f>HYPERLINK("https://miland.ru/api/getInfo/item/db80d175-dc07-11f0-a28c-00155d82e908")</f>
        <v>https://miland.ru/api/getInfo/item/db80d175-dc07-11f0-a28c-00155d82e908</v>
      </c>
      <c r="AB2882" s="7" t="s">
        <v>42</v>
      </c>
      <c r="AC2882" s="7"/>
      <c r="AD2882" s="7"/>
      <c r="AE2882" s="54"/>
    </row>
    <row r="2883" spans="2:31" ht="12" customHeight="1" outlineLevel="5">
      <c r="B2883" s="70" t="s">
        <v>9948</v>
      </c>
      <c r="C2883" s="70"/>
      <c r="D2883" s="70"/>
      <c r="E2883" s="70"/>
      <c r="F2883" s="70"/>
      <c r="G2883" s="70"/>
    </row>
    <row r="2884" spans="2:31" s="1" customFormat="1" ht="96.3" customHeight="1" outlineLevel="6">
      <c r="B2884" s="58">
        <v>2235</v>
      </c>
      <c r="C2884" s="7" t="s">
        <v>9949</v>
      </c>
      <c r="D2884" s="71" t="s">
        <v>9950</v>
      </c>
      <c r="E2884" s="71"/>
      <c r="F2884" s="71"/>
      <c r="G2884" s="71"/>
      <c r="H2884" s="8" t="s">
        <v>9951</v>
      </c>
      <c r="I2884" s="14">
        <v>96</v>
      </c>
      <c r="J2884" s="8"/>
      <c r="K2884" s="6">
        <v>1</v>
      </c>
      <c r="L2884" s="15">
        <v>1099.07</v>
      </c>
      <c r="M2884" s="11"/>
      <c r="N2884" s="8">
        <f>L2884*M2884</f>
        <v>0</v>
      </c>
      <c r="O2884" s="12">
        <f>0.628*M2884</f>
        <v>0</v>
      </c>
      <c r="P2884" s="13">
        <f>0.00482*M2884</f>
        <v>0</v>
      </c>
      <c r="Q2884" s="17" t="s">
        <v>37</v>
      </c>
      <c r="R2884" s="8" t="s">
        <v>9952</v>
      </c>
      <c r="S2884" s="8"/>
      <c r="T2884" s="7" t="str">
        <f>HYPERLINK("https://miland.ru/api/getInfo/image/2796cd26-dc0f-11f0-a28c-00155d82e908")</f>
        <v>https://miland.ru/api/getInfo/image/2796cd26-dc0f-11f0-a28c-00155d82e908</v>
      </c>
      <c r="U2884" s="7"/>
      <c r="V2884" s="7" t="s">
        <v>9927</v>
      </c>
      <c r="W2884" s="7" t="s">
        <v>9760</v>
      </c>
      <c r="X2884" s="7"/>
      <c r="Y2884" s="7" t="s">
        <v>697</v>
      </c>
      <c r="Z2884" s="7"/>
      <c r="AA2884" s="7" t="str">
        <f>HYPERLINK("https://miland.ru/api/getInfo/item/2796cd26-dc0f-11f0-a28c-00155d82e908")</f>
        <v>https://miland.ru/api/getInfo/item/2796cd26-dc0f-11f0-a28c-00155d82e908</v>
      </c>
      <c r="AB2884" s="7" t="s">
        <v>42</v>
      </c>
      <c r="AC2884" s="7"/>
      <c r="AD2884" s="7"/>
      <c r="AE2884" s="54"/>
    </row>
    <row r="2885" spans="2:31" ht="12" customHeight="1" outlineLevel="5">
      <c r="B2885" s="70" t="s">
        <v>9953</v>
      </c>
      <c r="C2885" s="70"/>
      <c r="D2885" s="70"/>
      <c r="E2885" s="70"/>
      <c r="F2885" s="70"/>
      <c r="G2885" s="70"/>
    </row>
    <row r="2886" spans="2:31" s="1" customFormat="1" ht="96.3" customHeight="1" outlineLevel="6">
      <c r="B2886" s="58">
        <v>2236</v>
      </c>
      <c r="C2886" s="7" t="s">
        <v>9954</v>
      </c>
      <c r="D2886" s="71" t="s">
        <v>9955</v>
      </c>
      <c r="E2886" s="71"/>
      <c r="F2886" s="71"/>
      <c r="G2886" s="71"/>
      <c r="H2886" s="8" t="s">
        <v>9956</v>
      </c>
      <c r="I2886" s="14">
        <v>18</v>
      </c>
      <c r="J2886" s="8"/>
      <c r="K2886" s="6">
        <v>1</v>
      </c>
      <c r="L2886" s="15">
        <v>1476</v>
      </c>
      <c r="M2886" s="11"/>
      <c r="N2886" s="8">
        <f>L2886*M2886</f>
        <v>0</v>
      </c>
      <c r="O2886" s="18">
        <f>0.65*M2886</f>
        <v>0</v>
      </c>
      <c r="P2886" s="13">
        <f>0.00516*M2886</f>
        <v>0</v>
      </c>
      <c r="Q2886" s="17" t="s">
        <v>37</v>
      </c>
      <c r="R2886" s="8" t="s">
        <v>9957</v>
      </c>
      <c r="S2886" s="8" t="s">
        <v>435</v>
      </c>
      <c r="T2886" s="7" t="str">
        <f>HYPERLINK("https://miland.ru/api/getInfo/image/cea22f8a-b587-11f0-a286-00155d82e908")</f>
        <v>https://miland.ru/api/getInfo/image/cea22f8a-b587-11f0-a286-00155d82e908</v>
      </c>
      <c r="U2886" s="7"/>
      <c r="V2886" s="7" t="s">
        <v>9927</v>
      </c>
      <c r="W2886" s="7" t="s">
        <v>9760</v>
      </c>
      <c r="X2886" s="7"/>
      <c r="Y2886" s="7" t="s">
        <v>697</v>
      </c>
      <c r="Z2886" s="7"/>
      <c r="AA2886" s="7" t="str">
        <f>HYPERLINK("https://miland.ru/api/getInfo/item/cea22f8a-b587-11f0-a286-00155d82e908")</f>
        <v>https://miland.ru/api/getInfo/item/cea22f8a-b587-11f0-a286-00155d82e908</v>
      </c>
      <c r="AB2886" s="7" t="s">
        <v>42</v>
      </c>
      <c r="AC2886" s="7"/>
      <c r="AD2886" s="7"/>
      <c r="AE2886" s="54"/>
    </row>
    <row r="2887" spans="2:31" s="1" customFormat="1" ht="96.3" customHeight="1" outlineLevel="6">
      <c r="B2887" s="58">
        <v>2237</v>
      </c>
      <c r="C2887" s="7" t="s">
        <v>9958</v>
      </c>
      <c r="D2887" s="71" t="s">
        <v>9959</v>
      </c>
      <c r="E2887" s="71"/>
      <c r="F2887" s="71"/>
      <c r="G2887" s="71"/>
      <c r="H2887" s="8" t="s">
        <v>9960</v>
      </c>
      <c r="I2887" s="14">
        <v>9</v>
      </c>
      <c r="J2887" s="8"/>
      <c r="K2887" s="6">
        <v>1</v>
      </c>
      <c r="L2887" s="15">
        <v>1660.5</v>
      </c>
      <c r="M2887" s="11"/>
      <c r="N2887" s="8">
        <f>L2887*M2887</f>
        <v>0</v>
      </c>
      <c r="O2887" s="12">
        <f>0.638*M2887</f>
        <v>0</v>
      </c>
      <c r="P2887" s="13">
        <f>0.00504*M2887</f>
        <v>0</v>
      </c>
      <c r="Q2887" s="17" t="s">
        <v>37</v>
      </c>
      <c r="R2887" s="8" t="s">
        <v>9961</v>
      </c>
      <c r="S2887" s="8" t="s">
        <v>435</v>
      </c>
      <c r="T2887" s="7" t="str">
        <f>HYPERLINK("https://miland.ru/api/getInfo/image/18e460ff-b587-11f0-a286-00155d82e908")</f>
        <v>https://miland.ru/api/getInfo/image/18e460ff-b587-11f0-a286-00155d82e908</v>
      </c>
      <c r="U2887" s="7"/>
      <c r="V2887" s="7" t="s">
        <v>9927</v>
      </c>
      <c r="W2887" s="7" t="s">
        <v>9760</v>
      </c>
      <c r="X2887" s="7"/>
      <c r="Y2887" s="7" t="s">
        <v>697</v>
      </c>
      <c r="Z2887" s="7"/>
      <c r="AA2887" s="7" t="str">
        <f>HYPERLINK("https://miland.ru/api/getInfo/item/18e460ff-b587-11f0-a286-00155d82e908")</f>
        <v>https://miland.ru/api/getInfo/item/18e460ff-b587-11f0-a286-00155d82e908</v>
      </c>
      <c r="AB2887" s="7" t="s">
        <v>42</v>
      </c>
      <c r="AC2887" s="7"/>
      <c r="AD2887" s="7"/>
      <c r="AE2887" s="54"/>
    </row>
    <row r="2888" spans="2:31" s="1" customFormat="1" ht="96.3" customHeight="1" outlineLevel="6">
      <c r="B2888" s="58">
        <v>2238</v>
      </c>
      <c r="C2888" s="7" t="s">
        <v>9962</v>
      </c>
      <c r="D2888" s="71" t="s">
        <v>9963</v>
      </c>
      <c r="E2888" s="71"/>
      <c r="F2888" s="71"/>
      <c r="G2888" s="71"/>
      <c r="H2888" s="8" t="s">
        <v>9964</v>
      </c>
      <c r="I2888" s="14">
        <v>10</v>
      </c>
      <c r="J2888" s="8"/>
      <c r="K2888" s="6">
        <v>1</v>
      </c>
      <c r="L2888" s="10">
        <v>968.63</v>
      </c>
      <c r="M2888" s="11"/>
      <c r="N2888" s="8">
        <f>L2888*M2888</f>
        <v>0</v>
      </c>
      <c r="O2888" s="12">
        <f>0.637*M2888</f>
        <v>0</v>
      </c>
      <c r="P2888" s="13">
        <f>0.00507*M2888</f>
        <v>0</v>
      </c>
      <c r="Q2888" s="17" t="s">
        <v>37</v>
      </c>
      <c r="R2888" s="8" t="s">
        <v>9965</v>
      </c>
      <c r="S2888" s="8" t="s">
        <v>435</v>
      </c>
      <c r="T2888" s="7" t="str">
        <f>HYPERLINK("https://miland.ru/api/getInfo/image/6e1f35fe-b586-11f0-a286-00155d82e908")</f>
        <v>https://miland.ru/api/getInfo/image/6e1f35fe-b586-11f0-a286-00155d82e908</v>
      </c>
      <c r="U2888" s="7"/>
      <c r="V2888" s="7" t="s">
        <v>9927</v>
      </c>
      <c r="W2888" s="7" t="s">
        <v>9760</v>
      </c>
      <c r="X2888" s="7"/>
      <c r="Y2888" s="7" t="s">
        <v>697</v>
      </c>
      <c r="Z2888" s="7"/>
      <c r="AA2888" s="7" t="str">
        <f>HYPERLINK("https://miland.ru/api/getInfo/item/6e1f35fe-b586-11f0-a286-00155d82e908")</f>
        <v>https://miland.ru/api/getInfo/item/6e1f35fe-b586-11f0-a286-00155d82e908</v>
      </c>
      <c r="AB2888" s="7" t="s">
        <v>42</v>
      </c>
      <c r="AC2888" s="7"/>
      <c r="AD2888" s="7"/>
      <c r="AE2888" s="54"/>
    </row>
    <row r="2889" spans="2:31" ht="12" customHeight="1" outlineLevel="3">
      <c r="B2889" s="70" t="s">
        <v>9966</v>
      </c>
      <c r="C2889" s="70"/>
      <c r="D2889" s="70"/>
      <c r="E2889" s="70"/>
      <c r="F2889" s="70"/>
      <c r="G2889" s="70"/>
    </row>
    <row r="2890" spans="2:31" ht="12" customHeight="1" outlineLevel="4">
      <c r="B2890" s="70" t="s">
        <v>9967</v>
      </c>
      <c r="C2890" s="70"/>
      <c r="D2890" s="70"/>
      <c r="E2890" s="70"/>
      <c r="F2890" s="70"/>
      <c r="G2890" s="70"/>
    </row>
    <row r="2891" spans="2:31" ht="12" customHeight="1" outlineLevel="5">
      <c r="B2891" s="70" t="s">
        <v>9968</v>
      </c>
      <c r="C2891" s="70"/>
      <c r="D2891" s="70"/>
      <c r="E2891" s="70"/>
      <c r="F2891" s="70"/>
      <c r="G2891" s="70"/>
    </row>
    <row r="2892" spans="2:31" s="1" customFormat="1" ht="96.3" customHeight="1" outlineLevel="6">
      <c r="B2892" s="58">
        <v>2239</v>
      </c>
      <c r="C2892" s="7" t="s">
        <v>9969</v>
      </c>
      <c r="D2892" s="71" t="s">
        <v>9970</v>
      </c>
      <c r="E2892" s="71"/>
      <c r="F2892" s="71"/>
      <c r="G2892" s="71"/>
      <c r="H2892" s="8" t="s">
        <v>9971</v>
      </c>
      <c r="I2892" s="9" t="s">
        <v>36</v>
      </c>
      <c r="J2892" s="8"/>
      <c r="K2892" s="6">
        <v>1</v>
      </c>
      <c r="L2892" s="10">
        <v>764.14</v>
      </c>
      <c r="M2892" s="11"/>
      <c r="N2892" s="8">
        <f>L2892*M2892</f>
        <v>0</v>
      </c>
      <c r="O2892" s="12">
        <f>0.579*M2892</f>
        <v>0</v>
      </c>
      <c r="P2892" s="13">
        <f>0.00265*M2892</f>
        <v>0</v>
      </c>
      <c r="Q2892" s="17" t="s">
        <v>37</v>
      </c>
      <c r="R2892" s="8" t="s">
        <v>9972</v>
      </c>
      <c r="S2892" s="8"/>
      <c r="T2892" s="7" t="str">
        <f>HYPERLINK("https://miland.ru/api/getInfo/image/35cd1de1-63b2-11f0-a282-00155d82e908")</f>
        <v>https://miland.ru/api/getInfo/image/35cd1de1-63b2-11f0-a282-00155d82e908</v>
      </c>
      <c r="U2892" s="7"/>
      <c r="V2892" s="7"/>
      <c r="W2892" s="7" t="s">
        <v>9760</v>
      </c>
      <c r="X2892" s="7"/>
      <c r="Y2892" s="7" t="s">
        <v>41</v>
      </c>
      <c r="Z2892" s="7"/>
      <c r="AA2892" s="7" t="str">
        <f>HYPERLINK("https://miland.ru/api/getInfo/item/35cd1de1-63b2-11f0-a282-00155d82e908")</f>
        <v>https://miland.ru/api/getInfo/item/35cd1de1-63b2-11f0-a282-00155d82e908</v>
      </c>
      <c r="AB2892" s="7" t="s">
        <v>42</v>
      </c>
      <c r="AC2892" s="7"/>
      <c r="AD2892" s="7"/>
      <c r="AE2892" s="54"/>
    </row>
    <row r="2893" spans="2:31" ht="12" customHeight="1" outlineLevel="5">
      <c r="B2893" s="70" t="s">
        <v>9973</v>
      </c>
      <c r="C2893" s="70"/>
      <c r="D2893" s="70"/>
      <c r="E2893" s="70"/>
      <c r="F2893" s="70"/>
      <c r="G2893" s="70"/>
    </row>
    <row r="2894" spans="2:31" s="1" customFormat="1" ht="96.3" customHeight="1" outlineLevel="6">
      <c r="B2894" s="58">
        <v>2240</v>
      </c>
      <c r="C2894" s="7" t="s">
        <v>9974</v>
      </c>
      <c r="D2894" s="71" t="s">
        <v>9975</v>
      </c>
      <c r="E2894" s="71"/>
      <c r="F2894" s="71"/>
      <c r="G2894" s="71"/>
      <c r="H2894" s="8" t="s">
        <v>9976</v>
      </c>
      <c r="I2894" s="9" t="s">
        <v>36</v>
      </c>
      <c r="J2894" s="8"/>
      <c r="K2894" s="6">
        <v>1</v>
      </c>
      <c r="L2894" s="10">
        <v>732.47</v>
      </c>
      <c r="M2894" s="11"/>
      <c r="N2894" s="8">
        <f>L2894*M2894</f>
        <v>0</v>
      </c>
      <c r="O2894" s="12">
        <f>0.526*M2894</f>
        <v>0</v>
      </c>
      <c r="P2894" s="13">
        <f>0.00241*M2894</f>
        <v>0</v>
      </c>
      <c r="Q2894" s="17" t="s">
        <v>37</v>
      </c>
      <c r="R2894" s="8" t="s">
        <v>9977</v>
      </c>
      <c r="S2894" s="8"/>
      <c r="T2894" s="7" t="str">
        <f>HYPERLINK("https://miland.ru/api/getInfo/image/437376ab-63b5-11f0-a282-00155d82e908")</f>
        <v>https://miland.ru/api/getInfo/image/437376ab-63b5-11f0-a282-00155d82e908</v>
      </c>
      <c r="U2894" s="7"/>
      <c r="V2894" s="7"/>
      <c r="W2894" s="7" t="s">
        <v>9760</v>
      </c>
      <c r="X2894" s="7"/>
      <c r="Y2894" s="7" t="s">
        <v>41</v>
      </c>
      <c r="Z2894" s="7"/>
      <c r="AA2894" s="7" t="str">
        <f>HYPERLINK("https://miland.ru/api/getInfo/item/437376ab-63b5-11f0-a282-00155d82e908")</f>
        <v>https://miland.ru/api/getInfo/item/437376ab-63b5-11f0-a282-00155d82e908</v>
      </c>
      <c r="AB2894" s="7" t="s">
        <v>42</v>
      </c>
      <c r="AC2894" s="7"/>
      <c r="AD2894" s="7"/>
      <c r="AE2894" s="54"/>
    </row>
    <row r="2895" spans="2:31" ht="12" customHeight="1" outlineLevel="4">
      <c r="B2895" s="70" t="s">
        <v>9978</v>
      </c>
      <c r="C2895" s="70"/>
      <c r="D2895" s="70"/>
      <c r="E2895" s="70"/>
      <c r="F2895" s="70"/>
      <c r="G2895" s="70"/>
    </row>
    <row r="2896" spans="2:31" s="1" customFormat="1" ht="96.3" customHeight="1" outlineLevel="5">
      <c r="B2896" s="57">
        <v>2241</v>
      </c>
      <c r="C2896" s="21" t="s">
        <v>9979</v>
      </c>
      <c r="D2896" s="72" t="s">
        <v>9980</v>
      </c>
      <c r="E2896" s="72"/>
      <c r="F2896" s="72"/>
      <c r="G2896" s="72"/>
      <c r="H2896" s="22" t="s">
        <v>9981</v>
      </c>
      <c r="I2896" s="23" t="s">
        <v>36</v>
      </c>
      <c r="J2896" s="22"/>
      <c r="K2896" s="20">
        <v>1</v>
      </c>
      <c r="L2896" s="32">
        <v>2467.77</v>
      </c>
      <c r="M2896" s="11"/>
      <c r="N2896" s="22">
        <f>L2896*M2896</f>
        <v>0</v>
      </c>
      <c r="O2896" s="28">
        <f>1.11*M2896</f>
        <v>0</v>
      </c>
      <c r="P2896" s="26">
        <f>0.00558*M2896</f>
        <v>0</v>
      </c>
      <c r="Q2896" s="30"/>
      <c r="R2896" s="22" t="s">
        <v>9982</v>
      </c>
      <c r="S2896" s="22" t="s">
        <v>435</v>
      </c>
      <c r="T2896" s="21" t="str">
        <f>HYPERLINK("https://miland.ru/api/getInfo/image/3d50eb37-fb0b-11ed-a239-00155d82e902")</f>
        <v>https://miland.ru/api/getInfo/image/3d50eb37-fb0b-11ed-a239-00155d82e902</v>
      </c>
      <c r="U2896" s="21"/>
      <c r="V2896" s="21"/>
      <c r="W2896" s="21" t="s">
        <v>9760</v>
      </c>
      <c r="X2896" s="21"/>
      <c r="Y2896" s="21" t="s">
        <v>41</v>
      </c>
      <c r="Z2896" s="21"/>
      <c r="AA2896" s="21" t="str">
        <f>HYPERLINK("https://miland.ru/api/getInfo/item/3d50eb37-fb0b-11ed-a239-00155d82e902")</f>
        <v>https://miland.ru/api/getInfo/item/3d50eb37-fb0b-11ed-a239-00155d82e902</v>
      </c>
      <c r="AB2896" s="21" t="s">
        <v>42</v>
      </c>
      <c r="AC2896" s="21" t="s">
        <v>9983</v>
      </c>
      <c r="AD2896" s="21"/>
    </row>
    <row r="2897" spans="2:30" s="1" customFormat="1" ht="96.3" customHeight="1" outlineLevel="5">
      <c r="B2897" s="57">
        <v>2242</v>
      </c>
      <c r="C2897" s="21" t="s">
        <v>9984</v>
      </c>
      <c r="D2897" s="72" t="s">
        <v>9985</v>
      </c>
      <c r="E2897" s="72"/>
      <c r="F2897" s="72"/>
      <c r="G2897" s="72"/>
      <c r="H2897" s="22" t="s">
        <v>9986</v>
      </c>
      <c r="I2897" s="27">
        <v>9</v>
      </c>
      <c r="J2897" s="22"/>
      <c r="K2897" s="20">
        <v>1</v>
      </c>
      <c r="L2897" s="32">
        <v>1631.73</v>
      </c>
      <c r="M2897" s="11"/>
      <c r="N2897" s="22">
        <f>L2897*M2897</f>
        <v>0</v>
      </c>
      <c r="O2897" s="25">
        <f>0.669*M2897</f>
        <v>0</v>
      </c>
      <c r="P2897" s="26">
        <f>0.00357*M2897</f>
        <v>0</v>
      </c>
      <c r="Q2897" s="30"/>
      <c r="R2897" s="22" t="s">
        <v>9987</v>
      </c>
      <c r="S2897" s="22" t="s">
        <v>435</v>
      </c>
      <c r="T2897" s="21" t="str">
        <f>HYPERLINK("https://miland.ru/api/getInfo/image/9770d4c2-fb0b-11ed-a239-00155d82e902")</f>
        <v>https://miland.ru/api/getInfo/image/9770d4c2-fb0b-11ed-a239-00155d82e902</v>
      </c>
      <c r="U2897" s="21"/>
      <c r="V2897" s="21"/>
      <c r="W2897" s="21" t="s">
        <v>9760</v>
      </c>
      <c r="X2897" s="21"/>
      <c r="Y2897" s="21" t="s">
        <v>41</v>
      </c>
      <c r="Z2897" s="21"/>
      <c r="AA2897" s="21" t="str">
        <f>HYPERLINK("https://miland.ru/api/getInfo/item/9770d4c2-fb0b-11ed-a239-00155d82e902")</f>
        <v>https://miland.ru/api/getInfo/item/9770d4c2-fb0b-11ed-a239-00155d82e902</v>
      </c>
      <c r="AB2897" s="21" t="s">
        <v>42</v>
      </c>
      <c r="AC2897" s="21" t="s">
        <v>9988</v>
      </c>
      <c r="AD2897" s="21"/>
    </row>
    <row r="2898" spans="2:30" s="1" customFormat="1" ht="96.3" customHeight="1" outlineLevel="5">
      <c r="B2898" s="57">
        <v>2243</v>
      </c>
      <c r="C2898" s="21" t="s">
        <v>9989</v>
      </c>
      <c r="D2898" s="72" t="s">
        <v>9990</v>
      </c>
      <c r="E2898" s="72"/>
      <c r="F2898" s="72"/>
      <c r="G2898" s="72"/>
      <c r="H2898" s="22" t="s">
        <v>9991</v>
      </c>
      <c r="I2898" s="27">
        <v>266</v>
      </c>
      <c r="J2898" s="22"/>
      <c r="K2898" s="20">
        <v>1</v>
      </c>
      <c r="L2898" s="32">
        <v>1728.03</v>
      </c>
      <c r="M2898" s="11"/>
      <c r="N2898" s="22">
        <f>L2898*M2898</f>
        <v>0</v>
      </c>
      <c r="O2898" s="25">
        <f>0.778*M2898</f>
        <v>0</v>
      </c>
      <c r="P2898" s="26">
        <f>0.00383*M2898</f>
        <v>0</v>
      </c>
      <c r="Q2898" s="30"/>
      <c r="R2898" s="22" t="s">
        <v>9992</v>
      </c>
      <c r="S2898" s="22" t="s">
        <v>435</v>
      </c>
      <c r="T2898" s="21" t="str">
        <f>HYPERLINK("https://miland.ru/api/getInfo/image/d97e2edd-b8f2-11ee-a25a-00155d82e908")</f>
        <v>https://miland.ru/api/getInfo/image/d97e2edd-b8f2-11ee-a25a-00155d82e908</v>
      </c>
      <c r="U2898" s="21"/>
      <c r="V2898" s="21"/>
      <c r="W2898" s="21" t="s">
        <v>9760</v>
      </c>
      <c r="X2898" s="21"/>
      <c r="Y2898" s="21" t="s">
        <v>41</v>
      </c>
      <c r="Z2898" s="21"/>
      <c r="AA2898" s="21" t="str">
        <f>HYPERLINK("https://miland.ru/api/getInfo/item/d97e2edd-b8f2-11ee-a25a-00155d82e908")</f>
        <v>https://miland.ru/api/getInfo/item/d97e2edd-b8f2-11ee-a25a-00155d82e908</v>
      </c>
      <c r="AB2898" s="21" t="s">
        <v>42</v>
      </c>
      <c r="AC2898" s="21" t="s">
        <v>9993</v>
      </c>
      <c r="AD2898" s="21"/>
    </row>
    <row r="2899" spans="2:30" ht="12" customHeight="1" outlineLevel="4">
      <c r="B2899" s="70" t="s">
        <v>9994</v>
      </c>
      <c r="C2899" s="70"/>
      <c r="D2899" s="70"/>
      <c r="E2899" s="70"/>
      <c r="F2899" s="70"/>
      <c r="G2899" s="70"/>
    </row>
    <row r="2900" spans="2:30" s="1" customFormat="1" ht="96.3" customHeight="1" outlineLevel="5">
      <c r="B2900" s="57">
        <v>2244</v>
      </c>
      <c r="C2900" s="21" t="s">
        <v>9995</v>
      </c>
      <c r="D2900" s="72" t="s">
        <v>9996</v>
      </c>
      <c r="E2900" s="72"/>
      <c r="F2900" s="72"/>
      <c r="G2900" s="72"/>
      <c r="H2900" s="22" t="s">
        <v>9997</v>
      </c>
      <c r="I2900" s="27">
        <v>40</v>
      </c>
      <c r="J2900" s="22"/>
      <c r="K2900" s="20">
        <v>1</v>
      </c>
      <c r="L2900" s="32">
        <v>1007.53</v>
      </c>
      <c r="M2900" s="11"/>
      <c r="N2900" s="22">
        <f>L2900*M2900</f>
        <v>0</v>
      </c>
      <c r="O2900" s="25">
        <f>0.513*M2900</f>
        <v>0</v>
      </c>
      <c r="P2900" s="26">
        <f>0.00292*M2900</f>
        <v>0</v>
      </c>
      <c r="Q2900" s="30"/>
      <c r="R2900" s="22" t="s">
        <v>9998</v>
      </c>
      <c r="S2900" s="22" t="s">
        <v>435</v>
      </c>
      <c r="T2900" s="21" t="str">
        <f>HYPERLINK("https://miland.ru/api/getInfo/image/c868c56b-e2b0-11ed-a233-00155d82e902")</f>
        <v>https://miland.ru/api/getInfo/image/c868c56b-e2b0-11ed-a233-00155d82e902</v>
      </c>
      <c r="U2900" s="21"/>
      <c r="V2900" s="21"/>
      <c r="W2900" s="21" t="s">
        <v>9760</v>
      </c>
      <c r="X2900" s="21"/>
      <c r="Y2900" s="21" t="s">
        <v>41</v>
      </c>
      <c r="Z2900" s="21"/>
      <c r="AA2900" s="21" t="str">
        <f>HYPERLINK("https://miland.ru/api/getInfo/item/c868c56b-e2b0-11ed-a233-00155d82e902")</f>
        <v>https://miland.ru/api/getInfo/item/c868c56b-e2b0-11ed-a233-00155d82e902</v>
      </c>
      <c r="AB2900" s="21" t="s">
        <v>42</v>
      </c>
      <c r="AC2900" s="21"/>
      <c r="AD2900" s="21"/>
    </row>
    <row r="2901" spans="2:30" s="1" customFormat="1" ht="96.3" customHeight="1" outlineLevel="5">
      <c r="B2901" s="57">
        <v>2245</v>
      </c>
      <c r="C2901" s="21" t="s">
        <v>9999</v>
      </c>
      <c r="D2901" s="72" t="s">
        <v>10000</v>
      </c>
      <c r="E2901" s="72"/>
      <c r="F2901" s="72"/>
      <c r="G2901" s="72"/>
      <c r="H2901" s="22" t="s">
        <v>10001</v>
      </c>
      <c r="I2901" s="27">
        <v>205</v>
      </c>
      <c r="J2901" s="22"/>
      <c r="K2901" s="20">
        <v>1</v>
      </c>
      <c r="L2901" s="24">
        <v>739.95</v>
      </c>
      <c r="M2901" s="11"/>
      <c r="N2901" s="22">
        <f>L2901*M2901</f>
        <v>0</v>
      </c>
      <c r="O2901" s="25">
        <f>0.405*M2901</f>
        <v>0</v>
      </c>
      <c r="P2901" s="26">
        <f>0.00211*M2901</f>
        <v>0</v>
      </c>
      <c r="Q2901" s="30"/>
      <c r="R2901" s="22" t="s">
        <v>10002</v>
      </c>
      <c r="S2901" s="22" t="s">
        <v>435</v>
      </c>
      <c r="T2901" s="21" t="str">
        <f>HYPERLINK("https://miland.ru/api/getInfo/image/ecfc412e-e2ab-11ed-a233-00155d82e902")</f>
        <v>https://miland.ru/api/getInfo/image/ecfc412e-e2ab-11ed-a233-00155d82e902</v>
      </c>
      <c r="U2901" s="21"/>
      <c r="V2901" s="21"/>
      <c r="W2901" s="21" t="s">
        <v>9760</v>
      </c>
      <c r="X2901" s="21"/>
      <c r="Y2901" s="21" t="s">
        <v>41</v>
      </c>
      <c r="Z2901" s="21"/>
      <c r="AA2901" s="21" t="str">
        <f>HYPERLINK("https://miland.ru/api/getInfo/item/ecfc412e-e2ab-11ed-a233-00155d82e902")</f>
        <v>https://miland.ru/api/getInfo/item/ecfc412e-e2ab-11ed-a233-00155d82e902</v>
      </c>
      <c r="AB2901" s="21" t="s">
        <v>42</v>
      </c>
      <c r="AC2901" s="21"/>
      <c r="AD2901" s="21"/>
    </row>
    <row r="2902" spans="2:30" ht="12" customHeight="1" outlineLevel="3">
      <c r="B2902" s="70" t="s">
        <v>10003</v>
      </c>
      <c r="C2902" s="70"/>
      <c r="D2902" s="70"/>
      <c r="E2902" s="70"/>
      <c r="F2902" s="70"/>
      <c r="G2902" s="70"/>
    </row>
    <row r="2903" spans="2:30" s="1" customFormat="1" ht="96.3" customHeight="1" outlineLevel="4">
      <c r="B2903" s="57">
        <v>2246</v>
      </c>
      <c r="C2903" s="21" t="s">
        <v>10004</v>
      </c>
      <c r="D2903" s="72" t="s">
        <v>10005</v>
      </c>
      <c r="E2903" s="72"/>
      <c r="F2903" s="72"/>
      <c r="G2903" s="72"/>
      <c r="H2903" s="22" t="s">
        <v>10006</v>
      </c>
      <c r="I2903" s="27">
        <v>34</v>
      </c>
      <c r="J2903" s="22"/>
      <c r="K2903" s="20">
        <v>1</v>
      </c>
      <c r="L2903" s="24">
        <v>646.65</v>
      </c>
      <c r="M2903" s="11"/>
      <c r="N2903" s="22">
        <f t="shared" ref="N2903:N2915" si="140">L2903*M2903</f>
        <v>0</v>
      </c>
      <c r="O2903" s="28">
        <f>0.34*M2903</f>
        <v>0</v>
      </c>
      <c r="P2903" s="26">
        <f>0.00224*M2903</f>
        <v>0</v>
      </c>
      <c r="Q2903" s="30"/>
      <c r="R2903" s="22" t="s">
        <v>10007</v>
      </c>
      <c r="S2903" s="22" t="s">
        <v>435</v>
      </c>
      <c r="T2903" s="21" t="str">
        <f>HYPERLINK("https://miland.ru/api/getInfo/image/a6049290-197f-11ee-a23b-00155d82e902")</f>
        <v>https://miland.ru/api/getInfo/image/a6049290-197f-11ee-a23b-00155d82e902</v>
      </c>
      <c r="U2903" s="21"/>
      <c r="V2903" s="21"/>
      <c r="W2903" s="21" t="s">
        <v>10008</v>
      </c>
      <c r="X2903" s="21"/>
      <c r="Y2903" s="21" t="s">
        <v>41</v>
      </c>
      <c r="Z2903" s="21"/>
      <c r="AA2903" s="21" t="str">
        <f>HYPERLINK("https://miland.ru/api/getInfo/item/a6049290-197f-11ee-a23b-00155d82e902")</f>
        <v>https://miland.ru/api/getInfo/item/a6049290-197f-11ee-a23b-00155d82e902</v>
      </c>
      <c r="AB2903" s="21" t="s">
        <v>42</v>
      </c>
      <c r="AC2903" s="21" t="s">
        <v>10009</v>
      </c>
      <c r="AD2903" s="21"/>
    </row>
    <row r="2904" spans="2:30" s="1" customFormat="1" ht="96.3" customHeight="1" outlineLevel="4">
      <c r="B2904" s="57">
        <v>2247</v>
      </c>
      <c r="C2904" s="21" t="s">
        <v>10010</v>
      </c>
      <c r="D2904" s="72" t="s">
        <v>10011</v>
      </c>
      <c r="E2904" s="72"/>
      <c r="F2904" s="72"/>
      <c r="G2904" s="72"/>
      <c r="H2904" s="22" t="s">
        <v>10012</v>
      </c>
      <c r="I2904" s="27">
        <v>73</v>
      </c>
      <c r="J2904" s="22"/>
      <c r="K2904" s="20">
        <v>1</v>
      </c>
      <c r="L2904" s="32">
        <v>1326.16</v>
      </c>
      <c r="M2904" s="11"/>
      <c r="N2904" s="22">
        <f t="shared" si="140"/>
        <v>0</v>
      </c>
      <c r="O2904" s="25">
        <f>0.514*M2904</f>
        <v>0</v>
      </c>
      <c r="P2904" s="29">
        <f>0.0048*M2904</f>
        <v>0</v>
      </c>
      <c r="Q2904" s="30"/>
      <c r="R2904" s="22" t="s">
        <v>10013</v>
      </c>
      <c r="S2904" s="22" t="s">
        <v>435</v>
      </c>
      <c r="T2904" s="21" t="str">
        <f>HYPERLINK("https://miland.ru/api/getInfo/image/7c53c3d8-197e-11ee-a23b-00155d82e902")</f>
        <v>https://miland.ru/api/getInfo/image/7c53c3d8-197e-11ee-a23b-00155d82e902</v>
      </c>
      <c r="U2904" s="21"/>
      <c r="V2904" s="21"/>
      <c r="W2904" s="21" t="s">
        <v>10014</v>
      </c>
      <c r="X2904" s="21"/>
      <c r="Y2904" s="21" t="s">
        <v>41</v>
      </c>
      <c r="Z2904" s="21"/>
      <c r="AA2904" s="21" t="str">
        <f>HYPERLINK("https://miland.ru/api/getInfo/item/7c53c3d8-197e-11ee-a23b-00155d82e902")</f>
        <v>https://miland.ru/api/getInfo/item/7c53c3d8-197e-11ee-a23b-00155d82e902</v>
      </c>
      <c r="AB2904" s="21" t="s">
        <v>42</v>
      </c>
      <c r="AC2904" s="21" t="s">
        <v>10015</v>
      </c>
      <c r="AD2904" s="21"/>
    </row>
    <row r="2905" spans="2:30" s="1" customFormat="1" ht="96.3" customHeight="1" outlineLevel="4">
      <c r="B2905" s="57">
        <v>2248</v>
      </c>
      <c r="C2905" s="21" t="s">
        <v>10016</v>
      </c>
      <c r="D2905" s="72" t="s">
        <v>10017</v>
      </c>
      <c r="E2905" s="72"/>
      <c r="F2905" s="72"/>
      <c r="G2905" s="72"/>
      <c r="H2905" s="22" t="s">
        <v>10018</v>
      </c>
      <c r="I2905" s="27">
        <v>100</v>
      </c>
      <c r="J2905" s="22"/>
      <c r="K2905" s="20">
        <v>1</v>
      </c>
      <c r="L2905" s="32">
        <v>1326.16</v>
      </c>
      <c r="M2905" s="11"/>
      <c r="N2905" s="22">
        <f t="shared" si="140"/>
        <v>0</v>
      </c>
      <c r="O2905" s="25">
        <f>0.508*M2905</f>
        <v>0</v>
      </c>
      <c r="P2905" s="26">
        <f>0.00465*M2905</f>
        <v>0</v>
      </c>
      <c r="Q2905" s="30"/>
      <c r="R2905" s="22" t="s">
        <v>10019</v>
      </c>
      <c r="S2905" s="22" t="s">
        <v>435</v>
      </c>
      <c r="T2905" s="21" t="str">
        <f>HYPERLINK("https://miland.ru/api/getInfo/image/cb825deb-197e-11ee-a23b-00155d82e902")</f>
        <v>https://miland.ru/api/getInfo/image/cb825deb-197e-11ee-a23b-00155d82e902</v>
      </c>
      <c r="U2905" s="21"/>
      <c r="V2905" s="21"/>
      <c r="W2905" s="21" t="s">
        <v>10014</v>
      </c>
      <c r="X2905" s="21"/>
      <c r="Y2905" s="21" t="s">
        <v>41</v>
      </c>
      <c r="Z2905" s="21"/>
      <c r="AA2905" s="21" t="str">
        <f>HYPERLINK("https://miland.ru/api/getInfo/item/cb825deb-197e-11ee-a23b-00155d82e902")</f>
        <v>https://miland.ru/api/getInfo/item/cb825deb-197e-11ee-a23b-00155d82e902</v>
      </c>
      <c r="AB2905" s="21" t="s">
        <v>42</v>
      </c>
      <c r="AC2905" s="21" t="s">
        <v>10015</v>
      </c>
      <c r="AD2905" s="21"/>
    </row>
    <row r="2906" spans="2:30" s="1" customFormat="1" ht="96.3" customHeight="1" outlineLevel="4">
      <c r="B2906" s="57">
        <v>2249</v>
      </c>
      <c r="C2906" s="21" t="s">
        <v>10020</v>
      </c>
      <c r="D2906" s="72" t="s">
        <v>10021</v>
      </c>
      <c r="E2906" s="72"/>
      <c r="F2906" s="72"/>
      <c r="G2906" s="72"/>
      <c r="H2906" s="22" t="s">
        <v>10022</v>
      </c>
      <c r="I2906" s="27">
        <v>5</v>
      </c>
      <c r="J2906" s="22"/>
      <c r="K2906" s="20">
        <v>2</v>
      </c>
      <c r="L2906" s="24">
        <v>377.22</v>
      </c>
      <c r="M2906" s="11"/>
      <c r="N2906" s="22">
        <f t="shared" si="140"/>
        <v>0</v>
      </c>
      <c r="O2906" s="25">
        <f>0.176*M2906</f>
        <v>0</v>
      </c>
      <c r="P2906" s="26">
        <f>0.00234*M2906</f>
        <v>0</v>
      </c>
      <c r="Q2906" s="30"/>
      <c r="R2906" s="22" t="s">
        <v>10023</v>
      </c>
      <c r="S2906" s="22" t="s">
        <v>435</v>
      </c>
      <c r="T2906" s="21" t="str">
        <f>HYPERLINK("https://miland.ru/api/getInfo/image/60862213-1025-11ee-a23b-00155d82e902")</f>
        <v>https://miland.ru/api/getInfo/image/60862213-1025-11ee-a23b-00155d82e902</v>
      </c>
      <c r="U2906" s="21"/>
      <c r="V2906" s="21"/>
      <c r="W2906" s="21" t="s">
        <v>10008</v>
      </c>
      <c r="X2906" s="21"/>
      <c r="Y2906" s="21" t="s">
        <v>41</v>
      </c>
      <c r="Z2906" s="21"/>
      <c r="AA2906" s="21" t="str">
        <f>HYPERLINK("https://miland.ru/api/getInfo/item/60862213-1025-11ee-a23b-00155d82e902")</f>
        <v>https://miland.ru/api/getInfo/item/60862213-1025-11ee-a23b-00155d82e902</v>
      </c>
      <c r="AB2906" s="21" t="s">
        <v>42</v>
      </c>
      <c r="AC2906" s="21" t="s">
        <v>10024</v>
      </c>
      <c r="AD2906" s="21"/>
    </row>
    <row r="2907" spans="2:30" s="1" customFormat="1" ht="96.3" customHeight="1" outlineLevel="4">
      <c r="B2907" s="57">
        <v>2250</v>
      </c>
      <c r="C2907" s="21" t="s">
        <v>10025</v>
      </c>
      <c r="D2907" s="72" t="s">
        <v>10026</v>
      </c>
      <c r="E2907" s="72"/>
      <c r="F2907" s="72"/>
      <c r="G2907" s="72"/>
      <c r="H2907" s="22" t="s">
        <v>10027</v>
      </c>
      <c r="I2907" s="27">
        <v>36</v>
      </c>
      <c r="J2907" s="22"/>
      <c r="K2907" s="20">
        <v>1</v>
      </c>
      <c r="L2907" s="24">
        <v>957.71</v>
      </c>
      <c r="M2907" s="11"/>
      <c r="N2907" s="22">
        <f t="shared" si="140"/>
        <v>0</v>
      </c>
      <c r="O2907" s="25">
        <f>0.243*M2907</f>
        <v>0</v>
      </c>
      <c r="P2907" s="26">
        <f>0.00178*M2907</f>
        <v>0</v>
      </c>
      <c r="Q2907" s="30"/>
      <c r="R2907" s="22" t="s">
        <v>10028</v>
      </c>
      <c r="S2907" s="22" t="s">
        <v>435</v>
      </c>
      <c r="T2907" s="21" t="str">
        <f>HYPERLINK("https://miland.ru/api/getInfo/image/8faec82b-805c-11ed-a22a-00155d82e902")</f>
        <v>https://miland.ru/api/getInfo/image/8faec82b-805c-11ed-a22a-00155d82e902</v>
      </c>
      <c r="U2907" s="21"/>
      <c r="V2907" s="21"/>
      <c r="W2907" s="21" t="s">
        <v>10029</v>
      </c>
      <c r="X2907" s="21"/>
      <c r="Y2907" s="21" t="s">
        <v>41</v>
      </c>
      <c r="Z2907" s="21"/>
      <c r="AA2907" s="21" t="str">
        <f>HYPERLINK("https://miland.ru/api/getInfo/item/8faec82b-805c-11ed-a22a-00155d82e902")</f>
        <v>https://miland.ru/api/getInfo/item/8faec82b-805c-11ed-a22a-00155d82e902</v>
      </c>
      <c r="AB2907" s="21" t="s">
        <v>42</v>
      </c>
      <c r="AC2907" s="21" t="s">
        <v>10030</v>
      </c>
      <c r="AD2907" s="21"/>
    </row>
    <row r="2908" spans="2:30" s="1" customFormat="1" ht="96.3" customHeight="1" outlineLevel="4">
      <c r="B2908" s="57">
        <v>2251</v>
      </c>
      <c r="C2908" s="21" t="s">
        <v>10031</v>
      </c>
      <c r="D2908" s="72" t="s">
        <v>10032</v>
      </c>
      <c r="E2908" s="72"/>
      <c r="F2908" s="72"/>
      <c r="G2908" s="72"/>
      <c r="H2908" s="22" t="s">
        <v>10033</v>
      </c>
      <c r="I2908" s="27">
        <v>7</v>
      </c>
      <c r="J2908" s="22"/>
      <c r="K2908" s="20">
        <v>1</v>
      </c>
      <c r="L2908" s="24">
        <v>819.1</v>
      </c>
      <c r="M2908" s="11"/>
      <c r="N2908" s="22">
        <f t="shared" si="140"/>
        <v>0</v>
      </c>
      <c r="O2908" s="25">
        <f>0.434*M2908</f>
        <v>0</v>
      </c>
      <c r="P2908" s="26">
        <f>0.00357*M2908</f>
        <v>0</v>
      </c>
      <c r="Q2908" s="30"/>
      <c r="R2908" s="22" t="s">
        <v>10034</v>
      </c>
      <c r="S2908" s="22" t="s">
        <v>435</v>
      </c>
      <c r="T2908" s="21" t="str">
        <f>HYPERLINK("https://miland.ru/api/getInfo/image/0fec736f-0b7c-11ee-a23b-00155d82e902")</f>
        <v>https://miland.ru/api/getInfo/image/0fec736f-0b7c-11ee-a23b-00155d82e902</v>
      </c>
      <c r="U2908" s="21"/>
      <c r="V2908" s="21"/>
      <c r="W2908" s="21" t="s">
        <v>10008</v>
      </c>
      <c r="X2908" s="21"/>
      <c r="Y2908" s="21" t="s">
        <v>41</v>
      </c>
      <c r="Z2908" s="21"/>
      <c r="AA2908" s="21" t="str">
        <f>HYPERLINK("https://miland.ru/api/getInfo/item/0fec736f-0b7c-11ee-a23b-00155d82e902")</f>
        <v>https://miland.ru/api/getInfo/item/0fec736f-0b7c-11ee-a23b-00155d82e902</v>
      </c>
      <c r="AB2908" s="21" t="s">
        <v>42</v>
      </c>
      <c r="AC2908" s="21" t="s">
        <v>10035</v>
      </c>
      <c r="AD2908" s="21"/>
    </row>
    <row r="2909" spans="2:30" s="1" customFormat="1" ht="96.3" customHeight="1" outlineLevel="4">
      <c r="B2909" s="57">
        <v>2252</v>
      </c>
      <c r="C2909" s="21" t="s">
        <v>10036</v>
      </c>
      <c r="D2909" s="72" t="s">
        <v>10037</v>
      </c>
      <c r="E2909" s="72"/>
      <c r="F2909" s="72"/>
      <c r="G2909" s="72"/>
      <c r="H2909" s="22" t="s">
        <v>10038</v>
      </c>
      <c r="I2909" s="27">
        <v>18</v>
      </c>
      <c r="J2909" s="22"/>
      <c r="K2909" s="20">
        <v>3</v>
      </c>
      <c r="L2909" s="24">
        <v>195.75</v>
      </c>
      <c r="M2909" s="11"/>
      <c r="N2909" s="22">
        <f t="shared" si="140"/>
        <v>0</v>
      </c>
      <c r="O2909" s="25">
        <f>0.093*M2909</f>
        <v>0</v>
      </c>
      <c r="P2909" s="26">
        <f>0.00191*M2909</f>
        <v>0</v>
      </c>
      <c r="Q2909" s="30"/>
      <c r="R2909" s="22" t="s">
        <v>10039</v>
      </c>
      <c r="S2909" s="22"/>
      <c r="T2909" s="21" t="str">
        <f>HYPERLINK("https://miland.ru/api/getInfo/image/0690903f-102a-11ee-a23b-00155d82e902")</f>
        <v>https://miland.ru/api/getInfo/image/0690903f-102a-11ee-a23b-00155d82e902</v>
      </c>
      <c r="U2909" s="21"/>
      <c r="V2909" s="21"/>
      <c r="W2909" s="21" t="s">
        <v>10008</v>
      </c>
      <c r="X2909" s="21"/>
      <c r="Y2909" s="21" t="s">
        <v>41</v>
      </c>
      <c r="Z2909" s="21"/>
      <c r="AA2909" s="21" t="str">
        <f>HYPERLINK("https://miland.ru/api/getInfo/item/0690903f-102a-11ee-a23b-00155d82e902")</f>
        <v>https://miland.ru/api/getInfo/item/0690903f-102a-11ee-a23b-00155d82e902</v>
      </c>
      <c r="AB2909" s="21" t="s">
        <v>42</v>
      </c>
      <c r="AC2909" s="21" t="s">
        <v>10040</v>
      </c>
      <c r="AD2909" s="21"/>
    </row>
    <row r="2910" spans="2:30" s="1" customFormat="1" ht="96.3" customHeight="1" outlineLevel="4">
      <c r="B2910" s="57">
        <v>2253</v>
      </c>
      <c r="C2910" s="21" t="s">
        <v>10041</v>
      </c>
      <c r="D2910" s="72" t="s">
        <v>10042</v>
      </c>
      <c r="E2910" s="72"/>
      <c r="F2910" s="72"/>
      <c r="G2910" s="72"/>
      <c r="H2910" s="22" t="s">
        <v>10043</v>
      </c>
      <c r="I2910" s="27">
        <v>11</v>
      </c>
      <c r="J2910" s="22"/>
      <c r="K2910" s="20">
        <v>1</v>
      </c>
      <c r="L2910" s="24">
        <v>778.99</v>
      </c>
      <c r="M2910" s="11"/>
      <c r="N2910" s="22">
        <f t="shared" si="140"/>
        <v>0</v>
      </c>
      <c r="O2910" s="25">
        <f>0.443*M2910</f>
        <v>0</v>
      </c>
      <c r="P2910" s="26">
        <f>0.00227*M2910</f>
        <v>0</v>
      </c>
      <c r="Q2910" s="30"/>
      <c r="R2910" s="22" t="s">
        <v>10044</v>
      </c>
      <c r="S2910" s="22" t="s">
        <v>435</v>
      </c>
      <c r="T2910" s="21" t="str">
        <f>HYPERLINK("https://miland.ru/api/getInfo/image/c5068171-8036-11ed-a22a-00155d82e902")</f>
        <v>https://miland.ru/api/getInfo/image/c5068171-8036-11ed-a22a-00155d82e902</v>
      </c>
      <c r="U2910" s="21"/>
      <c r="V2910" s="21"/>
      <c r="W2910" s="21" t="s">
        <v>8836</v>
      </c>
      <c r="X2910" s="21"/>
      <c r="Y2910" s="21" t="s">
        <v>41</v>
      </c>
      <c r="Z2910" s="21"/>
      <c r="AA2910" s="21" t="str">
        <f>HYPERLINK("https://miland.ru/api/getInfo/item/c5068171-8036-11ed-a22a-00155d82e902")</f>
        <v>https://miland.ru/api/getInfo/item/c5068171-8036-11ed-a22a-00155d82e902</v>
      </c>
      <c r="AB2910" s="21" t="s">
        <v>42</v>
      </c>
      <c r="AC2910" s="21" t="s">
        <v>10045</v>
      </c>
      <c r="AD2910" s="21"/>
    </row>
    <row r="2911" spans="2:30" s="1" customFormat="1" ht="96.3" customHeight="1" outlineLevel="4">
      <c r="B2911" s="57">
        <v>2254</v>
      </c>
      <c r="C2911" s="21" t="s">
        <v>10046</v>
      </c>
      <c r="D2911" s="72" t="s">
        <v>10047</v>
      </c>
      <c r="E2911" s="72"/>
      <c r="F2911" s="72"/>
      <c r="G2911" s="72"/>
      <c r="H2911" s="22" t="s">
        <v>10048</v>
      </c>
      <c r="I2911" s="27">
        <v>72</v>
      </c>
      <c r="J2911" s="22"/>
      <c r="K2911" s="20">
        <v>1</v>
      </c>
      <c r="L2911" s="24">
        <v>948.55</v>
      </c>
      <c r="M2911" s="11"/>
      <c r="N2911" s="22">
        <f t="shared" si="140"/>
        <v>0</v>
      </c>
      <c r="O2911" s="25">
        <f>0.434*M2911</f>
        <v>0</v>
      </c>
      <c r="P2911" s="26">
        <f>0.00223*M2911</f>
        <v>0</v>
      </c>
      <c r="Q2911" s="30"/>
      <c r="R2911" s="22" t="s">
        <v>10049</v>
      </c>
      <c r="S2911" s="22" t="s">
        <v>435</v>
      </c>
      <c r="T2911" s="21" t="str">
        <f>HYPERLINK("https://miland.ru/api/getInfo/image/b757546c-8058-11ed-a22a-00155d82e902")</f>
        <v>https://miland.ru/api/getInfo/image/b757546c-8058-11ed-a22a-00155d82e902</v>
      </c>
      <c r="U2911" s="21"/>
      <c r="V2911" s="21"/>
      <c r="W2911" s="21" t="s">
        <v>10029</v>
      </c>
      <c r="X2911" s="21"/>
      <c r="Y2911" s="21" t="s">
        <v>41</v>
      </c>
      <c r="Z2911" s="21"/>
      <c r="AA2911" s="21" t="str">
        <f>HYPERLINK("https://miland.ru/api/getInfo/item/b757546c-8058-11ed-a22a-00155d82e902")</f>
        <v>https://miland.ru/api/getInfo/item/b757546c-8058-11ed-a22a-00155d82e902</v>
      </c>
      <c r="AB2911" s="21" t="s">
        <v>42</v>
      </c>
      <c r="AC2911" s="21" t="s">
        <v>10050</v>
      </c>
      <c r="AD2911" s="21"/>
    </row>
    <row r="2912" spans="2:30" s="1" customFormat="1" ht="96.3" customHeight="1" outlineLevel="4">
      <c r="B2912" s="57">
        <v>2255</v>
      </c>
      <c r="C2912" s="21" t="s">
        <v>10051</v>
      </c>
      <c r="D2912" s="72" t="s">
        <v>10052</v>
      </c>
      <c r="E2912" s="72"/>
      <c r="F2912" s="72"/>
      <c r="G2912" s="72"/>
      <c r="H2912" s="22" t="s">
        <v>10053</v>
      </c>
      <c r="I2912" s="27">
        <v>33</v>
      </c>
      <c r="J2912" s="22"/>
      <c r="K2912" s="20">
        <v>1</v>
      </c>
      <c r="L2912" s="24">
        <v>824.83</v>
      </c>
      <c r="M2912" s="11"/>
      <c r="N2912" s="22">
        <f t="shared" si="140"/>
        <v>0</v>
      </c>
      <c r="O2912" s="25">
        <f>0.309*M2912</f>
        <v>0</v>
      </c>
      <c r="P2912" s="26">
        <f>0.00239*M2912</f>
        <v>0</v>
      </c>
      <c r="Q2912" s="30"/>
      <c r="R2912" s="22" t="s">
        <v>10054</v>
      </c>
      <c r="S2912" s="22" t="s">
        <v>435</v>
      </c>
      <c r="T2912" s="21" t="str">
        <f>HYPERLINK("https://miland.ru/api/getInfo/image/512caa27-8058-11ed-a22a-00155d82e902")</f>
        <v>https://miland.ru/api/getInfo/image/512caa27-8058-11ed-a22a-00155d82e902</v>
      </c>
      <c r="U2912" s="21"/>
      <c r="V2912" s="21"/>
      <c r="W2912" s="21" t="s">
        <v>10029</v>
      </c>
      <c r="X2912" s="21"/>
      <c r="Y2912" s="21" t="s">
        <v>41</v>
      </c>
      <c r="Z2912" s="21"/>
      <c r="AA2912" s="21" t="str">
        <f>HYPERLINK("https://miland.ru/api/getInfo/item/512caa27-8058-11ed-a22a-00155d82e902")</f>
        <v>https://miland.ru/api/getInfo/item/512caa27-8058-11ed-a22a-00155d82e902</v>
      </c>
      <c r="AB2912" s="21" t="s">
        <v>42</v>
      </c>
      <c r="AC2912" s="21" t="s">
        <v>10055</v>
      </c>
      <c r="AD2912" s="21"/>
    </row>
    <row r="2913" spans="2:31" s="1" customFormat="1" ht="96.3" customHeight="1" outlineLevel="4">
      <c r="B2913" s="57">
        <v>2256</v>
      </c>
      <c r="C2913" s="21" t="s">
        <v>10056</v>
      </c>
      <c r="D2913" s="72" t="s">
        <v>10057</v>
      </c>
      <c r="E2913" s="72"/>
      <c r="F2913" s="72"/>
      <c r="G2913" s="72"/>
      <c r="H2913" s="22" t="s">
        <v>10058</v>
      </c>
      <c r="I2913" s="27">
        <v>23</v>
      </c>
      <c r="J2913" s="22"/>
      <c r="K2913" s="20">
        <v>1</v>
      </c>
      <c r="L2913" s="24">
        <v>856.89</v>
      </c>
      <c r="M2913" s="11"/>
      <c r="N2913" s="22">
        <f t="shared" si="140"/>
        <v>0</v>
      </c>
      <c r="O2913" s="25">
        <f>0.341*M2913</f>
        <v>0</v>
      </c>
      <c r="P2913" s="26">
        <f>0.00181*M2913</f>
        <v>0</v>
      </c>
      <c r="Q2913" s="30"/>
      <c r="R2913" s="22" t="s">
        <v>10059</v>
      </c>
      <c r="S2913" s="22" t="s">
        <v>435</v>
      </c>
      <c r="T2913" s="21" t="str">
        <f>HYPERLINK("https://miland.ru/api/getInfo/image/fe6ab2e0-8046-11ed-a22a-00155d82e902")</f>
        <v>https://miland.ru/api/getInfo/image/fe6ab2e0-8046-11ed-a22a-00155d82e902</v>
      </c>
      <c r="U2913" s="21"/>
      <c r="V2913" s="21"/>
      <c r="W2913" s="21" t="s">
        <v>10029</v>
      </c>
      <c r="X2913" s="21"/>
      <c r="Y2913" s="21" t="s">
        <v>41</v>
      </c>
      <c r="Z2913" s="21"/>
      <c r="AA2913" s="21" t="str">
        <f>HYPERLINK("https://miland.ru/api/getInfo/item/fe6ab2e0-8046-11ed-a22a-00155d82e902")</f>
        <v>https://miland.ru/api/getInfo/item/fe6ab2e0-8046-11ed-a22a-00155d82e902</v>
      </c>
      <c r="AB2913" s="21" t="s">
        <v>42</v>
      </c>
      <c r="AC2913" s="21" t="s">
        <v>10060</v>
      </c>
      <c r="AD2913" s="21"/>
    </row>
    <row r="2914" spans="2:31" s="1" customFormat="1" ht="96.3" customHeight="1" outlineLevel="4">
      <c r="B2914" s="57">
        <v>2257</v>
      </c>
      <c r="C2914" s="21" t="s">
        <v>10061</v>
      </c>
      <c r="D2914" s="72" t="s">
        <v>10062</v>
      </c>
      <c r="E2914" s="72"/>
      <c r="F2914" s="72"/>
      <c r="G2914" s="72"/>
      <c r="H2914" s="22" t="s">
        <v>10063</v>
      </c>
      <c r="I2914" s="27">
        <v>68</v>
      </c>
      <c r="J2914" s="22"/>
      <c r="K2914" s="20">
        <v>1</v>
      </c>
      <c r="L2914" s="24">
        <v>682.77</v>
      </c>
      <c r="M2914" s="11"/>
      <c r="N2914" s="22">
        <f t="shared" si="140"/>
        <v>0</v>
      </c>
      <c r="O2914" s="25">
        <f>0.253*M2914</f>
        <v>0</v>
      </c>
      <c r="P2914" s="26">
        <f>0.00131*M2914</f>
        <v>0</v>
      </c>
      <c r="Q2914" s="30"/>
      <c r="R2914" s="22" t="s">
        <v>10064</v>
      </c>
      <c r="S2914" s="22" t="s">
        <v>435</v>
      </c>
      <c r="T2914" s="21" t="str">
        <f>HYPERLINK("https://miland.ru/api/getInfo/image/d5cd3d00-8057-11ed-a22a-00155d82e902")</f>
        <v>https://miland.ru/api/getInfo/image/d5cd3d00-8057-11ed-a22a-00155d82e902</v>
      </c>
      <c r="U2914" s="21"/>
      <c r="V2914" s="21"/>
      <c r="W2914" s="21" t="s">
        <v>10029</v>
      </c>
      <c r="X2914" s="21"/>
      <c r="Y2914" s="21" t="s">
        <v>41</v>
      </c>
      <c r="Z2914" s="21"/>
      <c r="AA2914" s="21" t="str">
        <f>HYPERLINK("https://miland.ru/api/getInfo/item/d5cd3d00-8057-11ed-a22a-00155d82e902")</f>
        <v>https://miland.ru/api/getInfo/item/d5cd3d00-8057-11ed-a22a-00155d82e902</v>
      </c>
      <c r="AB2914" s="21" t="s">
        <v>42</v>
      </c>
      <c r="AC2914" s="21" t="s">
        <v>10065</v>
      </c>
      <c r="AD2914" s="21"/>
    </row>
    <row r="2915" spans="2:31" s="1" customFormat="1" ht="96.3" customHeight="1" outlineLevel="4">
      <c r="B2915" s="59">
        <v>2258</v>
      </c>
      <c r="C2915" s="35" t="s">
        <v>10066</v>
      </c>
      <c r="D2915" s="73" t="s">
        <v>10067</v>
      </c>
      <c r="E2915" s="73"/>
      <c r="F2915" s="73"/>
      <c r="G2915" s="73"/>
      <c r="H2915" s="36" t="s">
        <v>10068</v>
      </c>
      <c r="I2915" s="40">
        <v>12</v>
      </c>
      <c r="J2915" s="36"/>
      <c r="K2915" s="34">
        <v>1</v>
      </c>
      <c r="L2915" s="41">
        <v>393.73333333333335</v>
      </c>
      <c r="M2915" s="11"/>
      <c r="N2915" s="36">
        <f t="shared" si="140"/>
        <v>0</v>
      </c>
      <c r="O2915" s="42">
        <f>0.305*M2915</f>
        <v>0</v>
      </c>
      <c r="P2915" s="43">
        <f>0.00247*M2915</f>
        <v>0</v>
      </c>
      <c r="Q2915" s="50"/>
      <c r="R2915" s="36" t="s">
        <v>10069</v>
      </c>
      <c r="S2915" s="36" t="s">
        <v>435</v>
      </c>
      <c r="T2915" s="35" t="str">
        <f>HYPERLINK("https://miland.ru/api/getInfo/image/842b41c3-8039-11ed-a22a-00155d82e902")</f>
        <v>https://miland.ru/api/getInfo/image/842b41c3-8039-11ed-a22a-00155d82e902</v>
      </c>
      <c r="U2915" s="35"/>
      <c r="V2915" s="35"/>
      <c r="W2915" s="35" t="s">
        <v>8836</v>
      </c>
      <c r="X2915" s="35"/>
      <c r="Y2915" s="35" t="s">
        <v>41</v>
      </c>
      <c r="Z2915" s="35"/>
      <c r="AA2915" s="35" t="str">
        <f>HYPERLINK("https://miland.ru/api/getInfo/item/842b41c3-8039-11ed-a22a-00155d82e902")</f>
        <v>https://miland.ru/api/getInfo/item/842b41c3-8039-11ed-a22a-00155d82e902</v>
      </c>
      <c r="AB2915" s="35" t="s">
        <v>42</v>
      </c>
      <c r="AC2915" s="35" t="s">
        <v>10070</v>
      </c>
      <c r="AD2915" s="35"/>
      <c r="AE2915" s="52" t="s">
        <v>1251</v>
      </c>
    </row>
    <row r="2916" spans="2:31" ht="12" customHeight="1" outlineLevel="3">
      <c r="B2916" s="70" t="s">
        <v>10071</v>
      </c>
      <c r="C2916" s="70"/>
      <c r="D2916" s="70"/>
      <c r="E2916" s="70"/>
      <c r="F2916" s="70"/>
      <c r="G2916" s="70"/>
    </row>
    <row r="2917" spans="2:31" ht="12" customHeight="1" outlineLevel="4">
      <c r="B2917" s="70" t="s">
        <v>10072</v>
      </c>
      <c r="C2917" s="70"/>
      <c r="D2917" s="70"/>
      <c r="E2917" s="70"/>
      <c r="F2917" s="70"/>
      <c r="G2917" s="70"/>
    </row>
    <row r="2918" spans="2:31" s="1" customFormat="1" ht="96.3" customHeight="1" outlineLevel="5">
      <c r="B2918" s="57">
        <v>2259</v>
      </c>
      <c r="C2918" s="21" t="s">
        <v>10073</v>
      </c>
      <c r="D2918" s="72" t="s">
        <v>10074</v>
      </c>
      <c r="E2918" s="72"/>
      <c r="F2918" s="72"/>
      <c r="G2918" s="72"/>
      <c r="H2918" s="22" t="s">
        <v>10075</v>
      </c>
      <c r="I2918" s="27">
        <v>97</v>
      </c>
      <c r="J2918" s="22"/>
      <c r="K2918" s="20">
        <v>1</v>
      </c>
      <c r="L2918" s="32">
        <v>1087.82</v>
      </c>
      <c r="M2918" s="11"/>
      <c r="N2918" s="22">
        <f t="shared" ref="N2918:N2929" si="141">L2918*M2918</f>
        <v>0</v>
      </c>
      <c r="O2918" s="25">
        <f>0.544*M2918</f>
        <v>0</v>
      </c>
      <c r="P2918" s="26">
        <f>0.01079*M2918</f>
        <v>0</v>
      </c>
      <c r="Q2918" s="30"/>
      <c r="R2918" s="22" t="s">
        <v>10076</v>
      </c>
      <c r="S2918" s="22"/>
      <c r="T2918" s="21" t="str">
        <f>HYPERLINK("https://miland.ru/api/getInfo/image/c5de8b7a-6307-11f0-a282-00155d82e908")</f>
        <v>https://miland.ru/api/getInfo/image/c5de8b7a-6307-11f0-a282-00155d82e908</v>
      </c>
      <c r="U2918" s="21"/>
      <c r="V2918" s="21"/>
      <c r="W2918" s="21" t="s">
        <v>8888</v>
      </c>
      <c r="X2918" s="21"/>
      <c r="Y2918" s="21" t="s">
        <v>41</v>
      </c>
      <c r="Z2918" s="21"/>
      <c r="AA2918" s="21" t="str">
        <f>HYPERLINK("https://miland.ru/api/getInfo/item/c5de8b7a-6307-11f0-a282-00155d82e908")</f>
        <v>https://miland.ru/api/getInfo/item/c5de8b7a-6307-11f0-a282-00155d82e908</v>
      </c>
      <c r="AB2918" s="21" t="s">
        <v>42</v>
      </c>
      <c r="AC2918" s="21"/>
      <c r="AD2918" s="21"/>
    </row>
    <row r="2919" spans="2:31" s="1" customFormat="1" ht="96.3" customHeight="1" outlineLevel="5">
      <c r="B2919" s="57">
        <v>2260</v>
      </c>
      <c r="C2919" s="21" t="s">
        <v>10077</v>
      </c>
      <c r="D2919" s="72" t="s">
        <v>10078</v>
      </c>
      <c r="E2919" s="72"/>
      <c r="F2919" s="72"/>
      <c r="G2919" s="72"/>
      <c r="H2919" s="22" t="s">
        <v>10079</v>
      </c>
      <c r="I2919" s="27">
        <v>87</v>
      </c>
      <c r="J2919" s="22"/>
      <c r="K2919" s="20">
        <v>1</v>
      </c>
      <c r="L2919" s="24">
        <v>599.08000000000004</v>
      </c>
      <c r="M2919" s="11"/>
      <c r="N2919" s="22">
        <f t="shared" si="141"/>
        <v>0</v>
      </c>
      <c r="O2919" s="25">
        <f>0.509*M2919</f>
        <v>0</v>
      </c>
      <c r="P2919" s="26">
        <f>0.00356*M2919</f>
        <v>0</v>
      </c>
      <c r="Q2919" s="30"/>
      <c r="R2919" s="22" t="s">
        <v>10080</v>
      </c>
      <c r="S2919" s="22"/>
      <c r="T2919" s="21" t="str">
        <f>HYPERLINK("https://miland.ru/api/getInfo/image/e1ed9fc4-1c24-11f0-a279-00155d82e908")</f>
        <v>https://miland.ru/api/getInfo/image/e1ed9fc4-1c24-11f0-a279-00155d82e908</v>
      </c>
      <c r="U2919" s="21"/>
      <c r="V2919" s="21"/>
      <c r="W2919" s="21" t="s">
        <v>8888</v>
      </c>
      <c r="X2919" s="21"/>
      <c r="Y2919" s="21" t="s">
        <v>41</v>
      </c>
      <c r="Z2919" s="21"/>
      <c r="AA2919" s="21" t="str">
        <f>HYPERLINK("https://miland.ru/api/getInfo/item/e1ed9fc4-1c24-11f0-a279-00155d82e908")</f>
        <v>https://miland.ru/api/getInfo/item/e1ed9fc4-1c24-11f0-a279-00155d82e908</v>
      </c>
      <c r="AB2919" s="21" t="s">
        <v>42</v>
      </c>
      <c r="AC2919" s="21"/>
      <c r="AD2919" s="21"/>
    </row>
    <row r="2920" spans="2:31" s="1" customFormat="1" ht="96.3" customHeight="1" outlineLevel="5">
      <c r="B2920" s="57">
        <v>2261</v>
      </c>
      <c r="C2920" s="21" t="s">
        <v>10081</v>
      </c>
      <c r="D2920" s="72" t="s">
        <v>10082</v>
      </c>
      <c r="E2920" s="72"/>
      <c r="F2920" s="72"/>
      <c r="G2920" s="72"/>
      <c r="H2920" s="22" t="s">
        <v>10083</v>
      </c>
      <c r="I2920" s="23" t="s">
        <v>36</v>
      </c>
      <c r="J2920" s="22"/>
      <c r="K2920" s="20">
        <v>1</v>
      </c>
      <c r="L2920" s="24">
        <v>629.23</v>
      </c>
      <c r="M2920" s="11"/>
      <c r="N2920" s="22">
        <f t="shared" si="141"/>
        <v>0</v>
      </c>
      <c r="O2920" s="25">
        <f>0.643*M2920</f>
        <v>0</v>
      </c>
      <c r="P2920" s="26">
        <f>0.00668*M2920</f>
        <v>0</v>
      </c>
      <c r="Q2920" s="30"/>
      <c r="R2920" s="22" t="s">
        <v>10084</v>
      </c>
      <c r="S2920" s="22"/>
      <c r="T2920" s="21" t="str">
        <f>HYPERLINK("https://miland.ru/api/getInfo/image/5ae3e063-1c25-11f0-a279-00155d82e908")</f>
        <v>https://miland.ru/api/getInfo/image/5ae3e063-1c25-11f0-a279-00155d82e908</v>
      </c>
      <c r="U2920" s="21"/>
      <c r="V2920" s="21"/>
      <c r="W2920" s="21" t="s">
        <v>8888</v>
      </c>
      <c r="X2920" s="21"/>
      <c r="Y2920" s="21" t="s">
        <v>41</v>
      </c>
      <c r="Z2920" s="21"/>
      <c r="AA2920" s="21" t="str">
        <f>HYPERLINK("https://miland.ru/api/getInfo/item/5ae3e063-1c25-11f0-a279-00155d82e908")</f>
        <v>https://miland.ru/api/getInfo/item/5ae3e063-1c25-11f0-a279-00155d82e908</v>
      </c>
      <c r="AB2920" s="21" t="s">
        <v>42</v>
      </c>
      <c r="AC2920" s="21"/>
      <c r="AD2920" s="21"/>
    </row>
    <row r="2921" spans="2:31" s="1" customFormat="1" ht="96.3" customHeight="1" outlineLevel="5">
      <c r="B2921" s="57">
        <v>2262</v>
      </c>
      <c r="C2921" s="21" t="s">
        <v>10085</v>
      </c>
      <c r="D2921" s="72" t="s">
        <v>10086</v>
      </c>
      <c r="E2921" s="72"/>
      <c r="F2921" s="72"/>
      <c r="G2921" s="72"/>
      <c r="H2921" s="22" t="s">
        <v>10087</v>
      </c>
      <c r="I2921" s="23" t="s">
        <v>36</v>
      </c>
      <c r="J2921" s="22"/>
      <c r="K2921" s="20">
        <v>2</v>
      </c>
      <c r="L2921" s="24">
        <v>297.72000000000003</v>
      </c>
      <c r="M2921" s="11"/>
      <c r="N2921" s="22">
        <f t="shared" si="141"/>
        <v>0</v>
      </c>
      <c r="O2921" s="25">
        <f>0.773*M2921</f>
        <v>0</v>
      </c>
      <c r="P2921" s="26">
        <f>0.00189*M2921</f>
        <v>0</v>
      </c>
      <c r="Q2921" s="30"/>
      <c r="R2921" s="22" t="s">
        <v>10088</v>
      </c>
      <c r="S2921" s="22"/>
      <c r="T2921" s="21" t="str">
        <f>HYPERLINK("https://miland.ru/api/getInfo/image/0e240b32-630c-11f0-a282-00155d82e908")</f>
        <v>https://miland.ru/api/getInfo/image/0e240b32-630c-11f0-a282-00155d82e908</v>
      </c>
      <c r="U2921" s="21"/>
      <c r="V2921" s="21"/>
      <c r="W2921" s="21" t="s">
        <v>10089</v>
      </c>
      <c r="X2921" s="21"/>
      <c r="Y2921" s="21" t="s">
        <v>41</v>
      </c>
      <c r="Z2921" s="21"/>
      <c r="AA2921" s="21" t="str">
        <f>HYPERLINK("https://miland.ru/api/getInfo/item/0e240b32-630c-11f0-a282-00155d82e908")</f>
        <v>https://miland.ru/api/getInfo/item/0e240b32-630c-11f0-a282-00155d82e908</v>
      </c>
      <c r="AB2921" s="21" t="s">
        <v>42</v>
      </c>
      <c r="AC2921" s="21"/>
      <c r="AD2921" s="21"/>
    </row>
    <row r="2922" spans="2:31" s="1" customFormat="1" ht="96.3" customHeight="1" outlineLevel="5">
      <c r="B2922" s="57">
        <v>2263</v>
      </c>
      <c r="C2922" s="21" t="s">
        <v>10090</v>
      </c>
      <c r="D2922" s="72" t="s">
        <v>10091</v>
      </c>
      <c r="E2922" s="72"/>
      <c r="F2922" s="72"/>
      <c r="G2922" s="72"/>
      <c r="H2922" s="22" t="s">
        <v>10092</v>
      </c>
      <c r="I2922" s="27">
        <v>38</v>
      </c>
      <c r="J2922" s="22"/>
      <c r="K2922" s="20">
        <v>1</v>
      </c>
      <c r="L2922" s="24">
        <v>653.07000000000005</v>
      </c>
      <c r="M2922" s="11"/>
      <c r="N2922" s="22">
        <f t="shared" si="141"/>
        <v>0</v>
      </c>
      <c r="O2922" s="25">
        <f>0.314*M2922</f>
        <v>0</v>
      </c>
      <c r="P2922" s="26">
        <f>0.00152*M2922</f>
        <v>0</v>
      </c>
      <c r="Q2922" s="30"/>
      <c r="R2922" s="22" t="s">
        <v>10093</v>
      </c>
      <c r="S2922" s="22" t="s">
        <v>435</v>
      </c>
      <c r="T2922" s="21" t="str">
        <f>HYPERLINK("https://miland.ru/api/getInfo/image/7177bf1c-7338-11ee-a248-00155d82e902")</f>
        <v>https://miland.ru/api/getInfo/image/7177bf1c-7338-11ee-a248-00155d82e902</v>
      </c>
      <c r="U2922" s="21"/>
      <c r="V2922" s="21"/>
      <c r="W2922" s="21" t="s">
        <v>10094</v>
      </c>
      <c r="X2922" s="21"/>
      <c r="Y2922" s="21" t="s">
        <v>41</v>
      </c>
      <c r="Z2922" s="21"/>
      <c r="AA2922" s="21" t="str">
        <f>HYPERLINK("https://miland.ru/api/getInfo/item/7177bf1c-7338-11ee-a248-00155d82e902")</f>
        <v>https://miland.ru/api/getInfo/item/7177bf1c-7338-11ee-a248-00155d82e902</v>
      </c>
      <c r="AB2922" s="21" t="s">
        <v>42</v>
      </c>
      <c r="AC2922" s="21" t="s">
        <v>10095</v>
      </c>
      <c r="AD2922" s="21"/>
    </row>
    <row r="2923" spans="2:31" s="1" customFormat="1" ht="96.3" customHeight="1" outlineLevel="5">
      <c r="B2923" s="57">
        <v>2264</v>
      </c>
      <c r="C2923" s="21" t="s">
        <v>10096</v>
      </c>
      <c r="D2923" s="72" t="s">
        <v>10097</v>
      </c>
      <c r="E2923" s="72"/>
      <c r="F2923" s="72"/>
      <c r="G2923" s="72"/>
      <c r="H2923" s="22" t="s">
        <v>10098</v>
      </c>
      <c r="I2923" s="27">
        <v>209</v>
      </c>
      <c r="J2923" s="22"/>
      <c r="K2923" s="20">
        <v>1</v>
      </c>
      <c r="L2923" s="24">
        <v>800.54</v>
      </c>
      <c r="M2923" s="11"/>
      <c r="N2923" s="22">
        <f t="shared" si="141"/>
        <v>0</v>
      </c>
      <c r="O2923" s="25">
        <f>0.364*M2923</f>
        <v>0</v>
      </c>
      <c r="P2923" s="26">
        <f>0.00203*M2923</f>
        <v>0</v>
      </c>
      <c r="Q2923" s="30"/>
      <c r="R2923" s="22" t="s">
        <v>10099</v>
      </c>
      <c r="S2923" s="22" t="s">
        <v>435</v>
      </c>
      <c r="T2923" s="21" t="str">
        <f>HYPERLINK("https://miland.ru/api/getInfo/image/5f3453f2-7338-11ee-a248-00155d82e902")</f>
        <v>https://miland.ru/api/getInfo/image/5f3453f2-7338-11ee-a248-00155d82e902</v>
      </c>
      <c r="U2923" s="21"/>
      <c r="V2923" s="21"/>
      <c r="W2923" s="21" t="s">
        <v>10094</v>
      </c>
      <c r="X2923" s="21"/>
      <c r="Y2923" s="21" t="s">
        <v>41</v>
      </c>
      <c r="Z2923" s="21"/>
      <c r="AA2923" s="21" t="str">
        <f>HYPERLINK("https://miland.ru/api/getInfo/item/5f3453f2-7338-11ee-a248-00155d82e902")</f>
        <v>https://miland.ru/api/getInfo/item/5f3453f2-7338-11ee-a248-00155d82e902</v>
      </c>
      <c r="AB2923" s="21" t="s">
        <v>42</v>
      </c>
      <c r="AC2923" s="21" t="s">
        <v>10100</v>
      </c>
      <c r="AD2923" s="21"/>
    </row>
    <row r="2924" spans="2:31" s="1" customFormat="1" ht="96.3" customHeight="1" outlineLevel="5">
      <c r="B2924" s="57">
        <v>2265</v>
      </c>
      <c r="C2924" s="21" t="s">
        <v>10101</v>
      </c>
      <c r="D2924" s="72" t="s">
        <v>10102</v>
      </c>
      <c r="E2924" s="72"/>
      <c r="F2924" s="72"/>
      <c r="G2924" s="72"/>
      <c r="H2924" s="22" t="s">
        <v>10103</v>
      </c>
      <c r="I2924" s="23" t="s">
        <v>36</v>
      </c>
      <c r="J2924" s="22"/>
      <c r="K2924" s="20">
        <v>1</v>
      </c>
      <c r="L2924" s="24">
        <v>549.64</v>
      </c>
      <c r="M2924" s="11"/>
      <c r="N2924" s="22">
        <f t="shared" si="141"/>
        <v>0</v>
      </c>
      <c r="O2924" s="25">
        <f>1.135*M2924</f>
        <v>0</v>
      </c>
      <c r="P2924" s="29">
        <f>0.0049*M2924</f>
        <v>0</v>
      </c>
      <c r="Q2924" s="30"/>
      <c r="R2924" s="22" t="s">
        <v>10104</v>
      </c>
      <c r="S2924" s="22"/>
      <c r="T2924" s="21" t="str">
        <f>HYPERLINK("https://miland.ru/api/getInfo/image/557ca529-6309-11f0-a282-00155d82e908")</f>
        <v>https://miland.ru/api/getInfo/image/557ca529-6309-11f0-a282-00155d82e908</v>
      </c>
      <c r="U2924" s="21"/>
      <c r="V2924" s="21"/>
      <c r="W2924" s="21" t="s">
        <v>10089</v>
      </c>
      <c r="X2924" s="21"/>
      <c r="Y2924" s="21" t="s">
        <v>41</v>
      </c>
      <c r="Z2924" s="21"/>
      <c r="AA2924" s="21" t="str">
        <f>HYPERLINK("https://miland.ru/api/getInfo/item/557ca529-6309-11f0-a282-00155d82e908")</f>
        <v>https://miland.ru/api/getInfo/item/557ca529-6309-11f0-a282-00155d82e908</v>
      </c>
      <c r="AB2924" s="21" t="s">
        <v>42</v>
      </c>
      <c r="AC2924" s="21"/>
      <c r="AD2924" s="21"/>
    </row>
    <row r="2925" spans="2:31" s="1" customFormat="1" ht="96.3" customHeight="1" outlineLevel="5">
      <c r="B2925" s="57">
        <v>2266</v>
      </c>
      <c r="C2925" s="21" t="s">
        <v>10105</v>
      </c>
      <c r="D2925" s="72" t="s">
        <v>10106</v>
      </c>
      <c r="E2925" s="72"/>
      <c r="F2925" s="72"/>
      <c r="G2925" s="72"/>
      <c r="H2925" s="22" t="s">
        <v>10107</v>
      </c>
      <c r="I2925" s="23" t="s">
        <v>36</v>
      </c>
      <c r="J2925" s="22"/>
      <c r="K2925" s="20">
        <v>1</v>
      </c>
      <c r="L2925" s="32">
        <v>1531.02</v>
      </c>
      <c r="M2925" s="11"/>
      <c r="N2925" s="22">
        <f t="shared" si="141"/>
        <v>0</v>
      </c>
      <c r="O2925" s="25">
        <f>0.459*M2925</f>
        <v>0</v>
      </c>
      <c r="P2925" s="26">
        <f>0.00615*M2925</f>
        <v>0</v>
      </c>
      <c r="Q2925" s="30"/>
      <c r="R2925" s="22" t="s">
        <v>10108</v>
      </c>
      <c r="S2925" s="22"/>
      <c r="T2925" s="21" t="str">
        <f>HYPERLINK("https://miland.ru/api/getInfo/image/8c0581ce-27f9-11ef-a25f-00155d82e908")</f>
        <v>https://miland.ru/api/getInfo/image/8c0581ce-27f9-11ef-a25f-00155d82e908</v>
      </c>
      <c r="U2925" s="21"/>
      <c r="V2925" s="21"/>
      <c r="W2925" s="21" t="s">
        <v>8888</v>
      </c>
      <c r="X2925" s="21"/>
      <c r="Y2925" s="21" t="s">
        <v>41</v>
      </c>
      <c r="Z2925" s="21"/>
      <c r="AA2925" s="21" t="str">
        <f>HYPERLINK("https://miland.ru/api/getInfo/item/8c0581ce-27f9-11ef-a25f-00155d82e908")</f>
        <v>https://miland.ru/api/getInfo/item/8c0581ce-27f9-11ef-a25f-00155d82e908</v>
      </c>
      <c r="AB2925" s="21" t="s">
        <v>42</v>
      </c>
      <c r="AC2925" s="21" t="s">
        <v>10109</v>
      </c>
      <c r="AD2925" s="21"/>
    </row>
    <row r="2926" spans="2:31" s="1" customFormat="1" ht="96.3" customHeight="1" outlineLevel="5">
      <c r="B2926" s="57">
        <v>2267</v>
      </c>
      <c r="C2926" s="21" t="s">
        <v>10110</v>
      </c>
      <c r="D2926" s="72" t="s">
        <v>10111</v>
      </c>
      <c r="E2926" s="72"/>
      <c r="F2926" s="72"/>
      <c r="G2926" s="72"/>
      <c r="H2926" s="22" t="s">
        <v>10112</v>
      </c>
      <c r="I2926" s="23" t="s">
        <v>36</v>
      </c>
      <c r="J2926" s="22"/>
      <c r="K2926" s="20">
        <v>1</v>
      </c>
      <c r="L2926" s="32">
        <v>1546.44</v>
      </c>
      <c r="M2926" s="11"/>
      <c r="N2926" s="22">
        <f t="shared" si="141"/>
        <v>0</v>
      </c>
      <c r="O2926" s="25">
        <f>0.537*M2926</f>
        <v>0</v>
      </c>
      <c r="P2926" s="26">
        <f>0.00768*M2926</f>
        <v>0</v>
      </c>
      <c r="Q2926" s="30"/>
      <c r="R2926" s="22" t="s">
        <v>10113</v>
      </c>
      <c r="S2926" s="22"/>
      <c r="T2926" s="21" t="str">
        <f>HYPERLINK("https://miland.ru/api/getInfo/image/a4995f95-27f9-11ef-a25f-00155d82e908")</f>
        <v>https://miland.ru/api/getInfo/image/a4995f95-27f9-11ef-a25f-00155d82e908</v>
      </c>
      <c r="U2926" s="21"/>
      <c r="V2926" s="21"/>
      <c r="W2926" s="21" t="s">
        <v>8888</v>
      </c>
      <c r="X2926" s="21"/>
      <c r="Y2926" s="21" t="s">
        <v>41</v>
      </c>
      <c r="Z2926" s="21"/>
      <c r="AA2926" s="21" t="str">
        <f>HYPERLINK("https://miland.ru/api/getInfo/item/a4995f95-27f9-11ef-a25f-00155d82e908")</f>
        <v>https://miland.ru/api/getInfo/item/a4995f95-27f9-11ef-a25f-00155d82e908</v>
      </c>
      <c r="AB2926" s="21" t="s">
        <v>42</v>
      </c>
      <c r="AC2926" s="21" t="s">
        <v>10114</v>
      </c>
      <c r="AD2926" s="21"/>
    </row>
    <row r="2927" spans="2:31" s="1" customFormat="1" ht="96.3" customHeight="1" outlineLevel="5">
      <c r="B2927" s="57">
        <v>2268</v>
      </c>
      <c r="C2927" s="21" t="s">
        <v>10115</v>
      </c>
      <c r="D2927" s="72" t="s">
        <v>10116</v>
      </c>
      <c r="E2927" s="72"/>
      <c r="F2927" s="72"/>
      <c r="G2927" s="72"/>
      <c r="H2927" s="22" t="s">
        <v>10117</v>
      </c>
      <c r="I2927" s="23" t="s">
        <v>36</v>
      </c>
      <c r="J2927" s="22"/>
      <c r="K2927" s="20">
        <v>1</v>
      </c>
      <c r="L2927" s="32">
        <v>1505.34</v>
      </c>
      <c r="M2927" s="11"/>
      <c r="N2927" s="22">
        <f t="shared" si="141"/>
        <v>0</v>
      </c>
      <c r="O2927" s="25">
        <f>0.356*M2927</f>
        <v>0</v>
      </c>
      <c r="P2927" s="26">
        <f>0.00405*M2927</f>
        <v>0</v>
      </c>
      <c r="Q2927" s="30"/>
      <c r="R2927" s="22" t="s">
        <v>10118</v>
      </c>
      <c r="S2927" s="22"/>
      <c r="T2927" s="21" t="str">
        <f>HYPERLINK("https://miland.ru/api/getInfo/image/64ef1486-27f9-11ef-a25f-00155d82e908")</f>
        <v>https://miland.ru/api/getInfo/image/64ef1486-27f9-11ef-a25f-00155d82e908</v>
      </c>
      <c r="U2927" s="21"/>
      <c r="V2927" s="21"/>
      <c r="W2927" s="21" t="s">
        <v>8888</v>
      </c>
      <c r="X2927" s="21"/>
      <c r="Y2927" s="21" t="s">
        <v>41</v>
      </c>
      <c r="Z2927" s="21"/>
      <c r="AA2927" s="21" t="str">
        <f>HYPERLINK("https://miland.ru/api/getInfo/item/64ef1486-27f9-11ef-a25f-00155d82e908")</f>
        <v>https://miland.ru/api/getInfo/item/64ef1486-27f9-11ef-a25f-00155d82e908</v>
      </c>
      <c r="AB2927" s="21" t="s">
        <v>42</v>
      </c>
      <c r="AC2927" s="21" t="s">
        <v>10119</v>
      </c>
      <c r="AD2927" s="21"/>
    </row>
    <row r="2928" spans="2:31" s="1" customFormat="1" ht="96.3" customHeight="1" outlineLevel="5">
      <c r="B2928" s="57">
        <v>2269</v>
      </c>
      <c r="C2928" s="21" t="s">
        <v>10120</v>
      </c>
      <c r="D2928" s="72" t="s">
        <v>10121</v>
      </c>
      <c r="E2928" s="72"/>
      <c r="F2928" s="72"/>
      <c r="G2928" s="72"/>
      <c r="H2928" s="22" t="s">
        <v>10122</v>
      </c>
      <c r="I2928" s="27">
        <v>138</v>
      </c>
      <c r="J2928" s="22"/>
      <c r="K2928" s="20">
        <v>1</v>
      </c>
      <c r="L2928" s="32">
        <v>1772.49</v>
      </c>
      <c r="M2928" s="11"/>
      <c r="N2928" s="22">
        <f t="shared" si="141"/>
        <v>0</v>
      </c>
      <c r="O2928" s="25">
        <f>0.592*M2928</f>
        <v>0</v>
      </c>
      <c r="P2928" s="26">
        <f>0.00495*M2928</f>
        <v>0</v>
      </c>
      <c r="Q2928" s="30"/>
      <c r="R2928" s="22" t="s">
        <v>10123</v>
      </c>
      <c r="S2928" s="22" t="s">
        <v>435</v>
      </c>
      <c r="T2928" s="21" t="str">
        <f>HYPERLINK("https://miland.ru/api/getInfo/image/4d53aaf5-27fa-11ef-a25f-00155d82e908")</f>
        <v>https://miland.ru/api/getInfo/image/4d53aaf5-27fa-11ef-a25f-00155d82e908</v>
      </c>
      <c r="U2928" s="21"/>
      <c r="V2928" s="21"/>
      <c r="W2928" s="21" t="s">
        <v>8888</v>
      </c>
      <c r="X2928" s="21"/>
      <c r="Y2928" s="21" t="s">
        <v>41</v>
      </c>
      <c r="Z2928" s="21"/>
      <c r="AA2928" s="21" t="str">
        <f>HYPERLINK("https://miland.ru/api/getInfo/item/4d53aaf5-27fa-11ef-a25f-00155d82e908")</f>
        <v>https://miland.ru/api/getInfo/item/4d53aaf5-27fa-11ef-a25f-00155d82e908</v>
      </c>
      <c r="AB2928" s="21" t="s">
        <v>42</v>
      </c>
      <c r="AC2928" s="21" t="s">
        <v>9665</v>
      </c>
      <c r="AD2928" s="21"/>
    </row>
    <row r="2929" spans="2:31" s="1" customFormat="1" ht="96.3" customHeight="1" outlineLevel="5">
      <c r="B2929" s="57">
        <v>2270</v>
      </c>
      <c r="C2929" s="21" t="s">
        <v>10124</v>
      </c>
      <c r="D2929" s="72" t="s">
        <v>10125</v>
      </c>
      <c r="E2929" s="72"/>
      <c r="F2929" s="72"/>
      <c r="G2929" s="72"/>
      <c r="H2929" s="22" t="s">
        <v>10126</v>
      </c>
      <c r="I2929" s="27">
        <v>9</v>
      </c>
      <c r="J2929" s="22"/>
      <c r="K2929" s="20">
        <v>1</v>
      </c>
      <c r="L2929" s="32">
        <v>1335.79</v>
      </c>
      <c r="M2929" s="11"/>
      <c r="N2929" s="22">
        <f t="shared" si="141"/>
        <v>0</v>
      </c>
      <c r="O2929" s="25">
        <f>0.425*M2929</f>
        <v>0</v>
      </c>
      <c r="P2929" s="26">
        <f>0.00317*M2929</f>
        <v>0</v>
      </c>
      <c r="Q2929" s="30"/>
      <c r="R2929" s="22" t="s">
        <v>10127</v>
      </c>
      <c r="S2929" s="22" t="s">
        <v>435</v>
      </c>
      <c r="T2929" s="21" t="str">
        <f>HYPERLINK("https://miland.ru/api/getInfo/image/944b29e8-27fa-11ef-a25f-00155d82e908")</f>
        <v>https://miland.ru/api/getInfo/image/944b29e8-27fa-11ef-a25f-00155d82e908</v>
      </c>
      <c r="U2929" s="21"/>
      <c r="V2929" s="21"/>
      <c r="W2929" s="21" t="s">
        <v>10128</v>
      </c>
      <c r="X2929" s="21"/>
      <c r="Y2929" s="21" t="s">
        <v>41</v>
      </c>
      <c r="Z2929" s="21"/>
      <c r="AA2929" s="21" t="str">
        <f>HYPERLINK("https://miland.ru/api/getInfo/item/944b29e8-27fa-11ef-a25f-00155d82e908")</f>
        <v>https://miland.ru/api/getInfo/item/944b29e8-27fa-11ef-a25f-00155d82e908</v>
      </c>
      <c r="AB2929" s="21" t="s">
        <v>42</v>
      </c>
      <c r="AC2929" s="21" t="s">
        <v>9856</v>
      </c>
      <c r="AD2929" s="21"/>
    </row>
    <row r="2930" spans="2:31" ht="12" customHeight="1" outlineLevel="4">
      <c r="B2930" s="70" t="s">
        <v>10129</v>
      </c>
      <c r="C2930" s="70"/>
      <c r="D2930" s="70"/>
      <c r="E2930" s="70"/>
      <c r="F2930" s="70"/>
      <c r="G2930" s="70"/>
    </row>
    <row r="2931" spans="2:31" s="1" customFormat="1" ht="96.3" customHeight="1" outlineLevel="5">
      <c r="B2931" s="57">
        <v>2271</v>
      </c>
      <c r="C2931" s="21" t="s">
        <v>10130</v>
      </c>
      <c r="D2931" s="72" t="s">
        <v>10131</v>
      </c>
      <c r="E2931" s="72"/>
      <c r="F2931" s="72"/>
      <c r="G2931" s="72"/>
      <c r="H2931" s="22" t="s">
        <v>10132</v>
      </c>
      <c r="I2931" s="27">
        <v>123</v>
      </c>
      <c r="J2931" s="22"/>
      <c r="K2931" s="20">
        <v>1</v>
      </c>
      <c r="L2931" s="32">
        <v>1854.82</v>
      </c>
      <c r="M2931" s="11"/>
      <c r="N2931" s="22">
        <f t="shared" ref="N2931:N2946" si="142">L2931*M2931</f>
        <v>0</v>
      </c>
      <c r="O2931" s="25">
        <f>3.108*M2931</f>
        <v>0</v>
      </c>
      <c r="P2931" s="26">
        <f>0.00853*M2931</f>
        <v>0</v>
      </c>
      <c r="Q2931" s="30"/>
      <c r="R2931" s="22" t="s">
        <v>10133</v>
      </c>
      <c r="S2931" s="22"/>
      <c r="T2931" s="21" t="str">
        <f>HYPERLINK("https://miland.ru/api/getInfo/image/b230b3f2-1c1d-11f0-a279-00155d82e908")</f>
        <v>https://miland.ru/api/getInfo/image/b230b3f2-1c1d-11f0-a279-00155d82e908</v>
      </c>
      <c r="U2931" s="21"/>
      <c r="V2931" s="21" t="s">
        <v>8796</v>
      </c>
      <c r="W2931" s="21" t="s">
        <v>8646</v>
      </c>
      <c r="X2931" s="21"/>
      <c r="Y2931" s="21" t="s">
        <v>697</v>
      </c>
      <c r="Z2931" s="21"/>
      <c r="AA2931" s="21" t="str">
        <f>HYPERLINK("https://miland.ru/api/getInfo/item/b230b3f2-1c1d-11f0-a279-00155d82e908")</f>
        <v>https://miland.ru/api/getInfo/item/b230b3f2-1c1d-11f0-a279-00155d82e908</v>
      </c>
      <c r="AB2931" s="21" t="s">
        <v>42</v>
      </c>
      <c r="AC2931" s="21"/>
      <c r="AD2931" s="21"/>
    </row>
    <row r="2932" spans="2:31" s="1" customFormat="1" ht="96.3" customHeight="1" outlineLevel="5">
      <c r="B2932" s="57">
        <v>2272</v>
      </c>
      <c r="C2932" s="21" t="s">
        <v>10134</v>
      </c>
      <c r="D2932" s="72" t="s">
        <v>10135</v>
      </c>
      <c r="E2932" s="72"/>
      <c r="F2932" s="72"/>
      <c r="G2932" s="72"/>
      <c r="H2932" s="22" t="s">
        <v>10136</v>
      </c>
      <c r="I2932" s="27">
        <v>306</v>
      </c>
      <c r="J2932" s="22"/>
      <c r="K2932" s="20">
        <v>1</v>
      </c>
      <c r="L2932" s="32">
        <v>1854.82</v>
      </c>
      <c r="M2932" s="11"/>
      <c r="N2932" s="22">
        <f t="shared" si="142"/>
        <v>0</v>
      </c>
      <c r="O2932" s="25">
        <f>3.101*M2932</f>
        <v>0</v>
      </c>
      <c r="P2932" s="26">
        <f>0.00817*M2932</f>
        <v>0</v>
      </c>
      <c r="Q2932" s="30"/>
      <c r="R2932" s="22" t="s">
        <v>10137</v>
      </c>
      <c r="S2932" s="22" t="s">
        <v>435</v>
      </c>
      <c r="T2932" s="21" t="str">
        <f>HYPERLINK("https://miland.ru/api/getInfo/image/0ac00c90-1c1d-11f0-a279-00155d82e908")</f>
        <v>https://miland.ru/api/getInfo/image/0ac00c90-1c1d-11f0-a279-00155d82e908</v>
      </c>
      <c r="U2932" s="21"/>
      <c r="V2932" s="21" t="s">
        <v>8796</v>
      </c>
      <c r="W2932" s="21" t="s">
        <v>8646</v>
      </c>
      <c r="X2932" s="21"/>
      <c r="Y2932" s="21" t="s">
        <v>697</v>
      </c>
      <c r="Z2932" s="21"/>
      <c r="AA2932" s="21" t="str">
        <f>HYPERLINK("https://miland.ru/api/getInfo/item/0ac00c90-1c1d-11f0-a279-00155d82e908")</f>
        <v>https://miland.ru/api/getInfo/item/0ac00c90-1c1d-11f0-a279-00155d82e908</v>
      </c>
      <c r="AB2932" s="21" t="s">
        <v>42</v>
      </c>
      <c r="AC2932" s="21"/>
      <c r="AD2932" s="21"/>
    </row>
    <row r="2933" spans="2:31" s="1" customFormat="1" ht="96.3" customHeight="1" outlineLevel="5">
      <c r="B2933" s="57">
        <v>2273</v>
      </c>
      <c r="C2933" s="21" t="s">
        <v>10138</v>
      </c>
      <c r="D2933" s="72" t="s">
        <v>10139</v>
      </c>
      <c r="E2933" s="72"/>
      <c r="F2933" s="72"/>
      <c r="G2933" s="72"/>
      <c r="H2933" s="22" t="s">
        <v>10140</v>
      </c>
      <c r="I2933" s="23" t="s">
        <v>36</v>
      </c>
      <c r="J2933" s="22"/>
      <c r="K2933" s="20">
        <v>1</v>
      </c>
      <c r="L2933" s="32">
        <v>1854.82</v>
      </c>
      <c r="M2933" s="11"/>
      <c r="N2933" s="22">
        <f t="shared" si="142"/>
        <v>0</v>
      </c>
      <c r="O2933" s="25">
        <f>3.023*M2933</f>
        <v>0</v>
      </c>
      <c r="P2933" s="26">
        <f>0.00793*M2933</f>
        <v>0</v>
      </c>
      <c r="Q2933" s="30"/>
      <c r="R2933" s="22" t="s">
        <v>10141</v>
      </c>
      <c r="S2933" s="22"/>
      <c r="T2933" s="21" t="str">
        <f>HYPERLINK("https://miland.ru/api/getInfo/image/035f8eb2-1c1e-11f0-a279-00155d82e908")</f>
        <v>https://miland.ru/api/getInfo/image/035f8eb2-1c1e-11f0-a279-00155d82e908</v>
      </c>
      <c r="U2933" s="21"/>
      <c r="V2933" s="21" t="s">
        <v>8796</v>
      </c>
      <c r="W2933" s="21" t="s">
        <v>8646</v>
      </c>
      <c r="X2933" s="21"/>
      <c r="Y2933" s="21" t="s">
        <v>697</v>
      </c>
      <c r="Z2933" s="21"/>
      <c r="AA2933" s="21" t="str">
        <f>HYPERLINK("https://miland.ru/api/getInfo/item/035f8eb2-1c1e-11f0-a279-00155d82e908")</f>
        <v>https://miland.ru/api/getInfo/item/035f8eb2-1c1e-11f0-a279-00155d82e908</v>
      </c>
      <c r="AB2933" s="21" t="s">
        <v>42</v>
      </c>
      <c r="AC2933" s="21"/>
      <c r="AD2933" s="21"/>
    </row>
    <row r="2934" spans="2:31" s="1" customFormat="1" ht="96.3" customHeight="1" outlineLevel="5">
      <c r="B2934" s="57">
        <v>2274</v>
      </c>
      <c r="C2934" s="21" t="s">
        <v>10142</v>
      </c>
      <c r="D2934" s="72" t="s">
        <v>10143</v>
      </c>
      <c r="E2934" s="72"/>
      <c r="F2934" s="72"/>
      <c r="G2934" s="72"/>
      <c r="H2934" s="22" t="s">
        <v>10144</v>
      </c>
      <c r="I2934" s="23" t="s">
        <v>36</v>
      </c>
      <c r="J2934" s="22"/>
      <c r="K2934" s="20">
        <v>1</v>
      </c>
      <c r="L2934" s="24">
        <v>776.28</v>
      </c>
      <c r="M2934" s="11"/>
      <c r="N2934" s="22">
        <f t="shared" si="142"/>
        <v>0</v>
      </c>
      <c r="O2934" s="25">
        <f>0.583*M2934</f>
        <v>0</v>
      </c>
      <c r="P2934" s="26">
        <f>0.00216*M2934</f>
        <v>0</v>
      </c>
      <c r="Q2934" s="30"/>
      <c r="R2934" s="22" t="s">
        <v>10145</v>
      </c>
      <c r="S2934" s="22" t="s">
        <v>435</v>
      </c>
      <c r="T2934" s="21" t="str">
        <f>HYPERLINK("https://miland.ru/api/getInfo/image/0649f6a5-0bc7-11f0-a279-00155d82e908")</f>
        <v>https://miland.ru/api/getInfo/image/0649f6a5-0bc7-11f0-a279-00155d82e908</v>
      </c>
      <c r="U2934" s="21"/>
      <c r="V2934" s="21" t="s">
        <v>8796</v>
      </c>
      <c r="W2934" s="21" t="s">
        <v>8646</v>
      </c>
      <c r="X2934" s="21"/>
      <c r="Y2934" s="21" t="s">
        <v>697</v>
      </c>
      <c r="Z2934" s="21"/>
      <c r="AA2934" s="21" t="str">
        <f>HYPERLINK("https://miland.ru/api/getInfo/item/0649f6a5-0bc7-11f0-a279-00155d82e908")</f>
        <v>https://miland.ru/api/getInfo/item/0649f6a5-0bc7-11f0-a279-00155d82e908</v>
      </c>
      <c r="AB2934" s="21" t="s">
        <v>42</v>
      </c>
      <c r="AC2934" s="21"/>
      <c r="AD2934" s="21"/>
    </row>
    <row r="2935" spans="2:31" s="1" customFormat="1" ht="96.3" customHeight="1" outlineLevel="5">
      <c r="B2935" s="57">
        <v>2275</v>
      </c>
      <c r="C2935" s="21" t="s">
        <v>10146</v>
      </c>
      <c r="D2935" s="72" t="s">
        <v>10147</v>
      </c>
      <c r="E2935" s="72"/>
      <c r="F2935" s="72"/>
      <c r="G2935" s="72"/>
      <c r="H2935" s="22" t="s">
        <v>10148</v>
      </c>
      <c r="I2935" s="23" t="s">
        <v>36</v>
      </c>
      <c r="J2935" s="22"/>
      <c r="K2935" s="20">
        <v>1</v>
      </c>
      <c r="L2935" s="24">
        <v>776.28</v>
      </c>
      <c r="M2935" s="11"/>
      <c r="N2935" s="22">
        <f t="shared" si="142"/>
        <v>0</v>
      </c>
      <c r="O2935" s="25">
        <f>0.713*M2935</f>
        <v>0</v>
      </c>
      <c r="P2935" s="26">
        <f>0.00226*M2935</f>
        <v>0</v>
      </c>
      <c r="Q2935" s="30"/>
      <c r="R2935" s="22" t="s">
        <v>10149</v>
      </c>
      <c r="S2935" s="22" t="s">
        <v>435</v>
      </c>
      <c r="T2935" s="21" t="str">
        <f>HYPERLINK("https://miland.ru/api/getInfo/image/69ff83ee-0bc8-11f0-a279-00155d82e908")</f>
        <v>https://miland.ru/api/getInfo/image/69ff83ee-0bc8-11f0-a279-00155d82e908</v>
      </c>
      <c r="U2935" s="21"/>
      <c r="V2935" s="21" t="s">
        <v>8796</v>
      </c>
      <c r="W2935" s="21" t="s">
        <v>8646</v>
      </c>
      <c r="X2935" s="21"/>
      <c r="Y2935" s="21" t="s">
        <v>697</v>
      </c>
      <c r="Z2935" s="21"/>
      <c r="AA2935" s="21" t="str">
        <f>HYPERLINK("https://miland.ru/api/getInfo/item/69ff83ee-0bc8-11f0-a279-00155d82e908")</f>
        <v>https://miland.ru/api/getInfo/item/69ff83ee-0bc8-11f0-a279-00155d82e908</v>
      </c>
      <c r="AB2935" s="21" t="s">
        <v>42</v>
      </c>
      <c r="AC2935" s="21"/>
      <c r="AD2935" s="21"/>
    </row>
    <row r="2936" spans="2:31" s="1" customFormat="1" ht="96.3" customHeight="1" outlineLevel="5">
      <c r="B2936" s="57">
        <v>2276</v>
      </c>
      <c r="C2936" s="21" t="s">
        <v>10150</v>
      </c>
      <c r="D2936" s="72" t="s">
        <v>10151</v>
      </c>
      <c r="E2936" s="72"/>
      <c r="F2936" s="72"/>
      <c r="G2936" s="72"/>
      <c r="H2936" s="22" t="s">
        <v>10152</v>
      </c>
      <c r="I2936" s="27">
        <v>447</v>
      </c>
      <c r="J2936" s="22"/>
      <c r="K2936" s="20">
        <v>1</v>
      </c>
      <c r="L2936" s="24">
        <v>851.9</v>
      </c>
      <c r="M2936" s="11"/>
      <c r="N2936" s="22">
        <f t="shared" si="142"/>
        <v>0</v>
      </c>
      <c r="O2936" s="25">
        <f>0.807*M2936</f>
        <v>0</v>
      </c>
      <c r="P2936" s="26">
        <f>0.00275*M2936</f>
        <v>0</v>
      </c>
      <c r="Q2936" s="30"/>
      <c r="R2936" s="22" t="s">
        <v>10153</v>
      </c>
      <c r="S2936" s="22" t="s">
        <v>435</v>
      </c>
      <c r="T2936" s="21" t="str">
        <f>HYPERLINK("https://miland.ru/api/getInfo/image/87967b2c-0bc9-11f0-a279-00155d82e908")</f>
        <v>https://miland.ru/api/getInfo/image/87967b2c-0bc9-11f0-a279-00155d82e908</v>
      </c>
      <c r="U2936" s="21"/>
      <c r="V2936" s="21" t="s">
        <v>8796</v>
      </c>
      <c r="W2936" s="21" t="s">
        <v>8646</v>
      </c>
      <c r="X2936" s="21"/>
      <c r="Y2936" s="21" t="s">
        <v>697</v>
      </c>
      <c r="Z2936" s="21"/>
      <c r="AA2936" s="21" t="str">
        <f>HYPERLINK("https://miland.ru/api/getInfo/item/87967b2c-0bc9-11f0-a279-00155d82e908")</f>
        <v>https://miland.ru/api/getInfo/item/87967b2c-0bc9-11f0-a279-00155d82e908</v>
      </c>
      <c r="AB2936" s="21" t="s">
        <v>42</v>
      </c>
      <c r="AC2936" s="21"/>
      <c r="AD2936" s="21"/>
    </row>
    <row r="2937" spans="2:31" s="1" customFormat="1" ht="96.3" customHeight="1" outlineLevel="5">
      <c r="B2937" s="57">
        <v>2277</v>
      </c>
      <c r="C2937" s="21" t="s">
        <v>10154</v>
      </c>
      <c r="D2937" s="72" t="s">
        <v>10155</v>
      </c>
      <c r="E2937" s="72"/>
      <c r="F2937" s="72"/>
      <c r="G2937" s="72"/>
      <c r="H2937" s="22" t="s">
        <v>10156</v>
      </c>
      <c r="I2937" s="23" t="s">
        <v>36</v>
      </c>
      <c r="J2937" s="22"/>
      <c r="K2937" s="20">
        <v>1</v>
      </c>
      <c r="L2937" s="24">
        <v>932.55</v>
      </c>
      <c r="M2937" s="11"/>
      <c r="N2937" s="22">
        <f t="shared" si="142"/>
        <v>0</v>
      </c>
      <c r="O2937" s="25">
        <f>0.564*M2937</f>
        <v>0</v>
      </c>
      <c r="P2937" s="26">
        <f>0.00168*M2937</f>
        <v>0</v>
      </c>
      <c r="Q2937" s="30"/>
      <c r="R2937" s="22" t="s">
        <v>10157</v>
      </c>
      <c r="S2937" s="22" t="s">
        <v>435</v>
      </c>
      <c r="T2937" s="21" t="str">
        <f>HYPERLINK("https://miland.ru/api/getInfo/image/38a619a5-0bca-11f0-a279-00155d82e908")</f>
        <v>https://miland.ru/api/getInfo/image/38a619a5-0bca-11f0-a279-00155d82e908</v>
      </c>
      <c r="U2937" s="21"/>
      <c r="V2937" s="21" t="s">
        <v>8796</v>
      </c>
      <c r="W2937" s="21" t="s">
        <v>8646</v>
      </c>
      <c r="X2937" s="21"/>
      <c r="Y2937" s="21" t="s">
        <v>697</v>
      </c>
      <c r="Z2937" s="21"/>
      <c r="AA2937" s="21" t="str">
        <f>HYPERLINK("https://miland.ru/api/getInfo/item/38a619a5-0bca-11f0-a279-00155d82e908")</f>
        <v>https://miland.ru/api/getInfo/item/38a619a5-0bca-11f0-a279-00155d82e908</v>
      </c>
      <c r="AB2937" s="21" t="s">
        <v>42</v>
      </c>
      <c r="AC2937" s="21"/>
      <c r="AD2937" s="21"/>
    </row>
    <row r="2938" spans="2:31" s="1" customFormat="1" ht="96.3" customHeight="1" outlineLevel="5">
      <c r="B2938" s="57">
        <v>2278</v>
      </c>
      <c r="C2938" s="21" t="s">
        <v>10158</v>
      </c>
      <c r="D2938" s="72" t="s">
        <v>10159</v>
      </c>
      <c r="E2938" s="72"/>
      <c r="F2938" s="72"/>
      <c r="G2938" s="72"/>
      <c r="H2938" s="22" t="s">
        <v>10160</v>
      </c>
      <c r="I2938" s="23" t="s">
        <v>36</v>
      </c>
      <c r="J2938" s="22"/>
      <c r="K2938" s="20">
        <v>1</v>
      </c>
      <c r="L2938" s="24">
        <v>776.28</v>
      </c>
      <c r="M2938" s="11"/>
      <c r="N2938" s="22">
        <f t="shared" si="142"/>
        <v>0</v>
      </c>
      <c r="O2938" s="25">
        <f>0.708*M2938</f>
        <v>0</v>
      </c>
      <c r="P2938" s="26">
        <f>0.00221*M2938</f>
        <v>0</v>
      </c>
      <c r="Q2938" s="30"/>
      <c r="R2938" s="22" t="s">
        <v>10161</v>
      </c>
      <c r="S2938" s="22" t="s">
        <v>435</v>
      </c>
      <c r="T2938" s="21" t="str">
        <f>HYPERLINK("https://miland.ru/api/getInfo/image/325e16bf-0bc9-11f0-a279-00155d82e908")</f>
        <v>https://miland.ru/api/getInfo/image/325e16bf-0bc9-11f0-a279-00155d82e908</v>
      </c>
      <c r="U2938" s="21"/>
      <c r="V2938" s="21" t="s">
        <v>8796</v>
      </c>
      <c r="W2938" s="21" t="s">
        <v>8646</v>
      </c>
      <c r="X2938" s="21"/>
      <c r="Y2938" s="21" t="s">
        <v>697</v>
      </c>
      <c r="Z2938" s="21"/>
      <c r="AA2938" s="21" t="str">
        <f>HYPERLINK("https://miland.ru/api/getInfo/item/325e16bf-0bc9-11f0-a279-00155d82e908")</f>
        <v>https://miland.ru/api/getInfo/item/325e16bf-0bc9-11f0-a279-00155d82e908</v>
      </c>
      <c r="AB2938" s="21" t="s">
        <v>42</v>
      </c>
      <c r="AC2938" s="21"/>
      <c r="AD2938" s="21"/>
    </row>
    <row r="2939" spans="2:31" s="1" customFormat="1" ht="96.3" customHeight="1" outlineLevel="5">
      <c r="B2939" s="57">
        <v>2279</v>
      </c>
      <c r="C2939" s="21" t="s">
        <v>10162</v>
      </c>
      <c r="D2939" s="72" t="s">
        <v>10163</v>
      </c>
      <c r="E2939" s="72"/>
      <c r="F2939" s="72"/>
      <c r="G2939" s="72"/>
      <c r="H2939" s="22" t="s">
        <v>10164</v>
      </c>
      <c r="I2939" s="23" t="s">
        <v>36</v>
      </c>
      <c r="J2939" s="22"/>
      <c r="K2939" s="20">
        <v>1</v>
      </c>
      <c r="L2939" s="24">
        <v>776.28</v>
      </c>
      <c r="M2939" s="11"/>
      <c r="N2939" s="22">
        <f t="shared" si="142"/>
        <v>0</v>
      </c>
      <c r="O2939" s="25">
        <f>0.598*M2939</f>
        <v>0</v>
      </c>
      <c r="P2939" s="26">
        <f>0.00212*M2939</f>
        <v>0</v>
      </c>
      <c r="Q2939" s="30"/>
      <c r="R2939" s="22" t="s">
        <v>10165</v>
      </c>
      <c r="S2939" s="22" t="s">
        <v>435</v>
      </c>
      <c r="T2939" s="21" t="str">
        <f>HYPERLINK("https://miland.ru/api/getInfo/image/a2247372-0bc7-11f0-a279-00155d82e908")</f>
        <v>https://miland.ru/api/getInfo/image/a2247372-0bc7-11f0-a279-00155d82e908</v>
      </c>
      <c r="U2939" s="21"/>
      <c r="V2939" s="21" t="s">
        <v>8796</v>
      </c>
      <c r="W2939" s="21" t="s">
        <v>8646</v>
      </c>
      <c r="X2939" s="21"/>
      <c r="Y2939" s="21" t="s">
        <v>697</v>
      </c>
      <c r="Z2939" s="21"/>
      <c r="AA2939" s="21" t="str">
        <f>HYPERLINK("https://miland.ru/api/getInfo/item/a2247372-0bc7-11f0-a279-00155d82e908")</f>
        <v>https://miland.ru/api/getInfo/item/a2247372-0bc7-11f0-a279-00155d82e908</v>
      </c>
      <c r="AB2939" s="21" t="s">
        <v>42</v>
      </c>
      <c r="AC2939" s="21"/>
      <c r="AD2939" s="21"/>
    </row>
    <row r="2940" spans="2:31" s="1" customFormat="1" ht="96.3" customHeight="1" outlineLevel="5">
      <c r="B2940" s="57">
        <v>2280</v>
      </c>
      <c r="C2940" s="21" t="s">
        <v>10166</v>
      </c>
      <c r="D2940" s="72" t="s">
        <v>10167</v>
      </c>
      <c r="E2940" s="72"/>
      <c r="F2940" s="72"/>
      <c r="G2940" s="72"/>
      <c r="H2940" s="22" t="s">
        <v>10168</v>
      </c>
      <c r="I2940" s="23" t="s">
        <v>36</v>
      </c>
      <c r="J2940" s="22"/>
      <c r="K2940" s="20">
        <v>1</v>
      </c>
      <c r="L2940" s="24">
        <v>776.28</v>
      </c>
      <c r="M2940" s="11"/>
      <c r="N2940" s="22">
        <f t="shared" si="142"/>
        <v>0</v>
      </c>
      <c r="O2940" s="25">
        <f>0.605*M2940</f>
        <v>0</v>
      </c>
      <c r="P2940" s="26">
        <f>0.00204*M2940</f>
        <v>0</v>
      </c>
      <c r="Q2940" s="30"/>
      <c r="R2940" s="22" t="s">
        <v>10169</v>
      </c>
      <c r="S2940" s="22" t="s">
        <v>435</v>
      </c>
      <c r="T2940" s="21" t="str">
        <f>HYPERLINK("https://miland.ru/api/getInfo/image/009541d0-0bc8-11f0-a279-00155d82e908")</f>
        <v>https://miland.ru/api/getInfo/image/009541d0-0bc8-11f0-a279-00155d82e908</v>
      </c>
      <c r="U2940" s="21"/>
      <c r="V2940" s="21" t="s">
        <v>8796</v>
      </c>
      <c r="W2940" s="21" t="s">
        <v>8646</v>
      </c>
      <c r="X2940" s="21"/>
      <c r="Y2940" s="21" t="s">
        <v>697</v>
      </c>
      <c r="Z2940" s="21"/>
      <c r="AA2940" s="21" t="str">
        <f>HYPERLINK("https://miland.ru/api/getInfo/item/009541d0-0bc8-11f0-a279-00155d82e908")</f>
        <v>https://miland.ru/api/getInfo/item/009541d0-0bc8-11f0-a279-00155d82e908</v>
      </c>
      <c r="AB2940" s="21" t="s">
        <v>42</v>
      </c>
      <c r="AC2940" s="21"/>
      <c r="AD2940" s="21"/>
    </row>
    <row r="2941" spans="2:31" s="1" customFormat="1" ht="96.3" customHeight="1" outlineLevel="5">
      <c r="B2941" s="57">
        <v>2281</v>
      </c>
      <c r="C2941" s="21" t="s">
        <v>10170</v>
      </c>
      <c r="D2941" s="72" t="s">
        <v>10171</v>
      </c>
      <c r="E2941" s="72"/>
      <c r="F2941" s="72"/>
      <c r="G2941" s="72"/>
      <c r="H2941" s="22" t="s">
        <v>10172</v>
      </c>
      <c r="I2941" s="23" t="s">
        <v>36</v>
      </c>
      <c r="J2941" s="22"/>
      <c r="K2941" s="20">
        <v>1</v>
      </c>
      <c r="L2941" s="24">
        <v>776.28</v>
      </c>
      <c r="M2941" s="11"/>
      <c r="N2941" s="22">
        <f t="shared" si="142"/>
        <v>0</v>
      </c>
      <c r="O2941" s="33">
        <f>0.7*M2941</f>
        <v>0</v>
      </c>
      <c r="P2941" s="26">
        <f>0.00217*M2941</f>
        <v>0</v>
      </c>
      <c r="Q2941" s="30"/>
      <c r="R2941" s="22" t="s">
        <v>10173</v>
      </c>
      <c r="S2941" s="22" t="s">
        <v>435</v>
      </c>
      <c r="T2941" s="21" t="str">
        <f>HYPERLINK("https://miland.ru/api/getInfo/image/ceb58983-0bc8-11f0-a279-00155d82e908")</f>
        <v>https://miland.ru/api/getInfo/image/ceb58983-0bc8-11f0-a279-00155d82e908</v>
      </c>
      <c r="U2941" s="21"/>
      <c r="V2941" s="21" t="s">
        <v>8796</v>
      </c>
      <c r="W2941" s="21" t="s">
        <v>8646</v>
      </c>
      <c r="X2941" s="21"/>
      <c r="Y2941" s="21" t="s">
        <v>697</v>
      </c>
      <c r="Z2941" s="21"/>
      <c r="AA2941" s="21" t="str">
        <f>HYPERLINK("https://miland.ru/api/getInfo/item/ceb58983-0bc8-11f0-a279-00155d82e908")</f>
        <v>https://miland.ru/api/getInfo/item/ceb58983-0bc8-11f0-a279-00155d82e908</v>
      </c>
      <c r="AB2941" s="21" t="s">
        <v>42</v>
      </c>
      <c r="AC2941" s="21"/>
      <c r="AD2941" s="21"/>
    </row>
    <row r="2942" spans="2:31" s="1" customFormat="1" ht="96.3" customHeight="1" outlineLevel="5">
      <c r="B2942" s="58">
        <v>2282</v>
      </c>
      <c r="C2942" s="7" t="s">
        <v>10174</v>
      </c>
      <c r="D2942" s="71" t="s">
        <v>10175</v>
      </c>
      <c r="E2942" s="71"/>
      <c r="F2942" s="71"/>
      <c r="G2942" s="71"/>
      <c r="H2942" s="8" t="s">
        <v>10176</v>
      </c>
      <c r="I2942" s="9" t="s">
        <v>36</v>
      </c>
      <c r="J2942" s="8"/>
      <c r="K2942" s="6">
        <v>1</v>
      </c>
      <c r="L2942" s="15">
        <v>1473.16</v>
      </c>
      <c r="M2942" s="11"/>
      <c r="N2942" s="8">
        <f t="shared" si="142"/>
        <v>0</v>
      </c>
      <c r="O2942" s="12">
        <f>1.344*M2942</f>
        <v>0</v>
      </c>
      <c r="P2942" s="13">
        <f>0.00417*M2942</f>
        <v>0</v>
      </c>
      <c r="Q2942" s="17" t="s">
        <v>37</v>
      </c>
      <c r="R2942" s="8" t="s">
        <v>10177</v>
      </c>
      <c r="S2942" s="8"/>
      <c r="T2942" s="7" t="str">
        <f>HYPERLINK("https://miland.ru/api/getInfo/image/fdaf03a3-b6f1-11f0-a287-00155d82e908")</f>
        <v>https://miland.ru/api/getInfo/image/fdaf03a3-b6f1-11f0-a287-00155d82e908</v>
      </c>
      <c r="U2942" s="7"/>
      <c r="V2942" s="7" t="s">
        <v>8796</v>
      </c>
      <c r="W2942" s="7" t="s">
        <v>8646</v>
      </c>
      <c r="X2942" s="7"/>
      <c r="Y2942" s="7" t="s">
        <v>697</v>
      </c>
      <c r="Z2942" s="7"/>
      <c r="AA2942" s="7" t="str">
        <f>HYPERLINK("https://miland.ru/api/getInfo/item/fdaf03a3-b6f1-11f0-a287-00155d82e908")</f>
        <v>https://miland.ru/api/getInfo/item/fdaf03a3-b6f1-11f0-a287-00155d82e908</v>
      </c>
      <c r="AB2942" s="7" t="s">
        <v>42</v>
      </c>
      <c r="AC2942" s="7"/>
      <c r="AD2942" s="7"/>
      <c r="AE2942" s="54"/>
    </row>
    <row r="2943" spans="2:31" s="1" customFormat="1" ht="96.3" customHeight="1" outlineLevel="5">
      <c r="B2943" s="58">
        <v>2283</v>
      </c>
      <c r="C2943" s="7" t="s">
        <v>10178</v>
      </c>
      <c r="D2943" s="71" t="s">
        <v>10179</v>
      </c>
      <c r="E2943" s="71"/>
      <c r="F2943" s="71"/>
      <c r="G2943" s="71"/>
      <c r="H2943" s="8" t="s">
        <v>10180</v>
      </c>
      <c r="I2943" s="9" t="s">
        <v>36</v>
      </c>
      <c r="J2943" s="8"/>
      <c r="K2943" s="6">
        <v>1</v>
      </c>
      <c r="L2943" s="15">
        <v>1473.16</v>
      </c>
      <c r="M2943" s="11"/>
      <c r="N2943" s="8">
        <f t="shared" si="142"/>
        <v>0</v>
      </c>
      <c r="O2943" s="12">
        <f>1.359*M2943</f>
        <v>0</v>
      </c>
      <c r="P2943" s="13">
        <f>0.00417*M2943</f>
        <v>0</v>
      </c>
      <c r="Q2943" s="17" t="s">
        <v>37</v>
      </c>
      <c r="R2943" s="8" t="s">
        <v>10181</v>
      </c>
      <c r="S2943" s="8"/>
      <c r="T2943" s="7" t="str">
        <f>HYPERLINK("https://miland.ru/api/getInfo/image/8cef86cc-b6f1-11f0-a287-00155d82e908")</f>
        <v>https://miland.ru/api/getInfo/image/8cef86cc-b6f1-11f0-a287-00155d82e908</v>
      </c>
      <c r="U2943" s="7"/>
      <c r="V2943" s="7" t="s">
        <v>8796</v>
      </c>
      <c r="W2943" s="7" t="s">
        <v>8646</v>
      </c>
      <c r="X2943" s="7"/>
      <c r="Y2943" s="7" t="s">
        <v>697</v>
      </c>
      <c r="Z2943" s="7"/>
      <c r="AA2943" s="7" t="str">
        <f>HYPERLINK("https://miland.ru/api/getInfo/item/8cef86cc-b6f1-11f0-a287-00155d82e908")</f>
        <v>https://miland.ru/api/getInfo/item/8cef86cc-b6f1-11f0-a287-00155d82e908</v>
      </c>
      <c r="AB2943" s="7" t="s">
        <v>42</v>
      </c>
      <c r="AC2943" s="7"/>
      <c r="AD2943" s="7"/>
      <c r="AE2943" s="54"/>
    </row>
    <row r="2944" spans="2:31" s="1" customFormat="1" ht="96.3" customHeight="1" outlineLevel="5">
      <c r="B2944" s="57">
        <v>2284</v>
      </c>
      <c r="C2944" s="21" t="s">
        <v>10182</v>
      </c>
      <c r="D2944" s="72" t="s">
        <v>10183</v>
      </c>
      <c r="E2944" s="72"/>
      <c r="F2944" s="72"/>
      <c r="G2944" s="72"/>
      <c r="H2944" s="22" t="s">
        <v>10184</v>
      </c>
      <c r="I2944" s="23" t="s">
        <v>36</v>
      </c>
      <c r="J2944" s="22"/>
      <c r="K2944" s="20">
        <v>1</v>
      </c>
      <c r="L2944" s="32">
        <v>1780.13</v>
      </c>
      <c r="M2944" s="11"/>
      <c r="N2944" s="22">
        <f t="shared" si="142"/>
        <v>0</v>
      </c>
      <c r="O2944" s="25">
        <f>1.141*M2944</f>
        <v>0</v>
      </c>
      <c r="P2944" s="26">
        <f>0.00385*M2944</f>
        <v>0</v>
      </c>
      <c r="Q2944" s="30"/>
      <c r="R2944" s="22" t="s">
        <v>10185</v>
      </c>
      <c r="S2944" s="22"/>
      <c r="T2944" s="21" t="str">
        <f>HYPERLINK("https://miland.ru/api/getInfo/image/cd4dbf8a-1768-11ef-a25d-00155d82e908")</f>
        <v>https://miland.ru/api/getInfo/image/cd4dbf8a-1768-11ef-a25d-00155d82e908</v>
      </c>
      <c r="U2944" s="21"/>
      <c r="V2944" s="21" t="s">
        <v>8796</v>
      </c>
      <c r="W2944" s="21" t="s">
        <v>8646</v>
      </c>
      <c r="X2944" s="21"/>
      <c r="Y2944" s="21" t="s">
        <v>697</v>
      </c>
      <c r="Z2944" s="21"/>
      <c r="AA2944" s="21" t="str">
        <f>HYPERLINK("https://miland.ru/api/getInfo/item/cd4dbf8a-1768-11ef-a25d-00155d82e908")</f>
        <v>https://miland.ru/api/getInfo/item/cd4dbf8a-1768-11ef-a25d-00155d82e908</v>
      </c>
      <c r="AB2944" s="21" t="s">
        <v>42</v>
      </c>
      <c r="AC2944" s="21"/>
      <c r="AD2944" s="21"/>
    </row>
    <row r="2945" spans="2:31" s="1" customFormat="1" ht="96.3" customHeight="1" outlineLevel="5">
      <c r="B2945" s="57">
        <v>2285</v>
      </c>
      <c r="C2945" s="21" t="s">
        <v>10186</v>
      </c>
      <c r="D2945" s="72" t="s">
        <v>10187</v>
      </c>
      <c r="E2945" s="72"/>
      <c r="F2945" s="72"/>
      <c r="G2945" s="72"/>
      <c r="H2945" s="22" t="s">
        <v>10188</v>
      </c>
      <c r="I2945" s="23" t="s">
        <v>36</v>
      </c>
      <c r="J2945" s="22"/>
      <c r="K2945" s="20">
        <v>1</v>
      </c>
      <c r="L2945" s="32">
        <v>1474.52</v>
      </c>
      <c r="M2945" s="11"/>
      <c r="N2945" s="22">
        <f t="shared" si="142"/>
        <v>0</v>
      </c>
      <c r="O2945" s="25">
        <f>2.015*M2945</f>
        <v>0</v>
      </c>
      <c r="P2945" s="26">
        <f>0.00573*M2945</f>
        <v>0</v>
      </c>
      <c r="Q2945" s="30"/>
      <c r="R2945" s="22" t="s">
        <v>10189</v>
      </c>
      <c r="S2945" s="22"/>
      <c r="T2945" s="21" t="str">
        <f>HYPERLINK("https://miland.ru/api/getInfo/image/2b428eb9-7335-11ee-a248-00155d82e902")</f>
        <v>https://miland.ru/api/getInfo/image/2b428eb9-7335-11ee-a248-00155d82e902</v>
      </c>
      <c r="U2945" s="21"/>
      <c r="V2945" s="21" t="s">
        <v>8796</v>
      </c>
      <c r="W2945" s="21" t="s">
        <v>8646</v>
      </c>
      <c r="X2945" s="21"/>
      <c r="Y2945" s="21" t="s">
        <v>697</v>
      </c>
      <c r="Z2945" s="21"/>
      <c r="AA2945" s="21" t="str">
        <f>HYPERLINK("https://miland.ru/api/getInfo/item/2b428eb9-7335-11ee-a248-00155d82e902")</f>
        <v>https://miland.ru/api/getInfo/item/2b428eb9-7335-11ee-a248-00155d82e902</v>
      </c>
      <c r="AB2945" s="21" t="s">
        <v>42</v>
      </c>
      <c r="AC2945" s="21" t="s">
        <v>10190</v>
      </c>
      <c r="AD2945" s="21"/>
    </row>
    <row r="2946" spans="2:31" s="1" customFormat="1" ht="96.3" customHeight="1" outlineLevel="5">
      <c r="B2946" s="57">
        <v>2286</v>
      </c>
      <c r="C2946" s="21" t="s">
        <v>10191</v>
      </c>
      <c r="D2946" s="72" t="s">
        <v>10192</v>
      </c>
      <c r="E2946" s="72"/>
      <c r="F2946" s="72"/>
      <c r="G2946" s="72"/>
      <c r="H2946" s="22" t="s">
        <v>10193</v>
      </c>
      <c r="I2946" s="27">
        <v>67</v>
      </c>
      <c r="J2946" s="22"/>
      <c r="K2946" s="20">
        <v>1</v>
      </c>
      <c r="L2946" s="32">
        <v>1289.32</v>
      </c>
      <c r="M2946" s="11"/>
      <c r="N2946" s="22">
        <f t="shared" si="142"/>
        <v>0</v>
      </c>
      <c r="O2946" s="25">
        <f>0.741*M2946</f>
        <v>0</v>
      </c>
      <c r="P2946" s="26">
        <f>0.00554*M2946</f>
        <v>0</v>
      </c>
      <c r="Q2946" s="30"/>
      <c r="R2946" s="22" t="s">
        <v>10194</v>
      </c>
      <c r="S2946" s="22"/>
      <c r="T2946" s="21" t="str">
        <f>HYPERLINK("https://miland.ru/api/getInfo/image/3938a71f-1c20-11f0-a279-00155d82e908")</f>
        <v>https://miland.ru/api/getInfo/image/3938a71f-1c20-11f0-a279-00155d82e908</v>
      </c>
      <c r="U2946" s="21"/>
      <c r="V2946" s="21" t="s">
        <v>8796</v>
      </c>
      <c r="W2946" s="21" t="s">
        <v>8646</v>
      </c>
      <c r="X2946" s="21"/>
      <c r="Y2946" s="21" t="s">
        <v>697</v>
      </c>
      <c r="Z2946" s="21"/>
      <c r="AA2946" s="21" t="str">
        <f>HYPERLINK("https://miland.ru/api/getInfo/item/3938a71f-1c20-11f0-a279-00155d82e908")</f>
        <v>https://miland.ru/api/getInfo/item/3938a71f-1c20-11f0-a279-00155d82e908</v>
      </c>
      <c r="AB2946" s="21" t="s">
        <v>42</v>
      </c>
      <c r="AC2946" s="21"/>
      <c r="AD2946" s="21"/>
    </row>
    <row r="2947" spans="2:31" ht="12" customHeight="1" outlineLevel="4">
      <c r="B2947" s="70" t="s">
        <v>10195</v>
      </c>
      <c r="C2947" s="70"/>
      <c r="D2947" s="70"/>
      <c r="E2947" s="70"/>
      <c r="F2947" s="70"/>
      <c r="G2947" s="70"/>
    </row>
    <row r="2948" spans="2:31" s="1" customFormat="1" ht="96.3" customHeight="1" outlineLevel="5">
      <c r="B2948" s="57">
        <v>2287</v>
      </c>
      <c r="C2948" s="21" t="s">
        <v>10196</v>
      </c>
      <c r="D2948" s="72" t="s">
        <v>10197</v>
      </c>
      <c r="E2948" s="72"/>
      <c r="F2948" s="72"/>
      <c r="G2948" s="72"/>
      <c r="H2948" s="22" t="s">
        <v>10198</v>
      </c>
      <c r="I2948" s="27">
        <v>59</v>
      </c>
      <c r="J2948" s="22"/>
      <c r="K2948" s="20">
        <v>1</v>
      </c>
      <c r="L2948" s="24">
        <v>976.16</v>
      </c>
      <c r="M2948" s="11"/>
      <c r="N2948" s="22">
        <f t="shared" ref="N2948:N2956" si="143">L2948*M2948</f>
        <v>0</v>
      </c>
      <c r="O2948" s="25">
        <f>0.237*M2948</f>
        <v>0</v>
      </c>
      <c r="P2948" s="26">
        <f>0.00193*M2948</f>
        <v>0</v>
      </c>
      <c r="Q2948" s="30"/>
      <c r="R2948" s="22" t="s">
        <v>10199</v>
      </c>
      <c r="S2948" s="22" t="s">
        <v>435</v>
      </c>
      <c r="T2948" s="21" t="str">
        <f>HYPERLINK("https://miland.ru/api/getInfo/image/273400bb-1763-11ef-a25d-00155d82e908")</f>
        <v>https://miland.ru/api/getInfo/image/273400bb-1763-11ef-a25d-00155d82e908</v>
      </c>
      <c r="U2948" s="21"/>
      <c r="V2948" s="21"/>
      <c r="W2948" s="21" t="s">
        <v>10128</v>
      </c>
      <c r="X2948" s="21"/>
      <c r="Y2948" s="21" t="s">
        <v>41</v>
      </c>
      <c r="Z2948" s="21"/>
      <c r="AA2948" s="21" t="str">
        <f>HYPERLINK("https://miland.ru/api/getInfo/item/273400bb-1763-11ef-a25d-00155d82e908")</f>
        <v>https://miland.ru/api/getInfo/item/273400bb-1763-11ef-a25d-00155d82e908</v>
      </c>
      <c r="AB2948" s="21" t="s">
        <v>42</v>
      </c>
      <c r="AC2948" s="21"/>
      <c r="AD2948" s="21"/>
    </row>
    <row r="2949" spans="2:31" s="1" customFormat="1" ht="96.3" customHeight="1" outlineLevel="5">
      <c r="B2949" s="59">
        <v>2288</v>
      </c>
      <c r="C2949" s="35" t="s">
        <v>10200</v>
      </c>
      <c r="D2949" s="73" t="s">
        <v>10201</v>
      </c>
      <c r="E2949" s="73"/>
      <c r="F2949" s="73"/>
      <c r="G2949" s="73"/>
      <c r="H2949" s="36" t="s">
        <v>10202</v>
      </c>
      <c r="I2949" s="40">
        <v>423</v>
      </c>
      <c r="J2949" s="36"/>
      <c r="K2949" s="34">
        <v>1</v>
      </c>
      <c r="L2949" s="41">
        <v>650.77333333333331</v>
      </c>
      <c r="M2949" s="11"/>
      <c r="N2949" s="36">
        <f t="shared" si="143"/>
        <v>0</v>
      </c>
      <c r="O2949" s="47">
        <f>0.24*M2949</f>
        <v>0</v>
      </c>
      <c r="P2949" s="43">
        <f>0.00768*M2949</f>
        <v>0</v>
      </c>
      <c r="Q2949" s="50"/>
      <c r="R2949" s="36" t="s">
        <v>10203</v>
      </c>
      <c r="S2949" s="36"/>
      <c r="T2949" s="35" t="str">
        <f>HYPERLINK("https://miland.ru/api/getInfo/image/73f1f1fe-1763-11ef-a25d-00155d82e908")</f>
        <v>https://miland.ru/api/getInfo/image/73f1f1fe-1763-11ef-a25d-00155d82e908</v>
      </c>
      <c r="U2949" s="35"/>
      <c r="V2949" s="35"/>
      <c r="W2949" s="35" t="s">
        <v>10128</v>
      </c>
      <c r="X2949" s="35"/>
      <c r="Y2949" s="35" t="s">
        <v>41</v>
      </c>
      <c r="Z2949" s="35"/>
      <c r="AA2949" s="35" t="str">
        <f>HYPERLINK("https://miland.ru/api/getInfo/item/73f1f1fe-1763-11ef-a25d-00155d82e908")</f>
        <v>https://miland.ru/api/getInfo/item/73f1f1fe-1763-11ef-a25d-00155d82e908</v>
      </c>
      <c r="AB2949" s="35" t="s">
        <v>42</v>
      </c>
      <c r="AC2949" s="35"/>
      <c r="AD2949" s="35"/>
      <c r="AE2949" s="52" t="s">
        <v>9152</v>
      </c>
    </row>
    <row r="2950" spans="2:31" s="1" customFormat="1" ht="96.3" customHeight="1" outlineLevel="5">
      <c r="B2950" s="57">
        <v>2289</v>
      </c>
      <c r="C2950" s="21" t="s">
        <v>10204</v>
      </c>
      <c r="D2950" s="72" t="s">
        <v>10205</v>
      </c>
      <c r="E2950" s="72"/>
      <c r="F2950" s="72"/>
      <c r="G2950" s="72"/>
      <c r="H2950" s="22" t="s">
        <v>10206</v>
      </c>
      <c r="I2950" s="27">
        <v>6</v>
      </c>
      <c r="J2950" s="22"/>
      <c r="K2950" s="20">
        <v>1</v>
      </c>
      <c r="L2950" s="24">
        <v>895.44</v>
      </c>
      <c r="M2950" s="11"/>
      <c r="N2950" s="22">
        <f t="shared" si="143"/>
        <v>0</v>
      </c>
      <c r="O2950" s="25">
        <f>0.239*M2950</f>
        <v>0</v>
      </c>
      <c r="P2950" s="26">
        <f>0.00178*M2950</f>
        <v>0</v>
      </c>
      <c r="Q2950" s="30"/>
      <c r="R2950" s="22" t="s">
        <v>10207</v>
      </c>
      <c r="S2950" s="22" t="s">
        <v>435</v>
      </c>
      <c r="T2950" s="21" t="str">
        <f>HYPERLINK("https://miland.ru/api/getInfo/image/bd2c8ff2-e1ca-11ee-a25a-00155d82e908")</f>
        <v>https://miland.ru/api/getInfo/image/bd2c8ff2-e1ca-11ee-a25a-00155d82e908</v>
      </c>
      <c r="U2950" s="21"/>
      <c r="V2950" s="21"/>
      <c r="W2950" s="21" t="s">
        <v>10094</v>
      </c>
      <c r="X2950" s="21"/>
      <c r="Y2950" s="21" t="s">
        <v>41</v>
      </c>
      <c r="Z2950" s="21"/>
      <c r="AA2950" s="21" t="str">
        <f>HYPERLINK("https://miland.ru/api/getInfo/item/bd2c8ff2-e1ca-11ee-a25a-00155d82e908")</f>
        <v>https://miland.ru/api/getInfo/item/bd2c8ff2-e1ca-11ee-a25a-00155d82e908</v>
      </c>
      <c r="AB2950" s="21" t="s">
        <v>42</v>
      </c>
      <c r="AC2950" s="21" t="s">
        <v>9856</v>
      </c>
      <c r="AD2950" s="21"/>
    </row>
    <row r="2951" spans="2:31" s="1" customFormat="1" ht="96.3" customHeight="1" outlineLevel="5">
      <c r="B2951" s="59">
        <v>2290</v>
      </c>
      <c r="C2951" s="35" t="s">
        <v>10208</v>
      </c>
      <c r="D2951" s="73" t="s">
        <v>10209</v>
      </c>
      <c r="E2951" s="73"/>
      <c r="F2951" s="73"/>
      <c r="G2951" s="73"/>
      <c r="H2951" s="36" t="s">
        <v>10210</v>
      </c>
      <c r="I2951" s="56" t="s">
        <v>36</v>
      </c>
      <c r="J2951" s="36"/>
      <c r="K2951" s="34">
        <v>1</v>
      </c>
      <c r="L2951" s="41">
        <v>466.45333333333332</v>
      </c>
      <c r="M2951" s="11"/>
      <c r="N2951" s="36">
        <f t="shared" si="143"/>
        <v>0</v>
      </c>
      <c r="O2951" s="42">
        <f>0.233*M2951</f>
        <v>0</v>
      </c>
      <c r="P2951" s="43">
        <f>0.00192*M2951</f>
        <v>0</v>
      </c>
      <c r="Q2951" s="50"/>
      <c r="R2951" s="36" t="s">
        <v>10211</v>
      </c>
      <c r="S2951" s="36"/>
      <c r="T2951" s="35" t="str">
        <f>HYPERLINK("https://miland.ru/api/getInfo/image/901b319c-e1ca-11ee-a25a-00155d82e908")</f>
        <v>https://miland.ru/api/getInfo/image/901b319c-e1ca-11ee-a25a-00155d82e908</v>
      </c>
      <c r="U2951" s="35"/>
      <c r="V2951" s="35"/>
      <c r="W2951" s="35" t="s">
        <v>10128</v>
      </c>
      <c r="X2951" s="35"/>
      <c r="Y2951" s="35" t="s">
        <v>41</v>
      </c>
      <c r="Z2951" s="35"/>
      <c r="AA2951" s="35" t="str">
        <f>HYPERLINK("https://miland.ru/api/getInfo/item/901b319c-e1ca-11ee-a25a-00155d82e908")</f>
        <v>https://miland.ru/api/getInfo/item/901b319c-e1ca-11ee-a25a-00155d82e908</v>
      </c>
      <c r="AB2951" s="35" t="s">
        <v>42</v>
      </c>
      <c r="AC2951" s="35" t="s">
        <v>9856</v>
      </c>
      <c r="AD2951" s="35"/>
      <c r="AE2951" s="52" t="s">
        <v>9152</v>
      </c>
    </row>
    <row r="2952" spans="2:31" s="1" customFormat="1" ht="96.3" customHeight="1" outlineLevel="5">
      <c r="B2952" s="59">
        <v>2291</v>
      </c>
      <c r="C2952" s="35" t="s">
        <v>10212</v>
      </c>
      <c r="D2952" s="73" t="s">
        <v>10213</v>
      </c>
      <c r="E2952" s="73"/>
      <c r="F2952" s="73"/>
      <c r="G2952" s="73"/>
      <c r="H2952" s="36" t="s">
        <v>10214</v>
      </c>
      <c r="I2952" s="56" t="s">
        <v>36</v>
      </c>
      <c r="J2952" s="36"/>
      <c r="K2952" s="34">
        <v>1</v>
      </c>
      <c r="L2952" s="41">
        <v>466.45333333333332</v>
      </c>
      <c r="M2952" s="11"/>
      <c r="N2952" s="36">
        <f t="shared" si="143"/>
        <v>0</v>
      </c>
      <c r="O2952" s="42">
        <f>0.227*M2952</f>
        <v>0</v>
      </c>
      <c r="P2952" s="43">
        <f>0.00192*M2952</f>
        <v>0</v>
      </c>
      <c r="Q2952" s="50"/>
      <c r="R2952" s="36" t="s">
        <v>10215</v>
      </c>
      <c r="S2952" s="36" t="s">
        <v>435</v>
      </c>
      <c r="T2952" s="35" t="str">
        <f>HYPERLINK("https://miland.ru/api/getInfo/image/a7c0d45d-e1ca-11ee-a25a-00155d82e908")</f>
        <v>https://miland.ru/api/getInfo/image/a7c0d45d-e1ca-11ee-a25a-00155d82e908</v>
      </c>
      <c r="U2952" s="35"/>
      <c r="V2952" s="35"/>
      <c r="W2952" s="35" t="s">
        <v>10128</v>
      </c>
      <c r="X2952" s="35"/>
      <c r="Y2952" s="35" t="s">
        <v>41</v>
      </c>
      <c r="Z2952" s="35"/>
      <c r="AA2952" s="35" t="str">
        <f>HYPERLINK("https://miland.ru/api/getInfo/item/a7c0d45d-e1ca-11ee-a25a-00155d82e908")</f>
        <v>https://miland.ru/api/getInfo/item/a7c0d45d-e1ca-11ee-a25a-00155d82e908</v>
      </c>
      <c r="AB2952" s="35" t="s">
        <v>42</v>
      </c>
      <c r="AC2952" s="35" t="s">
        <v>9856</v>
      </c>
      <c r="AD2952" s="35"/>
      <c r="AE2952" s="52" t="s">
        <v>9152</v>
      </c>
    </row>
    <row r="2953" spans="2:31" s="1" customFormat="1" ht="96.3" customHeight="1" outlineLevel="5">
      <c r="B2953" s="57">
        <v>2292</v>
      </c>
      <c r="C2953" s="21" t="s">
        <v>10216</v>
      </c>
      <c r="D2953" s="72" t="s">
        <v>10217</v>
      </c>
      <c r="E2953" s="72"/>
      <c r="F2953" s="72"/>
      <c r="G2953" s="72"/>
      <c r="H2953" s="22" t="s">
        <v>10218</v>
      </c>
      <c r="I2953" s="27">
        <v>273</v>
      </c>
      <c r="J2953" s="22"/>
      <c r="K2953" s="20">
        <v>1</v>
      </c>
      <c r="L2953" s="24">
        <v>899.09</v>
      </c>
      <c r="M2953" s="11"/>
      <c r="N2953" s="22">
        <f t="shared" si="143"/>
        <v>0</v>
      </c>
      <c r="O2953" s="25">
        <f>0.211*M2953</f>
        <v>0</v>
      </c>
      <c r="P2953" s="29">
        <f>0.0014*M2953</f>
        <v>0</v>
      </c>
      <c r="Q2953" s="30"/>
      <c r="R2953" s="22" t="s">
        <v>10219</v>
      </c>
      <c r="S2953" s="22" t="s">
        <v>435</v>
      </c>
      <c r="T2953" s="21" t="str">
        <f>HYPERLINK("https://miland.ru/api/getInfo/image/a491f050-1763-11ef-a25d-00155d82e908")</f>
        <v>https://miland.ru/api/getInfo/image/a491f050-1763-11ef-a25d-00155d82e908</v>
      </c>
      <c r="U2953" s="21"/>
      <c r="V2953" s="21"/>
      <c r="W2953" s="21" t="s">
        <v>10128</v>
      </c>
      <c r="X2953" s="21"/>
      <c r="Y2953" s="21" t="s">
        <v>41</v>
      </c>
      <c r="Z2953" s="21"/>
      <c r="AA2953" s="21" t="str">
        <f>HYPERLINK("https://miland.ru/api/getInfo/item/a491f050-1763-11ef-a25d-00155d82e908")</f>
        <v>https://miland.ru/api/getInfo/item/a491f050-1763-11ef-a25d-00155d82e908</v>
      </c>
      <c r="AB2953" s="21" t="s">
        <v>42</v>
      </c>
      <c r="AC2953" s="21"/>
      <c r="AD2953" s="21"/>
    </row>
    <row r="2954" spans="2:31" s="1" customFormat="1" ht="96.3" customHeight="1" outlineLevel="5">
      <c r="B2954" s="57">
        <v>2293</v>
      </c>
      <c r="C2954" s="21" t="s">
        <v>10220</v>
      </c>
      <c r="D2954" s="72" t="s">
        <v>10221</v>
      </c>
      <c r="E2954" s="72"/>
      <c r="F2954" s="72"/>
      <c r="G2954" s="72"/>
      <c r="H2954" s="22" t="s">
        <v>10222</v>
      </c>
      <c r="I2954" s="27">
        <v>158</v>
      </c>
      <c r="J2954" s="22"/>
      <c r="K2954" s="20">
        <v>1</v>
      </c>
      <c r="L2954" s="24">
        <v>899.09</v>
      </c>
      <c r="M2954" s="11"/>
      <c r="N2954" s="22">
        <f t="shared" si="143"/>
        <v>0</v>
      </c>
      <c r="O2954" s="25">
        <f>0.209*M2954</f>
        <v>0</v>
      </c>
      <c r="P2954" s="29">
        <f>0.0014*M2954</f>
        <v>0</v>
      </c>
      <c r="Q2954" s="30"/>
      <c r="R2954" s="22" t="s">
        <v>10223</v>
      </c>
      <c r="S2954" s="22" t="s">
        <v>435</v>
      </c>
      <c r="T2954" s="21" t="str">
        <f>HYPERLINK("https://miland.ru/api/getInfo/image/ff7581e8-1763-11ef-a25d-00155d82e908")</f>
        <v>https://miland.ru/api/getInfo/image/ff7581e8-1763-11ef-a25d-00155d82e908</v>
      </c>
      <c r="U2954" s="21"/>
      <c r="V2954" s="21"/>
      <c r="W2954" s="21" t="s">
        <v>10128</v>
      </c>
      <c r="X2954" s="21"/>
      <c r="Y2954" s="21" t="s">
        <v>41</v>
      </c>
      <c r="Z2954" s="21"/>
      <c r="AA2954" s="21" t="str">
        <f>HYPERLINK("https://miland.ru/api/getInfo/item/ff7581e8-1763-11ef-a25d-00155d82e908")</f>
        <v>https://miland.ru/api/getInfo/item/ff7581e8-1763-11ef-a25d-00155d82e908</v>
      </c>
      <c r="AB2954" s="21" t="s">
        <v>42</v>
      </c>
      <c r="AC2954" s="21"/>
      <c r="AD2954" s="21"/>
    </row>
    <row r="2955" spans="2:31" s="1" customFormat="1" ht="96.3" customHeight="1" outlineLevel="5">
      <c r="B2955" s="57">
        <v>2294</v>
      </c>
      <c r="C2955" s="21" t="s">
        <v>10224</v>
      </c>
      <c r="D2955" s="72" t="s">
        <v>10225</v>
      </c>
      <c r="E2955" s="72"/>
      <c r="F2955" s="72"/>
      <c r="G2955" s="72"/>
      <c r="H2955" s="22" t="s">
        <v>10226</v>
      </c>
      <c r="I2955" s="27">
        <v>195</v>
      </c>
      <c r="J2955" s="22"/>
      <c r="K2955" s="20">
        <v>1</v>
      </c>
      <c r="L2955" s="24">
        <v>477.01</v>
      </c>
      <c r="M2955" s="11"/>
      <c r="N2955" s="22">
        <f t="shared" si="143"/>
        <v>0</v>
      </c>
      <c r="O2955" s="25">
        <f>0.185*M2955</f>
        <v>0</v>
      </c>
      <c r="P2955" s="26">
        <f>0.00122*M2955</f>
        <v>0</v>
      </c>
      <c r="Q2955" s="30"/>
      <c r="R2955" s="22" t="s">
        <v>10227</v>
      </c>
      <c r="S2955" s="22" t="s">
        <v>435</v>
      </c>
      <c r="T2955" s="21" t="str">
        <f>HYPERLINK("https://miland.ru/api/getInfo/image/6ab20ded-2182-11ee-a23d-00155d82e902")</f>
        <v>https://miland.ru/api/getInfo/image/6ab20ded-2182-11ee-a23d-00155d82e902</v>
      </c>
      <c r="U2955" s="21"/>
      <c r="V2955" s="21"/>
      <c r="W2955" s="21" t="s">
        <v>10128</v>
      </c>
      <c r="X2955" s="21"/>
      <c r="Y2955" s="21" t="s">
        <v>41</v>
      </c>
      <c r="Z2955" s="21"/>
      <c r="AA2955" s="21" t="str">
        <f>HYPERLINK("https://miland.ru/api/getInfo/item/6ab20ded-2182-11ee-a23d-00155d82e902")</f>
        <v>https://miland.ru/api/getInfo/item/6ab20ded-2182-11ee-a23d-00155d82e902</v>
      </c>
      <c r="AB2955" s="21" t="s">
        <v>42</v>
      </c>
      <c r="AC2955" s="21"/>
      <c r="AD2955" s="21"/>
    </row>
    <row r="2956" spans="2:31" s="1" customFormat="1" ht="96.3" customHeight="1" outlineLevel="5">
      <c r="B2956" s="57">
        <v>2295</v>
      </c>
      <c r="C2956" s="21" t="s">
        <v>10228</v>
      </c>
      <c r="D2956" s="72" t="s">
        <v>10229</v>
      </c>
      <c r="E2956" s="72"/>
      <c r="F2956" s="72"/>
      <c r="G2956" s="72"/>
      <c r="H2956" s="22" t="s">
        <v>10230</v>
      </c>
      <c r="I2956" s="23" t="s">
        <v>36</v>
      </c>
      <c r="J2956" s="22"/>
      <c r="K2956" s="20">
        <v>1</v>
      </c>
      <c r="L2956" s="24">
        <v>503.26</v>
      </c>
      <c r="M2956" s="11"/>
      <c r="N2956" s="22">
        <f t="shared" si="143"/>
        <v>0</v>
      </c>
      <c r="O2956" s="28">
        <f>0.18*M2956</f>
        <v>0</v>
      </c>
      <c r="P2956" s="26">
        <f>0.00131*M2956</f>
        <v>0</v>
      </c>
      <c r="Q2956" s="30"/>
      <c r="R2956" s="22" t="s">
        <v>10231</v>
      </c>
      <c r="S2956" s="22" t="s">
        <v>435</v>
      </c>
      <c r="T2956" s="21" t="str">
        <f>HYPERLINK("https://miland.ru/api/getInfo/image/964f43f5-2182-11ee-a23d-00155d82e902")</f>
        <v>https://miland.ru/api/getInfo/image/964f43f5-2182-11ee-a23d-00155d82e902</v>
      </c>
      <c r="U2956" s="21"/>
      <c r="V2956" s="21"/>
      <c r="W2956" s="21" t="s">
        <v>10128</v>
      </c>
      <c r="X2956" s="21"/>
      <c r="Y2956" s="21" t="s">
        <v>41</v>
      </c>
      <c r="Z2956" s="21"/>
      <c r="AA2956" s="21" t="str">
        <f>HYPERLINK("https://miland.ru/api/getInfo/item/964f43f5-2182-11ee-a23d-00155d82e902")</f>
        <v>https://miland.ru/api/getInfo/item/964f43f5-2182-11ee-a23d-00155d82e902</v>
      </c>
      <c r="AB2956" s="21" t="s">
        <v>42</v>
      </c>
      <c r="AC2956" s="21"/>
      <c r="AD2956" s="21"/>
    </row>
    <row r="2957" spans="2:31" ht="12" customHeight="1" outlineLevel="4">
      <c r="B2957" s="70" t="s">
        <v>10232</v>
      </c>
      <c r="C2957" s="70"/>
      <c r="D2957" s="70"/>
      <c r="E2957" s="70"/>
      <c r="F2957" s="70"/>
      <c r="G2957" s="70"/>
    </row>
    <row r="2958" spans="2:31" s="1" customFormat="1" ht="96.3" customHeight="1" outlineLevel="5">
      <c r="B2958" s="59">
        <v>2296</v>
      </c>
      <c r="C2958" s="35" t="s">
        <v>10233</v>
      </c>
      <c r="D2958" s="73" t="s">
        <v>10234</v>
      </c>
      <c r="E2958" s="73"/>
      <c r="F2958" s="73"/>
      <c r="G2958" s="73"/>
      <c r="H2958" s="36" t="s">
        <v>10235</v>
      </c>
      <c r="I2958" s="40">
        <v>371</v>
      </c>
      <c r="J2958" s="36"/>
      <c r="K2958" s="34">
        <v>1</v>
      </c>
      <c r="L2958" s="41">
        <v>475.97333333333336</v>
      </c>
      <c r="M2958" s="11"/>
      <c r="N2958" s="36">
        <f>L2958*M2958</f>
        <v>0</v>
      </c>
      <c r="O2958" s="42">
        <f>0.484*M2958</f>
        <v>0</v>
      </c>
      <c r="P2958" s="43">
        <f>0.00689*M2958</f>
        <v>0</v>
      </c>
      <c r="Q2958" s="50" t="s">
        <v>37</v>
      </c>
      <c r="R2958" s="36" t="s">
        <v>10236</v>
      </c>
      <c r="S2958" s="36"/>
      <c r="T2958" s="35" t="str">
        <f>HYPERLINK("https://miland.ru/api/getInfo/image/b01aa93b-7bf3-11f0-a284-00155d82e908")</f>
        <v>https://miland.ru/api/getInfo/image/b01aa93b-7bf3-11f0-a284-00155d82e908</v>
      </c>
      <c r="U2958" s="35"/>
      <c r="V2958" s="35"/>
      <c r="W2958" s="35" t="s">
        <v>185</v>
      </c>
      <c r="X2958" s="35"/>
      <c r="Y2958" s="35" t="s">
        <v>41</v>
      </c>
      <c r="Z2958" s="35"/>
      <c r="AA2958" s="35" t="str">
        <f>HYPERLINK("https://miland.ru/api/getInfo/item/b01aa93b-7bf3-11f0-a284-00155d82e908")</f>
        <v>https://miland.ru/api/getInfo/item/b01aa93b-7bf3-11f0-a284-00155d82e908</v>
      </c>
      <c r="AB2958" s="35" t="s">
        <v>42</v>
      </c>
      <c r="AC2958" s="35"/>
      <c r="AD2958" s="35"/>
      <c r="AE2958" s="52" t="s">
        <v>9152</v>
      </c>
    </row>
    <row r="2959" spans="2:31" s="1" customFormat="1" ht="96.3" customHeight="1" outlineLevel="5">
      <c r="B2959" s="57">
        <v>2297</v>
      </c>
      <c r="C2959" s="21" t="s">
        <v>10237</v>
      </c>
      <c r="D2959" s="72" t="s">
        <v>10238</v>
      </c>
      <c r="E2959" s="72"/>
      <c r="F2959" s="72"/>
      <c r="G2959" s="72"/>
      <c r="H2959" s="22" t="s">
        <v>10239</v>
      </c>
      <c r="I2959" s="27">
        <v>475</v>
      </c>
      <c r="J2959" s="22"/>
      <c r="K2959" s="20">
        <v>1</v>
      </c>
      <c r="L2959" s="24">
        <v>904.28</v>
      </c>
      <c r="M2959" s="11"/>
      <c r="N2959" s="22">
        <f>L2959*M2959</f>
        <v>0</v>
      </c>
      <c r="O2959" s="25">
        <f>0.559*M2959</f>
        <v>0</v>
      </c>
      <c r="P2959" s="26">
        <f>0.00591*M2959</f>
        <v>0</v>
      </c>
      <c r="Q2959" s="30"/>
      <c r="R2959" s="22" t="s">
        <v>10240</v>
      </c>
      <c r="S2959" s="22"/>
      <c r="T2959" s="21" t="str">
        <f>HYPERLINK("https://miland.ru/api/getInfo/image/d3318e19-1c23-11f0-a279-00155d82e908")</f>
        <v>https://miland.ru/api/getInfo/image/d3318e19-1c23-11f0-a279-00155d82e908</v>
      </c>
      <c r="U2959" s="21"/>
      <c r="V2959" s="21"/>
      <c r="W2959" s="21" t="s">
        <v>185</v>
      </c>
      <c r="X2959" s="21"/>
      <c r="Y2959" s="21" t="s">
        <v>41</v>
      </c>
      <c r="Z2959" s="21"/>
      <c r="AA2959" s="21" t="str">
        <f>HYPERLINK("https://miland.ru/api/getInfo/item/d3318e19-1c23-11f0-a279-00155d82e908")</f>
        <v>https://miland.ru/api/getInfo/item/d3318e19-1c23-11f0-a279-00155d82e908</v>
      </c>
      <c r="AB2959" s="21" t="s">
        <v>42</v>
      </c>
      <c r="AC2959" s="21"/>
      <c r="AD2959" s="21"/>
    </row>
    <row r="2960" spans="2:31" s="1" customFormat="1" ht="96.3" customHeight="1" outlineLevel="5">
      <c r="B2960" s="57">
        <v>2298</v>
      </c>
      <c r="C2960" s="21" t="s">
        <v>10241</v>
      </c>
      <c r="D2960" s="72" t="s">
        <v>10242</v>
      </c>
      <c r="E2960" s="72"/>
      <c r="F2960" s="72"/>
      <c r="G2960" s="72"/>
      <c r="H2960" s="22" t="s">
        <v>10243</v>
      </c>
      <c r="I2960" s="27">
        <v>221</v>
      </c>
      <c r="J2960" s="22"/>
      <c r="K2960" s="20">
        <v>1</v>
      </c>
      <c r="L2960" s="24">
        <v>828.92</v>
      </c>
      <c r="M2960" s="11"/>
      <c r="N2960" s="22">
        <f>L2960*M2960</f>
        <v>0</v>
      </c>
      <c r="O2960" s="25">
        <f>0.588*M2960</f>
        <v>0</v>
      </c>
      <c r="P2960" s="26">
        <f>0.00496*M2960</f>
        <v>0</v>
      </c>
      <c r="Q2960" s="30"/>
      <c r="R2960" s="22" t="s">
        <v>10244</v>
      </c>
      <c r="S2960" s="22"/>
      <c r="T2960" s="21" t="str">
        <f>HYPERLINK("https://miland.ru/api/getInfo/image/79b7ad21-1c24-11f0-a279-00155d82e908")</f>
        <v>https://miland.ru/api/getInfo/image/79b7ad21-1c24-11f0-a279-00155d82e908</v>
      </c>
      <c r="U2960" s="21"/>
      <c r="V2960" s="21"/>
      <c r="W2960" s="21" t="s">
        <v>185</v>
      </c>
      <c r="X2960" s="21"/>
      <c r="Y2960" s="21" t="s">
        <v>41</v>
      </c>
      <c r="Z2960" s="21"/>
      <c r="AA2960" s="21" t="str">
        <f>HYPERLINK("https://miland.ru/api/getInfo/item/79b7ad21-1c24-11f0-a279-00155d82e908")</f>
        <v>https://miland.ru/api/getInfo/item/79b7ad21-1c24-11f0-a279-00155d82e908</v>
      </c>
      <c r="AB2960" s="21" t="s">
        <v>42</v>
      </c>
      <c r="AC2960" s="21"/>
      <c r="AD2960" s="21"/>
    </row>
    <row r="2961" spans="2:31" s="1" customFormat="1" ht="96.3" customHeight="1" outlineLevel="5">
      <c r="B2961" s="57">
        <v>2299</v>
      </c>
      <c r="C2961" s="21" t="s">
        <v>10245</v>
      </c>
      <c r="D2961" s="72" t="s">
        <v>10246</v>
      </c>
      <c r="E2961" s="72"/>
      <c r="F2961" s="72"/>
      <c r="G2961" s="72"/>
      <c r="H2961" s="22" t="s">
        <v>10247</v>
      </c>
      <c r="I2961" s="27">
        <v>210</v>
      </c>
      <c r="J2961" s="22"/>
      <c r="K2961" s="20">
        <v>1</v>
      </c>
      <c r="L2961" s="24">
        <v>828.92</v>
      </c>
      <c r="M2961" s="11"/>
      <c r="N2961" s="22">
        <f>L2961*M2961</f>
        <v>0</v>
      </c>
      <c r="O2961" s="25">
        <f>0.587*M2961</f>
        <v>0</v>
      </c>
      <c r="P2961" s="26">
        <f>0.00498*M2961</f>
        <v>0</v>
      </c>
      <c r="Q2961" s="30"/>
      <c r="R2961" s="22" t="s">
        <v>10248</v>
      </c>
      <c r="S2961" s="22"/>
      <c r="T2961" s="21" t="str">
        <f>HYPERLINK("https://miland.ru/api/getInfo/image/31768cad-1c24-11f0-a279-00155d82e908")</f>
        <v>https://miland.ru/api/getInfo/image/31768cad-1c24-11f0-a279-00155d82e908</v>
      </c>
      <c r="U2961" s="21"/>
      <c r="V2961" s="21"/>
      <c r="W2961" s="21" t="s">
        <v>185</v>
      </c>
      <c r="X2961" s="21"/>
      <c r="Y2961" s="21" t="s">
        <v>41</v>
      </c>
      <c r="Z2961" s="21"/>
      <c r="AA2961" s="21" t="str">
        <f>HYPERLINK("https://miland.ru/api/getInfo/item/31768cad-1c24-11f0-a279-00155d82e908")</f>
        <v>https://miland.ru/api/getInfo/item/31768cad-1c24-11f0-a279-00155d82e908</v>
      </c>
      <c r="AB2961" s="21" t="s">
        <v>42</v>
      </c>
      <c r="AC2961" s="21"/>
      <c r="AD2961" s="21"/>
    </row>
    <row r="2962" spans="2:31" ht="12" customHeight="1" outlineLevel="4">
      <c r="B2962" s="70" t="s">
        <v>10249</v>
      </c>
      <c r="C2962" s="70"/>
      <c r="D2962" s="70"/>
      <c r="E2962" s="70"/>
      <c r="F2962" s="70"/>
      <c r="G2962" s="70"/>
    </row>
    <row r="2963" spans="2:31" ht="12" customHeight="1" outlineLevel="5">
      <c r="B2963" s="70" t="s">
        <v>10250</v>
      </c>
      <c r="C2963" s="70"/>
      <c r="D2963" s="70"/>
      <c r="E2963" s="70"/>
      <c r="F2963" s="70"/>
      <c r="G2963" s="70"/>
    </row>
    <row r="2964" spans="2:31" ht="12" customHeight="1" outlineLevel="6">
      <c r="B2964" s="70" t="s">
        <v>10251</v>
      </c>
      <c r="C2964" s="70"/>
      <c r="D2964" s="70"/>
      <c r="E2964" s="70"/>
      <c r="F2964" s="70"/>
      <c r="G2964" s="70"/>
    </row>
    <row r="2965" spans="2:31" s="1" customFormat="1" ht="96.3" customHeight="1" outlineLevel="7">
      <c r="B2965" s="58">
        <v>2300</v>
      </c>
      <c r="C2965" s="7" t="s">
        <v>10252</v>
      </c>
      <c r="D2965" s="71" t="s">
        <v>10253</v>
      </c>
      <c r="E2965" s="71"/>
      <c r="F2965" s="71"/>
      <c r="G2965" s="71"/>
      <c r="H2965" s="8" t="s">
        <v>10254</v>
      </c>
      <c r="I2965" s="9" t="s">
        <v>36</v>
      </c>
      <c r="J2965" s="8"/>
      <c r="K2965" s="6">
        <v>1</v>
      </c>
      <c r="L2965" s="10">
        <v>569.74</v>
      </c>
      <c r="M2965" s="11"/>
      <c r="N2965" s="8">
        <f>L2965*M2965</f>
        <v>0</v>
      </c>
      <c r="O2965" s="8">
        <v>0</v>
      </c>
      <c r="P2965" s="8">
        <v>0</v>
      </c>
      <c r="Q2965" s="17" t="s">
        <v>37</v>
      </c>
      <c r="R2965" s="8" t="s">
        <v>10255</v>
      </c>
      <c r="S2965" s="8"/>
      <c r="T2965" s="7" t="str">
        <f>HYPERLINK("https://miland.ru/api/getInfo/image/b2fcb97d-280e-11f1-a291-00155d82e908")</f>
        <v>https://miland.ru/api/getInfo/image/b2fcb97d-280e-11f1-a291-00155d82e908</v>
      </c>
      <c r="U2965" s="7"/>
      <c r="V2965" s="7"/>
      <c r="W2965" s="7" t="s">
        <v>8646</v>
      </c>
      <c r="X2965" s="7"/>
      <c r="Y2965" s="7" t="s">
        <v>41</v>
      </c>
      <c r="Z2965" s="7"/>
      <c r="AA2965" s="7" t="str">
        <f>HYPERLINK("https://miland.ru/api/getInfo/item/b2fcb97d-280e-11f1-a291-00155d82e908")</f>
        <v>https://miland.ru/api/getInfo/item/b2fcb97d-280e-11f1-a291-00155d82e908</v>
      </c>
      <c r="AB2965" s="7" t="s">
        <v>42</v>
      </c>
      <c r="AC2965" s="7"/>
      <c r="AD2965" s="7"/>
      <c r="AE2965" s="54"/>
    </row>
    <row r="2966" spans="2:31" s="1" customFormat="1" ht="96.3" customHeight="1" outlineLevel="7">
      <c r="B2966" s="58">
        <v>2301</v>
      </c>
      <c r="C2966" s="7" t="s">
        <v>10256</v>
      </c>
      <c r="D2966" s="71" t="s">
        <v>10257</v>
      </c>
      <c r="E2966" s="71"/>
      <c r="F2966" s="71"/>
      <c r="G2966" s="71"/>
      <c r="H2966" s="8" t="s">
        <v>10258</v>
      </c>
      <c r="I2966" s="9" t="s">
        <v>36</v>
      </c>
      <c r="J2966" s="8"/>
      <c r="K2966" s="6">
        <v>1</v>
      </c>
      <c r="L2966" s="10">
        <v>569.74</v>
      </c>
      <c r="M2966" s="11"/>
      <c r="N2966" s="8">
        <f>L2966*M2966</f>
        <v>0</v>
      </c>
      <c r="O2966" s="8">
        <v>0</v>
      </c>
      <c r="P2966" s="8">
        <v>0</v>
      </c>
      <c r="Q2966" s="17" t="s">
        <v>37</v>
      </c>
      <c r="R2966" s="8" t="s">
        <v>10259</v>
      </c>
      <c r="S2966" s="8"/>
      <c r="T2966" s="7" t="str">
        <f>HYPERLINK("https://miland.ru/api/getInfo/image/3508a8fd-280f-11f1-a291-00155d82e908")</f>
        <v>https://miland.ru/api/getInfo/image/3508a8fd-280f-11f1-a291-00155d82e908</v>
      </c>
      <c r="U2966" s="7"/>
      <c r="V2966" s="7"/>
      <c r="W2966" s="7" t="s">
        <v>8646</v>
      </c>
      <c r="X2966" s="7"/>
      <c r="Y2966" s="7" t="s">
        <v>41</v>
      </c>
      <c r="Z2966" s="7"/>
      <c r="AA2966" s="7" t="str">
        <f>HYPERLINK("https://miland.ru/api/getInfo/item/3508a8fd-280f-11f1-a291-00155d82e908")</f>
        <v>https://miland.ru/api/getInfo/item/3508a8fd-280f-11f1-a291-00155d82e908</v>
      </c>
      <c r="AB2966" s="7" t="s">
        <v>42</v>
      </c>
      <c r="AC2966" s="7"/>
      <c r="AD2966" s="7"/>
      <c r="AE2966" s="54"/>
    </row>
    <row r="2967" spans="2:31" s="1" customFormat="1" ht="96.3" customHeight="1" outlineLevel="7">
      <c r="B2967" s="58">
        <v>2302</v>
      </c>
      <c r="C2967" s="7" t="s">
        <v>10260</v>
      </c>
      <c r="D2967" s="71" t="s">
        <v>10261</v>
      </c>
      <c r="E2967" s="71"/>
      <c r="F2967" s="71"/>
      <c r="G2967" s="71"/>
      <c r="H2967" s="8" t="s">
        <v>10262</v>
      </c>
      <c r="I2967" s="9" t="s">
        <v>36</v>
      </c>
      <c r="J2967" s="8"/>
      <c r="K2967" s="6">
        <v>1</v>
      </c>
      <c r="L2967" s="10">
        <v>569.74</v>
      </c>
      <c r="M2967" s="11"/>
      <c r="N2967" s="8">
        <f>L2967*M2967</f>
        <v>0</v>
      </c>
      <c r="O2967" s="8">
        <v>0</v>
      </c>
      <c r="P2967" s="8">
        <v>0</v>
      </c>
      <c r="Q2967" s="17" t="s">
        <v>37</v>
      </c>
      <c r="R2967" s="8" t="s">
        <v>10263</v>
      </c>
      <c r="S2967" s="8"/>
      <c r="T2967" s="7" t="str">
        <f>HYPERLINK("https://miland.ru/api/getInfo/image/6684a798-280f-11f1-a291-00155d82e908")</f>
        <v>https://miland.ru/api/getInfo/image/6684a798-280f-11f1-a291-00155d82e908</v>
      </c>
      <c r="U2967" s="7"/>
      <c r="V2967" s="7"/>
      <c r="W2967" s="7" t="s">
        <v>8646</v>
      </c>
      <c r="X2967" s="7"/>
      <c r="Y2967" s="7" t="s">
        <v>41</v>
      </c>
      <c r="Z2967" s="7"/>
      <c r="AA2967" s="7" t="str">
        <f>HYPERLINK("https://miland.ru/api/getInfo/item/6684a798-280f-11f1-a291-00155d82e908")</f>
        <v>https://miland.ru/api/getInfo/item/6684a798-280f-11f1-a291-00155d82e908</v>
      </c>
      <c r="AB2967" s="7" t="s">
        <v>42</v>
      </c>
      <c r="AC2967" s="7"/>
      <c r="AD2967" s="7"/>
      <c r="AE2967" s="54"/>
    </row>
    <row r="2968" spans="2:31" ht="12" customHeight="1" outlineLevel="6">
      <c r="B2968" s="70" t="s">
        <v>10264</v>
      </c>
      <c r="C2968" s="70"/>
      <c r="D2968" s="70"/>
      <c r="E2968" s="70"/>
      <c r="F2968" s="70"/>
      <c r="G2968" s="70"/>
    </row>
    <row r="2969" spans="2:31" s="1" customFormat="1" ht="96.3" customHeight="1" outlineLevel="7">
      <c r="B2969" s="58">
        <v>2303</v>
      </c>
      <c r="C2969" s="7" t="s">
        <v>10265</v>
      </c>
      <c r="D2969" s="71" t="s">
        <v>10266</v>
      </c>
      <c r="E2969" s="71"/>
      <c r="F2969" s="71"/>
      <c r="G2969" s="71"/>
      <c r="H2969" s="8" t="s">
        <v>10267</v>
      </c>
      <c r="I2969" s="9" t="s">
        <v>36</v>
      </c>
      <c r="J2969" s="8"/>
      <c r="K2969" s="6">
        <v>1</v>
      </c>
      <c r="L2969" s="10">
        <v>578.12</v>
      </c>
      <c r="M2969" s="11"/>
      <c r="N2969" s="8">
        <f>L2969*M2969</f>
        <v>0</v>
      </c>
      <c r="O2969" s="8">
        <v>0</v>
      </c>
      <c r="P2969" s="8">
        <v>0</v>
      </c>
      <c r="Q2969" s="17" t="s">
        <v>37</v>
      </c>
      <c r="R2969" s="8" t="s">
        <v>10268</v>
      </c>
      <c r="S2969" s="8"/>
      <c r="T2969" s="7" t="str">
        <f>HYPERLINK("https://miland.ru/api/getInfo/image/7b0a417e-280f-11f1-a291-00155d82e908")</f>
        <v>https://miland.ru/api/getInfo/image/7b0a417e-280f-11f1-a291-00155d82e908</v>
      </c>
      <c r="U2969" s="7"/>
      <c r="V2969" s="7"/>
      <c r="W2969" s="7" t="s">
        <v>8646</v>
      </c>
      <c r="X2969" s="7"/>
      <c r="Y2969" s="7" t="s">
        <v>41</v>
      </c>
      <c r="Z2969" s="7"/>
      <c r="AA2969" s="7" t="str">
        <f>HYPERLINK("https://miland.ru/api/getInfo/item/7b0a417e-280f-11f1-a291-00155d82e908")</f>
        <v>https://miland.ru/api/getInfo/item/7b0a417e-280f-11f1-a291-00155d82e908</v>
      </c>
      <c r="AB2969" s="7" t="s">
        <v>42</v>
      </c>
      <c r="AC2969" s="7"/>
      <c r="AD2969" s="7"/>
      <c r="AE2969" s="54"/>
    </row>
    <row r="2970" spans="2:31" s="1" customFormat="1" ht="96.3" customHeight="1" outlineLevel="7">
      <c r="B2970" s="58">
        <v>2304</v>
      </c>
      <c r="C2970" s="7" t="s">
        <v>10269</v>
      </c>
      <c r="D2970" s="71" t="s">
        <v>10270</v>
      </c>
      <c r="E2970" s="71"/>
      <c r="F2970" s="71"/>
      <c r="G2970" s="71"/>
      <c r="H2970" s="8" t="s">
        <v>10271</v>
      </c>
      <c r="I2970" s="9" t="s">
        <v>36</v>
      </c>
      <c r="J2970" s="8"/>
      <c r="K2970" s="6">
        <v>1</v>
      </c>
      <c r="L2970" s="10">
        <v>578.12</v>
      </c>
      <c r="M2970" s="11"/>
      <c r="N2970" s="8">
        <f>L2970*M2970</f>
        <v>0</v>
      </c>
      <c r="O2970" s="8">
        <v>0</v>
      </c>
      <c r="P2970" s="8">
        <v>0</v>
      </c>
      <c r="Q2970" s="17" t="s">
        <v>37</v>
      </c>
      <c r="R2970" s="8" t="s">
        <v>10272</v>
      </c>
      <c r="S2970" s="8"/>
      <c r="T2970" s="7" t="str">
        <f>HYPERLINK("https://miland.ru/api/getInfo/image/90fe3880-280f-11f1-a291-00155d82e908")</f>
        <v>https://miland.ru/api/getInfo/image/90fe3880-280f-11f1-a291-00155d82e908</v>
      </c>
      <c r="U2970" s="7"/>
      <c r="V2970" s="7"/>
      <c r="W2970" s="7" t="s">
        <v>8646</v>
      </c>
      <c r="X2970" s="7"/>
      <c r="Y2970" s="7" t="s">
        <v>41</v>
      </c>
      <c r="Z2970" s="7"/>
      <c r="AA2970" s="7" t="str">
        <f>HYPERLINK("https://miland.ru/api/getInfo/item/90fe3880-280f-11f1-a291-00155d82e908")</f>
        <v>https://miland.ru/api/getInfo/item/90fe3880-280f-11f1-a291-00155d82e908</v>
      </c>
      <c r="AB2970" s="7" t="s">
        <v>42</v>
      </c>
      <c r="AC2970" s="7"/>
      <c r="AD2970" s="7"/>
      <c r="AE2970" s="54"/>
    </row>
    <row r="2971" spans="2:31" ht="12" customHeight="1" outlineLevel="6">
      <c r="B2971" s="70" t="s">
        <v>10273</v>
      </c>
      <c r="C2971" s="70"/>
      <c r="D2971" s="70"/>
      <c r="E2971" s="70"/>
      <c r="F2971" s="70"/>
      <c r="G2971" s="70"/>
    </row>
    <row r="2972" spans="2:31" s="1" customFormat="1" ht="96.3" customHeight="1" outlineLevel="7">
      <c r="B2972" s="58">
        <v>2305</v>
      </c>
      <c r="C2972" s="7" t="s">
        <v>10274</v>
      </c>
      <c r="D2972" s="71" t="s">
        <v>10275</v>
      </c>
      <c r="E2972" s="71"/>
      <c r="F2972" s="71"/>
      <c r="G2972" s="71"/>
      <c r="H2972" s="8" t="s">
        <v>10276</v>
      </c>
      <c r="I2972" s="9" t="s">
        <v>36</v>
      </c>
      <c r="J2972" s="8"/>
      <c r="K2972" s="6">
        <v>1</v>
      </c>
      <c r="L2972" s="10">
        <v>578.12</v>
      </c>
      <c r="M2972" s="11"/>
      <c r="N2972" s="8">
        <f>L2972*M2972</f>
        <v>0</v>
      </c>
      <c r="O2972" s="8">
        <v>0</v>
      </c>
      <c r="P2972" s="8">
        <v>0</v>
      </c>
      <c r="Q2972" s="17" t="s">
        <v>37</v>
      </c>
      <c r="R2972" s="8" t="s">
        <v>10277</v>
      </c>
      <c r="S2972" s="8"/>
      <c r="T2972" s="7" t="str">
        <f>HYPERLINK("https://miland.ru/api/getInfo/image/2cdfc4eb-2810-11f1-a291-00155d82e908")</f>
        <v>https://miland.ru/api/getInfo/image/2cdfc4eb-2810-11f1-a291-00155d82e908</v>
      </c>
      <c r="U2972" s="7"/>
      <c r="V2972" s="7"/>
      <c r="W2972" s="7" t="s">
        <v>8646</v>
      </c>
      <c r="X2972" s="7"/>
      <c r="Y2972" s="7" t="s">
        <v>41</v>
      </c>
      <c r="Z2972" s="7"/>
      <c r="AA2972" s="7" t="str">
        <f>HYPERLINK("https://miland.ru/api/getInfo/item/2cdfc4eb-2810-11f1-a291-00155d82e908")</f>
        <v>https://miland.ru/api/getInfo/item/2cdfc4eb-2810-11f1-a291-00155d82e908</v>
      </c>
      <c r="AB2972" s="7" t="s">
        <v>42</v>
      </c>
      <c r="AC2972" s="7"/>
      <c r="AD2972" s="7"/>
      <c r="AE2972" s="54"/>
    </row>
    <row r="2973" spans="2:31" s="1" customFormat="1" ht="96.3" customHeight="1" outlineLevel="7">
      <c r="B2973" s="58">
        <v>2306</v>
      </c>
      <c r="C2973" s="7" t="s">
        <v>10278</v>
      </c>
      <c r="D2973" s="71" t="s">
        <v>10279</v>
      </c>
      <c r="E2973" s="71"/>
      <c r="F2973" s="71"/>
      <c r="G2973" s="71"/>
      <c r="H2973" s="8" t="s">
        <v>10280</v>
      </c>
      <c r="I2973" s="9" t="s">
        <v>36</v>
      </c>
      <c r="J2973" s="8"/>
      <c r="K2973" s="6">
        <v>1</v>
      </c>
      <c r="L2973" s="10">
        <v>590.69000000000005</v>
      </c>
      <c r="M2973" s="11"/>
      <c r="N2973" s="8">
        <f>L2973*M2973</f>
        <v>0</v>
      </c>
      <c r="O2973" s="8">
        <v>0</v>
      </c>
      <c r="P2973" s="8">
        <v>0</v>
      </c>
      <c r="Q2973" s="17" t="s">
        <v>37</v>
      </c>
      <c r="R2973" s="8" t="s">
        <v>10281</v>
      </c>
      <c r="S2973" s="8"/>
      <c r="T2973" s="7" t="str">
        <f>HYPERLINK("https://miland.ru/api/getInfo/image/17313b41-2810-11f1-a291-00155d82e908")</f>
        <v>https://miland.ru/api/getInfo/image/17313b41-2810-11f1-a291-00155d82e908</v>
      </c>
      <c r="U2973" s="7"/>
      <c r="V2973" s="7"/>
      <c r="W2973" s="7" t="s">
        <v>8646</v>
      </c>
      <c r="X2973" s="7"/>
      <c r="Y2973" s="7" t="s">
        <v>41</v>
      </c>
      <c r="Z2973" s="7"/>
      <c r="AA2973" s="7" t="str">
        <f>HYPERLINK("https://miland.ru/api/getInfo/item/17313b41-2810-11f1-a291-00155d82e908")</f>
        <v>https://miland.ru/api/getInfo/item/17313b41-2810-11f1-a291-00155d82e908</v>
      </c>
      <c r="AB2973" s="7" t="s">
        <v>42</v>
      </c>
      <c r="AC2973" s="7"/>
      <c r="AD2973" s="7"/>
      <c r="AE2973" s="54"/>
    </row>
    <row r="2974" spans="2:31" s="1" customFormat="1" ht="96.3" customHeight="1" outlineLevel="7">
      <c r="B2974" s="58">
        <v>2307</v>
      </c>
      <c r="C2974" s="7" t="s">
        <v>10282</v>
      </c>
      <c r="D2974" s="71" t="s">
        <v>10283</v>
      </c>
      <c r="E2974" s="71"/>
      <c r="F2974" s="71"/>
      <c r="G2974" s="71"/>
      <c r="H2974" s="8" t="s">
        <v>10284</v>
      </c>
      <c r="I2974" s="9" t="s">
        <v>36</v>
      </c>
      <c r="J2974" s="8"/>
      <c r="K2974" s="6">
        <v>1</v>
      </c>
      <c r="L2974" s="10">
        <v>578.12</v>
      </c>
      <c r="M2974" s="11"/>
      <c r="N2974" s="8">
        <f>L2974*M2974</f>
        <v>0</v>
      </c>
      <c r="O2974" s="8">
        <v>0</v>
      </c>
      <c r="P2974" s="8">
        <v>0</v>
      </c>
      <c r="Q2974" s="17" t="s">
        <v>37</v>
      </c>
      <c r="R2974" s="8" t="s">
        <v>10285</v>
      </c>
      <c r="S2974" s="8"/>
      <c r="T2974" s="7" t="str">
        <f>HYPERLINK("https://miland.ru/api/getInfo/image/4219951f-2810-11f1-a291-00155d82e908")</f>
        <v>https://miland.ru/api/getInfo/image/4219951f-2810-11f1-a291-00155d82e908</v>
      </c>
      <c r="U2974" s="7"/>
      <c r="V2974" s="7"/>
      <c r="W2974" s="7" t="s">
        <v>8646</v>
      </c>
      <c r="X2974" s="7"/>
      <c r="Y2974" s="7" t="s">
        <v>41</v>
      </c>
      <c r="Z2974" s="7"/>
      <c r="AA2974" s="7" t="str">
        <f>HYPERLINK("https://miland.ru/api/getInfo/item/4219951f-2810-11f1-a291-00155d82e908")</f>
        <v>https://miland.ru/api/getInfo/item/4219951f-2810-11f1-a291-00155d82e908</v>
      </c>
      <c r="AB2974" s="7" t="s">
        <v>42</v>
      </c>
      <c r="AC2974" s="7"/>
      <c r="AD2974" s="7"/>
      <c r="AE2974" s="54"/>
    </row>
    <row r="2975" spans="2:31" ht="12" customHeight="1" outlineLevel="6">
      <c r="B2975" s="70" t="s">
        <v>10286</v>
      </c>
      <c r="C2975" s="70"/>
      <c r="D2975" s="70"/>
      <c r="E2975" s="70"/>
      <c r="F2975" s="70"/>
      <c r="G2975" s="70"/>
    </row>
    <row r="2976" spans="2:31" s="1" customFormat="1" ht="96.3" customHeight="1" outlineLevel="7">
      <c r="B2976" s="58">
        <v>2308</v>
      </c>
      <c r="C2976" s="7" t="s">
        <v>10287</v>
      </c>
      <c r="D2976" s="71" t="s">
        <v>10288</v>
      </c>
      <c r="E2976" s="71"/>
      <c r="F2976" s="71"/>
      <c r="G2976" s="71"/>
      <c r="H2976" s="8" t="s">
        <v>10289</v>
      </c>
      <c r="I2976" s="9" t="s">
        <v>36</v>
      </c>
      <c r="J2976" s="8"/>
      <c r="K2976" s="6">
        <v>1</v>
      </c>
      <c r="L2976" s="10">
        <v>590.69000000000005</v>
      </c>
      <c r="M2976" s="11"/>
      <c r="N2976" s="8">
        <f>L2976*M2976</f>
        <v>0</v>
      </c>
      <c r="O2976" s="8">
        <v>0</v>
      </c>
      <c r="P2976" s="8">
        <v>0</v>
      </c>
      <c r="Q2976" s="17" t="s">
        <v>37</v>
      </c>
      <c r="R2976" s="8" t="s">
        <v>10290</v>
      </c>
      <c r="S2976" s="8"/>
      <c r="T2976" s="7" t="str">
        <f>HYPERLINK("https://miland.ru/api/getInfo/image/e7770fcf-280f-11f1-a291-00155d82e908")</f>
        <v>https://miland.ru/api/getInfo/image/e7770fcf-280f-11f1-a291-00155d82e908</v>
      </c>
      <c r="U2976" s="7"/>
      <c r="V2976" s="7"/>
      <c r="W2976" s="7" t="s">
        <v>8646</v>
      </c>
      <c r="X2976" s="7"/>
      <c r="Y2976" s="7" t="s">
        <v>41</v>
      </c>
      <c r="Z2976" s="7"/>
      <c r="AA2976" s="7" t="str">
        <f>HYPERLINK("https://miland.ru/api/getInfo/item/e7770fcf-280f-11f1-a291-00155d82e908")</f>
        <v>https://miland.ru/api/getInfo/item/e7770fcf-280f-11f1-a291-00155d82e908</v>
      </c>
      <c r="AB2976" s="7" t="s">
        <v>42</v>
      </c>
      <c r="AC2976" s="7"/>
      <c r="AD2976" s="7"/>
      <c r="AE2976" s="54"/>
    </row>
    <row r="2977" spans="2:31" s="1" customFormat="1" ht="96.3" customHeight="1" outlineLevel="7">
      <c r="B2977" s="58">
        <v>2309</v>
      </c>
      <c r="C2977" s="7" t="s">
        <v>10291</v>
      </c>
      <c r="D2977" s="71" t="s">
        <v>10292</v>
      </c>
      <c r="E2977" s="71"/>
      <c r="F2977" s="71"/>
      <c r="G2977" s="71"/>
      <c r="H2977" s="8" t="s">
        <v>10293</v>
      </c>
      <c r="I2977" s="14">
        <v>35</v>
      </c>
      <c r="J2977" s="8"/>
      <c r="K2977" s="6">
        <v>1</v>
      </c>
      <c r="L2977" s="10">
        <v>590.69000000000005</v>
      </c>
      <c r="M2977" s="11"/>
      <c r="N2977" s="8">
        <f>L2977*M2977</f>
        <v>0</v>
      </c>
      <c r="O2977" s="8">
        <v>0</v>
      </c>
      <c r="P2977" s="8">
        <v>0</v>
      </c>
      <c r="Q2977" s="17" t="s">
        <v>37</v>
      </c>
      <c r="R2977" s="8" t="s">
        <v>10294</v>
      </c>
      <c r="S2977" s="8"/>
      <c r="T2977" s="7" t="str">
        <f>HYPERLINK("https://miland.ru/api/getInfo/image/ccba1f06-280f-11f1-a291-00155d82e908")</f>
        <v>https://miland.ru/api/getInfo/image/ccba1f06-280f-11f1-a291-00155d82e908</v>
      </c>
      <c r="U2977" s="7"/>
      <c r="V2977" s="7"/>
      <c r="W2977" s="7" t="s">
        <v>8646</v>
      </c>
      <c r="X2977" s="7"/>
      <c r="Y2977" s="7" t="s">
        <v>41</v>
      </c>
      <c r="Z2977" s="7"/>
      <c r="AA2977" s="7" t="str">
        <f>HYPERLINK("https://miland.ru/api/getInfo/item/ccba1f06-280f-11f1-a291-00155d82e908")</f>
        <v>https://miland.ru/api/getInfo/item/ccba1f06-280f-11f1-a291-00155d82e908</v>
      </c>
      <c r="AB2977" s="7" t="s">
        <v>42</v>
      </c>
      <c r="AC2977" s="7"/>
      <c r="AD2977" s="7"/>
      <c r="AE2977" s="54"/>
    </row>
    <row r="2978" spans="2:31" s="1" customFormat="1" ht="96.3" customHeight="1" outlineLevel="7">
      <c r="B2978" s="58">
        <v>2310</v>
      </c>
      <c r="C2978" s="7" t="s">
        <v>10295</v>
      </c>
      <c r="D2978" s="71" t="s">
        <v>10296</v>
      </c>
      <c r="E2978" s="71"/>
      <c r="F2978" s="71"/>
      <c r="G2978" s="71"/>
      <c r="H2978" s="8" t="s">
        <v>10297</v>
      </c>
      <c r="I2978" s="9" t="s">
        <v>36</v>
      </c>
      <c r="J2978" s="8"/>
      <c r="K2978" s="6">
        <v>1</v>
      </c>
      <c r="L2978" s="10">
        <v>590.69000000000005</v>
      </c>
      <c r="M2978" s="11"/>
      <c r="N2978" s="8">
        <f>L2978*M2978</f>
        <v>0</v>
      </c>
      <c r="O2978" s="8">
        <v>0</v>
      </c>
      <c r="P2978" s="8">
        <v>0</v>
      </c>
      <c r="Q2978" s="17" t="s">
        <v>37</v>
      </c>
      <c r="R2978" s="8" t="s">
        <v>10298</v>
      </c>
      <c r="S2978" s="8"/>
      <c r="T2978" s="7" t="str">
        <f>HYPERLINK("https://miland.ru/api/getInfo/image/fe0c0188-280f-11f1-a291-00155d82e908")</f>
        <v>https://miland.ru/api/getInfo/image/fe0c0188-280f-11f1-a291-00155d82e908</v>
      </c>
      <c r="U2978" s="7"/>
      <c r="V2978" s="7"/>
      <c r="W2978" s="7" t="s">
        <v>8646</v>
      </c>
      <c r="X2978" s="7"/>
      <c r="Y2978" s="7" t="s">
        <v>41</v>
      </c>
      <c r="Z2978" s="7"/>
      <c r="AA2978" s="7" t="str">
        <f>HYPERLINK("https://miland.ru/api/getInfo/item/fe0c0188-280f-11f1-a291-00155d82e908")</f>
        <v>https://miland.ru/api/getInfo/item/fe0c0188-280f-11f1-a291-00155d82e908</v>
      </c>
      <c r="AB2978" s="7" t="s">
        <v>42</v>
      </c>
      <c r="AC2978" s="7"/>
      <c r="AD2978" s="7"/>
      <c r="AE2978" s="54"/>
    </row>
    <row r="2979" spans="2:31" ht="12" customHeight="1" outlineLevel="5">
      <c r="B2979" s="70" t="s">
        <v>10299</v>
      </c>
      <c r="C2979" s="70"/>
      <c r="D2979" s="70"/>
      <c r="E2979" s="70"/>
      <c r="F2979" s="70"/>
      <c r="G2979" s="70"/>
    </row>
    <row r="2980" spans="2:31" s="1" customFormat="1" ht="96.3" customHeight="1" outlineLevel="6">
      <c r="B2980" s="57">
        <v>2311</v>
      </c>
      <c r="C2980" s="21" t="s">
        <v>10300</v>
      </c>
      <c r="D2980" s="72" t="s">
        <v>10301</v>
      </c>
      <c r="E2980" s="72"/>
      <c r="F2980" s="72"/>
      <c r="G2980" s="72"/>
      <c r="H2980" s="22" t="s">
        <v>10302</v>
      </c>
      <c r="I2980" s="27">
        <v>449</v>
      </c>
      <c r="J2980" s="22"/>
      <c r="K2980" s="20">
        <v>1</v>
      </c>
      <c r="L2980" s="32">
        <v>1995.9</v>
      </c>
      <c r="M2980" s="11"/>
      <c r="N2980" s="22">
        <f t="shared" ref="N2980:N2985" si="144">L2980*M2980</f>
        <v>0</v>
      </c>
      <c r="O2980" s="28">
        <f>1.28*M2980</f>
        <v>0</v>
      </c>
      <c r="P2980" s="26">
        <f>0.00316*M2980</f>
        <v>0</v>
      </c>
      <c r="Q2980" s="30"/>
      <c r="R2980" s="22" t="s">
        <v>10303</v>
      </c>
      <c r="S2980" s="22"/>
      <c r="T2980" s="21" t="str">
        <f>HYPERLINK("https://miland.ru/api/getInfo/image/e3e16d04-1765-11ef-a25d-00155d82e908")</f>
        <v>https://miland.ru/api/getInfo/image/e3e16d04-1765-11ef-a25d-00155d82e908</v>
      </c>
      <c r="U2980" s="21"/>
      <c r="V2980" s="21"/>
      <c r="W2980" s="21" t="s">
        <v>8646</v>
      </c>
      <c r="X2980" s="21"/>
      <c r="Y2980" s="21" t="s">
        <v>41</v>
      </c>
      <c r="Z2980" s="21"/>
      <c r="AA2980" s="21" t="str">
        <f>HYPERLINK("https://miland.ru/api/getInfo/item/e3e16d04-1765-11ef-a25d-00155d82e908")</f>
        <v>https://miland.ru/api/getInfo/item/e3e16d04-1765-11ef-a25d-00155d82e908</v>
      </c>
      <c r="AB2980" s="21" t="s">
        <v>42</v>
      </c>
      <c r="AC2980" s="21"/>
      <c r="AD2980" s="21"/>
    </row>
    <row r="2981" spans="2:31" s="1" customFormat="1" ht="96.3" customHeight="1" outlineLevel="6">
      <c r="B2981" s="57">
        <v>2312</v>
      </c>
      <c r="C2981" s="21" t="s">
        <v>10304</v>
      </c>
      <c r="D2981" s="72" t="s">
        <v>10305</v>
      </c>
      <c r="E2981" s="72"/>
      <c r="F2981" s="72"/>
      <c r="G2981" s="72"/>
      <c r="H2981" s="22" t="s">
        <v>10306</v>
      </c>
      <c r="I2981" s="27">
        <v>349</v>
      </c>
      <c r="J2981" s="22"/>
      <c r="K2981" s="20">
        <v>1</v>
      </c>
      <c r="L2981" s="32">
        <v>1961.72</v>
      </c>
      <c r="M2981" s="11"/>
      <c r="N2981" s="22">
        <f t="shared" si="144"/>
        <v>0</v>
      </c>
      <c r="O2981" s="25">
        <f>1.804*M2981</f>
        <v>0</v>
      </c>
      <c r="P2981" s="26">
        <f>0.00444*M2981</f>
        <v>0</v>
      </c>
      <c r="Q2981" s="30"/>
      <c r="R2981" s="22" t="s">
        <v>10307</v>
      </c>
      <c r="S2981" s="22"/>
      <c r="T2981" s="21" t="str">
        <f>HYPERLINK("https://miland.ru/api/getInfo/image/87796292-1765-11ef-a25d-00155d82e908")</f>
        <v>https://miland.ru/api/getInfo/image/87796292-1765-11ef-a25d-00155d82e908</v>
      </c>
      <c r="U2981" s="21"/>
      <c r="V2981" s="21"/>
      <c r="W2981" s="21" t="s">
        <v>8646</v>
      </c>
      <c r="X2981" s="21"/>
      <c r="Y2981" s="21" t="s">
        <v>41</v>
      </c>
      <c r="Z2981" s="21"/>
      <c r="AA2981" s="21" t="str">
        <f>HYPERLINK("https://miland.ru/api/getInfo/item/87796292-1765-11ef-a25d-00155d82e908")</f>
        <v>https://miland.ru/api/getInfo/item/87796292-1765-11ef-a25d-00155d82e908</v>
      </c>
      <c r="AB2981" s="21" t="s">
        <v>42</v>
      </c>
      <c r="AC2981" s="21"/>
      <c r="AD2981" s="21"/>
    </row>
    <row r="2982" spans="2:31" s="1" customFormat="1" ht="96.3" customHeight="1" outlineLevel="6">
      <c r="B2982" s="57">
        <v>2313</v>
      </c>
      <c r="C2982" s="21" t="s">
        <v>10308</v>
      </c>
      <c r="D2982" s="72" t="s">
        <v>10309</v>
      </c>
      <c r="E2982" s="72"/>
      <c r="F2982" s="72"/>
      <c r="G2982" s="72"/>
      <c r="H2982" s="22" t="s">
        <v>10310</v>
      </c>
      <c r="I2982" s="23" t="s">
        <v>36</v>
      </c>
      <c r="J2982" s="22"/>
      <c r="K2982" s="20">
        <v>1</v>
      </c>
      <c r="L2982" s="32">
        <v>1483.43</v>
      </c>
      <c r="M2982" s="11"/>
      <c r="N2982" s="22">
        <f t="shared" si="144"/>
        <v>0</v>
      </c>
      <c r="O2982" s="25">
        <f>0.844*M2982</f>
        <v>0</v>
      </c>
      <c r="P2982" s="26">
        <f>0.00427*M2982</f>
        <v>0</v>
      </c>
      <c r="Q2982" s="30"/>
      <c r="R2982" s="22" t="s">
        <v>10311</v>
      </c>
      <c r="S2982" s="22"/>
      <c r="T2982" s="21" t="str">
        <f>HYPERLINK("https://miland.ru/api/getInfo/image/77aeb26b-1766-11ef-a25d-00155d82e908")</f>
        <v>https://miland.ru/api/getInfo/image/77aeb26b-1766-11ef-a25d-00155d82e908</v>
      </c>
      <c r="U2982" s="21"/>
      <c r="V2982" s="21"/>
      <c r="W2982" s="21" t="s">
        <v>8646</v>
      </c>
      <c r="X2982" s="21"/>
      <c r="Y2982" s="21" t="s">
        <v>41</v>
      </c>
      <c r="Z2982" s="21"/>
      <c r="AA2982" s="21" t="str">
        <f>HYPERLINK("https://miland.ru/api/getInfo/item/77aeb26b-1766-11ef-a25d-00155d82e908")</f>
        <v>https://miland.ru/api/getInfo/item/77aeb26b-1766-11ef-a25d-00155d82e908</v>
      </c>
      <c r="AB2982" s="21" t="s">
        <v>42</v>
      </c>
      <c r="AC2982" s="21"/>
      <c r="AD2982" s="21"/>
    </row>
    <row r="2983" spans="2:31" s="1" customFormat="1" ht="96.3" customHeight="1" outlineLevel="6">
      <c r="B2983" s="57">
        <v>2314</v>
      </c>
      <c r="C2983" s="21" t="s">
        <v>10312</v>
      </c>
      <c r="D2983" s="72" t="s">
        <v>10313</v>
      </c>
      <c r="E2983" s="72"/>
      <c r="F2983" s="72"/>
      <c r="G2983" s="72"/>
      <c r="H2983" s="22" t="s">
        <v>10314</v>
      </c>
      <c r="I2983" s="23" t="s">
        <v>36</v>
      </c>
      <c r="J2983" s="22"/>
      <c r="K2983" s="20">
        <v>1</v>
      </c>
      <c r="L2983" s="32">
        <v>1780.13</v>
      </c>
      <c r="M2983" s="11"/>
      <c r="N2983" s="22">
        <f t="shared" si="144"/>
        <v>0</v>
      </c>
      <c r="O2983" s="25">
        <f>1.305*M2983</f>
        <v>0</v>
      </c>
      <c r="P2983" s="26">
        <f>0.00783*M2983</f>
        <v>0</v>
      </c>
      <c r="Q2983" s="30"/>
      <c r="R2983" s="22" t="s">
        <v>10315</v>
      </c>
      <c r="S2983" s="22"/>
      <c r="T2983" s="21" t="str">
        <f>HYPERLINK("https://miland.ru/api/getInfo/image/f3072824-1766-11ef-a25d-00155d82e908")</f>
        <v>https://miland.ru/api/getInfo/image/f3072824-1766-11ef-a25d-00155d82e908</v>
      </c>
      <c r="U2983" s="21"/>
      <c r="V2983" s="21"/>
      <c r="W2983" s="21" t="s">
        <v>8646</v>
      </c>
      <c r="X2983" s="21"/>
      <c r="Y2983" s="21" t="s">
        <v>41</v>
      </c>
      <c r="Z2983" s="21"/>
      <c r="AA2983" s="21" t="str">
        <f>HYPERLINK("https://miland.ru/api/getInfo/item/f3072824-1766-11ef-a25d-00155d82e908")</f>
        <v>https://miland.ru/api/getInfo/item/f3072824-1766-11ef-a25d-00155d82e908</v>
      </c>
      <c r="AB2983" s="21" t="s">
        <v>42</v>
      </c>
      <c r="AC2983" s="21"/>
      <c r="AD2983" s="21"/>
    </row>
    <row r="2984" spans="2:31" s="1" customFormat="1" ht="96.3" customHeight="1" outlineLevel="6">
      <c r="B2984" s="57">
        <v>2315</v>
      </c>
      <c r="C2984" s="21" t="s">
        <v>10316</v>
      </c>
      <c r="D2984" s="72" t="s">
        <v>10317</v>
      </c>
      <c r="E2984" s="72"/>
      <c r="F2984" s="72"/>
      <c r="G2984" s="72"/>
      <c r="H2984" s="22" t="s">
        <v>10318</v>
      </c>
      <c r="I2984" s="27">
        <v>6</v>
      </c>
      <c r="J2984" s="22"/>
      <c r="K2984" s="20">
        <v>1</v>
      </c>
      <c r="L2984" s="32">
        <v>1131.76</v>
      </c>
      <c r="M2984" s="11"/>
      <c r="N2984" s="22">
        <f t="shared" si="144"/>
        <v>0</v>
      </c>
      <c r="O2984" s="25">
        <f>0.406*M2984</f>
        <v>0</v>
      </c>
      <c r="P2984" s="26">
        <f>0.00115*M2984</f>
        <v>0</v>
      </c>
      <c r="Q2984" s="30"/>
      <c r="R2984" s="22" t="s">
        <v>10319</v>
      </c>
      <c r="S2984" s="22" t="s">
        <v>435</v>
      </c>
      <c r="T2984" s="21" t="str">
        <f>HYPERLINK("https://miland.ru/api/getInfo/image/53648f57-1768-11ef-a25d-00155d82e908")</f>
        <v>https://miland.ru/api/getInfo/image/53648f57-1768-11ef-a25d-00155d82e908</v>
      </c>
      <c r="U2984" s="21"/>
      <c r="V2984" s="21"/>
      <c r="W2984" s="21" t="s">
        <v>8646</v>
      </c>
      <c r="X2984" s="21"/>
      <c r="Y2984" s="21" t="s">
        <v>41</v>
      </c>
      <c r="Z2984" s="21"/>
      <c r="AA2984" s="21" t="str">
        <f>HYPERLINK("https://miland.ru/api/getInfo/item/53648f57-1768-11ef-a25d-00155d82e908")</f>
        <v>https://miland.ru/api/getInfo/item/53648f57-1768-11ef-a25d-00155d82e908</v>
      </c>
      <c r="AB2984" s="21" t="s">
        <v>42</v>
      </c>
      <c r="AC2984" s="21"/>
      <c r="AD2984" s="21"/>
    </row>
    <row r="2985" spans="2:31" s="1" customFormat="1" ht="96.3" customHeight="1" outlineLevel="6">
      <c r="B2985" s="57">
        <v>2316</v>
      </c>
      <c r="C2985" s="21" t="s">
        <v>10320</v>
      </c>
      <c r="D2985" s="72" t="s">
        <v>10321</v>
      </c>
      <c r="E2985" s="72"/>
      <c r="F2985" s="72"/>
      <c r="G2985" s="72"/>
      <c r="H2985" s="22" t="s">
        <v>10322</v>
      </c>
      <c r="I2985" s="23" t="s">
        <v>36</v>
      </c>
      <c r="J2985" s="22"/>
      <c r="K2985" s="20">
        <v>1</v>
      </c>
      <c r="L2985" s="32">
        <v>1510.41</v>
      </c>
      <c r="M2985" s="11"/>
      <c r="N2985" s="22">
        <f t="shared" si="144"/>
        <v>0</v>
      </c>
      <c r="O2985" s="25">
        <f>0.714*M2985</f>
        <v>0</v>
      </c>
      <c r="P2985" s="26">
        <f>0.00224*M2985</f>
        <v>0</v>
      </c>
      <c r="Q2985" s="30"/>
      <c r="R2985" s="22" t="s">
        <v>10323</v>
      </c>
      <c r="S2985" s="22" t="s">
        <v>435</v>
      </c>
      <c r="T2985" s="21" t="str">
        <f>HYPERLINK("https://miland.ru/api/getInfo/image/bf443a3e-1767-11ef-a25d-00155d82e908")</f>
        <v>https://miland.ru/api/getInfo/image/bf443a3e-1767-11ef-a25d-00155d82e908</v>
      </c>
      <c r="U2985" s="21"/>
      <c r="V2985" s="21"/>
      <c r="W2985" s="21" t="s">
        <v>8646</v>
      </c>
      <c r="X2985" s="21"/>
      <c r="Y2985" s="21" t="s">
        <v>41</v>
      </c>
      <c r="Z2985" s="21"/>
      <c r="AA2985" s="21" t="str">
        <f>HYPERLINK("https://miland.ru/api/getInfo/item/bf443a3e-1767-11ef-a25d-00155d82e908")</f>
        <v>https://miland.ru/api/getInfo/item/bf443a3e-1767-11ef-a25d-00155d82e908</v>
      </c>
      <c r="AB2985" s="21" t="s">
        <v>42</v>
      </c>
      <c r="AC2985" s="21"/>
      <c r="AD2985" s="21"/>
    </row>
    <row r="2986" spans="2:31" ht="12" customHeight="1" outlineLevel="4">
      <c r="B2986" s="70" t="s">
        <v>10324</v>
      </c>
      <c r="C2986" s="70"/>
      <c r="D2986" s="70"/>
      <c r="E2986" s="70"/>
      <c r="F2986" s="70"/>
      <c r="G2986" s="70"/>
    </row>
    <row r="2987" spans="2:31" s="1" customFormat="1" ht="96.3" customHeight="1" outlineLevel="5">
      <c r="B2987" s="57">
        <v>2317</v>
      </c>
      <c r="C2987" s="21" t="s">
        <v>10325</v>
      </c>
      <c r="D2987" s="72" t="s">
        <v>10326</v>
      </c>
      <c r="E2987" s="72"/>
      <c r="F2987" s="72"/>
      <c r="G2987" s="72"/>
      <c r="H2987" s="22" t="s">
        <v>10327</v>
      </c>
      <c r="I2987" s="27">
        <v>15</v>
      </c>
      <c r="J2987" s="22"/>
      <c r="K2987" s="20">
        <v>1</v>
      </c>
      <c r="L2987" s="32">
        <v>1408.99</v>
      </c>
      <c r="M2987" s="11"/>
      <c r="N2987" s="22">
        <f t="shared" ref="N2987:N2994" si="145">L2987*M2987</f>
        <v>0</v>
      </c>
      <c r="O2987" s="25">
        <f>1.625*M2987</f>
        <v>0</v>
      </c>
      <c r="P2987" s="29">
        <f>0.0042*M2987</f>
        <v>0</v>
      </c>
      <c r="Q2987" s="30"/>
      <c r="R2987" s="22" t="s">
        <v>10328</v>
      </c>
      <c r="S2987" s="22"/>
      <c r="T2987" s="21" t="str">
        <f>HYPERLINK("https://miland.ru/api/getInfo/image/28a44236-7332-11ee-a248-00155d82e902")</f>
        <v>https://miland.ru/api/getInfo/image/28a44236-7332-11ee-a248-00155d82e902</v>
      </c>
      <c r="U2987" s="21"/>
      <c r="V2987" s="21"/>
      <c r="W2987" s="21" t="s">
        <v>8646</v>
      </c>
      <c r="X2987" s="21"/>
      <c r="Y2987" s="21" t="s">
        <v>41</v>
      </c>
      <c r="Z2987" s="21"/>
      <c r="AA2987" s="21" t="str">
        <f>HYPERLINK("https://miland.ru/api/getInfo/item/28a44236-7332-11ee-a248-00155d82e902")</f>
        <v>https://miland.ru/api/getInfo/item/28a44236-7332-11ee-a248-00155d82e902</v>
      </c>
      <c r="AB2987" s="21" t="s">
        <v>42</v>
      </c>
      <c r="AC2987" s="21" t="s">
        <v>10329</v>
      </c>
      <c r="AD2987" s="21"/>
    </row>
    <row r="2988" spans="2:31" s="1" customFormat="1" ht="96.3" customHeight="1" outlineLevel="5">
      <c r="B2988" s="59">
        <v>2318</v>
      </c>
      <c r="C2988" s="35" t="s">
        <v>10330</v>
      </c>
      <c r="D2988" s="73" t="s">
        <v>10331</v>
      </c>
      <c r="E2988" s="73"/>
      <c r="F2988" s="73"/>
      <c r="G2988" s="73"/>
      <c r="H2988" s="36" t="s">
        <v>10332</v>
      </c>
      <c r="I2988" s="40">
        <v>422</v>
      </c>
      <c r="J2988" s="36"/>
      <c r="K2988" s="34">
        <v>1</v>
      </c>
      <c r="L2988" s="41">
        <v>1127.1866666666667</v>
      </c>
      <c r="M2988" s="11"/>
      <c r="N2988" s="36">
        <f t="shared" si="145"/>
        <v>0</v>
      </c>
      <c r="O2988" s="42">
        <f>1.535*M2988</f>
        <v>0</v>
      </c>
      <c r="P2988" s="43">
        <f>0.00428*M2988</f>
        <v>0</v>
      </c>
      <c r="Q2988" s="50"/>
      <c r="R2988" s="36" t="s">
        <v>10333</v>
      </c>
      <c r="S2988" s="36"/>
      <c r="T2988" s="35" t="str">
        <f>HYPERLINK("https://miland.ru/api/getInfo/image/b85ee8bf-7331-11ee-a248-00155d82e902")</f>
        <v>https://miland.ru/api/getInfo/image/b85ee8bf-7331-11ee-a248-00155d82e902</v>
      </c>
      <c r="U2988" s="35"/>
      <c r="V2988" s="35"/>
      <c r="W2988" s="35" t="s">
        <v>8646</v>
      </c>
      <c r="X2988" s="35"/>
      <c r="Y2988" s="35" t="s">
        <v>41</v>
      </c>
      <c r="Z2988" s="35"/>
      <c r="AA2988" s="35" t="str">
        <f>HYPERLINK("https://miland.ru/api/getInfo/item/b85ee8bf-7331-11ee-a248-00155d82e902")</f>
        <v>https://miland.ru/api/getInfo/item/b85ee8bf-7331-11ee-a248-00155d82e902</v>
      </c>
      <c r="AB2988" s="35" t="s">
        <v>42</v>
      </c>
      <c r="AC2988" s="35" t="s">
        <v>10329</v>
      </c>
      <c r="AD2988" s="35"/>
      <c r="AE2988" s="52" t="s">
        <v>9152</v>
      </c>
    </row>
    <row r="2989" spans="2:31" s="1" customFormat="1" ht="96.3" customHeight="1" outlineLevel="5">
      <c r="B2989" s="59">
        <v>2319</v>
      </c>
      <c r="C2989" s="35" t="s">
        <v>10334</v>
      </c>
      <c r="D2989" s="73" t="s">
        <v>10335</v>
      </c>
      <c r="E2989" s="73"/>
      <c r="F2989" s="73"/>
      <c r="G2989" s="73"/>
      <c r="H2989" s="36" t="s">
        <v>10336</v>
      </c>
      <c r="I2989" s="40">
        <v>311</v>
      </c>
      <c r="J2989" s="36"/>
      <c r="K2989" s="34">
        <v>1</v>
      </c>
      <c r="L2989" s="41">
        <v>1127.1866666666667</v>
      </c>
      <c r="M2989" s="11"/>
      <c r="N2989" s="36">
        <f t="shared" si="145"/>
        <v>0</v>
      </c>
      <c r="O2989" s="42">
        <f>1.762*M2989</f>
        <v>0</v>
      </c>
      <c r="P2989" s="43">
        <f>0.00424*M2989</f>
        <v>0</v>
      </c>
      <c r="Q2989" s="50"/>
      <c r="R2989" s="36" t="s">
        <v>10337</v>
      </c>
      <c r="S2989" s="36"/>
      <c r="T2989" s="35" t="str">
        <f>HYPERLINK("https://miland.ru/api/getInfo/image/178fa3c3-7332-11ee-a248-00155d82e902")</f>
        <v>https://miland.ru/api/getInfo/image/178fa3c3-7332-11ee-a248-00155d82e902</v>
      </c>
      <c r="U2989" s="35"/>
      <c r="V2989" s="35"/>
      <c r="W2989" s="35" t="s">
        <v>8646</v>
      </c>
      <c r="X2989" s="35"/>
      <c r="Y2989" s="35" t="s">
        <v>41</v>
      </c>
      <c r="Z2989" s="35"/>
      <c r="AA2989" s="35" t="str">
        <f>HYPERLINK("https://miland.ru/api/getInfo/item/178fa3c3-7332-11ee-a248-00155d82e902")</f>
        <v>https://miland.ru/api/getInfo/item/178fa3c3-7332-11ee-a248-00155d82e902</v>
      </c>
      <c r="AB2989" s="35" t="s">
        <v>42</v>
      </c>
      <c r="AC2989" s="35" t="s">
        <v>10329</v>
      </c>
      <c r="AD2989" s="35"/>
      <c r="AE2989" s="52" t="s">
        <v>9152</v>
      </c>
    </row>
    <row r="2990" spans="2:31" s="1" customFormat="1" ht="96.3" customHeight="1" outlineLevel="5">
      <c r="B2990" s="57">
        <v>2320</v>
      </c>
      <c r="C2990" s="21" t="s">
        <v>10338</v>
      </c>
      <c r="D2990" s="72" t="s">
        <v>10339</v>
      </c>
      <c r="E2990" s="72"/>
      <c r="F2990" s="72"/>
      <c r="G2990" s="72"/>
      <c r="H2990" s="22" t="s">
        <v>10340</v>
      </c>
      <c r="I2990" s="27">
        <v>154</v>
      </c>
      <c r="J2990" s="22"/>
      <c r="K2990" s="20">
        <v>1</v>
      </c>
      <c r="L2990" s="32">
        <v>1257.51</v>
      </c>
      <c r="M2990" s="11"/>
      <c r="N2990" s="22">
        <f t="shared" si="145"/>
        <v>0</v>
      </c>
      <c r="O2990" s="25">
        <f>0.388*M2990</f>
        <v>0</v>
      </c>
      <c r="P2990" s="26">
        <f>0.00133*M2990</f>
        <v>0</v>
      </c>
      <c r="Q2990" s="30"/>
      <c r="R2990" s="22" t="s">
        <v>10341</v>
      </c>
      <c r="S2990" s="22"/>
      <c r="T2990" s="21" t="str">
        <f>HYPERLINK("https://miland.ru/api/getInfo/image/6543e131-1767-11ef-a25d-00155d82e908")</f>
        <v>https://miland.ru/api/getInfo/image/6543e131-1767-11ef-a25d-00155d82e908</v>
      </c>
      <c r="U2990" s="21"/>
      <c r="V2990" s="21"/>
      <c r="W2990" s="21" t="s">
        <v>8646</v>
      </c>
      <c r="X2990" s="21"/>
      <c r="Y2990" s="21" t="s">
        <v>41</v>
      </c>
      <c r="Z2990" s="21"/>
      <c r="AA2990" s="21" t="str">
        <f>HYPERLINK("https://miland.ru/api/getInfo/item/6543e131-1767-11ef-a25d-00155d82e908")</f>
        <v>https://miland.ru/api/getInfo/item/6543e131-1767-11ef-a25d-00155d82e908</v>
      </c>
      <c r="AB2990" s="21" t="s">
        <v>42</v>
      </c>
      <c r="AC2990" s="21"/>
      <c r="AD2990" s="21"/>
    </row>
    <row r="2991" spans="2:31" s="1" customFormat="1" ht="96.3" customHeight="1" outlineLevel="5">
      <c r="B2991" s="57">
        <v>2321</v>
      </c>
      <c r="C2991" s="21" t="s">
        <v>10342</v>
      </c>
      <c r="D2991" s="72" t="s">
        <v>10343</v>
      </c>
      <c r="E2991" s="72"/>
      <c r="F2991" s="72"/>
      <c r="G2991" s="72"/>
      <c r="H2991" s="22" t="s">
        <v>10344</v>
      </c>
      <c r="I2991" s="23" t="s">
        <v>36</v>
      </c>
      <c r="J2991" s="22"/>
      <c r="K2991" s="20">
        <v>1</v>
      </c>
      <c r="L2991" s="24">
        <v>820.47</v>
      </c>
      <c r="M2991" s="11"/>
      <c r="N2991" s="22">
        <f t="shared" si="145"/>
        <v>0</v>
      </c>
      <c r="O2991" s="25">
        <f>0.598*M2991</f>
        <v>0</v>
      </c>
      <c r="P2991" s="26">
        <f>0.00152*M2991</f>
        <v>0</v>
      </c>
      <c r="Q2991" s="30"/>
      <c r="R2991" s="22" t="s">
        <v>10345</v>
      </c>
      <c r="S2991" s="22"/>
      <c r="T2991" s="21" t="str">
        <f>HYPERLINK("https://miland.ru/api/getInfo/image/19651c5b-1c21-11f0-a279-00155d82e908")</f>
        <v>https://miland.ru/api/getInfo/image/19651c5b-1c21-11f0-a279-00155d82e908</v>
      </c>
      <c r="U2991" s="21"/>
      <c r="V2991" s="21"/>
      <c r="W2991" s="21" t="s">
        <v>8646</v>
      </c>
      <c r="X2991" s="21"/>
      <c r="Y2991" s="21" t="s">
        <v>41</v>
      </c>
      <c r="Z2991" s="21"/>
      <c r="AA2991" s="21" t="str">
        <f>HYPERLINK("https://miland.ru/api/getInfo/item/19651c5b-1c21-11f0-a279-00155d82e908")</f>
        <v>https://miland.ru/api/getInfo/item/19651c5b-1c21-11f0-a279-00155d82e908</v>
      </c>
      <c r="AB2991" s="21" t="s">
        <v>42</v>
      </c>
      <c r="AC2991" s="21"/>
      <c r="AD2991" s="21"/>
    </row>
    <row r="2992" spans="2:31" s="1" customFormat="1" ht="96.3" customHeight="1" outlineLevel="5">
      <c r="B2992" s="57">
        <v>2322</v>
      </c>
      <c r="C2992" s="21" t="s">
        <v>10346</v>
      </c>
      <c r="D2992" s="72" t="s">
        <v>10347</v>
      </c>
      <c r="E2992" s="72"/>
      <c r="F2992" s="72"/>
      <c r="G2992" s="72"/>
      <c r="H2992" s="22" t="s">
        <v>10348</v>
      </c>
      <c r="I2992" s="23" t="s">
        <v>36</v>
      </c>
      <c r="J2992" s="22"/>
      <c r="K2992" s="20">
        <v>1</v>
      </c>
      <c r="L2992" s="24">
        <v>858.81</v>
      </c>
      <c r="M2992" s="11"/>
      <c r="N2992" s="22">
        <f t="shared" si="145"/>
        <v>0</v>
      </c>
      <c r="O2992" s="25">
        <f>0.944*M2992</f>
        <v>0</v>
      </c>
      <c r="P2992" s="26">
        <f>0.00257*M2992</f>
        <v>0</v>
      </c>
      <c r="Q2992" s="30"/>
      <c r="R2992" s="22" t="s">
        <v>10349</v>
      </c>
      <c r="S2992" s="22"/>
      <c r="T2992" s="21" t="str">
        <f>HYPERLINK("https://miland.ru/api/getInfo/image/f1ad83de-630e-11f0-a282-00155d82e908")</f>
        <v>https://miland.ru/api/getInfo/image/f1ad83de-630e-11f0-a282-00155d82e908</v>
      </c>
      <c r="U2992" s="21"/>
      <c r="V2992" s="21"/>
      <c r="W2992" s="21" t="s">
        <v>10350</v>
      </c>
      <c r="X2992" s="21"/>
      <c r="Y2992" s="21" t="s">
        <v>41</v>
      </c>
      <c r="Z2992" s="21"/>
      <c r="AA2992" s="21" t="str">
        <f>HYPERLINK("https://miland.ru/api/getInfo/item/f1ad83de-630e-11f0-a282-00155d82e908")</f>
        <v>https://miland.ru/api/getInfo/item/f1ad83de-630e-11f0-a282-00155d82e908</v>
      </c>
      <c r="AB2992" s="21" t="s">
        <v>42</v>
      </c>
      <c r="AC2992" s="21"/>
      <c r="AD2992" s="21"/>
    </row>
    <row r="2993" spans="2:31" s="1" customFormat="1" ht="96.3" customHeight="1" outlineLevel="5">
      <c r="B2993" s="57">
        <v>2323</v>
      </c>
      <c r="C2993" s="21" t="s">
        <v>10351</v>
      </c>
      <c r="D2993" s="72" t="s">
        <v>10352</v>
      </c>
      <c r="E2993" s="72"/>
      <c r="F2993" s="72"/>
      <c r="G2993" s="72"/>
      <c r="H2993" s="22" t="s">
        <v>10353</v>
      </c>
      <c r="I2993" s="23" t="s">
        <v>36</v>
      </c>
      <c r="J2993" s="22"/>
      <c r="K2993" s="20">
        <v>1</v>
      </c>
      <c r="L2993" s="32">
        <v>1517.47</v>
      </c>
      <c r="M2993" s="11"/>
      <c r="N2993" s="22">
        <f t="shared" si="145"/>
        <v>0</v>
      </c>
      <c r="O2993" s="25">
        <f>1.079*M2993</f>
        <v>0</v>
      </c>
      <c r="P2993" s="29">
        <f>0.0048*M2993</f>
        <v>0</v>
      </c>
      <c r="Q2993" s="30"/>
      <c r="R2993" s="22" t="s">
        <v>10354</v>
      </c>
      <c r="S2993" s="22"/>
      <c r="T2993" s="21" t="str">
        <f>HYPERLINK("https://miland.ru/api/getInfo/image/5066cd3f-630e-11f0-a282-00155d82e908")</f>
        <v>https://miland.ru/api/getInfo/image/5066cd3f-630e-11f0-a282-00155d82e908</v>
      </c>
      <c r="U2993" s="21"/>
      <c r="V2993" s="21"/>
      <c r="W2993" s="21" t="s">
        <v>8646</v>
      </c>
      <c r="X2993" s="21"/>
      <c r="Y2993" s="21" t="s">
        <v>41</v>
      </c>
      <c r="Z2993" s="21"/>
      <c r="AA2993" s="21" t="str">
        <f>HYPERLINK("https://miland.ru/api/getInfo/item/5066cd3f-630e-11f0-a282-00155d82e908")</f>
        <v>https://miland.ru/api/getInfo/item/5066cd3f-630e-11f0-a282-00155d82e908</v>
      </c>
      <c r="AB2993" s="21" t="s">
        <v>42</v>
      </c>
      <c r="AC2993" s="21"/>
      <c r="AD2993" s="21"/>
    </row>
    <row r="2994" spans="2:31" s="1" customFormat="1" ht="96.3" customHeight="1" outlineLevel="5">
      <c r="B2994" s="57">
        <v>2324</v>
      </c>
      <c r="C2994" s="21" t="s">
        <v>10355</v>
      </c>
      <c r="D2994" s="72" t="s">
        <v>10356</v>
      </c>
      <c r="E2994" s="72"/>
      <c r="F2994" s="72"/>
      <c r="G2994" s="72"/>
      <c r="H2994" s="22" t="s">
        <v>10357</v>
      </c>
      <c r="I2994" s="23" t="s">
        <v>36</v>
      </c>
      <c r="J2994" s="22"/>
      <c r="K2994" s="20">
        <v>1</v>
      </c>
      <c r="L2994" s="32">
        <v>1030.57</v>
      </c>
      <c r="M2994" s="11"/>
      <c r="N2994" s="22">
        <f t="shared" si="145"/>
        <v>0</v>
      </c>
      <c r="O2994" s="25">
        <f>1.241*M2994</f>
        <v>0</v>
      </c>
      <c r="P2994" s="26">
        <f>0.00361*M2994</f>
        <v>0</v>
      </c>
      <c r="Q2994" s="30"/>
      <c r="R2994" s="22" t="s">
        <v>10358</v>
      </c>
      <c r="S2994" s="22"/>
      <c r="T2994" s="21" t="str">
        <f>HYPERLINK("https://miland.ru/api/getInfo/image/da910aee-630f-11f0-a282-00155d82e908")</f>
        <v>https://miland.ru/api/getInfo/image/da910aee-630f-11f0-a282-00155d82e908</v>
      </c>
      <c r="U2994" s="21"/>
      <c r="V2994" s="21"/>
      <c r="W2994" s="21" t="s">
        <v>10350</v>
      </c>
      <c r="X2994" s="21"/>
      <c r="Y2994" s="21" t="s">
        <v>41</v>
      </c>
      <c r="Z2994" s="21"/>
      <c r="AA2994" s="21" t="str">
        <f>HYPERLINK("https://miland.ru/api/getInfo/item/da910aee-630f-11f0-a282-00155d82e908")</f>
        <v>https://miland.ru/api/getInfo/item/da910aee-630f-11f0-a282-00155d82e908</v>
      </c>
      <c r="AB2994" s="21" t="s">
        <v>42</v>
      </c>
      <c r="AC2994" s="21"/>
      <c r="AD2994" s="21"/>
    </row>
    <row r="2995" spans="2:31" ht="12" customHeight="1" outlineLevel="4">
      <c r="B2995" s="70" t="s">
        <v>10359</v>
      </c>
      <c r="C2995" s="70"/>
      <c r="D2995" s="70"/>
      <c r="E2995" s="70"/>
      <c r="F2995" s="70"/>
      <c r="G2995" s="70"/>
    </row>
    <row r="2996" spans="2:31" s="1" customFormat="1" ht="96.3" customHeight="1" outlineLevel="5">
      <c r="B2996" s="57">
        <v>2325</v>
      </c>
      <c r="C2996" s="21" t="s">
        <v>10360</v>
      </c>
      <c r="D2996" s="72" t="s">
        <v>10361</v>
      </c>
      <c r="E2996" s="72"/>
      <c r="F2996" s="72"/>
      <c r="G2996" s="72"/>
      <c r="H2996" s="22" t="s">
        <v>10362</v>
      </c>
      <c r="I2996" s="27">
        <v>68</v>
      </c>
      <c r="J2996" s="22"/>
      <c r="K2996" s="20">
        <v>1</v>
      </c>
      <c r="L2996" s="24">
        <v>791.95</v>
      </c>
      <c r="M2996" s="11"/>
      <c r="N2996" s="22">
        <f>L2996*M2996</f>
        <v>0</v>
      </c>
      <c r="O2996" s="25">
        <f>0.627*M2996</f>
        <v>0</v>
      </c>
      <c r="P2996" s="26">
        <f>0.00176*M2996</f>
        <v>0</v>
      </c>
      <c r="Q2996" s="30"/>
      <c r="R2996" s="22" t="s">
        <v>10363</v>
      </c>
      <c r="S2996" s="22"/>
      <c r="T2996" s="21" t="str">
        <f>HYPERLINK("https://miland.ru/api/getInfo/image/c137255b-1c22-11f0-a279-00155d82e908")</f>
        <v>https://miland.ru/api/getInfo/image/c137255b-1c22-11f0-a279-00155d82e908</v>
      </c>
      <c r="U2996" s="21"/>
      <c r="V2996" s="21"/>
      <c r="W2996" s="21" t="s">
        <v>8646</v>
      </c>
      <c r="X2996" s="21"/>
      <c r="Y2996" s="21" t="s">
        <v>41</v>
      </c>
      <c r="Z2996" s="21"/>
      <c r="AA2996" s="21" t="str">
        <f>HYPERLINK("https://miland.ru/api/getInfo/item/c137255b-1c22-11f0-a279-00155d82e908")</f>
        <v>https://miland.ru/api/getInfo/item/c137255b-1c22-11f0-a279-00155d82e908</v>
      </c>
      <c r="AB2996" s="21" t="s">
        <v>42</v>
      </c>
      <c r="AC2996" s="21"/>
      <c r="AD2996" s="21"/>
    </row>
    <row r="2997" spans="2:31" s="1" customFormat="1" ht="96.3" customHeight="1" outlineLevel="5">
      <c r="B2997" s="57">
        <v>2326</v>
      </c>
      <c r="C2997" s="21" t="s">
        <v>10364</v>
      </c>
      <c r="D2997" s="72" t="s">
        <v>10365</v>
      </c>
      <c r="E2997" s="72"/>
      <c r="F2997" s="72"/>
      <c r="G2997" s="72"/>
      <c r="H2997" s="22" t="s">
        <v>10366</v>
      </c>
      <c r="I2997" s="27">
        <v>7</v>
      </c>
      <c r="J2997" s="22"/>
      <c r="K2997" s="20">
        <v>1</v>
      </c>
      <c r="L2997" s="24">
        <v>768.64</v>
      </c>
      <c r="M2997" s="11"/>
      <c r="N2997" s="22">
        <f>L2997*M2997</f>
        <v>0</v>
      </c>
      <c r="O2997" s="25">
        <f>0.436*M2997</f>
        <v>0</v>
      </c>
      <c r="P2997" s="26">
        <f>0.00227*M2997</f>
        <v>0</v>
      </c>
      <c r="Q2997" s="30"/>
      <c r="R2997" s="22" t="s">
        <v>10367</v>
      </c>
      <c r="S2997" s="22"/>
      <c r="T2997" s="21" t="str">
        <f>HYPERLINK("https://miland.ru/api/getInfo/image/3a97c693-1c27-11f0-a279-00155d82e908")</f>
        <v>https://miland.ru/api/getInfo/image/3a97c693-1c27-11f0-a279-00155d82e908</v>
      </c>
      <c r="U2997" s="21"/>
      <c r="V2997" s="21"/>
      <c r="W2997" s="21" t="s">
        <v>10350</v>
      </c>
      <c r="X2997" s="21"/>
      <c r="Y2997" s="21" t="s">
        <v>41</v>
      </c>
      <c r="Z2997" s="21"/>
      <c r="AA2997" s="21" t="str">
        <f>HYPERLINK("https://miland.ru/api/getInfo/item/3a97c693-1c27-11f0-a279-00155d82e908")</f>
        <v>https://miland.ru/api/getInfo/item/3a97c693-1c27-11f0-a279-00155d82e908</v>
      </c>
      <c r="AB2997" s="21" t="s">
        <v>42</v>
      </c>
      <c r="AC2997" s="21"/>
      <c r="AD2997" s="21"/>
    </row>
    <row r="2998" spans="2:31" s="1" customFormat="1" ht="96.3" customHeight="1" outlineLevel="5">
      <c r="B2998" s="59">
        <v>2327</v>
      </c>
      <c r="C2998" s="35" t="s">
        <v>10368</v>
      </c>
      <c r="D2998" s="73" t="s">
        <v>10369</v>
      </c>
      <c r="E2998" s="73"/>
      <c r="F2998" s="73"/>
      <c r="G2998" s="73"/>
      <c r="H2998" s="36" t="s">
        <v>10370</v>
      </c>
      <c r="I2998" s="40">
        <v>445</v>
      </c>
      <c r="J2998" s="36"/>
      <c r="K2998" s="34">
        <v>1</v>
      </c>
      <c r="L2998" s="41">
        <v>615.61333333333334</v>
      </c>
      <c r="M2998" s="11"/>
      <c r="N2998" s="36">
        <f>L2998*M2998</f>
        <v>0</v>
      </c>
      <c r="O2998" s="42">
        <f>0.742*M2998</f>
        <v>0</v>
      </c>
      <c r="P2998" s="43">
        <f>0.00264*M2998</f>
        <v>0</v>
      </c>
      <c r="Q2998" s="50"/>
      <c r="R2998" s="36" t="s">
        <v>10371</v>
      </c>
      <c r="S2998" s="36"/>
      <c r="T2998" s="35" t="str">
        <f>HYPERLINK("https://miland.ru/api/getInfo/image/d469070a-7333-11ee-a248-00155d82e902")</f>
        <v>https://miland.ru/api/getInfo/image/d469070a-7333-11ee-a248-00155d82e902</v>
      </c>
      <c r="U2998" s="35"/>
      <c r="V2998" s="35"/>
      <c r="W2998" s="35" t="s">
        <v>8646</v>
      </c>
      <c r="X2998" s="35"/>
      <c r="Y2998" s="35" t="s">
        <v>41</v>
      </c>
      <c r="Z2998" s="35"/>
      <c r="AA2998" s="35" t="str">
        <f>HYPERLINK("https://miland.ru/api/getInfo/item/d469070a-7333-11ee-a248-00155d82e902")</f>
        <v>https://miland.ru/api/getInfo/item/d469070a-7333-11ee-a248-00155d82e902</v>
      </c>
      <c r="AB2998" s="35" t="s">
        <v>42</v>
      </c>
      <c r="AC2998" s="35" t="s">
        <v>10372</v>
      </c>
      <c r="AD2998" s="35"/>
      <c r="AE2998" s="52" t="s">
        <v>9152</v>
      </c>
    </row>
    <row r="2999" spans="2:31" s="1" customFormat="1" ht="96.3" customHeight="1" outlineLevel="5">
      <c r="B2999" s="57">
        <v>2328</v>
      </c>
      <c r="C2999" s="21" t="s">
        <v>10373</v>
      </c>
      <c r="D2999" s="72" t="s">
        <v>10374</v>
      </c>
      <c r="E2999" s="72"/>
      <c r="F2999" s="72"/>
      <c r="G2999" s="72"/>
      <c r="H2999" s="22" t="s">
        <v>10375</v>
      </c>
      <c r="I2999" s="27">
        <v>394</v>
      </c>
      <c r="J2999" s="22"/>
      <c r="K2999" s="20">
        <v>1</v>
      </c>
      <c r="L2999" s="24">
        <v>605.59</v>
      </c>
      <c r="M2999" s="11"/>
      <c r="N2999" s="22">
        <f>L2999*M2999</f>
        <v>0</v>
      </c>
      <c r="O2999" s="25">
        <f>0.442*M2999</f>
        <v>0</v>
      </c>
      <c r="P2999" s="26">
        <f>0.00132*M2999</f>
        <v>0</v>
      </c>
      <c r="Q2999" s="30"/>
      <c r="R2999" s="22" t="s">
        <v>10376</v>
      </c>
      <c r="S2999" s="22"/>
      <c r="T2999" s="21" t="str">
        <f>HYPERLINK("https://miland.ru/api/getInfo/image/b85ff915-1c1f-11f0-a279-00155d82e908")</f>
        <v>https://miland.ru/api/getInfo/image/b85ff915-1c1f-11f0-a279-00155d82e908</v>
      </c>
      <c r="U2999" s="21"/>
      <c r="V2999" s="21"/>
      <c r="W2999" s="21" t="s">
        <v>8646</v>
      </c>
      <c r="X2999" s="21"/>
      <c r="Y2999" s="21" t="s">
        <v>41</v>
      </c>
      <c r="Z2999" s="21"/>
      <c r="AA2999" s="21" t="str">
        <f>HYPERLINK("https://miland.ru/api/getInfo/item/b85ff915-1c1f-11f0-a279-00155d82e908")</f>
        <v>https://miland.ru/api/getInfo/item/b85ff915-1c1f-11f0-a279-00155d82e908</v>
      </c>
      <c r="AB2999" s="21" t="s">
        <v>42</v>
      </c>
      <c r="AC2999" s="21"/>
      <c r="AD2999" s="21"/>
    </row>
    <row r="3000" spans="2:31" ht="12" customHeight="1" outlineLevel="4">
      <c r="B3000" s="70" t="s">
        <v>10377</v>
      </c>
      <c r="C3000" s="70"/>
      <c r="D3000" s="70"/>
      <c r="E3000" s="70"/>
      <c r="F3000" s="70"/>
      <c r="G3000" s="70"/>
    </row>
    <row r="3001" spans="2:31" s="1" customFormat="1" ht="96.3" customHeight="1" outlineLevel="5">
      <c r="B3001" s="57">
        <v>2329</v>
      </c>
      <c r="C3001" s="21" t="s">
        <v>10378</v>
      </c>
      <c r="D3001" s="72" t="s">
        <v>10379</v>
      </c>
      <c r="E3001" s="72"/>
      <c r="F3001" s="72"/>
      <c r="G3001" s="72"/>
      <c r="H3001" s="22" t="s">
        <v>10380</v>
      </c>
      <c r="I3001" s="23" t="s">
        <v>36</v>
      </c>
      <c r="J3001" s="22"/>
      <c r="K3001" s="20">
        <v>3</v>
      </c>
      <c r="L3001" s="24">
        <v>264.43</v>
      </c>
      <c r="M3001" s="11"/>
      <c r="N3001" s="22">
        <f>L3001*M3001</f>
        <v>0</v>
      </c>
      <c r="O3001" s="25">
        <f>0.258*M3001</f>
        <v>0</v>
      </c>
      <c r="P3001" s="26">
        <f>0.00323*M3001</f>
        <v>0</v>
      </c>
      <c r="Q3001" s="30"/>
      <c r="R3001" s="22" t="s">
        <v>10381</v>
      </c>
      <c r="S3001" s="22"/>
      <c r="T3001" s="21" t="str">
        <f>HYPERLINK("https://miland.ru/api/getInfo/image/6153e9f1-b2e1-11ef-a267-00155d82e908")</f>
        <v>https://miland.ru/api/getInfo/image/6153e9f1-b2e1-11ef-a267-00155d82e908</v>
      </c>
      <c r="U3001" s="21"/>
      <c r="V3001" s="21"/>
      <c r="W3001" s="21" t="s">
        <v>10008</v>
      </c>
      <c r="X3001" s="21"/>
      <c r="Y3001" s="21" t="s">
        <v>41</v>
      </c>
      <c r="Z3001" s="21"/>
      <c r="AA3001" s="21" t="str">
        <f>HYPERLINK("https://miland.ru/api/getInfo/item/6153e9f1-b2e1-11ef-a267-00155d82e908")</f>
        <v>https://miland.ru/api/getInfo/item/6153e9f1-b2e1-11ef-a267-00155d82e908</v>
      </c>
      <c r="AB3001" s="21" t="s">
        <v>42</v>
      </c>
      <c r="AC3001" s="21"/>
      <c r="AD3001" s="21"/>
    </row>
    <row r="3002" spans="2:31" s="1" customFormat="1" ht="96.3" customHeight="1" outlineLevel="5">
      <c r="B3002" s="57">
        <v>2330</v>
      </c>
      <c r="C3002" s="21" t="s">
        <v>10382</v>
      </c>
      <c r="D3002" s="72" t="s">
        <v>10383</v>
      </c>
      <c r="E3002" s="72"/>
      <c r="F3002" s="72"/>
      <c r="G3002" s="72"/>
      <c r="H3002" s="22" t="s">
        <v>10384</v>
      </c>
      <c r="I3002" s="23" t="s">
        <v>36</v>
      </c>
      <c r="J3002" s="22"/>
      <c r="K3002" s="20">
        <v>1</v>
      </c>
      <c r="L3002" s="24">
        <v>402.81</v>
      </c>
      <c r="M3002" s="11"/>
      <c r="N3002" s="22">
        <f>L3002*M3002</f>
        <v>0</v>
      </c>
      <c r="O3002" s="25">
        <f>0.232*M3002</f>
        <v>0</v>
      </c>
      <c r="P3002" s="26">
        <f>0.00423*M3002</f>
        <v>0</v>
      </c>
      <c r="Q3002" s="30"/>
      <c r="R3002" s="22" t="s">
        <v>10385</v>
      </c>
      <c r="S3002" s="22"/>
      <c r="T3002" s="21" t="str">
        <f>HYPERLINK("https://miland.ru/api/getInfo/image/9652a9a7-b2e0-11ef-a267-00155d82e908")</f>
        <v>https://miland.ru/api/getInfo/image/9652a9a7-b2e0-11ef-a267-00155d82e908</v>
      </c>
      <c r="U3002" s="21"/>
      <c r="V3002" s="21"/>
      <c r="W3002" s="21" t="s">
        <v>10008</v>
      </c>
      <c r="X3002" s="21"/>
      <c r="Y3002" s="21" t="s">
        <v>41</v>
      </c>
      <c r="Z3002" s="21"/>
      <c r="AA3002" s="21" t="str">
        <f>HYPERLINK("https://miland.ru/api/getInfo/item/9652a9a7-b2e0-11ef-a267-00155d82e908")</f>
        <v>https://miland.ru/api/getInfo/item/9652a9a7-b2e0-11ef-a267-00155d82e908</v>
      </c>
      <c r="AB3002" s="21" t="s">
        <v>42</v>
      </c>
      <c r="AC3002" s="21"/>
      <c r="AD3002" s="21"/>
    </row>
    <row r="3003" spans="2:31" s="1" customFormat="1" ht="96.3" customHeight="1" outlineLevel="5">
      <c r="B3003" s="57">
        <v>2331</v>
      </c>
      <c r="C3003" s="21" t="s">
        <v>10386</v>
      </c>
      <c r="D3003" s="72" t="s">
        <v>10387</v>
      </c>
      <c r="E3003" s="72"/>
      <c r="F3003" s="72"/>
      <c r="G3003" s="72"/>
      <c r="H3003" s="22" t="s">
        <v>10388</v>
      </c>
      <c r="I3003" s="23" t="s">
        <v>36</v>
      </c>
      <c r="J3003" s="22"/>
      <c r="K3003" s="20">
        <v>1</v>
      </c>
      <c r="L3003" s="24">
        <v>402.81</v>
      </c>
      <c r="M3003" s="11"/>
      <c r="N3003" s="22">
        <f>L3003*M3003</f>
        <v>0</v>
      </c>
      <c r="O3003" s="28">
        <f>0.24*M3003</f>
        <v>0</v>
      </c>
      <c r="P3003" s="26">
        <f>0.00407*M3003</f>
        <v>0</v>
      </c>
      <c r="Q3003" s="30"/>
      <c r="R3003" s="22" t="s">
        <v>10389</v>
      </c>
      <c r="S3003" s="22"/>
      <c r="T3003" s="21" t="str">
        <f>HYPERLINK("https://miland.ru/api/getInfo/image/817c9d93-b2e0-11ef-a267-00155d82e908")</f>
        <v>https://miland.ru/api/getInfo/image/817c9d93-b2e0-11ef-a267-00155d82e908</v>
      </c>
      <c r="U3003" s="21"/>
      <c r="V3003" s="21"/>
      <c r="W3003" s="21" t="s">
        <v>10008</v>
      </c>
      <c r="X3003" s="21"/>
      <c r="Y3003" s="21" t="s">
        <v>41</v>
      </c>
      <c r="Z3003" s="21"/>
      <c r="AA3003" s="21" t="str">
        <f>HYPERLINK("https://miland.ru/api/getInfo/item/817c9d93-b2e0-11ef-a267-00155d82e908")</f>
        <v>https://miland.ru/api/getInfo/item/817c9d93-b2e0-11ef-a267-00155d82e908</v>
      </c>
      <c r="AB3003" s="21" t="s">
        <v>42</v>
      </c>
      <c r="AC3003" s="21"/>
      <c r="AD3003" s="21"/>
    </row>
    <row r="3004" spans="2:31" s="1" customFormat="1" ht="96.3" customHeight="1" outlineLevel="5">
      <c r="B3004" s="57">
        <v>2332</v>
      </c>
      <c r="C3004" s="21" t="s">
        <v>10390</v>
      </c>
      <c r="D3004" s="72" t="s">
        <v>10391</v>
      </c>
      <c r="E3004" s="72"/>
      <c r="F3004" s="72"/>
      <c r="G3004" s="72"/>
      <c r="H3004" s="22" t="s">
        <v>10392</v>
      </c>
      <c r="I3004" s="23" t="s">
        <v>36</v>
      </c>
      <c r="J3004" s="22"/>
      <c r="K3004" s="20">
        <v>1</v>
      </c>
      <c r="L3004" s="24">
        <v>402.81</v>
      </c>
      <c r="M3004" s="11"/>
      <c r="N3004" s="22">
        <f>L3004*M3004</f>
        <v>0</v>
      </c>
      <c r="O3004" s="25">
        <f>0.237*M3004</f>
        <v>0</v>
      </c>
      <c r="P3004" s="26">
        <f>0.00401*M3004</f>
        <v>0</v>
      </c>
      <c r="Q3004" s="30"/>
      <c r="R3004" s="22" t="s">
        <v>10393</v>
      </c>
      <c r="S3004" s="22"/>
      <c r="T3004" s="21" t="str">
        <f>HYPERLINK("https://miland.ru/api/getInfo/image/b5e41276-b2df-11ef-a267-00155d82e908")</f>
        <v>https://miland.ru/api/getInfo/image/b5e41276-b2df-11ef-a267-00155d82e908</v>
      </c>
      <c r="U3004" s="21"/>
      <c r="V3004" s="21"/>
      <c r="W3004" s="21" t="s">
        <v>10008</v>
      </c>
      <c r="X3004" s="21"/>
      <c r="Y3004" s="21" t="s">
        <v>41</v>
      </c>
      <c r="Z3004" s="21"/>
      <c r="AA3004" s="21" t="str">
        <f>HYPERLINK("https://miland.ru/api/getInfo/item/b5e41276-b2df-11ef-a267-00155d82e908")</f>
        <v>https://miland.ru/api/getInfo/item/b5e41276-b2df-11ef-a267-00155d82e908</v>
      </c>
      <c r="AB3004" s="21" t="s">
        <v>42</v>
      </c>
      <c r="AC3004" s="21"/>
      <c r="AD3004" s="21"/>
    </row>
    <row r="3005" spans="2:31" s="1" customFormat="1" ht="96.3" customHeight="1" outlineLevel="5">
      <c r="B3005" s="57">
        <v>2333</v>
      </c>
      <c r="C3005" s="21" t="s">
        <v>10394</v>
      </c>
      <c r="D3005" s="72" t="s">
        <v>10395</v>
      </c>
      <c r="E3005" s="72"/>
      <c r="F3005" s="72"/>
      <c r="G3005" s="72"/>
      <c r="H3005" s="22" t="s">
        <v>10396</v>
      </c>
      <c r="I3005" s="27">
        <v>300</v>
      </c>
      <c r="J3005" s="22"/>
      <c r="K3005" s="20">
        <v>1</v>
      </c>
      <c r="L3005" s="24">
        <v>402.81</v>
      </c>
      <c r="M3005" s="11"/>
      <c r="N3005" s="22">
        <f>L3005*M3005</f>
        <v>0</v>
      </c>
      <c r="O3005" s="25">
        <f>0.342*M3005</f>
        <v>0</v>
      </c>
      <c r="P3005" s="26">
        <f>0.00295*M3005</f>
        <v>0</v>
      </c>
      <c r="Q3005" s="30"/>
      <c r="R3005" s="22" t="s">
        <v>10397</v>
      </c>
      <c r="S3005" s="22"/>
      <c r="T3005" s="21" t="str">
        <f>HYPERLINK("https://miland.ru/api/getInfo/image/f1870c0b-b2e0-11ef-a267-00155d82e908")</f>
        <v>https://miland.ru/api/getInfo/image/f1870c0b-b2e0-11ef-a267-00155d82e908</v>
      </c>
      <c r="U3005" s="21"/>
      <c r="V3005" s="21"/>
      <c r="W3005" s="21" t="s">
        <v>10008</v>
      </c>
      <c r="X3005" s="21"/>
      <c r="Y3005" s="21" t="s">
        <v>41</v>
      </c>
      <c r="Z3005" s="21"/>
      <c r="AA3005" s="21" t="str">
        <f>HYPERLINK("https://miland.ru/api/getInfo/item/f1870c0b-b2e0-11ef-a267-00155d82e908")</f>
        <v>https://miland.ru/api/getInfo/item/f1870c0b-b2e0-11ef-a267-00155d82e908</v>
      </c>
      <c r="AB3005" s="21" t="s">
        <v>42</v>
      </c>
      <c r="AC3005" s="21"/>
      <c r="AD3005" s="21"/>
    </row>
    <row r="3006" spans="2:31" ht="12" customHeight="1" outlineLevel="4">
      <c r="B3006" s="70" t="s">
        <v>10398</v>
      </c>
      <c r="C3006" s="70"/>
      <c r="D3006" s="70"/>
      <c r="E3006" s="70"/>
      <c r="F3006" s="70"/>
      <c r="G3006" s="70"/>
    </row>
    <row r="3007" spans="2:31" s="1" customFormat="1" ht="96.3" customHeight="1" outlineLevel="5">
      <c r="B3007" s="57">
        <v>2334</v>
      </c>
      <c r="C3007" s="21" t="s">
        <v>10399</v>
      </c>
      <c r="D3007" s="72" t="s">
        <v>10400</v>
      </c>
      <c r="E3007" s="72"/>
      <c r="F3007" s="72"/>
      <c r="G3007" s="72"/>
      <c r="H3007" s="22" t="s">
        <v>10401</v>
      </c>
      <c r="I3007" s="27">
        <v>356</v>
      </c>
      <c r="J3007" s="22"/>
      <c r="K3007" s="20">
        <v>1</v>
      </c>
      <c r="L3007" s="24">
        <v>548.67999999999995</v>
      </c>
      <c r="M3007" s="11"/>
      <c r="N3007" s="22">
        <f>L3007*M3007</f>
        <v>0</v>
      </c>
      <c r="O3007" s="25">
        <f>0.083*M3007</f>
        <v>0</v>
      </c>
      <c r="P3007" s="26">
        <f>0.00099*M3007</f>
        <v>0</v>
      </c>
      <c r="Q3007" s="30"/>
      <c r="R3007" s="22" t="s">
        <v>10402</v>
      </c>
      <c r="S3007" s="22" t="s">
        <v>435</v>
      </c>
      <c r="T3007" s="21" t="str">
        <f>HYPERLINK("https://miland.ru/api/getInfo/image/69665cd2-1760-11ef-a25d-00155d82e908")</f>
        <v>https://miland.ru/api/getInfo/image/69665cd2-1760-11ef-a25d-00155d82e908</v>
      </c>
      <c r="U3007" s="21"/>
      <c r="V3007" s="21" t="s">
        <v>10403</v>
      </c>
      <c r="W3007" s="21" t="s">
        <v>10404</v>
      </c>
      <c r="X3007" s="21" t="s">
        <v>172</v>
      </c>
      <c r="Y3007" s="21" t="s">
        <v>10405</v>
      </c>
      <c r="Z3007" s="21" t="s">
        <v>10406</v>
      </c>
      <c r="AA3007" s="21" t="str">
        <f>HYPERLINK("https://miland.ru/api/getInfo/item/69665cd2-1760-11ef-a25d-00155d82e908")</f>
        <v>https://miland.ru/api/getInfo/item/69665cd2-1760-11ef-a25d-00155d82e908</v>
      </c>
      <c r="AB3007" s="21" t="s">
        <v>42</v>
      </c>
      <c r="AC3007" s="21"/>
      <c r="AD3007" s="21"/>
    </row>
    <row r="3008" spans="2:31" s="1" customFormat="1" ht="96.3" customHeight="1" outlineLevel="5">
      <c r="B3008" s="57">
        <v>2335</v>
      </c>
      <c r="C3008" s="21" t="s">
        <v>10407</v>
      </c>
      <c r="D3008" s="72" t="s">
        <v>10408</v>
      </c>
      <c r="E3008" s="72"/>
      <c r="F3008" s="72"/>
      <c r="G3008" s="72"/>
      <c r="H3008" s="22" t="s">
        <v>10409</v>
      </c>
      <c r="I3008" s="27">
        <v>186</v>
      </c>
      <c r="J3008" s="22"/>
      <c r="K3008" s="20">
        <v>1</v>
      </c>
      <c r="L3008" s="24">
        <v>811.53</v>
      </c>
      <c r="M3008" s="11"/>
      <c r="N3008" s="22">
        <f>L3008*M3008</f>
        <v>0</v>
      </c>
      <c r="O3008" s="25">
        <f>0.248*M3008</f>
        <v>0</v>
      </c>
      <c r="P3008" s="26">
        <f>0.00083*M3008</f>
        <v>0</v>
      </c>
      <c r="Q3008" s="30"/>
      <c r="R3008" s="22" t="s">
        <v>10410</v>
      </c>
      <c r="S3008" s="22" t="s">
        <v>435</v>
      </c>
      <c r="T3008" s="21" t="str">
        <f>HYPERLINK("https://miland.ru/api/getInfo/image/f227aeca-1760-11ef-a25d-00155d82e908")</f>
        <v>https://miland.ru/api/getInfo/image/f227aeca-1760-11ef-a25d-00155d82e908</v>
      </c>
      <c r="U3008" s="21"/>
      <c r="V3008" s="21" t="s">
        <v>10411</v>
      </c>
      <c r="W3008" s="21" t="s">
        <v>10008</v>
      </c>
      <c r="X3008" s="21"/>
      <c r="Y3008" s="21" t="s">
        <v>697</v>
      </c>
      <c r="Z3008" s="21"/>
      <c r="AA3008" s="21" t="str">
        <f>HYPERLINK("https://miland.ru/api/getInfo/item/f227aeca-1760-11ef-a25d-00155d82e908")</f>
        <v>https://miland.ru/api/getInfo/item/f227aeca-1760-11ef-a25d-00155d82e908</v>
      </c>
      <c r="AB3008" s="21" t="s">
        <v>42</v>
      </c>
      <c r="AC3008" s="21"/>
      <c r="AD3008" s="21"/>
    </row>
    <row r="3009" spans="2:31" ht="12" customHeight="1" outlineLevel="4">
      <c r="B3009" s="70" t="s">
        <v>10412</v>
      </c>
      <c r="C3009" s="70"/>
      <c r="D3009" s="70"/>
      <c r="E3009" s="70"/>
      <c r="F3009" s="70"/>
      <c r="G3009" s="70"/>
    </row>
    <row r="3010" spans="2:31" s="1" customFormat="1" ht="96.3" customHeight="1" outlineLevel="5">
      <c r="B3010" s="57">
        <v>2336</v>
      </c>
      <c r="C3010" s="21" t="s">
        <v>10413</v>
      </c>
      <c r="D3010" s="72" t="s">
        <v>10414</v>
      </c>
      <c r="E3010" s="72"/>
      <c r="F3010" s="72"/>
      <c r="G3010" s="72"/>
      <c r="H3010" s="22" t="s">
        <v>10415</v>
      </c>
      <c r="I3010" s="27">
        <v>473</v>
      </c>
      <c r="J3010" s="22"/>
      <c r="K3010" s="20">
        <v>1</v>
      </c>
      <c r="L3010" s="32">
        <v>1105.69</v>
      </c>
      <c r="M3010" s="11"/>
      <c r="N3010" s="22">
        <f>L3010*M3010</f>
        <v>0</v>
      </c>
      <c r="O3010" s="28">
        <f>0.79*M3010</f>
        <v>0</v>
      </c>
      <c r="P3010" s="29">
        <f>0.0049*M3010</f>
        <v>0</v>
      </c>
      <c r="Q3010" s="30"/>
      <c r="R3010" s="22" t="s">
        <v>10416</v>
      </c>
      <c r="S3010" s="22"/>
      <c r="T3010" s="21" t="str">
        <f>HYPERLINK("https://miland.ru/api/getInfo/image/0774ff44-1c1f-11f0-a279-00155d82e908")</f>
        <v>https://miland.ru/api/getInfo/image/0774ff44-1c1f-11f0-a279-00155d82e908</v>
      </c>
      <c r="U3010" s="21"/>
      <c r="V3010" s="21"/>
      <c r="W3010" s="21" t="s">
        <v>8646</v>
      </c>
      <c r="X3010" s="21"/>
      <c r="Y3010" s="21" t="s">
        <v>41</v>
      </c>
      <c r="Z3010" s="21"/>
      <c r="AA3010" s="21" t="str">
        <f>HYPERLINK("https://miland.ru/api/getInfo/item/0774ff44-1c1f-11f0-a279-00155d82e908")</f>
        <v>https://miland.ru/api/getInfo/item/0774ff44-1c1f-11f0-a279-00155d82e908</v>
      </c>
      <c r="AB3010" s="21" t="s">
        <v>42</v>
      </c>
      <c r="AC3010" s="21"/>
      <c r="AD3010" s="21"/>
    </row>
    <row r="3011" spans="2:31" ht="12" customHeight="1" outlineLevel="4">
      <c r="B3011" s="70" t="s">
        <v>10417</v>
      </c>
      <c r="C3011" s="70"/>
      <c r="D3011" s="70"/>
      <c r="E3011" s="70"/>
      <c r="F3011" s="70"/>
      <c r="G3011" s="70"/>
    </row>
    <row r="3012" spans="2:31" s="1" customFormat="1" ht="96.3" customHeight="1" outlineLevel="5">
      <c r="B3012" s="57">
        <v>2337</v>
      </c>
      <c r="C3012" s="21" t="s">
        <v>10418</v>
      </c>
      <c r="D3012" s="72" t="s">
        <v>10419</v>
      </c>
      <c r="E3012" s="72"/>
      <c r="F3012" s="72"/>
      <c r="G3012" s="72"/>
      <c r="H3012" s="22" t="s">
        <v>10420</v>
      </c>
      <c r="I3012" s="27">
        <v>470</v>
      </c>
      <c r="J3012" s="22"/>
      <c r="K3012" s="20">
        <v>1</v>
      </c>
      <c r="L3012" s="24">
        <v>597.77</v>
      </c>
      <c r="M3012" s="11"/>
      <c r="N3012" s="22">
        <f>L3012*M3012</f>
        <v>0</v>
      </c>
      <c r="O3012" s="25">
        <f>0.471*M3012</f>
        <v>0</v>
      </c>
      <c r="P3012" s="26">
        <f>0.00221*M3012</f>
        <v>0</v>
      </c>
      <c r="Q3012" s="30"/>
      <c r="R3012" s="22" t="s">
        <v>10421</v>
      </c>
      <c r="S3012" s="22" t="s">
        <v>435</v>
      </c>
      <c r="T3012" s="21" t="str">
        <f>HYPERLINK("https://miland.ru/api/getInfo/image/af782b4e-1c20-11f0-a279-00155d82e908")</f>
        <v>https://miland.ru/api/getInfo/image/af782b4e-1c20-11f0-a279-00155d82e908</v>
      </c>
      <c r="U3012" s="21"/>
      <c r="V3012" s="21"/>
      <c r="W3012" s="21" t="s">
        <v>8646</v>
      </c>
      <c r="X3012" s="21"/>
      <c r="Y3012" s="21" t="s">
        <v>41</v>
      </c>
      <c r="Z3012" s="21"/>
      <c r="AA3012" s="21" t="str">
        <f>HYPERLINK("https://miland.ru/api/getInfo/item/af782b4e-1c20-11f0-a279-00155d82e908")</f>
        <v>https://miland.ru/api/getInfo/item/af782b4e-1c20-11f0-a279-00155d82e908</v>
      </c>
      <c r="AB3012" s="21" t="s">
        <v>42</v>
      </c>
      <c r="AC3012" s="21"/>
      <c r="AD3012" s="21"/>
    </row>
    <row r="3013" spans="2:31" ht="12" customHeight="1" outlineLevel="3">
      <c r="B3013" s="70" t="s">
        <v>10422</v>
      </c>
      <c r="C3013" s="70"/>
      <c r="D3013" s="70"/>
      <c r="E3013" s="70"/>
      <c r="F3013" s="70"/>
      <c r="G3013" s="70"/>
    </row>
    <row r="3014" spans="2:31" ht="12" customHeight="1" outlineLevel="4">
      <c r="B3014" s="70" t="s">
        <v>10423</v>
      </c>
      <c r="C3014" s="70"/>
      <c r="D3014" s="70"/>
      <c r="E3014" s="70"/>
      <c r="F3014" s="70"/>
      <c r="G3014" s="70"/>
    </row>
    <row r="3015" spans="2:31" s="1" customFormat="1" ht="96.3" customHeight="1" outlineLevel="5">
      <c r="B3015" s="57">
        <v>2338</v>
      </c>
      <c r="C3015" s="21" t="s">
        <v>10424</v>
      </c>
      <c r="D3015" s="72" t="s">
        <v>10425</v>
      </c>
      <c r="E3015" s="72"/>
      <c r="F3015" s="72"/>
      <c r="G3015" s="72"/>
      <c r="H3015" s="22" t="s">
        <v>10426</v>
      </c>
      <c r="I3015" s="27">
        <v>9</v>
      </c>
      <c r="J3015" s="22"/>
      <c r="K3015" s="20">
        <v>1</v>
      </c>
      <c r="L3015" s="24">
        <v>540.52</v>
      </c>
      <c r="M3015" s="11"/>
      <c r="N3015" s="22">
        <f>L3015*M3015</f>
        <v>0</v>
      </c>
      <c r="O3015" s="28">
        <f>0.29*M3015</f>
        <v>0</v>
      </c>
      <c r="P3015" s="26">
        <f>0.00191*M3015</f>
        <v>0</v>
      </c>
      <c r="Q3015" s="30"/>
      <c r="R3015" s="22" t="s">
        <v>10427</v>
      </c>
      <c r="S3015" s="22" t="s">
        <v>435</v>
      </c>
      <c r="T3015" s="21" t="str">
        <f>HYPERLINK("https://miland.ru/api/getInfo/image/fc16b93b-8f5a-11ee-a250-00155d82e908")</f>
        <v>https://miland.ru/api/getInfo/image/fc16b93b-8f5a-11ee-a250-00155d82e908</v>
      </c>
      <c r="U3015" s="21"/>
      <c r="V3015" s="21"/>
      <c r="W3015" s="21" t="s">
        <v>10428</v>
      </c>
      <c r="X3015" s="21"/>
      <c r="Y3015" s="21" t="s">
        <v>41</v>
      </c>
      <c r="Z3015" s="21"/>
      <c r="AA3015" s="21" t="str">
        <f>HYPERLINK("https://miland.ru/api/getInfo/item/fc16b93b-8f5a-11ee-a250-00155d82e908")</f>
        <v>https://miland.ru/api/getInfo/item/fc16b93b-8f5a-11ee-a250-00155d82e908</v>
      </c>
      <c r="AB3015" s="21" t="s">
        <v>42</v>
      </c>
      <c r="AC3015" s="21" t="s">
        <v>10429</v>
      </c>
      <c r="AD3015" s="21"/>
    </row>
    <row r="3016" spans="2:31" ht="12" customHeight="1" outlineLevel="2">
      <c r="B3016" s="69" t="s">
        <v>10430</v>
      </c>
      <c r="C3016" s="69"/>
      <c r="D3016" s="69"/>
      <c r="E3016" s="69"/>
      <c r="F3016" s="69"/>
      <c r="G3016" s="69"/>
    </row>
    <row r="3017" spans="2:31" ht="12" customHeight="1" outlineLevel="3">
      <c r="B3017" s="70" t="s">
        <v>10431</v>
      </c>
      <c r="C3017" s="70"/>
      <c r="D3017" s="70"/>
      <c r="E3017" s="70"/>
      <c r="F3017" s="70"/>
      <c r="G3017" s="70"/>
    </row>
    <row r="3018" spans="2:31" s="1" customFormat="1" ht="96.3" customHeight="1" outlineLevel="4">
      <c r="B3018" s="57">
        <v>2339</v>
      </c>
      <c r="C3018" s="21" t="s">
        <v>10432</v>
      </c>
      <c r="D3018" s="72" t="s">
        <v>10433</v>
      </c>
      <c r="E3018" s="72"/>
      <c r="F3018" s="72"/>
      <c r="G3018" s="72"/>
      <c r="H3018" s="22" t="s">
        <v>10434</v>
      </c>
      <c r="I3018" s="27">
        <v>488</v>
      </c>
      <c r="J3018" s="22"/>
      <c r="K3018" s="20">
        <v>1</v>
      </c>
      <c r="L3018" s="24">
        <v>547.21</v>
      </c>
      <c r="M3018" s="11"/>
      <c r="N3018" s="22">
        <f t="shared" ref="N3018:N3025" si="146">L3018*M3018</f>
        <v>0</v>
      </c>
      <c r="O3018" s="25">
        <f>0.332*M3018</f>
        <v>0</v>
      </c>
      <c r="P3018" s="26">
        <f>0.00032*M3018</f>
        <v>0</v>
      </c>
      <c r="Q3018" s="30"/>
      <c r="R3018" s="22" t="s">
        <v>10435</v>
      </c>
      <c r="S3018" s="22"/>
      <c r="T3018" s="21" t="str">
        <f>HYPERLINK("https://miland.ru/api/getInfo/image/ea2ae394-0cbd-11ed-a215-ac1f6b442185")</f>
        <v>https://miland.ru/api/getInfo/image/ea2ae394-0cbd-11ed-a215-ac1f6b442185</v>
      </c>
      <c r="U3018" s="21"/>
      <c r="V3018" s="21"/>
      <c r="W3018" s="21"/>
      <c r="X3018" s="21"/>
      <c r="Y3018" s="21" t="s">
        <v>41</v>
      </c>
      <c r="Z3018" s="21"/>
      <c r="AA3018" s="21" t="str">
        <f>HYPERLINK("https://miland.ru/api/getInfo/item/ea2ae394-0cbd-11ed-a215-ac1f6b442185")</f>
        <v>https://miland.ru/api/getInfo/item/ea2ae394-0cbd-11ed-a215-ac1f6b442185</v>
      </c>
      <c r="AB3018" s="21" t="s">
        <v>50</v>
      </c>
      <c r="AC3018" s="21"/>
      <c r="AD3018" s="21"/>
    </row>
    <row r="3019" spans="2:31" s="1" customFormat="1" ht="96.3" customHeight="1" outlineLevel="4">
      <c r="B3019" s="57">
        <v>2340</v>
      </c>
      <c r="C3019" s="21" t="s">
        <v>10436</v>
      </c>
      <c r="D3019" s="72" t="s">
        <v>10437</v>
      </c>
      <c r="E3019" s="72"/>
      <c r="F3019" s="72"/>
      <c r="G3019" s="72"/>
      <c r="H3019" s="22" t="s">
        <v>10438</v>
      </c>
      <c r="I3019" s="23" t="s">
        <v>36</v>
      </c>
      <c r="J3019" s="22"/>
      <c r="K3019" s="20">
        <v>1</v>
      </c>
      <c r="L3019" s="24">
        <v>547.21</v>
      </c>
      <c r="M3019" s="11"/>
      <c r="N3019" s="22">
        <f t="shared" si="146"/>
        <v>0</v>
      </c>
      <c r="O3019" s="25">
        <f>0.333*M3019</f>
        <v>0</v>
      </c>
      <c r="P3019" s="26">
        <f>0.00064*M3019</f>
        <v>0</v>
      </c>
      <c r="Q3019" s="30"/>
      <c r="R3019" s="22" t="s">
        <v>10439</v>
      </c>
      <c r="S3019" s="22"/>
      <c r="T3019" s="21" t="str">
        <f>HYPERLINK("https://miland.ru/api/getInfo/image/a8e64cfd-0cbd-11ed-a215-ac1f6b442185")</f>
        <v>https://miland.ru/api/getInfo/image/a8e64cfd-0cbd-11ed-a215-ac1f6b442185</v>
      </c>
      <c r="U3019" s="21"/>
      <c r="V3019" s="21"/>
      <c r="W3019" s="21"/>
      <c r="X3019" s="21"/>
      <c r="Y3019" s="21" t="s">
        <v>41</v>
      </c>
      <c r="Z3019" s="21"/>
      <c r="AA3019" s="21" t="str">
        <f>HYPERLINK("https://miland.ru/api/getInfo/item/a8e64cfd-0cbd-11ed-a215-ac1f6b442185")</f>
        <v>https://miland.ru/api/getInfo/item/a8e64cfd-0cbd-11ed-a215-ac1f6b442185</v>
      </c>
      <c r="AB3019" s="21" t="s">
        <v>50</v>
      </c>
      <c r="AC3019" s="21"/>
      <c r="AD3019" s="21"/>
    </row>
    <row r="3020" spans="2:31" s="1" customFormat="1" ht="96.3" customHeight="1" outlineLevel="4">
      <c r="B3020" s="57">
        <v>2341</v>
      </c>
      <c r="C3020" s="21" t="s">
        <v>10440</v>
      </c>
      <c r="D3020" s="72" t="s">
        <v>10441</v>
      </c>
      <c r="E3020" s="72"/>
      <c r="F3020" s="72"/>
      <c r="G3020" s="72"/>
      <c r="H3020" s="22" t="s">
        <v>10442</v>
      </c>
      <c r="I3020" s="27">
        <v>326</v>
      </c>
      <c r="J3020" s="22"/>
      <c r="K3020" s="20">
        <v>1</v>
      </c>
      <c r="L3020" s="24">
        <v>547.21</v>
      </c>
      <c r="M3020" s="11"/>
      <c r="N3020" s="22">
        <f t="shared" si="146"/>
        <v>0</v>
      </c>
      <c r="O3020" s="28">
        <f>0.33*M3020</f>
        <v>0</v>
      </c>
      <c r="P3020" s="26">
        <f>0.00031*M3020</f>
        <v>0</v>
      </c>
      <c r="Q3020" s="30"/>
      <c r="R3020" s="22" t="s">
        <v>10443</v>
      </c>
      <c r="S3020" s="22"/>
      <c r="T3020" s="21" t="str">
        <f>HYPERLINK("https://miland.ru/api/getInfo/image/2edc6b51-87da-11eb-a277-ac1f6b442184")</f>
        <v>https://miland.ru/api/getInfo/image/2edc6b51-87da-11eb-a277-ac1f6b442184</v>
      </c>
      <c r="U3020" s="21"/>
      <c r="V3020" s="21"/>
      <c r="W3020" s="21"/>
      <c r="X3020" s="21"/>
      <c r="Y3020" s="21" t="s">
        <v>41</v>
      </c>
      <c r="Z3020" s="21"/>
      <c r="AA3020" s="21" t="str">
        <f>HYPERLINK("https://miland.ru/api/getInfo/item/2edc6b51-87da-11eb-a277-ac1f6b442184")</f>
        <v>https://miland.ru/api/getInfo/item/2edc6b51-87da-11eb-a277-ac1f6b442184</v>
      </c>
      <c r="AB3020" s="21" t="s">
        <v>50</v>
      </c>
      <c r="AC3020" s="21"/>
      <c r="AD3020" s="21"/>
    </row>
    <row r="3021" spans="2:31" s="1" customFormat="1" ht="96.3" customHeight="1" outlineLevel="4">
      <c r="B3021" s="57">
        <v>2342</v>
      </c>
      <c r="C3021" s="21" t="s">
        <v>10444</v>
      </c>
      <c r="D3021" s="72" t="s">
        <v>10445</v>
      </c>
      <c r="E3021" s="72"/>
      <c r="F3021" s="72"/>
      <c r="G3021" s="72"/>
      <c r="H3021" s="22" t="s">
        <v>10446</v>
      </c>
      <c r="I3021" s="23" t="s">
        <v>36</v>
      </c>
      <c r="J3021" s="22"/>
      <c r="K3021" s="20">
        <v>1</v>
      </c>
      <c r="L3021" s="24">
        <v>547.21</v>
      </c>
      <c r="M3021" s="11"/>
      <c r="N3021" s="22">
        <f t="shared" si="146"/>
        <v>0</v>
      </c>
      <c r="O3021" s="28">
        <f>0.33*M3021</f>
        <v>0</v>
      </c>
      <c r="P3021" s="26">
        <f>0.00031*M3021</f>
        <v>0</v>
      </c>
      <c r="Q3021" s="30"/>
      <c r="R3021" s="22" t="s">
        <v>10447</v>
      </c>
      <c r="S3021" s="22"/>
      <c r="T3021" s="21" t="str">
        <f>HYPERLINK("https://miland.ru/api/getInfo/image/65d7d818-87db-11eb-a277-ac1f6b442184")</f>
        <v>https://miland.ru/api/getInfo/image/65d7d818-87db-11eb-a277-ac1f6b442184</v>
      </c>
      <c r="U3021" s="21"/>
      <c r="V3021" s="21"/>
      <c r="W3021" s="21"/>
      <c r="X3021" s="21"/>
      <c r="Y3021" s="21" t="s">
        <v>41</v>
      </c>
      <c r="Z3021" s="21"/>
      <c r="AA3021" s="21" t="str">
        <f>HYPERLINK("https://miland.ru/api/getInfo/item/65d7d818-87db-11eb-a277-ac1f6b442184")</f>
        <v>https://miland.ru/api/getInfo/item/65d7d818-87db-11eb-a277-ac1f6b442184</v>
      </c>
      <c r="AB3021" s="21" t="s">
        <v>50</v>
      </c>
      <c r="AC3021" s="21"/>
      <c r="AD3021" s="21"/>
    </row>
    <row r="3022" spans="2:31" s="1" customFormat="1" ht="96.3" customHeight="1" outlineLevel="4">
      <c r="B3022" s="59">
        <v>2343</v>
      </c>
      <c r="C3022" s="35" t="s">
        <v>10448</v>
      </c>
      <c r="D3022" s="73" t="s">
        <v>10449</v>
      </c>
      <c r="E3022" s="73"/>
      <c r="F3022" s="73"/>
      <c r="G3022" s="73"/>
      <c r="H3022" s="36" t="s">
        <v>10450</v>
      </c>
      <c r="I3022" s="56" t="s">
        <v>36</v>
      </c>
      <c r="J3022" s="36"/>
      <c r="K3022" s="34">
        <v>1</v>
      </c>
      <c r="L3022" s="41">
        <v>1109.44</v>
      </c>
      <c r="M3022" s="11"/>
      <c r="N3022" s="36">
        <f t="shared" si="146"/>
        <v>0</v>
      </c>
      <c r="O3022" s="42">
        <f>0.944*M3022</f>
        <v>0</v>
      </c>
      <c r="P3022" s="43">
        <f>0.00324*M3022</f>
        <v>0</v>
      </c>
      <c r="Q3022" s="50"/>
      <c r="R3022" s="36" t="s">
        <v>10451</v>
      </c>
      <c r="S3022" s="36" t="s">
        <v>435</v>
      </c>
      <c r="T3022" s="35" t="str">
        <f>HYPERLINK("https://miland.ru/api/getInfo/image/0c5b2137-a0a4-11ee-a257-00155d82e908")</f>
        <v>https://miland.ru/api/getInfo/image/0c5b2137-a0a4-11ee-a257-00155d82e908</v>
      </c>
      <c r="U3022" s="35"/>
      <c r="V3022" s="35"/>
      <c r="W3022" s="35"/>
      <c r="X3022" s="35"/>
      <c r="Y3022" s="35" t="s">
        <v>41</v>
      </c>
      <c r="Z3022" s="35"/>
      <c r="AA3022" s="35" t="str">
        <f>HYPERLINK("https://miland.ru/api/getInfo/item/0c5b2137-a0a4-11ee-a257-00155d82e908")</f>
        <v>https://miland.ru/api/getInfo/item/0c5b2137-a0a4-11ee-a257-00155d82e908</v>
      </c>
      <c r="AB3022" s="35" t="s">
        <v>50</v>
      </c>
      <c r="AC3022" s="35"/>
      <c r="AD3022" s="35"/>
      <c r="AE3022" s="52" t="s">
        <v>9152</v>
      </c>
    </row>
    <row r="3023" spans="2:31" s="1" customFormat="1" ht="96.3" customHeight="1" outlineLevel="4">
      <c r="B3023" s="59">
        <v>2344</v>
      </c>
      <c r="C3023" s="35" t="s">
        <v>10452</v>
      </c>
      <c r="D3023" s="73" t="s">
        <v>10453</v>
      </c>
      <c r="E3023" s="73"/>
      <c r="F3023" s="73"/>
      <c r="G3023" s="73"/>
      <c r="H3023" s="36" t="s">
        <v>10454</v>
      </c>
      <c r="I3023" s="56" t="s">
        <v>36</v>
      </c>
      <c r="J3023" s="36"/>
      <c r="K3023" s="34">
        <v>1</v>
      </c>
      <c r="L3023" s="41">
        <v>1109.44</v>
      </c>
      <c r="M3023" s="11"/>
      <c r="N3023" s="36">
        <f t="shared" si="146"/>
        <v>0</v>
      </c>
      <c r="O3023" s="47">
        <f>0.95*M3023</f>
        <v>0</v>
      </c>
      <c r="P3023" s="43">
        <f>0.00314*M3023</f>
        <v>0</v>
      </c>
      <c r="Q3023" s="50"/>
      <c r="R3023" s="36" t="s">
        <v>10455</v>
      </c>
      <c r="S3023" s="36" t="s">
        <v>435</v>
      </c>
      <c r="T3023" s="35" t="str">
        <f>HYPERLINK("https://miland.ru/api/getInfo/image/cebb4bf7-3ac5-11ef-a261-00155d82e908")</f>
        <v>https://miland.ru/api/getInfo/image/cebb4bf7-3ac5-11ef-a261-00155d82e908</v>
      </c>
      <c r="U3023" s="35"/>
      <c r="V3023" s="35"/>
      <c r="W3023" s="35"/>
      <c r="X3023" s="35"/>
      <c r="Y3023" s="35" t="s">
        <v>41</v>
      </c>
      <c r="Z3023" s="35"/>
      <c r="AA3023" s="35" t="str">
        <f>HYPERLINK("https://miland.ru/api/getInfo/item/cebb4bf7-3ac5-11ef-a261-00155d82e908")</f>
        <v>https://miland.ru/api/getInfo/item/cebb4bf7-3ac5-11ef-a261-00155d82e908</v>
      </c>
      <c r="AB3023" s="35" t="s">
        <v>50</v>
      </c>
      <c r="AC3023" s="35"/>
      <c r="AD3023" s="35"/>
      <c r="AE3023" s="52" t="s">
        <v>9152</v>
      </c>
    </row>
    <row r="3024" spans="2:31" s="1" customFormat="1" ht="96.3" customHeight="1" outlineLevel="4">
      <c r="B3024" s="59">
        <v>2345</v>
      </c>
      <c r="C3024" s="35" t="s">
        <v>10456</v>
      </c>
      <c r="D3024" s="73" t="s">
        <v>10457</v>
      </c>
      <c r="E3024" s="73"/>
      <c r="F3024" s="73"/>
      <c r="G3024" s="73"/>
      <c r="H3024" s="36" t="s">
        <v>10458</v>
      </c>
      <c r="I3024" s="40">
        <v>182</v>
      </c>
      <c r="J3024" s="36"/>
      <c r="K3024" s="34">
        <v>2</v>
      </c>
      <c r="L3024" s="41">
        <v>201.28</v>
      </c>
      <c r="M3024" s="11"/>
      <c r="N3024" s="36">
        <f t="shared" si="146"/>
        <v>0</v>
      </c>
      <c r="O3024" s="42">
        <f>0.171*M3024</f>
        <v>0</v>
      </c>
      <c r="P3024" s="43">
        <f>0.00062*M3024</f>
        <v>0</v>
      </c>
      <c r="Q3024" s="50"/>
      <c r="R3024" s="36" t="s">
        <v>10459</v>
      </c>
      <c r="S3024" s="36" t="s">
        <v>435</v>
      </c>
      <c r="T3024" s="35" t="str">
        <f>HYPERLINK("https://miland.ru/api/getInfo/image/407505d1-53b7-11ee-a244-00155d82e902")</f>
        <v>https://miland.ru/api/getInfo/image/407505d1-53b7-11ee-a244-00155d82e902</v>
      </c>
      <c r="U3024" s="35"/>
      <c r="V3024" s="35" t="s">
        <v>48</v>
      </c>
      <c r="W3024" s="35" t="s">
        <v>49</v>
      </c>
      <c r="X3024" s="35"/>
      <c r="Y3024" s="35" t="s">
        <v>41</v>
      </c>
      <c r="Z3024" s="35"/>
      <c r="AA3024" s="35" t="str">
        <f>HYPERLINK("https://miland.ru/api/getInfo/item/407505d1-53b7-11ee-a244-00155d82e902")</f>
        <v>https://miland.ru/api/getInfo/item/407505d1-53b7-11ee-a244-00155d82e902</v>
      </c>
      <c r="AB3024" s="35" t="s">
        <v>50</v>
      </c>
      <c r="AC3024" s="35"/>
      <c r="AD3024" s="35"/>
      <c r="AE3024" s="52" t="s">
        <v>1251</v>
      </c>
    </row>
    <row r="3025" spans="2:31" s="1" customFormat="1" ht="96.3" customHeight="1" outlineLevel="4">
      <c r="B3025" s="57">
        <v>2346</v>
      </c>
      <c r="C3025" s="21" t="s">
        <v>10460</v>
      </c>
      <c r="D3025" s="72" t="s">
        <v>10461</v>
      </c>
      <c r="E3025" s="72"/>
      <c r="F3025" s="72"/>
      <c r="G3025" s="72"/>
      <c r="H3025" s="22" t="s">
        <v>10462</v>
      </c>
      <c r="I3025" s="27">
        <v>166</v>
      </c>
      <c r="J3025" s="22"/>
      <c r="K3025" s="20">
        <v>2</v>
      </c>
      <c r="L3025" s="24">
        <v>353.68</v>
      </c>
      <c r="M3025" s="11"/>
      <c r="N3025" s="22">
        <f t="shared" si="146"/>
        <v>0</v>
      </c>
      <c r="O3025" s="25">
        <f>0.179*M3025</f>
        <v>0</v>
      </c>
      <c r="P3025" s="26">
        <f>0.00035*M3025</f>
        <v>0</v>
      </c>
      <c r="Q3025" s="30"/>
      <c r="R3025" s="22" t="s">
        <v>10463</v>
      </c>
      <c r="S3025" s="22" t="s">
        <v>435</v>
      </c>
      <c r="T3025" s="21" t="str">
        <f>HYPERLINK("https://miland.ru/api/getInfo/image/31432192-116c-11ed-a215-ac1f6b442185")</f>
        <v>https://miland.ru/api/getInfo/image/31432192-116c-11ed-a215-ac1f6b442185</v>
      </c>
      <c r="U3025" s="21"/>
      <c r="V3025" s="21" t="s">
        <v>48</v>
      </c>
      <c r="W3025" s="21" t="s">
        <v>49</v>
      </c>
      <c r="X3025" s="21"/>
      <c r="Y3025" s="21" t="s">
        <v>41</v>
      </c>
      <c r="Z3025" s="21"/>
      <c r="AA3025" s="21" t="str">
        <f>HYPERLINK("https://miland.ru/api/getInfo/item/31432192-116c-11ed-a215-ac1f6b442185")</f>
        <v>https://miland.ru/api/getInfo/item/31432192-116c-11ed-a215-ac1f6b442185</v>
      </c>
      <c r="AB3025" s="21" t="s">
        <v>50</v>
      </c>
      <c r="AC3025" s="21"/>
      <c r="AD3025" s="21"/>
    </row>
    <row r="3026" spans="2:31" ht="12" customHeight="1" outlineLevel="3">
      <c r="B3026" s="70" t="s">
        <v>10464</v>
      </c>
      <c r="C3026" s="70"/>
      <c r="D3026" s="70"/>
      <c r="E3026" s="70"/>
      <c r="F3026" s="70"/>
      <c r="G3026" s="70"/>
    </row>
    <row r="3027" spans="2:31" s="1" customFormat="1" ht="96.3" customHeight="1" outlineLevel="4">
      <c r="B3027" s="59">
        <v>2347</v>
      </c>
      <c r="C3027" s="35" t="s">
        <v>10465</v>
      </c>
      <c r="D3027" s="73" t="s">
        <v>10466</v>
      </c>
      <c r="E3027" s="73"/>
      <c r="F3027" s="73"/>
      <c r="G3027" s="73"/>
      <c r="H3027" s="36" t="s">
        <v>10467</v>
      </c>
      <c r="I3027" s="40">
        <v>41</v>
      </c>
      <c r="J3027" s="36"/>
      <c r="K3027" s="34">
        <v>4</v>
      </c>
      <c r="L3027" s="41">
        <v>82.64</v>
      </c>
      <c r="M3027" s="11"/>
      <c r="N3027" s="36">
        <f t="shared" ref="N3027:N3044" si="147">L3027*M3027</f>
        <v>0</v>
      </c>
      <c r="O3027" s="42">
        <f>0.071*M3027</f>
        <v>0</v>
      </c>
      <c r="P3027" s="43">
        <f>0.00032*M3027</f>
        <v>0</v>
      </c>
      <c r="Q3027" s="50"/>
      <c r="R3027" s="36" t="s">
        <v>10468</v>
      </c>
      <c r="S3027" s="36" t="s">
        <v>435</v>
      </c>
      <c r="T3027" s="35" t="str">
        <f>HYPERLINK("https://miland.ru/api/getInfo/image/76cbf4c7-20f5-11f0-a279-00155d82e908")</f>
        <v>https://miland.ru/api/getInfo/image/76cbf4c7-20f5-11f0-a279-00155d82e908</v>
      </c>
      <c r="U3027" s="35"/>
      <c r="V3027" s="35" t="s">
        <v>10469</v>
      </c>
      <c r="W3027" s="35" t="s">
        <v>10470</v>
      </c>
      <c r="X3027" s="35"/>
      <c r="Y3027" s="35" t="s">
        <v>41</v>
      </c>
      <c r="Z3027" s="35"/>
      <c r="AA3027" s="35" t="str">
        <f>HYPERLINK("https://miland.ru/api/getInfo/item/76cbf4c7-20f5-11f0-a279-00155d82e908")</f>
        <v>https://miland.ru/api/getInfo/item/76cbf4c7-20f5-11f0-a279-00155d82e908</v>
      </c>
      <c r="AB3027" s="35" t="s">
        <v>42</v>
      </c>
      <c r="AC3027" s="35"/>
      <c r="AD3027" s="35"/>
      <c r="AE3027" s="52" t="s">
        <v>1251</v>
      </c>
    </row>
    <row r="3028" spans="2:31" s="1" customFormat="1" ht="96.3" customHeight="1" outlineLevel="4">
      <c r="B3028" s="59">
        <v>2348</v>
      </c>
      <c r="C3028" s="35" t="s">
        <v>10471</v>
      </c>
      <c r="D3028" s="73" t="s">
        <v>10472</v>
      </c>
      <c r="E3028" s="73"/>
      <c r="F3028" s="73"/>
      <c r="G3028" s="73"/>
      <c r="H3028" s="36" t="s">
        <v>10473</v>
      </c>
      <c r="I3028" s="40">
        <v>148</v>
      </c>
      <c r="J3028" s="36"/>
      <c r="K3028" s="34">
        <v>4</v>
      </c>
      <c r="L3028" s="41">
        <v>80.373333333333335</v>
      </c>
      <c r="M3028" s="11"/>
      <c r="N3028" s="36">
        <f t="shared" si="147"/>
        <v>0</v>
      </c>
      <c r="O3028" s="42">
        <f>0.047*M3028</f>
        <v>0</v>
      </c>
      <c r="P3028" s="43">
        <f>0.00029*M3028</f>
        <v>0</v>
      </c>
      <c r="Q3028" s="50"/>
      <c r="R3028" s="36" t="s">
        <v>10474</v>
      </c>
      <c r="S3028" s="36" t="s">
        <v>435</v>
      </c>
      <c r="T3028" s="35" t="str">
        <f>HYPERLINK("https://miland.ru/api/getInfo/image/6595b4b5-20ed-11f0-a279-00155d82e908")</f>
        <v>https://miland.ru/api/getInfo/image/6595b4b5-20ed-11f0-a279-00155d82e908</v>
      </c>
      <c r="U3028" s="35"/>
      <c r="V3028" s="35" t="s">
        <v>10469</v>
      </c>
      <c r="W3028" s="35" t="s">
        <v>10470</v>
      </c>
      <c r="X3028" s="35"/>
      <c r="Y3028" s="35" t="s">
        <v>41</v>
      </c>
      <c r="Z3028" s="35"/>
      <c r="AA3028" s="35" t="str">
        <f>HYPERLINK("https://miland.ru/api/getInfo/item/6595b4b5-20ed-11f0-a279-00155d82e908")</f>
        <v>https://miland.ru/api/getInfo/item/6595b4b5-20ed-11f0-a279-00155d82e908</v>
      </c>
      <c r="AB3028" s="35" t="s">
        <v>42</v>
      </c>
      <c r="AC3028" s="35"/>
      <c r="AD3028" s="35"/>
      <c r="AE3028" s="52" t="s">
        <v>1251</v>
      </c>
    </row>
    <row r="3029" spans="2:31" s="1" customFormat="1" ht="96.3" customHeight="1" outlineLevel="4">
      <c r="B3029" s="59">
        <v>2349</v>
      </c>
      <c r="C3029" s="35" t="s">
        <v>10475</v>
      </c>
      <c r="D3029" s="73" t="s">
        <v>10476</v>
      </c>
      <c r="E3029" s="73"/>
      <c r="F3029" s="73"/>
      <c r="G3029" s="73"/>
      <c r="H3029" s="36" t="s">
        <v>10477</v>
      </c>
      <c r="I3029" s="40">
        <v>347</v>
      </c>
      <c r="J3029" s="36"/>
      <c r="K3029" s="34">
        <v>4</v>
      </c>
      <c r="L3029" s="41">
        <v>80.373333333333335</v>
      </c>
      <c r="M3029" s="11"/>
      <c r="N3029" s="36">
        <f t="shared" si="147"/>
        <v>0</v>
      </c>
      <c r="O3029" s="42">
        <f>0.061*M3029</f>
        <v>0</v>
      </c>
      <c r="P3029" s="43">
        <f>0.00024*M3029</f>
        <v>0</v>
      </c>
      <c r="Q3029" s="50"/>
      <c r="R3029" s="36" t="s">
        <v>10478</v>
      </c>
      <c r="S3029" s="36" t="s">
        <v>435</v>
      </c>
      <c r="T3029" s="35" t="str">
        <f>HYPERLINK("https://miland.ru/api/getInfo/image/4073ef37-20f3-11f0-a279-00155d82e908")</f>
        <v>https://miland.ru/api/getInfo/image/4073ef37-20f3-11f0-a279-00155d82e908</v>
      </c>
      <c r="U3029" s="35"/>
      <c r="V3029" s="35" t="s">
        <v>10469</v>
      </c>
      <c r="W3029" s="35" t="s">
        <v>10470</v>
      </c>
      <c r="X3029" s="35"/>
      <c r="Y3029" s="35" t="s">
        <v>41</v>
      </c>
      <c r="Z3029" s="35"/>
      <c r="AA3029" s="35" t="str">
        <f>HYPERLINK("https://miland.ru/api/getInfo/item/4073ef37-20f3-11f0-a279-00155d82e908")</f>
        <v>https://miland.ru/api/getInfo/item/4073ef37-20f3-11f0-a279-00155d82e908</v>
      </c>
      <c r="AB3029" s="35" t="s">
        <v>42</v>
      </c>
      <c r="AC3029" s="35"/>
      <c r="AD3029" s="35"/>
      <c r="AE3029" s="52" t="s">
        <v>1251</v>
      </c>
    </row>
    <row r="3030" spans="2:31" s="1" customFormat="1" ht="96.3" customHeight="1" outlineLevel="4">
      <c r="B3030" s="59">
        <v>2350</v>
      </c>
      <c r="C3030" s="35" t="s">
        <v>10479</v>
      </c>
      <c r="D3030" s="73" t="s">
        <v>10480</v>
      </c>
      <c r="E3030" s="73"/>
      <c r="F3030" s="73"/>
      <c r="G3030" s="73"/>
      <c r="H3030" s="36" t="s">
        <v>10481</v>
      </c>
      <c r="I3030" s="40">
        <v>33</v>
      </c>
      <c r="J3030" s="36"/>
      <c r="K3030" s="34">
        <v>4</v>
      </c>
      <c r="L3030" s="41">
        <v>82.64</v>
      </c>
      <c r="M3030" s="11"/>
      <c r="N3030" s="36">
        <f t="shared" si="147"/>
        <v>0</v>
      </c>
      <c r="O3030" s="47">
        <f>0.06*M3030</f>
        <v>0</v>
      </c>
      <c r="P3030" s="43">
        <f>0.00024*M3030</f>
        <v>0</v>
      </c>
      <c r="Q3030" s="50"/>
      <c r="R3030" s="36" t="s">
        <v>10482</v>
      </c>
      <c r="S3030" s="36" t="s">
        <v>435</v>
      </c>
      <c r="T3030" s="35" t="str">
        <f>HYPERLINK("https://miland.ru/api/getInfo/image/ca4d78a5-20f5-11f0-a279-00155d82e908")</f>
        <v>https://miland.ru/api/getInfo/image/ca4d78a5-20f5-11f0-a279-00155d82e908</v>
      </c>
      <c r="U3030" s="35"/>
      <c r="V3030" s="35" t="s">
        <v>10469</v>
      </c>
      <c r="W3030" s="35" t="s">
        <v>10470</v>
      </c>
      <c r="X3030" s="35"/>
      <c r="Y3030" s="35" t="s">
        <v>41</v>
      </c>
      <c r="Z3030" s="35"/>
      <c r="AA3030" s="35" t="str">
        <f>HYPERLINK("https://miland.ru/api/getInfo/item/ca4d78a5-20f5-11f0-a279-00155d82e908")</f>
        <v>https://miland.ru/api/getInfo/item/ca4d78a5-20f5-11f0-a279-00155d82e908</v>
      </c>
      <c r="AB3030" s="35" t="s">
        <v>42</v>
      </c>
      <c r="AC3030" s="35"/>
      <c r="AD3030" s="35"/>
      <c r="AE3030" s="52" t="s">
        <v>1251</v>
      </c>
    </row>
    <row r="3031" spans="2:31" s="1" customFormat="1" ht="96.3" customHeight="1" outlineLevel="4">
      <c r="B3031" s="59">
        <v>2351</v>
      </c>
      <c r="C3031" s="35" t="s">
        <v>10483</v>
      </c>
      <c r="D3031" s="73" t="s">
        <v>10484</v>
      </c>
      <c r="E3031" s="73"/>
      <c r="F3031" s="73"/>
      <c r="G3031" s="73"/>
      <c r="H3031" s="36" t="s">
        <v>10485</v>
      </c>
      <c r="I3031" s="40">
        <v>92</v>
      </c>
      <c r="J3031" s="36"/>
      <c r="K3031" s="34">
        <v>4</v>
      </c>
      <c r="L3031" s="41">
        <v>80.373333333333335</v>
      </c>
      <c r="M3031" s="11"/>
      <c r="N3031" s="36">
        <f t="shared" si="147"/>
        <v>0</v>
      </c>
      <c r="O3031" s="42">
        <f>0.052*M3031</f>
        <v>0</v>
      </c>
      <c r="P3031" s="43">
        <f>0.00037*M3031</f>
        <v>0</v>
      </c>
      <c r="Q3031" s="50"/>
      <c r="R3031" s="36" t="s">
        <v>10486</v>
      </c>
      <c r="S3031" s="36" t="s">
        <v>435</v>
      </c>
      <c r="T3031" s="35" t="str">
        <f>HYPERLINK("https://miland.ru/api/getInfo/image/02372600-20f8-11f0-a279-00155d82e908")</f>
        <v>https://miland.ru/api/getInfo/image/02372600-20f8-11f0-a279-00155d82e908</v>
      </c>
      <c r="U3031" s="35"/>
      <c r="V3031" s="35" t="s">
        <v>10469</v>
      </c>
      <c r="W3031" s="35" t="s">
        <v>10470</v>
      </c>
      <c r="X3031" s="35"/>
      <c r="Y3031" s="35" t="s">
        <v>41</v>
      </c>
      <c r="Z3031" s="35"/>
      <c r="AA3031" s="35" t="str">
        <f>HYPERLINK("https://miland.ru/api/getInfo/item/02372600-20f8-11f0-a279-00155d82e908")</f>
        <v>https://miland.ru/api/getInfo/item/02372600-20f8-11f0-a279-00155d82e908</v>
      </c>
      <c r="AB3031" s="35" t="s">
        <v>42</v>
      </c>
      <c r="AC3031" s="35"/>
      <c r="AD3031" s="35"/>
      <c r="AE3031" s="52" t="s">
        <v>1251</v>
      </c>
    </row>
    <row r="3032" spans="2:31" s="1" customFormat="1" ht="96.3" customHeight="1" outlineLevel="4">
      <c r="B3032" s="59">
        <v>2352</v>
      </c>
      <c r="C3032" s="35" t="s">
        <v>10487</v>
      </c>
      <c r="D3032" s="73" t="s">
        <v>10488</v>
      </c>
      <c r="E3032" s="73"/>
      <c r="F3032" s="73"/>
      <c r="G3032" s="73"/>
      <c r="H3032" s="36" t="s">
        <v>10489</v>
      </c>
      <c r="I3032" s="40">
        <v>107</v>
      </c>
      <c r="J3032" s="36"/>
      <c r="K3032" s="34">
        <v>4</v>
      </c>
      <c r="L3032" s="41">
        <v>80.373333333333335</v>
      </c>
      <c r="M3032" s="11"/>
      <c r="N3032" s="36">
        <f t="shared" si="147"/>
        <v>0</v>
      </c>
      <c r="O3032" s="42">
        <f>0.053*M3032</f>
        <v>0</v>
      </c>
      <c r="P3032" s="43">
        <f>0.00039*M3032</f>
        <v>0</v>
      </c>
      <c r="Q3032" s="50"/>
      <c r="R3032" s="36" t="s">
        <v>10490</v>
      </c>
      <c r="S3032" s="36" t="s">
        <v>435</v>
      </c>
      <c r="T3032" s="35" t="str">
        <f>HYPERLINK("https://miland.ru/api/getInfo/image/21bf83fd-20f5-11f0-a279-00155d82e908")</f>
        <v>https://miland.ru/api/getInfo/image/21bf83fd-20f5-11f0-a279-00155d82e908</v>
      </c>
      <c r="U3032" s="35"/>
      <c r="V3032" s="35" t="s">
        <v>10469</v>
      </c>
      <c r="W3032" s="35" t="s">
        <v>10470</v>
      </c>
      <c r="X3032" s="35"/>
      <c r="Y3032" s="35" t="s">
        <v>41</v>
      </c>
      <c r="Z3032" s="35"/>
      <c r="AA3032" s="35" t="str">
        <f>HYPERLINK("https://miland.ru/api/getInfo/item/21bf83fd-20f5-11f0-a279-00155d82e908")</f>
        <v>https://miland.ru/api/getInfo/item/21bf83fd-20f5-11f0-a279-00155d82e908</v>
      </c>
      <c r="AB3032" s="35" t="s">
        <v>42</v>
      </c>
      <c r="AC3032" s="35"/>
      <c r="AD3032" s="35"/>
      <c r="AE3032" s="52" t="s">
        <v>1251</v>
      </c>
    </row>
    <row r="3033" spans="2:31" s="1" customFormat="1" ht="96.3" customHeight="1" outlineLevel="4">
      <c r="B3033" s="59">
        <v>2353</v>
      </c>
      <c r="C3033" s="35" t="s">
        <v>10491</v>
      </c>
      <c r="D3033" s="73" t="s">
        <v>10492</v>
      </c>
      <c r="E3033" s="73"/>
      <c r="F3033" s="73"/>
      <c r="G3033" s="73"/>
      <c r="H3033" s="36" t="s">
        <v>10493</v>
      </c>
      <c r="I3033" s="40">
        <v>225</v>
      </c>
      <c r="J3033" s="36"/>
      <c r="K3033" s="34">
        <v>4</v>
      </c>
      <c r="L3033" s="41">
        <v>80.373333333333335</v>
      </c>
      <c r="M3033" s="11"/>
      <c r="N3033" s="36">
        <f t="shared" si="147"/>
        <v>0</v>
      </c>
      <c r="O3033" s="42">
        <f>0.049*M3033</f>
        <v>0</v>
      </c>
      <c r="P3033" s="43">
        <f>0.00029*M3033</f>
        <v>0</v>
      </c>
      <c r="Q3033" s="50"/>
      <c r="R3033" s="36" t="s">
        <v>10494</v>
      </c>
      <c r="S3033" s="36" t="s">
        <v>435</v>
      </c>
      <c r="T3033" s="35" t="str">
        <f>HYPERLINK("https://miland.ru/api/getInfo/image/1e39f695-20f4-11f0-a279-00155d82e908")</f>
        <v>https://miland.ru/api/getInfo/image/1e39f695-20f4-11f0-a279-00155d82e908</v>
      </c>
      <c r="U3033" s="35"/>
      <c r="V3033" s="35" t="s">
        <v>10469</v>
      </c>
      <c r="W3033" s="35" t="s">
        <v>10470</v>
      </c>
      <c r="X3033" s="35"/>
      <c r="Y3033" s="35" t="s">
        <v>41</v>
      </c>
      <c r="Z3033" s="35"/>
      <c r="AA3033" s="35" t="str">
        <f>HYPERLINK("https://miland.ru/api/getInfo/item/1e39f695-20f4-11f0-a279-00155d82e908")</f>
        <v>https://miland.ru/api/getInfo/item/1e39f695-20f4-11f0-a279-00155d82e908</v>
      </c>
      <c r="AB3033" s="35" t="s">
        <v>42</v>
      </c>
      <c r="AC3033" s="35"/>
      <c r="AD3033" s="35"/>
      <c r="AE3033" s="52" t="s">
        <v>1251</v>
      </c>
    </row>
    <row r="3034" spans="2:31" s="1" customFormat="1" ht="96.3" customHeight="1" outlineLevel="4">
      <c r="B3034" s="59">
        <v>2354</v>
      </c>
      <c r="C3034" s="35" t="s">
        <v>10495</v>
      </c>
      <c r="D3034" s="73" t="s">
        <v>10496</v>
      </c>
      <c r="E3034" s="73"/>
      <c r="F3034" s="73"/>
      <c r="G3034" s="73"/>
      <c r="H3034" s="36" t="s">
        <v>10497</v>
      </c>
      <c r="I3034" s="40">
        <v>201</v>
      </c>
      <c r="J3034" s="36"/>
      <c r="K3034" s="34">
        <v>4</v>
      </c>
      <c r="L3034" s="41">
        <v>80.373333333333335</v>
      </c>
      <c r="M3034" s="11"/>
      <c r="N3034" s="36">
        <f t="shared" si="147"/>
        <v>0</v>
      </c>
      <c r="O3034" s="47">
        <f>0.11*M3034</f>
        <v>0</v>
      </c>
      <c r="P3034" s="43">
        <f>0.00032*M3034</f>
        <v>0</v>
      </c>
      <c r="Q3034" s="50"/>
      <c r="R3034" s="36" t="s">
        <v>10498</v>
      </c>
      <c r="S3034" s="36" t="s">
        <v>435</v>
      </c>
      <c r="T3034" s="35" t="str">
        <f>HYPERLINK("https://miland.ru/api/getInfo/image/601fb921-20f8-11f0-a279-00155d82e908")</f>
        <v>https://miland.ru/api/getInfo/image/601fb921-20f8-11f0-a279-00155d82e908</v>
      </c>
      <c r="U3034" s="35"/>
      <c r="V3034" s="35" t="s">
        <v>10469</v>
      </c>
      <c r="W3034" s="35" t="s">
        <v>10470</v>
      </c>
      <c r="X3034" s="35"/>
      <c r="Y3034" s="35" t="s">
        <v>41</v>
      </c>
      <c r="Z3034" s="35"/>
      <c r="AA3034" s="35" t="str">
        <f>HYPERLINK("https://miland.ru/api/getInfo/item/601fb921-20f8-11f0-a279-00155d82e908")</f>
        <v>https://miland.ru/api/getInfo/item/601fb921-20f8-11f0-a279-00155d82e908</v>
      </c>
      <c r="AB3034" s="35" t="s">
        <v>42</v>
      </c>
      <c r="AC3034" s="35"/>
      <c r="AD3034" s="35"/>
      <c r="AE3034" s="52" t="s">
        <v>1251</v>
      </c>
    </row>
    <row r="3035" spans="2:31" s="1" customFormat="1" ht="96.3" customHeight="1" outlineLevel="4">
      <c r="B3035" s="57">
        <v>2355</v>
      </c>
      <c r="C3035" s="21" t="s">
        <v>10499</v>
      </c>
      <c r="D3035" s="72" t="s">
        <v>10500</v>
      </c>
      <c r="E3035" s="72"/>
      <c r="F3035" s="72"/>
      <c r="G3035" s="72"/>
      <c r="H3035" s="22" t="s">
        <v>10501</v>
      </c>
      <c r="I3035" s="27">
        <v>7</v>
      </c>
      <c r="J3035" s="22"/>
      <c r="K3035" s="20">
        <v>4</v>
      </c>
      <c r="L3035" s="24">
        <v>192.12</v>
      </c>
      <c r="M3035" s="11"/>
      <c r="N3035" s="22">
        <f t="shared" si="147"/>
        <v>0</v>
      </c>
      <c r="O3035" s="25">
        <f>0.012*M3035</f>
        <v>0</v>
      </c>
      <c r="P3035" s="26">
        <f>0.00011*M3035</f>
        <v>0</v>
      </c>
      <c r="Q3035" s="30"/>
      <c r="R3035" s="22" t="s">
        <v>10502</v>
      </c>
      <c r="S3035" s="22" t="s">
        <v>435</v>
      </c>
      <c r="T3035" s="21" t="str">
        <f>HYPERLINK("https://miland.ru/api/getInfo/image/7cbb2d83-2104-11f0-a279-00155d82e908")</f>
        <v>https://miland.ru/api/getInfo/image/7cbb2d83-2104-11f0-a279-00155d82e908</v>
      </c>
      <c r="U3035" s="21"/>
      <c r="V3035" s="21" t="s">
        <v>39</v>
      </c>
      <c r="W3035" s="21" t="s">
        <v>40</v>
      </c>
      <c r="X3035" s="21"/>
      <c r="Y3035" s="21" t="s">
        <v>41</v>
      </c>
      <c r="Z3035" s="21"/>
      <c r="AA3035" s="21" t="str">
        <f>HYPERLINK("https://miland.ru/api/getInfo/item/7cbb2d83-2104-11f0-a279-00155d82e908")</f>
        <v>https://miland.ru/api/getInfo/item/7cbb2d83-2104-11f0-a279-00155d82e908</v>
      </c>
      <c r="AB3035" s="21" t="s">
        <v>42</v>
      </c>
      <c r="AC3035" s="21"/>
      <c r="AD3035" s="21"/>
    </row>
    <row r="3036" spans="2:31" s="1" customFormat="1" ht="96.3" customHeight="1" outlineLevel="4">
      <c r="B3036" s="58">
        <v>2356</v>
      </c>
      <c r="C3036" s="7" t="s">
        <v>10503</v>
      </c>
      <c r="D3036" s="71" t="s">
        <v>10504</v>
      </c>
      <c r="E3036" s="71"/>
      <c r="F3036" s="71"/>
      <c r="G3036" s="71"/>
      <c r="H3036" s="8" t="s">
        <v>10505</v>
      </c>
      <c r="I3036" s="14">
        <v>478</v>
      </c>
      <c r="J3036" s="8"/>
      <c r="K3036" s="6">
        <v>3</v>
      </c>
      <c r="L3036" s="10">
        <v>248.93</v>
      </c>
      <c r="M3036" s="11"/>
      <c r="N3036" s="8">
        <f t="shared" si="147"/>
        <v>0</v>
      </c>
      <c r="O3036" s="12">
        <f>0.032*M3036</f>
        <v>0</v>
      </c>
      <c r="P3036" s="13">
        <f>0.00008*M3036</f>
        <v>0</v>
      </c>
      <c r="Q3036" s="17" t="s">
        <v>37</v>
      </c>
      <c r="R3036" s="8" t="s">
        <v>10506</v>
      </c>
      <c r="S3036" s="8"/>
      <c r="T3036" s="7" t="str">
        <f>HYPERLINK("https://miland.ru/api/getInfo/image/0e03f8ad-af28-11f0-a286-00155d82e908")</f>
        <v>https://miland.ru/api/getInfo/image/0e03f8ad-af28-11f0-a286-00155d82e908</v>
      </c>
      <c r="U3036" s="7"/>
      <c r="V3036" s="7" t="s">
        <v>10469</v>
      </c>
      <c r="W3036" s="7" t="s">
        <v>40</v>
      </c>
      <c r="X3036" s="7"/>
      <c r="Y3036" s="7" t="s">
        <v>41</v>
      </c>
      <c r="Z3036" s="7"/>
      <c r="AA3036" s="7" t="str">
        <f>HYPERLINK("https://miland.ru/api/getInfo/item/0e03f8ad-af28-11f0-a286-00155d82e908")</f>
        <v>https://miland.ru/api/getInfo/item/0e03f8ad-af28-11f0-a286-00155d82e908</v>
      </c>
      <c r="AB3036" s="7" t="s">
        <v>42</v>
      </c>
      <c r="AC3036" s="7"/>
      <c r="AD3036" s="7"/>
      <c r="AE3036" s="54"/>
    </row>
    <row r="3037" spans="2:31" s="1" customFormat="1" ht="96.3" customHeight="1" outlineLevel="4">
      <c r="B3037" s="58">
        <v>2357</v>
      </c>
      <c r="C3037" s="7" t="s">
        <v>10507</v>
      </c>
      <c r="D3037" s="71" t="s">
        <v>10508</v>
      </c>
      <c r="E3037" s="71"/>
      <c r="F3037" s="71"/>
      <c r="G3037" s="71"/>
      <c r="H3037" s="8" t="s">
        <v>10509</v>
      </c>
      <c r="I3037" s="9" t="s">
        <v>36</v>
      </c>
      <c r="J3037" s="8"/>
      <c r="K3037" s="6">
        <v>3</v>
      </c>
      <c r="L3037" s="10">
        <v>248.93</v>
      </c>
      <c r="M3037" s="11"/>
      <c r="N3037" s="8">
        <f t="shared" si="147"/>
        <v>0</v>
      </c>
      <c r="O3037" s="12">
        <f>0.028*M3037</f>
        <v>0</v>
      </c>
      <c r="P3037" s="13">
        <f>0.00008*M3037</f>
        <v>0</v>
      </c>
      <c r="Q3037" s="17" t="s">
        <v>37</v>
      </c>
      <c r="R3037" s="8" t="s">
        <v>10510</v>
      </c>
      <c r="S3037" s="8"/>
      <c r="T3037" s="7" t="str">
        <f>HYPERLINK("https://miland.ru/api/getInfo/image/f4703af6-af27-11f0-a286-00155d82e908")</f>
        <v>https://miland.ru/api/getInfo/image/f4703af6-af27-11f0-a286-00155d82e908</v>
      </c>
      <c r="U3037" s="7"/>
      <c r="V3037" s="7" t="s">
        <v>10469</v>
      </c>
      <c r="W3037" s="7" t="s">
        <v>40</v>
      </c>
      <c r="X3037" s="7"/>
      <c r="Y3037" s="7" t="s">
        <v>41</v>
      </c>
      <c r="Z3037" s="7"/>
      <c r="AA3037" s="7" t="str">
        <f>HYPERLINK("https://miland.ru/api/getInfo/item/f4703af6-af27-11f0-a286-00155d82e908")</f>
        <v>https://miland.ru/api/getInfo/item/f4703af6-af27-11f0-a286-00155d82e908</v>
      </c>
      <c r="AB3037" s="7" t="s">
        <v>42</v>
      </c>
      <c r="AC3037" s="7"/>
      <c r="AD3037" s="7"/>
      <c r="AE3037" s="54"/>
    </row>
    <row r="3038" spans="2:31" s="1" customFormat="1" ht="96.3" customHeight="1" outlineLevel="4">
      <c r="B3038" s="57">
        <v>2358</v>
      </c>
      <c r="C3038" s="21" t="s">
        <v>10511</v>
      </c>
      <c r="D3038" s="72" t="s">
        <v>10512</v>
      </c>
      <c r="E3038" s="72"/>
      <c r="F3038" s="72"/>
      <c r="G3038" s="72"/>
      <c r="H3038" s="22" t="s">
        <v>10513</v>
      </c>
      <c r="I3038" s="27">
        <v>112</v>
      </c>
      <c r="J3038" s="22"/>
      <c r="K3038" s="20">
        <v>4</v>
      </c>
      <c r="L3038" s="24">
        <v>192.12</v>
      </c>
      <c r="M3038" s="11"/>
      <c r="N3038" s="22">
        <f t="shared" si="147"/>
        <v>0</v>
      </c>
      <c r="O3038" s="25">
        <f>0.026*M3038</f>
        <v>0</v>
      </c>
      <c r="P3038" s="26">
        <f>0.00005*M3038</f>
        <v>0</v>
      </c>
      <c r="Q3038" s="30"/>
      <c r="R3038" s="22" t="s">
        <v>10514</v>
      </c>
      <c r="S3038" s="22"/>
      <c r="T3038" s="21" t="str">
        <f>HYPERLINK("https://miland.ru/api/getInfo/image/28102166-2105-11f0-a279-00155d82e908")</f>
        <v>https://miland.ru/api/getInfo/image/28102166-2105-11f0-a279-00155d82e908</v>
      </c>
      <c r="U3038" s="21"/>
      <c r="V3038" s="21" t="s">
        <v>10469</v>
      </c>
      <c r="W3038" s="21" t="s">
        <v>40</v>
      </c>
      <c r="X3038" s="21"/>
      <c r="Y3038" s="21" t="s">
        <v>41</v>
      </c>
      <c r="Z3038" s="21"/>
      <c r="AA3038" s="21" t="str">
        <f>HYPERLINK("https://miland.ru/api/getInfo/item/28102166-2105-11f0-a279-00155d82e908")</f>
        <v>https://miland.ru/api/getInfo/item/28102166-2105-11f0-a279-00155d82e908</v>
      </c>
      <c r="AB3038" s="21" t="s">
        <v>42</v>
      </c>
      <c r="AC3038" s="21"/>
      <c r="AD3038" s="21"/>
    </row>
    <row r="3039" spans="2:31" s="1" customFormat="1" ht="96.3" customHeight="1" outlineLevel="4">
      <c r="B3039" s="57">
        <v>2359</v>
      </c>
      <c r="C3039" s="21" t="s">
        <v>10515</v>
      </c>
      <c r="D3039" s="72" t="s">
        <v>10516</v>
      </c>
      <c r="E3039" s="72"/>
      <c r="F3039" s="72"/>
      <c r="G3039" s="72"/>
      <c r="H3039" s="22" t="s">
        <v>10517</v>
      </c>
      <c r="I3039" s="27">
        <v>7</v>
      </c>
      <c r="J3039" s="22"/>
      <c r="K3039" s="20">
        <v>2</v>
      </c>
      <c r="L3039" s="24">
        <v>281.14999999999998</v>
      </c>
      <c r="M3039" s="11"/>
      <c r="N3039" s="22">
        <f t="shared" si="147"/>
        <v>0</v>
      </c>
      <c r="O3039" s="25">
        <f>0.047*M3039</f>
        <v>0</v>
      </c>
      <c r="P3039" s="26">
        <f>0.00005*M3039</f>
        <v>0</v>
      </c>
      <c r="Q3039" s="30"/>
      <c r="R3039" s="22" t="s">
        <v>10518</v>
      </c>
      <c r="S3039" s="22" t="s">
        <v>435</v>
      </c>
      <c r="T3039" s="21" t="str">
        <f>HYPERLINK("https://miland.ru/api/getInfo/image/1363a74f-2106-11f0-a279-00155d82e908")</f>
        <v>https://miland.ru/api/getInfo/image/1363a74f-2106-11f0-a279-00155d82e908</v>
      </c>
      <c r="U3039" s="21"/>
      <c r="V3039" s="21" t="s">
        <v>39</v>
      </c>
      <c r="W3039" s="21" t="s">
        <v>40</v>
      </c>
      <c r="X3039" s="21"/>
      <c r="Y3039" s="21" t="s">
        <v>41</v>
      </c>
      <c r="Z3039" s="21"/>
      <c r="AA3039" s="21" t="str">
        <f>HYPERLINK("https://miland.ru/api/getInfo/item/1363a74f-2106-11f0-a279-00155d82e908")</f>
        <v>https://miland.ru/api/getInfo/item/1363a74f-2106-11f0-a279-00155d82e908</v>
      </c>
      <c r="AB3039" s="21" t="s">
        <v>42</v>
      </c>
      <c r="AC3039" s="21"/>
      <c r="AD3039" s="21"/>
    </row>
    <row r="3040" spans="2:31" s="1" customFormat="1" ht="96.3" customHeight="1" outlineLevel="4">
      <c r="B3040" s="57">
        <v>2360</v>
      </c>
      <c r="C3040" s="21" t="s">
        <v>10519</v>
      </c>
      <c r="D3040" s="72" t="s">
        <v>10520</v>
      </c>
      <c r="E3040" s="72"/>
      <c r="F3040" s="72"/>
      <c r="G3040" s="72"/>
      <c r="H3040" s="22" t="s">
        <v>10521</v>
      </c>
      <c r="I3040" s="27">
        <v>238</v>
      </c>
      <c r="J3040" s="22"/>
      <c r="K3040" s="20">
        <v>3</v>
      </c>
      <c r="L3040" s="24">
        <v>257.72000000000003</v>
      </c>
      <c r="M3040" s="11"/>
      <c r="N3040" s="22">
        <f t="shared" si="147"/>
        <v>0</v>
      </c>
      <c r="O3040" s="25">
        <f>0.031*M3040</f>
        <v>0</v>
      </c>
      <c r="P3040" s="26">
        <f>0.00005*M3040</f>
        <v>0</v>
      </c>
      <c r="Q3040" s="30"/>
      <c r="R3040" s="22" t="s">
        <v>10522</v>
      </c>
      <c r="S3040" s="22"/>
      <c r="T3040" s="21" t="str">
        <f>HYPERLINK("https://miland.ru/api/getInfo/image/9e4419ba-2105-11f0-a279-00155d82e908")</f>
        <v>https://miland.ru/api/getInfo/image/9e4419ba-2105-11f0-a279-00155d82e908</v>
      </c>
      <c r="U3040" s="21"/>
      <c r="V3040" s="21" t="s">
        <v>10469</v>
      </c>
      <c r="W3040" s="21" t="s">
        <v>40</v>
      </c>
      <c r="X3040" s="21"/>
      <c r="Y3040" s="21" t="s">
        <v>41</v>
      </c>
      <c r="Z3040" s="21"/>
      <c r="AA3040" s="21" t="str">
        <f>HYPERLINK("https://miland.ru/api/getInfo/item/9e4419ba-2105-11f0-a279-00155d82e908")</f>
        <v>https://miland.ru/api/getInfo/item/9e4419ba-2105-11f0-a279-00155d82e908</v>
      </c>
      <c r="AB3040" s="21" t="s">
        <v>42</v>
      </c>
      <c r="AC3040" s="21"/>
      <c r="AD3040" s="21"/>
    </row>
    <row r="3041" spans="2:31" s="1" customFormat="1" ht="96.3" customHeight="1" outlineLevel="4">
      <c r="B3041" s="57">
        <v>2361</v>
      </c>
      <c r="C3041" s="21" t="s">
        <v>10523</v>
      </c>
      <c r="D3041" s="72" t="s">
        <v>10524</v>
      </c>
      <c r="E3041" s="72"/>
      <c r="F3041" s="72"/>
      <c r="G3041" s="72"/>
      <c r="H3041" s="22" t="s">
        <v>10525</v>
      </c>
      <c r="I3041" s="27">
        <v>132</v>
      </c>
      <c r="J3041" s="22"/>
      <c r="K3041" s="20">
        <v>2</v>
      </c>
      <c r="L3041" s="24">
        <v>281.14999999999998</v>
      </c>
      <c r="M3041" s="11"/>
      <c r="N3041" s="22">
        <f t="shared" si="147"/>
        <v>0</v>
      </c>
      <c r="O3041" s="25">
        <f>0.046*M3041</f>
        <v>0</v>
      </c>
      <c r="P3041" s="26">
        <f>0.00024*M3041</f>
        <v>0</v>
      </c>
      <c r="Q3041" s="30"/>
      <c r="R3041" s="22" t="s">
        <v>10526</v>
      </c>
      <c r="S3041" s="22"/>
      <c r="T3041" s="21" t="str">
        <f>HYPERLINK("https://miland.ru/api/getInfo/image/803d4681-2106-11f0-a279-00155d82e908")</f>
        <v>https://miland.ru/api/getInfo/image/803d4681-2106-11f0-a279-00155d82e908</v>
      </c>
      <c r="U3041" s="21"/>
      <c r="V3041" s="21" t="s">
        <v>10469</v>
      </c>
      <c r="W3041" s="21" t="s">
        <v>40</v>
      </c>
      <c r="X3041" s="21"/>
      <c r="Y3041" s="21" t="s">
        <v>41</v>
      </c>
      <c r="Z3041" s="21"/>
      <c r="AA3041" s="21" t="str">
        <f>HYPERLINK("https://miland.ru/api/getInfo/item/803d4681-2106-11f0-a279-00155d82e908")</f>
        <v>https://miland.ru/api/getInfo/item/803d4681-2106-11f0-a279-00155d82e908</v>
      </c>
      <c r="AB3041" s="21" t="s">
        <v>42</v>
      </c>
      <c r="AC3041" s="21"/>
      <c r="AD3041" s="21"/>
    </row>
    <row r="3042" spans="2:31" s="1" customFormat="1" ht="96.3" customHeight="1" outlineLevel="4">
      <c r="B3042" s="58">
        <v>2362</v>
      </c>
      <c r="C3042" s="7" t="s">
        <v>10527</v>
      </c>
      <c r="D3042" s="71" t="s">
        <v>10528</v>
      </c>
      <c r="E3042" s="71"/>
      <c r="F3042" s="71"/>
      <c r="G3042" s="71"/>
      <c r="H3042" s="8" t="s">
        <v>10529</v>
      </c>
      <c r="I3042" s="9" t="s">
        <v>36</v>
      </c>
      <c r="J3042" s="8"/>
      <c r="K3042" s="6">
        <v>3</v>
      </c>
      <c r="L3042" s="10">
        <v>248.93</v>
      </c>
      <c r="M3042" s="11"/>
      <c r="N3042" s="8">
        <f t="shared" si="147"/>
        <v>0</v>
      </c>
      <c r="O3042" s="12">
        <f>0.046*M3042</f>
        <v>0</v>
      </c>
      <c r="P3042" s="13">
        <f>0.00007*M3042</f>
        <v>0</v>
      </c>
      <c r="Q3042" s="17" t="s">
        <v>37</v>
      </c>
      <c r="R3042" s="8" t="s">
        <v>10530</v>
      </c>
      <c r="S3042" s="8"/>
      <c r="T3042" s="7" t="str">
        <f>HYPERLINK("https://miland.ru/api/getInfo/image/325b730c-af25-11f0-a286-00155d82e908")</f>
        <v>https://miland.ru/api/getInfo/image/325b730c-af25-11f0-a286-00155d82e908</v>
      </c>
      <c r="U3042" s="7"/>
      <c r="V3042" s="7" t="s">
        <v>10469</v>
      </c>
      <c r="W3042" s="7" t="s">
        <v>40</v>
      </c>
      <c r="X3042" s="7"/>
      <c r="Y3042" s="7" t="s">
        <v>41</v>
      </c>
      <c r="Z3042" s="7"/>
      <c r="AA3042" s="7" t="str">
        <f>HYPERLINK("https://miland.ru/api/getInfo/item/325b730c-af25-11f0-a286-00155d82e908")</f>
        <v>https://miland.ru/api/getInfo/item/325b730c-af25-11f0-a286-00155d82e908</v>
      </c>
      <c r="AB3042" s="7" t="s">
        <v>42</v>
      </c>
      <c r="AC3042" s="7"/>
      <c r="AD3042" s="7"/>
      <c r="AE3042" s="54"/>
    </row>
    <row r="3043" spans="2:31" s="1" customFormat="1" ht="96.3" customHeight="1" outlineLevel="4">
      <c r="B3043" s="58">
        <v>2363</v>
      </c>
      <c r="C3043" s="7" t="s">
        <v>10531</v>
      </c>
      <c r="D3043" s="71" t="s">
        <v>10532</v>
      </c>
      <c r="E3043" s="71"/>
      <c r="F3043" s="71"/>
      <c r="G3043" s="71"/>
      <c r="H3043" s="8" t="s">
        <v>10533</v>
      </c>
      <c r="I3043" s="9" t="s">
        <v>36</v>
      </c>
      <c r="J3043" s="8"/>
      <c r="K3043" s="6">
        <v>3</v>
      </c>
      <c r="L3043" s="10">
        <v>248.93</v>
      </c>
      <c r="M3043" s="11"/>
      <c r="N3043" s="8">
        <f t="shared" si="147"/>
        <v>0</v>
      </c>
      <c r="O3043" s="12">
        <f>0.039*M3043</f>
        <v>0</v>
      </c>
      <c r="P3043" s="13">
        <f>0.00009*M3043</f>
        <v>0</v>
      </c>
      <c r="Q3043" s="17" t="s">
        <v>37</v>
      </c>
      <c r="R3043" s="8" t="s">
        <v>10534</v>
      </c>
      <c r="S3043" s="8"/>
      <c r="T3043" s="7" t="str">
        <f>HYPERLINK("https://miland.ru/api/getInfo/image/25cda428-af28-11f0-a286-00155d82e908")</f>
        <v>https://miland.ru/api/getInfo/image/25cda428-af28-11f0-a286-00155d82e908</v>
      </c>
      <c r="U3043" s="7"/>
      <c r="V3043" s="7" t="s">
        <v>10469</v>
      </c>
      <c r="W3043" s="7" t="s">
        <v>40</v>
      </c>
      <c r="X3043" s="7"/>
      <c r="Y3043" s="7" t="s">
        <v>41</v>
      </c>
      <c r="Z3043" s="7"/>
      <c r="AA3043" s="7" t="str">
        <f>HYPERLINK("https://miland.ru/api/getInfo/item/25cda428-af28-11f0-a286-00155d82e908")</f>
        <v>https://miland.ru/api/getInfo/item/25cda428-af28-11f0-a286-00155d82e908</v>
      </c>
      <c r="AB3043" s="7" t="s">
        <v>42</v>
      </c>
      <c r="AC3043" s="7"/>
      <c r="AD3043" s="7"/>
      <c r="AE3043" s="54"/>
    </row>
    <row r="3044" spans="2:31" s="1" customFormat="1" ht="96.3" customHeight="1" outlineLevel="4">
      <c r="B3044" s="57">
        <v>2364</v>
      </c>
      <c r="C3044" s="21" t="s">
        <v>10535</v>
      </c>
      <c r="D3044" s="72" t="s">
        <v>10536</v>
      </c>
      <c r="E3044" s="72"/>
      <c r="F3044" s="72"/>
      <c r="G3044" s="72"/>
      <c r="H3044" s="22" t="s">
        <v>10537</v>
      </c>
      <c r="I3044" s="27">
        <v>131</v>
      </c>
      <c r="J3044" s="22"/>
      <c r="K3044" s="20">
        <v>2</v>
      </c>
      <c r="L3044" s="24">
        <v>296.08</v>
      </c>
      <c r="M3044" s="11"/>
      <c r="N3044" s="22">
        <f t="shared" si="147"/>
        <v>0</v>
      </c>
      <c r="O3044" s="25">
        <f>0.037*M3044</f>
        <v>0</v>
      </c>
      <c r="P3044" s="26">
        <f>0.00017*M3044</f>
        <v>0</v>
      </c>
      <c r="Q3044" s="30"/>
      <c r="R3044" s="22" t="s">
        <v>10538</v>
      </c>
      <c r="S3044" s="22" t="s">
        <v>435</v>
      </c>
      <c r="T3044" s="21" t="str">
        <f>HYPERLINK("https://miland.ru/api/getInfo/image/143ff26b-f0ea-11ee-a25b-00155d82e908")</f>
        <v>https://miland.ru/api/getInfo/image/143ff26b-f0ea-11ee-a25b-00155d82e908</v>
      </c>
      <c r="U3044" s="21"/>
      <c r="V3044" s="21" t="s">
        <v>10469</v>
      </c>
      <c r="W3044" s="21" t="s">
        <v>10470</v>
      </c>
      <c r="X3044" s="21"/>
      <c r="Y3044" s="21" t="s">
        <v>41</v>
      </c>
      <c r="Z3044" s="21"/>
      <c r="AA3044" s="21" t="str">
        <f>HYPERLINK("https://miland.ru/api/getInfo/item/143ff26b-f0ea-11ee-a25b-00155d82e908")</f>
        <v>https://miland.ru/api/getInfo/item/143ff26b-f0ea-11ee-a25b-00155d82e908</v>
      </c>
      <c r="AB3044" s="21" t="s">
        <v>42</v>
      </c>
      <c r="AC3044" s="21" t="s">
        <v>10539</v>
      </c>
      <c r="AD3044" s="21"/>
    </row>
    <row r="3045" spans="2:31" ht="12" customHeight="1" outlineLevel="3">
      <c r="B3045" s="70" t="s">
        <v>10540</v>
      </c>
      <c r="C3045" s="70"/>
      <c r="D3045" s="70"/>
      <c r="E3045" s="70"/>
      <c r="F3045" s="70"/>
      <c r="G3045" s="70"/>
    </row>
    <row r="3046" spans="2:31" s="1" customFormat="1" ht="96.3" customHeight="1" outlineLevel="4">
      <c r="B3046" s="57">
        <v>2365</v>
      </c>
      <c r="C3046" s="21" t="s">
        <v>10541</v>
      </c>
      <c r="D3046" s="72" t="s">
        <v>10542</v>
      </c>
      <c r="E3046" s="72"/>
      <c r="F3046" s="72"/>
      <c r="G3046" s="72"/>
      <c r="H3046" s="22" t="s">
        <v>10543</v>
      </c>
      <c r="I3046" s="27">
        <v>259</v>
      </c>
      <c r="J3046" s="22"/>
      <c r="K3046" s="20">
        <v>1</v>
      </c>
      <c r="L3046" s="24">
        <v>632.44000000000005</v>
      </c>
      <c r="M3046" s="11"/>
      <c r="N3046" s="22">
        <f>L3046*M3046</f>
        <v>0</v>
      </c>
      <c r="O3046" s="25">
        <f>0.416*M3046</f>
        <v>0</v>
      </c>
      <c r="P3046" s="29">
        <f>0.0022*M3046</f>
        <v>0</v>
      </c>
      <c r="Q3046" s="30"/>
      <c r="R3046" s="22" t="s">
        <v>10544</v>
      </c>
      <c r="S3046" s="22" t="s">
        <v>435</v>
      </c>
      <c r="T3046" s="21" t="str">
        <f>HYPERLINK("https://miland.ru/api/getInfo/image/fb5901b4-77de-11ee-a248-00155d82e902")</f>
        <v>https://miland.ru/api/getInfo/image/fb5901b4-77de-11ee-a248-00155d82e902</v>
      </c>
      <c r="U3046" s="21"/>
      <c r="V3046" s="21"/>
      <c r="W3046" s="21" t="s">
        <v>10545</v>
      </c>
      <c r="X3046" s="21" t="s">
        <v>172</v>
      </c>
      <c r="Y3046" s="21" t="s">
        <v>173</v>
      </c>
      <c r="Z3046" s="21" t="s">
        <v>10546</v>
      </c>
      <c r="AA3046" s="21" t="str">
        <f>HYPERLINK("https://miland.ru/api/getInfo/item/fb5901b4-77de-11ee-a248-00155d82e902")</f>
        <v>https://miland.ru/api/getInfo/item/fb5901b4-77de-11ee-a248-00155d82e902</v>
      </c>
      <c r="AB3046" s="21" t="s">
        <v>42</v>
      </c>
      <c r="AC3046" s="21" t="s">
        <v>10547</v>
      </c>
      <c r="AD3046" s="21"/>
    </row>
    <row r="3047" spans="2:31" ht="12" customHeight="1" outlineLevel="3">
      <c r="B3047" s="70" t="s">
        <v>10548</v>
      </c>
      <c r="C3047" s="70"/>
      <c r="D3047" s="70"/>
      <c r="E3047" s="70"/>
      <c r="F3047" s="70"/>
      <c r="G3047" s="70"/>
    </row>
    <row r="3048" spans="2:31" ht="12" customHeight="1" outlineLevel="4">
      <c r="B3048" s="70" t="s">
        <v>10549</v>
      </c>
      <c r="C3048" s="70"/>
      <c r="D3048" s="70"/>
      <c r="E3048" s="70"/>
      <c r="F3048" s="70"/>
      <c r="G3048" s="70"/>
    </row>
    <row r="3049" spans="2:31" s="1" customFormat="1" ht="96.3" customHeight="1" outlineLevel="5">
      <c r="B3049" s="57">
        <v>2366</v>
      </c>
      <c r="C3049" s="21" t="s">
        <v>10550</v>
      </c>
      <c r="D3049" s="72" t="s">
        <v>10551</v>
      </c>
      <c r="E3049" s="72"/>
      <c r="F3049" s="72"/>
      <c r="G3049" s="72"/>
      <c r="H3049" s="22" t="s">
        <v>10552</v>
      </c>
      <c r="I3049" s="23" t="s">
        <v>36</v>
      </c>
      <c r="J3049" s="22"/>
      <c r="K3049" s="20">
        <v>1</v>
      </c>
      <c r="L3049" s="32">
        <v>2185.16</v>
      </c>
      <c r="M3049" s="11"/>
      <c r="N3049" s="22">
        <f>L3049*M3049</f>
        <v>0</v>
      </c>
      <c r="O3049" s="25">
        <f>0.616*M3049</f>
        <v>0</v>
      </c>
      <c r="P3049" s="26">
        <f>0.00918*M3049</f>
        <v>0</v>
      </c>
      <c r="Q3049" s="30"/>
      <c r="R3049" s="22" t="s">
        <v>10553</v>
      </c>
      <c r="S3049" s="22"/>
      <c r="T3049" s="21" t="str">
        <f>HYPERLINK("https://miland.ru/api/getInfo/image/9da28097-f630-11e9-a235-ac1f6b442184")</f>
        <v>https://miland.ru/api/getInfo/image/9da28097-f630-11e9-a235-ac1f6b442184</v>
      </c>
      <c r="U3049" s="21"/>
      <c r="V3049" s="21"/>
      <c r="W3049" s="21" t="s">
        <v>8836</v>
      </c>
      <c r="X3049" s="21"/>
      <c r="Y3049" s="21" t="s">
        <v>41</v>
      </c>
      <c r="Z3049" s="21"/>
      <c r="AA3049" s="21" t="str">
        <f>HYPERLINK("https://miland.ru/api/getInfo/item/9da28097-f630-11e9-a235-ac1f6b442184")</f>
        <v>https://miland.ru/api/getInfo/item/9da28097-f630-11e9-a235-ac1f6b442184</v>
      </c>
      <c r="AB3049" s="21" t="s">
        <v>42</v>
      </c>
      <c r="AC3049" s="21" t="s">
        <v>10554</v>
      </c>
      <c r="AD3049" s="21"/>
    </row>
    <row r="3050" spans="2:31" s="1" customFormat="1" ht="96.3" customHeight="1" outlineLevel="5">
      <c r="B3050" s="57">
        <v>2367</v>
      </c>
      <c r="C3050" s="21" t="s">
        <v>10555</v>
      </c>
      <c r="D3050" s="72" t="s">
        <v>10556</v>
      </c>
      <c r="E3050" s="72"/>
      <c r="F3050" s="72"/>
      <c r="G3050" s="72"/>
      <c r="H3050" s="22" t="s">
        <v>10557</v>
      </c>
      <c r="I3050" s="27">
        <v>352</v>
      </c>
      <c r="J3050" s="22"/>
      <c r="K3050" s="20">
        <v>1</v>
      </c>
      <c r="L3050" s="32">
        <v>2210.4899999999998</v>
      </c>
      <c r="M3050" s="11"/>
      <c r="N3050" s="22">
        <f>L3050*M3050</f>
        <v>0</v>
      </c>
      <c r="O3050" s="25">
        <f>0.898*M3050</f>
        <v>0</v>
      </c>
      <c r="P3050" s="26">
        <f>0.01649*M3050</f>
        <v>0</v>
      </c>
      <c r="Q3050" s="30"/>
      <c r="R3050" s="22" t="s">
        <v>10558</v>
      </c>
      <c r="S3050" s="22"/>
      <c r="T3050" s="21" t="str">
        <f>HYPERLINK("https://miland.ru/api/getInfo/image/364469d2-f630-11e9-a235-ac1f6b442184")</f>
        <v>https://miland.ru/api/getInfo/image/364469d2-f630-11e9-a235-ac1f6b442184</v>
      </c>
      <c r="U3050" s="21"/>
      <c r="V3050" s="21"/>
      <c r="W3050" s="21" t="s">
        <v>8836</v>
      </c>
      <c r="X3050" s="21"/>
      <c r="Y3050" s="21" t="s">
        <v>41</v>
      </c>
      <c r="Z3050" s="21"/>
      <c r="AA3050" s="21" t="str">
        <f>HYPERLINK("https://miland.ru/api/getInfo/item/364469d2-f630-11e9-a235-ac1f6b442184")</f>
        <v>https://miland.ru/api/getInfo/item/364469d2-f630-11e9-a235-ac1f6b442184</v>
      </c>
      <c r="AB3050" s="21" t="s">
        <v>42</v>
      </c>
      <c r="AC3050" s="21" t="s">
        <v>10559</v>
      </c>
      <c r="AD3050" s="21"/>
    </row>
    <row r="3051" spans="2:31" ht="12" customHeight="1" outlineLevel="4">
      <c r="B3051" s="70" t="s">
        <v>10560</v>
      </c>
      <c r="C3051" s="70"/>
      <c r="D3051" s="70"/>
      <c r="E3051" s="70"/>
      <c r="F3051" s="70"/>
      <c r="G3051" s="70"/>
    </row>
    <row r="3052" spans="2:31" s="1" customFormat="1" ht="96.3" customHeight="1" outlineLevel="5">
      <c r="B3052" s="57">
        <v>2368</v>
      </c>
      <c r="C3052" s="21" t="s">
        <v>10561</v>
      </c>
      <c r="D3052" s="72" t="s">
        <v>10562</v>
      </c>
      <c r="E3052" s="72"/>
      <c r="F3052" s="72"/>
      <c r="G3052" s="72"/>
      <c r="H3052" s="22" t="s">
        <v>10563</v>
      </c>
      <c r="I3052" s="23" t="s">
        <v>36</v>
      </c>
      <c r="J3052" s="22"/>
      <c r="K3052" s="20">
        <v>2</v>
      </c>
      <c r="L3052" s="24">
        <v>302.29000000000002</v>
      </c>
      <c r="M3052" s="11"/>
      <c r="N3052" s="22">
        <f t="shared" ref="N3052:N3060" si="148">L3052*M3052</f>
        <v>0</v>
      </c>
      <c r="O3052" s="25">
        <f>0.151*M3052</f>
        <v>0</v>
      </c>
      <c r="P3052" s="26">
        <f>0.00091*M3052</f>
        <v>0</v>
      </c>
      <c r="Q3052" s="30"/>
      <c r="R3052" s="22" t="s">
        <v>10564</v>
      </c>
      <c r="S3052" s="22"/>
      <c r="T3052" s="21" t="str">
        <f>HYPERLINK("https://miland.ru/api/getInfo/image/0861c843-f62e-11e9-a235-ac1f6b442184")</f>
        <v>https://miland.ru/api/getInfo/image/0861c843-f62e-11e9-a235-ac1f6b442184</v>
      </c>
      <c r="U3052" s="21"/>
      <c r="V3052" s="21" t="s">
        <v>8898</v>
      </c>
      <c r="W3052" s="21" t="s">
        <v>8899</v>
      </c>
      <c r="X3052" s="21"/>
      <c r="Y3052" s="21" t="s">
        <v>41</v>
      </c>
      <c r="Z3052" s="21"/>
      <c r="AA3052" s="21" t="str">
        <f>HYPERLINK("https://miland.ru/api/getInfo/item/0861c843-f62e-11e9-a235-ac1f6b442184")</f>
        <v>https://miland.ru/api/getInfo/item/0861c843-f62e-11e9-a235-ac1f6b442184</v>
      </c>
      <c r="AB3052" s="21" t="s">
        <v>42</v>
      </c>
      <c r="AC3052" s="21" t="s">
        <v>10565</v>
      </c>
      <c r="AD3052" s="21"/>
    </row>
    <row r="3053" spans="2:31" s="1" customFormat="1" ht="96.3" customHeight="1" outlineLevel="5">
      <c r="B3053" s="57">
        <v>2369</v>
      </c>
      <c r="C3053" s="21" t="s">
        <v>10566</v>
      </c>
      <c r="D3053" s="72" t="s">
        <v>10567</v>
      </c>
      <c r="E3053" s="72"/>
      <c r="F3053" s="72"/>
      <c r="G3053" s="72"/>
      <c r="H3053" s="22" t="s">
        <v>10568</v>
      </c>
      <c r="I3053" s="27">
        <v>257</v>
      </c>
      <c r="J3053" s="22"/>
      <c r="K3053" s="20">
        <v>1</v>
      </c>
      <c r="L3053" s="24">
        <v>723.35</v>
      </c>
      <c r="M3053" s="11"/>
      <c r="N3053" s="22">
        <f t="shared" si="148"/>
        <v>0</v>
      </c>
      <c r="O3053" s="25">
        <f>0.254*M3053</f>
        <v>0</v>
      </c>
      <c r="P3053" s="26">
        <f>0.00222*M3053</f>
        <v>0</v>
      </c>
      <c r="Q3053" s="30"/>
      <c r="R3053" s="22" t="s">
        <v>10569</v>
      </c>
      <c r="S3053" s="22"/>
      <c r="T3053" s="21" t="str">
        <f>HYPERLINK("https://miland.ru/api/getInfo/image/7bd5ea63-5ab6-11ed-a220-ac1f6b442185")</f>
        <v>https://miland.ru/api/getInfo/image/7bd5ea63-5ab6-11ed-a220-ac1f6b442185</v>
      </c>
      <c r="U3053" s="21"/>
      <c r="V3053" s="21" t="s">
        <v>8898</v>
      </c>
      <c r="W3053" s="21" t="s">
        <v>8899</v>
      </c>
      <c r="X3053" s="21"/>
      <c r="Y3053" s="21" t="s">
        <v>41</v>
      </c>
      <c r="Z3053" s="21"/>
      <c r="AA3053" s="21" t="str">
        <f>HYPERLINK("https://miland.ru/api/getInfo/item/7bd5ea63-5ab6-11ed-a220-ac1f6b442185")</f>
        <v>https://miland.ru/api/getInfo/item/7bd5ea63-5ab6-11ed-a220-ac1f6b442185</v>
      </c>
      <c r="AB3053" s="21" t="s">
        <v>42</v>
      </c>
      <c r="AC3053" s="21" t="s">
        <v>10570</v>
      </c>
      <c r="AD3053" s="21"/>
    </row>
    <row r="3054" spans="2:31" s="1" customFormat="1" ht="96.3" customHeight="1" outlineLevel="5">
      <c r="B3054" s="57">
        <v>2370</v>
      </c>
      <c r="C3054" s="21" t="s">
        <v>10571</v>
      </c>
      <c r="D3054" s="72" t="s">
        <v>10572</v>
      </c>
      <c r="E3054" s="72"/>
      <c r="F3054" s="72"/>
      <c r="G3054" s="72"/>
      <c r="H3054" s="22" t="s">
        <v>10573</v>
      </c>
      <c r="I3054" s="27">
        <v>243</v>
      </c>
      <c r="J3054" s="22"/>
      <c r="K3054" s="20">
        <v>1</v>
      </c>
      <c r="L3054" s="24">
        <v>723.35</v>
      </c>
      <c r="M3054" s="11"/>
      <c r="N3054" s="22">
        <f t="shared" si="148"/>
        <v>0</v>
      </c>
      <c r="O3054" s="25">
        <f>0.249*M3054</f>
        <v>0</v>
      </c>
      <c r="P3054" s="26">
        <f>0.00189*M3054</f>
        <v>0</v>
      </c>
      <c r="Q3054" s="30"/>
      <c r="R3054" s="22" t="s">
        <v>10574</v>
      </c>
      <c r="S3054" s="22"/>
      <c r="T3054" s="21" t="str">
        <f>HYPERLINK("https://miland.ru/api/getInfo/image/cd91e0c7-5ab6-11ed-a220-ac1f6b442185")</f>
        <v>https://miland.ru/api/getInfo/image/cd91e0c7-5ab6-11ed-a220-ac1f6b442185</v>
      </c>
      <c r="U3054" s="21"/>
      <c r="V3054" s="21" t="s">
        <v>8898</v>
      </c>
      <c r="W3054" s="21" t="s">
        <v>70</v>
      </c>
      <c r="X3054" s="21"/>
      <c r="Y3054" s="21" t="s">
        <v>41</v>
      </c>
      <c r="Z3054" s="21"/>
      <c r="AA3054" s="21" t="str">
        <f>HYPERLINK("https://miland.ru/api/getInfo/item/cd91e0c7-5ab6-11ed-a220-ac1f6b442185")</f>
        <v>https://miland.ru/api/getInfo/item/cd91e0c7-5ab6-11ed-a220-ac1f6b442185</v>
      </c>
      <c r="AB3054" s="21" t="s">
        <v>42</v>
      </c>
      <c r="AC3054" s="21" t="s">
        <v>10570</v>
      </c>
      <c r="AD3054" s="21"/>
    </row>
    <row r="3055" spans="2:31" s="1" customFormat="1" ht="96.3" customHeight="1" outlineLevel="5">
      <c r="B3055" s="57">
        <v>2371</v>
      </c>
      <c r="C3055" s="21" t="s">
        <v>10575</v>
      </c>
      <c r="D3055" s="72" t="s">
        <v>10576</v>
      </c>
      <c r="E3055" s="72"/>
      <c r="F3055" s="72"/>
      <c r="G3055" s="72"/>
      <c r="H3055" s="22" t="s">
        <v>10577</v>
      </c>
      <c r="I3055" s="23" t="s">
        <v>36</v>
      </c>
      <c r="J3055" s="22"/>
      <c r="K3055" s="20">
        <v>3</v>
      </c>
      <c r="L3055" s="24">
        <v>246.35</v>
      </c>
      <c r="M3055" s="11"/>
      <c r="N3055" s="22">
        <f t="shared" si="148"/>
        <v>0</v>
      </c>
      <c r="O3055" s="25">
        <f>0.093*M3055</f>
        <v>0</v>
      </c>
      <c r="P3055" s="29">
        <f>0.0008*M3055</f>
        <v>0</v>
      </c>
      <c r="Q3055" s="30"/>
      <c r="R3055" s="22" t="s">
        <v>10578</v>
      </c>
      <c r="S3055" s="22"/>
      <c r="T3055" s="21" t="str">
        <f>HYPERLINK("https://miland.ru/api/getInfo/image/753969b7-f62e-11e9-a235-ac1f6b442184")</f>
        <v>https://miland.ru/api/getInfo/image/753969b7-f62e-11e9-a235-ac1f6b442184</v>
      </c>
      <c r="U3055" s="21"/>
      <c r="V3055" s="21" t="s">
        <v>8898</v>
      </c>
      <c r="W3055" s="21" t="s">
        <v>8899</v>
      </c>
      <c r="X3055" s="21"/>
      <c r="Y3055" s="21" t="s">
        <v>41</v>
      </c>
      <c r="Z3055" s="21"/>
      <c r="AA3055" s="21" t="str">
        <f>HYPERLINK("https://miland.ru/api/getInfo/item/753969b7-f62e-11e9-a235-ac1f6b442184")</f>
        <v>https://miland.ru/api/getInfo/item/753969b7-f62e-11e9-a235-ac1f6b442184</v>
      </c>
      <c r="AB3055" s="21" t="s">
        <v>42</v>
      </c>
      <c r="AC3055" s="21" t="s">
        <v>10579</v>
      </c>
      <c r="AD3055" s="21"/>
    </row>
    <row r="3056" spans="2:31" s="1" customFormat="1" ht="96.3" customHeight="1" outlineLevel="5">
      <c r="B3056" s="57">
        <v>2372</v>
      </c>
      <c r="C3056" s="21" t="s">
        <v>10580</v>
      </c>
      <c r="D3056" s="72" t="s">
        <v>10581</v>
      </c>
      <c r="E3056" s="72"/>
      <c r="F3056" s="72"/>
      <c r="G3056" s="72"/>
      <c r="H3056" s="22" t="s">
        <v>10582</v>
      </c>
      <c r="I3056" s="23" t="s">
        <v>36</v>
      </c>
      <c r="J3056" s="22"/>
      <c r="K3056" s="20">
        <v>1</v>
      </c>
      <c r="L3056" s="24">
        <v>492.7</v>
      </c>
      <c r="M3056" s="11"/>
      <c r="N3056" s="22">
        <f t="shared" si="148"/>
        <v>0</v>
      </c>
      <c r="O3056" s="25">
        <f>0.225*M3056</f>
        <v>0</v>
      </c>
      <c r="P3056" s="26">
        <f>0.00075*M3056</f>
        <v>0</v>
      </c>
      <c r="Q3056" s="30"/>
      <c r="R3056" s="22" t="s">
        <v>10583</v>
      </c>
      <c r="S3056" s="22"/>
      <c r="T3056" s="21" t="str">
        <f>HYPERLINK("https://miland.ru/api/getInfo/image/2cca2374-5ab7-11ed-a220-ac1f6b442185")</f>
        <v>https://miland.ru/api/getInfo/image/2cca2374-5ab7-11ed-a220-ac1f6b442185</v>
      </c>
      <c r="U3056" s="21"/>
      <c r="V3056" s="21" t="s">
        <v>8898</v>
      </c>
      <c r="W3056" s="21" t="s">
        <v>70</v>
      </c>
      <c r="X3056" s="21"/>
      <c r="Y3056" s="21" t="s">
        <v>41</v>
      </c>
      <c r="Z3056" s="21"/>
      <c r="AA3056" s="21" t="str">
        <f>HYPERLINK("https://miland.ru/api/getInfo/item/2cca2374-5ab7-11ed-a220-ac1f6b442185")</f>
        <v>https://miland.ru/api/getInfo/item/2cca2374-5ab7-11ed-a220-ac1f6b442185</v>
      </c>
      <c r="AB3056" s="21" t="s">
        <v>42</v>
      </c>
      <c r="AC3056" s="21" t="s">
        <v>10584</v>
      </c>
      <c r="AD3056" s="21"/>
    </row>
    <row r="3057" spans="2:31" s="1" customFormat="1" ht="96.3" customHeight="1" outlineLevel="5">
      <c r="B3057" s="57">
        <v>2373</v>
      </c>
      <c r="C3057" s="21" t="s">
        <v>10585</v>
      </c>
      <c r="D3057" s="72" t="s">
        <v>10586</v>
      </c>
      <c r="E3057" s="72"/>
      <c r="F3057" s="72"/>
      <c r="G3057" s="72"/>
      <c r="H3057" s="22" t="s">
        <v>10587</v>
      </c>
      <c r="I3057" s="27">
        <v>242</v>
      </c>
      <c r="J3057" s="22"/>
      <c r="K3057" s="20">
        <v>1</v>
      </c>
      <c r="L3057" s="24">
        <v>610.95000000000005</v>
      </c>
      <c r="M3057" s="11"/>
      <c r="N3057" s="22">
        <f t="shared" si="148"/>
        <v>0</v>
      </c>
      <c r="O3057" s="25">
        <f>0.427*M3057</f>
        <v>0</v>
      </c>
      <c r="P3057" s="29">
        <f>0.0014*M3057</f>
        <v>0</v>
      </c>
      <c r="Q3057" s="30"/>
      <c r="R3057" s="22" t="s">
        <v>10588</v>
      </c>
      <c r="S3057" s="22"/>
      <c r="T3057" s="21" t="str">
        <f>HYPERLINK("https://miland.ru/api/getInfo/image/869df5ba-5ab7-11ed-a220-ac1f6b442185")</f>
        <v>https://miland.ru/api/getInfo/image/869df5ba-5ab7-11ed-a220-ac1f6b442185</v>
      </c>
      <c r="U3057" s="21"/>
      <c r="V3057" s="21" t="s">
        <v>8898</v>
      </c>
      <c r="W3057" s="21" t="s">
        <v>8899</v>
      </c>
      <c r="X3057" s="21"/>
      <c r="Y3057" s="21" t="s">
        <v>41</v>
      </c>
      <c r="Z3057" s="21"/>
      <c r="AA3057" s="21" t="str">
        <f>HYPERLINK("https://miland.ru/api/getInfo/item/869df5ba-5ab7-11ed-a220-ac1f6b442185")</f>
        <v>https://miland.ru/api/getInfo/item/869df5ba-5ab7-11ed-a220-ac1f6b442185</v>
      </c>
      <c r="AB3057" s="21" t="s">
        <v>42</v>
      </c>
      <c r="AC3057" s="21" t="s">
        <v>10589</v>
      </c>
      <c r="AD3057" s="21"/>
    </row>
    <row r="3058" spans="2:31" s="1" customFormat="1" ht="96.3" customHeight="1" outlineLevel="5">
      <c r="B3058" s="57">
        <v>2374</v>
      </c>
      <c r="C3058" s="21" t="s">
        <v>10590</v>
      </c>
      <c r="D3058" s="72" t="s">
        <v>10591</v>
      </c>
      <c r="E3058" s="72"/>
      <c r="F3058" s="72"/>
      <c r="G3058" s="72"/>
      <c r="H3058" s="22" t="s">
        <v>10592</v>
      </c>
      <c r="I3058" s="27">
        <v>490</v>
      </c>
      <c r="J3058" s="22"/>
      <c r="K3058" s="20">
        <v>1</v>
      </c>
      <c r="L3058" s="24">
        <v>443.44</v>
      </c>
      <c r="M3058" s="11"/>
      <c r="N3058" s="22">
        <f t="shared" si="148"/>
        <v>0</v>
      </c>
      <c r="O3058" s="25">
        <f>0.227*M3058</f>
        <v>0</v>
      </c>
      <c r="P3058" s="29">
        <f>0.0008*M3058</f>
        <v>0</v>
      </c>
      <c r="Q3058" s="30"/>
      <c r="R3058" s="22" t="s">
        <v>10593</v>
      </c>
      <c r="S3058" s="22"/>
      <c r="T3058" s="21" t="str">
        <f>HYPERLINK("https://miland.ru/api/getInfo/image/222ffdb6-5ab8-11ed-a220-ac1f6b442185")</f>
        <v>https://miland.ru/api/getInfo/image/222ffdb6-5ab8-11ed-a220-ac1f6b442185</v>
      </c>
      <c r="U3058" s="21"/>
      <c r="V3058" s="21" t="s">
        <v>8898</v>
      </c>
      <c r="W3058" s="21" t="s">
        <v>8899</v>
      </c>
      <c r="X3058" s="21"/>
      <c r="Y3058" s="21" t="s">
        <v>41</v>
      </c>
      <c r="Z3058" s="21"/>
      <c r="AA3058" s="21" t="str">
        <f>HYPERLINK("https://miland.ru/api/getInfo/item/222ffdb6-5ab8-11ed-a220-ac1f6b442185")</f>
        <v>https://miland.ru/api/getInfo/item/222ffdb6-5ab8-11ed-a220-ac1f6b442185</v>
      </c>
      <c r="AB3058" s="21" t="s">
        <v>42</v>
      </c>
      <c r="AC3058" s="21" t="s">
        <v>10584</v>
      </c>
      <c r="AD3058" s="21"/>
    </row>
    <row r="3059" spans="2:31" s="1" customFormat="1" ht="96.3" customHeight="1" outlineLevel="5">
      <c r="B3059" s="57">
        <v>2375</v>
      </c>
      <c r="C3059" s="21" t="s">
        <v>10594</v>
      </c>
      <c r="D3059" s="72" t="s">
        <v>10595</v>
      </c>
      <c r="E3059" s="72"/>
      <c r="F3059" s="72"/>
      <c r="G3059" s="72"/>
      <c r="H3059" s="22" t="s">
        <v>10596</v>
      </c>
      <c r="I3059" s="23" t="s">
        <v>36</v>
      </c>
      <c r="J3059" s="22"/>
      <c r="K3059" s="20">
        <v>1</v>
      </c>
      <c r="L3059" s="24">
        <v>571.53</v>
      </c>
      <c r="M3059" s="11"/>
      <c r="N3059" s="22">
        <f t="shared" si="148"/>
        <v>0</v>
      </c>
      <c r="O3059" s="25">
        <f>0.428*M3059</f>
        <v>0</v>
      </c>
      <c r="P3059" s="29">
        <f>0.0014*M3059</f>
        <v>0</v>
      </c>
      <c r="Q3059" s="30"/>
      <c r="R3059" s="22" t="s">
        <v>10597</v>
      </c>
      <c r="S3059" s="22"/>
      <c r="T3059" s="21" t="str">
        <f>HYPERLINK("https://miland.ru/api/getInfo/image/7c13ecbe-5ab8-11ed-a220-ac1f6b442185")</f>
        <v>https://miland.ru/api/getInfo/image/7c13ecbe-5ab8-11ed-a220-ac1f6b442185</v>
      </c>
      <c r="U3059" s="21"/>
      <c r="V3059" s="21" t="s">
        <v>8898</v>
      </c>
      <c r="W3059" s="21" t="s">
        <v>8899</v>
      </c>
      <c r="X3059" s="21"/>
      <c r="Y3059" s="21" t="s">
        <v>41</v>
      </c>
      <c r="Z3059" s="21"/>
      <c r="AA3059" s="21" t="str">
        <f>HYPERLINK("https://miland.ru/api/getInfo/item/7c13ecbe-5ab8-11ed-a220-ac1f6b442185")</f>
        <v>https://miland.ru/api/getInfo/item/7c13ecbe-5ab8-11ed-a220-ac1f6b442185</v>
      </c>
      <c r="AB3059" s="21" t="s">
        <v>42</v>
      </c>
      <c r="AC3059" s="21" t="s">
        <v>10589</v>
      </c>
      <c r="AD3059" s="21"/>
    </row>
    <row r="3060" spans="2:31" s="1" customFormat="1" ht="96.3" customHeight="1" outlineLevel="5">
      <c r="B3060" s="57">
        <v>2376</v>
      </c>
      <c r="C3060" s="21" t="s">
        <v>10598</v>
      </c>
      <c r="D3060" s="72" t="s">
        <v>10599</v>
      </c>
      <c r="E3060" s="72"/>
      <c r="F3060" s="72"/>
      <c r="G3060" s="72"/>
      <c r="H3060" s="22" t="s">
        <v>10600</v>
      </c>
      <c r="I3060" s="23" t="s">
        <v>36</v>
      </c>
      <c r="J3060" s="22"/>
      <c r="K3060" s="20">
        <v>1</v>
      </c>
      <c r="L3060" s="24">
        <v>423.72</v>
      </c>
      <c r="M3060" s="11"/>
      <c r="N3060" s="22">
        <f t="shared" si="148"/>
        <v>0</v>
      </c>
      <c r="O3060" s="25">
        <f>0.225*M3060</f>
        <v>0</v>
      </c>
      <c r="P3060" s="26">
        <f>0.00077*M3060</f>
        <v>0</v>
      </c>
      <c r="Q3060" s="30"/>
      <c r="R3060" s="22" t="s">
        <v>10601</v>
      </c>
      <c r="S3060" s="22"/>
      <c r="T3060" s="21" t="str">
        <f>HYPERLINK("https://miland.ru/api/getInfo/image/4fc29801-f62e-11e9-a235-ac1f6b442184")</f>
        <v>https://miland.ru/api/getInfo/image/4fc29801-f62e-11e9-a235-ac1f6b442184</v>
      </c>
      <c r="U3060" s="21"/>
      <c r="V3060" s="21" t="s">
        <v>8898</v>
      </c>
      <c r="W3060" s="21" t="s">
        <v>8899</v>
      </c>
      <c r="X3060" s="21"/>
      <c r="Y3060" s="21" t="s">
        <v>41</v>
      </c>
      <c r="Z3060" s="21"/>
      <c r="AA3060" s="21" t="str">
        <f>HYPERLINK("https://miland.ru/api/getInfo/item/4fc29801-f62e-11e9-a235-ac1f6b442184")</f>
        <v>https://miland.ru/api/getInfo/item/4fc29801-f62e-11e9-a235-ac1f6b442184</v>
      </c>
      <c r="AB3060" s="21" t="s">
        <v>42</v>
      </c>
      <c r="AC3060" s="21" t="s">
        <v>10602</v>
      </c>
      <c r="AD3060" s="21"/>
    </row>
    <row r="3061" spans="2:31" ht="12" customHeight="1" outlineLevel="4">
      <c r="B3061" s="70" t="s">
        <v>10603</v>
      </c>
      <c r="C3061" s="70"/>
      <c r="D3061" s="70"/>
      <c r="E3061" s="70"/>
      <c r="F3061" s="70"/>
      <c r="G3061" s="70"/>
    </row>
    <row r="3062" spans="2:31" s="1" customFormat="1" ht="96.3" customHeight="1" outlineLevel="5">
      <c r="B3062" s="58">
        <v>2377</v>
      </c>
      <c r="C3062" s="7" t="s">
        <v>10604</v>
      </c>
      <c r="D3062" s="71" t="s">
        <v>10605</v>
      </c>
      <c r="E3062" s="71"/>
      <c r="F3062" s="71"/>
      <c r="G3062" s="71"/>
      <c r="H3062" s="8" t="s">
        <v>10606</v>
      </c>
      <c r="I3062" s="9" t="s">
        <v>36</v>
      </c>
      <c r="J3062" s="8"/>
      <c r="K3062" s="6">
        <v>1</v>
      </c>
      <c r="L3062" s="10">
        <v>454.63</v>
      </c>
      <c r="M3062" s="11"/>
      <c r="N3062" s="8">
        <f t="shared" ref="N3062:N3090" si="149">L3062*M3062</f>
        <v>0</v>
      </c>
      <c r="O3062" s="12">
        <f>0.215*M3062</f>
        <v>0</v>
      </c>
      <c r="P3062" s="13">
        <f>0.00036*M3062</f>
        <v>0</v>
      </c>
      <c r="Q3062" s="17" t="s">
        <v>37</v>
      </c>
      <c r="R3062" s="8" t="s">
        <v>10607</v>
      </c>
      <c r="S3062" s="8"/>
      <c r="T3062" s="7" t="str">
        <f>HYPERLINK("https://miland.ru/api/getInfo/image/ce17465f-2dab-11f1-a292-00155d82e908")</f>
        <v>https://miland.ru/api/getInfo/image/ce17465f-2dab-11f1-a292-00155d82e908</v>
      </c>
      <c r="U3062" s="7"/>
      <c r="V3062" s="7"/>
      <c r="W3062" s="7" t="s">
        <v>70</v>
      </c>
      <c r="X3062" s="7"/>
      <c r="Y3062" s="7" t="s">
        <v>41</v>
      </c>
      <c r="Z3062" s="7"/>
      <c r="AA3062" s="7" t="str">
        <f>HYPERLINK("https://miland.ru/api/getInfo/item/ce17465f-2dab-11f1-a292-00155d82e908")</f>
        <v>https://miland.ru/api/getInfo/item/ce17465f-2dab-11f1-a292-00155d82e908</v>
      </c>
      <c r="AB3062" s="7" t="s">
        <v>42</v>
      </c>
      <c r="AC3062" s="7"/>
      <c r="AD3062" s="7"/>
      <c r="AE3062" s="54"/>
    </row>
    <row r="3063" spans="2:31" s="1" customFormat="1" ht="96.3" customHeight="1" outlineLevel="5">
      <c r="B3063" s="57">
        <v>2378</v>
      </c>
      <c r="C3063" s="21" t="s">
        <v>10608</v>
      </c>
      <c r="D3063" s="72" t="s">
        <v>10609</v>
      </c>
      <c r="E3063" s="72"/>
      <c r="F3063" s="72"/>
      <c r="G3063" s="72"/>
      <c r="H3063" s="22" t="s">
        <v>10610</v>
      </c>
      <c r="I3063" s="27">
        <v>165</v>
      </c>
      <c r="J3063" s="22"/>
      <c r="K3063" s="20">
        <v>1</v>
      </c>
      <c r="L3063" s="24">
        <v>856.92</v>
      </c>
      <c r="M3063" s="11"/>
      <c r="N3063" s="22">
        <f t="shared" si="149"/>
        <v>0</v>
      </c>
      <c r="O3063" s="25">
        <f>0.481*M3063</f>
        <v>0</v>
      </c>
      <c r="P3063" s="26">
        <f>0.00211*M3063</f>
        <v>0</v>
      </c>
      <c r="Q3063" s="30"/>
      <c r="R3063" s="22" t="s">
        <v>10611</v>
      </c>
      <c r="S3063" s="22" t="s">
        <v>435</v>
      </c>
      <c r="T3063" s="21" t="str">
        <f>HYPERLINK("https://miland.ru/api/getInfo/image/340a6ae5-0acf-11f0-a279-00155d82e908")</f>
        <v>https://miland.ru/api/getInfo/image/340a6ae5-0acf-11f0-a279-00155d82e908</v>
      </c>
      <c r="U3063" s="21"/>
      <c r="V3063" s="21"/>
      <c r="W3063" s="21" t="s">
        <v>5729</v>
      </c>
      <c r="X3063" s="21" t="s">
        <v>172</v>
      </c>
      <c r="Y3063" s="21" t="s">
        <v>173</v>
      </c>
      <c r="Z3063" s="21" t="s">
        <v>10612</v>
      </c>
      <c r="AA3063" s="21" t="str">
        <f>HYPERLINK("https://miland.ru/api/getInfo/item/340a6ae5-0acf-11f0-a279-00155d82e908")</f>
        <v>https://miland.ru/api/getInfo/item/340a6ae5-0acf-11f0-a279-00155d82e908</v>
      </c>
      <c r="AB3063" s="21" t="s">
        <v>42</v>
      </c>
      <c r="AC3063" s="21"/>
      <c r="AD3063" s="21"/>
    </row>
    <row r="3064" spans="2:31" s="1" customFormat="1" ht="96.3" customHeight="1" outlineLevel="5">
      <c r="B3064" s="58">
        <v>2379</v>
      </c>
      <c r="C3064" s="7" t="s">
        <v>10613</v>
      </c>
      <c r="D3064" s="71" t="s">
        <v>10614</v>
      </c>
      <c r="E3064" s="71"/>
      <c r="F3064" s="71"/>
      <c r="G3064" s="71"/>
      <c r="H3064" s="8" t="s">
        <v>10615</v>
      </c>
      <c r="I3064" s="9" t="s">
        <v>36</v>
      </c>
      <c r="J3064" s="8"/>
      <c r="K3064" s="6">
        <v>1</v>
      </c>
      <c r="L3064" s="10">
        <v>454.63</v>
      </c>
      <c r="M3064" s="11"/>
      <c r="N3064" s="8">
        <f t="shared" si="149"/>
        <v>0</v>
      </c>
      <c r="O3064" s="12">
        <f>0.214*M3064</f>
        <v>0</v>
      </c>
      <c r="P3064" s="13">
        <f>0.00036*M3064</f>
        <v>0</v>
      </c>
      <c r="Q3064" s="17" t="s">
        <v>37</v>
      </c>
      <c r="R3064" s="8" t="s">
        <v>10616</v>
      </c>
      <c r="S3064" s="8"/>
      <c r="T3064" s="7" t="str">
        <f>HYPERLINK("https://miland.ru/api/getInfo/image/b44b3a65-2dab-11f1-a292-00155d82e908")</f>
        <v>https://miland.ru/api/getInfo/image/b44b3a65-2dab-11f1-a292-00155d82e908</v>
      </c>
      <c r="U3064" s="7"/>
      <c r="V3064" s="7"/>
      <c r="W3064" s="7" t="s">
        <v>70</v>
      </c>
      <c r="X3064" s="7"/>
      <c r="Y3064" s="7" t="s">
        <v>41</v>
      </c>
      <c r="Z3064" s="7"/>
      <c r="AA3064" s="7" t="str">
        <f>HYPERLINK("https://miland.ru/api/getInfo/item/b44b3a65-2dab-11f1-a292-00155d82e908")</f>
        <v>https://miland.ru/api/getInfo/item/b44b3a65-2dab-11f1-a292-00155d82e908</v>
      </c>
      <c r="AB3064" s="7" t="s">
        <v>42</v>
      </c>
      <c r="AC3064" s="7"/>
      <c r="AD3064" s="7"/>
      <c r="AE3064" s="54"/>
    </row>
    <row r="3065" spans="2:31" s="1" customFormat="1" ht="96.3" customHeight="1" outlineLevel="5">
      <c r="B3065" s="57">
        <v>2380</v>
      </c>
      <c r="C3065" s="21" t="s">
        <v>10617</v>
      </c>
      <c r="D3065" s="72" t="s">
        <v>10618</v>
      </c>
      <c r="E3065" s="72"/>
      <c r="F3065" s="72"/>
      <c r="G3065" s="72"/>
      <c r="H3065" s="22" t="s">
        <v>10619</v>
      </c>
      <c r="I3065" s="27">
        <v>452</v>
      </c>
      <c r="J3065" s="22"/>
      <c r="K3065" s="20">
        <v>1</v>
      </c>
      <c r="L3065" s="24">
        <v>727.44</v>
      </c>
      <c r="M3065" s="11"/>
      <c r="N3065" s="22">
        <f t="shared" si="149"/>
        <v>0</v>
      </c>
      <c r="O3065" s="25">
        <f>0.369*M3065</f>
        <v>0</v>
      </c>
      <c r="P3065" s="26">
        <f>0.00063*M3065</f>
        <v>0</v>
      </c>
      <c r="Q3065" s="30"/>
      <c r="R3065" s="22" t="s">
        <v>10620</v>
      </c>
      <c r="S3065" s="22"/>
      <c r="T3065" s="21" t="str">
        <f>HYPERLINK("https://miland.ru/api/getInfo/image/783a75bc-084c-11ef-a25d-00155d82e908")</f>
        <v>https://miland.ru/api/getInfo/image/783a75bc-084c-11ef-a25d-00155d82e908</v>
      </c>
      <c r="U3065" s="21"/>
      <c r="V3065" s="21"/>
      <c r="W3065" s="21" t="s">
        <v>70</v>
      </c>
      <c r="X3065" s="21"/>
      <c r="Y3065" s="21" t="s">
        <v>41</v>
      </c>
      <c r="Z3065" s="21"/>
      <c r="AA3065" s="21" t="str">
        <f>HYPERLINK("https://miland.ru/api/getInfo/item/783a75bc-084c-11ef-a25d-00155d82e908")</f>
        <v>https://miland.ru/api/getInfo/item/783a75bc-084c-11ef-a25d-00155d82e908</v>
      </c>
      <c r="AB3065" s="21" t="s">
        <v>42</v>
      </c>
      <c r="AC3065" s="21" t="s">
        <v>10621</v>
      </c>
      <c r="AD3065" s="21"/>
    </row>
    <row r="3066" spans="2:31" s="1" customFormat="1" ht="96.3" customHeight="1" outlineLevel="5">
      <c r="B3066" s="57">
        <v>2381</v>
      </c>
      <c r="C3066" s="21" t="s">
        <v>10622</v>
      </c>
      <c r="D3066" s="72" t="s">
        <v>10623</v>
      </c>
      <c r="E3066" s="72"/>
      <c r="F3066" s="72"/>
      <c r="G3066" s="72"/>
      <c r="H3066" s="22" t="s">
        <v>10624</v>
      </c>
      <c r="I3066" s="27">
        <v>420</v>
      </c>
      <c r="J3066" s="22"/>
      <c r="K3066" s="20">
        <v>1</v>
      </c>
      <c r="L3066" s="24">
        <v>475.13</v>
      </c>
      <c r="M3066" s="11"/>
      <c r="N3066" s="22">
        <f t="shared" si="149"/>
        <v>0</v>
      </c>
      <c r="O3066" s="25">
        <f>0.222*M3066</f>
        <v>0</v>
      </c>
      <c r="P3066" s="26">
        <f>0.00038*M3066</f>
        <v>0</v>
      </c>
      <c r="Q3066" s="30"/>
      <c r="R3066" s="22" t="s">
        <v>10625</v>
      </c>
      <c r="S3066" s="22"/>
      <c r="T3066" s="21" t="str">
        <f>HYPERLINK("https://miland.ru/api/getInfo/image/eca60f35-219c-11f0-a279-00155d82e908")</f>
        <v>https://miland.ru/api/getInfo/image/eca60f35-219c-11f0-a279-00155d82e908</v>
      </c>
      <c r="U3066" s="21"/>
      <c r="V3066" s="21"/>
      <c r="W3066" s="21" t="s">
        <v>70</v>
      </c>
      <c r="X3066" s="21"/>
      <c r="Y3066" s="21" t="s">
        <v>41</v>
      </c>
      <c r="Z3066" s="21"/>
      <c r="AA3066" s="21" t="str">
        <f>HYPERLINK("https://miland.ru/api/getInfo/item/eca60f35-219c-11f0-a279-00155d82e908")</f>
        <v>https://miland.ru/api/getInfo/item/eca60f35-219c-11f0-a279-00155d82e908</v>
      </c>
      <c r="AB3066" s="21" t="s">
        <v>42</v>
      </c>
      <c r="AC3066" s="21"/>
      <c r="AD3066" s="21"/>
    </row>
    <row r="3067" spans="2:31" s="1" customFormat="1" ht="96.3" customHeight="1" outlineLevel="5">
      <c r="B3067" s="57">
        <v>2382</v>
      </c>
      <c r="C3067" s="21" t="s">
        <v>10626</v>
      </c>
      <c r="D3067" s="72" t="s">
        <v>10627</v>
      </c>
      <c r="E3067" s="72"/>
      <c r="F3067" s="72"/>
      <c r="G3067" s="72"/>
      <c r="H3067" s="22" t="s">
        <v>10628</v>
      </c>
      <c r="I3067" s="27">
        <v>34</v>
      </c>
      <c r="J3067" s="22"/>
      <c r="K3067" s="20">
        <v>1</v>
      </c>
      <c r="L3067" s="24">
        <v>438.59</v>
      </c>
      <c r="M3067" s="11"/>
      <c r="N3067" s="22">
        <f t="shared" si="149"/>
        <v>0</v>
      </c>
      <c r="O3067" s="25">
        <f>0.148*M3067</f>
        <v>0</v>
      </c>
      <c r="P3067" s="26">
        <f>0.00025*M3067</f>
        <v>0</v>
      </c>
      <c r="Q3067" s="30"/>
      <c r="R3067" s="22" t="s">
        <v>10629</v>
      </c>
      <c r="S3067" s="22"/>
      <c r="T3067" s="21" t="str">
        <f>HYPERLINK("https://miland.ru/api/getInfo/image/5b0b62f1-219e-11f0-a279-00155d82e908")</f>
        <v>https://miland.ru/api/getInfo/image/5b0b62f1-219e-11f0-a279-00155d82e908</v>
      </c>
      <c r="U3067" s="21"/>
      <c r="V3067" s="21"/>
      <c r="W3067" s="21" t="s">
        <v>70</v>
      </c>
      <c r="X3067" s="21"/>
      <c r="Y3067" s="21" t="s">
        <v>41</v>
      </c>
      <c r="Z3067" s="21"/>
      <c r="AA3067" s="21" t="str">
        <f>HYPERLINK("https://miland.ru/api/getInfo/item/5b0b62f1-219e-11f0-a279-00155d82e908")</f>
        <v>https://miland.ru/api/getInfo/item/5b0b62f1-219e-11f0-a279-00155d82e908</v>
      </c>
      <c r="AB3067" s="21" t="s">
        <v>42</v>
      </c>
      <c r="AC3067" s="21"/>
      <c r="AD3067" s="21"/>
    </row>
    <row r="3068" spans="2:31" s="1" customFormat="1" ht="96.3" customHeight="1" outlineLevel="5">
      <c r="B3068" s="57">
        <v>2383</v>
      </c>
      <c r="C3068" s="21" t="s">
        <v>10630</v>
      </c>
      <c r="D3068" s="72" t="s">
        <v>10631</v>
      </c>
      <c r="E3068" s="72"/>
      <c r="F3068" s="72"/>
      <c r="G3068" s="72"/>
      <c r="H3068" s="22" t="s">
        <v>10632</v>
      </c>
      <c r="I3068" s="23" t="s">
        <v>36</v>
      </c>
      <c r="J3068" s="22"/>
      <c r="K3068" s="20">
        <v>1</v>
      </c>
      <c r="L3068" s="24">
        <v>579.99</v>
      </c>
      <c r="M3068" s="11"/>
      <c r="N3068" s="22">
        <f t="shared" si="149"/>
        <v>0</v>
      </c>
      <c r="O3068" s="25">
        <f>0.379*M3068</f>
        <v>0</v>
      </c>
      <c r="P3068" s="26">
        <f>0.00058*M3068</f>
        <v>0</v>
      </c>
      <c r="Q3068" s="30"/>
      <c r="R3068" s="22" t="s">
        <v>10633</v>
      </c>
      <c r="S3068" s="22"/>
      <c r="T3068" s="21" t="str">
        <f>HYPERLINK("https://miland.ru/api/getInfo/image/36993ba1-084c-11ef-a25d-00155d82e908")</f>
        <v>https://miland.ru/api/getInfo/image/36993ba1-084c-11ef-a25d-00155d82e908</v>
      </c>
      <c r="U3068" s="21"/>
      <c r="V3068" s="21"/>
      <c r="W3068" s="21" t="s">
        <v>70</v>
      </c>
      <c r="X3068" s="21"/>
      <c r="Y3068" s="21" t="s">
        <v>41</v>
      </c>
      <c r="Z3068" s="21"/>
      <c r="AA3068" s="21" t="str">
        <f>HYPERLINK("https://miland.ru/api/getInfo/item/36993ba1-084c-11ef-a25d-00155d82e908")</f>
        <v>https://miland.ru/api/getInfo/item/36993ba1-084c-11ef-a25d-00155d82e908</v>
      </c>
      <c r="AB3068" s="21" t="s">
        <v>42</v>
      </c>
      <c r="AC3068" s="21" t="s">
        <v>10634</v>
      </c>
      <c r="AD3068" s="21"/>
    </row>
    <row r="3069" spans="2:31" s="1" customFormat="1" ht="96.3" customHeight="1" outlineLevel="5">
      <c r="B3069" s="57">
        <v>2384</v>
      </c>
      <c r="C3069" s="21" t="s">
        <v>10635</v>
      </c>
      <c r="D3069" s="72" t="s">
        <v>10636</v>
      </c>
      <c r="E3069" s="72"/>
      <c r="F3069" s="72"/>
      <c r="G3069" s="72"/>
      <c r="H3069" s="22" t="s">
        <v>10637</v>
      </c>
      <c r="I3069" s="27">
        <v>398</v>
      </c>
      <c r="J3069" s="22"/>
      <c r="K3069" s="20">
        <v>1</v>
      </c>
      <c r="L3069" s="24">
        <v>475.13</v>
      </c>
      <c r="M3069" s="11"/>
      <c r="N3069" s="22">
        <f t="shared" si="149"/>
        <v>0</v>
      </c>
      <c r="O3069" s="25">
        <f>0.224*M3069</f>
        <v>0</v>
      </c>
      <c r="P3069" s="29">
        <f>0.0004*M3069</f>
        <v>0</v>
      </c>
      <c r="Q3069" s="30"/>
      <c r="R3069" s="22" t="s">
        <v>10638</v>
      </c>
      <c r="S3069" s="22"/>
      <c r="T3069" s="21" t="str">
        <f>HYPERLINK("https://miland.ru/api/getInfo/image/bcfe6ce0-219d-11f0-a279-00155d82e908")</f>
        <v>https://miland.ru/api/getInfo/image/bcfe6ce0-219d-11f0-a279-00155d82e908</v>
      </c>
      <c r="U3069" s="21"/>
      <c r="V3069" s="21"/>
      <c r="W3069" s="21" t="s">
        <v>70</v>
      </c>
      <c r="X3069" s="21"/>
      <c r="Y3069" s="21" t="s">
        <v>41</v>
      </c>
      <c r="Z3069" s="21"/>
      <c r="AA3069" s="21" t="str">
        <f>HYPERLINK("https://miland.ru/api/getInfo/item/bcfe6ce0-219d-11f0-a279-00155d82e908")</f>
        <v>https://miland.ru/api/getInfo/item/bcfe6ce0-219d-11f0-a279-00155d82e908</v>
      </c>
      <c r="AB3069" s="21" t="s">
        <v>42</v>
      </c>
      <c r="AC3069" s="21"/>
      <c r="AD3069" s="21"/>
    </row>
    <row r="3070" spans="2:31" s="1" customFormat="1" ht="96.3" customHeight="1" outlineLevel="5">
      <c r="B3070" s="57">
        <v>2385</v>
      </c>
      <c r="C3070" s="21" t="s">
        <v>10639</v>
      </c>
      <c r="D3070" s="72" t="s">
        <v>10640</v>
      </c>
      <c r="E3070" s="72"/>
      <c r="F3070" s="72"/>
      <c r="G3070" s="72"/>
      <c r="H3070" s="22" t="s">
        <v>10641</v>
      </c>
      <c r="I3070" s="27">
        <v>60</v>
      </c>
      <c r="J3070" s="22"/>
      <c r="K3070" s="20">
        <v>1</v>
      </c>
      <c r="L3070" s="24">
        <v>438.59</v>
      </c>
      <c r="M3070" s="11"/>
      <c r="N3070" s="22">
        <f t="shared" si="149"/>
        <v>0</v>
      </c>
      <c r="O3070" s="25">
        <f>0.151*M3070</f>
        <v>0</v>
      </c>
      <c r="P3070" s="26">
        <f>0.00025*M3070</f>
        <v>0</v>
      </c>
      <c r="Q3070" s="30"/>
      <c r="R3070" s="22" t="s">
        <v>10642</v>
      </c>
      <c r="S3070" s="22"/>
      <c r="T3070" s="21" t="str">
        <f>HYPERLINK("https://miland.ru/api/getInfo/image/ae24b79b-219e-11f0-a279-00155d82e908")</f>
        <v>https://miland.ru/api/getInfo/image/ae24b79b-219e-11f0-a279-00155d82e908</v>
      </c>
      <c r="U3070" s="21"/>
      <c r="V3070" s="21"/>
      <c r="W3070" s="21" t="s">
        <v>70</v>
      </c>
      <c r="X3070" s="21"/>
      <c r="Y3070" s="21" t="s">
        <v>41</v>
      </c>
      <c r="Z3070" s="21"/>
      <c r="AA3070" s="21" t="str">
        <f>HYPERLINK("https://miland.ru/api/getInfo/item/ae24b79b-219e-11f0-a279-00155d82e908")</f>
        <v>https://miland.ru/api/getInfo/item/ae24b79b-219e-11f0-a279-00155d82e908</v>
      </c>
      <c r="AB3070" s="21" t="s">
        <v>42</v>
      </c>
      <c r="AC3070" s="21"/>
      <c r="AD3070" s="21"/>
    </row>
    <row r="3071" spans="2:31" s="1" customFormat="1" ht="96.3" customHeight="1" outlineLevel="5">
      <c r="B3071" s="58">
        <v>2386</v>
      </c>
      <c r="C3071" s="7" t="s">
        <v>10643</v>
      </c>
      <c r="D3071" s="71" t="s">
        <v>10644</v>
      </c>
      <c r="E3071" s="71"/>
      <c r="F3071" s="71"/>
      <c r="G3071" s="71"/>
      <c r="H3071" s="8" t="s">
        <v>10645</v>
      </c>
      <c r="I3071" s="9" t="s">
        <v>36</v>
      </c>
      <c r="J3071" s="8"/>
      <c r="K3071" s="6">
        <v>1</v>
      </c>
      <c r="L3071" s="10">
        <v>553.71</v>
      </c>
      <c r="M3071" s="11"/>
      <c r="N3071" s="8">
        <f t="shared" si="149"/>
        <v>0</v>
      </c>
      <c r="O3071" s="12">
        <f>0.379*M3071</f>
        <v>0</v>
      </c>
      <c r="P3071" s="13">
        <f>0.00064*M3071</f>
        <v>0</v>
      </c>
      <c r="Q3071" s="17" t="s">
        <v>37</v>
      </c>
      <c r="R3071" s="8" t="s">
        <v>10646</v>
      </c>
      <c r="S3071" s="8"/>
      <c r="T3071" s="7" t="str">
        <f>HYPERLINK("https://miland.ru/api/getInfo/image/79b0d8d4-2dac-11f1-a292-00155d82e908")</f>
        <v>https://miland.ru/api/getInfo/image/79b0d8d4-2dac-11f1-a292-00155d82e908</v>
      </c>
      <c r="U3071" s="7"/>
      <c r="V3071" s="7"/>
      <c r="W3071" s="7" t="s">
        <v>70</v>
      </c>
      <c r="X3071" s="7"/>
      <c r="Y3071" s="7" t="s">
        <v>41</v>
      </c>
      <c r="Z3071" s="7"/>
      <c r="AA3071" s="7" t="str">
        <f>HYPERLINK("https://miland.ru/api/getInfo/item/79b0d8d4-2dac-11f1-a292-00155d82e908")</f>
        <v>https://miland.ru/api/getInfo/item/79b0d8d4-2dac-11f1-a292-00155d82e908</v>
      </c>
      <c r="AB3071" s="7" t="s">
        <v>42</v>
      </c>
      <c r="AC3071" s="7"/>
      <c r="AD3071" s="7"/>
      <c r="AE3071" s="54"/>
    </row>
    <row r="3072" spans="2:31" s="1" customFormat="1" ht="96.3" customHeight="1" outlineLevel="5">
      <c r="B3072" s="58">
        <v>2387</v>
      </c>
      <c r="C3072" s="7" t="s">
        <v>10647</v>
      </c>
      <c r="D3072" s="71" t="s">
        <v>10648</v>
      </c>
      <c r="E3072" s="71"/>
      <c r="F3072" s="71"/>
      <c r="G3072" s="71"/>
      <c r="H3072" s="8" t="s">
        <v>10649</v>
      </c>
      <c r="I3072" s="9" t="s">
        <v>36</v>
      </c>
      <c r="J3072" s="8"/>
      <c r="K3072" s="6">
        <v>1</v>
      </c>
      <c r="L3072" s="10">
        <v>466.29</v>
      </c>
      <c r="M3072" s="11"/>
      <c r="N3072" s="8">
        <f t="shared" si="149"/>
        <v>0</v>
      </c>
      <c r="O3072" s="12">
        <f>0.208*M3072</f>
        <v>0</v>
      </c>
      <c r="P3072" s="13">
        <f>0.00033*M3072</f>
        <v>0</v>
      </c>
      <c r="Q3072" s="17" t="s">
        <v>37</v>
      </c>
      <c r="R3072" s="8" t="s">
        <v>10650</v>
      </c>
      <c r="S3072" s="8"/>
      <c r="T3072" s="7" t="str">
        <f>HYPERLINK("https://miland.ru/api/getInfo/image/2247fec8-2dac-11f1-a292-00155d82e908")</f>
        <v>https://miland.ru/api/getInfo/image/2247fec8-2dac-11f1-a292-00155d82e908</v>
      </c>
      <c r="U3072" s="7"/>
      <c r="V3072" s="7"/>
      <c r="W3072" s="7" t="s">
        <v>70</v>
      </c>
      <c r="X3072" s="7"/>
      <c r="Y3072" s="7" t="s">
        <v>41</v>
      </c>
      <c r="Z3072" s="7"/>
      <c r="AA3072" s="7" t="str">
        <f>HYPERLINK("https://miland.ru/api/getInfo/item/2247fec8-2dac-11f1-a292-00155d82e908")</f>
        <v>https://miland.ru/api/getInfo/item/2247fec8-2dac-11f1-a292-00155d82e908</v>
      </c>
      <c r="AB3072" s="7" t="s">
        <v>42</v>
      </c>
      <c r="AC3072" s="7"/>
      <c r="AD3072" s="7"/>
      <c r="AE3072" s="54"/>
    </row>
    <row r="3073" spans="2:31" s="1" customFormat="1" ht="96.3" customHeight="1" outlineLevel="5">
      <c r="B3073" s="58">
        <v>2388</v>
      </c>
      <c r="C3073" s="7" t="s">
        <v>10651</v>
      </c>
      <c r="D3073" s="71" t="s">
        <v>10652</v>
      </c>
      <c r="E3073" s="71"/>
      <c r="F3073" s="71"/>
      <c r="G3073" s="71"/>
      <c r="H3073" s="8" t="s">
        <v>10653</v>
      </c>
      <c r="I3073" s="9" t="s">
        <v>36</v>
      </c>
      <c r="J3073" s="8"/>
      <c r="K3073" s="6">
        <v>1</v>
      </c>
      <c r="L3073" s="10">
        <v>466.29</v>
      </c>
      <c r="M3073" s="11"/>
      <c r="N3073" s="8">
        <f t="shared" si="149"/>
        <v>0</v>
      </c>
      <c r="O3073" s="12">
        <f>0.209*M3073</f>
        <v>0</v>
      </c>
      <c r="P3073" s="13">
        <f>0.00031*M3073</f>
        <v>0</v>
      </c>
      <c r="Q3073" s="17" t="s">
        <v>37</v>
      </c>
      <c r="R3073" s="8" t="s">
        <v>10654</v>
      </c>
      <c r="S3073" s="8"/>
      <c r="T3073" s="7" t="str">
        <f>HYPERLINK("https://miland.ru/api/getInfo/image/4059a538-2dac-11f1-a292-00155d82e908")</f>
        <v>https://miland.ru/api/getInfo/image/4059a538-2dac-11f1-a292-00155d82e908</v>
      </c>
      <c r="U3073" s="7"/>
      <c r="V3073" s="7"/>
      <c r="W3073" s="7" t="s">
        <v>70</v>
      </c>
      <c r="X3073" s="7"/>
      <c r="Y3073" s="7" t="s">
        <v>41</v>
      </c>
      <c r="Z3073" s="7"/>
      <c r="AA3073" s="7" t="str">
        <f>HYPERLINK("https://miland.ru/api/getInfo/item/4059a538-2dac-11f1-a292-00155d82e908")</f>
        <v>https://miland.ru/api/getInfo/item/4059a538-2dac-11f1-a292-00155d82e908</v>
      </c>
      <c r="AB3073" s="7" t="s">
        <v>42</v>
      </c>
      <c r="AC3073" s="7"/>
      <c r="AD3073" s="7"/>
      <c r="AE3073" s="54"/>
    </row>
    <row r="3074" spans="2:31" s="1" customFormat="1" ht="96.3" customHeight="1" outlineLevel="5">
      <c r="B3074" s="58">
        <v>2389</v>
      </c>
      <c r="C3074" s="7" t="s">
        <v>10655</v>
      </c>
      <c r="D3074" s="71" t="s">
        <v>10656</v>
      </c>
      <c r="E3074" s="71"/>
      <c r="F3074" s="71"/>
      <c r="G3074" s="71"/>
      <c r="H3074" s="8" t="s">
        <v>10657</v>
      </c>
      <c r="I3074" s="9" t="s">
        <v>36</v>
      </c>
      <c r="J3074" s="8"/>
      <c r="K3074" s="6">
        <v>1</v>
      </c>
      <c r="L3074" s="10">
        <v>565.37</v>
      </c>
      <c r="M3074" s="11"/>
      <c r="N3074" s="8">
        <f t="shared" si="149"/>
        <v>0</v>
      </c>
      <c r="O3074" s="12">
        <f>0.363*M3074</f>
        <v>0</v>
      </c>
      <c r="P3074" s="13">
        <f>0.00055*M3074</f>
        <v>0</v>
      </c>
      <c r="Q3074" s="17" t="s">
        <v>37</v>
      </c>
      <c r="R3074" s="8" t="s">
        <v>10658</v>
      </c>
      <c r="S3074" s="8"/>
      <c r="T3074" s="7" t="str">
        <f>HYPERLINK("https://miland.ru/api/getInfo/image/c7a72a70-2dac-11f1-a292-00155d82e908")</f>
        <v>https://miland.ru/api/getInfo/image/c7a72a70-2dac-11f1-a292-00155d82e908</v>
      </c>
      <c r="U3074" s="7"/>
      <c r="V3074" s="7"/>
      <c r="W3074" s="7" t="s">
        <v>70</v>
      </c>
      <c r="X3074" s="7"/>
      <c r="Y3074" s="7" t="s">
        <v>41</v>
      </c>
      <c r="Z3074" s="7"/>
      <c r="AA3074" s="7" t="str">
        <f>HYPERLINK("https://miland.ru/api/getInfo/item/c7a72a70-2dac-11f1-a292-00155d82e908")</f>
        <v>https://miland.ru/api/getInfo/item/c7a72a70-2dac-11f1-a292-00155d82e908</v>
      </c>
      <c r="AB3074" s="7" t="s">
        <v>42</v>
      </c>
      <c r="AC3074" s="7"/>
      <c r="AD3074" s="7"/>
      <c r="AE3074" s="54"/>
    </row>
    <row r="3075" spans="2:31" s="1" customFormat="1" ht="96.3" customHeight="1" outlineLevel="5">
      <c r="B3075" s="57">
        <v>2390</v>
      </c>
      <c r="C3075" s="21" t="s">
        <v>10659</v>
      </c>
      <c r="D3075" s="72" t="s">
        <v>10660</v>
      </c>
      <c r="E3075" s="72"/>
      <c r="F3075" s="72"/>
      <c r="G3075" s="72"/>
      <c r="H3075" s="22" t="s">
        <v>10661</v>
      </c>
      <c r="I3075" s="27">
        <v>441</v>
      </c>
      <c r="J3075" s="22"/>
      <c r="K3075" s="20">
        <v>1</v>
      </c>
      <c r="L3075" s="24">
        <v>475.13</v>
      </c>
      <c r="M3075" s="11"/>
      <c r="N3075" s="22">
        <f t="shared" si="149"/>
        <v>0</v>
      </c>
      <c r="O3075" s="25">
        <f>0.226*M3075</f>
        <v>0</v>
      </c>
      <c r="P3075" s="26">
        <f>0.00036*M3075</f>
        <v>0</v>
      </c>
      <c r="Q3075" s="30"/>
      <c r="R3075" s="22" t="s">
        <v>10662</v>
      </c>
      <c r="S3075" s="22"/>
      <c r="T3075" s="21" t="str">
        <f>HYPERLINK("https://miland.ru/api/getInfo/image/117ae73b-219e-11f0-a279-00155d82e908")</f>
        <v>https://miland.ru/api/getInfo/image/117ae73b-219e-11f0-a279-00155d82e908</v>
      </c>
      <c r="U3075" s="21"/>
      <c r="V3075" s="21"/>
      <c r="W3075" s="21" t="s">
        <v>70</v>
      </c>
      <c r="X3075" s="21"/>
      <c r="Y3075" s="21" t="s">
        <v>41</v>
      </c>
      <c r="Z3075" s="21"/>
      <c r="AA3075" s="21" t="str">
        <f>HYPERLINK("https://miland.ru/api/getInfo/item/117ae73b-219e-11f0-a279-00155d82e908")</f>
        <v>https://miland.ru/api/getInfo/item/117ae73b-219e-11f0-a279-00155d82e908</v>
      </c>
      <c r="AB3075" s="21" t="s">
        <v>42</v>
      </c>
      <c r="AC3075" s="21"/>
      <c r="AD3075" s="21"/>
    </row>
    <row r="3076" spans="2:31" s="1" customFormat="1" ht="96.3" customHeight="1" outlineLevel="5">
      <c r="B3076" s="57">
        <v>2391</v>
      </c>
      <c r="C3076" s="21" t="s">
        <v>10663</v>
      </c>
      <c r="D3076" s="72" t="s">
        <v>10664</v>
      </c>
      <c r="E3076" s="72"/>
      <c r="F3076" s="72"/>
      <c r="G3076" s="72"/>
      <c r="H3076" s="22" t="s">
        <v>10665</v>
      </c>
      <c r="I3076" s="27">
        <v>407</v>
      </c>
      <c r="J3076" s="22"/>
      <c r="K3076" s="20">
        <v>1</v>
      </c>
      <c r="L3076" s="24">
        <v>579.99</v>
      </c>
      <c r="M3076" s="11"/>
      <c r="N3076" s="22">
        <f t="shared" si="149"/>
        <v>0</v>
      </c>
      <c r="O3076" s="25">
        <f>0.379*M3076</f>
        <v>0</v>
      </c>
      <c r="P3076" s="26">
        <f>0.00055*M3076</f>
        <v>0</v>
      </c>
      <c r="Q3076" s="30"/>
      <c r="R3076" s="22" t="s">
        <v>10666</v>
      </c>
      <c r="S3076" s="22"/>
      <c r="T3076" s="21" t="str">
        <f>HYPERLINK("https://miland.ru/api/getInfo/image/4011a8fe-219b-11f0-a279-00155d82e908")</f>
        <v>https://miland.ru/api/getInfo/image/4011a8fe-219b-11f0-a279-00155d82e908</v>
      </c>
      <c r="U3076" s="21"/>
      <c r="V3076" s="21"/>
      <c r="W3076" s="21" t="s">
        <v>70</v>
      </c>
      <c r="X3076" s="21"/>
      <c r="Y3076" s="21" t="s">
        <v>41</v>
      </c>
      <c r="Z3076" s="21"/>
      <c r="AA3076" s="21" t="str">
        <f>HYPERLINK("https://miland.ru/api/getInfo/item/4011a8fe-219b-11f0-a279-00155d82e908")</f>
        <v>https://miland.ru/api/getInfo/item/4011a8fe-219b-11f0-a279-00155d82e908</v>
      </c>
      <c r="AB3076" s="21" t="s">
        <v>42</v>
      </c>
      <c r="AC3076" s="21"/>
      <c r="AD3076" s="21"/>
    </row>
    <row r="3077" spans="2:31" s="1" customFormat="1" ht="96.3" customHeight="1" outlineLevel="5">
      <c r="B3077" s="58">
        <v>2392</v>
      </c>
      <c r="C3077" s="7" t="s">
        <v>10667</v>
      </c>
      <c r="D3077" s="71" t="s">
        <v>10668</v>
      </c>
      <c r="E3077" s="71"/>
      <c r="F3077" s="71"/>
      <c r="G3077" s="71"/>
      <c r="H3077" s="8" t="s">
        <v>10669</v>
      </c>
      <c r="I3077" s="9" t="s">
        <v>36</v>
      </c>
      <c r="J3077" s="8"/>
      <c r="K3077" s="6">
        <v>1</v>
      </c>
      <c r="L3077" s="10">
        <v>641.14</v>
      </c>
      <c r="M3077" s="11"/>
      <c r="N3077" s="8">
        <f t="shared" si="149"/>
        <v>0</v>
      </c>
      <c r="O3077" s="12">
        <f>0.372*M3077</f>
        <v>0</v>
      </c>
      <c r="P3077" s="16">
        <f>0.0006*M3077</f>
        <v>0</v>
      </c>
      <c r="Q3077" s="17" t="s">
        <v>37</v>
      </c>
      <c r="R3077" s="8" t="s">
        <v>10670</v>
      </c>
      <c r="S3077" s="8"/>
      <c r="T3077" s="7" t="str">
        <f>HYPERLINK("https://miland.ru/api/getInfo/image/e4818903-2dac-11f1-a292-00155d82e908")</f>
        <v>https://miland.ru/api/getInfo/image/e4818903-2dac-11f1-a292-00155d82e908</v>
      </c>
      <c r="U3077" s="7"/>
      <c r="V3077" s="7"/>
      <c r="W3077" s="7" t="s">
        <v>70</v>
      </c>
      <c r="X3077" s="7"/>
      <c r="Y3077" s="7" t="s">
        <v>41</v>
      </c>
      <c r="Z3077" s="7"/>
      <c r="AA3077" s="7" t="str">
        <f>HYPERLINK("https://miland.ru/api/getInfo/item/e4818903-2dac-11f1-a292-00155d82e908")</f>
        <v>https://miland.ru/api/getInfo/item/e4818903-2dac-11f1-a292-00155d82e908</v>
      </c>
      <c r="AB3077" s="7" t="s">
        <v>42</v>
      </c>
      <c r="AC3077" s="7"/>
      <c r="AD3077" s="7"/>
      <c r="AE3077" s="54"/>
    </row>
    <row r="3078" spans="2:31" s="1" customFormat="1" ht="96.3" customHeight="1" outlineLevel="5">
      <c r="B3078" s="58">
        <v>2393</v>
      </c>
      <c r="C3078" s="7" t="s">
        <v>10671</v>
      </c>
      <c r="D3078" s="71" t="s">
        <v>10672</v>
      </c>
      <c r="E3078" s="71"/>
      <c r="F3078" s="71"/>
      <c r="G3078" s="71"/>
      <c r="H3078" s="8" t="s">
        <v>10673</v>
      </c>
      <c r="I3078" s="9" t="s">
        <v>36</v>
      </c>
      <c r="J3078" s="8"/>
      <c r="K3078" s="6">
        <v>1</v>
      </c>
      <c r="L3078" s="10">
        <v>454.63</v>
      </c>
      <c r="M3078" s="11"/>
      <c r="N3078" s="8">
        <f t="shared" si="149"/>
        <v>0</v>
      </c>
      <c r="O3078" s="12">
        <f>0.217*M3078</f>
        <v>0</v>
      </c>
      <c r="P3078" s="13">
        <f>0.00033*M3078</f>
        <v>0</v>
      </c>
      <c r="Q3078" s="17" t="s">
        <v>37</v>
      </c>
      <c r="R3078" s="8" t="s">
        <v>10674</v>
      </c>
      <c r="S3078" s="8"/>
      <c r="T3078" s="7" t="str">
        <f>HYPERLINK("https://miland.ru/api/getInfo/image/11b913e2-2dab-11f1-a292-00155d82e908")</f>
        <v>https://miland.ru/api/getInfo/image/11b913e2-2dab-11f1-a292-00155d82e908</v>
      </c>
      <c r="U3078" s="7"/>
      <c r="V3078" s="7"/>
      <c r="W3078" s="7" t="s">
        <v>70</v>
      </c>
      <c r="X3078" s="7"/>
      <c r="Y3078" s="7" t="s">
        <v>41</v>
      </c>
      <c r="Z3078" s="7"/>
      <c r="AA3078" s="7" t="str">
        <f>HYPERLINK("https://miland.ru/api/getInfo/item/11b913e2-2dab-11f1-a292-00155d82e908")</f>
        <v>https://miland.ru/api/getInfo/item/11b913e2-2dab-11f1-a292-00155d82e908</v>
      </c>
      <c r="AB3078" s="7" t="s">
        <v>42</v>
      </c>
      <c r="AC3078" s="7"/>
      <c r="AD3078" s="7"/>
      <c r="AE3078" s="54"/>
    </row>
    <row r="3079" spans="2:31" s="1" customFormat="1" ht="96.3" customHeight="1" outlineLevel="5">
      <c r="B3079" s="57">
        <v>2394</v>
      </c>
      <c r="C3079" s="21" t="s">
        <v>10675</v>
      </c>
      <c r="D3079" s="72" t="s">
        <v>10676</v>
      </c>
      <c r="E3079" s="72"/>
      <c r="F3079" s="72"/>
      <c r="G3079" s="72"/>
      <c r="H3079" s="22" t="s">
        <v>10677</v>
      </c>
      <c r="I3079" s="23" t="s">
        <v>36</v>
      </c>
      <c r="J3079" s="22"/>
      <c r="K3079" s="20">
        <v>1</v>
      </c>
      <c r="L3079" s="24">
        <v>579.99</v>
      </c>
      <c r="M3079" s="11"/>
      <c r="N3079" s="22">
        <f t="shared" si="149"/>
        <v>0</v>
      </c>
      <c r="O3079" s="25">
        <f>0.376*M3079</f>
        <v>0</v>
      </c>
      <c r="P3079" s="26">
        <f>0.00058*M3079</f>
        <v>0</v>
      </c>
      <c r="Q3079" s="30"/>
      <c r="R3079" s="22" t="s">
        <v>10678</v>
      </c>
      <c r="S3079" s="22"/>
      <c r="T3079" s="21" t="str">
        <f>HYPERLINK("https://miland.ru/api/getInfo/image/60ef96f3-084c-11ef-a25d-00155d82e908")</f>
        <v>https://miland.ru/api/getInfo/image/60ef96f3-084c-11ef-a25d-00155d82e908</v>
      </c>
      <c r="U3079" s="21"/>
      <c r="V3079" s="21"/>
      <c r="W3079" s="21" t="s">
        <v>70</v>
      </c>
      <c r="X3079" s="21"/>
      <c r="Y3079" s="21" t="s">
        <v>41</v>
      </c>
      <c r="Z3079" s="21"/>
      <c r="AA3079" s="21" t="str">
        <f>HYPERLINK("https://miland.ru/api/getInfo/item/60ef96f3-084c-11ef-a25d-00155d82e908")</f>
        <v>https://miland.ru/api/getInfo/item/60ef96f3-084c-11ef-a25d-00155d82e908</v>
      </c>
      <c r="AB3079" s="21" t="s">
        <v>42</v>
      </c>
      <c r="AC3079" s="21" t="s">
        <v>10634</v>
      </c>
      <c r="AD3079" s="21"/>
    </row>
    <row r="3080" spans="2:31" s="1" customFormat="1" ht="96.3" customHeight="1" outlineLevel="5">
      <c r="B3080" s="58">
        <v>2395</v>
      </c>
      <c r="C3080" s="7" t="s">
        <v>10679</v>
      </c>
      <c r="D3080" s="71" t="s">
        <v>10680</v>
      </c>
      <c r="E3080" s="71"/>
      <c r="F3080" s="71"/>
      <c r="G3080" s="71"/>
      <c r="H3080" s="8" t="s">
        <v>10681</v>
      </c>
      <c r="I3080" s="9" t="s">
        <v>36</v>
      </c>
      <c r="J3080" s="8"/>
      <c r="K3080" s="6">
        <v>1</v>
      </c>
      <c r="L3080" s="10">
        <v>454.63</v>
      </c>
      <c r="M3080" s="11"/>
      <c r="N3080" s="8">
        <f t="shared" si="149"/>
        <v>0</v>
      </c>
      <c r="O3080" s="12">
        <f>0.216*M3080</f>
        <v>0</v>
      </c>
      <c r="P3080" s="13">
        <f>0.00033*M3080</f>
        <v>0</v>
      </c>
      <c r="Q3080" s="17" t="s">
        <v>37</v>
      </c>
      <c r="R3080" s="8" t="s">
        <v>10682</v>
      </c>
      <c r="S3080" s="8"/>
      <c r="T3080" s="7" t="str">
        <f>HYPERLINK("https://miland.ru/api/getInfo/image/9485effa-2dab-11f1-a292-00155d82e908")</f>
        <v>https://miland.ru/api/getInfo/image/9485effa-2dab-11f1-a292-00155d82e908</v>
      </c>
      <c r="U3080" s="7"/>
      <c r="V3080" s="7"/>
      <c r="W3080" s="7" t="s">
        <v>70</v>
      </c>
      <c r="X3080" s="7"/>
      <c r="Y3080" s="7" t="s">
        <v>41</v>
      </c>
      <c r="Z3080" s="7"/>
      <c r="AA3080" s="7" t="str">
        <f>HYPERLINK("https://miland.ru/api/getInfo/item/9485effa-2dab-11f1-a292-00155d82e908")</f>
        <v>https://miland.ru/api/getInfo/item/9485effa-2dab-11f1-a292-00155d82e908</v>
      </c>
      <c r="AB3080" s="7" t="s">
        <v>42</v>
      </c>
      <c r="AC3080" s="7"/>
      <c r="AD3080" s="7"/>
      <c r="AE3080" s="54"/>
    </row>
    <row r="3081" spans="2:31" s="1" customFormat="1" ht="96.3" customHeight="1" outlineLevel="5">
      <c r="B3081" s="58">
        <v>2396</v>
      </c>
      <c r="C3081" s="7" t="s">
        <v>10683</v>
      </c>
      <c r="D3081" s="71" t="s">
        <v>10684</v>
      </c>
      <c r="E3081" s="71"/>
      <c r="F3081" s="71"/>
      <c r="G3081" s="71"/>
      <c r="H3081" s="8" t="s">
        <v>10685</v>
      </c>
      <c r="I3081" s="9" t="s">
        <v>36</v>
      </c>
      <c r="J3081" s="8"/>
      <c r="K3081" s="6">
        <v>1</v>
      </c>
      <c r="L3081" s="10">
        <v>466.29</v>
      </c>
      <c r="M3081" s="11"/>
      <c r="N3081" s="8">
        <f t="shared" si="149"/>
        <v>0</v>
      </c>
      <c r="O3081" s="18">
        <f>0.21*M3081</f>
        <v>0</v>
      </c>
      <c r="P3081" s="13">
        <f>0.00032*M3081</f>
        <v>0</v>
      </c>
      <c r="Q3081" s="17" t="s">
        <v>37</v>
      </c>
      <c r="R3081" s="8" t="s">
        <v>10686</v>
      </c>
      <c r="S3081" s="8"/>
      <c r="T3081" s="7" t="str">
        <f>HYPERLINK("https://miland.ru/api/getInfo/image/5c759579-2dac-11f1-a292-00155d82e908")</f>
        <v>https://miland.ru/api/getInfo/image/5c759579-2dac-11f1-a292-00155d82e908</v>
      </c>
      <c r="U3081" s="7"/>
      <c r="V3081" s="7"/>
      <c r="W3081" s="7" t="s">
        <v>70</v>
      </c>
      <c r="X3081" s="7"/>
      <c r="Y3081" s="7" t="s">
        <v>41</v>
      </c>
      <c r="Z3081" s="7"/>
      <c r="AA3081" s="7" t="str">
        <f>HYPERLINK("https://miland.ru/api/getInfo/item/5c759579-2dac-11f1-a292-00155d82e908")</f>
        <v>https://miland.ru/api/getInfo/item/5c759579-2dac-11f1-a292-00155d82e908</v>
      </c>
      <c r="AB3081" s="7" t="s">
        <v>42</v>
      </c>
      <c r="AC3081" s="7"/>
      <c r="AD3081" s="7"/>
      <c r="AE3081" s="54"/>
    </row>
    <row r="3082" spans="2:31" s="1" customFormat="1" ht="96.3" customHeight="1" outlineLevel="5">
      <c r="B3082" s="58">
        <v>2397</v>
      </c>
      <c r="C3082" s="7" t="s">
        <v>10687</v>
      </c>
      <c r="D3082" s="71" t="s">
        <v>10688</v>
      </c>
      <c r="E3082" s="71"/>
      <c r="F3082" s="71"/>
      <c r="G3082" s="71"/>
      <c r="H3082" s="8" t="s">
        <v>10689</v>
      </c>
      <c r="I3082" s="9" t="s">
        <v>36</v>
      </c>
      <c r="J3082" s="8"/>
      <c r="K3082" s="6">
        <v>1</v>
      </c>
      <c r="L3082" s="10">
        <v>466.29</v>
      </c>
      <c r="M3082" s="11"/>
      <c r="N3082" s="8">
        <f t="shared" si="149"/>
        <v>0</v>
      </c>
      <c r="O3082" s="12">
        <f>0.212*M3082</f>
        <v>0</v>
      </c>
      <c r="P3082" s="13">
        <f>0.00033*M3082</f>
        <v>0</v>
      </c>
      <c r="Q3082" s="17" t="s">
        <v>37</v>
      </c>
      <c r="R3082" s="8" t="s">
        <v>10690</v>
      </c>
      <c r="S3082" s="8"/>
      <c r="T3082" s="7" t="str">
        <f>HYPERLINK("https://miland.ru/api/getInfo/image/e85f8722-2dab-11f1-a292-00155d82e908")</f>
        <v>https://miland.ru/api/getInfo/image/e85f8722-2dab-11f1-a292-00155d82e908</v>
      </c>
      <c r="U3082" s="7"/>
      <c r="V3082" s="7"/>
      <c r="W3082" s="7" t="s">
        <v>70</v>
      </c>
      <c r="X3082" s="7"/>
      <c r="Y3082" s="7" t="s">
        <v>41</v>
      </c>
      <c r="Z3082" s="7"/>
      <c r="AA3082" s="7" t="str">
        <f>HYPERLINK("https://miland.ru/api/getInfo/item/e85f8722-2dab-11f1-a292-00155d82e908")</f>
        <v>https://miland.ru/api/getInfo/item/e85f8722-2dab-11f1-a292-00155d82e908</v>
      </c>
      <c r="AB3082" s="7" t="s">
        <v>42</v>
      </c>
      <c r="AC3082" s="7"/>
      <c r="AD3082" s="7"/>
      <c r="AE3082" s="54"/>
    </row>
    <row r="3083" spans="2:31" s="1" customFormat="1" ht="96.3" customHeight="1" outlineLevel="5">
      <c r="B3083" s="58">
        <v>2398</v>
      </c>
      <c r="C3083" s="7" t="s">
        <v>10691</v>
      </c>
      <c r="D3083" s="71" t="s">
        <v>10692</v>
      </c>
      <c r="E3083" s="71"/>
      <c r="F3083" s="71"/>
      <c r="G3083" s="71"/>
      <c r="H3083" s="8" t="s">
        <v>10693</v>
      </c>
      <c r="I3083" s="9" t="s">
        <v>36</v>
      </c>
      <c r="J3083" s="8"/>
      <c r="K3083" s="6">
        <v>1</v>
      </c>
      <c r="L3083" s="10">
        <v>466.29</v>
      </c>
      <c r="M3083" s="11"/>
      <c r="N3083" s="8">
        <f t="shared" si="149"/>
        <v>0</v>
      </c>
      <c r="O3083" s="12">
        <f>0.211*M3083</f>
        <v>0</v>
      </c>
      <c r="P3083" s="13">
        <f>0.00038*M3083</f>
        <v>0</v>
      </c>
      <c r="Q3083" s="17" t="s">
        <v>37</v>
      </c>
      <c r="R3083" s="8" t="s">
        <v>10694</v>
      </c>
      <c r="S3083" s="8"/>
      <c r="T3083" s="7" t="str">
        <f>HYPERLINK("https://miland.ru/api/getInfo/image/020e9550-2dac-11f1-a292-00155d82e908")</f>
        <v>https://miland.ru/api/getInfo/image/020e9550-2dac-11f1-a292-00155d82e908</v>
      </c>
      <c r="U3083" s="7"/>
      <c r="V3083" s="7"/>
      <c r="W3083" s="7" t="s">
        <v>70</v>
      </c>
      <c r="X3083" s="7"/>
      <c r="Y3083" s="7" t="s">
        <v>41</v>
      </c>
      <c r="Z3083" s="7"/>
      <c r="AA3083" s="7" t="str">
        <f>HYPERLINK("https://miland.ru/api/getInfo/item/020e9550-2dac-11f1-a292-00155d82e908")</f>
        <v>https://miland.ru/api/getInfo/item/020e9550-2dac-11f1-a292-00155d82e908</v>
      </c>
      <c r="AB3083" s="7" t="s">
        <v>42</v>
      </c>
      <c r="AC3083" s="7"/>
      <c r="AD3083" s="7"/>
      <c r="AE3083" s="54"/>
    </row>
    <row r="3084" spans="2:31" s="1" customFormat="1" ht="96.3" customHeight="1" outlineLevel="5">
      <c r="B3084" s="57">
        <v>2399</v>
      </c>
      <c r="C3084" s="21" t="s">
        <v>10695</v>
      </c>
      <c r="D3084" s="72" t="s">
        <v>10696</v>
      </c>
      <c r="E3084" s="72"/>
      <c r="F3084" s="72"/>
      <c r="G3084" s="72"/>
      <c r="H3084" s="22" t="s">
        <v>10697</v>
      </c>
      <c r="I3084" s="27">
        <v>428</v>
      </c>
      <c r="J3084" s="22"/>
      <c r="K3084" s="20">
        <v>1</v>
      </c>
      <c r="L3084" s="24">
        <v>475.13</v>
      </c>
      <c r="M3084" s="11"/>
      <c r="N3084" s="22">
        <f t="shared" si="149"/>
        <v>0</v>
      </c>
      <c r="O3084" s="25">
        <f>0.152*M3084</f>
        <v>0</v>
      </c>
      <c r="P3084" s="26">
        <f>0.00045*M3084</f>
        <v>0</v>
      </c>
      <c r="Q3084" s="30"/>
      <c r="R3084" s="22" t="s">
        <v>10698</v>
      </c>
      <c r="S3084" s="22"/>
      <c r="T3084" s="21" t="str">
        <f>HYPERLINK("https://miland.ru/api/getInfo/image/9624a05b-21a1-11f0-a279-00155d82e908")</f>
        <v>https://miland.ru/api/getInfo/image/9624a05b-21a1-11f0-a279-00155d82e908</v>
      </c>
      <c r="U3084" s="21"/>
      <c r="V3084" s="21"/>
      <c r="W3084" s="21" t="s">
        <v>70</v>
      </c>
      <c r="X3084" s="21"/>
      <c r="Y3084" s="21" t="s">
        <v>41</v>
      </c>
      <c r="Z3084" s="21"/>
      <c r="AA3084" s="21" t="str">
        <f>HYPERLINK("https://miland.ru/api/getInfo/item/9624a05b-21a1-11f0-a279-00155d82e908")</f>
        <v>https://miland.ru/api/getInfo/item/9624a05b-21a1-11f0-a279-00155d82e908</v>
      </c>
      <c r="AB3084" s="21" t="s">
        <v>42</v>
      </c>
      <c r="AC3084" s="21"/>
      <c r="AD3084" s="21"/>
    </row>
    <row r="3085" spans="2:31" s="1" customFormat="1" ht="96.3" customHeight="1" outlineLevel="5">
      <c r="B3085" s="57">
        <v>2400</v>
      </c>
      <c r="C3085" s="21" t="s">
        <v>10699</v>
      </c>
      <c r="D3085" s="72" t="s">
        <v>10700</v>
      </c>
      <c r="E3085" s="72"/>
      <c r="F3085" s="72"/>
      <c r="G3085" s="72"/>
      <c r="H3085" s="22" t="s">
        <v>10701</v>
      </c>
      <c r="I3085" s="27">
        <v>357</v>
      </c>
      <c r="J3085" s="22"/>
      <c r="K3085" s="20">
        <v>1</v>
      </c>
      <c r="L3085" s="24">
        <v>475.13</v>
      </c>
      <c r="M3085" s="11"/>
      <c r="N3085" s="22">
        <f t="shared" si="149"/>
        <v>0</v>
      </c>
      <c r="O3085" s="25">
        <f>0.181*M3085</f>
        <v>0</v>
      </c>
      <c r="P3085" s="26">
        <f>0.00031*M3085</f>
        <v>0</v>
      </c>
      <c r="Q3085" s="30"/>
      <c r="R3085" s="22" t="s">
        <v>10702</v>
      </c>
      <c r="S3085" s="22"/>
      <c r="T3085" s="21" t="str">
        <f>HYPERLINK("https://miland.ru/api/getInfo/image/706c047e-219f-11f0-a279-00155d82e908")</f>
        <v>https://miland.ru/api/getInfo/image/706c047e-219f-11f0-a279-00155d82e908</v>
      </c>
      <c r="U3085" s="21"/>
      <c r="V3085" s="21"/>
      <c r="W3085" s="21" t="s">
        <v>70</v>
      </c>
      <c r="X3085" s="21"/>
      <c r="Y3085" s="21" t="s">
        <v>41</v>
      </c>
      <c r="Z3085" s="21"/>
      <c r="AA3085" s="21" t="str">
        <f>HYPERLINK("https://miland.ru/api/getInfo/item/706c047e-219f-11f0-a279-00155d82e908")</f>
        <v>https://miland.ru/api/getInfo/item/706c047e-219f-11f0-a279-00155d82e908</v>
      </c>
      <c r="AB3085" s="21" t="s">
        <v>42</v>
      </c>
      <c r="AC3085" s="21"/>
      <c r="AD3085" s="21"/>
    </row>
    <row r="3086" spans="2:31" s="1" customFormat="1" ht="96.3" customHeight="1" outlineLevel="5">
      <c r="B3086" s="57">
        <v>2401</v>
      </c>
      <c r="C3086" s="21" t="s">
        <v>10703</v>
      </c>
      <c r="D3086" s="72" t="s">
        <v>10704</v>
      </c>
      <c r="E3086" s="72"/>
      <c r="F3086" s="72"/>
      <c r="G3086" s="72"/>
      <c r="H3086" s="22" t="s">
        <v>10705</v>
      </c>
      <c r="I3086" s="27">
        <v>298</v>
      </c>
      <c r="J3086" s="22"/>
      <c r="K3086" s="20">
        <v>1</v>
      </c>
      <c r="L3086" s="24">
        <v>475.13</v>
      </c>
      <c r="M3086" s="11"/>
      <c r="N3086" s="22">
        <f t="shared" si="149"/>
        <v>0</v>
      </c>
      <c r="O3086" s="25">
        <f>0.195*M3086</f>
        <v>0</v>
      </c>
      <c r="P3086" s="29">
        <f>0.0007*M3086</f>
        <v>0</v>
      </c>
      <c r="Q3086" s="30"/>
      <c r="R3086" s="22" t="s">
        <v>10706</v>
      </c>
      <c r="S3086" s="22"/>
      <c r="T3086" s="21" t="str">
        <f>HYPERLINK("https://miland.ru/api/getInfo/image/3fa6e506-21a0-11f0-a279-00155d82e908")</f>
        <v>https://miland.ru/api/getInfo/image/3fa6e506-21a0-11f0-a279-00155d82e908</v>
      </c>
      <c r="U3086" s="21"/>
      <c r="V3086" s="21"/>
      <c r="W3086" s="21" t="s">
        <v>70</v>
      </c>
      <c r="X3086" s="21"/>
      <c r="Y3086" s="21" t="s">
        <v>41</v>
      </c>
      <c r="Z3086" s="21"/>
      <c r="AA3086" s="21" t="str">
        <f>HYPERLINK("https://miland.ru/api/getInfo/item/3fa6e506-21a0-11f0-a279-00155d82e908")</f>
        <v>https://miland.ru/api/getInfo/item/3fa6e506-21a0-11f0-a279-00155d82e908</v>
      </c>
      <c r="AB3086" s="21" t="s">
        <v>42</v>
      </c>
      <c r="AC3086" s="21"/>
      <c r="AD3086" s="21"/>
    </row>
    <row r="3087" spans="2:31" s="1" customFormat="1" ht="96.3" customHeight="1" outlineLevel="5">
      <c r="B3087" s="57">
        <v>2402</v>
      </c>
      <c r="C3087" s="21" t="s">
        <v>10707</v>
      </c>
      <c r="D3087" s="72" t="s">
        <v>10708</v>
      </c>
      <c r="E3087" s="72"/>
      <c r="F3087" s="72"/>
      <c r="G3087" s="72"/>
      <c r="H3087" s="22" t="s">
        <v>10709</v>
      </c>
      <c r="I3087" s="27">
        <v>382</v>
      </c>
      <c r="J3087" s="22"/>
      <c r="K3087" s="20">
        <v>1</v>
      </c>
      <c r="L3087" s="24">
        <v>475.13</v>
      </c>
      <c r="M3087" s="11"/>
      <c r="N3087" s="22">
        <f t="shared" si="149"/>
        <v>0</v>
      </c>
      <c r="O3087" s="25">
        <f>0.192*M3087</f>
        <v>0</v>
      </c>
      <c r="P3087" s="26">
        <f>0.00039*M3087</f>
        <v>0</v>
      </c>
      <c r="Q3087" s="30"/>
      <c r="R3087" s="22" t="s">
        <v>10710</v>
      </c>
      <c r="S3087" s="22"/>
      <c r="T3087" s="21" t="str">
        <f>HYPERLINK("https://miland.ru/api/getInfo/image/4e9bfafe-21a1-11f0-a279-00155d82e908")</f>
        <v>https://miland.ru/api/getInfo/image/4e9bfafe-21a1-11f0-a279-00155d82e908</v>
      </c>
      <c r="U3087" s="21"/>
      <c r="V3087" s="21"/>
      <c r="W3087" s="21" t="s">
        <v>70</v>
      </c>
      <c r="X3087" s="21"/>
      <c r="Y3087" s="21" t="s">
        <v>41</v>
      </c>
      <c r="Z3087" s="21"/>
      <c r="AA3087" s="21" t="str">
        <f>HYPERLINK("https://miland.ru/api/getInfo/item/4e9bfafe-21a1-11f0-a279-00155d82e908")</f>
        <v>https://miland.ru/api/getInfo/item/4e9bfafe-21a1-11f0-a279-00155d82e908</v>
      </c>
      <c r="AB3087" s="21" t="s">
        <v>42</v>
      </c>
      <c r="AC3087" s="21"/>
      <c r="AD3087" s="21"/>
    </row>
    <row r="3088" spans="2:31" s="1" customFormat="1" ht="96.3" customHeight="1" outlineLevel="5">
      <c r="B3088" s="58">
        <v>2403</v>
      </c>
      <c r="C3088" s="7" t="s">
        <v>10711</v>
      </c>
      <c r="D3088" s="71" t="s">
        <v>10712</v>
      </c>
      <c r="E3088" s="71"/>
      <c r="F3088" s="71"/>
      <c r="G3088" s="71"/>
      <c r="H3088" s="8" t="s">
        <v>10713</v>
      </c>
      <c r="I3088" s="9" t="s">
        <v>36</v>
      </c>
      <c r="J3088" s="8"/>
      <c r="K3088" s="6">
        <v>1</v>
      </c>
      <c r="L3088" s="10">
        <v>475.13</v>
      </c>
      <c r="M3088" s="11"/>
      <c r="N3088" s="8">
        <f t="shared" si="149"/>
        <v>0</v>
      </c>
      <c r="O3088" s="12">
        <f>0.183*M3088</f>
        <v>0</v>
      </c>
      <c r="P3088" s="13">
        <f>0.00027*M3088</f>
        <v>0</v>
      </c>
      <c r="Q3088" s="17" t="s">
        <v>37</v>
      </c>
      <c r="R3088" s="8" t="s">
        <v>10714</v>
      </c>
      <c r="S3088" s="8"/>
      <c r="T3088" s="7" t="str">
        <f>HYPERLINK("https://miland.ru/api/getInfo/image/886e2bdd-2dad-11f1-a292-00155d82e908")</f>
        <v>https://miland.ru/api/getInfo/image/886e2bdd-2dad-11f1-a292-00155d82e908</v>
      </c>
      <c r="U3088" s="7"/>
      <c r="V3088" s="7"/>
      <c r="W3088" s="7" t="s">
        <v>70</v>
      </c>
      <c r="X3088" s="7"/>
      <c r="Y3088" s="7" t="s">
        <v>41</v>
      </c>
      <c r="Z3088" s="7"/>
      <c r="AA3088" s="7" t="str">
        <f>HYPERLINK("https://miland.ru/api/getInfo/item/886e2bdd-2dad-11f1-a292-00155d82e908")</f>
        <v>https://miland.ru/api/getInfo/item/886e2bdd-2dad-11f1-a292-00155d82e908</v>
      </c>
      <c r="AB3088" s="7" t="s">
        <v>42</v>
      </c>
      <c r="AC3088" s="7"/>
      <c r="AD3088" s="7"/>
      <c r="AE3088" s="54"/>
    </row>
    <row r="3089" spans="2:31" s="1" customFormat="1" ht="96.3" customHeight="1" outlineLevel="5">
      <c r="B3089" s="58">
        <v>2404</v>
      </c>
      <c r="C3089" s="7" t="s">
        <v>10715</v>
      </c>
      <c r="D3089" s="71" t="s">
        <v>10716</v>
      </c>
      <c r="E3089" s="71"/>
      <c r="F3089" s="71"/>
      <c r="G3089" s="71"/>
      <c r="H3089" s="8" t="s">
        <v>10717</v>
      </c>
      <c r="I3089" s="9" t="s">
        <v>36</v>
      </c>
      <c r="J3089" s="8"/>
      <c r="K3089" s="6">
        <v>1</v>
      </c>
      <c r="L3089" s="10">
        <v>475.13</v>
      </c>
      <c r="M3089" s="11"/>
      <c r="N3089" s="8">
        <f t="shared" si="149"/>
        <v>0</v>
      </c>
      <c r="O3089" s="12">
        <f>0.188*M3089</f>
        <v>0</v>
      </c>
      <c r="P3089" s="13">
        <f>0.00033*M3089</f>
        <v>0</v>
      </c>
      <c r="Q3089" s="17" t="s">
        <v>37</v>
      </c>
      <c r="R3089" s="8" t="s">
        <v>10718</v>
      </c>
      <c r="S3089" s="8"/>
      <c r="T3089" s="7" t="str">
        <f>HYPERLINK("https://miland.ru/api/getInfo/image/004c24d5-2dad-11f1-a292-00155d82e908")</f>
        <v>https://miland.ru/api/getInfo/image/004c24d5-2dad-11f1-a292-00155d82e908</v>
      </c>
      <c r="U3089" s="7"/>
      <c r="V3089" s="7"/>
      <c r="W3089" s="7" t="s">
        <v>70</v>
      </c>
      <c r="X3089" s="7"/>
      <c r="Y3089" s="7" t="s">
        <v>41</v>
      </c>
      <c r="Z3089" s="7"/>
      <c r="AA3089" s="7" t="str">
        <f>HYPERLINK("https://miland.ru/api/getInfo/item/004c24d5-2dad-11f1-a292-00155d82e908")</f>
        <v>https://miland.ru/api/getInfo/item/004c24d5-2dad-11f1-a292-00155d82e908</v>
      </c>
      <c r="AB3089" s="7" t="s">
        <v>42</v>
      </c>
      <c r="AC3089" s="7"/>
      <c r="AD3089" s="7"/>
      <c r="AE3089" s="54"/>
    </row>
    <row r="3090" spans="2:31" s="1" customFormat="1" ht="96.3" customHeight="1" outlineLevel="5">
      <c r="B3090" s="57">
        <v>2405</v>
      </c>
      <c r="C3090" s="21" t="s">
        <v>10719</v>
      </c>
      <c r="D3090" s="72" t="s">
        <v>10720</v>
      </c>
      <c r="E3090" s="72"/>
      <c r="F3090" s="72"/>
      <c r="G3090" s="72"/>
      <c r="H3090" s="22" t="s">
        <v>10721</v>
      </c>
      <c r="I3090" s="27">
        <v>330</v>
      </c>
      <c r="J3090" s="22"/>
      <c r="K3090" s="20">
        <v>1</v>
      </c>
      <c r="L3090" s="24">
        <v>475.13</v>
      </c>
      <c r="M3090" s="11"/>
      <c r="N3090" s="22">
        <f t="shared" si="149"/>
        <v>0</v>
      </c>
      <c r="O3090" s="25">
        <f>0.186*M3090</f>
        <v>0</v>
      </c>
      <c r="P3090" s="26">
        <f>0.00031*M3090</f>
        <v>0</v>
      </c>
      <c r="Q3090" s="30"/>
      <c r="R3090" s="22" t="s">
        <v>10722</v>
      </c>
      <c r="S3090" s="22"/>
      <c r="T3090" s="21" t="str">
        <f>HYPERLINK("https://miland.ru/api/getInfo/image/ed13d025-219e-11f0-a279-00155d82e908")</f>
        <v>https://miland.ru/api/getInfo/image/ed13d025-219e-11f0-a279-00155d82e908</v>
      </c>
      <c r="U3090" s="21"/>
      <c r="V3090" s="21"/>
      <c r="W3090" s="21" t="s">
        <v>70</v>
      </c>
      <c r="X3090" s="21"/>
      <c r="Y3090" s="21" t="s">
        <v>41</v>
      </c>
      <c r="Z3090" s="21"/>
      <c r="AA3090" s="21" t="str">
        <f>HYPERLINK("https://miland.ru/api/getInfo/item/ed13d025-219e-11f0-a279-00155d82e908")</f>
        <v>https://miland.ru/api/getInfo/item/ed13d025-219e-11f0-a279-00155d82e908</v>
      </c>
      <c r="AB3090" s="21" t="s">
        <v>42</v>
      </c>
      <c r="AC3090" s="21"/>
      <c r="AD3090" s="21"/>
    </row>
    <row r="3091" spans="2:31" ht="12" customHeight="1" outlineLevel="4">
      <c r="B3091" s="70" t="s">
        <v>10723</v>
      </c>
      <c r="C3091" s="70"/>
      <c r="D3091" s="70"/>
      <c r="E3091" s="70"/>
      <c r="F3091" s="70"/>
      <c r="G3091" s="70"/>
    </row>
    <row r="3092" spans="2:31" s="1" customFormat="1" ht="96.3" customHeight="1" outlineLevel="5">
      <c r="B3092" s="57">
        <v>2406</v>
      </c>
      <c r="C3092" s="21" t="s">
        <v>10724</v>
      </c>
      <c r="D3092" s="72" t="s">
        <v>10725</v>
      </c>
      <c r="E3092" s="72"/>
      <c r="F3092" s="72"/>
      <c r="G3092" s="72"/>
      <c r="H3092" s="22" t="s">
        <v>10726</v>
      </c>
      <c r="I3092" s="27">
        <v>35</v>
      </c>
      <c r="J3092" s="22"/>
      <c r="K3092" s="20">
        <v>1</v>
      </c>
      <c r="L3092" s="32">
        <v>1959.91</v>
      </c>
      <c r="M3092" s="11"/>
      <c r="N3092" s="22">
        <f t="shared" ref="N3092:N3099" si="150">L3092*M3092</f>
        <v>0</v>
      </c>
      <c r="O3092" s="28">
        <f>1.25*M3092</f>
        <v>0</v>
      </c>
      <c r="P3092" s="29">
        <f>0.0027*M3092</f>
        <v>0</v>
      </c>
      <c r="Q3092" s="30"/>
      <c r="R3092" s="22" t="s">
        <v>10727</v>
      </c>
      <c r="S3092" s="22" t="s">
        <v>435</v>
      </c>
      <c r="T3092" s="21" t="str">
        <f>HYPERLINK("https://miland.ru/api/getInfo/image/5fe8f35e-0088-11ef-a25d-00155d82e908")</f>
        <v>https://miland.ru/api/getInfo/image/5fe8f35e-0088-11ef-a25d-00155d82e908</v>
      </c>
      <c r="U3092" s="21"/>
      <c r="V3092" s="21" t="s">
        <v>8898</v>
      </c>
      <c r="W3092" s="21" t="s">
        <v>8899</v>
      </c>
      <c r="X3092" s="21"/>
      <c r="Y3092" s="21" t="s">
        <v>697</v>
      </c>
      <c r="Z3092" s="21"/>
      <c r="AA3092" s="21" t="str">
        <f>HYPERLINK("https://miland.ru/api/getInfo/item/5fe8f35e-0088-11ef-a25d-00155d82e908")</f>
        <v>https://miland.ru/api/getInfo/item/5fe8f35e-0088-11ef-a25d-00155d82e908</v>
      </c>
      <c r="AB3092" s="21" t="s">
        <v>42</v>
      </c>
      <c r="AC3092" s="21" t="s">
        <v>10728</v>
      </c>
      <c r="AD3092" s="21"/>
    </row>
    <row r="3093" spans="2:31" s="1" customFormat="1" ht="96.3" customHeight="1" outlineLevel="5">
      <c r="B3093" s="57">
        <v>2407</v>
      </c>
      <c r="C3093" s="21" t="s">
        <v>10729</v>
      </c>
      <c r="D3093" s="72" t="s">
        <v>10730</v>
      </c>
      <c r="E3093" s="72"/>
      <c r="F3093" s="72"/>
      <c r="G3093" s="72"/>
      <c r="H3093" s="22" t="s">
        <v>10731</v>
      </c>
      <c r="I3093" s="27">
        <v>124</v>
      </c>
      <c r="J3093" s="22"/>
      <c r="K3093" s="20">
        <v>1</v>
      </c>
      <c r="L3093" s="24">
        <v>930.3</v>
      </c>
      <c r="M3093" s="11"/>
      <c r="N3093" s="22">
        <f t="shared" si="150"/>
        <v>0</v>
      </c>
      <c r="O3093" s="25">
        <f>0.662*M3093</f>
        <v>0</v>
      </c>
      <c r="P3093" s="26">
        <f>0.00291*M3093</f>
        <v>0</v>
      </c>
      <c r="Q3093" s="30"/>
      <c r="R3093" s="22" t="s">
        <v>10732</v>
      </c>
      <c r="S3093" s="22" t="s">
        <v>435</v>
      </c>
      <c r="T3093" s="21" t="str">
        <f>HYPERLINK("https://miland.ru/api/getInfo/image/ebd4451e-0087-11ef-a25d-00155d82e908")</f>
        <v>https://miland.ru/api/getInfo/image/ebd4451e-0087-11ef-a25d-00155d82e908</v>
      </c>
      <c r="U3093" s="21"/>
      <c r="V3093" s="21" t="s">
        <v>8898</v>
      </c>
      <c r="W3093" s="21" t="s">
        <v>8899</v>
      </c>
      <c r="X3093" s="21"/>
      <c r="Y3093" s="21" t="s">
        <v>697</v>
      </c>
      <c r="Z3093" s="21"/>
      <c r="AA3093" s="21" t="str">
        <f>HYPERLINK("https://miland.ru/api/getInfo/item/ebd4451e-0087-11ef-a25d-00155d82e908")</f>
        <v>https://miland.ru/api/getInfo/item/ebd4451e-0087-11ef-a25d-00155d82e908</v>
      </c>
      <c r="AB3093" s="21" t="s">
        <v>42</v>
      </c>
      <c r="AC3093" s="21" t="s">
        <v>10733</v>
      </c>
      <c r="AD3093" s="21"/>
    </row>
    <row r="3094" spans="2:31" s="1" customFormat="1" ht="96.3" customHeight="1" outlineLevel="5">
      <c r="B3094" s="57">
        <v>2408</v>
      </c>
      <c r="C3094" s="21" t="s">
        <v>10734</v>
      </c>
      <c r="D3094" s="72" t="s">
        <v>10735</v>
      </c>
      <c r="E3094" s="72"/>
      <c r="F3094" s="72"/>
      <c r="G3094" s="72"/>
      <c r="H3094" s="22" t="s">
        <v>10736</v>
      </c>
      <c r="I3094" s="27">
        <v>13</v>
      </c>
      <c r="J3094" s="22"/>
      <c r="K3094" s="20">
        <v>1</v>
      </c>
      <c r="L3094" s="24">
        <v>500.93</v>
      </c>
      <c r="M3094" s="11"/>
      <c r="N3094" s="22">
        <f t="shared" si="150"/>
        <v>0</v>
      </c>
      <c r="O3094" s="28">
        <f>0.32*M3094</f>
        <v>0</v>
      </c>
      <c r="P3094" s="26">
        <f>0.00116*M3094</f>
        <v>0</v>
      </c>
      <c r="Q3094" s="30"/>
      <c r="R3094" s="22" t="s">
        <v>10737</v>
      </c>
      <c r="S3094" s="22" t="s">
        <v>435</v>
      </c>
      <c r="T3094" s="21" t="str">
        <f>HYPERLINK("https://miland.ru/api/getInfo/image/2f8bcb56-0088-11ef-a25d-00155d82e908")</f>
        <v>https://miland.ru/api/getInfo/image/2f8bcb56-0088-11ef-a25d-00155d82e908</v>
      </c>
      <c r="U3094" s="21"/>
      <c r="V3094" s="21" t="s">
        <v>8898</v>
      </c>
      <c r="W3094" s="21" t="s">
        <v>8899</v>
      </c>
      <c r="X3094" s="21"/>
      <c r="Y3094" s="21" t="s">
        <v>697</v>
      </c>
      <c r="Z3094" s="21"/>
      <c r="AA3094" s="21" t="str">
        <f>HYPERLINK("https://miland.ru/api/getInfo/item/2f8bcb56-0088-11ef-a25d-00155d82e908")</f>
        <v>https://miland.ru/api/getInfo/item/2f8bcb56-0088-11ef-a25d-00155d82e908</v>
      </c>
      <c r="AB3094" s="21" t="s">
        <v>42</v>
      </c>
      <c r="AC3094" s="21" t="s">
        <v>10738</v>
      </c>
      <c r="AD3094" s="21"/>
    </row>
    <row r="3095" spans="2:31" s="1" customFormat="1" ht="96.3" customHeight="1" outlineLevel="5">
      <c r="B3095" s="57">
        <v>2409</v>
      </c>
      <c r="C3095" s="21" t="s">
        <v>10739</v>
      </c>
      <c r="D3095" s="72" t="s">
        <v>10740</v>
      </c>
      <c r="E3095" s="72"/>
      <c r="F3095" s="72"/>
      <c r="G3095" s="72"/>
      <c r="H3095" s="22" t="s">
        <v>10741</v>
      </c>
      <c r="I3095" s="27">
        <v>129</v>
      </c>
      <c r="J3095" s="22"/>
      <c r="K3095" s="20">
        <v>1</v>
      </c>
      <c r="L3095" s="24">
        <v>930.3</v>
      </c>
      <c r="M3095" s="11"/>
      <c r="N3095" s="22">
        <f t="shared" si="150"/>
        <v>0</v>
      </c>
      <c r="O3095" s="25">
        <f>0.493*M3095</f>
        <v>0</v>
      </c>
      <c r="P3095" s="26">
        <f>0.00305*M3095</f>
        <v>0</v>
      </c>
      <c r="Q3095" s="30"/>
      <c r="R3095" s="22" t="s">
        <v>10742</v>
      </c>
      <c r="S3095" s="22"/>
      <c r="T3095" s="21" t="str">
        <f>HYPERLINK("https://miland.ru/api/getInfo/image/aa32ced2-0087-11ef-a25d-00155d82e908")</f>
        <v>https://miland.ru/api/getInfo/image/aa32ced2-0087-11ef-a25d-00155d82e908</v>
      </c>
      <c r="U3095" s="21"/>
      <c r="V3095" s="21" t="s">
        <v>8898</v>
      </c>
      <c r="W3095" s="21" t="s">
        <v>70</v>
      </c>
      <c r="X3095" s="21"/>
      <c r="Y3095" s="21" t="s">
        <v>697</v>
      </c>
      <c r="Z3095" s="21"/>
      <c r="AA3095" s="21" t="str">
        <f>HYPERLINK("https://miland.ru/api/getInfo/item/aa32ced2-0087-11ef-a25d-00155d82e908")</f>
        <v>https://miland.ru/api/getInfo/item/aa32ced2-0087-11ef-a25d-00155d82e908</v>
      </c>
      <c r="AB3095" s="21" t="s">
        <v>42</v>
      </c>
      <c r="AC3095" s="21" t="s">
        <v>10743</v>
      </c>
      <c r="AD3095" s="21"/>
    </row>
    <row r="3096" spans="2:31" s="1" customFormat="1" ht="96.3" customHeight="1" outlineLevel="5">
      <c r="B3096" s="57">
        <v>2410</v>
      </c>
      <c r="C3096" s="21" t="s">
        <v>10744</v>
      </c>
      <c r="D3096" s="72" t="s">
        <v>10745</v>
      </c>
      <c r="E3096" s="72"/>
      <c r="F3096" s="72"/>
      <c r="G3096" s="72"/>
      <c r="H3096" s="22" t="s">
        <v>10746</v>
      </c>
      <c r="I3096" s="27">
        <v>70</v>
      </c>
      <c r="J3096" s="22"/>
      <c r="K3096" s="20">
        <v>1</v>
      </c>
      <c r="L3096" s="32">
        <v>1241.46</v>
      </c>
      <c r="M3096" s="11"/>
      <c r="N3096" s="22">
        <f t="shared" si="150"/>
        <v>0</v>
      </c>
      <c r="O3096" s="25">
        <f>0.759*M3096</f>
        <v>0</v>
      </c>
      <c r="P3096" s="26">
        <f>0.00352*M3096</f>
        <v>0</v>
      </c>
      <c r="Q3096" s="30"/>
      <c r="R3096" s="22" t="s">
        <v>10747</v>
      </c>
      <c r="S3096" s="22" t="s">
        <v>435</v>
      </c>
      <c r="T3096" s="21" t="str">
        <f>HYPERLINK("https://miland.ru/api/getInfo/image/107f6c77-5aba-11ed-a220-ac1f6b442185")</f>
        <v>https://miland.ru/api/getInfo/image/107f6c77-5aba-11ed-a220-ac1f6b442185</v>
      </c>
      <c r="U3096" s="21"/>
      <c r="V3096" s="21" t="s">
        <v>8898</v>
      </c>
      <c r="W3096" s="21" t="s">
        <v>8899</v>
      </c>
      <c r="X3096" s="21"/>
      <c r="Y3096" s="21" t="s">
        <v>697</v>
      </c>
      <c r="Z3096" s="21"/>
      <c r="AA3096" s="21" t="str">
        <f>HYPERLINK("https://miland.ru/api/getInfo/item/107f6c77-5aba-11ed-a220-ac1f6b442185")</f>
        <v>https://miland.ru/api/getInfo/item/107f6c77-5aba-11ed-a220-ac1f6b442185</v>
      </c>
      <c r="AB3096" s="21" t="s">
        <v>42</v>
      </c>
      <c r="AC3096" s="21" t="s">
        <v>10748</v>
      </c>
      <c r="AD3096" s="21"/>
    </row>
    <row r="3097" spans="2:31" s="1" customFormat="1" ht="96.3" customHeight="1" outlineLevel="5">
      <c r="B3097" s="57">
        <v>2411</v>
      </c>
      <c r="C3097" s="21" t="s">
        <v>10749</v>
      </c>
      <c r="D3097" s="72" t="s">
        <v>10750</v>
      </c>
      <c r="E3097" s="72"/>
      <c r="F3097" s="72"/>
      <c r="G3097" s="72"/>
      <c r="H3097" s="22" t="s">
        <v>10751</v>
      </c>
      <c r="I3097" s="27">
        <v>255</v>
      </c>
      <c r="J3097" s="22"/>
      <c r="K3097" s="20">
        <v>1</v>
      </c>
      <c r="L3097" s="32">
        <v>1037.17</v>
      </c>
      <c r="M3097" s="11"/>
      <c r="N3097" s="22">
        <f t="shared" si="150"/>
        <v>0</v>
      </c>
      <c r="O3097" s="25">
        <f>0.453*M3097</f>
        <v>0</v>
      </c>
      <c r="P3097" s="26">
        <f>0.00229*M3097</f>
        <v>0</v>
      </c>
      <c r="Q3097" s="30"/>
      <c r="R3097" s="22" t="s">
        <v>10752</v>
      </c>
      <c r="S3097" s="22"/>
      <c r="T3097" s="21" t="str">
        <f>HYPERLINK("https://miland.ru/api/getInfo/image/ba7d2c91-5ab9-11ed-a220-ac1f6b442185")</f>
        <v>https://miland.ru/api/getInfo/image/ba7d2c91-5ab9-11ed-a220-ac1f6b442185</v>
      </c>
      <c r="U3097" s="21"/>
      <c r="V3097" s="21" t="s">
        <v>8898</v>
      </c>
      <c r="W3097" s="21" t="s">
        <v>70</v>
      </c>
      <c r="X3097" s="21"/>
      <c r="Y3097" s="21" t="s">
        <v>697</v>
      </c>
      <c r="Z3097" s="21"/>
      <c r="AA3097" s="21" t="str">
        <f>HYPERLINK("https://miland.ru/api/getInfo/item/ba7d2c91-5ab9-11ed-a220-ac1f6b442185")</f>
        <v>https://miland.ru/api/getInfo/item/ba7d2c91-5ab9-11ed-a220-ac1f6b442185</v>
      </c>
      <c r="AB3097" s="21" t="s">
        <v>42</v>
      </c>
      <c r="AC3097" s="21" t="s">
        <v>10748</v>
      </c>
      <c r="AD3097" s="21"/>
    </row>
    <row r="3098" spans="2:31" s="1" customFormat="1" ht="96.3" customHeight="1" outlineLevel="5">
      <c r="B3098" s="57">
        <v>2412</v>
      </c>
      <c r="C3098" s="21" t="s">
        <v>10753</v>
      </c>
      <c r="D3098" s="72" t="s">
        <v>10754</v>
      </c>
      <c r="E3098" s="72"/>
      <c r="F3098" s="72"/>
      <c r="G3098" s="72"/>
      <c r="H3098" s="22" t="s">
        <v>10755</v>
      </c>
      <c r="I3098" s="23" t="s">
        <v>36</v>
      </c>
      <c r="J3098" s="22"/>
      <c r="K3098" s="20">
        <v>1</v>
      </c>
      <c r="L3098" s="24">
        <v>954.92</v>
      </c>
      <c r="M3098" s="11"/>
      <c r="N3098" s="22">
        <f t="shared" si="150"/>
        <v>0</v>
      </c>
      <c r="O3098" s="28">
        <f>0.93*M3098</f>
        <v>0</v>
      </c>
      <c r="P3098" s="26">
        <f>0.00179*M3098</f>
        <v>0</v>
      </c>
      <c r="Q3098" s="30"/>
      <c r="R3098" s="22" t="s">
        <v>10756</v>
      </c>
      <c r="S3098" s="22" t="s">
        <v>435</v>
      </c>
      <c r="T3098" s="21" t="str">
        <f>HYPERLINK("https://miland.ru/api/getInfo/image/f258ee76-f62f-11e9-a235-ac1f6b442184")</f>
        <v>https://miland.ru/api/getInfo/image/f258ee76-f62f-11e9-a235-ac1f6b442184</v>
      </c>
      <c r="U3098" s="21"/>
      <c r="V3098" s="21" t="s">
        <v>8898</v>
      </c>
      <c r="W3098" s="21" t="s">
        <v>8899</v>
      </c>
      <c r="X3098" s="21"/>
      <c r="Y3098" s="21" t="s">
        <v>697</v>
      </c>
      <c r="Z3098" s="21"/>
      <c r="AA3098" s="21" t="str">
        <f>HYPERLINK("https://miland.ru/api/getInfo/item/f258ee76-f62f-11e9-a235-ac1f6b442184")</f>
        <v>https://miland.ru/api/getInfo/item/f258ee76-f62f-11e9-a235-ac1f6b442184</v>
      </c>
      <c r="AB3098" s="21" t="s">
        <v>42</v>
      </c>
      <c r="AC3098" s="21" t="s">
        <v>10757</v>
      </c>
      <c r="AD3098" s="21"/>
    </row>
    <row r="3099" spans="2:31" s="1" customFormat="1" ht="96.3" customHeight="1" outlineLevel="5">
      <c r="B3099" s="57">
        <v>2413</v>
      </c>
      <c r="C3099" s="21" t="s">
        <v>10758</v>
      </c>
      <c r="D3099" s="72" t="s">
        <v>10759</v>
      </c>
      <c r="E3099" s="72"/>
      <c r="F3099" s="72"/>
      <c r="G3099" s="72"/>
      <c r="H3099" s="22" t="s">
        <v>10760</v>
      </c>
      <c r="I3099" s="23" t="s">
        <v>36</v>
      </c>
      <c r="J3099" s="22"/>
      <c r="K3099" s="20">
        <v>1</v>
      </c>
      <c r="L3099" s="24">
        <v>917.69</v>
      </c>
      <c r="M3099" s="11"/>
      <c r="N3099" s="22">
        <f t="shared" si="150"/>
        <v>0</v>
      </c>
      <c r="O3099" s="25">
        <f>0.462*M3099</f>
        <v>0</v>
      </c>
      <c r="P3099" s="26">
        <f>0.00253*M3099</f>
        <v>0</v>
      </c>
      <c r="Q3099" s="30"/>
      <c r="R3099" s="22" t="s">
        <v>10761</v>
      </c>
      <c r="S3099" s="22"/>
      <c r="T3099" s="21" t="str">
        <f>HYPERLINK("https://miland.ru/api/getInfo/image/a7d3c839-f62f-11e9-a235-ac1f6b442184")</f>
        <v>https://miland.ru/api/getInfo/image/a7d3c839-f62f-11e9-a235-ac1f6b442184</v>
      </c>
      <c r="U3099" s="21"/>
      <c r="V3099" s="21" t="s">
        <v>8898</v>
      </c>
      <c r="W3099" s="21" t="s">
        <v>8899</v>
      </c>
      <c r="X3099" s="21"/>
      <c r="Y3099" s="21" t="s">
        <v>697</v>
      </c>
      <c r="Z3099" s="21"/>
      <c r="AA3099" s="21" t="str">
        <f>HYPERLINK("https://miland.ru/api/getInfo/item/a7d3c839-f62f-11e9-a235-ac1f6b442184")</f>
        <v>https://miland.ru/api/getInfo/item/a7d3c839-f62f-11e9-a235-ac1f6b442184</v>
      </c>
      <c r="AB3099" s="21" t="s">
        <v>42</v>
      </c>
      <c r="AC3099" s="21" t="s">
        <v>10757</v>
      </c>
      <c r="AD3099" s="21"/>
    </row>
    <row r="3100" spans="2:31" ht="12" customHeight="1" outlineLevel="3">
      <c r="B3100" s="70" t="s">
        <v>10762</v>
      </c>
      <c r="C3100" s="70"/>
      <c r="D3100" s="70"/>
      <c r="E3100" s="70"/>
      <c r="F3100" s="70"/>
      <c r="G3100" s="70"/>
    </row>
    <row r="3101" spans="2:31" s="1" customFormat="1" ht="96.3" customHeight="1" outlineLevel="4">
      <c r="B3101" s="57">
        <v>2414</v>
      </c>
      <c r="C3101" s="21" t="s">
        <v>10763</v>
      </c>
      <c r="D3101" s="72" t="s">
        <v>10764</v>
      </c>
      <c r="E3101" s="72"/>
      <c r="F3101" s="72"/>
      <c r="G3101" s="72"/>
      <c r="H3101" s="22" t="s">
        <v>10765</v>
      </c>
      <c r="I3101" s="27">
        <v>6</v>
      </c>
      <c r="J3101" s="22"/>
      <c r="K3101" s="20">
        <v>1</v>
      </c>
      <c r="L3101" s="24">
        <v>729.25</v>
      </c>
      <c r="M3101" s="11"/>
      <c r="N3101" s="22">
        <f>L3101*M3101</f>
        <v>0</v>
      </c>
      <c r="O3101" s="25">
        <f>0.908*M3101</f>
        <v>0</v>
      </c>
      <c r="P3101" s="26">
        <f>0.00318*M3101</f>
        <v>0</v>
      </c>
      <c r="Q3101" s="30"/>
      <c r="R3101" s="22" t="s">
        <v>10766</v>
      </c>
      <c r="S3101" s="22"/>
      <c r="T3101" s="21" t="str">
        <f>HYPERLINK("https://miland.ru/api/getInfo/image/8e36d4b5-2101-11f0-a279-00155d82e908")</f>
        <v>https://miland.ru/api/getInfo/image/8e36d4b5-2101-11f0-a279-00155d82e908</v>
      </c>
      <c r="U3101" s="21"/>
      <c r="V3101" s="21"/>
      <c r="W3101" s="21" t="s">
        <v>185</v>
      </c>
      <c r="X3101" s="21" t="s">
        <v>307</v>
      </c>
      <c r="Y3101" s="21" t="s">
        <v>41</v>
      </c>
      <c r="Z3101" s="21"/>
      <c r="AA3101" s="21" t="str">
        <f>HYPERLINK("https://miland.ru/api/getInfo/item/8e36d4b5-2101-11f0-a279-00155d82e908")</f>
        <v>https://miland.ru/api/getInfo/item/8e36d4b5-2101-11f0-a279-00155d82e908</v>
      </c>
      <c r="AB3101" s="21" t="s">
        <v>42</v>
      </c>
      <c r="AC3101" s="21"/>
      <c r="AD3101" s="21"/>
    </row>
    <row r="3102" spans="2:31" s="1" customFormat="1" ht="96.3" customHeight="1" outlineLevel="4">
      <c r="B3102" s="57">
        <v>2415</v>
      </c>
      <c r="C3102" s="21" t="s">
        <v>10767</v>
      </c>
      <c r="D3102" s="72" t="s">
        <v>10768</v>
      </c>
      <c r="E3102" s="72"/>
      <c r="F3102" s="72"/>
      <c r="G3102" s="72"/>
      <c r="H3102" s="22" t="s">
        <v>10769</v>
      </c>
      <c r="I3102" s="27">
        <v>5</v>
      </c>
      <c r="J3102" s="22"/>
      <c r="K3102" s="20">
        <v>1</v>
      </c>
      <c r="L3102" s="24">
        <v>729.25</v>
      </c>
      <c r="M3102" s="11"/>
      <c r="N3102" s="22">
        <f>L3102*M3102</f>
        <v>0</v>
      </c>
      <c r="O3102" s="25">
        <f>0.885*M3102</f>
        <v>0</v>
      </c>
      <c r="P3102" s="26">
        <f>0.00293*M3102</f>
        <v>0</v>
      </c>
      <c r="Q3102" s="30"/>
      <c r="R3102" s="22" t="s">
        <v>10770</v>
      </c>
      <c r="S3102" s="22"/>
      <c r="T3102" s="21" t="str">
        <f>HYPERLINK("https://miland.ru/api/getInfo/image/3a3728b5-562e-11ee-a245-00155d82e902")</f>
        <v>https://miland.ru/api/getInfo/image/3a3728b5-562e-11ee-a245-00155d82e902</v>
      </c>
      <c r="U3102" s="21"/>
      <c r="V3102" s="21"/>
      <c r="W3102" s="21" t="s">
        <v>185</v>
      </c>
      <c r="X3102" s="21" t="s">
        <v>307</v>
      </c>
      <c r="Y3102" s="21" t="s">
        <v>41</v>
      </c>
      <c r="Z3102" s="21"/>
      <c r="AA3102" s="21" t="str">
        <f>HYPERLINK("https://miland.ru/api/getInfo/item/3a3728b5-562e-11ee-a245-00155d82e902")</f>
        <v>https://miland.ru/api/getInfo/item/3a3728b5-562e-11ee-a245-00155d82e902</v>
      </c>
      <c r="AB3102" s="21" t="s">
        <v>42</v>
      </c>
      <c r="AC3102" s="21" t="s">
        <v>10771</v>
      </c>
      <c r="AD3102" s="21"/>
    </row>
    <row r="3103" spans="2:31" ht="12" customHeight="1" outlineLevel="3">
      <c r="B3103" s="70" t="s">
        <v>10772</v>
      </c>
      <c r="C3103" s="70"/>
      <c r="D3103" s="70"/>
      <c r="E3103" s="70"/>
      <c r="F3103" s="70"/>
      <c r="G3103" s="70"/>
    </row>
    <row r="3104" spans="2:31" ht="12" customHeight="1" outlineLevel="4">
      <c r="B3104" s="70" t="s">
        <v>10773</v>
      </c>
      <c r="C3104" s="70"/>
      <c r="D3104" s="70"/>
      <c r="E3104" s="70"/>
      <c r="F3104" s="70"/>
      <c r="G3104" s="70"/>
    </row>
    <row r="3105" spans="2:31" s="1" customFormat="1" ht="96.3" customHeight="1" outlineLevel="5">
      <c r="B3105" s="57">
        <v>2416</v>
      </c>
      <c r="C3105" s="21" t="s">
        <v>10774</v>
      </c>
      <c r="D3105" s="72" t="s">
        <v>10775</v>
      </c>
      <c r="E3105" s="72"/>
      <c r="F3105" s="72"/>
      <c r="G3105" s="72"/>
      <c r="H3105" s="22" t="s">
        <v>10776</v>
      </c>
      <c r="I3105" s="27">
        <v>139</v>
      </c>
      <c r="J3105" s="22"/>
      <c r="K3105" s="20">
        <v>1</v>
      </c>
      <c r="L3105" s="24">
        <v>561.6</v>
      </c>
      <c r="M3105" s="11"/>
      <c r="N3105" s="22">
        <f t="shared" ref="N3105:N3113" si="151">L3105*M3105</f>
        <v>0</v>
      </c>
      <c r="O3105" s="25">
        <f>0.149*M3105</f>
        <v>0</v>
      </c>
      <c r="P3105" s="26">
        <f>0.00317*M3105</f>
        <v>0</v>
      </c>
      <c r="Q3105" s="30"/>
      <c r="R3105" s="22" t="s">
        <v>10777</v>
      </c>
      <c r="S3105" s="22" t="s">
        <v>435</v>
      </c>
      <c r="T3105" s="21" t="str">
        <f>HYPERLINK("https://miland.ru/api/getInfo/image/eec11009-f31b-11ee-a25b-00155d82e908")</f>
        <v>https://miland.ru/api/getInfo/image/eec11009-f31b-11ee-a25b-00155d82e908</v>
      </c>
      <c r="U3105" s="21"/>
      <c r="V3105" s="21"/>
      <c r="W3105" s="21" t="s">
        <v>10778</v>
      </c>
      <c r="X3105" s="21" t="s">
        <v>172</v>
      </c>
      <c r="Y3105" s="21" t="s">
        <v>477</v>
      </c>
      <c r="Z3105" s="21" t="s">
        <v>10779</v>
      </c>
      <c r="AA3105" s="21" t="str">
        <f>HYPERLINK("https://miland.ru/api/getInfo/item/eec11009-f31b-11ee-a25b-00155d82e908")</f>
        <v>https://miland.ru/api/getInfo/item/eec11009-f31b-11ee-a25b-00155d82e908</v>
      </c>
      <c r="AB3105" s="21" t="s">
        <v>42</v>
      </c>
      <c r="AC3105" s="21" t="s">
        <v>10780</v>
      </c>
      <c r="AD3105" s="21"/>
    </row>
    <row r="3106" spans="2:31" s="1" customFormat="1" ht="96.3" customHeight="1" outlineLevel="5">
      <c r="B3106" s="57">
        <v>2417</v>
      </c>
      <c r="C3106" s="21" t="s">
        <v>10781</v>
      </c>
      <c r="D3106" s="72" t="s">
        <v>10782</v>
      </c>
      <c r="E3106" s="72"/>
      <c r="F3106" s="72"/>
      <c r="G3106" s="72"/>
      <c r="H3106" s="22" t="s">
        <v>10783</v>
      </c>
      <c r="I3106" s="27">
        <v>11</v>
      </c>
      <c r="J3106" s="22"/>
      <c r="K3106" s="20">
        <v>1</v>
      </c>
      <c r="L3106" s="24">
        <v>429.37</v>
      </c>
      <c r="M3106" s="11"/>
      <c r="N3106" s="22">
        <f t="shared" si="151"/>
        <v>0</v>
      </c>
      <c r="O3106" s="25">
        <f>0.134*M3106</f>
        <v>0</v>
      </c>
      <c r="P3106" s="26">
        <f>0.00302*M3106</f>
        <v>0</v>
      </c>
      <c r="Q3106" s="30"/>
      <c r="R3106" s="22" t="s">
        <v>10784</v>
      </c>
      <c r="S3106" s="22" t="s">
        <v>435</v>
      </c>
      <c r="T3106" s="21" t="str">
        <f>HYPERLINK("https://miland.ru/api/getInfo/image/1fa5a931-f320-11ee-a25b-00155d82e908")</f>
        <v>https://miland.ru/api/getInfo/image/1fa5a931-f320-11ee-a25b-00155d82e908</v>
      </c>
      <c r="U3106" s="21"/>
      <c r="V3106" s="21"/>
      <c r="W3106" s="21" t="s">
        <v>10778</v>
      </c>
      <c r="X3106" s="21" t="s">
        <v>172</v>
      </c>
      <c r="Y3106" s="21" t="s">
        <v>477</v>
      </c>
      <c r="Z3106" s="21" t="s">
        <v>10785</v>
      </c>
      <c r="AA3106" s="21" t="str">
        <f>HYPERLINK("https://miland.ru/api/getInfo/item/1fa5a931-f320-11ee-a25b-00155d82e908")</f>
        <v>https://miland.ru/api/getInfo/item/1fa5a931-f320-11ee-a25b-00155d82e908</v>
      </c>
      <c r="AB3106" s="21" t="s">
        <v>42</v>
      </c>
      <c r="AC3106" s="21" t="s">
        <v>10786</v>
      </c>
      <c r="AD3106" s="21"/>
    </row>
    <row r="3107" spans="2:31" s="1" customFormat="1" ht="96.3" customHeight="1" outlineLevel="5">
      <c r="B3107" s="60">
        <v>2418</v>
      </c>
      <c r="C3107" s="38" t="s">
        <v>10787</v>
      </c>
      <c r="D3107" s="74" t="s">
        <v>10788</v>
      </c>
      <c r="E3107" s="74"/>
      <c r="F3107" s="74"/>
      <c r="G3107" s="74"/>
      <c r="H3107" s="39" t="s">
        <v>10789</v>
      </c>
      <c r="I3107" s="44">
        <v>17</v>
      </c>
      <c r="J3107" s="39"/>
      <c r="K3107" s="37">
        <v>1</v>
      </c>
      <c r="L3107" s="41">
        <v>582.67999999999995</v>
      </c>
      <c r="M3107" s="11"/>
      <c r="N3107" s="39">
        <f t="shared" si="151"/>
        <v>0</v>
      </c>
      <c r="O3107" s="48">
        <f>0.396*M3107</f>
        <v>0</v>
      </c>
      <c r="P3107" s="46">
        <f>0.00637*M3107</f>
        <v>0</v>
      </c>
      <c r="Q3107" s="51"/>
      <c r="R3107" s="39" t="s">
        <v>10790</v>
      </c>
      <c r="S3107" s="39" t="s">
        <v>435</v>
      </c>
      <c r="T3107" s="38" t="str">
        <f>HYPERLINK("https://miland.ru/api/getInfo/image/ccbb93bb-97ce-11ed-a22d-00155d82e902")</f>
        <v>https://miland.ru/api/getInfo/image/ccbb93bb-97ce-11ed-a22d-00155d82e902</v>
      </c>
      <c r="U3107" s="38"/>
      <c r="V3107" s="38" t="s">
        <v>6429</v>
      </c>
      <c r="W3107" s="38" t="s">
        <v>82</v>
      </c>
      <c r="X3107" s="38"/>
      <c r="Y3107" s="38" t="s">
        <v>41</v>
      </c>
      <c r="Z3107" s="38"/>
      <c r="AA3107" s="38" t="str">
        <f>HYPERLINK("https://miland.ru/api/getInfo/item/ccbb93bb-97ce-11ed-a22d-00155d82e902")</f>
        <v>https://miland.ru/api/getInfo/item/ccbb93bb-97ce-11ed-a22d-00155d82e902</v>
      </c>
      <c r="AB3107" s="38" t="s">
        <v>42</v>
      </c>
      <c r="AC3107" s="38" t="s">
        <v>4772</v>
      </c>
      <c r="AD3107" s="38"/>
      <c r="AE3107" s="53" t="s">
        <v>1306</v>
      </c>
    </row>
    <row r="3108" spans="2:31" s="1" customFormat="1" ht="96.3" customHeight="1" outlineLevel="5">
      <c r="B3108" s="60">
        <v>2419</v>
      </c>
      <c r="C3108" s="38" t="s">
        <v>10791</v>
      </c>
      <c r="D3108" s="74" t="s">
        <v>10792</v>
      </c>
      <c r="E3108" s="74"/>
      <c r="F3108" s="74"/>
      <c r="G3108" s="74"/>
      <c r="H3108" s="39" t="s">
        <v>10793</v>
      </c>
      <c r="I3108" s="44">
        <v>46</v>
      </c>
      <c r="J3108" s="39"/>
      <c r="K3108" s="37">
        <v>1</v>
      </c>
      <c r="L3108" s="41">
        <v>582.67999999999995</v>
      </c>
      <c r="M3108" s="11"/>
      <c r="N3108" s="39">
        <f t="shared" si="151"/>
        <v>0</v>
      </c>
      <c r="O3108" s="45">
        <f>0.41*M3108</f>
        <v>0</v>
      </c>
      <c r="P3108" s="49">
        <f>0.0064*M3108</f>
        <v>0</v>
      </c>
      <c r="Q3108" s="51"/>
      <c r="R3108" s="39" t="s">
        <v>10794</v>
      </c>
      <c r="S3108" s="39" t="s">
        <v>435</v>
      </c>
      <c r="T3108" s="38" t="str">
        <f>HYPERLINK("https://miland.ru/api/getInfo/image/16d1e3d5-97cf-11ed-a22d-00155d82e902")</f>
        <v>https://miland.ru/api/getInfo/image/16d1e3d5-97cf-11ed-a22d-00155d82e902</v>
      </c>
      <c r="U3108" s="38"/>
      <c r="V3108" s="38" t="s">
        <v>6429</v>
      </c>
      <c r="W3108" s="38" t="s">
        <v>82</v>
      </c>
      <c r="X3108" s="38"/>
      <c r="Y3108" s="38" t="s">
        <v>41</v>
      </c>
      <c r="Z3108" s="38"/>
      <c r="AA3108" s="38" t="str">
        <f>HYPERLINK("https://miland.ru/api/getInfo/item/16d1e3d5-97cf-11ed-a22d-00155d82e902")</f>
        <v>https://miland.ru/api/getInfo/item/16d1e3d5-97cf-11ed-a22d-00155d82e902</v>
      </c>
      <c r="AB3108" s="38" t="s">
        <v>42</v>
      </c>
      <c r="AC3108" s="38" t="s">
        <v>4772</v>
      </c>
      <c r="AD3108" s="38"/>
      <c r="AE3108" s="53" t="s">
        <v>1306</v>
      </c>
    </row>
    <row r="3109" spans="2:31" s="1" customFormat="1" ht="96.3" customHeight="1" outlineLevel="5">
      <c r="B3109" s="60">
        <v>2420</v>
      </c>
      <c r="C3109" s="38" t="s">
        <v>10795</v>
      </c>
      <c r="D3109" s="74" t="s">
        <v>10796</v>
      </c>
      <c r="E3109" s="74"/>
      <c r="F3109" s="74"/>
      <c r="G3109" s="74"/>
      <c r="H3109" s="39" t="s">
        <v>10797</v>
      </c>
      <c r="I3109" s="44">
        <v>57</v>
      </c>
      <c r="J3109" s="39"/>
      <c r="K3109" s="37">
        <v>1</v>
      </c>
      <c r="L3109" s="41">
        <v>582.67999999999995</v>
      </c>
      <c r="M3109" s="11"/>
      <c r="N3109" s="39">
        <f t="shared" si="151"/>
        <v>0</v>
      </c>
      <c r="O3109" s="48">
        <f>0.404*M3109</f>
        <v>0</v>
      </c>
      <c r="P3109" s="46">
        <f>0.00659*M3109</f>
        <v>0</v>
      </c>
      <c r="Q3109" s="51"/>
      <c r="R3109" s="39" t="s">
        <v>10798</v>
      </c>
      <c r="S3109" s="39" t="s">
        <v>435</v>
      </c>
      <c r="T3109" s="38" t="str">
        <f>HYPERLINK("https://miland.ru/api/getInfo/image/f21b5f1d-97ce-11ed-a22d-00155d82e902")</f>
        <v>https://miland.ru/api/getInfo/image/f21b5f1d-97ce-11ed-a22d-00155d82e902</v>
      </c>
      <c r="U3109" s="38"/>
      <c r="V3109" s="38" t="s">
        <v>6429</v>
      </c>
      <c r="W3109" s="38" t="s">
        <v>82</v>
      </c>
      <c r="X3109" s="38"/>
      <c r="Y3109" s="38" t="s">
        <v>41</v>
      </c>
      <c r="Z3109" s="38"/>
      <c r="AA3109" s="38" t="str">
        <f>HYPERLINK("https://miland.ru/api/getInfo/item/f21b5f1d-97ce-11ed-a22d-00155d82e902")</f>
        <v>https://miland.ru/api/getInfo/item/f21b5f1d-97ce-11ed-a22d-00155d82e902</v>
      </c>
      <c r="AB3109" s="38" t="s">
        <v>42</v>
      </c>
      <c r="AC3109" s="38" t="s">
        <v>4772</v>
      </c>
      <c r="AD3109" s="38"/>
      <c r="AE3109" s="53" t="s">
        <v>1306</v>
      </c>
    </row>
    <row r="3110" spans="2:31" s="1" customFormat="1" ht="96.3" customHeight="1" outlineLevel="5">
      <c r="B3110" s="57">
        <v>2421</v>
      </c>
      <c r="C3110" s="21" t="s">
        <v>10799</v>
      </c>
      <c r="D3110" s="72" t="s">
        <v>10800</v>
      </c>
      <c r="E3110" s="72"/>
      <c r="F3110" s="72"/>
      <c r="G3110" s="72"/>
      <c r="H3110" s="22" t="s">
        <v>10801</v>
      </c>
      <c r="I3110" s="27">
        <v>20</v>
      </c>
      <c r="J3110" s="22"/>
      <c r="K3110" s="20">
        <v>1</v>
      </c>
      <c r="L3110" s="32">
        <v>2080.4499999999998</v>
      </c>
      <c r="M3110" s="11"/>
      <c r="N3110" s="22">
        <f t="shared" si="151"/>
        <v>0</v>
      </c>
      <c r="O3110" s="25">
        <f>0.319*M3110</f>
        <v>0</v>
      </c>
      <c r="P3110" s="29">
        <f>0.0136*M3110</f>
        <v>0</v>
      </c>
      <c r="Q3110" s="30"/>
      <c r="R3110" s="22" t="s">
        <v>10802</v>
      </c>
      <c r="S3110" s="22" t="s">
        <v>435</v>
      </c>
      <c r="T3110" s="21" t="str">
        <f>HYPERLINK("https://miland.ru/api/getInfo/image/62b22478-03b9-11f0-a277-00155d82e908")</f>
        <v>https://miland.ru/api/getInfo/image/62b22478-03b9-11f0-a277-00155d82e908</v>
      </c>
      <c r="U3110" s="21"/>
      <c r="V3110" s="21" t="s">
        <v>208</v>
      </c>
      <c r="W3110" s="21" t="s">
        <v>82</v>
      </c>
      <c r="X3110" s="21"/>
      <c r="Y3110" s="21" t="s">
        <v>41</v>
      </c>
      <c r="Z3110" s="21"/>
      <c r="AA3110" s="21" t="str">
        <f>HYPERLINK("https://miland.ru/api/getInfo/item/62b22478-03b9-11f0-a277-00155d82e908")</f>
        <v>https://miland.ru/api/getInfo/item/62b22478-03b9-11f0-a277-00155d82e908</v>
      </c>
      <c r="AB3110" s="21" t="s">
        <v>42</v>
      </c>
      <c r="AC3110" s="21"/>
      <c r="AD3110" s="21"/>
    </row>
    <row r="3111" spans="2:31" s="1" customFormat="1" ht="96.3" customHeight="1" outlineLevel="5">
      <c r="B3111" s="57">
        <v>2422</v>
      </c>
      <c r="C3111" s="21" t="s">
        <v>10803</v>
      </c>
      <c r="D3111" s="72" t="s">
        <v>10804</v>
      </c>
      <c r="E3111" s="72"/>
      <c r="F3111" s="72"/>
      <c r="G3111" s="72"/>
      <c r="H3111" s="22" t="s">
        <v>10805</v>
      </c>
      <c r="I3111" s="27">
        <v>7</v>
      </c>
      <c r="J3111" s="22"/>
      <c r="K3111" s="20">
        <v>1</v>
      </c>
      <c r="L3111" s="32">
        <v>2080.4499999999998</v>
      </c>
      <c r="M3111" s="11"/>
      <c r="N3111" s="22">
        <f t="shared" si="151"/>
        <v>0</v>
      </c>
      <c r="O3111" s="25">
        <f>0.317*M3111</f>
        <v>0</v>
      </c>
      <c r="P3111" s="26">
        <f>0.01391*M3111</f>
        <v>0</v>
      </c>
      <c r="Q3111" s="30"/>
      <c r="R3111" s="22" t="s">
        <v>10806</v>
      </c>
      <c r="S3111" s="22" t="s">
        <v>435</v>
      </c>
      <c r="T3111" s="21" t="str">
        <f>HYPERLINK("https://miland.ru/api/getInfo/image/b60e4e42-03b9-11f0-a277-00155d82e908")</f>
        <v>https://miland.ru/api/getInfo/image/b60e4e42-03b9-11f0-a277-00155d82e908</v>
      </c>
      <c r="U3111" s="21"/>
      <c r="V3111" s="21" t="s">
        <v>208</v>
      </c>
      <c r="W3111" s="21" t="s">
        <v>82</v>
      </c>
      <c r="X3111" s="21"/>
      <c r="Y3111" s="21" t="s">
        <v>41</v>
      </c>
      <c r="Z3111" s="21"/>
      <c r="AA3111" s="21" t="str">
        <f>HYPERLINK("https://miland.ru/api/getInfo/item/b60e4e42-03b9-11f0-a277-00155d82e908")</f>
        <v>https://miland.ru/api/getInfo/item/b60e4e42-03b9-11f0-a277-00155d82e908</v>
      </c>
      <c r="AB3111" s="21" t="s">
        <v>42</v>
      </c>
      <c r="AC3111" s="21"/>
      <c r="AD3111" s="21"/>
    </row>
    <row r="3112" spans="2:31" s="1" customFormat="1" ht="96.3" customHeight="1" outlineLevel="5">
      <c r="B3112" s="57">
        <v>2423</v>
      </c>
      <c r="C3112" s="21" t="s">
        <v>10807</v>
      </c>
      <c r="D3112" s="72" t="s">
        <v>10808</v>
      </c>
      <c r="E3112" s="72"/>
      <c r="F3112" s="72"/>
      <c r="G3112" s="72"/>
      <c r="H3112" s="22" t="s">
        <v>10809</v>
      </c>
      <c r="I3112" s="27">
        <v>16</v>
      </c>
      <c r="J3112" s="22"/>
      <c r="K3112" s="20">
        <v>1</v>
      </c>
      <c r="L3112" s="32">
        <v>2080.4499999999998</v>
      </c>
      <c r="M3112" s="11"/>
      <c r="N3112" s="22">
        <f t="shared" si="151"/>
        <v>0</v>
      </c>
      <c r="O3112" s="25">
        <f>0.288*M3112</f>
        <v>0</v>
      </c>
      <c r="P3112" s="26">
        <f>0.01057*M3112</f>
        <v>0</v>
      </c>
      <c r="Q3112" s="30"/>
      <c r="R3112" s="22" t="s">
        <v>10810</v>
      </c>
      <c r="S3112" s="22" t="s">
        <v>435</v>
      </c>
      <c r="T3112" s="21" t="str">
        <f>HYPERLINK("https://miland.ru/api/getInfo/image/0e7adc7b-03b9-11f0-a277-00155d82e908")</f>
        <v>https://miland.ru/api/getInfo/image/0e7adc7b-03b9-11f0-a277-00155d82e908</v>
      </c>
      <c r="U3112" s="21"/>
      <c r="V3112" s="21" t="s">
        <v>208</v>
      </c>
      <c r="W3112" s="21" t="s">
        <v>82</v>
      </c>
      <c r="X3112" s="21"/>
      <c r="Y3112" s="21" t="s">
        <v>41</v>
      </c>
      <c r="Z3112" s="21"/>
      <c r="AA3112" s="21" t="str">
        <f>HYPERLINK("https://miland.ru/api/getInfo/item/0e7adc7b-03b9-11f0-a277-00155d82e908")</f>
        <v>https://miland.ru/api/getInfo/item/0e7adc7b-03b9-11f0-a277-00155d82e908</v>
      </c>
      <c r="AB3112" s="21" t="s">
        <v>42</v>
      </c>
      <c r="AC3112" s="21"/>
      <c r="AD3112" s="21"/>
    </row>
    <row r="3113" spans="2:31" s="1" customFormat="1" ht="96.3" customHeight="1" outlineLevel="5">
      <c r="B3113" s="57">
        <v>2424</v>
      </c>
      <c r="C3113" s="21" t="s">
        <v>10811</v>
      </c>
      <c r="D3113" s="72" t="s">
        <v>10812</v>
      </c>
      <c r="E3113" s="72"/>
      <c r="F3113" s="72"/>
      <c r="G3113" s="72"/>
      <c r="H3113" s="22" t="s">
        <v>10813</v>
      </c>
      <c r="I3113" s="27">
        <v>28</v>
      </c>
      <c r="J3113" s="22"/>
      <c r="K3113" s="20">
        <v>1</v>
      </c>
      <c r="L3113" s="32">
        <v>2080.4499999999998</v>
      </c>
      <c r="M3113" s="11"/>
      <c r="N3113" s="22">
        <f t="shared" si="151"/>
        <v>0</v>
      </c>
      <c r="O3113" s="25">
        <f>0.301*M3113</f>
        <v>0</v>
      </c>
      <c r="P3113" s="26">
        <f>0.01385*M3113</f>
        <v>0</v>
      </c>
      <c r="Q3113" s="30"/>
      <c r="R3113" s="22" t="s">
        <v>10814</v>
      </c>
      <c r="S3113" s="22" t="s">
        <v>435</v>
      </c>
      <c r="T3113" s="21" t="str">
        <f>HYPERLINK("https://miland.ru/api/getInfo/image/47f532bb-03b8-11f0-a277-00155d82e908")</f>
        <v>https://miland.ru/api/getInfo/image/47f532bb-03b8-11f0-a277-00155d82e908</v>
      </c>
      <c r="U3113" s="21"/>
      <c r="V3113" s="21" t="s">
        <v>208</v>
      </c>
      <c r="W3113" s="21" t="s">
        <v>82</v>
      </c>
      <c r="X3113" s="21"/>
      <c r="Y3113" s="21" t="s">
        <v>41</v>
      </c>
      <c r="Z3113" s="21"/>
      <c r="AA3113" s="21" t="str">
        <f>HYPERLINK("https://miland.ru/api/getInfo/item/47f532bb-03b8-11f0-a277-00155d82e908")</f>
        <v>https://miland.ru/api/getInfo/item/47f532bb-03b8-11f0-a277-00155d82e908</v>
      </c>
      <c r="AB3113" s="21" t="s">
        <v>42</v>
      </c>
      <c r="AC3113" s="21"/>
      <c r="AD3113" s="21"/>
    </row>
    <row r="3114" spans="2:31" ht="12" customHeight="1" outlineLevel="3">
      <c r="B3114" s="70" t="s">
        <v>10815</v>
      </c>
      <c r="C3114" s="70"/>
      <c r="D3114" s="70"/>
      <c r="E3114" s="70"/>
      <c r="F3114" s="70"/>
      <c r="G3114" s="70"/>
    </row>
    <row r="3115" spans="2:31" ht="12" customHeight="1" outlineLevel="4">
      <c r="B3115" s="70" t="s">
        <v>10816</v>
      </c>
      <c r="C3115" s="70"/>
      <c r="D3115" s="70"/>
      <c r="E3115" s="70"/>
      <c r="F3115" s="70"/>
      <c r="G3115" s="70"/>
    </row>
    <row r="3116" spans="2:31" s="1" customFormat="1" ht="96.3" customHeight="1" outlineLevel="5">
      <c r="B3116" s="57">
        <v>2425</v>
      </c>
      <c r="C3116" s="21" t="s">
        <v>10817</v>
      </c>
      <c r="D3116" s="72" t="s">
        <v>10818</v>
      </c>
      <c r="E3116" s="72"/>
      <c r="F3116" s="72"/>
      <c r="G3116" s="72"/>
      <c r="H3116" s="22" t="s">
        <v>10819</v>
      </c>
      <c r="I3116" s="27">
        <v>429</v>
      </c>
      <c r="J3116" s="22"/>
      <c r="K3116" s="20">
        <v>2</v>
      </c>
      <c r="L3116" s="24">
        <v>364.84</v>
      </c>
      <c r="M3116" s="11"/>
      <c r="N3116" s="22">
        <f>L3116*M3116</f>
        <v>0</v>
      </c>
      <c r="O3116" s="25">
        <f>0.117*M3116</f>
        <v>0</v>
      </c>
      <c r="P3116" s="26">
        <f>0.00203*M3116</f>
        <v>0</v>
      </c>
      <c r="Q3116" s="30"/>
      <c r="R3116" s="22" t="s">
        <v>10820</v>
      </c>
      <c r="S3116" s="22" t="s">
        <v>435</v>
      </c>
      <c r="T3116" s="21" t="str">
        <f>HYPERLINK("https://miland.ru/api/getInfo/image/57bee518-b076-11ef-a267-00155d82e908")</f>
        <v>https://miland.ru/api/getInfo/image/57bee518-b076-11ef-a267-00155d82e908</v>
      </c>
      <c r="U3116" s="21"/>
      <c r="V3116" s="21"/>
      <c r="W3116" s="21" t="s">
        <v>70</v>
      </c>
      <c r="X3116" s="21"/>
      <c r="Y3116" s="21" t="s">
        <v>41</v>
      </c>
      <c r="Z3116" s="21"/>
      <c r="AA3116" s="21" t="str">
        <f>HYPERLINK("https://miland.ru/api/getInfo/item/57bee518-b076-11ef-a267-00155d82e908")</f>
        <v>https://miland.ru/api/getInfo/item/57bee518-b076-11ef-a267-00155d82e908</v>
      </c>
      <c r="AB3116" s="21" t="s">
        <v>42</v>
      </c>
      <c r="AC3116" s="21"/>
      <c r="AD3116" s="21"/>
    </row>
    <row r="3117" spans="2:31" ht="12" customHeight="1" outlineLevel="4">
      <c r="B3117" s="70" t="s">
        <v>10821</v>
      </c>
      <c r="C3117" s="70"/>
      <c r="D3117" s="70"/>
      <c r="E3117" s="70"/>
      <c r="F3117" s="70"/>
      <c r="G3117" s="70"/>
    </row>
    <row r="3118" spans="2:31" s="1" customFormat="1" ht="96.3" customHeight="1" outlineLevel="5">
      <c r="B3118" s="57">
        <v>2426</v>
      </c>
      <c r="C3118" s="21" t="s">
        <v>10822</v>
      </c>
      <c r="D3118" s="72" t="s">
        <v>10823</v>
      </c>
      <c r="E3118" s="72"/>
      <c r="F3118" s="72"/>
      <c r="G3118" s="72"/>
      <c r="H3118" s="22" t="s">
        <v>10824</v>
      </c>
      <c r="I3118" s="27">
        <v>79</v>
      </c>
      <c r="J3118" s="22"/>
      <c r="K3118" s="20">
        <v>2</v>
      </c>
      <c r="L3118" s="24">
        <v>338.36</v>
      </c>
      <c r="M3118" s="11"/>
      <c r="N3118" s="22">
        <f>L3118*M3118</f>
        <v>0</v>
      </c>
      <c r="O3118" s="25">
        <f>0.097*M3118</f>
        <v>0</v>
      </c>
      <c r="P3118" s="26">
        <f>0.00106*M3118</f>
        <v>0</v>
      </c>
      <c r="Q3118" s="30"/>
      <c r="R3118" s="22" t="s">
        <v>10825</v>
      </c>
      <c r="S3118" s="22" t="s">
        <v>435</v>
      </c>
      <c r="T3118" s="21" t="str">
        <f>HYPERLINK("https://miland.ru/api/getInfo/image/74d1fe9e-d167-11ea-a24a-ac1f6b442184")</f>
        <v>https://miland.ru/api/getInfo/image/74d1fe9e-d167-11ea-a24a-ac1f6b442184</v>
      </c>
      <c r="U3118" s="21"/>
      <c r="V3118" s="21"/>
      <c r="W3118" s="21" t="s">
        <v>70</v>
      </c>
      <c r="X3118" s="21"/>
      <c r="Y3118" s="21" t="s">
        <v>41</v>
      </c>
      <c r="Z3118" s="21"/>
      <c r="AA3118" s="21" t="str">
        <f>HYPERLINK("https://miland.ru/api/getInfo/item/74d1fe9e-d167-11ea-a24a-ac1f6b442184")</f>
        <v>https://miland.ru/api/getInfo/item/74d1fe9e-d167-11ea-a24a-ac1f6b442184</v>
      </c>
      <c r="AB3118" s="21" t="s">
        <v>42</v>
      </c>
      <c r="AC3118" s="21" t="s">
        <v>10826</v>
      </c>
      <c r="AD3118" s="21"/>
    </row>
    <row r="3119" spans="2:31" s="1" customFormat="1" ht="96.3" customHeight="1" outlineLevel="5">
      <c r="B3119" s="57">
        <v>2427</v>
      </c>
      <c r="C3119" s="21" t="s">
        <v>10827</v>
      </c>
      <c r="D3119" s="72" t="s">
        <v>10828</v>
      </c>
      <c r="E3119" s="72"/>
      <c r="F3119" s="72"/>
      <c r="G3119" s="72"/>
      <c r="H3119" s="22" t="s">
        <v>10829</v>
      </c>
      <c r="I3119" s="27">
        <v>13</v>
      </c>
      <c r="J3119" s="22"/>
      <c r="K3119" s="20">
        <v>1</v>
      </c>
      <c r="L3119" s="24">
        <v>433.01</v>
      </c>
      <c r="M3119" s="11"/>
      <c r="N3119" s="22">
        <f>L3119*M3119</f>
        <v>0</v>
      </c>
      <c r="O3119" s="25">
        <f>0.121*M3119</f>
        <v>0</v>
      </c>
      <c r="P3119" s="26">
        <f>0.00883*M3119</f>
        <v>0</v>
      </c>
      <c r="Q3119" s="30"/>
      <c r="R3119" s="22" t="s">
        <v>10830</v>
      </c>
      <c r="S3119" s="22" t="s">
        <v>435</v>
      </c>
      <c r="T3119" s="21" t="str">
        <f>HYPERLINK("https://miland.ru/api/getInfo/image/74b46e97-4bab-11e9-a221-ac1f6b442184")</f>
        <v>https://miland.ru/api/getInfo/image/74b46e97-4bab-11e9-a221-ac1f6b442184</v>
      </c>
      <c r="U3119" s="21"/>
      <c r="V3119" s="21"/>
      <c r="W3119" s="21" t="s">
        <v>70</v>
      </c>
      <c r="X3119" s="21"/>
      <c r="Y3119" s="21" t="s">
        <v>41</v>
      </c>
      <c r="Z3119" s="21"/>
      <c r="AA3119" s="21" t="str">
        <f>HYPERLINK("https://miland.ru/api/getInfo/item/74b46e97-4bab-11e9-a221-ac1f6b442184")</f>
        <v>https://miland.ru/api/getInfo/item/74b46e97-4bab-11e9-a221-ac1f6b442184</v>
      </c>
      <c r="AB3119" s="21" t="s">
        <v>42</v>
      </c>
      <c r="AC3119" s="21" t="s">
        <v>10831</v>
      </c>
      <c r="AD3119" s="21"/>
    </row>
    <row r="3120" spans="2:31" ht="12" customHeight="1" outlineLevel="3">
      <c r="B3120" s="70" t="s">
        <v>10832</v>
      </c>
      <c r="C3120" s="70"/>
      <c r="D3120" s="70"/>
      <c r="E3120" s="70"/>
      <c r="F3120" s="70"/>
      <c r="G3120" s="70"/>
    </row>
    <row r="3121" spans="2:31" s="1" customFormat="1" ht="96.3" customHeight="1" outlineLevel="4">
      <c r="B3121" s="57">
        <v>2428</v>
      </c>
      <c r="C3121" s="21" t="s">
        <v>10833</v>
      </c>
      <c r="D3121" s="72" t="s">
        <v>10834</v>
      </c>
      <c r="E3121" s="72"/>
      <c r="F3121" s="72"/>
      <c r="G3121" s="72"/>
      <c r="H3121" s="22" t="s">
        <v>10835</v>
      </c>
      <c r="I3121" s="27">
        <v>5</v>
      </c>
      <c r="J3121" s="22"/>
      <c r="K3121" s="20">
        <v>1</v>
      </c>
      <c r="L3121" s="24">
        <v>546.4</v>
      </c>
      <c r="M3121" s="11"/>
      <c r="N3121" s="22">
        <f t="shared" ref="N3121:N3139" si="152">L3121*M3121</f>
        <v>0</v>
      </c>
      <c r="O3121" s="25">
        <f>15.386*M3121</f>
        <v>0</v>
      </c>
      <c r="P3121" s="26">
        <f>0.11563*M3121</f>
        <v>0</v>
      </c>
      <c r="Q3121" s="30"/>
      <c r="R3121" s="22" t="s">
        <v>10836</v>
      </c>
      <c r="S3121" s="22"/>
      <c r="T3121" s="21" t="str">
        <f>HYPERLINK("https://miland.ru/api/getInfo/image/242dd9a1-7403-11ef-a265-00155d82e908")</f>
        <v>https://miland.ru/api/getInfo/image/242dd9a1-7403-11ef-a265-00155d82e908</v>
      </c>
      <c r="U3121" s="21"/>
      <c r="V3121" s="21"/>
      <c r="W3121" s="21" t="s">
        <v>10014</v>
      </c>
      <c r="X3121" s="21"/>
      <c r="Y3121" s="21" t="s">
        <v>41</v>
      </c>
      <c r="Z3121" s="21"/>
      <c r="AA3121" s="21" t="str">
        <f>HYPERLINK("https://miland.ru/api/getInfo/item/242dd9a1-7403-11ef-a265-00155d82e908")</f>
        <v>https://miland.ru/api/getInfo/item/242dd9a1-7403-11ef-a265-00155d82e908</v>
      </c>
      <c r="AB3121" s="21" t="s">
        <v>42</v>
      </c>
      <c r="AC3121" s="21" t="s">
        <v>10837</v>
      </c>
      <c r="AD3121" s="21"/>
    </row>
    <row r="3122" spans="2:31" s="1" customFormat="1" ht="96.3" customHeight="1" outlineLevel="4">
      <c r="B3122" s="57">
        <v>2429</v>
      </c>
      <c r="C3122" s="21" t="s">
        <v>10838</v>
      </c>
      <c r="D3122" s="72" t="s">
        <v>10839</v>
      </c>
      <c r="E3122" s="72"/>
      <c r="F3122" s="72"/>
      <c r="G3122" s="72"/>
      <c r="H3122" s="22" t="s">
        <v>10840</v>
      </c>
      <c r="I3122" s="27">
        <v>5</v>
      </c>
      <c r="J3122" s="22"/>
      <c r="K3122" s="20">
        <v>1</v>
      </c>
      <c r="L3122" s="24">
        <v>546.4</v>
      </c>
      <c r="M3122" s="11"/>
      <c r="N3122" s="22">
        <f t="shared" si="152"/>
        <v>0</v>
      </c>
      <c r="O3122" s="28">
        <f>0.24*M3122</f>
        <v>0</v>
      </c>
      <c r="P3122" s="26">
        <f>0.00642*M3122</f>
        <v>0</v>
      </c>
      <c r="Q3122" s="30"/>
      <c r="R3122" s="22" t="s">
        <v>10841</v>
      </c>
      <c r="S3122" s="22" t="s">
        <v>435</v>
      </c>
      <c r="T3122" s="21" t="str">
        <f>HYPERLINK("https://miland.ru/api/getInfo/image/6b5354bf-7401-11ef-a265-00155d82e908")</f>
        <v>https://miland.ru/api/getInfo/image/6b5354bf-7401-11ef-a265-00155d82e908</v>
      </c>
      <c r="U3122" s="21"/>
      <c r="V3122" s="21"/>
      <c r="W3122" s="21" t="s">
        <v>10014</v>
      </c>
      <c r="X3122" s="21"/>
      <c r="Y3122" s="21" t="s">
        <v>41</v>
      </c>
      <c r="Z3122" s="21"/>
      <c r="AA3122" s="21" t="str">
        <f>HYPERLINK("https://miland.ru/api/getInfo/item/6b5354bf-7401-11ef-a265-00155d82e908")</f>
        <v>https://miland.ru/api/getInfo/item/6b5354bf-7401-11ef-a265-00155d82e908</v>
      </c>
      <c r="AB3122" s="21" t="s">
        <v>42</v>
      </c>
      <c r="AC3122" s="21" t="s">
        <v>10837</v>
      </c>
      <c r="AD3122" s="21"/>
    </row>
    <row r="3123" spans="2:31" s="1" customFormat="1" ht="96.3" customHeight="1" outlineLevel="4">
      <c r="B3123" s="57">
        <v>2430</v>
      </c>
      <c r="C3123" s="21" t="s">
        <v>10842</v>
      </c>
      <c r="D3123" s="72" t="s">
        <v>10843</v>
      </c>
      <c r="E3123" s="72"/>
      <c r="F3123" s="72"/>
      <c r="G3123" s="72"/>
      <c r="H3123" s="22" t="s">
        <v>10844</v>
      </c>
      <c r="I3123" s="27">
        <v>6</v>
      </c>
      <c r="J3123" s="22"/>
      <c r="K3123" s="20">
        <v>1</v>
      </c>
      <c r="L3123" s="24">
        <v>546.4</v>
      </c>
      <c r="M3123" s="11"/>
      <c r="N3123" s="22">
        <f t="shared" si="152"/>
        <v>0</v>
      </c>
      <c r="O3123" s="25">
        <f>0.236*M3123</f>
        <v>0</v>
      </c>
      <c r="P3123" s="26">
        <f>0.00675*M3123</f>
        <v>0</v>
      </c>
      <c r="Q3123" s="30"/>
      <c r="R3123" s="22" t="s">
        <v>10845</v>
      </c>
      <c r="S3123" s="22"/>
      <c r="T3123" s="21" t="str">
        <f>HYPERLINK("https://miland.ru/api/getInfo/image/4ba933a4-7400-11ef-a265-00155d82e908")</f>
        <v>https://miland.ru/api/getInfo/image/4ba933a4-7400-11ef-a265-00155d82e908</v>
      </c>
      <c r="U3123" s="21"/>
      <c r="V3123" s="21"/>
      <c r="W3123" s="21" t="s">
        <v>10014</v>
      </c>
      <c r="X3123" s="21"/>
      <c r="Y3123" s="21" t="s">
        <v>41</v>
      </c>
      <c r="Z3123" s="21"/>
      <c r="AA3123" s="21" t="str">
        <f>HYPERLINK("https://miland.ru/api/getInfo/item/4ba933a4-7400-11ef-a265-00155d82e908")</f>
        <v>https://miland.ru/api/getInfo/item/4ba933a4-7400-11ef-a265-00155d82e908</v>
      </c>
      <c r="AB3123" s="21" t="s">
        <v>42</v>
      </c>
      <c r="AC3123" s="21" t="s">
        <v>10837</v>
      </c>
      <c r="AD3123" s="21"/>
    </row>
    <row r="3124" spans="2:31" s="1" customFormat="1" ht="96.3" customHeight="1" outlineLevel="4">
      <c r="B3124" s="57">
        <v>2431</v>
      </c>
      <c r="C3124" s="21" t="s">
        <v>10846</v>
      </c>
      <c r="D3124" s="72" t="s">
        <v>10847</v>
      </c>
      <c r="E3124" s="72"/>
      <c r="F3124" s="72"/>
      <c r="G3124" s="72"/>
      <c r="H3124" s="22" t="s">
        <v>10848</v>
      </c>
      <c r="I3124" s="23" t="s">
        <v>36</v>
      </c>
      <c r="J3124" s="22"/>
      <c r="K3124" s="20">
        <v>1</v>
      </c>
      <c r="L3124" s="24">
        <v>546.4</v>
      </c>
      <c r="M3124" s="11"/>
      <c r="N3124" s="22">
        <f t="shared" si="152"/>
        <v>0</v>
      </c>
      <c r="O3124" s="25">
        <f>0.283*M3124</f>
        <v>0</v>
      </c>
      <c r="P3124" s="26">
        <f>0.00556*M3124</f>
        <v>0</v>
      </c>
      <c r="Q3124" s="30"/>
      <c r="R3124" s="22" t="s">
        <v>10849</v>
      </c>
      <c r="S3124" s="22" t="s">
        <v>435</v>
      </c>
      <c r="T3124" s="21" t="str">
        <f>HYPERLINK("https://miland.ru/api/getInfo/image/f973fda7-c978-11ed-a230-00155d82e902")</f>
        <v>https://miland.ru/api/getInfo/image/f973fda7-c978-11ed-a230-00155d82e902</v>
      </c>
      <c r="U3124" s="21"/>
      <c r="V3124" s="21"/>
      <c r="W3124" s="21" t="s">
        <v>10014</v>
      </c>
      <c r="X3124" s="21"/>
      <c r="Y3124" s="21" t="s">
        <v>41</v>
      </c>
      <c r="Z3124" s="21"/>
      <c r="AA3124" s="21" t="str">
        <f>HYPERLINK("https://miland.ru/api/getInfo/item/f973fda7-c978-11ed-a230-00155d82e902")</f>
        <v>https://miland.ru/api/getInfo/item/f973fda7-c978-11ed-a230-00155d82e902</v>
      </c>
      <c r="AB3124" s="21" t="s">
        <v>42</v>
      </c>
      <c r="AC3124" s="21"/>
      <c r="AD3124" s="21"/>
    </row>
    <row r="3125" spans="2:31" s="1" customFormat="1" ht="96.3" customHeight="1" outlineLevel="4">
      <c r="B3125" s="57">
        <v>2432</v>
      </c>
      <c r="C3125" s="21" t="s">
        <v>10850</v>
      </c>
      <c r="D3125" s="72" t="s">
        <v>10851</v>
      </c>
      <c r="E3125" s="72"/>
      <c r="F3125" s="72"/>
      <c r="G3125" s="72"/>
      <c r="H3125" s="22" t="s">
        <v>10852</v>
      </c>
      <c r="I3125" s="27">
        <v>232</v>
      </c>
      <c r="J3125" s="22"/>
      <c r="K3125" s="20">
        <v>1</v>
      </c>
      <c r="L3125" s="24">
        <v>546.4</v>
      </c>
      <c r="M3125" s="11"/>
      <c r="N3125" s="22">
        <f t="shared" si="152"/>
        <v>0</v>
      </c>
      <c r="O3125" s="25">
        <f>0.239*M3125</f>
        <v>0</v>
      </c>
      <c r="P3125" s="26">
        <f>0.00642*M3125</f>
        <v>0</v>
      </c>
      <c r="Q3125" s="30"/>
      <c r="R3125" s="22" t="s">
        <v>10853</v>
      </c>
      <c r="S3125" s="22" t="s">
        <v>435</v>
      </c>
      <c r="T3125" s="21" t="str">
        <f>HYPERLINK("https://miland.ru/api/getInfo/image/5c2fd2ed-c97a-11ed-a230-00155d82e902")</f>
        <v>https://miland.ru/api/getInfo/image/5c2fd2ed-c97a-11ed-a230-00155d82e902</v>
      </c>
      <c r="U3125" s="21"/>
      <c r="V3125" s="21"/>
      <c r="W3125" s="21" t="s">
        <v>10014</v>
      </c>
      <c r="X3125" s="21"/>
      <c r="Y3125" s="21" t="s">
        <v>41</v>
      </c>
      <c r="Z3125" s="21"/>
      <c r="AA3125" s="21" t="str">
        <f>HYPERLINK("https://miland.ru/api/getInfo/item/5c2fd2ed-c97a-11ed-a230-00155d82e902")</f>
        <v>https://miland.ru/api/getInfo/item/5c2fd2ed-c97a-11ed-a230-00155d82e902</v>
      </c>
      <c r="AB3125" s="21" t="s">
        <v>42</v>
      </c>
      <c r="AC3125" s="21"/>
      <c r="AD3125" s="21"/>
    </row>
    <row r="3126" spans="2:31" s="1" customFormat="1" ht="96.3" customHeight="1" outlineLevel="4">
      <c r="B3126" s="57">
        <v>2433</v>
      </c>
      <c r="C3126" s="21" t="s">
        <v>10854</v>
      </c>
      <c r="D3126" s="72" t="s">
        <v>10855</v>
      </c>
      <c r="E3126" s="72"/>
      <c r="F3126" s="72"/>
      <c r="G3126" s="72"/>
      <c r="H3126" s="22" t="s">
        <v>10856</v>
      </c>
      <c r="I3126" s="27">
        <v>5</v>
      </c>
      <c r="J3126" s="22"/>
      <c r="K3126" s="20">
        <v>1</v>
      </c>
      <c r="L3126" s="24">
        <v>553.34</v>
      </c>
      <c r="M3126" s="11"/>
      <c r="N3126" s="22">
        <f t="shared" si="152"/>
        <v>0</v>
      </c>
      <c r="O3126" s="25">
        <f>0.276*M3126</f>
        <v>0</v>
      </c>
      <c r="P3126" s="26">
        <f>0.00659*M3126</f>
        <v>0</v>
      </c>
      <c r="Q3126" s="30"/>
      <c r="R3126" s="22" t="s">
        <v>10857</v>
      </c>
      <c r="S3126" s="22" t="s">
        <v>435</v>
      </c>
      <c r="T3126" s="21" t="str">
        <f>HYPERLINK("https://miland.ru/api/getInfo/image/21f7af39-9fc8-11ee-a257-00155d82e908")</f>
        <v>https://miland.ru/api/getInfo/image/21f7af39-9fc8-11ee-a257-00155d82e908</v>
      </c>
      <c r="U3126" s="21"/>
      <c r="V3126" s="21"/>
      <c r="W3126" s="21"/>
      <c r="X3126" s="21"/>
      <c r="Y3126" s="21" t="s">
        <v>41</v>
      </c>
      <c r="Z3126" s="21"/>
      <c r="AA3126" s="21" t="str">
        <f>HYPERLINK("https://miland.ru/api/getInfo/item/21f7af39-9fc8-11ee-a257-00155d82e908")</f>
        <v>https://miland.ru/api/getInfo/item/21f7af39-9fc8-11ee-a257-00155d82e908</v>
      </c>
      <c r="AB3126" s="21" t="s">
        <v>42</v>
      </c>
      <c r="AC3126" s="21" t="s">
        <v>10837</v>
      </c>
      <c r="AD3126" s="21"/>
    </row>
    <row r="3127" spans="2:31" s="1" customFormat="1" ht="96.3" customHeight="1" outlineLevel="4">
      <c r="B3127" s="57">
        <v>2434</v>
      </c>
      <c r="C3127" s="21" t="s">
        <v>10858</v>
      </c>
      <c r="D3127" s="72" t="s">
        <v>10859</v>
      </c>
      <c r="E3127" s="72"/>
      <c r="F3127" s="72"/>
      <c r="G3127" s="72"/>
      <c r="H3127" s="22" t="s">
        <v>10860</v>
      </c>
      <c r="I3127" s="27">
        <v>5</v>
      </c>
      <c r="J3127" s="22"/>
      <c r="K3127" s="20">
        <v>1</v>
      </c>
      <c r="L3127" s="24">
        <v>553.34</v>
      </c>
      <c r="M3127" s="11"/>
      <c r="N3127" s="22">
        <f t="shared" si="152"/>
        <v>0</v>
      </c>
      <c r="O3127" s="25">
        <f>0.261*M3127</f>
        <v>0</v>
      </c>
      <c r="P3127" s="26">
        <f>0.00336*M3127</f>
        <v>0</v>
      </c>
      <c r="Q3127" s="30"/>
      <c r="R3127" s="22" t="s">
        <v>10861</v>
      </c>
      <c r="S3127" s="22" t="s">
        <v>435</v>
      </c>
      <c r="T3127" s="21" t="str">
        <f>HYPERLINK("https://miland.ru/api/getInfo/image/f03953af-9fc7-11ee-a257-00155d82e908")</f>
        <v>https://miland.ru/api/getInfo/image/f03953af-9fc7-11ee-a257-00155d82e908</v>
      </c>
      <c r="U3127" s="21"/>
      <c r="V3127" s="21"/>
      <c r="W3127" s="21"/>
      <c r="X3127" s="21"/>
      <c r="Y3127" s="21" t="s">
        <v>41</v>
      </c>
      <c r="Z3127" s="21"/>
      <c r="AA3127" s="21" t="str">
        <f>HYPERLINK("https://miland.ru/api/getInfo/item/f03953af-9fc7-11ee-a257-00155d82e908")</f>
        <v>https://miland.ru/api/getInfo/item/f03953af-9fc7-11ee-a257-00155d82e908</v>
      </c>
      <c r="AB3127" s="21" t="s">
        <v>42</v>
      </c>
      <c r="AC3127" s="21" t="s">
        <v>10837</v>
      </c>
      <c r="AD3127" s="21"/>
    </row>
    <row r="3128" spans="2:31" s="1" customFormat="1" ht="96.3" customHeight="1" outlineLevel="4">
      <c r="B3128" s="57">
        <v>2435</v>
      </c>
      <c r="C3128" s="21" t="s">
        <v>10862</v>
      </c>
      <c r="D3128" s="72" t="s">
        <v>10863</v>
      </c>
      <c r="E3128" s="72"/>
      <c r="F3128" s="72"/>
      <c r="G3128" s="72"/>
      <c r="H3128" s="22" t="s">
        <v>10864</v>
      </c>
      <c r="I3128" s="27">
        <v>5</v>
      </c>
      <c r="J3128" s="22"/>
      <c r="K3128" s="20">
        <v>1</v>
      </c>
      <c r="L3128" s="24">
        <v>553.34</v>
      </c>
      <c r="M3128" s="11"/>
      <c r="N3128" s="22">
        <f t="shared" si="152"/>
        <v>0</v>
      </c>
      <c r="O3128" s="25">
        <f>0.275*M3128</f>
        <v>0</v>
      </c>
      <c r="P3128" s="26">
        <f>0.00743*M3128</f>
        <v>0</v>
      </c>
      <c r="Q3128" s="30"/>
      <c r="R3128" s="22" t="s">
        <v>10865</v>
      </c>
      <c r="S3128" s="22" t="s">
        <v>435</v>
      </c>
      <c r="T3128" s="21" t="str">
        <f>HYPERLINK("https://miland.ru/api/getInfo/image/cdec50ac-9fc7-11ee-a257-00155d82e908")</f>
        <v>https://miland.ru/api/getInfo/image/cdec50ac-9fc7-11ee-a257-00155d82e908</v>
      </c>
      <c r="U3128" s="21"/>
      <c r="V3128" s="21"/>
      <c r="W3128" s="21"/>
      <c r="X3128" s="21"/>
      <c r="Y3128" s="21" t="s">
        <v>41</v>
      </c>
      <c r="Z3128" s="21"/>
      <c r="AA3128" s="21" t="str">
        <f>HYPERLINK("https://miland.ru/api/getInfo/item/cdec50ac-9fc7-11ee-a257-00155d82e908")</f>
        <v>https://miland.ru/api/getInfo/item/cdec50ac-9fc7-11ee-a257-00155d82e908</v>
      </c>
      <c r="AB3128" s="21" t="s">
        <v>42</v>
      </c>
      <c r="AC3128" s="21" t="s">
        <v>10837</v>
      </c>
      <c r="AD3128" s="21"/>
    </row>
    <row r="3129" spans="2:31" s="1" customFormat="1" ht="96.3" customHeight="1" outlineLevel="4">
      <c r="B3129" s="58">
        <v>2436</v>
      </c>
      <c r="C3129" s="7" t="s">
        <v>10866</v>
      </c>
      <c r="D3129" s="71" t="s">
        <v>10867</v>
      </c>
      <c r="E3129" s="71"/>
      <c r="F3129" s="71"/>
      <c r="G3129" s="71"/>
      <c r="H3129" s="8" t="s">
        <v>10868</v>
      </c>
      <c r="I3129" s="14">
        <v>5</v>
      </c>
      <c r="J3129" s="8"/>
      <c r="K3129" s="6">
        <v>1</v>
      </c>
      <c r="L3129" s="10">
        <v>546.4</v>
      </c>
      <c r="M3129" s="11"/>
      <c r="N3129" s="8">
        <f t="shared" si="152"/>
        <v>0</v>
      </c>
      <c r="O3129" s="12">
        <f>0.235*M3129</f>
        <v>0</v>
      </c>
      <c r="P3129" s="13">
        <f>0.00366*M3129</f>
        <v>0</v>
      </c>
      <c r="Q3129" s="17" t="s">
        <v>37</v>
      </c>
      <c r="R3129" s="8" t="s">
        <v>10869</v>
      </c>
      <c r="S3129" s="8"/>
      <c r="T3129" s="7" t="str">
        <f>HYPERLINK("https://miland.ru/api/getInfo/image/18829354-b64c-11f0-a286-00155d82e908")</f>
        <v>https://miland.ru/api/getInfo/image/18829354-b64c-11f0-a286-00155d82e908</v>
      </c>
      <c r="U3129" s="7"/>
      <c r="V3129" s="7"/>
      <c r="W3129" s="7" t="s">
        <v>10014</v>
      </c>
      <c r="X3129" s="7"/>
      <c r="Y3129" s="7" t="s">
        <v>41</v>
      </c>
      <c r="Z3129" s="7"/>
      <c r="AA3129" s="7" t="str">
        <f>HYPERLINK("https://miland.ru/api/getInfo/item/18829354-b64c-11f0-a286-00155d82e908")</f>
        <v>https://miland.ru/api/getInfo/item/18829354-b64c-11f0-a286-00155d82e908</v>
      </c>
      <c r="AB3129" s="7" t="s">
        <v>42</v>
      </c>
      <c r="AC3129" s="7"/>
      <c r="AD3129" s="7"/>
      <c r="AE3129" s="54"/>
    </row>
    <row r="3130" spans="2:31" s="1" customFormat="1" ht="96.3" customHeight="1" outlineLevel="4">
      <c r="B3130" s="57">
        <v>2437</v>
      </c>
      <c r="C3130" s="21" t="s">
        <v>10870</v>
      </c>
      <c r="D3130" s="72" t="s">
        <v>10871</v>
      </c>
      <c r="E3130" s="72"/>
      <c r="F3130" s="72"/>
      <c r="G3130" s="72"/>
      <c r="H3130" s="22" t="s">
        <v>10872</v>
      </c>
      <c r="I3130" s="27">
        <v>437</v>
      </c>
      <c r="J3130" s="22"/>
      <c r="K3130" s="20">
        <v>1</v>
      </c>
      <c r="L3130" s="24">
        <v>546.4</v>
      </c>
      <c r="M3130" s="11"/>
      <c r="N3130" s="22">
        <f t="shared" si="152"/>
        <v>0</v>
      </c>
      <c r="O3130" s="25">
        <f>0.233*M3130</f>
        <v>0</v>
      </c>
      <c r="P3130" s="26">
        <f>0.00264*M3130</f>
        <v>0</v>
      </c>
      <c r="Q3130" s="30"/>
      <c r="R3130" s="22" t="s">
        <v>10873</v>
      </c>
      <c r="S3130" s="22" t="s">
        <v>435</v>
      </c>
      <c r="T3130" s="21" t="str">
        <f>HYPERLINK("https://miland.ru/api/getInfo/image/9715839b-c97a-11ed-a230-00155d82e902")</f>
        <v>https://miland.ru/api/getInfo/image/9715839b-c97a-11ed-a230-00155d82e902</v>
      </c>
      <c r="U3130" s="21"/>
      <c r="V3130" s="21"/>
      <c r="W3130" s="21" t="s">
        <v>10014</v>
      </c>
      <c r="X3130" s="21"/>
      <c r="Y3130" s="21" t="s">
        <v>41</v>
      </c>
      <c r="Z3130" s="21"/>
      <c r="AA3130" s="21" t="str">
        <f>HYPERLINK("https://miland.ru/api/getInfo/item/9715839b-c97a-11ed-a230-00155d82e902")</f>
        <v>https://miland.ru/api/getInfo/item/9715839b-c97a-11ed-a230-00155d82e902</v>
      </c>
      <c r="AB3130" s="21" t="s">
        <v>42</v>
      </c>
      <c r="AC3130" s="21"/>
      <c r="AD3130" s="21"/>
    </row>
    <row r="3131" spans="2:31" s="1" customFormat="1" ht="96.3" customHeight="1" outlineLevel="4">
      <c r="B3131" s="57">
        <v>2438</v>
      </c>
      <c r="C3131" s="21" t="s">
        <v>10874</v>
      </c>
      <c r="D3131" s="72" t="s">
        <v>10875</v>
      </c>
      <c r="E3131" s="72"/>
      <c r="F3131" s="72"/>
      <c r="G3131" s="72"/>
      <c r="H3131" s="22" t="s">
        <v>10876</v>
      </c>
      <c r="I3131" s="27">
        <v>6</v>
      </c>
      <c r="J3131" s="22"/>
      <c r="K3131" s="20">
        <v>1</v>
      </c>
      <c r="L3131" s="24">
        <v>546.4</v>
      </c>
      <c r="M3131" s="11"/>
      <c r="N3131" s="22">
        <f t="shared" si="152"/>
        <v>0</v>
      </c>
      <c r="O3131" s="25">
        <f>0.235*M3131</f>
        <v>0</v>
      </c>
      <c r="P3131" s="26">
        <f>0.00377*M3131</f>
        <v>0</v>
      </c>
      <c r="Q3131" s="30"/>
      <c r="R3131" s="22" t="s">
        <v>10877</v>
      </c>
      <c r="S3131" s="22" t="s">
        <v>435</v>
      </c>
      <c r="T3131" s="21" t="str">
        <f>HYPERLINK("https://miland.ru/api/getInfo/image/2f7d2cfa-5625-11ee-a245-00155d82e902")</f>
        <v>https://miland.ru/api/getInfo/image/2f7d2cfa-5625-11ee-a245-00155d82e902</v>
      </c>
      <c r="U3131" s="21"/>
      <c r="V3131" s="21"/>
      <c r="W3131" s="21" t="s">
        <v>10014</v>
      </c>
      <c r="X3131" s="21"/>
      <c r="Y3131" s="21" t="s">
        <v>41</v>
      </c>
      <c r="Z3131" s="21"/>
      <c r="AA3131" s="21" t="str">
        <f>HYPERLINK("https://miland.ru/api/getInfo/item/2f7d2cfa-5625-11ee-a245-00155d82e902")</f>
        <v>https://miland.ru/api/getInfo/item/2f7d2cfa-5625-11ee-a245-00155d82e902</v>
      </c>
      <c r="AB3131" s="21" t="s">
        <v>42</v>
      </c>
      <c r="AC3131" s="21" t="s">
        <v>10837</v>
      </c>
      <c r="AD3131" s="21"/>
    </row>
    <row r="3132" spans="2:31" s="1" customFormat="1" ht="96.3" customHeight="1" outlineLevel="4">
      <c r="B3132" s="57">
        <v>2439</v>
      </c>
      <c r="C3132" s="21" t="s">
        <v>10878</v>
      </c>
      <c r="D3132" s="72" t="s">
        <v>10879</v>
      </c>
      <c r="E3132" s="72"/>
      <c r="F3132" s="72"/>
      <c r="G3132" s="72"/>
      <c r="H3132" s="22" t="s">
        <v>10880</v>
      </c>
      <c r="I3132" s="27">
        <v>5</v>
      </c>
      <c r="J3132" s="22"/>
      <c r="K3132" s="20">
        <v>1</v>
      </c>
      <c r="L3132" s="24">
        <v>534.6</v>
      </c>
      <c r="M3132" s="11"/>
      <c r="N3132" s="22">
        <f t="shared" si="152"/>
        <v>0</v>
      </c>
      <c r="O3132" s="25">
        <f>0.239*M3132</f>
        <v>0</v>
      </c>
      <c r="P3132" s="26">
        <f>0.00642*M3132</f>
        <v>0</v>
      </c>
      <c r="Q3132" s="30"/>
      <c r="R3132" s="22" t="s">
        <v>10881</v>
      </c>
      <c r="S3132" s="22" t="s">
        <v>435</v>
      </c>
      <c r="T3132" s="21" t="str">
        <f>HYPERLINK("https://miland.ru/api/getInfo/image/2e7c9b44-5626-11ee-a245-00155d82e902")</f>
        <v>https://miland.ru/api/getInfo/image/2e7c9b44-5626-11ee-a245-00155d82e902</v>
      </c>
      <c r="U3132" s="21"/>
      <c r="V3132" s="21"/>
      <c r="W3132" s="21" t="s">
        <v>10014</v>
      </c>
      <c r="X3132" s="21"/>
      <c r="Y3132" s="21" t="s">
        <v>41</v>
      </c>
      <c r="Z3132" s="21"/>
      <c r="AA3132" s="21" t="str">
        <f>HYPERLINK("https://miland.ru/api/getInfo/item/2e7c9b44-5626-11ee-a245-00155d82e902")</f>
        <v>https://miland.ru/api/getInfo/item/2e7c9b44-5626-11ee-a245-00155d82e902</v>
      </c>
      <c r="AB3132" s="21" t="s">
        <v>42</v>
      </c>
      <c r="AC3132" s="21" t="s">
        <v>10837</v>
      </c>
      <c r="AD3132" s="21"/>
    </row>
    <row r="3133" spans="2:31" s="1" customFormat="1" ht="96.3" customHeight="1" outlineLevel="4">
      <c r="B3133" s="57">
        <v>2440</v>
      </c>
      <c r="C3133" s="21" t="s">
        <v>10882</v>
      </c>
      <c r="D3133" s="72" t="s">
        <v>10883</v>
      </c>
      <c r="E3133" s="72"/>
      <c r="F3133" s="72"/>
      <c r="G3133" s="72"/>
      <c r="H3133" s="22" t="s">
        <v>10884</v>
      </c>
      <c r="I3133" s="27">
        <v>6</v>
      </c>
      <c r="J3133" s="22"/>
      <c r="K3133" s="20">
        <v>1</v>
      </c>
      <c r="L3133" s="24">
        <v>546.4</v>
      </c>
      <c r="M3133" s="11"/>
      <c r="N3133" s="22">
        <f t="shared" si="152"/>
        <v>0</v>
      </c>
      <c r="O3133" s="25">
        <f>0.239*M3133</f>
        <v>0</v>
      </c>
      <c r="P3133" s="26">
        <f>0.00502*M3133</f>
        <v>0</v>
      </c>
      <c r="Q3133" s="30"/>
      <c r="R3133" s="22" t="s">
        <v>10885</v>
      </c>
      <c r="S3133" s="22" t="s">
        <v>435</v>
      </c>
      <c r="T3133" s="21" t="str">
        <f>HYPERLINK("https://miland.ru/api/getInfo/image/d3ffa6b3-c979-11ed-a230-00155d82e902")</f>
        <v>https://miland.ru/api/getInfo/image/d3ffa6b3-c979-11ed-a230-00155d82e902</v>
      </c>
      <c r="U3133" s="21"/>
      <c r="V3133" s="21"/>
      <c r="W3133" s="21" t="s">
        <v>10014</v>
      </c>
      <c r="X3133" s="21"/>
      <c r="Y3133" s="21" t="s">
        <v>41</v>
      </c>
      <c r="Z3133" s="21"/>
      <c r="AA3133" s="21" t="str">
        <f>HYPERLINK("https://miland.ru/api/getInfo/item/d3ffa6b3-c979-11ed-a230-00155d82e902")</f>
        <v>https://miland.ru/api/getInfo/item/d3ffa6b3-c979-11ed-a230-00155d82e902</v>
      </c>
      <c r="AB3133" s="21" t="s">
        <v>42</v>
      </c>
      <c r="AC3133" s="21"/>
      <c r="AD3133" s="21"/>
    </row>
    <row r="3134" spans="2:31" s="1" customFormat="1" ht="96.3" customHeight="1" outlineLevel="4">
      <c r="B3134" s="57">
        <v>2441</v>
      </c>
      <c r="C3134" s="21" t="s">
        <v>10886</v>
      </c>
      <c r="D3134" s="72" t="s">
        <v>10887</v>
      </c>
      <c r="E3134" s="72"/>
      <c r="F3134" s="72"/>
      <c r="G3134" s="72"/>
      <c r="H3134" s="22" t="s">
        <v>10888</v>
      </c>
      <c r="I3134" s="27">
        <v>6</v>
      </c>
      <c r="J3134" s="22"/>
      <c r="K3134" s="20">
        <v>1</v>
      </c>
      <c r="L3134" s="24">
        <v>553.34</v>
      </c>
      <c r="M3134" s="11"/>
      <c r="N3134" s="22">
        <f t="shared" si="152"/>
        <v>0</v>
      </c>
      <c r="O3134" s="25">
        <f>0.371*M3134</f>
        <v>0</v>
      </c>
      <c r="P3134" s="26">
        <f>0.00894*M3134</f>
        <v>0</v>
      </c>
      <c r="Q3134" s="30"/>
      <c r="R3134" s="22" t="s">
        <v>10889</v>
      </c>
      <c r="S3134" s="22" t="s">
        <v>435</v>
      </c>
      <c r="T3134" s="21" t="str">
        <f>HYPERLINK("https://miland.ru/api/getInfo/image/87162e24-9fc9-11ee-a257-00155d82e908")</f>
        <v>https://miland.ru/api/getInfo/image/87162e24-9fc9-11ee-a257-00155d82e908</v>
      </c>
      <c r="U3134" s="21"/>
      <c r="V3134" s="21"/>
      <c r="W3134" s="21"/>
      <c r="X3134" s="21"/>
      <c r="Y3134" s="21" t="s">
        <v>41</v>
      </c>
      <c r="Z3134" s="21"/>
      <c r="AA3134" s="21" t="str">
        <f>HYPERLINK("https://miland.ru/api/getInfo/item/87162e24-9fc9-11ee-a257-00155d82e908")</f>
        <v>https://miland.ru/api/getInfo/item/87162e24-9fc9-11ee-a257-00155d82e908</v>
      </c>
      <c r="AB3134" s="21" t="s">
        <v>42</v>
      </c>
      <c r="AC3134" s="21" t="s">
        <v>10890</v>
      </c>
      <c r="AD3134" s="21"/>
    </row>
    <row r="3135" spans="2:31" s="1" customFormat="1" ht="96.3" customHeight="1" outlineLevel="4">
      <c r="B3135" s="57">
        <v>2442</v>
      </c>
      <c r="C3135" s="21" t="s">
        <v>10891</v>
      </c>
      <c r="D3135" s="72" t="s">
        <v>10892</v>
      </c>
      <c r="E3135" s="72"/>
      <c r="F3135" s="72"/>
      <c r="G3135" s="72"/>
      <c r="H3135" s="22" t="s">
        <v>10893</v>
      </c>
      <c r="I3135" s="27">
        <v>89</v>
      </c>
      <c r="J3135" s="22"/>
      <c r="K3135" s="20">
        <v>1</v>
      </c>
      <c r="L3135" s="24">
        <v>534.6</v>
      </c>
      <c r="M3135" s="11"/>
      <c r="N3135" s="22">
        <f t="shared" si="152"/>
        <v>0</v>
      </c>
      <c r="O3135" s="28">
        <f>0.24*M3135</f>
        <v>0</v>
      </c>
      <c r="P3135" s="26">
        <f>0.00265*M3135</f>
        <v>0</v>
      </c>
      <c r="Q3135" s="30"/>
      <c r="R3135" s="22" t="s">
        <v>10894</v>
      </c>
      <c r="S3135" s="22" t="s">
        <v>435</v>
      </c>
      <c r="T3135" s="21" t="str">
        <f>HYPERLINK("https://miland.ru/api/getInfo/image/1b37a34c-c97a-11ed-a230-00155d82e902")</f>
        <v>https://miland.ru/api/getInfo/image/1b37a34c-c97a-11ed-a230-00155d82e902</v>
      </c>
      <c r="U3135" s="21"/>
      <c r="V3135" s="21"/>
      <c r="W3135" s="21" t="s">
        <v>10014</v>
      </c>
      <c r="X3135" s="21"/>
      <c r="Y3135" s="21" t="s">
        <v>41</v>
      </c>
      <c r="Z3135" s="21"/>
      <c r="AA3135" s="21" t="str">
        <f>HYPERLINK("https://miland.ru/api/getInfo/item/1b37a34c-c97a-11ed-a230-00155d82e902")</f>
        <v>https://miland.ru/api/getInfo/item/1b37a34c-c97a-11ed-a230-00155d82e902</v>
      </c>
      <c r="AB3135" s="21" t="s">
        <v>42</v>
      </c>
      <c r="AC3135" s="21"/>
      <c r="AD3135" s="21"/>
    </row>
    <row r="3136" spans="2:31" s="1" customFormat="1" ht="96.3" customHeight="1" outlineLevel="4">
      <c r="B3136" s="57">
        <v>2443</v>
      </c>
      <c r="C3136" s="21" t="s">
        <v>10895</v>
      </c>
      <c r="D3136" s="72" t="s">
        <v>10896</v>
      </c>
      <c r="E3136" s="72"/>
      <c r="F3136" s="72"/>
      <c r="G3136" s="72"/>
      <c r="H3136" s="22" t="s">
        <v>10897</v>
      </c>
      <c r="I3136" s="27">
        <v>244</v>
      </c>
      <c r="J3136" s="22"/>
      <c r="K3136" s="20">
        <v>1</v>
      </c>
      <c r="L3136" s="24">
        <v>546.4</v>
      </c>
      <c r="M3136" s="11"/>
      <c r="N3136" s="22">
        <f t="shared" si="152"/>
        <v>0</v>
      </c>
      <c r="O3136" s="25">
        <f>0.233*M3136</f>
        <v>0</v>
      </c>
      <c r="P3136" s="26">
        <f>0.00291*M3136</f>
        <v>0</v>
      </c>
      <c r="Q3136" s="30"/>
      <c r="R3136" s="22" t="s">
        <v>10898</v>
      </c>
      <c r="S3136" s="22" t="s">
        <v>435</v>
      </c>
      <c r="T3136" s="21" t="str">
        <f>HYPERLINK("https://miland.ru/api/getInfo/image/b840a68d-ca69-11ea-a249-ac1f6b442184")</f>
        <v>https://miland.ru/api/getInfo/image/b840a68d-ca69-11ea-a249-ac1f6b442184</v>
      </c>
      <c r="U3136" s="21"/>
      <c r="V3136" s="21"/>
      <c r="W3136" s="21" t="s">
        <v>10014</v>
      </c>
      <c r="X3136" s="21"/>
      <c r="Y3136" s="21" t="s">
        <v>41</v>
      </c>
      <c r="Z3136" s="21"/>
      <c r="AA3136" s="21" t="str">
        <f>HYPERLINK("https://miland.ru/api/getInfo/item/b840a68d-ca69-11ea-a249-ac1f6b442184")</f>
        <v>https://miland.ru/api/getInfo/item/b840a68d-ca69-11ea-a249-ac1f6b442184</v>
      </c>
      <c r="AB3136" s="21" t="s">
        <v>42</v>
      </c>
      <c r="AC3136" s="21" t="s">
        <v>10899</v>
      </c>
      <c r="AD3136" s="21"/>
    </row>
    <row r="3137" spans="2:31" s="1" customFormat="1" ht="96.3" customHeight="1" outlineLevel="4">
      <c r="B3137" s="57">
        <v>2444</v>
      </c>
      <c r="C3137" s="21" t="s">
        <v>10900</v>
      </c>
      <c r="D3137" s="72" t="s">
        <v>10901</v>
      </c>
      <c r="E3137" s="72"/>
      <c r="F3137" s="72"/>
      <c r="G3137" s="72"/>
      <c r="H3137" s="22" t="s">
        <v>10902</v>
      </c>
      <c r="I3137" s="27">
        <v>5</v>
      </c>
      <c r="J3137" s="22"/>
      <c r="K3137" s="20">
        <v>1</v>
      </c>
      <c r="L3137" s="24">
        <v>546.4</v>
      </c>
      <c r="M3137" s="11"/>
      <c r="N3137" s="22">
        <f t="shared" si="152"/>
        <v>0</v>
      </c>
      <c r="O3137" s="25">
        <f>0.234*M3137</f>
        <v>0</v>
      </c>
      <c r="P3137" s="26">
        <f>0.00404*M3137</f>
        <v>0</v>
      </c>
      <c r="Q3137" s="30"/>
      <c r="R3137" s="22" t="s">
        <v>10903</v>
      </c>
      <c r="S3137" s="22" t="s">
        <v>435</v>
      </c>
      <c r="T3137" s="21" t="str">
        <f>HYPERLINK("https://miland.ru/api/getInfo/image/1ad42603-ca69-11ea-a249-ac1f6b442184")</f>
        <v>https://miland.ru/api/getInfo/image/1ad42603-ca69-11ea-a249-ac1f6b442184</v>
      </c>
      <c r="U3137" s="21"/>
      <c r="V3137" s="21"/>
      <c r="W3137" s="21" t="s">
        <v>10014</v>
      </c>
      <c r="X3137" s="21"/>
      <c r="Y3137" s="21" t="s">
        <v>41</v>
      </c>
      <c r="Z3137" s="21"/>
      <c r="AA3137" s="21" t="str">
        <f>HYPERLINK("https://miland.ru/api/getInfo/item/1ad42603-ca69-11ea-a249-ac1f6b442184")</f>
        <v>https://miland.ru/api/getInfo/item/1ad42603-ca69-11ea-a249-ac1f6b442184</v>
      </c>
      <c r="AB3137" s="21" t="s">
        <v>42</v>
      </c>
      <c r="AC3137" s="21" t="s">
        <v>10899</v>
      </c>
      <c r="AD3137" s="21"/>
    </row>
    <row r="3138" spans="2:31" s="1" customFormat="1" ht="96.3" customHeight="1" outlineLevel="4">
      <c r="B3138" s="57">
        <v>2445</v>
      </c>
      <c r="C3138" s="21" t="s">
        <v>10904</v>
      </c>
      <c r="D3138" s="72" t="s">
        <v>10905</v>
      </c>
      <c r="E3138" s="72"/>
      <c r="F3138" s="72"/>
      <c r="G3138" s="72"/>
      <c r="H3138" s="22" t="s">
        <v>10906</v>
      </c>
      <c r="I3138" s="27">
        <v>5</v>
      </c>
      <c r="J3138" s="22"/>
      <c r="K3138" s="20">
        <v>1</v>
      </c>
      <c r="L3138" s="24">
        <v>546.4</v>
      </c>
      <c r="M3138" s="11"/>
      <c r="N3138" s="22">
        <f t="shared" si="152"/>
        <v>0</v>
      </c>
      <c r="O3138" s="25">
        <f>0.247*M3138</f>
        <v>0</v>
      </c>
      <c r="P3138" s="26">
        <f>0.00396*M3138</f>
        <v>0</v>
      </c>
      <c r="Q3138" s="30"/>
      <c r="R3138" s="22" t="s">
        <v>10907</v>
      </c>
      <c r="S3138" s="22" t="s">
        <v>435</v>
      </c>
      <c r="T3138" s="21" t="str">
        <f>HYPERLINK("https://miland.ru/api/getInfo/image/9af7fd0b-6032-11ed-a229-00155d82e902")</f>
        <v>https://miland.ru/api/getInfo/image/9af7fd0b-6032-11ed-a229-00155d82e902</v>
      </c>
      <c r="U3138" s="21"/>
      <c r="V3138" s="21"/>
      <c r="W3138" s="21" t="s">
        <v>10014</v>
      </c>
      <c r="X3138" s="21"/>
      <c r="Y3138" s="21" t="s">
        <v>41</v>
      </c>
      <c r="Z3138" s="21"/>
      <c r="AA3138" s="21" t="str">
        <f>HYPERLINK("https://miland.ru/api/getInfo/item/9af7fd0b-6032-11ed-a229-00155d82e902")</f>
        <v>https://miland.ru/api/getInfo/item/9af7fd0b-6032-11ed-a229-00155d82e902</v>
      </c>
      <c r="AB3138" s="21" t="s">
        <v>42</v>
      </c>
      <c r="AC3138" s="21" t="s">
        <v>10837</v>
      </c>
      <c r="AD3138" s="21"/>
    </row>
    <row r="3139" spans="2:31" s="1" customFormat="1" ht="96.3" customHeight="1" outlineLevel="4">
      <c r="B3139" s="57">
        <v>2446</v>
      </c>
      <c r="C3139" s="21" t="s">
        <v>10908</v>
      </c>
      <c r="D3139" s="72" t="s">
        <v>10909</v>
      </c>
      <c r="E3139" s="72"/>
      <c r="F3139" s="72"/>
      <c r="G3139" s="72"/>
      <c r="H3139" s="22" t="s">
        <v>10910</v>
      </c>
      <c r="I3139" s="27">
        <v>5</v>
      </c>
      <c r="J3139" s="22"/>
      <c r="K3139" s="20">
        <v>1</v>
      </c>
      <c r="L3139" s="24">
        <v>576.5</v>
      </c>
      <c r="M3139" s="11"/>
      <c r="N3139" s="22">
        <f t="shared" si="152"/>
        <v>0</v>
      </c>
      <c r="O3139" s="25">
        <f>0.137*M3139</f>
        <v>0</v>
      </c>
      <c r="P3139" s="26">
        <f>0.00065*M3139</f>
        <v>0</v>
      </c>
      <c r="Q3139" s="30"/>
      <c r="R3139" s="22" t="s">
        <v>10911</v>
      </c>
      <c r="S3139" s="22" t="s">
        <v>435</v>
      </c>
      <c r="T3139" s="21" t="str">
        <f>HYPERLINK("https://miland.ru/api/getInfo/image/5204c199-a27d-11ef-a267-00155d82e908")</f>
        <v>https://miland.ru/api/getInfo/image/5204c199-a27d-11ef-a267-00155d82e908</v>
      </c>
      <c r="U3139" s="21"/>
      <c r="V3139" s="21"/>
      <c r="W3139" s="21" t="s">
        <v>10014</v>
      </c>
      <c r="X3139" s="21"/>
      <c r="Y3139" s="21" t="s">
        <v>41</v>
      </c>
      <c r="Z3139" s="21"/>
      <c r="AA3139" s="21" t="str">
        <f>HYPERLINK("https://miland.ru/api/getInfo/item/5204c199-a27d-11ef-a267-00155d82e908")</f>
        <v>https://miland.ru/api/getInfo/item/5204c199-a27d-11ef-a267-00155d82e908</v>
      </c>
      <c r="AB3139" s="21" t="s">
        <v>42</v>
      </c>
      <c r="AC3139" s="21" t="s">
        <v>10912</v>
      </c>
      <c r="AD3139" s="21"/>
    </row>
    <row r="3140" spans="2:31" ht="12" customHeight="1" outlineLevel="3">
      <c r="B3140" s="70" t="s">
        <v>10913</v>
      </c>
      <c r="C3140" s="70"/>
      <c r="D3140" s="70"/>
      <c r="E3140" s="70"/>
      <c r="F3140" s="70"/>
      <c r="G3140" s="70"/>
    </row>
    <row r="3141" spans="2:31" s="1" customFormat="1" ht="96.3" customHeight="1" outlineLevel="4">
      <c r="B3141" s="58">
        <v>2447</v>
      </c>
      <c r="C3141" s="7" t="s">
        <v>10914</v>
      </c>
      <c r="D3141" s="71" t="s">
        <v>10915</v>
      </c>
      <c r="E3141" s="71"/>
      <c r="F3141" s="71"/>
      <c r="G3141" s="71"/>
      <c r="H3141" s="8" t="s">
        <v>10916</v>
      </c>
      <c r="I3141" s="14">
        <v>292</v>
      </c>
      <c r="J3141" s="8"/>
      <c r="K3141" s="6">
        <v>1</v>
      </c>
      <c r="L3141" s="10">
        <v>403.98</v>
      </c>
      <c r="M3141" s="11"/>
      <c r="N3141" s="8">
        <f>L3141*M3141</f>
        <v>0</v>
      </c>
      <c r="O3141" s="12">
        <f>0.157*M3141</f>
        <v>0</v>
      </c>
      <c r="P3141" s="13">
        <f>0.01052*M3141</f>
        <v>0</v>
      </c>
      <c r="Q3141" s="17" t="s">
        <v>37</v>
      </c>
      <c r="R3141" s="8" t="s">
        <v>10917</v>
      </c>
      <c r="S3141" s="8"/>
      <c r="T3141" s="7" t="str">
        <f>HYPERLINK("https://miland.ru/api/getInfo/image/7ebf2e4f-c074-11f0-a289-00155d82e908")</f>
        <v>https://miland.ru/api/getInfo/image/7ebf2e4f-c074-11f0-a289-00155d82e908</v>
      </c>
      <c r="U3141" s="7"/>
      <c r="V3141" s="7"/>
      <c r="W3141" s="7" t="s">
        <v>10918</v>
      </c>
      <c r="X3141" s="7" t="s">
        <v>172</v>
      </c>
      <c r="Y3141" s="7" t="s">
        <v>10405</v>
      </c>
      <c r="Z3141" s="7" t="s">
        <v>10919</v>
      </c>
      <c r="AA3141" s="7" t="str">
        <f>HYPERLINK("https://miland.ru/api/getInfo/item/7ebf2e4f-c074-11f0-a289-00155d82e908")</f>
        <v>https://miland.ru/api/getInfo/item/7ebf2e4f-c074-11f0-a289-00155d82e908</v>
      </c>
      <c r="AB3141" s="7" t="s">
        <v>42</v>
      </c>
      <c r="AC3141" s="7"/>
      <c r="AD3141" s="7"/>
      <c r="AE3141" s="54"/>
    </row>
    <row r="3142" spans="2:31" s="1" customFormat="1" ht="96.3" customHeight="1" outlineLevel="4">
      <c r="B3142" s="58">
        <v>2448</v>
      </c>
      <c r="C3142" s="7" t="s">
        <v>10920</v>
      </c>
      <c r="D3142" s="71" t="s">
        <v>10921</v>
      </c>
      <c r="E3142" s="71"/>
      <c r="F3142" s="71"/>
      <c r="G3142" s="71"/>
      <c r="H3142" s="8" t="s">
        <v>10922</v>
      </c>
      <c r="I3142" s="14">
        <v>11</v>
      </c>
      <c r="J3142" s="8"/>
      <c r="K3142" s="6">
        <v>1</v>
      </c>
      <c r="L3142" s="10">
        <v>439.11</v>
      </c>
      <c r="M3142" s="11"/>
      <c r="N3142" s="8">
        <f>L3142*M3142</f>
        <v>0</v>
      </c>
      <c r="O3142" s="18">
        <f>0.15*M3142</f>
        <v>0</v>
      </c>
      <c r="P3142" s="13">
        <f>0.01621*M3142</f>
        <v>0</v>
      </c>
      <c r="Q3142" s="17" t="s">
        <v>37</v>
      </c>
      <c r="R3142" s="8" t="s">
        <v>10923</v>
      </c>
      <c r="S3142" s="8"/>
      <c r="T3142" s="7" t="str">
        <f>HYPERLINK("https://miland.ru/api/getInfo/image/c1a745f3-c074-11f0-a289-00155d82e908")</f>
        <v>https://miland.ru/api/getInfo/image/c1a745f3-c074-11f0-a289-00155d82e908</v>
      </c>
      <c r="U3142" s="7"/>
      <c r="V3142" s="7"/>
      <c r="W3142" s="7" t="s">
        <v>10918</v>
      </c>
      <c r="X3142" s="7" t="s">
        <v>172</v>
      </c>
      <c r="Y3142" s="7" t="s">
        <v>10405</v>
      </c>
      <c r="Z3142" s="7" t="s">
        <v>10924</v>
      </c>
      <c r="AA3142" s="7" t="str">
        <f>HYPERLINK("https://miland.ru/api/getInfo/item/c1a745f3-c074-11f0-a289-00155d82e908")</f>
        <v>https://miland.ru/api/getInfo/item/c1a745f3-c074-11f0-a289-00155d82e908</v>
      </c>
      <c r="AB3142" s="7" t="s">
        <v>42</v>
      </c>
      <c r="AC3142" s="7"/>
      <c r="AD3142" s="7"/>
      <c r="AE3142" s="54"/>
    </row>
    <row r="3143" spans="2:31" s="1" customFormat="1" ht="96.3" customHeight="1" outlineLevel="4">
      <c r="B3143" s="58">
        <v>2449</v>
      </c>
      <c r="C3143" s="7" t="s">
        <v>10925</v>
      </c>
      <c r="D3143" s="71" t="s">
        <v>10926</v>
      </c>
      <c r="E3143" s="71"/>
      <c r="F3143" s="71"/>
      <c r="G3143" s="71"/>
      <c r="H3143" s="8" t="s">
        <v>10927</v>
      </c>
      <c r="I3143" s="14">
        <v>5</v>
      </c>
      <c r="J3143" s="8"/>
      <c r="K3143" s="6">
        <v>2</v>
      </c>
      <c r="L3143" s="10">
        <v>386.41</v>
      </c>
      <c r="M3143" s="11"/>
      <c r="N3143" s="8">
        <f>L3143*M3143</f>
        <v>0</v>
      </c>
      <c r="O3143" s="12">
        <f>0.118*M3143</f>
        <v>0</v>
      </c>
      <c r="P3143" s="13">
        <f>0.01018*M3143</f>
        <v>0</v>
      </c>
      <c r="Q3143" s="17" t="s">
        <v>37</v>
      </c>
      <c r="R3143" s="8" t="s">
        <v>10928</v>
      </c>
      <c r="S3143" s="8"/>
      <c r="T3143" s="7" t="str">
        <f>HYPERLINK("https://miland.ru/api/getInfo/image/cb03ad13-c073-11f0-a289-00155d82e908")</f>
        <v>https://miland.ru/api/getInfo/image/cb03ad13-c073-11f0-a289-00155d82e908</v>
      </c>
      <c r="U3143" s="7"/>
      <c r="V3143" s="7"/>
      <c r="W3143" s="7" t="s">
        <v>10918</v>
      </c>
      <c r="X3143" s="7" t="s">
        <v>172</v>
      </c>
      <c r="Y3143" s="7" t="s">
        <v>10405</v>
      </c>
      <c r="Z3143" s="7" t="s">
        <v>10929</v>
      </c>
      <c r="AA3143" s="7" t="str">
        <f>HYPERLINK("https://miland.ru/api/getInfo/item/cb03ad13-c073-11f0-a289-00155d82e908")</f>
        <v>https://miland.ru/api/getInfo/item/cb03ad13-c073-11f0-a289-00155d82e908</v>
      </c>
      <c r="AB3143" s="7" t="s">
        <v>42</v>
      </c>
      <c r="AC3143" s="7"/>
      <c r="AD3143" s="7"/>
      <c r="AE3143" s="54"/>
    </row>
    <row r="3144" spans="2:31" ht="12" customHeight="1" outlineLevel="3">
      <c r="B3144" s="70" t="s">
        <v>10930</v>
      </c>
      <c r="C3144" s="70"/>
      <c r="D3144" s="70"/>
      <c r="E3144" s="70"/>
      <c r="F3144" s="70"/>
      <c r="G3144" s="70"/>
    </row>
    <row r="3145" spans="2:31" s="1" customFormat="1" ht="96.3" customHeight="1" outlineLevel="4">
      <c r="B3145" s="57">
        <v>2450</v>
      </c>
      <c r="C3145" s="21" t="s">
        <v>10931</v>
      </c>
      <c r="D3145" s="72" t="s">
        <v>10932</v>
      </c>
      <c r="E3145" s="72"/>
      <c r="F3145" s="72"/>
      <c r="G3145" s="72"/>
      <c r="H3145" s="22" t="s">
        <v>10933</v>
      </c>
      <c r="I3145" s="27">
        <v>27</v>
      </c>
      <c r="J3145" s="22"/>
      <c r="K3145" s="20">
        <v>1</v>
      </c>
      <c r="L3145" s="24">
        <v>925.96</v>
      </c>
      <c r="M3145" s="11"/>
      <c r="N3145" s="22">
        <f t="shared" ref="N3145:N3156" si="153">L3145*M3145</f>
        <v>0</v>
      </c>
      <c r="O3145" s="28">
        <f>0.29*M3145</f>
        <v>0</v>
      </c>
      <c r="P3145" s="29">
        <f>0.0096*M3145</f>
        <v>0</v>
      </c>
      <c r="Q3145" s="30"/>
      <c r="R3145" s="22" t="s">
        <v>10934</v>
      </c>
      <c r="S3145" s="22" t="s">
        <v>435</v>
      </c>
      <c r="T3145" s="21" t="str">
        <f>HYPERLINK("https://miland.ru/api/getInfo/image/905ab07c-15a3-11ea-a237-ac1f6b442184")</f>
        <v>https://miland.ru/api/getInfo/image/905ab07c-15a3-11ea-a237-ac1f6b442184</v>
      </c>
      <c r="U3145" s="21"/>
      <c r="V3145" s="21" t="s">
        <v>10935</v>
      </c>
      <c r="W3145" s="21" t="s">
        <v>10936</v>
      </c>
      <c r="X3145" s="21"/>
      <c r="Y3145" s="21" t="s">
        <v>41</v>
      </c>
      <c r="Z3145" s="21"/>
      <c r="AA3145" s="21" t="str">
        <f>HYPERLINK("https://miland.ru/api/getInfo/item/905ab07c-15a3-11ea-a237-ac1f6b442184")</f>
        <v>https://miland.ru/api/getInfo/item/905ab07c-15a3-11ea-a237-ac1f6b442184</v>
      </c>
      <c r="AB3145" s="21" t="s">
        <v>42</v>
      </c>
      <c r="AC3145" s="21" t="s">
        <v>10937</v>
      </c>
      <c r="AD3145" s="21"/>
    </row>
    <row r="3146" spans="2:31" s="1" customFormat="1" ht="96.3" customHeight="1" outlineLevel="4">
      <c r="B3146" s="57">
        <v>2451</v>
      </c>
      <c r="C3146" s="21" t="s">
        <v>10938</v>
      </c>
      <c r="D3146" s="72" t="s">
        <v>10939</v>
      </c>
      <c r="E3146" s="72"/>
      <c r="F3146" s="72"/>
      <c r="G3146" s="72"/>
      <c r="H3146" s="22" t="s">
        <v>10940</v>
      </c>
      <c r="I3146" s="27">
        <v>10</v>
      </c>
      <c r="J3146" s="22"/>
      <c r="K3146" s="20">
        <v>1</v>
      </c>
      <c r="L3146" s="24">
        <v>925.96</v>
      </c>
      <c r="M3146" s="11"/>
      <c r="N3146" s="22">
        <f t="shared" si="153"/>
        <v>0</v>
      </c>
      <c r="O3146" s="28">
        <f>0.29*M3146</f>
        <v>0</v>
      </c>
      <c r="P3146" s="29">
        <f>0.0096*M3146</f>
        <v>0</v>
      </c>
      <c r="Q3146" s="30"/>
      <c r="R3146" s="22" t="s">
        <v>10941</v>
      </c>
      <c r="S3146" s="22" t="s">
        <v>435</v>
      </c>
      <c r="T3146" s="21" t="str">
        <f>HYPERLINK("https://miland.ru/api/getInfo/image/20f22e0f-15a4-11ea-a237-ac1f6b442184")</f>
        <v>https://miland.ru/api/getInfo/image/20f22e0f-15a4-11ea-a237-ac1f6b442184</v>
      </c>
      <c r="U3146" s="21"/>
      <c r="V3146" s="21" t="s">
        <v>10935</v>
      </c>
      <c r="W3146" s="21" t="s">
        <v>10936</v>
      </c>
      <c r="X3146" s="21"/>
      <c r="Y3146" s="21" t="s">
        <v>41</v>
      </c>
      <c r="Z3146" s="21"/>
      <c r="AA3146" s="21" t="str">
        <f>HYPERLINK("https://miland.ru/api/getInfo/item/20f22e0f-15a4-11ea-a237-ac1f6b442184")</f>
        <v>https://miland.ru/api/getInfo/item/20f22e0f-15a4-11ea-a237-ac1f6b442184</v>
      </c>
      <c r="AB3146" s="21" t="s">
        <v>42</v>
      </c>
      <c r="AC3146" s="21" t="s">
        <v>10937</v>
      </c>
      <c r="AD3146" s="21"/>
    </row>
    <row r="3147" spans="2:31" s="1" customFormat="1" ht="96.3" customHeight="1" outlineLevel="4">
      <c r="B3147" s="57">
        <v>2452</v>
      </c>
      <c r="C3147" s="21" t="s">
        <v>10942</v>
      </c>
      <c r="D3147" s="72" t="s">
        <v>10943</v>
      </c>
      <c r="E3147" s="72"/>
      <c r="F3147" s="72"/>
      <c r="G3147" s="72"/>
      <c r="H3147" s="22" t="s">
        <v>10944</v>
      </c>
      <c r="I3147" s="27">
        <v>5</v>
      </c>
      <c r="J3147" s="22"/>
      <c r="K3147" s="20">
        <v>1</v>
      </c>
      <c r="L3147" s="24">
        <v>476.22</v>
      </c>
      <c r="M3147" s="11"/>
      <c r="N3147" s="22">
        <f t="shared" si="153"/>
        <v>0</v>
      </c>
      <c r="O3147" s="28">
        <f>0.29*M3147</f>
        <v>0</v>
      </c>
      <c r="P3147" s="29">
        <f>0.0096*M3147</f>
        <v>0</v>
      </c>
      <c r="Q3147" s="30"/>
      <c r="R3147" s="22" t="s">
        <v>10945</v>
      </c>
      <c r="S3147" s="22" t="s">
        <v>435</v>
      </c>
      <c r="T3147" s="21" t="str">
        <f>HYPERLINK("https://miland.ru/api/getInfo/image/89573341-46d0-11ec-a20f-ac1f6b442185")</f>
        <v>https://miland.ru/api/getInfo/image/89573341-46d0-11ec-a20f-ac1f6b442185</v>
      </c>
      <c r="U3147" s="21"/>
      <c r="V3147" s="21" t="s">
        <v>10935</v>
      </c>
      <c r="W3147" s="21" t="s">
        <v>10936</v>
      </c>
      <c r="X3147" s="21"/>
      <c r="Y3147" s="21" t="s">
        <v>41</v>
      </c>
      <c r="Z3147" s="21"/>
      <c r="AA3147" s="21" t="str">
        <f>HYPERLINK("https://miland.ru/api/getInfo/item/89573341-46d0-11ec-a20f-ac1f6b442185")</f>
        <v>https://miland.ru/api/getInfo/item/89573341-46d0-11ec-a20f-ac1f6b442185</v>
      </c>
      <c r="AB3147" s="21" t="s">
        <v>42</v>
      </c>
      <c r="AC3147" s="21" t="s">
        <v>10946</v>
      </c>
      <c r="AD3147" s="21"/>
    </row>
    <row r="3148" spans="2:31" s="1" customFormat="1" ht="96.3" customHeight="1" outlineLevel="4">
      <c r="B3148" s="59">
        <v>2453</v>
      </c>
      <c r="C3148" s="35" t="s">
        <v>10947</v>
      </c>
      <c r="D3148" s="73" t="s">
        <v>10948</v>
      </c>
      <c r="E3148" s="73"/>
      <c r="F3148" s="73"/>
      <c r="G3148" s="73"/>
      <c r="H3148" s="36" t="s">
        <v>10949</v>
      </c>
      <c r="I3148" s="40">
        <v>8</v>
      </c>
      <c r="J3148" s="36"/>
      <c r="K3148" s="34">
        <v>1</v>
      </c>
      <c r="L3148" s="41">
        <v>533.33333333333337</v>
      </c>
      <c r="M3148" s="11"/>
      <c r="N3148" s="36">
        <f t="shared" si="153"/>
        <v>0</v>
      </c>
      <c r="O3148" s="47">
        <f>0.29*M3148</f>
        <v>0</v>
      </c>
      <c r="P3148" s="55">
        <f>0.0096*M3148</f>
        <v>0</v>
      </c>
      <c r="Q3148" s="50"/>
      <c r="R3148" s="36" t="s">
        <v>10950</v>
      </c>
      <c r="S3148" s="36" t="s">
        <v>435</v>
      </c>
      <c r="T3148" s="35" t="str">
        <f>HYPERLINK("https://miland.ru/api/getInfo/image/69ddc209-46d1-11ec-a20f-ac1f6b442185")</f>
        <v>https://miland.ru/api/getInfo/image/69ddc209-46d1-11ec-a20f-ac1f6b442185</v>
      </c>
      <c r="U3148" s="35"/>
      <c r="V3148" s="35" t="s">
        <v>10935</v>
      </c>
      <c r="W3148" s="35" t="s">
        <v>10936</v>
      </c>
      <c r="X3148" s="35"/>
      <c r="Y3148" s="35" t="s">
        <v>41</v>
      </c>
      <c r="Z3148" s="35"/>
      <c r="AA3148" s="35" t="str">
        <f>HYPERLINK("https://miland.ru/api/getInfo/item/69ddc209-46d1-11ec-a20f-ac1f6b442185")</f>
        <v>https://miland.ru/api/getInfo/item/69ddc209-46d1-11ec-a20f-ac1f6b442185</v>
      </c>
      <c r="AB3148" s="35" t="s">
        <v>42</v>
      </c>
      <c r="AC3148" s="35" t="s">
        <v>10946</v>
      </c>
      <c r="AD3148" s="35"/>
      <c r="AE3148" s="52" t="s">
        <v>1251</v>
      </c>
    </row>
    <row r="3149" spans="2:31" s="1" customFormat="1" ht="96.3" customHeight="1" outlineLevel="4">
      <c r="B3149" s="59">
        <v>2454</v>
      </c>
      <c r="C3149" s="35" t="s">
        <v>10951</v>
      </c>
      <c r="D3149" s="73" t="s">
        <v>10952</v>
      </c>
      <c r="E3149" s="73"/>
      <c r="F3149" s="73"/>
      <c r="G3149" s="73"/>
      <c r="H3149" s="36" t="s">
        <v>10953</v>
      </c>
      <c r="I3149" s="40">
        <v>5</v>
      </c>
      <c r="J3149" s="36"/>
      <c r="K3149" s="34">
        <v>1</v>
      </c>
      <c r="L3149" s="41">
        <v>571.61333333333334</v>
      </c>
      <c r="M3149" s="11"/>
      <c r="N3149" s="36">
        <f t="shared" si="153"/>
        <v>0</v>
      </c>
      <c r="O3149" s="42">
        <f>0.364*M3149</f>
        <v>0</v>
      </c>
      <c r="P3149" s="43">
        <f>0.00786*M3149</f>
        <v>0</v>
      </c>
      <c r="Q3149" s="50"/>
      <c r="R3149" s="36" t="s">
        <v>10954</v>
      </c>
      <c r="S3149" s="36" t="s">
        <v>435</v>
      </c>
      <c r="T3149" s="35" t="str">
        <f>HYPERLINK("https://miland.ru/api/getInfo/image/42840241-c4b9-11ed-a230-00155d82e902")</f>
        <v>https://miland.ru/api/getInfo/image/42840241-c4b9-11ed-a230-00155d82e902</v>
      </c>
      <c r="U3149" s="35"/>
      <c r="V3149" s="35" t="s">
        <v>10935</v>
      </c>
      <c r="W3149" s="35" t="s">
        <v>10936</v>
      </c>
      <c r="X3149" s="35"/>
      <c r="Y3149" s="35" t="s">
        <v>41</v>
      </c>
      <c r="Z3149" s="35"/>
      <c r="AA3149" s="35" t="str">
        <f>HYPERLINK("https://miland.ru/api/getInfo/item/42840241-c4b9-11ed-a230-00155d82e902")</f>
        <v>https://miland.ru/api/getInfo/item/42840241-c4b9-11ed-a230-00155d82e902</v>
      </c>
      <c r="AB3149" s="35" t="s">
        <v>42</v>
      </c>
      <c r="AC3149" s="35"/>
      <c r="AD3149" s="35"/>
      <c r="AE3149" s="52" t="s">
        <v>1251</v>
      </c>
    </row>
    <row r="3150" spans="2:31" s="1" customFormat="1" ht="96.3" customHeight="1" outlineLevel="4">
      <c r="B3150" s="57">
        <v>2455</v>
      </c>
      <c r="C3150" s="21" t="s">
        <v>10955</v>
      </c>
      <c r="D3150" s="72" t="s">
        <v>10956</v>
      </c>
      <c r="E3150" s="72"/>
      <c r="F3150" s="72"/>
      <c r="G3150" s="72"/>
      <c r="H3150" s="22" t="s">
        <v>10957</v>
      </c>
      <c r="I3150" s="27">
        <v>31</v>
      </c>
      <c r="J3150" s="22"/>
      <c r="K3150" s="20">
        <v>1</v>
      </c>
      <c r="L3150" s="24">
        <v>867.95</v>
      </c>
      <c r="M3150" s="11"/>
      <c r="N3150" s="22">
        <f t="shared" si="153"/>
        <v>0</v>
      </c>
      <c r="O3150" s="25">
        <f>0.316*M3150</f>
        <v>0</v>
      </c>
      <c r="P3150" s="26">
        <f>0.00958*M3150</f>
        <v>0</v>
      </c>
      <c r="Q3150" s="30"/>
      <c r="R3150" s="22" t="s">
        <v>10958</v>
      </c>
      <c r="S3150" s="22" t="s">
        <v>435</v>
      </c>
      <c r="T3150" s="21" t="str">
        <f>HYPERLINK("https://miland.ru/api/getInfo/image/9eae0aa6-c4b9-11ed-a230-00155d82e902")</f>
        <v>https://miland.ru/api/getInfo/image/9eae0aa6-c4b9-11ed-a230-00155d82e902</v>
      </c>
      <c r="U3150" s="21"/>
      <c r="V3150" s="21" t="s">
        <v>10935</v>
      </c>
      <c r="W3150" s="21" t="s">
        <v>10936</v>
      </c>
      <c r="X3150" s="21"/>
      <c r="Y3150" s="21" t="s">
        <v>41</v>
      </c>
      <c r="Z3150" s="21"/>
      <c r="AA3150" s="21" t="str">
        <f>HYPERLINK("https://miland.ru/api/getInfo/item/9eae0aa6-c4b9-11ed-a230-00155d82e902")</f>
        <v>https://miland.ru/api/getInfo/item/9eae0aa6-c4b9-11ed-a230-00155d82e902</v>
      </c>
      <c r="AB3150" s="21" t="s">
        <v>42</v>
      </c>
      <c r="AC3150" s="21"/>
      <c r="AD3150" s="21"/>
    </row>
    <row r="3151" spans="2:31" s="1" customFormat="1" ht="96.3" customHeight="1" outlineLevel="4">
      <c r="B3151" s="57">
        <v>2456</v>
      </c>
      <c r="C3151" s="21" t="s">
        <v>10959</v>
      </c>
      <c r="D3151" s="72" t="s">
        <v>10960</v>
      </c>
      <c r="E3151" s="72"/>
      <c r="F3151" s="72"/>
      <c r="G3151" s="72"/>
      <c r="H3151" s="22" t="s">
        <v>10961</v>
      </c>
      <c r="I3151" s="27">
        <v>66</v>
      </c>
      <c r="J3151" s="22"/>
      <c r="K3151" s="20">
        <v>1</v>
      </c>
      <c r="L3151" s="24">
        <v>841.78</v>
      </c>
      <c r="M3151" s="11"/>
      <c r="N3151" s="22">
        <f t="shared" si="153"/>
        <v>0</v>
      </c>
      <c r="O3151" s="28">
        <f>0.29*M3151</f>
        <v>0</v>
      </c>
      <c r="P3151" s="26">
        <f>0.00772*M3151</f>
        <v>0</v>
      </c>
      <c r="Q3151" s="30"/>
      <c r="R3151" s="22" t="s">
        <v>10962</v>
      </c>
      <c r="S3151" s="22" t="s">
        <v>435</v>
      </c>
      <c r="T3151" s="21" t="str">
        <f>HYPERLINK("https://miland.ru/api/getInfo/image/fc0cc583-c4ba-11ed-a230-00155d82e902")</f>
        <v>https://miland.ru/api/getInfo/image/fc0cc583-c4ba-11ed-a230-00155d82e902</v>
      </c>
      <c r="U3151" s="21"/>
      <c r="V3151" s="21" t="s">
        <v>10935</v>
      </c>
      <c r="W3151" s="21" t="s">
        <v>10936</v>
      </c>
      <c r="X3151" s="21"/>
      <c r="Y3151" s="21" t="s">
        <v>41</v>
      </c>
      <c r="Z3151" s="21"/>
      <c r="AA3151" s="21" t="str">
        <f>HYPERLINK("https://miland.ru/api/getInfo/item/fc0cc583-c4ba-11ed-a230-00155d82e902")</f>
        <v>https://miland.ru/api/getInfo/item/fc0cc583-c4ba-11ed-a230-00155d82e902</v>
      </c>
      <c r="AB3151" s="21" t="s">
        <v>42</v>
      </c>
      <c r="AC3151" s="21"/>
      <c r="AD3151" s="21"/>
    </row>
    <row r="3152" spans="2:31" s="1" customFormat="1" ht="96.3" customHeight="1" outlineLevel="4">
      <c r="B3152" s="57">
        <v>2457</v>
      </c>
      <c r="C3152" s="21" t="s">
        <v>10963</v>
      </c>
      <c r="D3152" s="72" t="s">
        <v>10964</v>
      </c>
      <c r="E3152" s="72"/>
      <c r="F3152" s="72"/>
      <c r="G3152" s="72"/>
      <c r="H3152" s="22" t="s">
        <v>10965</v>
      </c>
      <c r="I3152" s="27">
        <v>100</v>
      </c>
      <c r="J3152" s="22"/>
      <c r="K3152" s="20">
        <v>1</v>
      </c>
      <c r="L3152" s="24">
        <v>841.78</v>
      </c>
      <c r="M3152" s="11"/>
      <c r="N3152" s="22">
        <f t="shared" si="153"/>
        <v>0</v>
      </c>
      <c r="O3152" s="28">
        <f>2.65*M3152</f>
        <v>0</v>
      </c>
      <c r="P3152" s="26">
        <f>0.10031*M3152</f>
        <v>0</v>
      </c>
      <c r="Q3152" s="30"/>
      <c r="R3152" s="22" t="s">
        <v>10966</v>
      </c>
      <c r="S3152" s="22" t="s">
        <v>435</v>
      </c>
      <c r="T3152" s="21" t="str">
        <f>HYPERLINK("https://miland.ru/api/getInfo/image/b663dce9-c4bb-11ed-a230-00155d82e902")</f>
        <v>https://miland.ru/api/getInfo/image/b663dce9-c4bb-11ed-a230-00155d82e902</v>
      </c>
      <c r="U3152" s="21"/>
      <c r="V3152" s="21" t="s">
        <v>10935</v>
      </c>
      <c r="W3152" s="21" t="s">
        <v>10936</v>
      </c>
      <c r="X3152" s="21"/>
      <c r="Y3152" s="21" t="s">
        <v>41</v>
      </c>
      <c r="Z3152" s="21"/>
      <c r="AA3152" s="21" t="str">
        <f>HYPERLINK("https://miland.ru/api/getInfo/item/b663dce9-c4bb-11ed-a230-00155d82e902")</f>
        <v>https://miland.ru/api/getInfo/item/b663dce9-c4bb-11ed-a230-00155d82e902</v>
      </c>
      <c r="AB3152" s="21" t="s">
        <v>42</v>
      </c>
      <c r="AC3152" s="21"/>
      <c r="AD3152" s="21"/>
    </row>
    <row r="3153" spans="2:31" s="1" customFormat="1" ht="96.3" customHeight="1" outlineLevel="4">
      <c r="B3153" s="59">
        <v>2458</v>
      </c>
      <c r="C3153" s="35" t="s">
        <v>10967</v>
      </c>
      <c r="D3153" s="73" t="s">
        <v>10968</v>
      </c>
      <c r="E3153" s="73"/>
      <c r="F3153" s="73"/>
      <c r="G3153" s="73"/>
      <c r="H3153" s="36" t="s">
        <v>10969</v>
      </c>
      <c r="I3153" s="40">
        <v>6</v>
      </c>
      <c r="J3153" s="36"/>
      <c r="K3153" s="34">
        <v>1</v>
      </c>
      <c r="L3153" s="41">
        <v>447.05333333333334</v>
      </c>
      <c r="M3153" s="11"/>
      <c r="N3153" s="36">
        <f t="shared" si="153"/>
        <v>0</v>
      </c>
      <c r="O3153" s="42">
        <f>0.306*M3153</f>
        <v>0</v>
      </c>
      <c r="P3153" s="43">
        <f>0.00624*M3153</f>
        <v>0</v>
      </c>
      <c r="Q3153" s="50"/>
      <c r="R3153" s="36" t="s">
        <v>10970</v>
      </c>
      <c r="S3153" s="36" t="s">
        <v>435</v>
      </c>
      <c r="T3153" s="35" t="str">
        <f>HYPERLINK("https://miland.ru/api/getInfo/image/f5866a23-c4bb-11ed-a230-00155d82e902")</f>
        <v>https://miland.ru/api/getInfo/image/f5866a23-c4bb-11ed-a230-00155d82e902</v>
      </c>
      <c r="U3153" s="35"/>
      <c r="V3153" s="35" t="s">
        <v>10935</v>
      </c>
      <c r="W3153" s="35" t="s">
        <v>10936</v>
      </c>
      <c r="X3153" s="35"/>
      <c r="Y3153" s="35" t="s">
        <v>41</v>
      </c>
      <c r="Z3153" s="35"/>
      <c r="AA3153" s="35" t="str">
        <f>HYPERLINK("https://miland.ru/api/getInfo/item/f5866a23-c4bb-11ed-a230-00155d82e902")</f>
        <v>https://miland.ru/api/getInfo/item/f5866a23-c4bb-11ed-a230-00155d82e902</v>
      </c>
      <c r="AB3153" s="35" t="s">
        <v>42</v>
      </c>
      <c r="AC3153" s="35"/>
      <c r="AD3153" s="35"/>
      <c r="AE3153" s="52" t="s">
        <v>1251</v>
      </c>
    </row>
    <row r="3154" spans="2:31" s="1" customFormat="1" ht="96.3" customHeight="1" outlineLevel="4">
      <c r="B3154" s="57">
        <v>2459</v>
      </c>
      <c r="C3154" s="21" t="s">
        <v>10971</v>
      </c>
      <c r="D3154" s="72" t="s">
        <v>10972</v>
      </c>
      <c r="E3154" s="72"/>
      <c r="F3154" s="72"/>
      <c r="G3154" s="72"/>
      <c r="H3154" s="22" t="s">
        <v>10973</v>
      </c>
      <c r="I3154" s="27">
        <v>5</v>
      </c>
      <c r="J3154" s="22"/>
      <c r="K3154" s="20">
        <v>1</v>
      </c>
      <c r="L3154" s="24">
        <v>585.13</v>
      </c>
      <c r="M3154" s="11"/>
      <c r="N3154" s="22">
        <f t="shared" si="153"/>
        <v>0</v>
      </c>
      <c r="O3154" s="25">
        <f>0.161*M3154</f>
        <v>0</v>
      </c>
      <c r="P3154" s="26">
        <f>0.00317*M3154</f>
        <v>0</v>
      </c>
      <c r="Q3154" s="30"/>
      <c r="R3154" s="22" t="s">
        <v>10974</v>
      </c>
      <c r="S3154" s="22" t="s">
        <v>435</v>
      </c>
      <c r="T3154" s="21" t="str">
        <f>HYPERLINK("https://miland.ru/api/getInfo/image/5afef8c3-d92a-11ed-a232-00155d82e902")</f>
        <v>https://miland.ru/api/getInfo/image/5afef8c3-d92a-11ed-a232-00155d82e902</v>
      </c>
      <c r="U3154" s="21"/>
      <c r="V3154" s="21" t="s">
        <v>10935</v>
      </c>
      <c r="W3154" s="21" t="s">
        <v>10936</v>
      </c>
      <c r="X3154" s="21"/>
      <c r="Y3154" s="21" t="s">
        <v>41</v>
      </c>
      <c r="Z3154" s="21"/>
      <c r="AA3154" s="21" t="str">
        <f>HYPERLINK("https://miland.ru/api/getInfo/item/5afef8c3-d92a-11ed-a232-00155d82e902")</f>
        <v>https://miland.ru/api/getInfo/item/5afef8c3-d92a-11ed-a232-00155d82e902</v>
      </c>
      <c r="AB3154" s="21" t="s">
        <v>42</v>
      </c>
      <c r="AC3154" s="21"/>
      <c r="AD3154" s="21"/>
    </row>
    <row r="3155" spans="2:31" s="1" customFormat="1" ht="96.3" customHeight="1" outlineLevel="4">
      <c r="B3155" s="59">
        <v>2460</v>
      </c>
      <c r="C3155" s="35" t="s">
        <v>10975</v>
      </c>
      <c r="D3155" s="73" t="s">
        <v>10976</v>
      </c>
      <c r="E3155" s="73"/>
      <c r="F3155" s="73"/>
      <c r="G3155" s="73"/>
      <c r="H3155" s="36" t="s">
        <v>10977</v>
      </c>
      <c r="I3155" s="40">
        <v>9</v>
      </c>
      <c r="J3155" s="36"/>
      <c r="K3155" s="34">
        <v>1</v>
      </c>
      <c r="L3155" s="41">
        <v>540.72</v>
      </c>
      <c r="M3155" s="11"/>
      <c r="N3155" s="36">
        <f t="shared" si="153"/>
        <v>0</v>
      </c>
      <c r="O3155" s="42">
        <f>0.455*M3155</f>
        <v>0</v>
      </c>
      <c r="P3155" s="43">
        <f>0.01621*M3155</f>
        <v>0</v>
      </c>
      <c r="Q3155" s="50"/>
      <c r="R3155" s="36" t="s">
        <v>10978</v>
      </c>
      <c r="S3155" s="36" t="s">
        <v>435</v>
      </c>
      <c r="T3155" s="35" t="str">
        <f>HYPERLINK("https://miland.ru/api/getInfo/image/f8c14078-c4b8-11ed-a230-00155d82e902")</f>
        <v>https://miland.ru/api/getInfo/image/f8c14078-c4b8-11ed-a230-00155d82e902</v>
      </c>
      <c r="U3155" s="35"/>
      <c r="V3155" s="35" t="s">
        <v>10935</v>
      </c>
      <c r="W3155" s="35" t="s">
        <v>10936</v>
      </c>
      <c r="X3155" s="35"/>
      <c r="Y3155" s="35" t="s">
        <v>41</v>
      </c>
      <c r="Z3155" s="35"/>
      <c r="AA3155" s="35" t="str">
        <f>HYPERLINK("https://miland.ru/api/getInfo/item/f8c14078-c4b8-11ed-a230-00155d82e902")</f>
        <v>https://miland.ru/api/getInfo/item/f8c14078-c4b8-11ed-a230-00155d82e902</v>
      </c>
      <c r="AB3155" s="35" t="s">
        <v>42</v>
      </c>
      <c r="AC3155" s="35"/>
      <c r="AD3155" s="35"/>
      <c r="AE3155" s="52" t="s">
        <v>1251</v>
      </c>
    </row>
    <row r="3156" spans="2:31" s="1" customFormat="1" ht="96.3" customHeight="1" outlineLevel="4">
      <c r="B3156" s="59">
        <v>2461</v>
      </c>
      <c r="C3156" s="35" t="s">
        <v>10979</v>
      </c>
      <c r="D3156" s="73" t="s">
        <v>10980</v>
      </c>
      <c r="E3156" s="73"/>
      <c r="F3156" s="73"/>
      <c r="G3156" s="73"/>
      <c r="H3156" s="36" t="s">
        <v>10981</v>
      </c>
      <c r="I3156" s="40">
        <v>7</v>
      </c>
      <c r="J3156" s="36"/>
      <c r="K3156" s="34">
        <v>1</v>
      </c>
      <c r="L3156" s="41">
        <v>426.66666666666669</v>
      </c>
      <c r="M3156" s="11"/>
      <c r="N3156" s="36">
        <f t="shared" si="153"/>
        <v>0</v>
      </c>
      <c r="O3156" s="42">
        <f>0.258*M3156</f>
        <v>0</v>
      </c>
      <c r="P3156" s="43">
        <f>0.00641*M3156</f>
        <v>0</v>
      </c>
      <c r="Q3156" s="50"/>
      <c r="R3156" s="36" t="s">
        <v>10982</v>
      </c>
      <c r="S3156" s="36" t="s">
        <v>435</v>
      </c>
      <c r="T3156" s="35" t="str">
        <f>HYPERLINK("https://miland.ru/api/getInfo/image/c621a8db-d929-11ed-a232-00155d82e902")</f>
        <v>https://miland.ru/api/getInfo/image/c621a8db-d929-11ed-a232-00155d82e902</v>
      </c>
      <c r="U3156" s="35"/>
      <c r="V3156" s="35" t="s">
        <v>10935</v>
      </c>
      <c r="W3156" s="35" t="s">
        <v>10936</v>
      </c>
      <c r="X3156" s="35"/>
      <c r="Y3156" s="35" t="s">
        <v>41</v>
      </c>
      <c r="Z3156" s="35"/>
      <c r="AA3156" s="35" t="str">
        <f>HYPERLINK("https://miland.ru/api/getInfo/item/c621a8db-d929-11ed-a232-00155d82e902")</f>
        <v>https://miland.ru/api/getInfo/item/c621a8db-d929-11ed-a232-00155d82e902</v>
      </c>
      <c r="AB3156" s="35" t="s">
        <v>42</v>
      </c>
      <c r="AC3156" s="35"/>
      <c r="AD3156" s="35"/>
      <c r="AE3156" s="52" t="s">
        <v>1251</v>
      </c>
    </row>
    <row r="3157" spans="2:31" ht="12" customHeight="1" outlineLevel="3">
      <c r="B3157" s="70" t="s">
        <v>10983</v>
      </c>
      <c r="C3157" s="70"/>
      <c r="D3157" s="70"/>
      <c r="E3157" s="70"/>
      <c r="F3157" s="70"/>
      <c r="G3157" s="70"/>
    </row>
    <row r="3158" spans="2:31" s="1" customFormat="1" ht="96.3" customHeight="1" outlineLevel="4">
      <c r="B3158" s="57">
        <v>2462</v>
      </c>
      <c r="C3158" s="21" t="s">
        <v>10984</v>
      </c>
      <c r="D3158" s="72" t="s">
        <v>10985</v>
      </c>
      <c r="E3158" s="72"/>
      <c r="F3158" s="72"/>
      <c r="G3158" s="72"/>
      <c r="H3158" s="22" t="s">
        <v>10986</v>
      </c>
      <c r="I3158" s="27">
        <v>252</v>
      </c>
      <c r="J3158" s="22"/>
      <c r="K3158" s="20">
        <v>2</v>
      </c>
      <c r="L3158" s="24">
        <v>270.49</v>
      </c>
      <c r="M3158" s="11"/>
      <c r="N3158" s="22">
        <f>L3158*M3158</f>
        <v>0</v>
      </c>
      <c r="O3158" s="25">
        <f>0.046*M3158</f>
        <v>0</v>
      </c>
      <c r="P3158" s="29">
        <f>0.0005*M3158</f>
        <v>0</v>
      </c>
      <c r="Q3158" s="30"/>
      <c r="R3158" s="22" t="s">
        <v>10987</v>
      </c>
      <c r="S3158" s="22" t="s">
        <v>435</v>
      </c>
      <c r="T3158" s="21" t="str">
        <f>HYPERLINK("https://miland.ru/api/getInfo/image/113f3292-effd-11ed-a236-00155d82e902")</f>
        <v>https://miland.ru/api/getInfo/image/113f3292-effd-11ed-a236-00155d82e902</v>
      </c>
      <c r="U3158" s="21"/>
      <c r="V3158" s="21"/>
      <c r="W3158" s="21" t="s">
        <v>10988</v>
      </c>
      <c r="X3158" s="21" t="s">
        <v>172</v>
      </c>
      <c r="Y3158" s="21" t="s">
        <v>477</v>
      </c>
      <c r="Z3158" s="21" t="s">
        <v>10989</v>
      </c>
      <c r="AA3158" s="21" t="str">
        <f>HYPERLINK("https://miland.ru/api/getInfo/item/113f3292-effd-11ed-a236-00155d82e902")</f>
        <v>https://miland.ru/api/getInfo/item/113f3292-effd-11ed-a236-00155d82e902</v>
      </c>
      <c r="AB3158" s="21" t="s">
        <v>42</v>
      </c>
      <c r="AC3158" s="21" t="s">
        <v>10990</v>
      </c>
      <c r="AD3158" s="21"/>
    </row>
    <row r="3159" spans="2:31" ht="12" customHeight="1" outlineLevel="3">
      <c r="B3159" s="70" t="s">
        <v>10991</v>
      </c>
      <c r="C3159" s="70"/>
      <c r="D3159" s="70"/>
      <c r="E3159" s="70"/>
      <c r="F3159" s="70"/>
      <c r="G3159" s="70"/>
    </row>
    <row r="3160" spans="2:31" s="1" customFormat="1" ht="96.3" customHeight="1" outlineLevel="4">
      <c r="B3160" s="59">
        <v>2463</v>
      </c>
      <c r="C3160" s="35" t="s">
        <v>10992</v>
      </c>
      <c r="D3160" s="73" t="s">
        <v>10993</v>
      </c>
      <c r="E3160" s="73"/>
      <c r="F3160" s="73"/>
      <c r="G3160" s="73"/>
      <c r="H3160" s="36" t="s">
        <v>10994</v>
      </c>
      <c r="I3160" s="40">
        <v>8</v>
      </c>
      <c r="J3160" s="36"/>
      <c r="K3160" s="34">
        <v>1</v>
      </c>
      <c r="L3160" s="41">
        <v>823.4</v>
      </c>
      <c r="M3160" s="11"/>
      <c r="N3160" s="36">
        <f t="shared" ref="N3160:N3169" si="154">L3160*M3160</f>
        <v>0</v>
      </c>
      <c r="O3160" s="42">
        <f>0.405*M3160</f>
        <v>0</v>
      </c>
      <c r="P3160" s="43">
        <f>0.00215*M3160</f>
        <v>0</v>
      </c>
      <c r="Q3160" s="50"/>
      <c r="R3160" s="36" t="s">
        <v>10995</v>
      </c>
      <c r="S3160" s="36" t="s">
        <v>435</v>
      </c>
      <c r="T3160" s="35" t="str">
        <f>HYPERLINK("https://miland.ru/api/getInfo/image/f9884b30-a87f-11ed-a230-00155d82e902")</f>
        <v>https://miland.ru/api/getInfo/image/f9884b30-a87f-11ed-a230-00155d82e902</v>
      </c>
      <c r="U3160" s="35"/>
      <c r="V3160" s="35" t="s">
        <v>10996</v>
      </c>
      <c r="W3160" s="35" t="s">
        <v>10997</v>
      </c>
      <c r="X3160" s="35"/>
      <c r="Y3160" s="35" t="s">
        <v>41</v>
      </c>
      <c r="Z3160" s="35"/>
      <c r="AA3160" s="35" t="str">
        <f>HYPERLINK("https://miland.ru/api/getInfo/item/f9884b30-a87f-11ed-a230-00155d82e902")</f>
        <v>https://miland.ru/api/getInfo/item/f9884b30-a87f-11ed-a230-00155d82e902</v>
      </c>
      <c r="AB3160" s="35" t="s">
        <v>42</v>
      </c>
      <c r="AC3160" s="35"/>
      <c r="AD3160" s="35"/>
      <c r="AE3160" s="52" t="s">
        <v>1251</v>
      </c>
    </row>
    <row r="3161" spans="2:31" s="1" customFormat="1" ht="96.3" customHeight="1" outlineLevel="4">
      <c r="B3161" s="57">
        <v>2464</v>
      </c>
      <c r="C3161" s="21" t="s">
        <v>10998</v>
      </c>
      <c r="D3161" s="72" t="s">
        <v>10999</v>
      </c>
      <c r="E3161" s="72"/>
      <c r="F3161" s="72"/>
      <c r="G3161" s="72"/>
      <c r="H3161" s="22" t="s">
        <v>11000</v>
      </c>
      <c r="I3161" s="27">
        <v>305</v>
      </c>
      <c r="J3161" s="22"/>
      <c r="K3161" s="20">
        <v>1</v>
      </c>
      <c r="L3161" s="24">
        <v>916.16</v>
      </c>
      <c r="M3161" s="11"/>
      <c r="N3161" s="22">
        <f t="shared" si="154"/>
        <v>0</v>
      </c>
      <c r="O3161" s="25">
        <f>0.341*M3161</f>
        <v>0</v>
      </c>
      <c r="P3161" s="26">
        <f>0.00166*M3161</f>
        <v>0</v>
      </c>
      <c r="Q3161" s="30"/>
      <c r="R3161" s="22" t="s">
        <v>11001</v>
      </c>
      <c r="S3161" s="22"/>
      <c r="T3161" s="21" t="str">
        <f>HYPERLINK("https://miland.ru/api/getInfo/image/603efde2-f70f-11ee-a25d-00155d82e908")</f>
        <v>https://miland.ru/api/getInfo/image/603efde2-f70f-11ee-a25d-00155d82e908</v>
      </c>
      <c r="U3161" s="21"/>
      <c r="V3161" s="21" t="s">
        <v>10996</v>
      </c>
      <c r="W3161" s="21" t="s">
        <v>10997</v>
      </c>
      <c r="X3161" s="21"/>
      <c r="Y3161" s="21" t="s">
        <v>41</v>
      </c>
      <c r="Z3161" s="21"/>
      <c r="AA3161" s="21" t="str">
        <f>HYPERLINK("https://miland.ru/api/getInfo/item/603efde2-f70f-11ee-a25d-00155d82e908")</f>
        <v>https://miland.ru/api/getInfo/item/603efde2-f70f-11ee-a25d-00155d82e908</v>
      </c>
      <c r="AB3161" s="21" t="s">
        <v>42</v>
      </c>
      <c r="AC3161" s="21" t="s">
        <v>11002</v>
      </c>
      <c r="AD3161" s="21"/>
    </row>
    <row r="3162" spans="2:31" s="1" customFormat="1" ht="96.3" customHeight="1" outlineLevel="4">
      <c r="B3162" s="57">
        <v>2465</v>
      </c>
      <c r="C3162" s="21" t="s">
        <v>11003</v>
      </c>
      <c r="D3162" s="72" t="s">
        <v>11004</v>
      </c>
      <c r="E3162" s="72"/>
      <c r="F3162" s="72"/>
      <c r="G3162" s="72"/>
      <c r="H3162" s="22" t="s">
        <v>11005</v>
      </c>
      <c r="I3162" s="27">
        <v>5</v>
      </c>
      <c r="J3162" s="22"/>
      <c r="K3162" s="20">
        <v>1</v>
      </c>
      <c r="L3162" s="32">
        <v>1615.61</v>
      </c>
      <c r="M3162" s="11"/>
      <c r="N3162" s="22">
        <f t="shared" si="154"/>
        <v>0</v>
      </c>
      <c r="O3162" s="25">
        <f>0.631*M3162</f>
        <v>0</v>
      </c>
      <c r="P3162" s="26">
        <f>0.00392*M3162</f>
        <v>0</v>
      </c>
      <c r="Q3162" s="30"/>
      <c r="R3162" s="22" t="s">
        <v>11006</v>
      </c>
      <c r="S3162" s="22" t="s">
        <v>435</v>
      </c>
      <c r="T3162" s="21" t="str">
        <f>HYPERLINK("https://miland.ru/api/getInfo/image/91456d3f-f70f-11ee-a25d-00155d82e908")</f>
        <v>https://miland.ru/api/getInfo/image/91456d3f-f70f-11ee-a25d-00155d82e908</v>
      </c>
      <c r="U3162" s="21"/>
      <c r="V3162" s="21" t="s">
        <v>10996</v>
      </c>
      <c r="W3162" s="21" t="s">
        <v>10997</v>
      </c>
      <c r="X3162" s="21"/>
      <c r="Y3162" s="21" t="s">
        <v>41</v>
      </c>
      <c r="Z3162" s="21"/>
      <c r="AA3162" s="21" t="str">
        <f>HYPERLINK("https://miland.ru/api/getInfo/item/91456d3f-f70f-11ee-a25d-00155d82e908")</f>
        <v>https://miland.ru/api/getInfo/item/91456d3f-f70f-11ee-a25d-00155d82e908</v>
      </c>
      <c r="AB3162" s="21" t="s">
        <v>42</v>
      </c>
      <c r="AC3162" s="21" t="s">
        <v>11007</v>
      </c>
      <c r="AD3162" s="21"/>
    </row>
    <row r="3163" spans="2:31" s="1" customFormat="1" ht="96.3" customHeight="1" outlineLevel="4">
      <c r="B3163" s="57">
        <v>2466</v>
      </c>
      <c r="C3163" s="21" t="s">
        <v>11008</v>
      </c>
      <c r="D3163" s="72" t="s">
        <v>11009</v>
      </c>
      <c r="E3163" s="72"/>
      <c r="F3163" s="72"/>
      <c r="G3163" s="72"/>
      <c r="H3163" s="22" t="s">
        <v>11010</v>
      </c>
      <c r="I3163" s="23" t="s">
        <v>36</v>
      </c>
      <c r="J3163" s="22"/>
      <c r="K3163" s="20">
        <v>1</v>
      </c>
      <c r="L3163" s="32">
        <v>1029.5899999999999</v>
      </c>
      <c r="M3163" s="11"/>
      <c r="N3163" s="22">
        <f t="shared" si="154"/>
        <v>0</v>
      </c>
      <c r="O3163" s="25">
        <f>0.399*M3163</f>
        <v>0</v>
      </c>
      <c r="P3163" s="26">
        <f>0.00203*M3163</f>
        <v>0</v>
      </c>
      <c r="Q3163" s="30"/>
      <c r="R3163" s="22" t="s">
        <v>11011</v>
      </c>
      <c r="S3163" s="22"/>
      <c r="T3163" s="21" t="str">
        <f>HYPERLINK("https://miland.ru/api/getInfo/image/8a63aa75-a87f-11ed-a230-00155d82e902")</f>
        <v>https://miland.ru/api/getInfo/image/8a63aa75-a87f-11ed-a230-00155d82e902</v>
      </c>
      <c r="U3163" s="21"/>
      <c r="V3163" s="21" t="s">
        <v>10996</v>
      </c>
      <c r="W3163" s="21" t="s">
        <v>10997</v>
      </c>
      <c r="X3163" s="21"/>
      <c r="Y3163" s="21" t="s">
        <v>41</v>
      </c>
      <c r="Z3163" s="21"/>
      <c r="AA3163" s="21" t="str">
        <f>HYPERLINK("https://miland.ru/api/getInfo/item/8a63aa75-a87f-11ed-a230-00155d82e902")</f>
        <v>https://miland.ru/api/getInfo/item/8a63aa75-a87f-11ed-a230-00155d82e902</v>
      </c>
      <c r="AB3163" s="21" t="s">
        <v>42</v>
      </c>
      <c r="AC3163" s="21"/>
      <c r="AD3163" s="21"/>
    </row>
    <row r="3164" spans="2:31" s="1" customFormat="1" ht="96.3" customHeight="1" outlineLevel="4">
      <c r="B3164" s="57">
        <v>2467</v>
      </c>
      <c r="C3164" s="21" t="s">
        <v>11012</v>
      </c>
      <c r="D3164" s="72" t="s">
        <v>11013</v>
      </c>
      <c r="E3164" s="72"/>
      <c r="F3164" s="72"/>
      <c r="G3164" s="72"/>
      <c r="H3164" s="22" t="s">
        <v>11014</v>
      </c>
      <c r="I3164" s="27">
        <v>405</v>
      </c>
      <c r="J3164" s="22"/>
      <c r="K3164" s="20">
        <v>1</v>
      </c>
      <c r="L3164" s="32">
        <v>1544.39</v>
      </c>
      <c r="M3164" s="11"/>
      <c r="N3164" s="22">
        <f t="shared" si="154"/>
        <v>0</v>
      </c>
      <c r="O3164" s="25">
        <f>0.857*M3164</f>
        <v>0</v>
      </c>
      <c r="P3164" s="26">
        <f>0.00372*M3164</f>
        <v>0</v>
      </c>
      <c r="Q3164" s="30"/>
      <c r="R3164" s="22" t="s">
        <v>11015</v>
      </c>
      <c r="S3164" s="22"/>
      <c r="T3164" s="21" t="str">
        <f>HYPERLINK("https://miland.ru/api/getInfo/image/57f05c8c-a87f-11ed-a230-00155d82e902")</f>
        <v>https://miland.ru/api/getInfo/image/57f05c8c-a87f-11ed-a230-00155d82e902</v>
      </c>
      <c r="U3164" s="21"/>
      <c r="V3164" s="21" t="s">
        <v>10996</v>
      </c>
      <c r="W3164" s="21" t="s">
        <v>10997</v>
      </c>
      <c r="X3164" s="21"/>
      <c r="Y3164" s="21" t="s">
        <v>41</v>
      </c>
      <c r="Z3164" s="21"/>
      <c r="AA3164" s="21" t="str">
        <f>HYPERLINK("https://miland.ru/api/getInfo/item/57f05c8c-a87f-11ed-a230-00155d82e902")</f>
        <v>https://miland.ru/api/getInfo/item/57f05c8c-a87f-11ed-a230-00155d82e902</v>
      </c>
      <c r="AB3164" s="21" t="s">
        <v>42</v>
      </c>
      <c r="AC3164" s="21"/>
      <c r="AD3164" s="21"/>
    </row>
    <row r="3165" spans="2:31" s="1" customFormat="1" ht="96.3" customHeight="1" outlineLevel="4">
      <c r="B3165" s="57">
        <v>2468</v>
      </c>
      <c r="C3165" s="21" t="s">
        <v>11016</v>
      </c>
      <c r="D3165" s="72" t="s">
        <v>11017</v>
      </c>
      <c r="E3165" s="72"/>
      <c r="F3165" s="72"/>
      <c r="G3165" s="72"/>
      <c r="H3165" s="22" t="s">
        <v>11018</v>
      </c>
      <c r="I3165" s="27">
        <v>5</v>
      </c>
      <c r="J3165" s="22"/>
      <c r="K3165" s="20">
        <v>1</v>
      </c>
      <c r="L3165" s="24">
        <v>577.85</v>
      </c>
      <c r="M3165" s="11"/>
      <c r="N3165" s="22">
        <f t="shared" si="154"/>
        <v>0</v>
      </c>
      <c r="O3165" s="25">
        <f>0.094*M3165</f>
        <v>0</v>
      </c>
      <c r="P3165" s="26">
        <f>0.00025*M3165</f>
        <v>0</v>
      </c>
      <c r="Q3165" s="30"/>
      <c r="R3165" s="22" t="s">
        <v>11019</v>
      </c>
      <c r="S3165" s="22" t="s">
        <v>435</v>
      </c>
      <c r="T3165" s="21" t="str">
        <f>HYPERLINK("https://miland.ru/api/getInfo/image/4f216514-a87d-11ed-a230-00155d82e902")</f>
        <v>https://miland.ru/api/getInfo/image/4f216514-a87d-11ed-a230-00155d82e902</v>
      </c>
      <c r="U3165" s="21"/>
      <c r="V3165" s="21" t="s">
        <v>10996</v>
      </c>
      <c r="W3165" s="21" t="s">
        <v>10997</v>
      </c>
      <c r="X3165" s="21"/>
      <c r="Y3165" s="21" t="s">
        <v>41</v>
      </c>
      <c r="Z3165" s="21"/>
      <c r="AA3165" s="21" t="str">
        <f>HYPERLINK("https://miland.ru/api/getInfo/item/4f216514-a87d-11ed-a230-00155d82e902")</f>
        <v>https://miland.ru/api/getInfo/item/4f216514-a87d-11ed-a230-00155d82e902</v>
      </c>
      <c r="AB3165" s="21" t="s">
        <v>42</v>
      </c>
      <c r="AC3165" s="21"/>
      <c r="AD3165" s="21"/>
    </row>
    <row r="3166" spans="2:31" s="1" customFormat="1" ht="96.3" customHeight="1" outlineLevel="4">
      <c r="B3166" s="57">
        <v>2469</v>
      </c>
      <c r="C3166" s="21" t="s">
        <v>11020</v>
      </c>
      <c r="D3166" s="72" t="s">
        <v>11021</v>
      </c>
      <c r="E3166" s="72"/>
      <c r="F3166" s="72"/>
      <c r="G3166" s="72"/>
      <c r="H3166" s="22" t="s">
        <v>11022</v>
      </c>
      <c r="I3166" s="27">
        <v>308</v>
      </c>
      <c r="J3166" s="22"/>
      <c r="K3166" s="20">
        <v>1</v>
      </c>
      <c r="L3166" s="24">
        <v>661.88</v>
      </c>
      <c r="M3166" s="11"/>
      <c r="N3166" s="22">
        <f t="shared" si="154"/>
        <v>0</v>
      </c>
      <c r="O3166" s="25">
        <f>0.099*M3166</f>
        <v>0</v>
      </c>
      <c r="P3166" s="26">
        <f>0.00022*M3166</f>
        <v>0</v>
      </c>
      <c r="Q3166" s="30"/>
      <c r="R3166" s="22" t="s">
        <v>11023</v>
      </c>
      <c r="S3166" s="22"/>
      <c r="T3166" s="21" t="str">
        <f>HYPERLINK("https://miland.ru/api/getInfo/image/ea637d1e-a87c-11ed-a230-00155d82e902")</f>
        <v>https://miland.ru/api/getInfo/image/ea637d1e-a87c-11ed-a230-00155d82e902</v>
      </c>
      <c r="U3166" s="21"/>
      <c r="V3166" s="21" t="s">
        <v>10996</v>
      </c>
      <c r="W3166" s="21" t="s">
        <v>10997</v>
      </c>
      <c r="X3166" s="21"/>
      <c r="Y3166" s="21" t="s">
        <v>41</v>
      </c>
      <c r="Z3166" s="21"/>
      <c r="AA3166" s="21" t="str">
        <f>HYPERLINK("https://miland.ru/api/getInfo/item/ea637d1e-a87c-11ed-a230-00155d82e902")</f>
        <v>https://miland.ru/api/getInfo/item/ea637d1e-a87c-11ed-a230-00155d82e902</v>
      </c>
      <c r="AB3166" s="21" t="s">
        <v>42</v>
      </c>
      <c r="AC3166" s="21"/>
      <c r="AD3166" s="21"/>
    </row>
    <row r="3167" spans="2:31" s="1" customFormat="1" ht="96.3" customHeight="1" outlineLevel="4">
      <c r="B3167" s="57">
        <v>2470</v>
      </c>
      <c r="C3167" s="21" t="s">
        <v>11024</v>
      </c>
      <c r="D3167" s="72" t="s">
        <v>11025</v>
      </c>
      <c r="E3167" s="72"/>
      <c r="F3167" s="72"/>
      <c r="G3167" s="72"/>
      <c r="H3167" s="22" t="s">
        <v>11026</v>
      </c>
      <c r="I3167" s="27">
        <v>8</v>
      </c>
      <c r="J3167" s="22"/>
      <c r="K3167" s="20">
        <v>1</v>
      </c>
      <c r="L3167" s="24">
        <v>476.83</v>
      </c>
      <c r="M3167" s="11"/>
      <c r="N3167" s="22">
        <f t="shared" si="154"/>
        <v>0</v>
      </c>
      <c r="O3167" s="25">
        <f>0.125*M3167</f>
        <v>0</v>
      </c>
      <c r="P3167" s="26">
        <f>0.00041*M3167</f>
        <v>0</v>
      </c>
      <c r="Q3167" s="30"/>
      <c r="R3167" s="22" t="s">
        <v>11027</v>
      </c>
      <c r="S3167" s="22" t="s">
        <v>435</v>
      </c>
      <c r="T3167" s="21" t="str">
        <f>HYPERLINK("https://miland.ru/api/getInfo/image/a20f17bf-b140-11ee-a259-00155d82e908")</f>
        <v>https://miland.ru/api/getInfo/image/a20f17bf-b140-11ee-a259-00155d82e908</v>
      </c>
      <c r="U3167" s="21"/>
      <c r="V3167" s="21" t="s">
        <v>10996</v>
      </c>
      <c r="W3167" s="21" t="s">
        <v>10997</v>
      </c>
      <c r="X3167" s="21"/>
      <c r="Y3167" s="21" t="s">
        <v>41</v>
      </c>
      <c r="Z3167" s="21"/>
      <c r="AA3167" s="21" t="str">
        <f>HYPERLINK("https://miland.ru/api/getInfo/item/a20f17bf-b140-11ee-a259-00155d82e908")</f>
        <v>https://miland.ru/api/getInfo/item/a20f17bf-b140-11ee-a259-00155d82e908</v>
      </c>
      <c r="AB3167" s="21" t="s">
        <v>42</v>
      </c>
      <c r="AC3167" s="21"/>
      <c r="AD3167" s="21" t="s">
        <v>11028</v>
      </c>
    </row>
    <row r="3168" spans="2:31" s="1" customFormat="1" ht="96.3" customHeight="1" outlineLevel="4">
      <c r="B3168" s="57">
        <v>2471</v>
      </c>
      <c r="C3168" s="21" t="s">
        <v>11029</v>
      </c>
      <c r="D3168" s="72" t="s">
        <v>11030</v>
      </c>
      <c r="E3168" s="72"/>
      <c r="F3168" s="72"/>
      <c r="G3168" s="72"/>
      <c r="H3168" s="22" t="s">
        <v>11031</v>
      </c>
      <c r="I3168" s="27">
        <v>9</v>
      </c>
      <c r="J3168" s="22"/>
      <c r="K3168" s="20">
        <v>1</v>
      </c>
      <c r="L3168" s="24">
        <v>476.83</v>
      </c>
      <c r="M3168" s="11"/>
      <c r="N3168" s="22">
        <f t="shared" si="154"/>
        <v>0</v>
      </c>
      <c r="O3168" s="25">
        <f>0.135*M3168</f>
        <v>0</v>
      </c>
      <c r="P3168" s="26">
        <f>0.00043*M3168</f>
        <v>0</v>
      </c>
      <c r="Q3168" s="30"/>
      <c r="R3168" s="22" t="s">
        <v>11032</v>
      </c>
      <c r="S3168" s="22" t="s">
        <v>435</v>
      </c>
      <c r="T3168" s="21" t="str">
        <f>HYPERLINK("https://miland.ru/api/getInfo/image/c7039a3b-b140-11ee-a259-00155d82e908")</f>
        <v>https://miland.ru/api/getInfo/image/c7039a3b-b140-11ee-a259-00155d82e908</v>
      </c>
      <c r="U3168" s="21"/>
      <c r="V3168" s="21" t="s">
        <v>10996</v>
      </c>
      <c r="W3168" s="21" t="s">
        <v>10997</v>
      </c>
      <c r="X3168" s="21"/>
      <c r="Y3168" s="21" t="s">
        <v>41</v>
      </c>
      <c r="Z3168" s="21"/>
      <c r="AA3168" s="21" t="str">
        <f>HYPERLINK("https://miland.ru/api/getInfo/item/c7039a3b-b140-11ee-a259-00155d82e908")</f>
        <v>https://miland.ru/api/getInfo/item/c7039a3b-b140-11ee-a259-00155d82e908</v>
      </c>
      <c r="AB3168" s="21" t="s">
        <v>42</v>
      </c>
      <c r="AC3168" s="21"/>
      <c r="AD3168" s="21" t="s">
        <v>11028</v>
      </c>
    </row>
    <row r="3169" spans="2:31" s="1" customFormat="1" ht="96.3" customHeight="1" outlineLevel="4">
      <c r="B3169" s="57">
        <v>2472</v>
      </c>
      <c r="C3169" s="21" t="s">
        <v>11033</v>
      </c>
      <c r="D3169" s="72" t="s">
        <v>11034</v>
      </c>
      <c r="E3169" s="72"/>
      <c r="F3169" s="72"/>
      <c r="G3169" s="72"/>
      <c r="H3169" s="22" t="s">
        <v>11035</v>
      </c>
      <c r="I3169" s="27">
        <v>305</v>
      </c>
      <c r="J3169" s="22"/>
      <c r="K3169" s="20">
        <v>2</v>
      </c>
      <c r="L3169" s="24">
        <v>310.27999999999997</v>
      </c>
      <c r="M3169" s="11"/>
      <c r="N3169" s="22">
        <f t="shared" si="154"/>
        <v>0</v>
      </c>
      <c r="O3169" s="25">
        <f>0.128*M3169</f>
        <v>0</v>
      </c>
      <c r="P3169" s="26">
        <f>0.00039*M3169</f>
        <v>0</v>
      </c>
      <c r="Q3169" s="30"/>
      <c r="R3169" s="22" t="s">
        <v>11036</v>
      </c>
      <c r="S3169" s="22"/>
      <c r="T3169" s="21" t="str">
        <f>HYPERLINK("https://miland.ru/api/getInfo/image/4b235a02-a87e-11ed-a230-00155d82e902")</f>
        <v>https://miland.ru/api/getInfo/image/4b235a02-a87e-11ed-a230-00155d82e902</v>
      </c>
      <c r="U3169" s="21"/>
      <c r="V3169" s="21" t="s">
        <v>10996</v>
      </c>
      <c r="W3169" s="21" t="s">
        <v>10997</v>
      </c>
      <c r="X3169" s="21"/>
      <c r="Y3169" s="21" t="s">
        <v>41</v>
      </c>
      <c r="Z3169" s="21"/>
      <c r="AA3169" s="21" t="str">
        <f>HYPERLINK("https://miland.ru/api/getInfo/item/4b235a02-a87e-11ed-a230-00155d82e902")</f>
        <v>https://miland.ru/api/getInfo/item/4b235a02-a87e-11ed-a230-00155d82e902</v>
      </c>
      <c r="AB3169" s="21" t="s">
        <v>42</v>
      </c>
      <c r="AC3169" s="21"/>
      <c r="AD3169" s="21"/>
    </row>
    <row r="3170" spans="2:31" ht="12" customHeight="1" outlineLevel="3">
      <c r="B3170" s="70" t="s">
        <v>11037</v>
      </c>
      <c r="C3170" s="70"/>
      <c r="D3170" s="70"/>
      <c r="E3170" s="70"/>
      <c r="F3170" s="70"/>
      <c r="G3170" s="70"/>
    </row>
    <row r="3171" spans="2:31" ht="12" customHeight="1" outlineLevel="4">
      <c r="B3171" s="70" t="s">
        <v>11038</v>
      </c>
      <c r="C3171" s="70"/>
      <c r="D3171" s="70"/>
      <c r="E3171" s="70"/>
      <c r="F3171" s="70"/>
      <c r="G3171" s="70"/>
    </row>
    <row r="3172" spans="2:31" ht="12" customHeight="1" outlineLevel="5">
      <c r="B3172" s="70" t="s">
        <v>11039</v>
      </c>
      <c r="C3172" s="70"/>
      <c r="D3172" s="70"/>
      <c r="E3172" s="70"/>
      <c r="F3172" s="70"/>
      <c r="G3172" s="70"/>
    </row>
    <row r="3173" spans="2:31" ht="24" customHeight="1" outlineLevel="6">
      <c r="B3173" s="70" t="s">
        <v>11040</v>
      </c>
      <c r="C3173" s="70"/>
      <c r="D3173" s="70"/>
      <c r="E3173" s="70"/>
      <c r="F3173" s="70"/>
      <c r="G3173" s="70"/>
    </row>
    <row r="3174" spans="2:31" s="1" customFormat="1" ht="96.3" customHeight="1" outlineLevel="7">
      <c r="B3174" s="59">
        <v>2473</v>
      </c>
      <c r="C3174" s="35" t="s">
        <v>11041</v>
      </c>
      <c r="D3174" s="73" t="s">
        <v>11042</v>
      </c>
      <c r="E3174" s="73"/>
      <c r="F3174" s="73"/>
      <c r="G3174" s="73"/>
      <c r="H3174" s="36" t="s">
        <v>11043</v>
      </c>
      <c r="I3174" s="40">
        <v>130</v>
      </c>
      <c r="J3174" s="36"/>
      <c r="K3174" s="34">
        <v>3</v>
      </c>
      <c r="L3174" s="41">
        <v>173.67999999999998</v>
      </c>
      <c r="M3174" s="11"/>
      <c r="N3174" s="36">
        <f>L3174*M3174</f>
        <v>0</v>
      </c>
      <c r="O3174" s="42">
        <f>0.112*M3174</f>
        <v>0</v>
      </c>
      <c r="P3174" s="55">
        <f>0.0008*M3174</f>
        <v>0</v>
      </c>
      <c r="Q3174" s="50"/>
      <c r="R3174" s="36" t="s">
        <v>11044</v>
      </c>
      <c r="S3174" s="36" t="s">
        <v>435</v>
      </c>
      <c r="T3174" s="35" t="str">
        <f>HYPERLINK("https://miland.ru/api/getInfo/image/8913461d-375f-11ee-a240-00155d82e902")</f>
        <v>https://miland.ru/api/getInfo/image/8913461d-375f-11ee-a240-00155d82e902</v>
      </c>
      <c r="U3174" s="35"/>
      <c r="V3174" s="35" t="s">
        <v>11045</v>
      </c>
      <c r="W3174" s="35" t="s">
        <v>9274</v>
      </c>
      <c r="X3174" s="35"/>
      <c r="Y3174" s="35" t="s">
        <v>41</v>
      </c>
      <c r="Z3174" s="35"/>
      <c r="AA3174" s="35" t="str">
        <f>HYPERLINK("https://miland.ru/api/getInfo/item/8913461d-375f-11ee-a240-00155d82e902")</f>
        <v>https://miland.ru/api/getInfo/item/8913461d-375f-11ee-a240-00155d82e902</v>
      </c>
      <c r="AB3174" s="35" t="s">
        <v>42</v>
      </c>
      <c r="AC3174" s="35" t="s">
        <v>11046</v>
      </c>
      <c r="AD3174" s="35"/>
      <c r="AE3174" s="52" t="s">
        <v>9152</v>
      </c>
    </row>
    <row r="3175" spans="2:31" ht="12" customHeight="1" outlineLevel="6">
      <c r="B3175" s="70" t="s">
        <v>11047</v>
      </c>
      <c r="C3175" s="70"/>
      <c r="D3175" s="70"/>
      <c r="E3175" s="70"/>
      <c r="F3175" s="70"/>
      <c r="G3175" s="70"/>
    </row>
    <row r="3176" spans="2:31" s="1" customFormat="1" ht="96.3" customHeight="1" outlineLevel="7">
      <c r="B3176" s="59">
        <v>2474</v>
      </c>
      <c r="C3176" s="35" t="s">
        <v>11048</v>
      </c>
      <c r="D3176" s="73" t="s">
        <v>11049</v>
      </c>
      <c r="E3176" s="73"/>
      <c r="F3176" s="73"/>
      <c r="G3176" s="73"/>
      <c r="H3176" s="36" t="s">
        <v>11050</v>
      </c>
      <c r="I3176" s="40">
        <v>251</v>
      </c>
      <c r="J3176" s="36"/>
      <c r="K3176" s="34">
        <v>6</v>
      </c>
      <c r="L3176" s="41">
        <v>51.493333333333332</v>
      </c>
      <c r="M3176" s="11"/>
      <c r="N3176" s="36">
        <f t="shared" ref="N3176:N3183" si="155">L3176*M3176</f>
        <v>0</v>
      </c>
      <c r="O3176" s="42">
        <f>0.051*M3176</f>
        <v>0</v>
      </c>
      <c r="P3176" s="43">
        <f>0.00019*M3176</f>
        <v>0</v>
      </c>
      <c r="Q3176" s="50"/>
      <c r="R3176" s="36" t="s">
        <v>11051</v>
      </c>
      <c r="S3176" s="36" t="s">
        <v>435</v>
      </c>
      <c r="T3176" s="35" t="str">
        <f>HYPERLINK("https://miland.ru/api/getInfo/image/dbd7d142-0d0b-11ef-a25d-00155d82e908")</f>
        <v>https://miland.ru/api/getInfo/image/dbd7d142-0d0b-11ef-a25d-00155d82e908</v>
      </c>
      <c r="U3176" s="35"/>
      <c r="V3176" s="35" t="s">
        <v>11045</v>
      </c>
      <c r="W3176" s="35" t="s">
        <v>9274</v>
      </c>
      <c r="X3176" s="35"/>
      <c r="Y3176" s="35" t="s">
        <v>41</v>
      </c>
      <c r="Z3176" s="35"/>
      <c r="AA3176" s="35" t="str">
        <f>HYPERLINK("https://miland.ru/api/getInfo/item/dbd7d142-0d0b-11ef-a25d-00155d82e908")</f>
        <v>https://miland.ru/api/getInfo/item/dbd7d142-0d0b-11ef-a25d-00155d82e908</v>
      </c>
      <c r="AB3176" s="35" t="s">
        <v>42</v>
      </c>
      <c r="AC3176" s="35" t="s">
        <v>11052</v>
      </c>
      <c r="AD3176" s="35"/>
      <c r="AE3176" s="52" t="s">
        <v>9152</v>
      </c>
    </row>
    <row r="3177" spans="2:31" s="1" customFormat="1" ht="96.3" customHeight="1" outlineLevel="7">
      <c r="B3177" s="57">
        <v>2475</v>
      </c>
      <c r="C3177" s="21" t="s">
        <v>11053</v>
      </c>
      <c r="D3177" s="72" t="s">
        <v>11054</v>
      </c>
      <c r="E3177" s="72"/>
      <c r="F3177" s="72"/>
      <c r="G3177" s="72"/>
      <c r="H3177" s="22" t="s">
        <v>11055</v>
      </c>
      <c r="I3177" s="27">
        <v>309</v>
      </c>
      <c r="J3177" s="22"/>
      <c r="K3177" s="20">
        <v>6</v>
      </c>
      <c r="L3177" s="24">
        <v>110.35</v>
      </c>
      <c r="M3177" s="11"/>
      <c r="N3177" s="22">
        <f t="shared" si="155"/>
        <v>0</v>
      </c>
      <c r="O3177" s="25">
        <f>0.052*M3177</f>
        <v>0</v>
      </c>
      <c r="P3177" s="26">
        <f>0.00015*M3177</f>
        <v>0</v>
      </c>
      <c r="Q3177" s="30"/>
      <c r="R3177" s="22" t="s">
        <v>11056</v>
      </c>
      <c r="S3177" s="22" t="s">
        <v>435</v>
      </c>
      <c r="T3177" s="21" t="str">
        <f>HYPERLINK("https://miland.ru/api/getInfo/image/6bf1b33c-0d0b-11ef-a25d-00155d82e908")</f>
        <v>https://miland.ru/api/getInfo/image/6bf1b33c-0d0b-11ef-a25d-00155d82e908</v>
      </c>
      <c r="U3177" s="21"/>
      <c r="V3177" s="21" t="s">
        <v>11045</v>
      </c>
      <c r="W3177" s="21" t="s">
        <v>9274</v>
      </c>
      <c r="X3177" s="21"/>
      <c r="Y3177" s="21" t="s">
        <v>41</v>
      </c>
      <c r="Z3177" s="21"/>
      <c r="AA3177" s="21" t="str">
        <f>HYPERLINK("https://miland.ru/api/getInfo/item/6bf1b33c-0d0b-11ef-a25d-00155d82e908")</f>
        <v>https://miland.ru/api/getInfo/item/6bf1b33c-0d0b-11ef-a25d-00155d82e908</v>
      </c>
      <c r="AB3177" s="21" t="s">
        <v>42</v>
      </c>
      <c r="AC3177" s="21" t="s">
        <v>11052</v>
      </c>
      <c r="AD3177" s="21"/>
    </row>
    <row r="3178" spans="2:31" s="1" customFormat="1" ht="96.3" customHeight="1" outlineLevel="7">
      <c r="B3178" s="57">
        <v>2476</v>
      </c>
      <c r="C3178" s="21" t="s">
        <v>11057</v>
      </c>
      <c r="D3178" s="72" t="s">
        <v>11058</v>
      </c>
      <c r="E3178" s="72"/>
      <c r="F3178" s="72"/>
      <c r="G3178" s="72"/>
      <c r="H3178" s="22" t="s">
        <v>11059</v>
      </c>
      <c r="I3178" s="27">
        <v>35</v>
      </c>
      <c r="J3178" s="22"/>
      <c r="K3178" s="20">
        <v>6</v>
      </c>
      <c r="L3178" s="24">
        <v>110.35</v>
      </c>
      <c r="M3178" s="11"/>
      <c r="N3178" s="22">
        <f t="shared" si="155"/>
        <v>0</v>
      </c>
      <c r="O3178" s="25">
        <f>0.051*M3178</f>
        <v>0</v>
      </c>
      <c r="P3178" s="26">
        <f>0.00017*M3178</f>
        <v>0</v>
      </c>
      <c r="Q3178" s="30"/>
      <c r="R3178" s="22" t="s">
        <v>11060</v>
      </c>
      <c r="S3178" s="22" t="s">
        <v>435</v>
      </c>
      <c r="T3178" s="21" t="str">
        <f>HYPERLINK("https://miland.ru/api/getInfo/image/a867e00e-0d0b-11ef-a25d-00155d82e908")</f>
        <v>https://miland.ru/api/getInfo/image/a867e00e-0d0b-11ef-a25d-00155d82e908</v>
      </c>
      <c r="U3178" s="21"/>
      <c r="V3178" s="21" t="s">
        <v>11045</v>
      </c>
      <c r="W3178" s="21" t="s">
        <v>9274</v>
      </c>
      <c r="X3178" s="21"/>
      <c r="Y3178" s="21" t="s">
        <v>41</v>
      </c>
      <c r="Z3178" s="21"/>
      <c r="AA3178" s="21" t="str">
        <f>HYPERLINK("https://miland.ru/api/getInfo/item/a867e00e-0d0b-11ef-a25d-00155d82e908")</f>
        <v>https://miland.ru/api/getInfo/item/a867e00e-0d0b-11ef-a25d-00155d82e908</v>
      </c>
      <c r="AB3178" s="21" t="s">
        <v>42</v>
      </c>
      <c r="AC3178" s="21" t="s">
        <v>11052</v>
      </c>
      <c r="AD3178" s="21"/>
    </row>
    <row r="3179" spans="2:31" s="1" customFormat="1" ht="96.3" customHeight="1" outlineLevel="7">
      <c r="B3179" s="57">
        <v>2477</v>
      </c>
      <c r="C3179" s="21" t="s">
        <v>11061</v>
      </c>
      <c r="D3179" s="72" t="s">
        <v>11062</v>
      </c>
      <c r="E3179" s="72"/>
      <c r="F3179" s="72"/>
      <c r="G3179" s="72"/>
      <c r="H3179" s="22" t="s">
        <v>11063</v>
      </c>
      <c r="I3179" s="27">
        <v>240</v>
      </c>
      <c r="J3179" s="22"/>
      <c r="K3179" s="20">
        <v>6</v>
      </c>
      <c r="L3179" s="24">
        <v>110.35</v>
      </c>
      <c r="M3179" s="11"/>
      <c r="N3179" s="22">
        <f t="shared" si="155"/>
        <v>0</v>
      </c>
      <c r="O3179" s="25">
        <f>0.053*M3179</f>
        <v>0</v>
      </c>
      <c r="P3179" s="26">
        <f>0.00015*M3179</f>
        <v>0</v>
      </c>
      <c r="Q3179" s="30"/>
      <c r="R3179" s="22" t="s">
        <v>11064</v>
      </c>
      <c r="S3179" s="22" t="s">
        <v>435</v>
      </c>
      <c r="T3179" s="21" t="str">
        <f>HYPERLINK("https://miland.ru/api/getInfo/image/c9f626c0-0d0b-11ef-a25d-00155d82e908")</f>
        <v>https://miland.ru/api/getInfo/image/c9f626c0-0d0b-11ef-a25d-00155d82e908</v>
      </c>
      <c r="U3179" s="21"/>
      <c r="V3179" s="21" t="s">
        <v>11045</v>
      </c>
      <c r="W3179" s="21" t="s">
        <v>9274</v>
      </c>
      <c r="X3179" s="21"/>
      <c r="Y3179" s="21" t="s">
        <v>41</v>
      </c>
      <c r="Z3179" s="21"/>
      <c r="AA3179" s="21" t="str">
        <f>HYPERLINK("https://miland.ru/api/getInfo/item/c9f626c0-0d0b-11ef-a25d-00155d82e908")</f>
        <v>https://miland.ru/api/getInfo/item/c9f626c0-0d0b-11ef-a25d-00155d82e908</v>
      </c>
      <c r="AB3179" s="21" t="s">
        <v>42</v>
      </c>
      <c r="AC3179" s="21" t="s">
        <v>11052</v>
      </c>
      <c r="AD3179" s="21"/>
    </row>
    <row r="3180" spans="2:31" s="1" customFormat="1" ht="96.3" customHeight="1" outlineLevel="7">
      <c r="B3180" s="57">
        <v>2478</v>
      </c>
      <c r="C3180" s="21" t="s">
        <v>11065</v>
      </c>
      <c r="D3180" s="72" t="s">
        <v>11066</v>
      </c>
      <c r="E3180" s="72"/>
      <c r="F3180" s="72"/>
      <c r="G3180" s="72"/>
      <c r="H3180" s="22" t="s">
        <v>11067</v>
      </c>
      <c r="I3180" s="27">
        <v>45</v>
      </c>
      <c r="J3180" s="22"/>
      <c r="K3180" s="20">
        <v>6</v>
      </c>
      <c r="L3180" s="24">
        <v>110.35</v>
      </c>
      <c r="M3180" s="11"/>
      <c r="N3180" s="22">
        <f t="shared" si="155"/>
        <v>0</v>
      </c>
      <c r="O3180" s="25">
        <f>0.051*M3180</f>
        <v>0</v>
      </c>
      <c r="P3180" s="26">
        <f>0.00015*M3180</f>
        <v>0</v>
      </c>
      <c r="Q3180" s="30"/>
      <c r="R3180" s="22" t="s">
        <v>11068</v>
      </c>
      <c r="S3180" s="22" t="s">
        <v>435</v>
      </c>
      <c r="T3180" s="21" t="str">
        <f>HYPERLINK("https://miland.ru/api/getInfo/image/5c667e7d-0d0b-11ef-a25d-00155d82e908")</f>
        <v>https://miland.ru/api/getInfo/image/5c667e7d-0d0b-11ef-a25d-00155d82e908</v>
      </c>
      <c r="U3180" s="21"/>
      <c r="V3180" s="21" t="s">
        <v>11045</v>
      </c>
      <c r="W3180" s="21" t="s">
        <v>9274</v>
      </c>
      <c r="X3180" s="21"/>
      <c r="Y3180" s="21" t="s">
        <v>41</v>
      </c>
      <c r="Z3180" s="21"/>
      <c r="AA3180" s="21" t="str">
        <f>HYPERLINK("https://miland.ru/api/getInfo/item/5c667e7d-0d0b-11ef-a25d-00155d82e908")</f>
        <v>https://miland.ru/api/getInfo/item/5c667e7d-0d0b-11ef-a25d-00155d82e908</v>
      </c>
      <c r="AB3180" s="21" t="s">
        <v>42</v>
      </c>
      <c r="AC3180" s="21" t="s">
        <v>11052</v>
      </c>
      <c r="AD3180" s="21"/>
    </row>
    <row r="3181" spans="2:31" s="1" customFormat="1" ht="96.3" customHeight="1" outlineLevel="7">
      <c r="B3181" s="59">
        <v>2479</v>
      </c>
      <c r="C3181" s="35" t="s">
        <v>11069</v>
      </c>
      <c r="D3181" s="73" t="s">
        <v>11070</v>
      </c>
      <c r="E3181" s="73"/>
      <c r="F3181" s="73"/>
      <c r="G3181" s="73"/>
      <c r="H3181" s="36" t="s">
        <v>11071</v>
      </c>
      <c r="I3181" s="56" t="s">
        <v>36</v>
      </c>
      <c r="J3181" s="36"/>
      <c r="K3181" s="34">
        <v>6</v>
      </c>
      <c r="L3181" s="41">
        <v>51.493333333333332</v>
      </c>
      <c r="M3181" s="11"/>
      <c r="N3181" s="36">
        <f t="shared" si="155"/>
        <v>0</v>
      </c>
      <c r="O3181" s="42">
        <f>0.054*M3181</f>
        <v>0</v>
      </c>
      <c r="P3181" s="43">
        <f>0.00014*M3181</f>
        <v>0</v>
      </c>
      <c r="Q3181" s="50"/>
      <c r="R3181" s="36" t="s">
        <v>11072</v>
      </c>
      <c r="S3181" s="36" t="s">
        <v>435</v>
      </c>
      <c r="T3181" s="35" t="str">
        <f>HYPERLINK("https://miland.ru/api/getInfo/image/b9ba7d25-0d0b-11ef-a25d-00155d82e908")</f>
        <v>https://miland.ru/api/getInfo/image/b9ba7d25-0d0b-11ef-a25d-00155d82e908</v>
      </c>
      <c r="U3181" s="35"/>
      <c r="V3181" s="35" t="s">
        <v>11045</v>
      </c>
      <c r="W3181" s="35" t="s">
        <v>9274</v>
      </c>
      <c r="X3181" s="35"/>
      <c r="Y3181" s="35" t="s">
        <v>41</v>
      </c>
      <c r="Z3181" s="35"/>
      <c r="AA3181" s="35" t="str">
        <f>HYPERLINK("https://miland.ru/api/getInfo/item/b9ba7d25-0d0b-11ef-a25d-00155d82e908")</f>
        <v>https://miland.ru/api/getInfo/item/b9ba7d25-0d0b-11ef-a25d-00155d82e908</v>
      </c>
      <c r="AB3181" s="35" t="s">
        <v>42</v>
      </c>
      <c r="AC3181" s="35" t="s">
        <v>11052</v>
      </c>
      <c r="AD3181" s="35"/>
      <c r="AE3181" s="52" t="s">
        <v>9152</v>
      </c>
    </row>
    <row r="3182" spans="2:31" s="1" customFormat="1" ht="96.3" customHeight="1" outlineLevel="7">
      <c r="B3182" s="59">
        <v>2480</v>
      </c>
      <c r="C3182" s="35" t="s">
        <v>11073</v>
      </c>
      <c r="D3182" s="73" t="s">
        <v>11074</v>
      </c>
      <c r="E3182" s="73"/>
      <c r="F3182" s="73"/>
      <c r="G3182" s="73"/>
      <c r="H3182" s="36" t="s">
        <v>11075</v>
      </c>
      <c r="I3182" s="40">
        <v>179</v>
      </c>
      <c r="J3182" s="36"/>
      <c r="K3182" s="34">
        <v>6</v>
      </c>
      <c r="L3182" s="41">
        <v>51.493333333333332</v>
      </c>
      <c r="M3182" s="11"/>
      <c r="N3182" s="36">
        <f t="shared" si="155"/>
        <v>0</v>
      </c>
      <c r="O3182" s="42">
        <f>0.052*M3182</f>
        <v>0</v>
      </c>
      <c r="P3182" s="43">
        <f>0.00023*M3182</f>
        <v>0</v>
      </c>
      <c r="Q3182" s="50"/>
      <c r="R3182" s="36" t="s">
        <v>11076</v>
      </c>
      <c r="S3182" s="36" t="s">
        <v>435</v>
      </c>
      <c r="T3182" s="35" t="str">
        <f>HYPERLINK("https://miland.ru/api/getInfo/image/998f7519-0d0b-11ef-a25d-00155d82e908")</f>
        <v>https://miland.ru/api/getInfo/image/998f7519-0d0b-11ef-a25d-00155d82e908</v>
      </c>
      <c r="U3182" s="35"/>
      <c r="V3182" s="35" t="s">
        <v>11045</v>
      </c>
      <c r="W3182" s="35" t="s">
        <v>9274</v>
      </c>
      <c r="X3182" s="35"/>
      <c r="Y3182" s="35" t="s">
        <v>41</v>
      </c>
      <c r="Z3182" s="35"/>
      <c r="AA3182" s="35" t="str">
        <f>HYPERLINK("https://miland.ru/api/getInfo/item/998f7519-0d0b-11ef-a25d-00155d82e908")</f>
        <v>https://miland.ru/api/getInfo/item/998f7519-0d0b-11ef-a25d-00155d82e908</v>
      </c>
      <c r="AB3182" s="35" t="s">
        <v>42</v>
      </c>
      <c r="AC3182" s="35" t="s">
        <v>11052</v>
      </c>
      <c r="AD3182" s="35"/>
      <c r="AE3182" s="52" t="s">
        <v>9152</v>
      </c>
    </row>
    <row r="3183" spans="2:31" s="1" customFormat="1" ht="96.3" customHeight="1" outlineLevel="7">
      <c r="B3183" s="59">
        <v>2481</v>
      </c>
      <c r="C3183" s="35" t="s">
        <v>11077</v>
      </c>
      <c r="D3183" s="73" t="s">
        <v>11078</v>
      </c>
      <c r="E3183" s="73"/>
      <c r="F3183" s="73"/>
      <c r="G3183" s="73"/>
      <c r="H3183" s="36" t="s">
        <v>11079</v>
      </c>
      <c r="I3183" s="40">
        <v>377</v>
      </c>
      <c r="J3183" s="36"/>
      <c r="K3183" s="34">
        <v>6</v>
      </c>
      <c r="L3183" s="41">
        <v>51.493333333333332</v>
      </c>
      <c r="M3183" s="11"/>
      <c r="N3183" s="36">
        <f t="shared" si="155"/>
        <v>0</v>
      </c>
      <c r="O3183" s="61">
        <f>5.1*M3183</f>
        <v>0</v>
      </c>
      <c r="P3183" s="43">
        <f>0.03444*M3183</f>
        <v>0</v>
      </c>
      <c r="Q3183" s="50"/>
      <c r="R3183" s="36" t="s">
        <v>11080</v>
      </c>
      <c r="S3183" s="36" t="s">
        <v>435</v>
      </c>
      <c r="T3183" s="35" t="str">
        <f>HYPERLINK("https://miland.ru/api/getInfo/image/b7958ede-0d0a-11ef-a25d-00155d82e908")</f>
        <v>https://miland.ru/api/getInfo/image/b7958ede-0d0a-11ef-a25d-00155d82e908</v>
      </c>
      <c r="U3183" s="35"/>
      <c r="V3183" s="35" t="s">
        <v>11045</v>
      </c>
      <c r="W3183" s="35" t="s">
        <v>9274</v>
      </c>
      <c r="X3183" s="35"/>
      <c r="Y3183" s="35" t="s">
        <v>41</v>
      </c>
      <c r="Z3183" s="35"/>
      <c r="AA3183" s="35" t="str">
        <f>HYPERLINK("https://miland.ru/api/getInfo/item/b7958ede-0d0a-11ef-a25d-00155d82e908")</f>
        <v>https://miland.ru/api/getInfo/item/b7958ede-0d0a-11ef-a25d-00155d82e908</v>
      </c>
      <c r="AB3183" s="35" t="s">
        <v>42</v>
      </c>
      <c r="AC3183" s="35" t="s">
        <v>11052</v>
      </c>
      <c r="AD3183" s="35"/>
      <c r="AE3183" s="52" t="s">
        <v>9152</v>
      </c>
    </row>
    <row r="3184" spans="2:31" ht="12" customHeight="1" outlineLevel="5">
      <c r="B3184" s="70" t="s">
        <v>11081</v>
      </c>
      <c r="C3184" s="70"/>
      <c r="D3184" s="70"/>
      <c r="E3184" s="70"/>
      <c r="F3184" s="70"/>
      <c r="G3184" s="70"/>
    </row>
    <row r="3185" spans="2:31" ht="12" customHeight="1" outlineLevel="6">
      <c r="B3185" s="70" t="s">
        <v>11082</v>
      </c>
      <c r="C3185" s="70"/>
      <c r="D3185" s="70"/>
      <c r="E3185" s="70"/>
      <c r="F3185" s="70"/>
      <c r="G3185" s="70"/>
    </row>
    <row r="3186" spans="2:31" s="1" customFormat="1" ht="96.3" customHeight="1" outlineLevel="7">
      <c r="B3186" s="57">
        <v>2482</v>
      </c>
      <c r="C3186" s="21" t="s">
        <v>11083</v>
      </c>
      <c r="D3186" s="72" t="s">
        <v>11084</v>
      </c>
      <c r="E3186" s="72"/>
      <c r="F3186" s="72"/>
      <c r="G3186" s="72"/>
      <c r="H3186" s="22" t="s">
        <v>11085</v>
      </c>
      <c r="I3186" s="27">
        <v>8</v>
      </c>
      <c r="J3186" s="22"/>
      <c r="K3186" s="20">
        <v>3</v>
      </c>
      <c r="L3186" s="24">
        <v>229.16</v>
      </c>
      <c r="M3186" s="11"/>
      <c r="N3186" s="22">
        <f>L3186*M3186</f>
        <v>0</v>
      </c>
      <c r="O3186" s="25">
        <f>0.108*M3186</f>
        <v>0</v>
      </c>
      <c r="P3186" s="29">
        <f>0.0005*M3186</f>
        <v>0</v>
      </c>
      <c r="Q3186" s="30"/>
      <c r="R3186" s="22" t="s">
        <v>11086</v>
      </c>
      <c r="S3186" s="22" t="s">
        <v>435</v>
      </c>
      <c r="T3186" s="21" t="str">
        <f>HYPERLINK("https://miland.ru/api/getInfo/image/f871b2c1-3805-11ee-a240-00155d82e902")</f>
        <v>https://miland.ru/api/getInfo/image/f871b2c1-3805-11ee-a240-00155d82e902</v>
      </c>
      <c r="U3186" s="21"/>
      <c r="V3186" s="21" t="s">
        <v>11045</v>
      </c>
      <c r="W3186" s="21" t="s">
        <v>9274</v>
      </c>
      <c r="X3186" s="21"/>
      <c r="Y3186" s="21" t="s">
        <v>41</v>
      </c>
      <c r="Z3186" s="21"/>
      <c r="AA3186" s="21" t="str">
        <f>HYPERLINK("https://miland.ru/api/getInfo/item/f871b2c1-3805-11ee-a240-00155d82e902")</f>
        <v>https://miland.ru/api/getInfo/item/f871b2c1-3805-11ee-a240-00155d82e902</v>
      </c>
      <c r="AB3186" s="21" t="s">
        <v>42</v>
      </c>
      <c r="AC3186" s="21" t="s">
        <v>11046</v>
      </c>
      <c r="AD3186" s="21"/>
    </row>
    <row r="3187" spans="2:31" s="1" customFormat="1" ht="96.3" customHeight="1" outlineLevel="7">
      <c r="B3187" s="57">
        <v>2483</v>
      </c>
      <c r="C3187" s="21" t="s">
        <v>11087</v>
      </c>
      <c r="D3187" s="72" t="s">
        <v>11088</v>
      </c>
      <c r="E3187" s="72"/>
      <c r="F3187" s="72"/>
      <c r="G3187" s="72"/>
      <c r="H3187" s="22" t="s">
        <v>11089</v>
      </c>
      <c r="I3187" s="27">
        <v>48</v>
      </c>
      <c r="J3187" s="22"/>
      <c r="K3187" s="20">
        <v>3</v>
      </c>
      <c r="L3187" s="24">
        <v>229.16</v>
      </c>
      <c r="M3187" s="11"/>
      <c r="N3187" s="22">
        <f>L3187*M3187</f>
        <v>0</v>
      </c>
      <c r="O3187" s="25">
        <f>0.115*M3187</f>
        <v>0</v>
      </c>
      <c r="P3187" s="26">
        <f>0.00084*M3187</f>
        <v>0</v>
      </c>
      <c r="Q3187" s="30"/>
      <c r="R3187" s="22" t="s">
        <v>11090</v>
      </c>
      <c r="S3187" s="22" t="s">
        <v>435</v>
      </c>
      <c r="T3187" s="21" t="str">
        <f>HYPERLINK("https://miland.ru/api/getInfo/image/429d9995-380b-11ee-a240-00155d82e902")</f>
        <v>https://miland.ru/api/getInfo/image/429d9995-380b-11ee-a240-00155d82e902</v>
      </c>
      <c r="U3187" s="21"/>
      <c r="V3187" s="21" t="s">
        <v>11045</v>
      </c>
      <c r="W3187" s="21" t="s">
        <v>9274</v>
      </c>
      <c r="X3187" s="21"/>
      <c r="Y3187" s="21" t="s">
        <v>41</v>
      </c>
      <c r="Z3187" s="21"/>
      <c r="AA3187" s="21" t="str">
        <f>HYPERLINK("https://miland.ru/api/getInfo/item/429d9995-380b-11ee-a240-00155d82e902")</f>
        <v>https://miland.ru/api/getInfo/item/429d9995-380b-11ee-a240-00155d82e902</v>
      </c>
      <c r="AB3187" s="21" t="s">
        <v>42</v>
      </c>
      <c r="AC3187" s="21" t="s">
        <v>11046</v>
      </c>
      <c r="AD3187" s="21"/>
    </row>
    <row r="3188" spans="2:31" s="1" customFormat="1" ht="96.3" customHeight="1" outlineLevel="7">
      <c r="B3188" s="57">
        <v>2484</v>
      </c>
      <c r="C3188" s="21" t="s">
        <v>11091</v>
      </c>
      <c r="D3188" s="72" t="s">
        <v>11092</v>
      </c>
      <c r="E3188" s="72"/>
      <c r="F3188" s="72"/>
      <c r="G3188" s="72"/>
      <c r="H3188" s="22" t="s">
        <v>11093</v>
      </c>
      <c r="I3188" s="27">
        <v>8</v>
      </c>
      <c r="J3188" s="22"/>
      <c r="K3188" s="20">
        <v>3</v>
      </c>
      <c r="L3188" s="24">
        <v>229.16</v>
      </c>
      <c r="M3188" s="11"/>
      <c r="N3188" s="22">
        <f>L3188*M3188</f>
        <v>0</v>
      </c>
      <c r="O3188" s="25">
        <f>0.116*M3188</f>
        <v>0</v>
      </c>
      <c r="P3188" s="26">
        <f>0.00044*M3188</f>
        <v>0</v>
      </c>
      <c r="Q3188" s="30"/>
      <c r="R3188" s="22" t="s">
        <v>11094</v>
      </c>
      <c r="S3188" s="22" t="s">
        <v>435</v>
      </c>
      <c r="T3188" s="21" t="str">
        <f>HYPERLINK("https://miland.ru/api/getInfo/image/798e7ce1-3809-11ee-a240-00155d82e902")</f>
        <v>https://miland.ru/api/getInfo/image/798e7ce1-3809-11ee-a240-00155d82e902</v>
      </c>
      <c r="U3188" s="21"/>
      <c r="V3188" s="21" t="s">
        <v>11045</v>
      </c>
      <c r="W3188" s="21" t="s">
        <v>9274</v>
      </c>
      <c r="X3188" s="21"/>
      <c r="Y3188" s="21" t="s">
        <v>41</v>
      </c>
      <c r="Z3188" s="21"/>
      <c r="AA3188" s="21" t="str">
        <f>HYPERLINK("https://miland.ru/api/getInfo/item/798e7ce1-3809-11ee-a240-00155d82e902")</f>
        <v>https://miland.ru/api/getInfo/item/798e7ce1-3809-11ee-a240-00155d82e902</v>
      </c>
      <c r="AB3188" s="21" t="s">
        <v>42</v>
      </c>
      <c r="AC3188" s="21" t="s">
        <v>11046</v>
      </c>
      <c r="AD3188" s="21"/>
    </row>
    <row r="3189" spans="2:31" s="1" customFormat="1" ht="96.3" customHeight="1" outlineLevel="7">
      <c r="B3189" s="57">
        <v>2485</v>
      </c>
      <c r="C3189" s="21" t="s">
        <v>11095</v>
      </c>
      <c r="D3189" s="72" t="s">
        <v>11096</v>
      </c>
      <c r="E3189" s="72"/>
      <c r="F3189" s="72"/>
      <c r="G3189" s="72"/>
      <c r="H3189" s="22" t="s">
        <v>11097</v>
      </c>
      <c r="I3189" s="27">
        <v>5</v>
      </c>
      <c r="J3189" s="22"/>
      <c r="K3189" s="20">
        <v>3</v>
      </c>
      <c r="L3189" s="24">
        <v>229.16</v>
      </c>
      <c r="M3189" s="11"/>
      <c r="N3189" s="22">
        <f>L3189*M3189</f>
        <v>0</v>
      </c>
      <c r="O3189" s="25">
        <f>0.114*M3189</f>
        <v>0</v>
      </c>
      <c r="P3189" s="26">
        <f>0.00065*M3189</f>
        <v>0</v>
      </c>
      <c r="Q3189" s="30"/>
      <c r="R3189" s="22" t="s">
        <v>11098</v>
      </c>
      <c r="S3189" s="22" t="s">
        <v>435</v>
      </c>
      <c r="T3189" s="21" t="str">
        <f>HYPERLINK("https://miland.ru/api/getInfo/image/76a41186-380d-11ee-a240-00155d82e902")</f>
        <v>https://miland.ru/api/getInfo/image/76a41186-380d-11ee-a240-00155d82e902</v>
      </c>
      <c r="U3189" s="21"/>
      <c r="V3189" s="21" t="s">
        <v>11045</v>
      </c>
      <c r="W3189" s="21" t="s">
        <v>9274</v>
      </c>
      <c r="X3189" s="21"/>
      <c r="Y3189" s="21" t="s">
        <v>41</v>
      </c>
      <c r="Z3189" s="21"/>
      <c r="AA3189" s="21" t="str">
        <f>HYPERLINK("https://miland.ru/api/getInfo/item/76a41186-380d-11ee-a240-00155d82e902")</f>
        <v>https://miland.ru/api/getInfo/item/76a41186-380d-11ee-a240-00155d82e902</v>
      </c>
      <c r="AB3189" s="21" t="s">
        <v>42</v>
      </c>
      <c r="AC3189" s="21" t="s">
        <v>11046</v>
      </c>
      <c r="AD3189" s="21"/>
    </row>
    <row r="3190" spans="2:31" ht="12" customHeight="1" outlineLevel="5">
      <c r="B3190" s="70" t="s">
        <v>11099</v>
      </c>
      <c r="C3190" s="70"/>
      <c r="D3190" s="70"/>
      <c r="E3190" s="70"/>
      <c r="F3190" s="70"/>
      <c r="G3190" s="70"/>
    </row>
    <row r="3191" spans="2:31" ht="12" customHeight="1" outlineLevel="6">
      <c r="B3191" s="70" t="s">
        <v>11082</v>
      </c>
      <c r="C3191" s="70"/>
      <c r="D3191" s="70"/>
      <c r="E3191" s="70"/>
      <c r="F3191" s="70"/>
      <c r="G3191" s="70"/>
    </row>
    <row r="3192" spans="2:31" s="1" customFormat="1" ht="96.3" customHeight="1" outlineLevel="7">
      <c r="B3192" s="57">
        <v>2486</v>
      </c>
      <c r="C3192" s="21" t="s">
        <v>11100</v>
      </c>
      <c r="D3192" s="72" t="s">
        <v>11101</v>
      </c>
      <c r="E3192" s="72"/>
      <c r="F3192" s="72"/>
      <c r="G3192" s="72"/>
      <c r="H3192" s="22" t="s">
        <v>11102</v>
      </c>
      <c r="I3192" s="27">
        <v>59</v>
      </c>
      <c r="J3192" s="22"/>
      <c r="K3192" s="20">
        <v>1</v>
      </c>
      <c r="L3192" s="24">
        <v>651.29999999999995</v>
      </c>
      <c r="M3192" s="11"/>
      <c r="N3192" s="22">
        <f>L3192*M3192</f>
        <v>0</v>
      </c>
      <c r="O3192" s="25">
        <f>0.629*M3192</f>
        <v>0</v>
      </c>
      <c r="P3192" s="26">
        <f>0.00053*M3192</f>
        <v>0</v>
      </c>
      <c r="Q3192" s="30"/>
      <c r="R3192" s="22" t="s">
        <v>11103</v>
      </c>
      <c r="S3192" s="22" t="s">
        <v>435</v>
      </c>
      <c r="T3192" s="21" t="str">
        <f>HYPERLINK("https://miland.ru/api/getInfo/image/1c36022e-3783-11ee-a240-00155d82e902")</f>
        <v>https://miland.ru/api/getInfo/image/1c36022e-3783-11ee-a240-00155d82e902</v>
      </c>
      <c r="U3192" s="21"/>
      <c r="V3192" s="21" t="s">
        <v>11104</v>
      </c>
      <c r="W3192" s="21" t="s">
        <v>11105</v>
      </c>
      <c r="X3192" s="21"/>
      <c r="Y3192" s="21" t="s">
        <v>41</v>
      </c>
      <c r="Z3192" s="21"/>
      <c r="AA3192" s="21" t="str">
        <f>HYPERLINK("https://miland.ru/api/getInfo/item/1c36022e-3783-11ee-a240-00155d82e902")</f>
        <v>https://miland.ru/api/getInfo/item/1c36022e-3783-11ee-a240-00155d82e902</v>
      </c>
      <c r="AB3192" s="21" t="s">
        <v>42</v>
      </c>
      <c r="AC3192" s="21" t="s">
        <v>11106</v>
      </c>
      <c r="AD3192" s="21"/>
    </row>
    <row r="3193" spans="2:31" s="1" customFormat="1" ht="96.3" customHeight="1" outlineLevel="7">
      <c r="B3193" s="57">
        <v>2487</v>
      </c>
      <c r="C3193" s="21" t="s">
        <v>11107</v>
      </c>
      <c r="D3193" s="72" t="s">
        <v>11108</v>
      </c>
      <c r="E3193" s="72"/>
      <c r="F3193" s="72"/>
      <c r="G3193" s="72"/>
      <c r="H3193" s="22" t="s">
        <v>11109</v>
      </c>
      <c r="I3193" s="27">
        <v>7</v>
      </c>
      <c r="J3193" s="22"/>
      <c r="K3193" s="20">
        <v>1</v>
      </c>
      <c r="L3193" s="24">
        <v>651.29999999999995</v>
      </c>
      <c r="M3193" s="11"/>
      <c r="N3193" s="22">
        <f>L3193*M3193</f>
        <v>0</v>
      </c>
      <c r="O3193" s="25">
        <f>0.632*M3193</f>
        <v>0</v>
      </c>
      <c r="P3193" s="26">
        <f>0.00204*M3193</f>
        <v>0</v>
      </c>
      <c r="Q3193" s="30"/>
      <c r="R3193" s="22" t="s">
        <v>11110</v>
      </c>
      <c r="S3193" s="22" t="s">
        <v>435</v>
      </c>
      <c r="T3193" s="21" t="str">
        <f>HYPERLINK("https://miland.ru/api/getInfo/image/e734abf3-377f-11ee-a240-00155d82e902")</f>
        <v>https://miland.ru/api/getInfo/image/e734abf3-377f-11ee-a240-00155d82e902</v>
      </c>
      <c r="U3193" s="21"/>
      <c r="V3193" s="21" t="s">
        <v>11104</v>
      </c>
      <c r="W3193" s="21" t="s">
        <v>11105</v>
      </c>
      <c r="X3193" s="21"/>
      <c r="Y3193" s="21" t="s">
        <v>41</v>
      </c>
      <c r="Z3193" s="21"/>
      <c r="AA3193" s="21" t="str">
        <f>HYPERLINK("https://miland.ru/api/getInfo/item/e734abf3-377f-11ee-a240-00155d82e902")</f>
        <v>https://miland.ru/api/getInfo/item/e734abf3-377f-11ee-a240-00155d82e902</v>
      </c>
      <c r="AB3193" s="21" t="s">
        <v>42</v>
      </c>
      <c r="AC3193" s="21" t="s">
        <v>11106</v>
      </c>
      <c r="AD3193" s="21"/>
    </row>
    <row r="3194" spans="2:31" s="1" customFormat="1" ht="96.3" customHeight="1" outlineLevel="7">
      <c r="B3194" s="57">
        <v>2488</v>
      </c>
      <c r="C3194" s="21" t="s">
        <v>11111</v>
      </c>
      <c r="D3194" s="72" t="s">
        <v>11112</v>
      </c>
      <c r="E3194" s="72"/>
      <c r="F3194" s="72"/>
      <c r="G3194" s="72"/>
      <c r="H3194" s="22" t="s">
        <v>11113</v>
      </c>
      <c r="I3194" s="27">
        <v>36</v>
      </c>
      <c r="J3194" s="22"/>
      <c r="K3194" s="20">
        <v>1</v>
      </c>
      <c r="L3194" s="24">
        <v>651.29999999999995</v>
      </c>
      <c r="M3194" s="11"/>
      <c r="N3194" s="22">
        <f>L3194*M3194</f>
        <v>0</v>
      </c>
      <c r="O3194" s="25">
        <f>0.416*M3194</f>
        <v>0</v>
      </c>
      <c r="P3194" s="26">
        <f>0.00195*M3194</f>
        <v>0</v>
      </c>
      <c r="Q3194" s="30"/>
      <c r="R3194" s="22" t="s">
        <v>11114</v>
      </c>
      <c r="S3194" s="22" t="s">
        <v>435</v>
      </c>
      <c r="T3194" s="21" t="str">
        <f>HYPERLINK("https://miland.ru/api/getInfo/image/64dec08d-3775-11ee-a240-00155d82e902")</f>
        <v>https://miland.ru/api/getInfo/image/64dec08d-3775-11ee-a240-00155d82e902</v>
      </c>
      <c r="U3194" s="21"/>
      <c r="V3194" s="21" t="s">
        <v>11104</v>
      </c>
      <c r="W3194" s="21" t="s">
        <v>11105</v>
      </c>
      <c r="X3194" s="21"/>
      <c r="Y3194" s="21" t="s">
        <v>41</v>
      </c>
      <c r="Z3194" s="21"/>
      <c r="AA3194" s="21" t="str">
        <f>HYPERLINK("https://miland.ru/api/getInfo/item/64dec08d-3775-11ee-a240-00155d82e902")</f>
        <v>https://miland.ru/api/getInfo/item/64dec08d-3775-11ee-a240-00155d82e902</v>
      </c>
      <c r="AB3194" s="21" t="s">
        <v>42</v>
      </c>
      <c r="AC3194" s="21" t="s">
        <v>11106</v>
      </c>
      <c r="AD3194" s="21"/>
    </row>
    <row r="3195" spans="2:31" s="1" customFormat="1" ht="96.3" customHeight="1" outlineLevel="7">
      <c r="B3195" s="57">
        <v>2489</v>
      </c>
      <c r="C3195" s="21" t="s">
        <v>11115</v>
      </c>
      <c r="D3195" s="72" t="s">
        <v>11116</v>
      </c>
      <c r="E3195" s="72"/>
      <c r="F3195" s="72"/>
      <c r="G3195" s="72"/>
      <c r="H3195" s="22" t="s">
        <v>11117</v>
      </c>
      <c r="I3195" s="27">
        <v>42</v>
      </c>
      <c r="J3195" s="22"/>
      <c r="K3195" s="20">
        <v>1</v>
      </c>
      <c r="L3195" s="24">
        <v>651.29999999999995</v>
      </c>
      <c r="M3195" s="11"/>
      <c r="N3195" s="22">
        <f>L3195*M3195</f>
        <v>0</v>
      </c>
      <c r="O3195" s="25">
        <f>0.652*M3195</f>
        <v>0</v>
      </c>
      <c r="P3195" s="26">
        <f>0.00193*M3195</f>
        <v>0</v>
      </c>
      <c r="Q3195" s="30"/>
      <c r="R3195" s="22" t="s">
        <v>11118</v>
      </c>
      <c r="S3195" s="22" t="s">
        <v>435</v>
      </c>
      <c r="T3195" s="21" t="str">
        <f>HYPERLINK("https://miland.ru/api/getInfo/image/bcb02188-3783-11ee-a240-00155d82e902")</f>
        <v>https://miland.ru/api/getInfo/image/bcb02188-3783-11ee-a240-00155d82e902</v>
      </c>
      <c r="U3195" s="21"/>
      <c r="V3195" s="21" t="s">
        <v>11104</v>
      </c>
      <c r="W3195" s="21" t="s">
        <v>11105</v>
      </c>
      <c r="X3195" s="21"/>
      <c r="Y3195" s="21" t="s">
        <v>41</v>
      </c>
      <c r="Z3195" s="21"/>
      <c r="AA3195" s="21" t="str">
        <f>HYPERLINK("https://miland.ru/api/getInfo/item/bcb02188-3783-11ee-a240-00155d82e902")</f>
        <v>https://miland.ru/api/getInfo/item/bcb02188-3783-11ee-a240-00155d82e902</v>
      </c>
      <c r="AB3195" s="21" t="s">
        <v>42</v>
      </c>
      <c r="AC3195" s="21" t="s">
        <v>11106</v>
      </c>
      <c r="AD3195" s="21"/>
    </row>
    <row r="3196" spans="2:31" s="1" customFormat="1" ht="96.3" customHeight="1" outlineLevel="7">
      <c r="B3196" s="57">
        <v>2490</v>
      </c>
      <c r="C3196" s="21" t="s">
        <v>11119</v>
      </c>
      <c r="D3196" s="72" t="s">
        <v>11120</v>
      </c>
      <c r="E3196" s="72"/>
      <c r="F3196" s="72"/>
      <c r="G3196" s="72"/>
      <c r="H3196" s="22" t="s">
        <v>11121</v>
      </c>
      <c r="I3196" s="27">
        <v>27</v>
      </c>
      <c r="J3196" s="22"/>
      <c r="K3196" s="20">
        <v>1</v>
      </c>
      <c r="L3196" s="24">
        <v>651.29999999999995</v>
      </c>
      <c r="M3196" s="11"/>
      <c r="N3196" s="22">
        <f>L3196*M3196</f>
        <v>0</v>
      </c>
      <c r="O3196" s="25">
        <f>0.631*M3196</f>
        <v>0</v>
      </c>
      <c r="P3196" s="26">
        <f>0.00199*M3196</f>
        <v>0</v>
      </c>
      <c r="Q3196" s="30"/>
      <c r="R3196" s="22" t="s">
        <v>11122</v>
      </c>
      <c r="S3196" s="22" t="s">
        <v>435</v>
      </c>
      <c r="T3196" s="21" t="str">
        <f>HYPERLINK("https://miland.ru/api/getInfo/image/97957a4d-3783-11ee-a240-00155d82e902")</f>
        <v>https://miland.ru/api/getInfo/image/97957a4d-3783-11ee-a240-00155d82e902</v>
      </c>
      <c r="U3196" s="21"/>
      <c r="V3196" s="21" t="s">
        <v>11104</v>
      </c>
      <c r="W3196" s="21" t="s">
        <v>11105</v>
      </c>
      <c r="X3196" s="21"/>
      <c r="Y3196" s="21" t="s">
        <v>41</v>
      </c>
      <c r="Z3196" s="21"/>
      <c r="AA3196" s="21" t="str">
        <f>HYPERLINK("https://miland.ru/api/getInfo/item/97957a4d-3783-11ee-a240-00155d82e902")</f>
        <v>https://miland.ru/api/getInfo/item/97957a4d-3783-11ee-a240-00155d82e902</v>
      </c>
      <c r="AB3196" s="21" t="s">
        <v>42</v>
      </c>
      <c r="AC3196" s="21" t="s">
        <v>11106</v>
      </c>
      <c r="AD3196" s="21"/>
    </row>
    <row r="3197" spans="2:31" ht="12" customHeight="1" outlineLevel="6">
      <c r="B3197" s="70" t="s">
        <v>11123</v>
      </c>
      <c r="C3197" s="70"/>
      <c r="D3197" s="70"/>
      <c r="E3197" s="70"/>
      <c r="F3197" s="70"/>
      <c r="G3197" s="70"/>
    </row>
    <row r="3198" spans="2:31" s="1" customFormat="1" ht="96.3" customHeight="1" outlineLevel="7">
      <c r="B3198" s="57">
        <v>2491</v>
      </c>
      <c r="C3198" s="21" t="s">
        <v>11124</v>
      </c>
      <c r="D3198" s="72" t="s">
        <v>11125</v>
      </c>
      <c r="E3198" s="72"/>
      <c r="F3198" s="72"/>
      <c r="G3198" s="72"/>
      <c r="H3198" s="22" t="s">
        <v>11126</v>
      </c>
      <c r="I3198" s="27">
        <v>26</v>
      </c>
      <c r="J3198" s="22"/>
      <c r="K3198" s="20">
        <v>2</v>
      </c>
      <c r="L3198" s="24">
        <v>277.41000000000003</v>
      </c>
      <c r="M3198" s="11"/>
      <c r="N3198" s="22">
        <f>L3198*M3198</f>
        <v>0</v>
      </c>
      <c r="O3198" s="28">
        <f>0.18*M3198</f>
        <v>0</v>
      </c>
      <c r="P3198" s="26">
        <f>0.00137*M3198</f>
        <v>0</v>
      </c>
      <c r="Q3198" s="30"/>
      <c r="R3198" s="22" t="s">
        <v>11127</v>
      </c>
      <c r="S3198" s="22" t="s">
        <v>435</v>
      </c>
      <c r="T3198" s="21" t="str">
        <f>HYPERLINK("https://miland.ru/api/getInfo/image/71b671b9-380b-11ee-a240-00155d82e902")</f>
        <v>https://miland.ru/api/getInfo/image/71b671b9-380b-11ee-a240-00155d82e902</v>
      </c>
      <c r="U3198" s="21"/>
      <c r="V3198" s="21" t="s">
        <v>11045</v>
      </c>
      <c r="W3198" s="21" t="s">
        <v>9274</v>
      </c>
      <c r="X3198" s="21"/>
      <c r="Y3198" s="21" t="s">
        <v>41</v>
      </c>
      <c r="Z3198" s="21"/>
      <c r="AA3198" s="21" t="str">
        <f>HYPERLINK("https://miland.ru/api/getInfo/item/71b671b9-380b-11ee-a240-00155d82e902")</f>
        <v>https://miland.ru/api/getInfo/item/71b671b9-380b-11ee-a240-00155d82e902</v>
      </c>
      <c r="AB3198" s="21" t="s">
        <v>42</v>
      </c>
      <c r="AC3198" s="21" t="s">
        <v>11046</v>
      </c>
      <c r="AD3198" s="21"/>
    </row>
    <row r="3199" spans="2:31" s="1" customFormat="1" ht="96.3" customHeight="1" outlineLevel="7">
      <c r="B3199" s="59">
        <v>2492</v>
      </c>
      <c r="C3199" s="35" t="s">
        <v>11128</v>
      </c>
      <c r="D3199" s="73" t="s">
        <v>11129</v>
      </c>
      <c r="E3199" s="73"/>
      <c r="F3199" s="73"/>
      <c r="G3199" s="73"/>
      <c r="H3199" s="36" t="s">
        <v>11130</v>
      </c>
      <c r="I3199" s="40">
        <v>145</v>
      </c>
      <c r="J3199" s="36"/>
      <c r="K3199" s="34">
        <v>2</v>
      </c>
      <c r="L3199" s="41">
        <v>203.44000000000003</v>
      </c>
      <c r="M3199" s="11"/>
      <c r="N3199" s="36">
        <f>L3199*M3199</f>
        <v>0</v>
      </c>
      <c r="O3199" s="42">
        <f>0.177*M3199</f>
        <v>0</v>
      </c>
      <c r="P3199" s="43">
        <f>0.00105*M3199</f>
        <v>0</v>
      </c>
      <c r="Q3199" s="50"/>
      <c r="R3199" s="36" t="s">
        <v>11131</v>
      </c>
      <c r="S3199" s="36" t="s">
        <v>435</v>
      </c>
      <c r="T3199" s="35" t="str">
        <f>HYPERLINK("https://miland.ru/api/getInfo/image/ddd23ff9-380b-11ee-a240-00155d82e902")</f>
        <v>https://miland.ru/api/getInfo/image/ddd23ff9-380b-11ee-a240-00155d82e902</v>
      </c>
      <c r="U3199" s="35"/>
      <c r="V3199" s="35" t="s">
        <v>11045</v>
      </c>
      <c r="W3199" s="35" t="s">
        <v>9274</v>
      </c>
      <c r="X3199" s="35"/>
      <c r="Y3199" s="35" t="s">
        <v>41</v>
      </c>
      <c r="Z3199" s="35"/>
      <c r="AA3199" s="35" t="str">
        <f>HYPERLINK("https://miland.ru/api/getInfo/item/ddd23ff9-380b-11ee-a240-00155d82e902")</f>
        <v>https://miland.ru/api/getInfo/item/ddd23ff9-380b-11ee-a240-00155d82e902</v>
      </c>
      <c r="AB3199" s="35" t="s">
        <v>42</v>
      </c>
      <c r="AC3199" s="35" t="s">
        <v>11046</v>
      </c>
      <c r="AD3199" s="35"/>
      <c r="AE3199" s="52" t="s">
        <v>9152</v>
      </c>
    </row>
    <row r="3200" spans="2:31" ht="12" customHeight="1" outlineLevel="5">
      <c r="B3200" s="70" t="s">
        <v>11132</v>
      </c>
      <c r="C3200" s="70"/>
      <c r="D3200" s="70"/>
      <c r="E3200" s="70"/>
      <c r="F3200" s="70"/>
      <c r="G3200" s="70"/>
    </row>
    <row r="3201" spans="2:31" ht="12" customHeight="1" outlineLevel="6">
      <c r="B3201" s="70" t="s">
        <v>11133</v>
      </c>
      <c r="C3201" s="70"/>
      <c r="D3201" s="70"/>
      <c r="E3201" s="70"/>
      <c r="F3201" s="70"/>
      <c r="G3201" s="70"/>
    </row>
    <row r="3202" spans="2:31" s="1" customFormat="1" ht="96.3" customHeight="1" outlineLevel="7">
      <c r="B3202" s="57">
        <v>2493</v>
      </c>
      <c r="C3202" s="21" t="s">
        <v>11134</v>
      </c>
      <c r="D3202" s="72" t="s">
        <v>11135</v>
      </c>
      <c r="E3202" s="72"/>
      <c r="F3202" s="72"/>
      <c r="G3202" s="72"/>
      <c r="H3202" s="22" t="s">
        <v>11136</v>
      </c>
      <c r="I3202" s="27">
        <v>64</v>
      </c>
      <c r="J3202" s="22"/>
      <c r="K3202" s="20">
        <v>2</v>
      </c>
      <c r="L3202" s="24">
        <v>289.45999999999998</v>
      </c>
      <c r="M3202" s="11"/>
      <c r="N3202" s="22">
        <f>L3202*M3202</f>
        <v>0</v>
      </c>
      <c r="O3202" s="25">
        <f>0.196*M3202</f>
        <v>0</v>
      </c>
      <c r="P3202" s="26">
        <f>0.00101*M3202</f>
        <v>0</v>
      </c>
      <c r="Q3202" s="30"/>
      <c r="R3202" s="22" t="s">
        <v>11137</v>
      </c>
      <c r="S3202" s="22"/>
      <c r="T3202" s="21" t="str">
        <f>HYPERLINK("https://miland.ru/api/getInfo/image/e5c6351e-3765-11ee-a240-00155d82e902")</f>
        <v>https://miland.ru/api/getInfo/image/e5c6351e-3765-11ee-a240-00155d82e902</v>
      </c>
      <c r="U3202" s="21"/>
      <c r="V3202" s="21" t="s">
        <v>11045</v>
      </c>
      <c r="W3202" s="21" t="s">
        <v>9274</v>
      </c>
      <c r="X3202" s="21"/>
      <c r="Y3202" s="21" t="s">
        <v>41</v>
      </c>
      <c r="Z3202" s="21"/>
      <c r="AA3202" s="21" t="str">
        <f>HYPERLINK("https://miland.ru/api/getInfo/item/e5c6351e-3765-11ee-a240-00155d82e902")</f>
        <v>https://miland.ru/api/getInfo/item/e5c6351e-3765-11ee-a240-00155d82e902</v>
      </c>
      <c r="AB3202" s="21" t="s">
        <v>42</v>
      </c>
      <c r="AC3202" s="21" t="s">
        <v>11046</v>
      </c>
      <c r="AD3202" s="21"/>
    </row>
    <row r="3203" spans="2:31" s="1" customFormat="1" ht="96.3" customHeight="1" outlineLevel="7">
      <c r="B3203" s="57">
        <v>2494</v>
      </c>
      <c r="C3203" s="21" t="s">
        <v>11138</v>
      </c>
      <c r="D3203" s="72" t="s">
        <v>11139</v>
      </c>
      <c r="E3203" s="72"/>
      <c r="F3203" s="72"/>
      <c r="G3203" s="72"/>
      <c r="H3203" s="22" t="s">
        <v>11140</v>
      </c>
      <c r="I3203" s="27">
        <v>87</v>
      </c>
      <c r="J3203" s="22"/>
      <c r="K3203" s="20">
        <v>2</v>
      </c>
      <c r="L3203" s="24">
        <v>289.45999999999998</v>
      </c>
      <c r="M3203" s="11"/>
      <c r="N3203" s="22">
        <f>L3203*M3203</f>
        <v>0</v>
      </c>
      <c r="O3203" s="25">
        <f>0.189*M3203</f>
        <v>0</v>
      </c>
      <c r="P3203" s="26">
        <f>0.00102*M3203</f>
        <v>0</v>
      </c>
      <c r="Q3203" s="30"/>
      <c r="R3203" s="22" t="s">
        <v>11141</v>
      </c>
      <c r="S3203" s="22"/>
      <c r="T3203" s="21" t="str">
        <f>HYPERLINK("https://miland.ru/api/getInfo/image/b6923e5c-3764-11ee-a240-00155d82e902")</f>
        <v>https://miland.ru/api/getInfo/image/b6923e5c-3764-11ee-a240-00155d82e902</v>
      </c>
      <c r="U3203" s="21"/>
      <c r="V3203" s="21" t="s">
        <v>11045</v>
      </c>
      <c r="W3203" s="21" t="s">
        <v>9274</v>
      </c>
      <c r="X3203" s="21"/>
      <c r="Y3203" s="21" t="s">
        <v>41</v>
      </c>
      <c r="Z3203" s="21"/>
      <c r="AA3203" s="21" t="str">
        <f>HYPERLINK("https://miland.ru/api/getInfo/item/b6923e5c-3764-11ee-a240-00155d82e902")</f>
        <v>https://miland.ru/api/getInfo/item/b6923e5c-3764-11ee-a240-00155d82e902</v>
      </c>
      <c r="AB3203" s="21" t="s">
        <v>42</v>
      </c>
      <c r="AC3203" s="21" t="s">
        <v>11046</v>
      </c>
      <c r="AD3203" s="21"/>
    </row>
    <row r="3204" spans="2:31" s="1" customFormat="1" ht="96.3" customHeight="1" outlineLevel="7">
      <c r="B3204" s="57">
        <v>2495</v>
      </c>
      <c r="C3204" s="21" t="s">
        <v>11142</v>
      </c>
      <c r="D3204" s="72" t="s">
        <v>11143</v>
      </c>
      <c r="E3204" s="72"/>
      <c r="F3204" s="72"/>
      <c r="G3204" s="72"/>
      <c r="H3204" s="22" t="s">
        <v>11144</v>
      </c>
      <c r="I3204" s="27">
        <v>51</v>
      </c>
      <c r="J3204" s="22"/>
      <c r="K3204" s="20">
        <v>2</v>
      </c>
      <c r="L3204" s="24">
        <v>289.45999999999998</v>
      </c>
      <c r="M3204" s="11"/>
      <c r="N3204" s="22">
        <f>L3204*M3204</f>
        <v>0</v>
      </c>
      <c r="O3204" s="25">
        <f>0.195*M3204</f>
        <v>0</v>
      </c>
      <c r="P3204" s="26">
        <f>0.00098*M3204</f>
        <v>0</v>
      </c>
      <c r="Q3204" s="30"/>
      <c r="R3204" s="22" t="s">
        <v>11145</v>
      </c>
      <c r="S3204" s="22"/>
      <c r="T3204" s="21" t="str">
        <f>HYPERLINK("https://miland.ru/api/getInfo/image/f9f3408b-3766-11ee-a240-00155d82e902")</f>
        <v>https://miland.ru/api/getInfo/image/f9f3408b-3766-11ee-a240-00155d82e902</v>
      </c>
      <c r="U3204" s="21"/>
      <c r="V3204" s="21" t="s">
        <v>11045</v>
      </c>
      <c r="W3204" s="21" t="s">
        <v>9274</v>
      </c>
      <c r="X3204" s="21"/>
      <c r="Y3204" s="21" t="s">
        <v>41</v>
      </c>
      <c r="Z3204" s="21"/>
      <c r="AA3204" s="21" t="str">
        <f>HYPERLINK("https://miland.ru/api/getInfo/item/f9f3408b-3766-11ee-a240-00155d82e902")</f>
        <v>https://miland.ru/api/getInfo/item/f9f3408b-3766-11ee-a240-00155d82e902</v>
      </c>
      <c r="AB3204" s="21" t="s">
        <v>42</v>
      </c>
      <c r="AC3204" s="21" t="s">
        <v>11046</v>
      </c>
      <c r="AD3204" s="21"/>
    </row>
    <row r="3205" spans="2:31" ht="12" customHeight="1" outlineLevel="5">
      <c r="B3205" s="70" t="s">
        <v>11146</v>
      </c>
      <c r="C3205" s="70"/>
      <c r="D3205" s="70"/>
      <c r="E3205" s="70"/>
      <c r="F3205" s="70"/>
      <c r="G3205" s="70"/>
    </row>
    <row r="3206" spans="2:31" ht="12" customHeight="1" outlineLevel="6">
      <c r="B3206" s="70" t="s">
        <v>11082</v>
      </c>
      <c r="C3206" s="70"/>
      <c r="D3206" s="70"/>
      <c r="E3206" s="70"/>
      <c r="F3206" s="70"/>
      <c r="G3206" s="70"/>
    </row>
    <row r="3207" spans="2:31" s="1" customFormat="1" ht="96.3" customHeight="1" outlineLevel="7">
      <c r="B3207" s="57">
        <v>2496</v>
      </c>
      <c r="C3207" s="21" t="s">
        <v>11147</v>
      </c>
      <c r="D3207" s="72" t="s">
        <v>11148</v>
      </c>
      <c r="E3207" s="72"/>
      <c r="F3207" s="72"/>
      <c r="G3207" s="72"/>
      <c r="H3207" s="22" t="s">
        <v>11149</v>
      </c>
      <c r="I3207" s="27">
        <v>5</v>
      </c>
      <c r="J3207" s="22"/>
      <c r="K3207" s="20">
        <v>1</v>
      </c>
      <c r="L3207" s="32">
        <v>1560.56</v>
      </c>
      <c r="M3207" s="11"/>
      <c r="N3207" s="22">
        <f>L3207*M3207</f>
        <v>0</v>
      </c>
      <c r="O3207" s="25">
        <f>0.925*M3207</f>
        <v>0</v>
      </c>
      <c r="P3207" s="26">
        <f>0.00338*M3207</f>
        <v>0</v>
      </c>
      <c r="Q3207" s="30"/>
      <c r="R3207" s="22" t="s">
        <v>11150</v>
      </c>
      <c r="S3207" s="22" t="s">
        <v>435</v>
      </c>
      <c r="T3207" s="21" t="str">
        <f>HYPERLINK("https://miland.ru/api/getInfo/image/2f24bb3e-8d4b-11ef-a265-00155d82e908")</f>
        <v>https://miland.ru/api/getInfo/image/2f24bb3e-8d4b-11ef-a265-00155d82e908</v>
      </c>
      <c r="U3207" s="21"/>
      <c r="V3207" s="21" t="s">
        <v>11104</v>
      </c>
      <c r="W3207" s="21" t="s">
        <v>11105</v>
      </c>
      <c r="X3207" s="21"/>
      <c r="Y3207" s="21" t="s">
        <v>41</v>
      </c>
      <c r="Z3207" s="21"/>
      <c r="AA3207" s="21" t="str">
        <f>HYPERLINK("https://miland.ru/api/getInfo/item/2f24bb3e-8d4b-11ef-a265-00155d82e908")</f>
        <v>https://miland.ru/api/getInfo/item/2f24bb3e-8d4b-11ef-a265-00155d82e908</v>
      </c>
      <c r="AB3207" s="21" t="s">
        <v>42</v>
      </c>
      <c r="AC3207" s="21" t="s">
        <v>11151</v>
      </c>
      <c r="AD3207" s="21"/>
    </row>
    <row r="3208" spans="2:31" s="1" customFormat="1" ht="96.3" customHeight="1" outlineLevel="7">
      <c r="B3208" s="57">
        <v>2497</v>
      </c>
      <c r="C3208" s="21" t="s">
        <v>11152</v>
      </c>
      <c r="D3208" s="72" t="s">
        <v>11153</v>
      </c>
      <c r="E3208" s="72"/>
      <c r="F3208" s="72"/>
      <c r="G3208" s="72"/>
      <c r="H3208" s="22" t="s">
        <v>11154</v>
      </c>
      <c r="I3208" s="27">
        <v>30</v>
      </c>
      <c r="J3208" s="22"/>
      <c r="K3208" s="20">
        <v>1</v>
      </c>
      <c r="L3208" s="32">
        <v>1560.56</v>
      </c>
      <c r="M3208" s="11"/>
      <c r="N3208" s="22">
        <f>L3208*M3208</f>
        <v>0</v>
      </c>
      <c r="O3208" s="25">
        <f>0.923*M3208</f>
        <v>0</v>
      </c>
      <c r="P3208" s="29">
        <f>0.0034*M3208</f>
        <v>0</v>
      </c>
      <c r="Q3208" s="30"/>
      <c r="R3208" s="22" t="s">
        <v>11155</v>
      </c>
      <c r="S3208" s="22" t="s">
        <v>435</v>
      </c>
      <c r="T3208" s="21" t="str">
        <f>HYPERLINK("https://miland.ru/api/getInfo/image/82d7a9ea-8d4b-11ef-a265-00155d82e908")</f>
        <v>https://miland.ru/api/getInfo/image/82d7a9ea-8d4b-11ef-a265-00155d82e908</v>
      </c>
      <c r="U3208" s="21"/>
      <c r="V3208" s="21" t="s">
        <v>11104</v>
      </c>
      <c r="W3208" s="21" t="s">
        <v>11105</v>
      </c>
      <c r="X3208" s="21"/>
      <c r="Y3208" s="21" t="s">
        <v>41</v>
      </c>
      <c r="Z3208" s="21"/>
      <c r="AA3208" s="21" t="str">
        <f>HYPERLINK("https://miland.ru/api/getInfo/item/82d7a9ea-8d4b-11ef-a265-00155d82e908")</f>
        <v>https://miland.ru/api/getInfo/item/82d7a9ea-8d4b-11ef-a265-00155d82e908</v>
      </c>
      <c r="AB3208" s="21" t="s">
        <v>42</v>
      </c>
      <c r="AC3208" s="21" t="s">
        <v>11151</v>
      </c>
      <c r="AD3208" s="21"/>
    </row>
    <row r="3209" spans="2:31" ht="12" customHeight="1" outlineLevel="5">
      <c r="B3209" s="70" t="s">
        <v>11156</v>
      </c>
      <c r="C3209" s="70"/>
      <c r="D3209" s="70"/>
      <c r="E3209" s="70"/>
      <c r="F3209" s="70"/>
      <c r="G3209" s="70"/>
    </row>
    <row r="3210" spans="2:31" s="1" customFormat="1" ht="96.3" customHeight="1" outlineLevel="6">
      <c r="B3210" s="59">
        <v>2498</v>
      </c>
      <c r="C3210" s="35" t="s">
        <v>11157</v>
      </c>
      <c r="D3210" s="73" t="s">
        <v>11158</v>
      </c>
      <c r="E3210" s="73"/>
      <c r="F3210" s="73"/>
      <c r="G3210" s="73"/>
      <c r="H3210" s="36" t="s">
        <v>11159</v>
      </c>
      <c r="I3210" s="40">
        <v>25</v>
      </c>
      <c r="J3210" s="36"/>
      <c r="K3210" s="34">
        <v>1</v>
      </c>
      <c r="L3210" s="41">
        <v>430.8</v>
      </c>
      <c r="M3210" s="11"/>
      <c r="N3210" s="36">
        <f t="shared" ref="N3210:N3220" si="156">L3210*M3210</f>
        <v>0</v>
      </c>
      <c r="O3210" s="42">
        <f>0.568*M3210</f>
        <v>0</v>
      </c>
      <c r="P3210" s="43">
        <f>0.00298*M3210</f>
        <v>0</v>
      </c>
      <c r="Q3210" s="50"/>
      <c r="R3210" s="36" t="s">
        <v>11160</v>
      </c>
      <c r="S3210" s="36" t="s">
        <v>435</v>
      </c>
      <c r="T3210" s="35" t="str">
        <f>HYPERLINK("https://miland.ru/api/getInfo/image/a4a5c2e7-b86a-11eb-a205-ac1f6b442185")</f>
        <v>https://miland.ru/api/getInfo/image/a4a5c2e7-b86a-11eb-a205-ac1f6b442185</v>
      </c>
      <c r="U3210" s="35"/>
      <c r="V3210" s="35" t="s">
        <v>11045</v>
      </c>
      <c r="W3210" s="35" t="s">
        <v>9274</v>
      </c>
      <c r="X3210" s="35"/>
      <c r="Y3210" s="35" t="s">
        <v>41</v>
      </c>
      <c r="Z3210" s="35"/>
      <c r="AA3210" s="35" t="str">
        <f>HYPERLINK("https://miland.ru/api/getInfo/item/a4a5c2e7-b86a-11eb-a205-ac1f6b442185")</f>
        <v>https://miland.ru/api/getInfo/item/a4a5c2e7-b86a-11eb-a205-ac1f6b442185</v>
      </c>
      <c r="AB3210" s="35" t="s">
        <v>42</v>
      </c>
      <c r="AC3210" s="35" t="s">
        <v>11161</v>
      </c>
      <c r="AD3210" s="35"/>
      <c r="AE3210" s="52" t="s">
        <v>9152</v>
      </c>
    </row>
    <row r="3211" spans="2:31" s="1" customFormat="1" ht="96.3" customHeight="1" outlineLevel="6">
      <c r="B3211" s="57">
        <v>2499</v>
      </c>
      <c r="C3211" s="21" t="s">
        <v>11162</v>
      </c>
      <c r="D3211" s="72" t="s">
        <v>11163</v>
      </c>
      <c r="E3211" s="72"/>
      <c r="F3211" s="72"/>
      <c r="G3211" s="72"/>
      <c r="H3211" s="22" t="s">
        <v>11164</v>
      </c>
      <c r="I3211" s="27">
        <v>50</v>
      </c>
      <c r="J3211" s="22"/>
      <c r="K3211" s="20">
        <v>1</v>
      </c>
      <c r="L3211" s="32">
        <v>1150.8</v>
      </c>
      <c r="M3211" s="11"/>
      <c r="N3211" s="22">
        <f t="shared" si="156"/>
        <v>0</v>
      </c>
      <c r="O3211" s="25">
        <f>0.786*M3211</f>
        <v>0</v>
      </c>
      <c r="P3211" s="26">
        <f>0.00216*M3211</f>
        <v>0</v>
      </c>
      <c r="Q3211" s="30"/>
      <c r="R3211" s="22" t="s">
        <v>11165</v>
      </c>
      <c r="S3211" s="22" t="s">
        <v>435</v>
      </c>
      <c r="T3211" s="21" t="str">
        <f>HYPERLINK("https://miland.ru/api/getInfo/image/665d979b-5076-11ed-a21d-ac1f6b442185")</f>
        <v>https://miland.ru/api/getInfo/image/665d979b-5076-11ed-a21d-ac1f6b442185</v>
      </c>
      <c r="U3211" s="21"/>
      <c r="V3211" s="21" t="s">
        <v>11045</v>
      </c>
      <c r="W3211" s="21" t="s">
        <v>9274</v>
      </c>
      <c r="X3211" s="21"/>
      <c r="Y3211" s="21" t="s">
        <v>41</v>
      </c>
      <c r="Z3211" s="21"/>
      <c r="AA3211" s="21" t="str">
        <f>HYPERLINK("https://miland.ru/api/getInfo/item/665d979b-5076-11ed-a21d-ac1f6b442185")</f>
        <v>https://miland.ru/api/getInfo/item/665d979b-5076-11ed-a21d-ac1f6b442185</v>
      </c>
      <c r="AB3211" s="21" t="s">
        <v>42</v>
      </c>
      <c r="AC3211" s="21" t="s">
        <v>11166</v>
      </c>
      <c r="AD3211" s="21"/>
    </row>
    <row r="3212" spans="2:31" s="1" customFormat="1" ht="96.3" customHeight="1" outlineLevel="6">
      <c r="B3212" s="59">
        <v>2500</v>
      </c>
      <c r="C3212" s="35" t="s">
        <v>11167</v>
      </c>
      <c r="D3212" s="73" t="s">
        <v>11168</v>
      </c>
      <c r="E3212" s="73"/>
      <c r="F3212" s="73"/>
      <c r="G3212" s="73"/>
      <c r="H3212" s="36" t="s">
        <v>11169</v>
      </c>
      <c r="I3212" s="40">
        <v>82</v>
      </c>
      <c r="J3212" s="36"/>
      <c r="K3212" s="34">
        <v>1</v>
      </c>
      <c r="L3212" s="41">
        <v>370.76</v>
      </c>
      <c r="M3212" s="11"/>
      <c r="N3212" s="36">
        <f t="shared" si="156"/>
        <v>0</v>
      </c>
      <c r="O3212" s="42">
        <f>0.413*M3212</f>
        <v>0</v>
      </c>
      <c r="P3212" s="43">
        <f>0.00219*M3212</f>
        <v>0</v>
      </c>
      <c r="Q3212" s="50"/>
      <c r="R3212" s="36" t="s">
        <v>11170</v>
      </c>
      <c r="S3212" s="36" t="s">
        <v>435</v>
      </c>
      <c r="T3212" s="35" t="str">
        <f>HYPERLINK("https://miland.ru/api/getInfo/image/a311b3fb-5068-11ed-a21d-ac1f6b442185")</f>
        <v>https://miland.ru/api/getInfo/image/a311b3fb-5068-11ed-a21d-ac1f6b442185</v>
      </c>
      <c r="U3212" s="35"/>
      <c r="V3212" s="35" t="s">
        <v>11045</v>
      </c>
      <c r="W3212" s="35" t="s">
        <v>9274</v>
      </c>
      <c r="X3212" s="35"/>
      <c r="Y3212" s="35" t="s">
        <v>41</v>
      </c>
      <c r="Z3212" s="35"/>
      <c r="AA3212" s="35" t="str">
        <f>HYPERLINK("https://miland.ru/api/getInfo/item/a311b3fb-5068-11ed-a21d-ac1f6b442185")</f>
        <v>https://miland.ru/api/getInfo/item/a311b3fb-5068-11ed-a21d-ac1f6b442185</v>
      </c>
      <c r="AB3212" s="35" t="s">
        <v>42</v>
      </c>
      <c r="AC3212" s="35" t="s">
        <v>11166</v>
      </c>
      <c r="AD3212" s="35"/>
      <c r="AE3212" s="52" t="s">
        <v>9152</v>
      </c>
    </row>
    <row r="3213" spans="2:31" s="1" customFormat="1" ht="96.3" customHeight="1" outlineLevel="6">
      <c r="B3213" s="59">
        <v>2501</v>
      </c>
      <c r="C3213" s="35" t="s">
        <v>11171</v>
      </c>
      <c r="D3213" s="73" t="s">
        <v>11172</v>
      </c>
      <c r="E3213" s="73"/>
      <c r="F3213" s="73"/>
      <c r="G3213" s="73"/>
      <c r="H3213" s="36" t="s">
        <v>11173</v>
      </c>
      <c r="I3213" s="40">
        <v>157</v>
      </c>
      <c r="J3213" s="36"/>
      <c r="K3213" s="34">
        <v>1</v>
      </c>
      <c r="L3213" s="41">
        <v>370.76</v>
      </c>
      <c r="M3213" s="11"/>
      <c r="N3213" s="36">
        <f t="shared" si="156"/>
        <v>0</v>
      </c>
      <c r="O3213" s="42">
        <f>0.417*M3213</f>
        <v>0</v>
      </c>
      <c r="P3213" s="43">
        <f>0.00208*M3213</f>
        <v>0</v>
      </c>
      <c r="Q3213" s="50"/>
      <c r="R3213" s="36" t="s">
        <v>11174</v>
      </c>
      <c r="S3213" s="36" t="s">
        <v>435</v>
      </c>
      <c r="T3213" s="35" t="str">
        <f>HYPERLINK("https://miland.ru/api/getInfo/image/bd6ea7d0-5069-11ed-a21d-ac1f6b442185")</f>
        <v>https://miland.ru/api/getInfo/image/bd6ea7d0-5069-11ed-a21d-ac1f6b442185</v>
      </c>
      <c r="U3213" s="35"/>
      <c r="V3213" s="35" t="s">
        <v>11045</v>
      </c>
      <c r="W3213" s="35" t="s">
        <v>9274</v>
      </c>
      <c r="X3213" s="35"/>
      <c r="Y3213" s="35" t="s">
        <v>41</v>
      </c>
      <c r="Z3213" s="35"/>
      <c r="AA3213" s="35" t="str">
        <f>HYPERLINK("https://miland.ru/api/getInfo/item/bd6ea7d0-5069-11ed-a21d-ac1f6b442185")</f>
        <v>https://miland.ru/api/getInfo/item/bd6ea7d0-5069-11ed-a21d-ac1f6b442185</v>
      </c>
      <c r="AB3213" s="35" t="s">
        <v>42</v>
      </c>
      <c r="AC3213" s="35" t="s">
        <v>11166</v>
      </c>
      <c r="AD3213" s="35"/>
      <c r="AE3213" s="52" t="s">
        <v>9152</v>
      </c>
    </row>
    <row r="3214" spans="2:31" s="1" customFormat="1" ht="96.3" customHeight="1" outlineLevel="6">
      <c r="B3214" s="57">
        <v>2502</v>
      </c>
      <c r="C3214" s="21" t="s">
        <v>11175</v>
      </c>
      <c r="D3214" s="72" t="s">
        <v>11176</v>
      </c>
      <c r="E3214" s="72"/>
      <c r="F3214" s="72"/>
      <c r="G3214" s="72"/>
      <c r="H3214" s="22" t="s">
        <v>11177</v>
      </c>
      <c r="I3214" s="27">
        <v>5</v>
      </c>
      <c r="J3214" s="22"/>
      <c r="K3214" s="20">
        <v>1</v>
      </c>
      <c r="L3214" s="32">
        <v>1213.6199999999999</v>
      </c>
      <c r="M3214" s="11"/>
      <c r="N3214" s="22">
        <f t="shared" si="156"/>
        <v>0</v>
      </c>
      <c r="O3214" s="25">
        <f>0.609*M3214</f>
        <v>0</v>
      </c>
      <c r="P3214" s="29">
        <f>0.0037*M3214</f>
        <v>0</v>
      </c>
      <c r="Q3214" s="30"/>
      <c r="R3214" s="22" t="s">
        <v>11178</v>
      </c>
      <c r="S3214" s="22" t="s">
        <v>435</v>
      </c>
      <c r="T3214" s="21" t="str">
        <f>HYPERLINK("https://miland.ru/api/getInfo/image/05f0ddf2-0172-11ef-a25d-00155d82e908")</f>
        <v>https://miland.ru/api/getInfo/image/05f0ddf2-0172-11ef-a25d-00155d82e908</v>
      </c>
      <c r="U3214" s="21"/>
      <c r="V3214" s="21" t="s">
        <v>11045</v>
      </c>
      <c r="W3214" s="21" t="s">
        <v>9274</v>
      </c>
      <c r="X3214" s="21"/>
      <c r="Y3214" s="21" t="s">
        <v>41</v>
      </c>
      <c r="Z3214" s="21"/>
      <c r="AA3214" s="21" t="str">
        <f>HYPERLINK("https://miland.ru/api/getInfo/item/05f0ddf2-0172-11ef-a25d-00155d82e908")</f>
        <v>https://miland.ru/api/getInfo/item/05f0ddf2-0172-11ef-a25d-00155d82e908</v>
      </c>
      <c r="AB3214" s="21" t="s">
        <v>42</v>
      </c>
      <c r="AC3214" s="21" t="s">
        <v>11179</v>
      </c>
      <c r="AD3214" s="21"/>
    </row>
    <row r="3215" spans="2:31" s="1" customFormat="1" ht="96.3" customHeight="1" outlineLevel="6">
      <c r="B3215" s="57">
        <v>2503</v>
      </c>
      <c r="C3215" s="21" t="s">
        <v>11180</v>
      </c>
      <c r="D3215" s="72" t="s">
        <v>11181</v>
      </c>
      <c r="E3215" s="72"/>
      <c r="F3215" s="72"/>
      <c r="G3215" s="72"/>
      <c r="H3215" s="22" t="s">
        <v>11182</v>
      </c>
      <c r="I3215" s="27">
        <v>119</v>
      </c>
      <c r="J3215" s="22"/>
      <c r="K3215" s="20">
        <v>1</v>
      </c>
      <c r="L3215" s="24">
        <v>505.59</v>
      </c>
      <c r="M3215" s="11"/>
      <c r="N3215" s="22">
        <f t="shared" si="156"/>
        <v>0</v>
      </c>
      <c r="O3215" s="25">
        <f>0.411*M3215</f>
        <v>0</v>
      </c>
      <c r="P3215" s="26">
        <f>0.00215*M3215</f>
        <v>0</v>
      </c>
      <c r="Q3215" s="30"/>
      <c r="R3215" s="22" t="s">
        <v>11183</v>
      </c>
      <c r="S3215" s="22" t="s">
        <v>435</v>
      </c>
      <c r="T3215" s="21" t="str">
        <f>HYPERLINK("https://miland.ru/api/getInfo/image/e143f182-0171-11ef-a25d-00155d82e908")</f>
        <v>https://miland.ru/api/getInfo/image/e143f182-0171-11ef-a25d-00155d82e908</v>
      </c>
      <c r="U3215" s="21"/>
      <c r="V3215" s="21" t="s">
        <v>11045</v>
      </c>
      <c r="W3215" s="21" t="s">
        <v>9274</v>
      </c>
      <c r="X3215" s="21"/>
      <c r="Y3215" s="21" t="s">
        <v>41</v>
      </c>
      <c r="Z3215" s="21"/>
      <c r="AA3215" s="21" t="str">
        <f>HYPERLINK("https://miland.ru/api/getInfo/item/e143f182-0171-11ef-a25d-00155d82e908")</f>
        <v>https://miland.ru/api/getInfo/item/e143f182-0171-11ef-a25d-00155d82e908</v>
      </c>
      <c r="AB3215" s="21" t="s">
        <v>42</v>
      </c>
      <c r="AC3215" s="21" t="s">
        <v>11179</v>
      </c>
      <c r="AD3215" s="21"/>
    </row>
    <row r="3216" spans="2:31" s="1" customFormat="1" ht="96.3" customHeight="1" outlineLevel="6">
      <c r="B3216" s="57">
        <v>2504</v>
      </c>
      <c r="C3216" s="21" t="s">
        <v>11184</v>
      </c>
      <c r="D3216" s="72" t="s">
        <v>11185</v>
      </c>
      <c r="E3216" s="72"/>
      <c r="F3216" s="72"/>
      <c r="G3216" s="72"/>
      <c r="H3216" s="22" t="s">
        <v>11186</v>
      </c>
      <c r="I3216" s="27">
        <v>5</v>
      </c>
      <c r="J3216" s="22"/>
      <c r="K3216" s="20">
        <v>1</v>
      </c>
      <c r="L3216" s="24">
        <v>633.20000000000005</v>
      </c>
      <c r="M3216" s="11"/>
      <c r="N3216" s="22">
        <f t="shared" si="156"/>
        <v>0</v>
      </c>
      <c r="O3216" s="25">
        <f>0.405*M3216</f>
        <v>0</v>
      </c>
      <c r="P3216" s="29">
        <f>0.0024*M3216</f>
        <v>0</v>
      </c>
      <c r="Q3216" s="30"/>
      <c r="R3216" s="22" t="s">
        <v>11187</v>
      </c>
      <c r="S3216" s="22" t="s">
        <v>435</v>
      </c>
      <c r="T3216" s="21" t="str">
        <f>HYPERLINK("https://miland.ru/api/getInfo/image/65b294bf-3772-11ee-a240-00155d82e902")</f>
        <v>https://miland.ru/api/getInfo/image/65b294bf-3772-11ee-a240-00155d82e902</v>
      </c>
      <c r="U3216" s="21"/>
      <c r="V3216" s="21" t="s">
        <v>11045</v>
      </c>
      <c r="W3216" s="21" t="s">
        <v>9274</v>
      </c>
      <c r="X3216" s="21"/>
      <c r="Y3216" s="21" t="s">
        <v>41</v>
      </c>
      <c r="Z3216" s="21"/>
      <c r="AA3216" s="21" t="str">
        <f>HYPERLINK("https://miland.ru/api/getInfo/item/65b294bf-3772-11ee-a240-00155d82e902")</f>
        <v>https://miland.ru/api/getInfo/item/65b294bf-3772-11ee-a240-00155d82e902</v>
      </c>
      <c r="AB3216" s="21" t="s">
        <v>42</v>
      </c>
      <c r="AC3216" s="21" t="s">
        <v>11188</v>
      </c>
      <c r="AD3216" s="21"/>
    </row>
    <row r="3217" spans="2:31" s="1" customFormat="1" ht="96.3" customHeight="1" outlineLevel="6">
      <c r="B3217" s="57">
        <v>2505</v>
      </c>
      <c r="C3217" s="21" t="s">
        <v>11189</v>
      </c>
      <c r="D3217" s="72" t="s">
        <v>11190</v>
      </c>
      <c r="E3217" s="72"/>
      <c r="F3217" s="72"/>
      <c r="G3217" s="72"/>
      <c r="H3217" s="22" t="s">
        <v>11191</v>
      </c>
      <c r="I3217" s="27">
        <v>6</v>
      </c>
      <c r="J3217" s="22"/>
      <c r="K3217" s="20">
        <v>1</v>
      </c>
      <c r="L3217" s="24">
        <v>633.20000000000005</v>
      </c>
      <c r="M3217" s="11"/>
      <c r="N3217" s="22">
        <f t="shared" si="156"/>
        <v>0</v>
      </c>
      <c r="O3217" s="25">
        <f>0.412*M3217</f>
        <v>0</v>
      </c>
      <c r="P3217" s="26">
        <f>0.00217*M3217</f>
        <v>0</v>
      </c>
      <c r="Q3217" s="30"/>
      <c r="R3217" s="22" t="s">
        <v>11192</v>
      </c>
      <c r="S3217" s="22" t="s">
        <v>435</v>
      </c>
      <c r="T3217" s="21" t="str">
        <f>HYPERLINK("https://miland.ru/api/getInfo/image/28edabd6-3772-11ee-a240-00155d82e902")</f>
        <v>https://miland.ru/api/getInfo/image/28edabd6-3772-11ee-a240-00155d82e902</v>
      </c>
      <c r="U3217" s="21"/>
      <c r="V3217" s="21" t="s">
        <v>11045</v>
      </c>
      <c r="W3217" s="21" t="s">
        <v>9274</v>
      </c>
      <c r="X3217" s="21"/>
      <c r="Y3217" s="21" t="s">
        <v>41</v>
      </c>
      <c r="Z3217" s="21"/>
      <c r="AA3217" s="21" t="str">
        <f>HYPERLINK("https://miland.ru/api/getInfo/item/28edabd6-3772-11ee-a240-00155d82e902")</f>
        <v>https://miland.ru/api/getInfo/item/28edabd6-3772-11ee-a240-00155d82e902</v>
      </c>
      <c r="AB3217" s="21" t="s">
        <v>42</v>
      </c>
      <c r="AC3217" s="21" t="s">
        <v>11188</v>
      </c>
      <c r="AD3217" s="21"/>
    </row>
    <row r="3218" spans="2:31" s="1" customFormat="1" ht="96.3" customHeight="1" outlineLevel="6">
      <c r="B3218" s="59">
        <v>2506</v>
      </c>
      <c r="C3218" s="35" t="s">
        <v>11193</v>
      </c>
      <c r="D3218" s="73" t="s">
        <v>11194</v>
      </c>
      <c r="E3218" s="73"/>
      <c r="F3218" s="73"/>
      <c r="G3218" s="73"/>
      <c r="H3218" s="36" t="s">
        <v>11195</v>
      </c>
      <c r="I3218" s="40">
        <v>178</v>
      </c>
      <c r="J3218" s="36"/>
      <c r="K3218" s="34">
        <v>1</v>
      </c>
      <c r="L3218" s="41">
        <v>464.34666666666664</v>
      </c>
      <c r="M3218" s="11"/>
      <c r="N3218" s="36">
        <f t="shared" si="156"/>
        <v>0</v>
      </c>
      <c r="O3218" s="42">
        <f>0.414*M3218</f>
        <v>0</v>
      </c>
      <c r="P3218" s="43">
        <f>0.00205*M3218</f>
        <v>0</v>
      </c>
      <c r="Q3218" s="50"/>
      <c r="R3218" s="36" t="s">
        <v>11196</v>
      </c>
      <c r="S3218" s="36" t="s">
        <v>435</v>
      </c>
      <c r="T3218" s="35" t="str">
        <f>HYPERLINK("https://miland.ru/api/getInfo/image/c9797045-3773-11ee-a240-00155d82e902")</f>
        <v>https://miland.ru/api/getInfo/image/c9797045-3773-11ee-a240-00155d82e902</v>
      </c>
      <c r="U3218" s="35"/>
      <c r="V3218" s="35" t="s">
        <v>11045</v>
      </c>
      <c r="W3218" s="35" t="s">
        <v>9274</v>
      </c>
      <c r="X3218" s="35"/>
      <c r="Y3218" s="35" t="s">
        <v>41</v>
      </c>
      <c r="Z3218" s="35"/>
      <c r="AA3218" s="35" t="str">
        <f>HYPERLINK("https://miland.ru/api/getInfo/item/c9797045-3773-11ee-a240-00155d82e902")</f>
        <v>https://miland.ru/api/getInfo/item/c9797045-3773-11ee-a240-00155d82e902</v>
      </c>
      <c r="AB3218" s="35" t="s">
        <v>42</v>
      </c>
      <c r="AC3218" s="35" t="s">
        <v>11188</v>
      </c>
      <c r="AD3218" s="35"/>
      <c r="AE3218" s="52" t="s">
        <v>9152</v>
      </c>
    </row>
    <row r="3219" spans="2:31" s="1" customFormat="1" ht="96.3" customHeight="1" outlineLevel="6">
      <c r="B3219" s="57">
        <v>2507</v>
      </c>
      <c r="C3219" s="21" t="s">
        <v>11197</v>
      </c>
      <c r="D3219" s="72" t="s">
        <v>11198</v>
      </c>
      <c r="E3219" s="72"/>
      <c r="F3219" s="72"/>
      <c r="G3219" s="72"/>
      <c r="H3219" s="22" t="s">
        <v>11199</v>
      </c>
      <c r="I3219" s="27">
        <v>110</v>
      </c>
      <c r="J3219" s="22"/>
      <c r="K3219" s="20">
        <v>1</v>
      </c>
      <c r="L3219" s="24">
        <v>633.20000000000005</v>
      </c>
      <c r="M3219" s="11"/>
      <c r="N3219" s="22">
        <f t="shared" si="156"/>
        <v>0</v>
      </c>
      <c r="O3219" s="25">
        <f>0.411*M3219</f>
        <v>0</v>
      </c>
      <c r="P3219" s="26">
        <f>0.00217*M3219</f>
        <v>0</v>
      </c>
      <c r="Q3219" s="30"/>
      <c r="R3219" s="22" t="s">
        <v>11200</v>
      </c>
      <c r="S3219" s="22" t="s">
        <v>435</v>
      </c>
      <c r="T3219" s="21" t="str">
        <f>HYPERLINK("https://miland.ru/api/getInfo/image/ff489a7f-3770-11ee-a240-00155d82e902")</f>
        <v>https://miland.ru/api/getInfo/image/ff489a7f-3770-11ee-a240-00155d82e902</v>
      </c>
      <c r="U3219" s="21"/>
      <c r="V3219" s="21" t="s">
        <v>11045</v>
      </c>
      <c r="W3219" s="21" t="s">
        <v>9274</v>
      </c>
      <c r="X3219" s="21"/>
      <c r="Y3219" s="21" t="s">
        <v>41</v>
      </c>
      <c r="Z3219" s="21"/>
      <c r="AA3219" s="21" t="str">
        <f>HYPERLINK("https://miland.ru/api/getInfo/item/ff489a7f-3770-11ee-a240-00155d82e902")</f>
        <v>https://miland.ru/api/getInfo/item/ff489a7f-3770-11ee-a240-00155d82e902</v>
      </c>
      <c r="AB3219" s="21" t="s">
        <v>42</v>
      </c>
      <c r="AC3219" s="21" t="s">
        <v>11188</v>
      </c>
      <c r="AD3219" s="21"/>
    </row>
    <row r="3220" spans="2:31" s="1" customFormat="1" ht="96.3" customHeight="1" outlineLevel="6">
      <c r="B3220" s="57">
        <v>2508</v>
      </c>
      <c r="C3220" s="21" t="s">
        <v>11201</v>
      </c>
      <c r="D3220" s="72" t="s">
        <v>11202</v>
      </c>
      <c r="E3220" s="72"/>
      <c r="F3220" s="72"/>
      <c r="G3220" s="72"/>
      <c r="H3220" s="22" t="s">
        <v>11203</v>
      </c>
      <c r="I3220" s="27">
        <v>11</v>
      </c>
      <c r="J3220" s="22"/>
      <c r="K3220" s="20">
        <v>1</v>
      </c>
      <c r="L3220" s="24">
        <v>633.20000000000005</v>
      </c>
      <c r="M3220" s="11"/>
      <c r="N3220" s="22">
        <f t="shared" si="156"/>
        <v>0</v>
      </c>
      <c r="O3220" s="25">
        <f>0.431*M3220</f>
        <v>0</v>
      </c>
      <c r="P3220" s="26">
        <f>0.00221*M3220</f>
        <v>0</v>
      </c>
      <c r="Q3220" s="30"/>
      <c r="R3220" s="22" t="s">
        <v>11204</v>
      </c>
      <c r="S3220" s="22" t="s">
        <v>435</v>
      </c>
      <c r="T3220" s="21" t="str">
        <f>HYPERLINK("https://miland.ru/api/getInfo/image/3b87ff4c-3771-11ee-a240-00155d82e902")</f>
        <v>https://miland.ru/api/getInfo/image/3b87ff4c-3771-11ee-a240-00155d82e902</v>
      </c>
      <c r="U3220" s="21"/>
      <c r="V3220" s="21" t="s">
        <v>11045</v>
      </c>
      <c r="W3220" s="21" t="s">
        <v>9274</v>
      </c>
      <c r="X3220" s="21"/>
      <c r="Y3220" s="21" t="s">
        <v>41</v>
      </c>
      <c r="Z3220" s="21"/>
      <c r="AA3220" s="21" t="str">
        <f>HYPERLINK("https://miland.ru/api/getInfo/item/3b87ff4c-3771-11ee-a240-00155d82e902")</f>
        <v>https://miland.ru/api/getInfo/item/3b87ff4c-3771-11ee-a240-00155d82e902</v>
      </c>
      <c r="AB3220" s="21" t="s">
        <v>42</v>
      </c>
      <c r="AC3220" s="21" t="s">
        <v>11188</v>
      </c>
      <c r="AD3220" s="21"/>
    </row>
    <row r="3221" spans="2:31" ht="12" customHeight="1" outlineLevel="5">
      <c r="B3221" s="70" t="s">
        <v>11205</v>
      </c>
      <c r="C3221" s="70"/>
      <c r="D3221" s="70"/>
      <c r="E3221" s="70"/>
      <c r="F3221" s="70"/>
      <c r="G3221" s="70"/>
    </row>
    <row r="3222" spans="2:31" s="1" customFormat="1" ht="96.3" customHeight="1" outlineLevel="6">
      <c r="B3222" s="57">
        <v>2509</v>
      </c>
      <c r="C3222" s="21" t="s">
        <v>11206</v>
      </c>
      <c r="D3222" s="72" t="s">
        <v>11207</v>
      </c>
      <c r="E3222" s="72"/>
      <c r="F3222" s="72"/>
      <c r="G3222" s="72"/>
      <c r="H3222" s="22" t="s">
        <v>11208</v>
      </c>
      <c r="I3222" s="27">
        <v>9</v>
      </c>
      <c r="J3222" s="22"/>
      <c r="K3222" s="20">
        <v>1</v>
      </c>
      <c r="L3222" s="32">
        <v>1631.5</v>
      </c>
      <c r="M3222" s="11"/>
      <c r="N3222" s="22">
        <f>L3222*M3222</f>
        <v>0</v>
      </c>
      <c r="O3222" s="25">
        <f>1.129*M3222</f>
        <v>0</v>
      </c>
      <c r="P3222" s="25">
        <f>0.005*M3222</f>
        <v>0</v>
      </c>
      <c r="Q3222" s="30"/>
      <c r="R3222" s="22" t="s">
        <v>11209</v>
      </c>
      <c r="S3222" s="22"/>
      <c r="T3222" s="21" t="str">
        <f>HYPERLINK("https://miland.ru/api/getInfo/image/7f0777fd-8d4a-11ef-a265-00155d82e908")</f>
        <v>https://miland.ru/api/getInfo/image/7f0777fd-8d4a-11ef-a265-00155d82e908</v>
      </c>
      <c r="U3222" s="21"/>
      <c r="V3222" s="21" t="s">
        <v>11045</v>
      </c>
      <c r="W3222" s="21" t="s">
        <v>9274</v>
      </c>
      <c r="X3222" s="21"/>
      <c r="Y3222" s="21" t="s">
        <v>41</v>
      </c>
      <c r="Z3222" s="21"/>
      <c r="AA3222" s="21" t="str">
        <f>HYPERLINK("https://miland.ru/api/getInfo/item/7f0777fd-8d4a-11ef-a265-00155d82e908")</f>
        <v>https://miland.ru/api/getInfo/item/7f0777fd-8d4a-11ef-a265-00155d82e908</v>
      </c>
      <c r="AB3222" s="21" t="s">
        <v>42</v>
      </c>
      <c r="AC3222" s="21" t="s">
        <v>11210</v>
      </c>
      <c r="AD3222" s="21"/>
    </row>
    <row r="3223" spans="2:31" s="1" customFormat="1" ht="96.3" customHeight="1" outlineLevel="6">
      <c r="B3223" s="57">
        <v>2510</v>
      </c>
      <c r="C3223" s="21" t="s">
        <v>11211</v>
      </c>
      <c r="D3223" s="72" t="s">
        <v>11212</v>
      </c>
      <c r="E3223" s="72"/>
      <c r="F3223" s="72"/>
      <c r="G3223" s="72"/>
      <c r="H3223" s="22" t="s">
        <v>11213</v>
      </c>
      <c r="I3223" s="27">
        <v>7</v>
      </c>
      <c r="J3223" s="22"/>
      <c r="K3223" s="20">
        <v>1</v>
      </c>
      <c r="L3223" s="24">
        <v>731.17</v>
      </c>
      <c r="M3223" s="11"/>
      <c r="N3223" s="22">
        <f>L3223*M3223</f>
        <v>0</v>
      </c>
      <c r="O3223" s="25">
        <f>0.637*M3223</f>
        <v>0</v>
      </c>
      <c r="P3223" s="26">
        <f>0.00419*M3223</f>
        <v>0</v>
      </c>
      <c r="Q3223" s="30"/>
      <c r="R3223" s="22" t="s">
        <v>11214</v>
      </c>
      <c r="S3223" s="22"/>
      <c r="T3223" s="21" t="str">
        <f>HYPERLINK("https://miland.ru/api/getInfo/image/20f8cdd3-8d4a-11ef-a265-00155d82e908")</f>
        <v>https://miland.ru/api/getInfo/image/20f8cdd3-8d4a-11ef-a265-00155d82e908</v>
      </c>
      <c r="U3223" s="21"/>
      <c r="V3223" s="21" t="s">
        <v>11045</v>
      </c>
      <c r="W3223" s="21" t="s">
        <v>9274</v>
      </c>
      <c r="X3223" s="21"/>
      <c r="Y3223" s="21" t="s">
        <v>41</v>
      </c>
      <c r="Z3223" s="21"/>
      <c r="AA3223" s="21" t="str">
        <f>HYPERLINK("https://miland.ru/api/getInfo/item/20f8cdd3-8d4a-11ef-a265-00155d82e908")</f>
        <v>https://miland.ru/api/getInfo/item/20f8cdd3-8d4a-11ef-a265-00155d82e908</v>
      </c>
      <c r="AB3223" s="21" t="s">
        <v>42</v>
      </c>
      <c r="AC3223" s="21" t="s">
        <v>11215</v>
      </c>
      <c r="AD3223" s="21"/>
    </row>
    <row r="3224" spans="2:31" s="1" customFormat="1" ht="96.3" customHeight="1" outlineLevel="6">
      <c r="B3224" s="57">
        <v>2511</v>
      </c>
      <c r="C3224" s="21" t="s">
        <v>11216</v>
      </c>
      <c r="D3224" s="72" t="s">
        <v>11217</v>
      </c>
      <c r="E3224" s="72"/>
      <c r="F3224" s="72"/>
      <c r="G3224" s="72"/>
      <c r="H3224" s="22" t="s">
        <v>11218</v>
      </c>
      <c r="I3224" s="27">
        <v>57</v>
      </c>
      <c r="J3224" s="22"/>
      <c r="K3224" s="20">
        <v>1</v>
      </c>
      <c r="L3224" s="24">
        <v>731.17</v>
      </c>
      <c r="M3224" s="11"/>
      <c r="N3224" s="22">
        <f>L3224*M3224</f>
        <v>0</v>
      </c>
      <c r="O3224" s="25">
        <f>0.617*M3224</f>
        <v>0</v>
      </c>
      <c r="P3224" s="26">
        <f>0.00444*M3224</f>
        <v>0</v>
      </c>
      <c r="Q3224" s="30"/>
      <c r="R3224" s="22" t="s">
        <v>11219</v>
      </c>
      <c r="S3224" s="22"/>
      <c r="T3224" s="21" t="str">
        <f>HYPERLINK("https://miland.ru/api/getInfo/image/9b7a5db5-8d4a-11ef-a265-00155d82e908")</f>
        <v>https://miland.ru/api/getInfo/image/9b7a5db5-8d4a-11ef-a265-00155d82e908</v>
      </c>
      <c r="U3224" s="21"/>
      <c r="V3224" s="21" t="s">
        <v>11045</v>
      </c>
      <c r="W3224" s="21" t="s">
        <v>9274</v>
      </c>
      <c r="X3224" s="21"/>
      <c r="Y3224" s="21" t="s">
        <v>41</v>
      </c>
      <c r="Z3224" s="21"/>
      <c r="AA3224" s="21" t="str">
        <f>HYPERLINK("https://miland.ru/api/getInfo/item/9b7a5db5-8d4a-11ef-a265-00155d82e908")</f>
        <v>https://miland.ru/api/getInfo/item/9b7a5db5-8d4a-11ef-a265-00155d82e908</v>
      </c>
      <c r="AB3224" s="21" t="s">
        <v>42</v>
      </c>
      <c r="AC3224" s="21" t="s">
        <v>11215</v>
      </c>
      <c r="AD3224" s="21"/>
    </row>
    <row r="3225" spans="2:31" ht="12" customHeight="1" outlineLevel="5">
      <c r="B3225" s="70" t="s">
        <v>11220</v>
      </c>
      <c r="C3225" s="70"/>
      <c r="D3225" s="70"/>
      <c r="E3225" s="70"/>
      <c r="F3225" s="70"/>
      <c r="G3225" s="70"/>
    </row>
    <row r="3226" spans="2:31" s="1" customFormat="1" ht="96.3" customHeight="1" outlineLevel="6">
      <c r="B3226" s="57">
        <v>2512</v>
      </c>
      <c r="C3226" s="21" t="s">
        <v>11221</v>
      </c>
      <c r="D3226" s="72" t="s">
        <v>11222</v>
      </c>
      <c r="E3226" s="72"/>
      <c r="F3226" s="72"/>
      <c r="G3226" s="72"/>
      <c r="H3226" s="22" t="s">
        <v>11223</v>
      </c>
      <c r="I3226" s="27">
        <v>47</v>
      </c>
      <c r="J3226" s="22"/>
      <c r="K3226" s="20">
        <v>1</v>
      </c>
      <c r="L3226" s="32">
        <v>1797.09</v>
      </c>
      <c r="M3226" s="11"/>
      <c r="N3226" s="22">
        <f>L3226*M3226</f>
        <v>0</v>
      </c>
      <c r="O3226" s="25">
        <f>1.045*M3226</f>
        <v>0</v>
      </c>
      <c r="P3226" s="26">
        <f>0.00131*M3226</f>
        <v>0</v>
      </c>
      <c r="Q3226" s="30"/>
      <c r="R3226" s="22" t="s">
        <v>11224</v>
      </c>
      <c r="S3226" s="22" t="s">
        <v>435</v>
      </c>
      <c r="T3226" s="21" t="str">
        <f>HYPERLINK("https://miland.ru/api/getInfo/image/a44450da-380d-11ee-a240-00155d82e902")</f>
        <v>https://miland.ru/api/getInfo/image/a44450da-380d-11ee-a240-00155d82e902</v>
      </c>
      <c r="U3226" s="21"/>
      <c r="V3226" s="21" t="s">
        <v>11045</v>
      </c>
      <c r="W3226" s="21" t="s">
        <v>9274</v>
      </c>
      <c r="X3226" s="21"/>
      <c r="Y3226" s="21" t="s">
        <v>41</v>
      </c>
      <c r="Z3226" s="21"/>
      <c r="AA3226" s="21" t="str">
        <f>HYPERLINK("https://miland.ru/api/getInfo/item/a44450da-380d-11ee-a240-00155d82e902")</f>
        <v>https://miland.ru/api/getInfo/item/a44450da-380d-11ee-a240-00155d82e902</v>
      </c>
      <c r="AB3226" s="21" t="s">
        <v>42</v>
      </c>
      <c r="AC3226" s="21" t="s">
        <v>11225</v>
      </c>
      <c r="AD3226" s="21"/>
    </row>
    <row r="3227" spans="2:31" s="1" customFormat="1" ht="96.3" customHeight="1" outlineLevel="6">
      <c r="B3227" s="57">
        <v>2513</v>
      </c>
      <c r="C3227" s="21" t="s">
        <v>11226</v>
      </c>
      <c r="D3227" s="72" t="s">
        <v>11227</v>
      </c>
      <c r="E3227" s="72"/>
      <c r="F3227" s="72"/>
      <c r="G3227" s="72"/>
      <c r="H3227" s="22" t="s">
        <v>11228</v>
      </c>
      <c r="I3227" s="27">
        <v>28</v>
      </c>
      <c r="J3227" s="22"/>
      <c r="K3227" s="20">
        <v>1</v>
      </c>
      <c r="L3227" s="32">
        <v>1797.09</v>
      </c>
      <c r="M3227" s="11"/>
      <c r="N3227" s="22">
        <f>L3227*M3227</f>
        <v>0</v>
      </c>
      <c r="O3227" s="28">
        <f>1.12*M3227</f>
        <v>0</v>
      </c>
      <c r="P3227" s="26">
        <f>0.00557*M3227</f>
        <v>0</v>
      </c>
      <c r="Q3227" s="30"/>
      <c r="R3227" s="22" t="s">
        <v>11229</v>
      </c>
      <c r="S3227" s="22" t="s">
        <v>435</v>
      </c>
      <c r="T3227" s="21" t="str">
        <f>HYPERLINK("https://miland.ru/api/getInfo/image/463fcf81-380d-11ee-a240-00155d82e902")</f>
        <v>https://miland.ru/api/getInfo/image/463fcf81-380d-11ee-a240-00155d82e902</v>
      </c>
      <c r="U3227" s="21"/>
      <c r="V3227" s="21" t="s">
        <v>11045</v>
      </c>
      <c r="W3227" s="21" t="s">
        <v>9274</v>
      </c>
      <c r="X3227" s="21"/>
      <c r="Y3227" s="21" t="s">
        <v>41</v>
      </c>
      <c r="Z3227" s="21"/>
      <c r="AA3227" s="21" t="str">
        <f>HYPERLINK("https://miland.ru/api/getInfo/item/463fcf81-380d-11ee-a240-00155d82e902")</f>
        <v>https://miland.ru/api/getInfo/item/463fcf81-380d-11ee-a240-00155d82e902</v>
      </c>
      <c r="AB3227" s="21" t="s">
        <v>42</v>
      </c>
      <c r="AC3227" s="21" t="s">
        <v>11225</v>
      </c>
      <c r="AD3227" s="21"/>
    </row>
    <row r="3228" spans="2:31" s="1" customFormat="1" ht="96.3" customHeight="1" outlineLevel="6">
      <c r="B3228" s="57">
        <v>2514</v>
      </c>
      <c r="C3228" s="21" t="s">
        <v>11230</v>
      </c>
      <c r="D3228" s="72" t="s">
        <v>11231</v>
      </c>
      <c r="E3228" s="72"/>
      <c r="F3228" s="72"/>
      <c r="G3228" s="72"/>
      <c r="H3228" s="22" t="s">
        <v>11232</v>
      </c>
      <c r="I3228" s="27">
        <v>6</v>
      </c>
      <c r="J3228" s="22"/>
      <c r="K3228" s="20">
        <v>1</v>
      </c>
      <c r="L3228" s="32">
        <v>1797.09</v>
      </c>
      <c r="M3228" s="11"/>
      <c r="N3228" s="22">
        <f>L3228*M3228</f>
        <v>0</v>
      </c>
      <c r="O3228" s="33">
        <f>1.5*M3228</f>
        <v>0</v>
      </c>
      <c r="P3228" s="26">
        <f>0.00134*M3228</f>
        <v>0</v>
      </c>
      <c r="Q3228" s="30"/>
      <c r="R3228" s="22" t="s">
        <v>11233</v>
      </c>
      <c r="S3228" s="22" t="s">
        <v>435</v>
      </c>
      <c r="T3228" s="21" t="str">
        <f>HYPERLINK("https://miland.ru/api/getInfo/image/2678df73-380d-11ee-a240-00155d82e902")</f>
        <v>https://miland.ru/api/getInfo/image/2678df73-380d-11ee-a240-00155d82e902</v>
      </c>
      <c r="U3228" s="21"/>
      <c r="V3228" s="21" t="s">
        <v>11045</v>
      </c>
      <c r="W3228" s="21" t="s">
        <v>9274</v>
      </c>
      <c r="X3228" s="21"/>
      <c r="Y3228" s="21" t="s">
        <v>41</v>
      </c>
      <c r="Z3228" s="21"/>
      <c r="AA3228" s="21" t="str">
        <f>HYPERLINK("https://miland.ru/api/getInfo/item/2678df73-380d-11ee-a240-00155d82e902")</f>
        <v>https://miland.ru/api/getInfo/item/2678df73-380d-11ee-a240-00155d82e902</v>
      </c>
      <c r="AB3228" s="21" t="s">
        <v>42</v>
      </c>
      <c r="AC3228" s="21" t="s">
        <v>11225</v>
      </c>
      <c r="AD3228" s="21"/>
    </row>
    <row r="3229" spans="2:31" s="1" customFormat="1" ht="96.3" customHeight="1" outlineLevel="6">
      <c r="B3229" s="57">
        <v>2515</v>
      </c>
      <c r="C3229" s="21" t="s">
        <v>11234</v>
      </c>
      <c r="D3229" s="72" t="s">
        <v>11235</v>
      </c>
      <c r="E3229" s="72"/>
      <c r="F3229" s="72"/>
      <c r="G3229" s="72"/>
      <c r="H3229" s="22" t="s">
        <v>11236</v>
      </c>
      <c r="I3229" s="27">
        <v>5</v>
      </c>
      <c r="J3229" s="22"/>
      <c r="K3229" s="20">
        <v>1</v>
      </c>
      <c r="L3229" s="32">
        <v>1797.09</v>
      </c>
      <c r="M3229" s="11"/>
      <c r="N3229" s="22">
        <f>L3229*M3229</f>
        <v>0</v>
      </c>
      <c r="O3229" s="28">
        <f>1.39*M3229</f>
        <v>0</v>
      </c>
      <c r="P3229" s="26">
        <f>0.00211*M3229</f>
        <v>0</v>
      </c>
      <c r="Q3229" s="30"/>
      <c r="R3229" s="22" t="s">
        <v>11237</v>
      </c>
      <c r="S3229" s="22" t="s">
        <v>435</v>
      </c>
      <c r="T3229" s="21" t="str">
        <f>HYPERLINK("https://miland.ru/api/getInfo/image/cace175e-380d-11ee-a240-00155d82e902")</f>
        <v>https://miland.ru/api/getInfo/image/cace175e-380d-11ee-a240-00155d82e902</v>
      </c>
      <c r="U3229" s="21"/>
      <c r="V3229" s="21" t="s">
        <v>11045</v>
      </c>
      <c r="W3229" s="21" t="s">
        <v>9274</v>
      </c>
      <c r="X3229" s="21"/>
      <c r="Y3229" s="21" t="s">
        <v>41</v>
      </c>
      <c r="Z3229" s="21"/>
      <c r="AA3229" s="21" t="str">
        <f>HYPERLINK("https://miland.ru/api/getInfo/item/cace175e-380d-11ee-a240-00155d82e902")</f>
        <v>https://miland.ru/api/getInfo/item/cace175e-380d-11ee-a240-00155d82e902</v>
      </c>
      <c r="AB3229" s="21" t="s">
        <v>42</v>
      </c>
      <c r="AC3229" s="21" t="s">
        <v>11225</v>
      </c>
      <c r="AD3229" s="21"/>
    </row>
    <row r="3230" spans="2:31" ht="12" customHeight="1" outlineLevel="5">
      <c r="B3230" s="70" t="s">
        <v>11238</v>
      </c>
      <c r="C3230" s="70"/>
      <c r="D3230" s="70"/>
      <c r="E3230" s="70"/>
      <c r="F3230" s="70"/>
      <c r="G3230" s="70"/>
    </row>
    <row r="3231" spans="2:31" s="1" customFormat="1" ht="96.3" customHeight="1" outlineLevel="6">
      <c r="B3231" s="57">
        <v>2516</v>
      </c>
      <c r="C3231" s="21" t="s">
        <v>11239</v>
      </c>
      <c r="D3231" s="72" t="s">
        <v>11240</v>
      </c>
      <c r="E3231" s="72"/>
      <c r="F3231" s="72"/>
      <c r="G3231" s="72"/>
      <c r="H3231" s="22" t="s">
        <v>11241</v>
      </c>
      <c r="I3231" s="27">
        <v>5</v>
      </c>
      <c r="J3231" s="22"/>
      <c r="K3231" s="20">
        <v>1</v>
      </c>
      <c r="L3231" s="32">
        <v>1617.9</v>
      </c>
      <c r="M3231" s="11"/>
      <c r="N3231" s="22">
        <f t="shared" ref="N3231:N3247" si="157">L3231*M3231</f>
        <v>0</v>
      </c>
      <c r="O3231" s="25">
        <f>1.178*M3231</f>
        <v>0</v>
      </c>
      <c r="P3231" s="26">
        <f>0.00535*M3231</f>
        <v>0</v>
      </c>
      <c r="Q3231" s="30"/>
      <c r="R3231" s="22" t="s">
        <v>11242</v>
      </c>
      <c r="S3231" s="22" t="s">
        <v>435</v>
      </c>
      <c r="T3231" s="21" t="str">
        <f>HYPERLINK("https://miland.ru/api/getInfo/image/e74f97fe-5079-11ed-a21d-ac1f6b442185")</f>
        <v>https://miland.ru/api/getInfo/image/e74f97fe-5079-11ed-a21d-ac1f6b442185</v>
      </c>
      <c r="U3231" s="21"/>
      <c r="V3231" s="21" t="s">
        <v>11045</v>
      </c>
      <c r="W3231" s="21" t="s">
        <v>9274</v>
      </c>
      <c r="X3231" s="21"/>
      <c r="Y3231" s="21" t="s">
        <v>41</v>
      </c>
      <c r="Z3231" s="21"/>
      <c r="AA3231" s="21" t="str">
        <f>HYPERLINK("https://miland.ru/api/getInfo/item/e74f97fe-5079-11ed-a21d-ac1f6b442185")</f>
        <v>https://miland.ru/api/getInfo/item/e74f97fe-5079-11ed-a21d-ac1f6b442185</v>
      </c>
      <c r="AB3231" s="21" t="s">
        <v>42</v>
      </c>
      <c r="AC3231" s="21" t="s">
        <v>11166</v>
      </c>
      <c r="AD3231" s="21"/>
    </row>
    <row r="3232" spans="2:31" s="1" customFormat="1" ht="96.3" customHeight="1" outlineLevel="6">
      <c r="B3232" s="57">
        <v>2517</v>
      </c>
      <c r="C3232" s="21" t="s">
        <v>11243</v>
      </c>
      <c r="D3232" s="72" t="s">
        <v>11244</v>
      </c>
      <c r="E3232" s="72"/>
      <c r="F3232" s="72"/>
      <c r="G3232" s="72"/>
      <c r="H3232" s="22" t="s">
        <v>11245</v>
      </c>
      <c r="I3232" s="23" t="s">
        <v>36</v>
      </c>
      <c r="J3232" s="22"/>
      <c r="K3232" s="20">
        <v>1</v>
      </c>
      <c r="L3232" s="32">
        <v>1992.22</v>
      </c>
      <c r="M3232" s="11"/>
      <c r="N3232" s="22">
        <f t="shared" si="157"/>
        <v>0</v>
      </c>
      <c r="O3232" s="33">
        <f>1.7*M3232</f>
        <v>0</v>
      </c>
      <c r="P3232" s="29">
        <f>0.0066*M3232</f>
        <v>0</v>
      </c>
      <c r="Q3232" s="30"/>
      <c r="R3232" s="22" t="s">
        <v>11246</v>
      </c>
      <c r="S3232" s="22"/>
      <c r="T3232" s="21" t="str">
        <f>HYPERLINK("https://miland.ru/api/getInfo/image/c27c9444-c953-11ed-a230-00155d82e902")</f>
        <v>https://miland.ru/api/getInfo/image/c27c9444-c953-11ed-a230-00155d82e902</v>
      </c>
      <c r="U3232" s="21"/>
      <c r="V3232" s="21" t="s">
        <v>11045</v>
      </c>
      <c r="W3232" s="21" t="s">
        <v>9274</v>
      </c>
      <c r="X3232" s="21"/>
      <c r="Y3232" s="21" t="s">
        <v>41</v>
      </c>
      <c r="Z3232" s="21"/>
      <c r="AA3232" s="21" t="str">
        <f>HYPERLINK("https://miland.ru/api/getInfo/item/c27c9444-c953-11ed-a230-00155d82e902")</f>
        <v>https://miland.ru/api/getInfo/item/c27c9444-c953-11ed-a230-00155d82e902</v>
      </c>
      <c r="AB3232" s="21" t="s">
        <v>42</v>
      </c>
      <c r="AC3232" s="21"/>
      <c r="AD3232" s="21"/>
    </row>
    <row r="3233" spans="2:30" s="1" customFormat="1" ht="96.3" customHeight="1" outlineLevel="6">
      <c r="B3233" s="57">
        <v>2518</v>
      </c>
      <c r="C3233" s="21" t="s">
        <v>11247</v>
      </c>
      <c r="D3233" s="72" t="s">
        <v>11248</v>
      </c>
      <c r="E3233" s="72"/>
      <c r="F3233" s="72"/>
      <c r="G3233" s="72"/>
      <c r="H3233" s="22" t="s">
        <v>11249</v>
      </c>
      <c r="I3233" s="23" t="s">
        <v>36</v>
      </c>
      <c r="J3233" s="22"/>
      <c r="K3233" s="20">
        <v>1</v>
      </c>
      <c r="L3233" s="32">
        <v>1992.22</v>
      </c>
      <c r="M3233" s="11"/>
      <c r="N3233" s="22">
        <f t="shared" si="157"/>
        <v>0</v>
      </c>
      <c r="O3233" s="25">
        <f>1.788*M3233</f>
        <v>0</v>
      </c>
      <c r="P3233" s="26">
        <f>0.00789*M3233</f>
        <v>0</v>
      </c>
      <c r="Q3233" s="30"/>
      <c r="R3233" s="22" t="s">
        <v>11250</v>
      </c>
      <c r="S3233" s="22"/>
      <c r="T3233" s="21" t="str">
        <f>HYPERLINK("https://miland.ru/api/getInfo/image/06dfc4ca-c954-11ed-a230-00155d82e902")</f>
        <v>https://miland.ru/api/getInfo/image/06dfc4ca-c954-11ed-a230-00155d82e902</v>
      </c>
      <c r="U3233" s="21"/>
      <c r="V3233" s="21" t="s">
        <v>11045</v>
      </c>
      <c r="W3233" s="21" t="s">
        <v>9274</v>
      </c>
      <c r="X3233" s="21"/>
      <c r="Y3233" s="21" t="s">
        <v>41</v>
      </c>
      <c r="Z3233" s="21"/>
      <c r="AA3233" s="21" t="str">
        <f>HYPERLINK("https://miland.ru/api/getInfo/item/06dfc4ca-c954-11ed-a230-00155d82e902")</f>
        <v>https://miland.ru/api/getInfo/item/06dfc4ca-c954-11ed-a230-00155d82e902</v>
      </c>
      <c r="AB3233" s="21" t="s">
        <v>42</v>
      </c>
      <c r="AC3233" s="21"/>
      <c r="AD3233" s="21"/>
    </row>
    <row r="3234" spans="2:30" s="1" customFormat="1" ht="96.3" customHeight="1" outlineLevel="6">
      <c r="B3234" s="57">
        <v>2519</v>
      </c>
      <c r="C3234" s="21" t="s">
        <v>11251</v>
      </c>
      <c r="D3234" s="72" t="s">
        <v>11252</v>
      </c>
      <c r="E3234" s="72"/>
      <c r="F3234" s="72"/>
      <c r="G3234" s="72"/>
      <c r="H3234" s="22" t="s">
        <v>11253</v>
      </c>
      <c r="I3234" s="23" t="s">
        <v>36</v>
      </c>
      <c r="J3234" s="22"/>
      <c r="K3234" s="20">
        <v>1</v>
      </c>
      <c r="L3234" s="32">
        <v>1444.03</v>
      </c>
      <c r="M3234" s="11"/>
      <c r="N3234" s="22">
        <f t="shared" si="157"/>
        <v>0</v>
      </c>
      <c r="O3234" s="25">
        <f>1.323*M3234</f>
        <v>0</v>
      </c>
      <c r="P3234" s="26">
        <f>0.00694*M3234</f>
        <v>0</v>
      </c>
      <c r="Q3234" s="30"/>
      <c r="R3234" s="22" t="s">
        <v>11254</v>
      </c>
      <c r="S3234" s="22"/>
      <c r="T3234" s="21" t="str">
        <f>HYPERLINK("https://miland.ru/api/getInfo/image/1a36a3cb-c049-11ea-a249-ac1f6b442184")</f>
        <v>https://miland.ru/api/getInfo/image/1a36a3cb-c049-11ea-a249-ac1f6b442184</v>
      </c>
      <c r="U3234" s="21"/>
      <c r="V3234" s="21" t="s">
        <v>11045</v>
      </c>
      <c r="W3234" s="21" t="s">
        <v>9274</v>
      </c>
      <c r="X3234" s="21"/>
      <c r="Y3234" s="21" t="s">
        <v>41</v>
      </c>
      <c r="Z3234" s="21"/>
      <c r="AA3234" s="21" t="str">
        <f>HYPERLINK("https://miland.ru/api/getInfo/item/1a36a3cb-c049-11ea-a249-ac1f6b442184")</f>
        <v>https://miland.ru/api/getInfo/item/1a36a3cb-c049-11ea-a249-ac1f6b442184</v>
      </c>
      <c r="AB3234" s="21" t="s">
        <v>42</v>
      </c>
      <c r="AC3234" s="21" t="s">
        <v>11255</v>
      </c>
      <c r="AD3234" s="21"/>
    </row>
    <row r="3235" spans="2:30" s="1" customFormat="1" ht="96.3" customHeight="1" outlineLevel="6">
      <c r="B3235" s="57">
        <v>2520</v>
      </c>
      <c r="C3235" s="21" t="s">
        <v>11256</v>
      </c>
      <c r="D3235" s="72" t="s">
        <v>11257</v>
      </c>
      <c r="E3235" s="72"/>
      <c r="F3235" s="72"/>
      <c r="G3235" s="72"/>
      <c r="H3235" s="22" t="s">
        <v>11258</v>
      </c>
      <c r="I3235" s="23" t="s">
        <v>36</v>
      </c>
      <c r="J3235" s="22"/>
      <c r="K3235" s="20">
        <v>1</v>
      </c>
      <c r="L3235" s="32">
        <v>1444.03</v>
      </c>
      <c r="M3235" s="11"/>
      <c r="N3235" s="22">
        <f t="shared" si="157"/>
        <v>0</v>
      </c>
      <c r="O3235" s="25">
        <f>1.314*M3235</f>
        <v>0</v>
      </c>
      <c r="P3235" s="26">
        <f>0.00685*M3235</f>
        <v>0</v>
      </c>
      <c r="Q3235" s="30"/>
      <c r="R3235" s="22" t="s">
        <v>11259</v>
      </c>
      <c r="S3235" s="22"/>
      <c r="T3235" s="21" t="str">
        <f>HYPERLINK("https://miland.ru/api/getInfo/image/03858db8-c049-11ea-a249-ac1f6b442184")</f>
        <v>https://miland.ru/api/getInfo/image/03858db8-c049-11ea-a249-ac1f6b442184</v>
      </c>
      <c r="U3235" s="21"/>
      <c r="V3235" s="21" t="s">
        <v>11045</v>
      </c>
      <c r="W3235" s="21" t="s">
        <v>9274</v>
      </c>
      <c r="X3235" s="21"/>
      <c r="Y3235" s="21" t="s">
        <v>41</v>
      </c>
      <c r="Z3235" s="21"/>
      <c r="AA3235" s="21" t="str">
        <f>HYPERLINK("https://miland.ru/api/getInfo/item/03858db8-c049-11ea-a249-ac1f6b442184")</f>
        <v>https://miland.ru/api/getInfo/item/03858db8-c049-11ea-a249-ac1f6b442184</v>
      </c>
      <c r="AB3235" s="21" t="s">
        <v>42</v>
      </c>
      <c r="AC3235" s="21" t="s">
        <v>11255</v>
      </c>
      <c r="AD3235" s="21"/>
    </row>
    <row r="3236" spans="2:30" s="1" customFormat="1" ht="96.3" customHeight="1" outlineLevel="6">
      <c r="B3236" s="57">
        <v>2521</v>
      </c>
      <c r="C3236" s="21" t="s">
        <v>11260</v>
      </c>
      <c r="D3236" s="72" t="s">
        <v>11261</v>
      </c>
      <c r="E3236" s="72"/>
      <c r="F3236" s="72"/>
      <c r="G3236" s="72"/>
      <c r="H3236" s="22" t="s">
        <v>11262</v>
      </c>
      <c r="I3236" s="23" t="s">
        <v>36</v>
      </c>
      <c r="J3236" s="22"/>
      <c r="K3236" s="20">
        <v>1</v>
      </c>
      <c r="L3236" s="32">
        <v>1444.03</v>
      </c>
      <c r="M3236" s="11"/>
      <c r="N3236" s="22">
        <f t="shared" si="157"/>
        <v>0</v>
      </c>
      <c r="O3236" s="25">
        <f>1.286*M3236</f>
        <v>0</v>
      </c>
      <c r="P3236" s="26">
        <f>0.00723*M3236</f>
        <v>0</v>
      </c>
      <c r="Q3236" s="30"/>
      <c r="R3236" s="22" t="s">
        <v>11263</v>
      </c>
      <c r="S3236" s="22"/>
      <c r="T3236" s="21" t="str">
        <f>HYPERLINK("https://miland.ru/api/getInfo/image/fafb4e1d-79ed-11ec-a211-ac1f6b442185")</f>
        <v>https://miland.ru/api/getInfo/image/fafb4e1d-79ed-11ec-a211-ac1f6b442185</v>
      </c>
      <c r="U3236" s="21"/>
      <c r="V3236" s="21" t="s">
        <v>11045</v>
      </c>
      <c r="W3236" s="21" t="s">
        <v>9274</v>
      </c>
      <c r="X3236" s="21"/>
      <c r="Y3236" s="21" t="s">
        <v>41</v>
      </c>
      <c r="Z3236" s="21"/>
      <c r="AA3236" s="21" t="str">
        <f>HYPERLINK("https://miland.ru/api/getInfo/item/fafb4e1d-79ed-11ec-a211-ac1f6b442185")</f>
        <v>https://miland.ru/api/getInfo/item/fafb4e1d-79ed-11ec-a211-ac1f6b442185</v>
      </c>
      <c r="AB3236" s="21" t="s">
        <v>42</v>
      </c>
      <c r="AC3236" s="21" t="s">
        <v>11255</v>
      </c>
      <c r="AD3236" s="21"/>
    </row>
    <row r="3237" spans="2:30" s="1" customFormat="1" ht="96.3" customHeight="1" outlineLevel="6">
      <c r="B3237" s="57">
        <v>2522</v>
      </c>
      <c r="C3237" s="21" t="s">
        <v>11264</v>
      </c>
      <c r="D3237" s="72" t="s">
        <v>11265</v>
      </c>
      <c r="E3237" s="72"/>
      <c r="F3237" s="72"/>
      <c r="G3237" s="72"/>
      <c r="H3237" s="22" t="s">
        <v>11266</v>
      </c>
      <c r="I3237" s="23" t="s">
        <v>36</v>
      </c>
      <c r="J3237" s="22"/>
      <c r="K3237" s="20">
        <v>1</v>
      </c>
      <c r="L3237" s="32">
        <v>1444.03</v>
      </c>
      <c r="M3237" s="11"/>
      <c r="N3237" s="22">
        <f t="shared" si="157"/>
        <v>0</v>
      </c>
      <c r="O3237" s="25">
        <f>1.292*M3237</f>
        <v>0</v>
      </c>
      <c r="P3237" s="26">
        <f>0.00736*M3237</f>
        <v>0</v>
      </c>
      <c r="Q3237" s="30"/>
      <c r="R3237" s="22" t="s">
        <v>11267</v>
      </c>
      <c r="S3237" s="22"/>
      <c r="T3237" s="21" t="str">
        <f>HYPERLINK("https://miland.ru/api/getInfo/image/9f7875ec-c048-11ea-a249-ac1f6b442184")</f>
        <v>https://miland.ru/api/getInfo/image/9f7875ec-c048-11ea-a249-ac1f6b442184</v>
      </c>
      <c r="U3237" s="21"/>
      <c r="V3237" s="21" t="s">
        <v>11045</v>
      </c>
      <c r="W3237" s="21" t="s">
        <v>9274</v>
      </c>
      <c r="X3237" s="21"/>
      <c r="Y3237" s="21" t="s">
        <v>41</v>
      </c>
      <c r="Z3237" s="21"/>
      <c r="AA3237" s="21" t="str">
        <f>HYPERLINK("https://miland.ru/api/getInfo/item/9f7875ec-c048-11ea-a249-ac1f6b442184")</f>
        <v>https://miland.ru/api/getInfo/item/9f7875ec-c048-11ea-a249-ac1f6b442184</v>
      </c>
      <c r="AB3237" s="21" t="s">
        <v>42</v>
      </c>
      <c r="AC3237" s="21" t="s">
        <v>11255</v>
      </c>
      <c r="AD3237" s="21"/>
    </row>
    <row r="3238" spans="2:30" s="1" customFormat="1" ht="96.3" customHeight="1" outlineLevel="6">
      <c r="B3238" s="57">
        <v>2523</v>
      </c>
      <c r="C3238" s="21" t="s">
        <v>11268</v>
      </c>
      <c r="D3238" s="72" t="s">
        <v>11269</v>
      </c>
      <c r="E3238" s="72"/>
      <c r="F3238" s="72"/>
      <c r="G3238" s="72"/>
      <c r="H3238" s="22" t="s">
        <v>11270</v>
      </c>
      <c r="I3238" s="23" t="s">
        <v>36</v>
      </c>
      <c r="J3238" s="22"/>
      <c r="K3238" s="20">
        <v>1</v>
      </c>
      <c r="L3238" s="32">
        <v>1444.03</v>
      </c>
      <c r="M3238" s="11"/>
      <c r="N3238" s="22">
        <f t="shared" si="157"/>
        <v>0</v>
      </c>
      <c r="O3238" s="25">
        <f>1.269*M3238</f>
        <v>0</v>
      </c>
      <c r="P3238" s="26">
        <f>0.00702*M3238</f>
        <v>0</v>
      </c>
      <c r="Q3238" s="30"/>
      <c r="R3238" s="22" t="s">
        <v>11271</v>
      </c>
      <c r="S3238" s="22"/>
      <c r="T3238" s="21" t="str">
        <f>HYPERLINK("https://miland.ru/api/getInfo/image/bf0217f4-c048-11ea-a249-ac1f6b442184")</f>
        <v>https://miland.ru/api/getInfo/image/bf0217f4-c048-11ea-a249-ac1f6b442184</v>
      </c>
      <c r="U3238" s="21"/>
      <c r="V3238" s="21" t="s">
        <v>11045</v>
      </c>
      <c r="W3238" s="21" t="s">
        <v>9274</v>
      </c>
      <c r="X3238" s="21"/>
      <c r="Y3238" s="21" t="s">
        <v>41</v>
      </c>
      <c r="Z3238" s="21"/>
      <c r="AA3238" s="21" t="str">
        <f>HYPERLINK("https://miland.ru/api/getInfo/item/bf0217f4-c048-11ea-a249-ac1f6b442184")</f>
        <v>https://miland.ru/api/getInfo/item/bf0217f4-c048-11ea-a249-ac1f6b442184</v>
      </c>
      <c r="AB3238" s="21" t="s">
        <v>42</v>
      </c>
      <c r="AC3238" s="21" t="s">
        <v>11255</v>
      </c>
      <c r="AD3238" s="21"/>
    </row>
    <row r="3239" spans="2:30" s="1" customFormat="1" ht="96.3" customHeight="1" outlineLevel="6">
      <c r="B3239" s="57">
        <v>2524</v>
      </c>
      <c r="C3239" s="21" t="s">
        <v>11272</v>
      </c>
      <c r="D3239" s="72" t="s">
        <v>11273</v>
      </c>
      <c r="E3239" s="72"/>
      <c r="F3239" s="72"/>
      <c r="G3239" s="72"/>
      <c r="H3239" s="22" t="s">
        <v>11274</v>
      </c>
      <c r="I3239" s="23" t="s">
        <v>36</v>
      </c>
      <c r="J3239" s="22"/>
      <c r="K3239" s="20">
        <v>1</v>
      </c>
      <c r="L3239" s="32">
        <v>1899.45</v>
      </c>
      <c r="M3239" s="11"/>
      <c r="N3239" s="22">
        <f t="shared" si="157"/>
        <v>0</v>
      </c>
      <c r="O3239" s="28">
        <f>1.74*M3239</f>
        <v>0</v>
      </c>
      <c r="P3239" s="26">
        <f>0.00765*M3239</f>
        <v>0</v>
      </c>
      <c r="Q3239" s="30"/>
      <c r="R3239" s="22" t="s">
        <v>11275</v>
      </c>
      <c r="S3239" s="22"/>
      <c r="T3239" s="21" t="str">
        <f>HYPERLINK("https://miland.ru/api/getInfo/image/de56d44f-c952-11ed-a230-00155d82e902")</f>
        <v>https://miland.ru/api/getInfo/image/de56d44f-c952-11ed-a230-00155d82e902</v>
      </c>
      <c r="U3239" s="21"/>
      <c r="V3239" s="21" t="s">
        <v>11045</v>
      </c>
      <c r="W3239" s="21" t="s">
        <v>9274</v>
      </c>
      <c r="X3239" s="21"/>
      <c r="Y3239" s="21" t="s">
        <v>41</v>
      </c>
      <c r="Z3239" s="21"/>
      <c r="AA3239" s="21" t="str">
        <f>HYPERLINK("https://miland.ru/api/getInfo/item/de56d44f-c952-11ed-a230-00155d82e902")</f>
        <v>https://miland.ru/api/getInfo/item/de56d44f-c952-11ed-a230-00155d82e902</v>
      </c>
      <c r="AB3239" s="21" t="s">
        <v>42</v>
      </c>
      <c r="AC3239" s="21"/>
      <c r="AD3239" s="21"/>
    </row>
    <row r="3240" spans="2:30" s="1" customFormat="1" ht="96.3" customHeight="1" outlineLevel="6">
      <c r="B3240" s="57">
        <v>2525</v>
      </c>
      <c r="C3240" s="21" t="s">
        <v>11276</v>
      </c>
      <c r="D3240" s="72" t="s">
        <v>11277</v>
      </c>
      <c r="E3240" s="72"/>
      <c r="F3240" s="72"/>
      <c r="G3240" s="72"/>
      <c r="H3240" s="22" t="s">
        <v>11278</v>
      </c>
      <c r="I3240" s="23" t="s">
        <v>36</v>
      </c>
      <c r="J3240" s="22"/>
      <c r="K3240" s="20">
        <v>1</v>
      </c>
      <c r="L3240" s="32">
        <v>1899.45</v>
      </c>
      <c r="M3240" s="11"/>
      <c r="N3240" s="22">
        <f t="shared" si="157"/>
        <v>0</v>
      </c>
      <c r="O3240" s="25">
        <f>1.701*M3240</f>
        <v>0</v>
      </c>
      <c r="P3240" s="26">
        <f>0.00734*M3240</f>
        <v>0</v>
      </c>
      <c r="Q3240" s="30"/>
      <c r="R3240" s="22" t="s">
        <v>11279</v>
      </c>
      <c r="S3240" s="22"/>
      <c r="T3240" s="21" t="str">
        <f>HYPERLINK("https://miland.ru/api/getInfo/image/97641912-c952-11ed-a230-00155d82e902")</f>
        <v>https://miland.ru/api/getInfo/image/97641912-c952-11ed-a230-00155d82e902</v>
      </c>
      <c r="U3240" s="21"/>
      <c r="V3240" s="21" t="s">
        <v>11045</v>
      </c>
      <c r="W3240" s="21" t="s">
        <v>9274</v>
      </c>
      <c r="X3240" s="21"/>
      <c r="Y3240" s="21" t="s">
        <v>41</v>
      </c>
      <c r="Z3240" s="21"/>
      <c r="AA3240" s="21" t="str">
        <f>HYPERLINK("https://miland.ru/api/getInfo/item/97641912-c952-11ed-a230-00155d82e902")</f>
        <v>https://miland.ru/api/getInfo/item/97641912-c952-11ed-a230-00155d82e902</v>
      </c>
      <c r="AB3240" s="21" t="s">
        <v>42</v>
      </c>
      <c r="AC3240" s="21"/>
      <c r="AD3240" s="21"/>
    </row>
    <row r="3241" spans="2:30" s="1" customFormat="1" ht="96.3" customHeight="1" outlineLevel="6">
      <c r="B3241" s="57">
        <v>2526</v>
      </c>
      <c r="C3241" s="21" t="s">
        <v>11280</v>
      </c>
      <c r="D3241" s="72" t="s">
        <v>11281</v>
      </c>
      <c r="E3241" s="72"/>
      <c r="F3241" s="72"/>
      <c r="G3241" s="72"/>
      <c r="H3241" s="22" t="s">
        <v>11282</v>
      </c>
      <c r="I3241" s="23" t="s">
        <v>36</v>
      </c>
      <c r="J3241" s="22"/>
      <c r="K3241" s="20">
        <v>1</v>
      </c>
      <c r="L3241" s="32">
        <v>1578.5</v>
      </c>
      <c r="M3241" s="11"/>
      <c r="N3241" s="22">
        <f t="shared" si="157"/>
        <v>0</v>
      </c>
      <c r="O3241" s="25">
        <f>1.418*M3241</f>
        <v>0</v>
      </c>
      <c r="P3241" s="26">
        <f>0.00603*M3241</f>
        <v>0</v>
      </c>
      <c r="Q3241" s="30"/>
      <c r="R3241" s="22" t="s">
        <v>11283</v>
      </c>
      <c r="S3241" s="22"/>
      <c r="T3241" s="21" t="str">
        <f>HYPERLINK("https://miland.ru/api/getInfo/image/869cc997-79f0-11ec-a211-ac1f6b442185")</f>
        <v>https://miland.ru/api/getInfo/image/869cc997-79f0-11ec-a211-ac1f6b442185</v>
      </c>
      <c r="U3241" s="21"/>
      <c r="V3241" s="21" t="s">
        <v>11045</v>
      </c>
      <c r="W3241" s="21" t="s">
        <v>9274</v>
      </c>
      <c r="X3241" s="21"/>
      <c r="Y3241" s="21" t="s">
        <v>41</v>
      </c>
      <c r="Z3241" s="21"/>
      <c r="AA3241" s="21" t="str">
        <f>HYPERLINK("https://miland.ru/api/getInfo/item/869cc997-79f0-11ec-a211-ac1f6b442185")</f>
        <v>https://miland.ru/api/getInfo/item/869cc997-79f0-11ec-a211-ac1f6b442185</v>
      </c>
      <c r="AB3241" s="21" t="s">
        <v>42</v>
      </c>
      <c r="AC3241" s="21" t="s">
        <v>11255</v>
      </c>
      <c r="AD3241" s="21"/>
    </row>
    <row r="3242" spans="2:30" s="1" customFormat="1" ht="96.3" customHeight="1" outlineLevel="6">
      <c r="B3242" s="57">
        <v>2527</v>
      </c>
      <c r="C3242" s="21" t="s">
        <v>11284</v>
      </c>
      <c r="D3242" s="72" t="s">
        <v>11285</v>
      </c>
      <c r="E3242" s="72"/>
      <c r="F3242" s="72"/>
      <c r="G3242" s="72"/>
      <c r="H3242" s="22" t="s">
        <v>11286</v>
      </c>
      <c r="I3242" s="23" t="s">
        <v>36</v>
      </c>
      <c r="J3242" s="22"/>
      <c r="K3242" s="20">
        <v>1</v>
      </c>
      <c r="L3242" s="32">
        <v>1578.5</v>
      </c>
      <c r="M3242" s="11"/>
      <c r="N3242" s="22">
        <f t="shared" si="157"/>
        <v>0</v>
      </c>
      <c r="O3242" s="25">
        <f>1.436*M3242</f>
        <v>0</v>
      </c>
      <c r="P3242" s="29">
        <f>0.0063*M3242</f>
        <v>0</v>
      </c>
      <c r="Q3242" s="30"/>
      <c r="R3242" s="22" t="s">
        <v>11287</v>
      </c>
      <c r="S3242" s="22"/>
      <c r="T3242" s="21" t="str">
        <f>HYPERLINK("https://miland.ru/api/getInfo/image/f5da3c17-79ef-11ec-a211-ac1f6b442185")</f>
        <v>https://miland.ru/api/getInfo/image/f5da3c17-79ef-11ec-a211-ac1f6b442185</v>
      </c>
      <c r="U3242" s="21"/>
      <c r="V3242" s="21" t="s">
        <v>11045</v>
      </c>
      <c r="W3242" s="21" t="s">
        <v>9274</v>
      </c>
      <c r="X3242" s="21"/>
      <c r="Y3242" s="21" t="s">
        <v>41</v>
      </c>
      <c r="Z3242" s="21"/>
      <c r="AA3242" s="21" t="str">
        <f>HYPERLINK("https://miland.ru/api/getInfo/item/f5da3c17-79ef-11ec-a211-ac1f6b442185")</f>
        <v>https://miland.ru/api/getInfo/item/f5da3c17-79ef-11ec-a211-ac1f6b442185</v>
      </c>
      <c r="AB3242" s="21" t="s">
        <v>42</v>
      </c>
      <c r="AC3242" s="21" t="s">
        <v>11255</v>
      </c>
      <c r="AD3242" s="21"/>
    </row>
    <row r="3243" spans="2:30" s="1" customFormat="1" ht="96.3" customHeight="1" outlineLevel="6">
      <c r="B3243" s="57">
        <v>2528</v>
      </c>
      <c r="C3243" s="21" t="s">
        <v>11288</v>
      </c>
      <c r="D3243" s="72" t="s">
        <v>11289</v>
      </c>
      <c r="E3243" s="72"/>
      <c r="F3243" s="72"/>
      <c r="G3243" s="72"/>
      <c r="H3243" s="22" t="s">
        <v>11290</v>
      </c>
      <c r="I3243" s="23" t="s">
        <v>36</v>
      </c>
      <c r="J3243" s="22"/>
      <c r="K3243" s="20">
        <v>1</v>
      </c>
      <c r="L3243" s="32">
        <v>1578.5</v>
      </c>
      <c r="M3243" s="11"/>
      <c r="N3243" s="22">
        <f t="shared" si="157"/>
        <v>0</v>
      </c>
      <c r="O3243" s="25">
        <f>1.431*M3243</f>
        <v>0</v>
      </c>
      <c r="P3243" s="26">
        <f>0.00576*M3243</f>
        <v>0</v>
      </c>
      <c r="Q3243" s="30"/>
      <c r="R3243" s="22" t="s">
        <v>11291</v>
      </c>
      <c r="S3243" s="22"/>
      <c r="T3243" s="21" t="str">
        <f>HYPERLINK("https://miland.ru/api/getInfo/image/31b471d0-79f0-11ec-a211-ac1f6b442185")</f>
        <v>https://miland.ru/api/getInfo/image/31b471d0-79f0-11ec-a211-ac1f6b442185</v>
      </c>
      <c r="U3243" s="21"/>
      <c r="V3243" s="21" t="s">
        <v>11045</v>
      </c>
      <c r="W3243" s="21" t="s">
        <v>9274</v>
      </c>
      <c r="X3243" s="21"/>
      <c r="Y3243" s="21" t="s">
        <v>41</v>
      </c>
      <c r="Z3243" s="21"/>
      <c r="AA3243" s="21" t="str">
        <f>HYPERLINK("https://miland.ru/api/getInfo/item/31b471d0-79f0-11ec-a211-ac1f6b442185")</f>
        <v>https://miland.ru/api/getInfo/item/31b471d0-79f0-11ec-a211-ac1f6b442185</v>
      </c>
      <c r="AB3243" s="21" t="s">
        <v>42</v>
      </c>
      <c r="AC3243" s="21" t="s">
        <v>11255</v>
      </c>
      <c r="AD3243" s="21"/>
    </row>
    <row r="3244" spans="2:30" s="1" customFormat="1" ht="96.3" customHeight="1" outlineLevel="6">
      <c r="B3244" s="57">
        <v>2529</v>
      </c>
      <c r="C3244" s="21" t="s">
        <v>11292</v>
      </c>
      <c r="D3244" s="72" t="s">
        <v>11293</v>
      </c>
      <c r="E3244" s="72"/>
      <c r="F3244" s="72"/>
      <c r="G3244" s="72"/>
      <c r="H3244" s="22" t="s">
        <v>11294</v>
      </c>
      <c r="I3244" s="23" t="s">
        <v>36</v>
      </c>
      <c r="J3244" s="22"/>
      <c r="K3244" s="20">
        <v>1</v>
      </c>
      <c r="L3244" s="32">
        <v>1444.03</v>
      </c>
      <c r="M3244" s="11"/>
      <c r="N3244" s="22">
        <f t="shared" si="157"/>
        <v>0</v>
      </c>
      <c r="O3244" s="25">
        <f>1.269*M3244</f>
        <v>0</v>
      </c>
      <c r="P3244" s="26">
        <f>0.00701*M3244</f>
        <v>0</v>
      </c>
      <c r="Q3244" s="30"/>
      <c r="R3244" s="22" t="s">
        <v>11295</v>
      </c>
      <c r="S3244" s="22"/>
      <c r="T3244" s="21" t="str">
        <f>HYPERLINK("https://miland.ru/api/getInfo/image/d3c29123-c048-11ea-a249-ac1f6b442184")</f>
        <v>https://miland.ru/api/getInfo/image/d3c29123-c048-11ea-a249-ac1f6b442184</v>
      </c>
      <c r="U3244" s="21"/>
      <c r="V3244" s="21" t="s">
        <v>11045</v>
      </c>
      <c r="W3244" s="21" t="s">
        <v>9274</v>
      </c>
      <c r="X3244" s="21"/>
      <c r="Y3244" s="21" t="s">
        <v>41</v>
      </c>
      <c r="Z3244" s="21"/>
      <c r="AA3244" s="21" t="str">
        <f>HYPERLINK("https://miland.ru/api/getInfo/item/d3c29123-c048-11ea-a249-ac1f6b442184")</f>
        <v>https://miland.ru/api/getInfo/item/d3c29123-c048-11ea-a249-ac1f6b442184</v>
      </c>
      <c r="AB3244" s="21" t="s">
        <v>42</v>
      </c>
      <c r="AC3244" s="21" t="s">
        <v>11255</v>
      </c>
      <c r="AD3244" s="21"/>
    </row>
    <row r="3245" spans="2:30" s="1" customFormat="1" ht="96.3" customHeight="1" outlineLevel="6">
      <c r="B3245" s="57">
        <v>2530</v>
      </c>
      <c r="C3245" s="21" t="s">
        <v>11296</v>
      </c>
      <c r="D3245" s="72" t="s">
        <v>11297</v>
      </c>
      <c r="E3245" s="72"/>
      <c r="F3245" s="72"/>
      <c r="G3245" s="72"/>
      <c r="H3245" s="22" t="s">
        <v>11298</v>
      </c>
      <c r="I3245" s="23" t="s">
        <v>36</v>
      </c>
      <c r="J3245" s="22"/>
      <c r="K3245" s="20">
        <v>1</v>
      </c>
      <c r="L3245" s="32">
        <v>1899.45</v>
      </c>
      <c r="M3245" s="11"/>
      <c r="N3245" s="22">
        <f t="shared" si="157"/>
        <v>0</v>
      </c>
      <c r="O3245" s="25">
        <f>1.683*M3245</f>
        <v>0</v>
      </c>
      <c r="P3245" s="26">
        <f>0.00722*M3245</f>
        <v>0</v>
      </c>
      <c r="Q3245" s="30"/>
      <c r="R3245" s="22" t="s">
        <v>11299</v>
      </c>
      <c r="S3245" s="22"/>
      <c r="T3245" s="21" t="str">
        <f>HYPERLINK("https://miland.ru/api/getInfo/image/2a5844b8-c953-11ed-a230-00155d82e902")</f>
        <v>https://miland.ru/api/getInfo/image/2a5844b8-c953-11ed-a230-00155d82e902</v>
      </c>
      <c r="U3245" s="21"/>
      <c r="V3245" s="21" t="s">
        <v>11045</v>
      </c>
      <c r="W3245" s="21" t="s">
        <v>9274</v>
      </c>
      <c r="X3245" s="21"/>
      <c r="Y3245" s="21" t="s">
        <v>41</v>
      </c>
      <c r="Z3245" s="21"/>
      <c r="AA3245" s="21" t="str">
        <f>HYPERLINK("https://miland.ru/api/getInfo/item/2a5844b8-c953-11ed-a230-00155d82e902")</f>
        <v>https://miland.ru/api/getInfo/item/2a5844b8-c953-11ed-a230-00155d82e902</v>
      </c>
      <c r="AB3245" s="21" t="s">
        <v>42</v>
      </c>
      <c r="AC3245" s="21"/>
      <c r="AD3245" s="21"/>
    </row>
    <row r="3246" spans="2:30" s="1" customFormat="1" ht="96.3" customHeight="1" outlineLevel="6">
      <c r="B3246" s="57">
        <v>2531</v>
      </c>
      <c r="C3246" s="21" t="s">
        <v>11300</v>
      </c>
      <c r="D3246" s="72" t="s">
        <v>11301</v>
      </c>
      <c r="E3246" s="72"/>
      <c r="F3246" s="72"/>
      <c r="G3246" s="72"/>
      <c r="H3246" s="22" t="s">
        <v>11302</v>
      </c>
      <c r="I3246" s="27">
        <v>9</v>
      </c>
      <c r="J3246" s="22"/>
      <c r="K3246" s="20">
        <v>1</v>
      </c>
      <c r="L3246" s="32">
        <v>1841.88</v>
      </c>
      <c r="M3246" s="11"/>
      <c r="N3246" s="22">
        <f t="shared" si="157"/>
        <v>0</v>
      </c>
      <c r="O3246" s="25">
        <f>1.485*M3246</f>
        <v>0</v>
      </c>
      <c r="P3246" s="26">
        <f>0.00588*M3246</f>
        <v>0</v>
      </c>
      <c r="Q3246" s="30"/>
      <c r="R3246" s="22" t="s">
        <v>11303</v>
      </c>
      <c r="S3246" s="22" t="s">
        <v>435</v>
      </c>
      <c r="T3246" s="21" t="str">
        <f>HYPERLINK("https://miland.ru/api/getInfo/image/49745f63-c951-11ed-a230-00155d82e902")</f>
        <v>https://miland.ru/api/getInfo/image/49745f63-c951-11ed-a230-00155d82e902</v>
      </c>
      <c r="U3246" s="21"/>
      <c r="V3246" s="21" t="s">
        <v>11045</v>
      </c>
      <c r="W3246" s="21" t="s">
        <v>9274</v>
      </c>
      <c r="X3246" s="21"/>
      <c r="Y3246" s="21" t="s">
        <v>41</v>
      </c>
      <c r="Z3246" s="21"/>
      <c r="AA3246" s="21" t="str">
        <f>HYPERLINK("https://miland.ru/api/getInfo/item/49745f63-c951-11ed-a230-00155d82e902")</f>
        <v>https://miland.ru/api/getInfo/item/49745f63-c951-11ed-a230-00155d82e902</v>
      </c>
      <c r="AB3246" s="21" t="s">
        <v>42</v>
      </c>
      <c r="AC3246" s="21"/>
      <c r="AD3246" s="21"/>
    </row>
    <row r="3247" spans="2:30" s="1" customFormat="1" ht="96.3" customHeight="1" outlineLevel="6">
      <c r="B3247" s="57">
        <v>2532</v>
      </c>
      <c r="C3247" s="21" t="s">
        <v>11304</v>
      </c>
      <c r="D3247" s="72" t="s">
        <v>11305</v>
      </c>
      <c r="E3247" s="72"/>
      <c r="F3247" s="72"/>
      <c r="G3247" s="72"/>
      <c r="H3247" s="22" t="s">
        <v>11306</v>
      </c>
      <c r="I3247" s="27">
        <v>214</v>
      </c>
      <c r="J3247" s="22"/>
      <c r="K3247" s="20">
        <v>1</v>
      </c>
      <c r="L3247" s="32">
        <v>1841.88</v>
      </c>
      <c r="M3247" s="11"/>
      <c r="N3247" s="22">
        <f t="shared" si="157"/>
        <v>0</v>
      </c>
      <c r="O3247" s="25">
        <f>1.231*M3247</f>
        <v>0</v>
      </c>
      <c r="P3247" s="26">
        <f>0.00615*M3247</f>
        <v>0</v>
      </c>
      <c r="Q3247" s="30"/>
      <c r="R3247" s="22" t="s">
        <v>11307</v>
      </c>
      <c r="S3247" s="22"/>
      <c r="T3247" s="21" t="str">
        <f>HYPERLINK("https://miland.ru/api/getInfo/image/9ddec26a-c954-11ed-a230-00155d82e902")</f>
        <v>https://miland.ru/api/getInfo/image/9ddec26a-c954-11ed-a230-00155d82e902</v>
      </c>
      <c r="U3247" s="21"/>
      <c r="V3247" s="21" t="s">
        <v>11045</v>
      </c>
      <c r="W3247" s="21" t="s">
        <v>9274</v>
      </c>
      <c r="X3247" s="21"/>
      <c r="Y3247" s="21" t="s">
        <v>41</v>
      </c>
      <c r="Z3247" s="21"/>
      <c r="AA3247" s="21" t="str">
        <f>HYPERLINK("https://miland.ru/api/getInfo/item/9ddec26a-c954-11ed-a230-00155d82e902")</f>
        <v>https://miland.ru/api/getInfo/item/9ddec26a-c954-11ed-a230-00155d82e902</v>
      </c>
      <c r="AB3247" s="21" t="s">
        <v>42</v>
      </c>
      <c r="AC3247" s="21"/>
      <c r="AD3247" s="21"/>
    </row>
    <row r="3248" spans="2:30" ht="12" customHeight="1" outlineLevel="5">
      <c r="B3248" s="70" t="s">
        <v>11308</v>
      </c>
      <c r="C3248" s="70"/>
      <c r="D3248" s="70"/>
      <c r="E3248" s="70"/>
      <c r="F3248" s="70"/>
      <c r="G3248" s="70"/>
    </row>
    <row r="3249" spans="2:31" s="1" customFormat="1" ht="96.3" customHeight="1" outlineLevel="6">
      <c r="B3249" s="57">
        <v>2533</v>
      </c>
      <c r="C3249" s="21" t="s">
        <v>11309</v>
      </c>
      <c r="D3249" s="72" t="s">
        <v>11310</v>
      </c>
      <c r="E3249" s="72"/>
      <c r="F3249" s="72"/>
      <c r="G3249" s="72"/>
      <c r="H3249" s="22" t="s">
        <v>11311</v>
      </c>
      <c r="I3249" s="27">
        <v>27</v>
      </c>
      <c r="J3249" s="22"/>
      <c r="K3249" s="20">
        <v>1</v>
      </c>
      <c r="L3249" s="24">
        <v>767.64</v>
      </c>
      <c r="M3249" s="11"/>
      <c r="N3249" s="22">
        <f>L3249*M3249</f>
        <v>0</v>
      </c>
      <c r="O3249" s="25">
        <f>0.204*M3249</f>
        <v>0</v>
      </c>
      <c r="P3249" s="29">
        <f>0.0001*M3249</f>
        <v>0</v>
      </c>
      <c r="Q3249" s="30"/>
      <c r="R3249" s="22" t="s">
        <v>11312</v>
      </c>
      <c r="S3249" s="22" t="s">
        <v>435</v>
      </c>
      <c r="T3249" s="21" t="str">
        <f>HYPERLINK("https://miland.ru/api/getInfo/image/d689153b-5072-11ed-a21d-ac1f6b442185")</f>
        <v>https://miland.ru/api/getInfo/image/d689153b-5072-11ed-a21d-ac1f6b442185</v>
      </c>
      <c r="U3249" s="21"/>
      <c r="V3249" s="21" t="s">
        <v>11045</v>
      </c>
      <c r="W3249" s="21" t="s">
        <v>9274</v>
      </c>
      <c r="X3249" s="21"/>
      <c r="Y3249" s="21" t="s">
        <v>41</v>
      </c>
      <c r="Z3249" s="21"/>
      <c r="AA3249" s="21" t="str">
        <f>HYPERLINK("https://miland.ru/api/getInfo/item/d689153b-5072-11ed-a21d-ac1f6b442185")</f>
        <v>https://miland.ru/api/getInfo/item/d689153b-5072-11ed-a21d-ac1f6b442185</v>
      </c>
      <c r="AB3249" s="21" t="s">
        <v>42</v>
      </c>
      <c r="AC3249" s="21" t="s">
        <v>11313</v>
      </c>
      <c r="AD3249" s="21"/>
    </row>
    <row r="3250" spans="2:31" ht="12" customHeight="1" outlineLevel="5">
      <c r="B3250" s="70" t="s">
        <v>11314</v>
      </c>
      <c r="C3250" s="70"/>
      <c r="D3250" s="70"/>
      <c r="E3250" s="70"/>
      <c r="F3250" s="70"/>
      <c r="G3250" s="70"/>
    </row>
    <row r="3251" spans="2:31" s="1" customFormat="1" ht="96.3" customHeight="1" outlineLevel="6">
      <c r="B3251" s="59">
        <v>2534</v>
      </c>
      <c r="C3251" s="35" t="s">
        <v>11315</v>
      </c>
      <c r="D3251" s="73" t="s">
        <v>11316</v>
      </c>
      <c r="E3251" s="73"/>
      <c r="F3251" s="73"/>
      <c r="G3251" s="73"/>
      <c r="H3251" s="36" t="s">
        <v>11317</v>
      </c>
      <c r="I3251" s="40">
        <v>192</v>
      </c>
      <c r="J3251" s="36"/>
      <c r="K3251" s="34">
        <v>1</v>
      </c>
      <c r="L3251" s="41">
        <v>380.32</v>
      </c>
      <c r="M3251" s="11"/>
      <c r="N3251" s="36">
        <f>L3251*M3251</f>
        <v>0</v>
      </c>
      <c r="O3251" s="42">
        <f>0.466*M3251</f>
        <v>0</v>
      </c>
      <c r="P3251" s="43">
        <f>0.00194*M3251</f>
        <v>0</v>
      </c>
      <c r="Q3251" s="50"/>
      <c r="R3251" s="36" t="s">
        <v>11318</v>
      </c>
      <c r="S3251" s="36"/>
      <c r="T3251" s="35" t="str">
        <f>HYPERLINK("https://miland.ru/api/getInfo/image/6d57c633-376b-11ee-a240-00155d82e902")</f>
        <v>https://miland.ru/api/getInfo/image/6d57c633-376b-11ee-a240-00155d82e902</v>
      </c>
      <c r="U3251" s="35"/>
      <c r="V3251" s="35" t="s">
        <v>11104</v>
      </c>
      <c r="W3251" s="35" t="s">
        <v>11105</v>
      </c>
      <c r="X3251" s="35"/>
      <c r="Y3251" s="35" t="s">
        <v>41</v>
      </c>
      <c r="Z3251" s="35"/>
      <c r="AA3251" s="35" t="str">
        <f>HYPERLINK("https://miland.ru/api/getInfo/item/6d57c633-376b-11ee-a240-00155d82e902")</f>
        <v>https://miland.ru/api/getInfo/item/6d57c633-376b-11ee-a240-00155d82e902</v>
      </c>
      <c r="AB3251" s="35" t="s">
        <v>42</v>
      </c>
      <c r="AC3251" s="35" t="s">
        <v>11319</v>
      </c>
      <c r="AD3251" s="35"/>
      <c r="AE3251" s="52" t="s">
        <v>9152</v>
      </c>
    </row>
    <row r="3252" spans="2:31" s="1" customFormat="1" ht="96.3" customHeight="1" outlineLevel="6">
      <c r="B3252" s="57">
        <v>2535</v>
      </c>
      <c r="C3252" s="21" t="s">
        <v>11320</v>
      </c>
      <c r="D3252" s="72" t="s">
        <v>11321</v>
      </c>
      <c r="E3252" s="72"/>
      <c r="F3252" s="72"/>
      <c r="G3252" s="72"/>
      <c r="H3252" s="22" t="s">
        <v>11322</v>
      </c>
      <c r="I3252" s="27">
        <v>28</v>
      </c>
      <c r="J3252" s="22"/>
      <c r="K3252" s="20">
        <v>1</v>
      </c>
      <c r="L3252" s="24">
        <v>518.62</v>
      </c>
      <c r="M3252" s="11"/>
      <c r="N3252" s="22">
        <f>L3252*M3252</f>
        <v>0</v>
      </c>
      <c r="O3252" s="25">
        <f>0.492*M3252</f>
        <v>0</v>
      </c>
      <c r="P3252" s="26">
        <f>0.00193*M3252</f>
        <v>0</v>
      </c>
      <c r="Q3252" s="30"/>
      <c r="R3252" s="22" t="s">
        <v>11323</v>
      </c>
      <c r="S3252" s="22" t="s">
        <v>435</v>
      </c>
      <c r="T3252" s="21" t="str">
        <f>HYPERLINK("https://miland.ru/api/getInfo/image/8f4a2fa8-376b-11ee-a240-00155d82e902")</f>
        <v>https://miland.ru/api/getInfo/image/8f4a2fa8-376b-11ee-a240-00155d82e902</v>
      </c>
      <c r="U3252" s="21"/>
      <c r="V3252" s="21" t="s">
        <v>11104</v>
      </c>
      <c r="W3252" s="21" t="s">
        <v>11105</v>
      </c>
      <c r="X3252" s="21"/>
      <c r="Y3252" s="21" t="s">
        <v>41</v>
      </c>
      <c r="Z3252" s="21"/>
      <c r="AA3252" s="21" t="str">
        <f>HYPERLINK("https://miland.ru/api/getInfo/item/8f4a2fa8-376b-11ee-a240-00155d82e902")</f>
        <v>https://miland.ru/api/getInfo/item/8f4a2fa8-376b-11ee-a240-00155d82e902</v>
      </c>
      <c r="AB3252" s="21" t="s">
        <v>42</v>
      </c>
      <c r="AC3252" s="21" t="s">
        <v>11319</v>
      </c>
      <c r="AD3252" s="21"/>
    </row>
    <row r="3253" spans="2:31" s="1" customFormat="1" ht="96.3" customHeight="1" outlineLevel="6">
      <c r="B3253" s="59">
        <v>2536</v>
      </c>
      <c r="C3253" s="35" t="s">
        <v>11324</v>
      </c>
      <c r="D3253" s="73" t="s">
        <v>11325</v>
      </c>
      <c r="E3253" s="73"/>
      <c r="F3253" s="73"/>
      <c r="G3253" s="73"/>
      <c r="H3253" s="36" t="s">
        <v>11326</v>
      </c>
      <c r="I3253" s="40">
        <v>242</v>
      </c>
      <c r="J3253" s="36"/>
      <c r="K3253" s="34">
        <v>1</v>
      </c>
      <c r="L3253" s="41">
        <v>380.32</v>
      </c>
      <c r="M3253" s="11"/>
      <c r="N3253" s="36">
        <f>L3253*M3253</f>
        <v>0</v>
      </c>
      <c r="O3253" s="42">
        <f>0.463*M3253</f>
        <v>0</v>
      </c>
      <c r="P3253" s="55">
        <f>0.0013*M3253</f>
        <v>0</v>
      </c>
      <c r="Q3253" s="50"/>
      <c r="R3253" s="36" t="s">
        <v>11327</v>
      </c>
      <c r="S3253" s="36"/>
      <c r="T3253" s="35" t="str">
        <f>HYPERLINK("https://miland.ru/api/getInfo/image/46ea8f6e-376b-11ee-a240-00155d82e902")</f>
        <v>https://miland.ru/api/getInfo/image/46ea8f6e-376b-11ee-a240-00155d82e902</v>
      </c>
      <c r="U3253" s="35"/>
      <c r="V3253" s="35" t="s">
        <v>11104</v>
      </c>
      <c r="W3253" s="35" t="s">
        <v>11105</v>
      </c>
      <c r="X3253" s="35"/>
      <c r="Y3253" s="35" t="s">
        <v>41</v>
      </c>
      <c r="Z3253" s="35"/>
      <c r="AA3253" s="35" t="str">
        <f>HYPERLINK("https://miland.ru/api/getInfo/item/46ea8f6e-376b-11ee-a240-00155d82e902")</f>
        <v>https://miland.ru/api/getInfo/item/46ea8f6e-376b-11ee-a240-00155d82e902</v>
      </c>
      <c r="AB3253" s="35" t="s">
        <v>42</v>
      </c>
      <c r="AC3253" s="35" t="s">
        <v>11319</v>
      </c>
      <c r="AD3253" s="35"/>
      <c r="AE3253" s="52" t="s">
        <v>9152</v>
      </c>
    </row>
    <row r="3254" spans="2:31" ht="12" customHeight="1" outlineLevel="4">
      <c r="B3254" s="70" t="s">
        <v>11328</v>
      </c>
      <c r="C3254" s="70"/>
      <c r="D3254" s="70"/>
      <c r="E3254" s="70"/>
      <c r="F3254" s="70"/>
      <c r="G3254" s="70"/>
    </row>
    <row r="3255" spans="2:31" ht="12" customHeight="1" outlineLevel="5">
      <c r="B3255" s="70" t="s">
        <v>11329</v>
      </c>
      <c r="C3255" s="70"/>
      <c r="D3255" s="70"/>
      <c r="E3255" s="70"/>
      <c r="F3255" s="70"/>
      <c r="G3255" s="70"/>
    </row>
    <row r="3256" spans="2:31" s="1" customFormat="1" ht="96.3" customHeight="1" outlineLevel="6">
      <c r="B3256" s="57">
        <v>2537</v>
      </c>
      <c r="C3256" s="21" t="s">
        <v>11330</v>
      </c>
      <c r="D3256" s="72" t="s">
        <v>11331</v>
      </c>
      <c r="E3256" s="72"/>
      <c r="F3256" s="72"/>
      <c r="G3256" s="72"/>
      <c r="H3256" s="22" t="s">
        <v>11332</v>
      </c>
      <c r="I3256" s="23" t="s">
        <v>36</v>
      </c>
      <c r="J3256" s="22"/>
      <c r="K3256" s="20">
        <v>1</v>
      </c>
      <c r="L3256" s="24">
        <v>538.29999999999995</v>
      </c>
      <c r="M3256" s="11"/>
      <c r="N3256" s="22">
        <f>L3256*M3256</f>
        <v>0</v>
      </c>
      <c r="O3256" s="25">
        <f>0.218*M3256</f>
        <v>0</v>
      </c>
      <c r="P3256" s="29">
        <f>0.0031*M3256</f>
        <v>0</v>
      </c>
      <c r="Q3256" s="30"/>
      <c r="R3256" s="22" t="s">
        <v>11333</v>
      </c>
      <c r="S3256" s="22"/>
      <c r="T3256" s="21" t="str">
        <f>HYPERLINK("https://miland.ru/api/getInfo/image/3a53398f-80ad-11ef-a265-00155d82e908")</f>
        <v>https://miland.ru/api/getInfo/image/3a53398f-80ad-11ef-a265-00155d82e908</v>
      </c>
      <c r="U3256" s="21"/>
      <c r="V3256" s="21" t="s">
        <v>1682</v>
      </c>
      <c r="W3256" s="21" t="s">
        <v>1683</v>
      </c>
      <c r="X3256" s="21"/>
      <c r="Y3256" s="21" t="s">
        <v>41</v>
      </c>
      <c r="Z3256" s="21"/>
      <c r="AA3256" s="21" t="str">
        <f>HYPERLINK("https://miland.ru/api/getInfo/item/3a53398f-80ad-11ef-a265-00155d82e908")</f>
        <v>https://miland.ru/api/getInfo/item/3a53398f-80ad-11ef-a265-00155d82e908</v>
      </c>
      <c r="AB3256" s="21" t="s">
        <v>50</v>
      </c>
      <c r="AC3256" s="21"/>
      <c r="AD3256" s="21"/>
    </row>
    <row r="3257" spans="2:31" ht="12" customHeight="1" outlineLevel="5">
      <c r="B3257" s="70" t="s">
        <v>11334</v>
      </c>
      <c r="C3257" s="70"/>
      <c r="D3257" s="70"/>
      <c r="E3257" s="70"/>
      <c r="F3257" s="70"/>
      <c r="G3257" s="70"/>
    </row>
    <row r="3258" spans="2:31" s="1" customFormat="1" ht="96.3" customHeight="1" outlineLevel="6">
      <c r="B3258" s="57">
        <v>2538</v>
      </c>
      <c r="C3258" s="21" t="s">
        <v>11335</v>
      </c>
      <c r="D3258" s="72" t="s">
        <v>11336</v>
      </c>
      <c r="E3258" s="72"/>
      <c r="F3258" s="72"/>
      <c r="G3258" s="72"/>
      <c r="H3258" s="22" t="s">
        <v>11337</v>
      </c>
      <c r="I3258" s="27">
        <v>74</v>
      </c>
      <c r="J3258" s="22"/>
      <c r="K3258" s="20">
        <v>1</v>
      </c>
      <c r="L3258" s="24">
        <v>487.75</v>
      </c>
      <c r="M3258" s="11"/>
      <c r="N3258" s="22">
        <f>L3258*M3258</f>
        <v>0</v>
      </c>
      <c r="O3258" s="25">
        <f>0.276*M3258</f>
        <v>0</v>
      </c>
      <c r="P3258" s="26">
        <f>0.00352*M3258</f>
        <v>0</v>
      </c>
      <c r="Q3258" s="30"/>
      <c r="R3258" s="22" t="s">
        <v>11338</v>
      </c>
      <c r="S3258" s="22" t="s">
        <v>435</v>
      </c>
      <c r="T3258" s="21" t="str">
        <f>HYPERLINK("https://miland.ru/api/getInfo/image/54fdc3ec-f27c-11ee-a25b-00155d82e908")</f>
        <v>https://miland.ru/api/getInfo/image/54fdc3ec-f27c-11ee-a25b-00155d82e908</v>
      </c>
      <c r="U3258" s="21"/>
      <c r="V3258" s="21"/>
      <c r="W3258" s="21" t="s">
        <v>11339</v>
      </c>
      <c r="X3258" s="21"/>
      <c r="Y3258" s="21" t="s">
        <v>41</v>
      </c>
      <c r="Z3258" s="21"/>
      <c r="AA3258" s="21" t="str">
        <f>HYPERLINK("https://miland.ru/api/getInfo/item/54fdc3ec-f27c-11ee-a25b-00155d82e908")</f>
        <v>https://miland.ru/api/getInfo/item/54fdc3ec-f27c-11ee-a25b-00155d82e908</v>
      </c>
      <c r="AB3258" s="21" t="s">
        <v>42</v>
      </c>
      <c r="AC3258" s="21" t="s">
        <v>11340</v>
      </c>
      <c r="AD3258" s="21"/>
    </row>
    <row r="3259" spans="2:31" ht="12" customHeight="1" outlineLevel="5">
      <c r="B3259" s="70" t="s">
        <v>11341</v>
      </c>
      <c r="C3259" s="70"/>
      <c r="D3259" s="70"/>
      <c r="E3259" s="70"/>
      <c r="F3259" s="70"/>
      <c r="G3259" s="70"/>
    </row>
    <row r="3260" spans="2:31" s="1" customFormat="1" ht="96.3" customHeight="1" outlineLevel="6">
      <c r="B3260" s="59">
        <v>2539</v>
      </c>
      <c r="C3260" s="35" t="s">
        <v>11342</v>
      </c>
      <c r="D3260" s="73" t="s">
        <v>11343</v>
      </c>
      <c r="E3260" s="73"/>
      <c r="F3260" s="73"/>
      <c r="G3260" s="73"/>
      <c r="H3260" s="36" t="s">
        <v>11344</v>
      </c>
      <c r="I3260" s="40">
        <v>78</v>
      </c>
      <c r="J3260" s="36"/>
      <c r="K3260" s="34">
        <v>1</v>
      </c>
      <c r="L3260" s="41">
        <v>1039.1066666666668</v>
      </c>
      <c r="M3260" s="11"/>
      <c r="N3260" s="36">
        <f>L3260*M3260</f>
        <v>0</v>
      </c>
      <c r="O3260" s="42">
        <f>1.153*M3260</f>
        <v>0</v>
      </c>
      <c r="P3260" s="43">
        <f>0.00951*M3260</f>
        <v>0</v>
      </c>
      <c r="Q3260" s="50"/>
      <c r="R3260" s="36" t="s">
        <v>11345</v>
      </c>
      <c r="S3260" s="36"/>
      <c r="T3260" s="35" t="str">
        <f>HYPERLINK("https://miland.ru/api/getInfo/image/f4f4ea95-d9e8-11ed-a232-00155d82e902")</f>
        <v>https://miland.ru/api/getInfo/image/f4f4ea95-d9e8-11ed-a232-00155d82e902</v>
      </c>
      <c r="U3260" s="35"/>
      <c r="V3260" s="35" t="s">
        <v>650</v>
      </c>
      <c r="W3260" s="35" t="s">
        <v>70</v>
      </c>
      <c r="X3260" s="35"/>
      <c r="Y3260" s="35" t="s">
        <v>697</v>
      </c>
      <c r="Z3260" s="35"/>
      <c r="AA3260" s="35" t="str">
        <f>HYPERLINK("https://miland.ru/api/getInfo/item/f4f4ea95-d9e8-11ed-a232-00155d82e902")</f>
        <v>https://miland.ru/api/getInfo/item/f4f4ea95-d9e8-11ed-a232-00155d82e902</v>
      </c>
      <c r="AB3260" s="35" t="s">
        <v>42</v>
      </c>
      <c r="AC3260" s="35"/>
      <c r="AD3260" s="35"/>
      <c r="AE3260" s="52" t="s">
        <v>9152</v>
      </c>
    </row>
    <row r="3261" spans="2:31" ht="12" customHeight="1" outlineLevel="5">
      <c r="B3261" s="70" t="s">
        <v>11346</v>
      </c>
      <c r="C3261" s="70"/>
      <c r="D3261" s="70"/>
      <c r="E3261" s="70"/>
      <c r="F3261" s="70"/>
      <c r="G3261" s="70"/>
    </row>
    <row r="3262" spans="2:31" s="1" customFormat="1" ht="96.3" customHeight="1" outlineLevel="6">
      <c r="B3262" s="58">
        <v>2540</v>
      </c>
      <c r="C3262" s="7" t="s">
        <v>11347</v>
      </c>
      <c r="D3262" s="71" t="s">
        <v>11348</v>
      </c>
      <c r="E3262" s="71"/>
      <c r="F3262" s="71"/>
      <c r="G3262" s="71"/>
      <c r="H3262" s="8" t="s">
        <v>11349</v>
      </c>
      <c r="I3262" s="9" t="s">
        <v>36</v>
      </c>
      <c r="J3262" s="8"/>
      <c r="K3262" s="6">
        <v>3</v>
      </c>
      <c r="L3262" s="10">
        <v>243.18</v>
      </c>
      <c r="M3262" s="11"/>
      <c r="N3262" s="8">
        <f>L3262*M3262</f>
        <v>0</v>
      </c>
      <c r="O3262" s="18">
        <f>0.16*M3262</f>
        <v>0</v>
      </c>
      <c r="P3262" s="13">
        <f>0.00118*M3262</f>
        <v>0</v>
      </c>
      <c r="Q3262" s="17" t="s">
        <v>37</v>
      </c>
      <c r="R3262" s="8" t="s">
        <v>11350</v>
      </c>
      <c r="S3262" s="8"/>
      <c r="T3262" s="7" t="str">
        <f>HYPERLINK("https://miland.ru/api/getInfo/image/23691f6d-63e7-11f1-a296-00155d82e908")</f>
        <v>https://miland.ru/api/getInfo/image/23691f6d-63e7-11f1-a296-00155d82e908</v>
      </c>
      <c r="U3262" s="7"/>
      <c r="V3262" s="7"/>
      <c r="W3262" s="7" t="s">
        <v>70</v>
      </c>
      <c r="X3262" s="7"/>
      <c r="Y3262" s="7" t="s">
        <v>41</v>
      </c>
      <c r="Z3262" s="7"/>
      <c r="AA3262" s="7" t="str">
        <f>HYPERLINK("https://miland.ru/api/getInfo/item/23691f6d-63e7-11f1-a296-00155d82e908")</f>
        <v>https://miland.ru/api/getInfo/item/23691f6d-63e7-11f1-a296-00155d82e908</v>
      </c>
      <c r="AB3262" s="7" t="s">
        <v>50</v>
      </c>
      <c r="AC3262" s="7"/>
      <c r="AD3262" s="7"/>
      <c r="AE3262" s="54"/>
    </row>
    <row r="3263" spans="2:31" s="1" customFormat="1" ht="96.3" customHeight="1" outlineLevel="6">
      <c r="B3263" s="58">
        <v>2541</v>
      </c>
      <c r="C3263" s="7" t="s">
        <v>11351</v>
      </c>
      <c r="D3263" s="71" t="s">
        <v>11352</v>
      </c>
      <c r="E3263" s="71"/>
      <c r="F3263" s="71"/>
      <c r="G3263" s="71"/>
      <c r="H3263" s="8" t="s">
        <v>11353</v>
      </c>
      <c r="I3263" s="9" t="s">
        <v>36</v>
      </c>
      <c r="J3263" s="8"/>
      <c r="K3263" s="6">
        <v>3</v>
      </c>
      <c r="L3263" s="10">
        <v>254.72</v>
      </c>
      <c r="M3263" s="11"/>
      <c r="N3263" s="8">
        <f>L3263*M3263</f>
        <v>0</v>
      </c>
      <c r="O3263" s="12">
        <f>0.157*M3263</f>
        <v>0</v>
      </c>
      <c r="P3263" s="16">
        <f>0.0012*M3263</f>
        <v>0</v>
      </c>
      <c r="Q3263" s="17" t="s">
        <v>37</v>
      </c>
      <c r="R3263" s="8" t="s">
        <v>11354</v>
      </c>
      <c r="S3263" s="8"/>
      <c r="T3263" s="7" t="str">
        <f>HYPERLINK("https://miland.ru/api/getInfo/image/902a805f-63e7-11f1-a296-00155d82e908")</f>
        <v>https://miland.ru/api/getInfo/image/902a805f-63e7-11f1-a296-00155d82e908</v>
      </c>
      <c r="U3263" s="7"/>
      <c r="V3263" s="7"/>
      <c r="W3263" s="7" t="s">
        <v>70</v>
      </c>
      <c r="X3263" s="7"/>
      <c r="Y3263" s="7" t="s">
        <v>41</v>
      </c>
      <c r="Z3263" s="7"/>
      <c r="AA3263" s="7" t="str">
        <f>HYPERLINK("https://miland.ru/api/getInfo/item/902a805f-63e7-11f1-a296-00155d82e908")</f>
        <v>https://miland.ru/api/getInfo/item/902a805f-63e7-11f1-a296-00155d82e908</v>
      </c>
      <c r="AB3263" s="7" t="s">
        <v>50</v>
      </c>
      <c r="AC3263" s="7"/>
      <c r="AD3263" s="7"/>
      <c r="AE3263" s="54"/>
    </row>
    <row r="3264" spans="2:31" ht="12" customHeight="1" outlineLevel="2">
      <c r="B3264" s="69" t="s">
        <v>11355</v>
      </c>
      <c r="C3264" s="69"/>
      <c r="D3264" s="69"/>
      <c r="E3264" s="69"/>
      <c r="F3264" s="69"/>
      <c r="G3264" s="69"/>
    </row>
    <row r="3265" spans="2:30" ht="12" customHeight="1" outlineLevel="3">
      <c r="B3265" s="70" t="s">
        <v>11356</v>
      </c>
      <c r="C3265" s="70"/>
      <c r="D3265" s="70"/>
      <c r="E3265" s="70"/>
      <c r="F3265" s="70"/>
      <c r="G3265" s="70"/>
    </row>
    <row r="3266" spans="2:30" ht="12" customHeight="1" outlineLevel="4">
      <c r="B3266" s="70" t="s">
        <v>11357</v>
      </c>
      <c r="C3266" s="70"/>
      <c r="D3266" s="70"/>
      <c r="E3266" s="70"/>
      <c r="F3266" s="70"/>
      <c r="G3266" s="70"/>
    </row>
    <row r="3267" spans="2:30" s="1" customFormat="1" ht="96.3" customHeight="1" outlineLevel="5">
      <c r="B3267" s="57">
        <v>2542</v>
      </c>
      <c r="C3267" s="21" t="s">
        <v>11358</v>
      </c>
      <c r="D3267" s="72" t="s">
        <v>11359</v>
      </c>
      <c r="E3267" s="72"/>
      <c r="F3267" s="72"/>
      <c r="G3267" s="72"/>
      <c r="H3267" s="22" t="s">
        <v>11360</v>
      </c>
      <c r="I3267" s="27">
        <v>5</v>
      </c>
      <c r="J3267" s="22"/>
      <c r="K3267" s="20">
        <v>1</v>
      </c>
      <c r="L3267" s="32">
        <v>1759.04</v>
      </c>
      <c r="M3267" s="11"/>
      <c r="N3267" s="22">
        <f t="shared" ref="N3267:N3276" si="158">L3267*M3267</f>
        <v>0</v>
      </c>
      <c r="O3267" s="25">
        <f>0.925*M3267</f>
        <v>0</v>
      </c>
      <c r="P3267" s="26">
        <f>0.00539*M3267</f>
        <v>0</v>
      </c>
      <c r="Q3267" s="30"/>
      <c r="R3267" s="22" t="s">
        <v>11361</v>
      </c>
      <c r="S3267" s="22" t="s">
        <v>435</v>
      </c>
      <c r="T3267" s="21" t="str">
        <f>HYPERLINK("https://miland.ru/api/getInfo/image/af91568c-2176-11ee-a23d-00155d82e902")</f>
        <v>https://miland.ru/api/getInfo/image/af91568c-2176-11ee-a23d-00155d82e902</v>
      </c>
      <c r="U3267" s="21"/>
      <c r="V3267" s="21"/>
      <c r="W3267" s="21" t="s">
        <v>11362</v>
      </c>
      <c r="X3267" s="21"/>
      <c r="Y3267" s="21" t="s">
        <v>41</v>
      </c>
      <c r="Z3267" s="21"/>
      <c r="AA3267" s="21" t="str">
        <f>HYPERLINK("https://miland.ru/api/getInfo/item/af91568c-2176-11ee-a23d-00155d82e902")</f>
        <v>https://miland.ru/api/getInfo/item/af91568c-2176-11ee-a23d-00155d82e902</v>
      </c>
      <c r="AB3267" s="21" t="s">
        <v>42</v>
      </c>
      <c r="AC3267" s="21"/>
      <c r="AD3267" s="21"/>
    </row>
    <row r="3268" spans="2:30" s="1" customFormat="1" ht="96.3" customHeight="1" outlineLevel="5">
      <c r="B3268" s="57">
        <v>2543</v>
      </c>
      <c r="C3268" s="21" t="s">
        <v>11363</v>
      </c>
      <c r="D3268" s="72" t="s">
        <v>11364</v>
      </c>
      <c r="E3268" s="72"/>
      <c r="F3268" s="72"/>
      <c r="G3268" s="72"/>
      <c r="H3268" s="22" t="s">
        <v>11365</v>
      </c>
      <c r="I3268" s="27">
        <v>9</v>
      </c>
      <c r="J3268" s="22"/>
      <c r="K3268" s="20">
        <v>1</v>
      </c>
      <c r="L3268" s="32">
        <v>1759.04</v>
      </c>
      <c r="M3268" s="11"/>
      <c r="N3268" s="22">
        <f t="shared" si="158"/>
        <v>0</v>
      </c>
      <c r="O3268" s="25">
        <f>1.514*M3268</f>
        <v>0</v>
      </c>
      <c r="P3268" s="26">
        <f>0.00741*M3268</f>
        <v>0</v>
      </c>
      <c r="Q3268" s="30"/>
      <c r="R3268" s="22" t="s">
        <v>11366</v>
      </c>
      <c r="S3268" s="22" t="s">
        <v>435</v>
      </c>
      <c r="T3268" s="21" t="str">
        <f>HYPERLINK("https://miland.ru/api/getInfo/image/fcc68a70-2176-11ee-a23d-00155d82e902")</f>
        <v>https://miland.ru/api/getInfo/image/fcc68a70-2176-11ee-a23d-00155d82e902</v>
      </c>
      <c r="U3268" s="21"/>
      <c r="V3268" s="21"/>
      <c r="W3268" s="21" t="s">
        <v>11362</v>
      </c>
      <c r="X3268" s="21"/>
      <c r="Y3268" s="21" t="s">
        <v>41</v>
      </c>
      <c r="Z3268" s="21"/>
      <c r="AA3268" s="21" t="str">
        <f>HYPERLINK("https://miland.ru/api/getInfo/item/fcc68a70-2176-11ee-a23d-00155d82e902")</f>
        <v>https://miland.ru/api/getInfo/item/fcc68a70-2176-11ee-a23d-00155d82e902</v>
      </c>
      <c r="AB3268" s="21" t="s">
        <v>42</v>
      </c>
      <c r="AC3268" s="21"/>
      <c r="AD3268" s="21"/>
    </row>
    <row r="3269" spans="2:30" s="1" customFormat="1" ht="96.3" customHeight="1" outlineLevel="5">
      <c r="B3269" s="57">
        <v>2544</v>
      </c>
      <c r="C3269" s="21" t="s">
        <v>11367</v>
      </c>
      <c r="D3269" s="72" t="s">
        <v>11368</v>
      </c>
      <c r="E3269" s="72"/>
      <c r="F3269" s="72"/>
      <c r="G3269" s="72"/>
      <c r="H3269" s="22" t="s">
        <v>11369</v>
      </c>
      <c r="I3269" s="27">
        <v>7</v>
      </c>
      <c r="J3269" s="22"/>
      <c r="K3269" s="20">
        <v>1</v>
      </c>
      <c r="L3269" s="24">
        <v>885.3</v>
      </c>
      <c r="M3269" s="11"/>
      <c r="N3269" s="22">
        <f t="shared" si="158"/>
        <v>0</v>
      </c>
      <c r="O3269" s="25">
        <f>0.574*M3269</f>
        <v>0</v>
      </c>
      <c r="P3269" s="26">
        <f>0.00235*M3269</f>
        <v>0</v>
      </c>
      <c r="Q3269" s="30"/>
      <c r="R3269" s="22" t="s">
        <v>11370</v>
      </c>
      <c r="S3269" s="22" t="s">
        <v>435</v>
      </c>
      <c r="T3269" s="21" t="str">
        <f>HYPERLINK("https://miland.ru/api/getInfo/image/5537809c-f8bc-11ee-a25d-00155d82e908")</f>
        <v>https://miland.ru/api/getInfo/image/5537809c-f8bc-11ee-a25d-00155d82e908</v>
      </c>
      <c r="U3269" s="21"/>
      <c r="V3269" s="21"/>
      <c r="W3269" s="21" t="s">
        <v>11362</v>
      </c>
      <c r="X3269" s="21"/>
      <c r="Y3269" s="21" t="s">
        <v>41</v>
      </c>
      <c r="Z3269" s="21"/>
      <c r="AA3269" s="21" t="str">
        <f>HYPERLINK("https://miland.ru/api/getInfo/item/5537809c-f8bc-11ee-a25d-00155d82e908")</f>
        <v>https://miland.ru/api/getInfo/item/5537809c-f8bc-11ee-a25d-00155d82e908</v>
      </c>
      <c r="AB3269" s="21" t="s">
        <v>42</v>
      </c>
      <c r="AC3269" s="21" t="s">
        <v>11371</v>
      </c>
      <c r="AD3269" s="21"/>
    </row>
    <row r="3270" spans="2:30" s="1" customFormat="1" ht="96.3" customHeight="1" outlineLevel="5">
      <c r="B3270" s="57">
        <v>2545</v>
      </c>
      <c r="C3270" s="21" t="s">
        <v>11372</v>
      </c>
      <c r="D3270" s="72" t="s">
        <v>11373</v>
      </c>
      <c r="E3270" s="72"/>
      <c r="F3270" s="72"/>
      <c r="G3270" s="72"/>
      <c r="H3270" s="22" t="s">
        <v>11374</v>
      </c>
      <c r="I3270" s="27">
        <v>6</v>
      </c>
      <c r="J3270" s="22"/>
      <c r="K3270" s="20">
        <v>1</v>
      </c>
      <c r="L3270" s="32">
        <v>1244.05</v>
      </c>
      <c r="M3270" s="11"/>
      <c r="N3270" s="22">
        <f t="shared" si="158"/>
        <v>0</v>
      </c>
      <c r="O3270" s="25">
        <f>0.733*M3270</f>
        <v>0</v>
      </c>
      <c r="P3270" s="29">
        <f>0.0037*M3270</f>
        <v>0</v>
      </c>
      <c r="Q3270" s="30"/>
      <c r="R3270" s="22" t="s">
        <v>11375</v>
      </c>
      <c r="S3270" s="22" t="s">
        <v>435</v>
      </c>
      <c r="T3270" s="21" t="str">
        <f>HYPERLINK("https://miland.ru/api/getInfo/image/0d90ef70-f8bb-11ee-a25d-00155d82e908")</f>
        <v>https://miland.ru/api/getInfo/image/0d90ef70-f8bb-11ee-a25d-00155d82e908</v>
      </c>
      <c r="U3270" s="21"/>
      <c r="V3270" s="21"/>
      <c r="W3270" s="21" t="s">
        <v>11362</v>
      </c>
      <c r="X3270" s="21"/>
      <c r="Y3270" s="21" t="s">
        <v>41</v>
      </c>
      <c r="Z3270" s="21"/>
      <c r="AA3270" s="21" t="str">
        <f>HYPERLINK("https://miland.ru/api/getInfo/item/0d90ef70-f8bb-11ee-a25d-00155d82e908")</f>
        <v>https://miland.ru/api/getInfo/item/0d90ef70-f8bb-11ee-a25d-00155d82e908</v>
      </c>
      <c r="AB3270" s="21" t="s">
        <v>42</v>
      </c>
      <c r="AC3270" s="21" t="s">
        <v>11376</v>
      </c>
      <c r="AD3270" s="21"/>
    </row>
    <row r="3271" spans="2:30" s="1" customFormat="1" ht="96.3" customHeight="1" outlineLevel="5">
      <c r="B3271" s="57">
        <v>2546</v>
      </c>
      <c r="C3271" s="21" t="s">
        <v>11377</v>
      </c>
      <c r="D3271" s="72" t="s">
        <v>11378</v>
      </c>
      <c r="E3271" s="72"/>
      <c r="F3271" s="72"/>
      <c r="G3271" s="72"/>
      <c r="H3271" s="22" t="s">
        <v>11379</v>
      </c>
      <c r="I3271" s="27">
        <v>5</v>
      </c>
      <c r="J3271" s="22"/>
      <c r="K3271" s="20">
        <v>1</v>
      </c>
      <c r="L3271" s="32">
        <v>1257.31</v>
      </c>
      <c r="M3271" s="11"/>
      <c r="N3271" s="22">
        <f t="shared" si="158"/>
        <v>0</v>
      </c>
      <c r="O3271" s="25">
        <f>1.304*M3271</f>
        <v>0</v>
      </c>
      <c r="P3271" s="26">
        <f>0.00708*M3271</f>
        <v>0</v>
      </c>
      <c r="Q3271" s="30"/>
      <c r="R3271" s="22" t="s">
        <v>11380</v>
      </c>
      <c r="S3271" s="22" t="s">
        <v>435</v>
      </c>
      <c r="T3271" s="21" t="str">
        <f>HYPERLINK("https://miland.ru/api/getInfo/image/4c2896ed-2178-11ee-a23d-00155d82e902")</f>
        <v>https://miland.ru/api/getInfo/image/4c2896ed-2178-11ee-a23d-00155d82e902</v>
      </c>
      <c r="U3271" s="21"/>
      <c r="V3271" s="21"/>
      <c r="W3271" s="21" t="s">
        <v>11362</v>
      </c>
      <c r="X3271" s="21"/>
      <c r="Y3271" s="21" t="s">
        <v>41</v>
      </c>
      <c r="Z3271" s="21"/>
      <c r="AA3271" s="21" t="str">
        <f>HYPERLINK("https://miland.ru/api/getInfo/item/4c2896ed-2178-11ee-a23d-00155d82e902")</f>
        <v>https://miland.ru/api/getInfo/item/4c2896ed-2178-11ee-a23d-00155d82e902</v>
      </c>
      <c r="AB3271" s="21" t="s">
        <v>42</v>
      </c>
      <c r="AC3271" s="21"/>
      <c r="AD3271" s="21"/>
    </row>
    <row r="3272" spans="2:30" s="1" customFormat="1" ht="96.3" customHeight="1" outlineLevel="5">
      <c r="B3272" s="57">
        <v>2547</v>
      </c>
      <c r="C3272" s="21" t="s">
        <v>11381</v>
      </c>
      <c r="D3272" s="72" t="s">
        <v>11382</v>
      </c>
      <c r="E3272" s="72"/>
      <c r="F3272" s="72"/>
      <c r="G3272" s="72"/>
      <c r="H3272" s="22" t="s">
        <v>11383</v>
      </c>
      <c r="I3272" s="27">
        <v>6</v>
      </c>
      <c r="J3272" s="22"/>
      <c r="K3272" s="20">
        <v>1</v>
      </c>
      <c r="L3272" s="32">
        <v>1105.19</v>
      </c>
      <c r="M3272" s="11"/>
      <c r="N3272" s="22">
        <f t="shared" si="158"/>
        <v>0</v>
      </c>
      <c r="O3272" s="25">
        <f>0.766*M3272</f>
        <v>0</v>
      </c>
      <c r="P3272" s="26">
        <f>0.00416*M3272</f>
        <v>0</v>
      </c>
      <c r="Q3272" s="30"/>
      <c r="R3272" s="22" t="s">
        <v>11384</v>
      </c>
      <c r="S3272" s="22" t="s">
        <v>435</v>
      </c>
      <c r="T3272" s="21" t="str">
        <f>HYPERLINK("https://miland.ru/api/getInfo/image/e3878f91-f8bb-11ee-a25d-00155d82e908")</f>
        <v>https://miland.ru/api/getInfo/image/e3878f91-f8bb-11ee-a25d-00155d82e908</v>
      </c>
      <c r="U3272" s="21"/>
      <c r="V3272" s="21"/>
      <c r="W3272" s="21" t="s">
        <v>11362</v>
      </c>
      <c r="X3272" s="21"/>
      <c r="Y3272" s="21" t="s">
        <v>41</v>
      </c>
      <c r="Z3272" s="21"/>
      <c r="AA3272" s="21" t="str">
        <f>HYPERLINK("https://miland.ru/api/getInfo/item/e3878f91-f8bb-11ee-a25d-00155d82e908")</f>
        <v>https://miland.ru/api/getInfo/item/e3878f91-f8bb-11ee-a25d-00155d82e908</v>
      </c>
      <c r="AB3272" s="21" t="s">
        <v>42</v>
      </c>
      <c r="AC3272" s="21" t="s">
        <v>11385</v>
      </c>
      <c r="AD3272" s="21"/>
    </row>
    <row r="3273" spans="2:30" s="1" customFormat="1" ht="96.3" customHeight="1" outlineLevel="5">
      <c r="B3273" s="57">
        <v>2548</v>
      </c>
      <c r="C3273" s="21" t="s">
        <v>11386</v>
      </c>
      <c r="D3273" s="72" t="s">
        <v>11387</v>
      </c>
      <c r="E3273" s="72"/>
      <c r="F3273" s="72"/>
      <c r="G3273" s="72"/>
      <c r="H3273" s="22" t="s">
        <v>11388</v>
      </c>
      <c r="I3273" s="27">
        <v>5</v>
      </c>
      <c r="J3273" s="22"/>
      <c r="K3273" s="20">
        <v>1</v>
      </c>
      <c r="L3273" s="32">
        <v>1157.27</v>
      </c>
      <c r="M3273" s="11"/>
      <c r="N3273" s="22">
        <f t="shared" si="158"/>
        <v>0</v>
      </c>
      <c r="O3273" s="25">
        <f>0.808*M3273</f>
        <v>0</v>
      </c>
      <c r="P3273" s="26">
        <f>0.00495*M3273</f>
        <v>0</v>
      </c>
      <c r="Q3273" s="30"/>
      <c r="R3273" s="22" t="s">
        <v>11389</v>
      </c>
      <c r="S3273" s="22" t="s">
        <v>435</v>
      </c>
      <c r="T3273" s="21" t="str">
        <f>HYPERLINK("https://miland.ru/api/getInfo/image/d24ced3a-2172-11ee-a23d-00155d82e902")</f>
        <v>https://miland.ru/api/getInfo/image/d24ced3a-2172-11ee-a23d-00155d82e902</v>
      </c>
      <c r="U3273" s="21"/>
      <c r="V3273" s="21"/>
      <c r="W3273" s="21" t="s">
        <v>11362</v>
      </c>
      <c r="X3273" s="21"/>
      <c r="Y3273" s="21" t="s">
        <v>41</v>
      </c>
      <c r="Z3273" s="21"/>
      <c r="AA3273" s="21" t="str">
        <f>HYPERLINK("https://miland.ru/api/getInfo/item/d24ced3a-2172-11ee-a23d-00155d82e902")</f>
        <v>https://miland.ru/api/getInfo/item/d24ced3a-2172-11ee-a23d-00155d82e902</v>
      </c>
      <c r="AB3273" s="21" t="s">
        <v>42</v>
      </c>
      <c r="AC3273" s="21"/>
      <c r="AD3273" s="21"/>
    </row>
    <row r="3274" spans="2:30" s="1" customFormat="1" ht="96.3" customHeight="1" outlineLevel="5">
      <c r="B3274" s="57">
        <v>2549</v>
      </c>
      <c r="C3274" s="21" t="s">
        <v>11390</v>
      </c>
      <c r="D3274" s="72" t="s">
        <v>11391</v>
      </c>
      <c r="E3274" s="72"/>
      <c r="F3274" s="72"/>
      <c r="G3274" s="72"/>
      <c r="H3274" s="22" t="s">
        <v>11392</v>
      </c>
      <c r="I3274" s="27">
        <v>6</v>
      </c>
      <c r="J3274" s="22"/>
      <c r="K3274" s="20">
        <v>1</v>
      </c>
      <c r="L3274" s="32">
        <v>1538.18</v>
      </c>
      <c r="M3274" s="11"/>
      <c r="N3274" s="22">
        <f t="shared" si="158"/>
        <v>0</v>
      </c>
      <c r="O3274" s="28">
        <f>1.58*M3274</f>
        <v>0</v>
      </c>
      <c r="P3274" s="26">
        <f>0.00606*M3274</f>
        <v>0</v>
      </c>
      <c r="Q3274" s="30"/>
      <c r="R3274" s="22" t="s">
        <v>11393</v>
      </c>
      <c r="S3274" s="22" t="s">
        <v>435</v>
      </c>
      <c r="T3274" s="21" t="str">
        <f>HYPERLINK("https://miland.ru/api/getInfo/image/34257d38-216e-11ee-a23d-00155d82e902")</f>
        <v>https://miland.ru/api/getInfo/image/34257d38-216e-11ee-a23d-00155d82e902</v>
      </c>
      <c r="U3274" s="21"/>
      <c r="V3274" s="21"/>
      <c r="W3274" s="21" t="s">
        <v>11362</v>
      </c>
      <c r="X3274" s="21"/>
      <c r="Y3274" s="21" t="s">
        <v>41</v>
      </c>
      <c r="Z3274" s="21"/>
      <c r="AA3274" s="21" t="str">
        <f>HYPERLINK("https://miland.ru/api/getInfo/item/34257d38-216e-11ee-a23d-00155d82e902")</f>
        <v>https://miland.ru/api/getInfo/item/34257d38-216e-11ee-a23d-00155d82e902</v>
      </c>
      <c r="AB3274" s="21" t="s">
        <v>42</v>
      </c>
      <c r="AC3274" s="21"/>
      <c r="AD3274" s="21"/>
    </row>
    <row r="3275" spans="2:30" s="1" customFormat="1" ht="96.3" customHeight="1" outlineLevel="5">
      <c r="B3275" s="57">
        <v>2550</v>
      </c>
      <c r="C3275" s="21" t="s">
        <v>11394</v>
      </c>
      <c r="D3275" s="72" t="s">
        <v>11395</v>
      </c>
      <c r="E3275" s="72"/>
      <c r="F3275" s="72"/>
      <c r="G3275" s="72"/>
      <c r="H3275" s="22" t="s">
        <v>11396</v>
      </c>
      <c r="I3275" s="27">
        <v>5</v>
      </c>
      <c r="J3275" s="22"/>
      <c r="K3275" s="20">
        <v>1</v>
      </c>
      <c r="L3275" s="32">
        <v>1955.77</v>
      </c>
      <c r="M3275" s="11"/>
      <c r="N3275" s="22">
        <f t="shared" si="158"/>
        <v>0</v>
      </c>
      <c r="O3275" s="25">
        <f>1.471*M3275</f>
        <v>0</v>
      </c>
      <c r="P3275" s="26">
        <f>0.00673*M3275</f>
        <v>0</v>
      </c>
      <c r="Q3275" s="30"/>
      <c r="R3275" s="22" t="s">
        <v>11397</v>
      </c>
      <c r="S3275" s="22" t="s">
        <v>435</v>
      </c>
      <c r="T3275" s="21" t="str">
        <f>HYPERLINK("https://miland.ru/api/getInfo/image/8bb150f4-216e-11ee-a23d-00155d82e902")</f>
        <v>https://miland.ru/api/getInfo/image/8bb150f4-216e-11ee-a23d-00155d82e902</v>
      </c>
      <c r="U3275" s="21"/>
      <c r="V3275" s="21"/>
      <c r="W3275" s="21" t="s">
        <v>11362</v>
      </c>
      <c r="X3275" s="21"/>
      <c r="Y3275" s="21" t="s">
        <v>41</v>
      </c>
      <c r="Z3275" s="21"/>
      <c r="AA3275" s="21" t="str">
        <f>HYPERLINK("https://miland.ru/api/getInfo/item/8bb150f4-216e-11ee-a23d-00155d82e902")</f>
        <v>https://miland.ru/api/getInfo/item/8bb150f4-216e-11ee-a23d-00155d82e902</v>
      </c>
      <c r="AB3275" s="21" t="s">
        <v>42</v>
      </c>
      <c r="AC3275" s="21"/>
      <c r="AD3275" s="21"/>
    </row>
    <row r="3276" spans="2:30" s="1" customFormat="1" ht="96.3" customHeight="1" outlineLevel="5">
      <c r="B3276" s="57">
        <v>2551</v>
      </c>
      <c r="C3276" s="21" t="s">
        <v>11398</v>
      </c>
      <c r="D3276" s="72" t="s">
        <v>11399</v>
      </c>
      <c r="E3276" s="72"/>
      <c r="F3276" s="72"/>
      <c r="G3276" s="72"/>
      <c r="H3276" s="22" t="s">
        <v>11400</v>
      </c>
      <c r="I3276" s="27">
        <v>10</v>
      </c>
      <c r="J3276" s="22"/>
      <c r="K3276" s="20">
        <v>1</v>
      </c>
      <c r="L3276" s="32">
        <v>1880.55</v>
      </c>
      <c r="M3276" s="11"/>
      <c r="N3276" s="22">
        <f t="shared" si="158"/>
        <v>0</v>
      </c>
      <c r="O3276" s="28">
        <f>1.41*M3276</f>
        <v>0</v>
      </c>
      <c r="P3276" s="26">
        <f>0.00769*M3276</f>
        <v>0</v>
      </c>
      <c r="Q3276" s="30"/>
      <c r="R3276" s="22" t="s">
        <v>11401</v>
      </c>
      <c r="S3276" s="22" t="s">
        <v>435</v>
      </c>
      <c r="T3276" s="21" t="str">
        <f>HYPERLINK("https://miland.ru/api/getInfo/image/2988bfc5-216f-11ee-a23d-00155d82e902")</f>
        <v>https://miland.ru/api/getInfo/image/2988bfc5-216f-11ee-a23d-00155d82e902</v>
      </c>
      <c r="U3276" s="21"/>
      <c r="V3276" s="21"/>
      <c r="W3276" s="21" t="s">
        <v>11362</v>
      </c>
      <c r="X3276" s="21"/>
      <c r="Y3276" s="21" t="s">
        <v>41</v>
      </c>
      <c r="Z3276" s="21"/>
      <c r="AA3276" s="21" t="str">
        <f>HYPERLINK("https://miland.ru/api/getInfo/item/2988bfc5-216f-11ee-a23d-00155d82e902")</f>
        <v>https://miland.ru/api/getInfo/item/2988bfc5-216f-11ee-a23d-00155d82e902</v>
      </c>
      <c r="AB3276" s="21" t="s">
        <v>42</v>
      </c>
      <c r="AC3276" s="21"/>
      <c r="AD3276" s="21"/>
    </row>
    <row r="3277" spans="2:30" ht="12" customHeight="1" outlineLevel="4">
      <c r="B3277" s="70" t="s">
        <v>11402</v>
      </c>
      <c r="C3277" s="70"/>
      <c r="D3277" s="70"/>
      <c r="E3277" s="70"/>
      <c r="F3277" s="70"/>
      <c r="G3277" s="70"/>
    </row>
    <row r="3278" spans="2:30" s="1" customFormat="1" ht="96.3" customHeight="1" outlineLevel="5">
      <c r="B3278" s="57">
        <v>2552</v>
      </c>
      <c r="C3278" s="21" t="s">
        <v>11403</v>
      </c>
      <c r="D3278" s="72" t="s">
        <v>11404</v>
      </c>
      <c r="E3278" s="72"/>
      <c r="F3278" s="72"/>
      <c r="G3278" s="72"/>
      <c r="H3278" s="22" t="s">
        <v>11405</v>
      </c>
      <c r="I3278" s="27">
        <v>6</v>
      </c>
      <c r="J3278" s="22"/>
      <c r="K3278" s="20">
        <v>1</v>
      </c>
      <c r="L3278" s="32">
        <v>1049.2</v>
      </c>
      <c r="M3278" s="11"/>
      <c r="N3278" s="22">
        <f>L3278*M3278</f>
        <v>0</v>
      </c>
      <c r="O3278" s="25">
        <f>1.564*M3278</f>
        <v>0</v>
      </c>
      <c r="P3278" s="26">
        <f>0.00935*M3278</f>
        <v>0</v>
      </c>
      <c r="Q3278" s="30"/>
      <c r="R3278" s="22" t="s">
        <v>11406</v>
      </c>
      <c r="S3278" s="22" t="s">
        <v>435</v>
      </c>
      <c r="T3278" s="21" t="str">
        <f>HYPERLINK("https://miland.ru/api/getInfo/image/5828dc73-215a-11ee-a23d-00155d82e902")</f>
        <v>https://miland.ru/api/getInfo/image/5828dc73-215a-11ee-a23d-00155d82e902</v>
      </c>
      <c r="U3278" s="21"/>
      <c r="V3278" s="21"/>
      <c r="W3278" s="21" t="s">
        <v>185</v>
      </c>
      <c r="X3278" s="21"/>
      <c r="Y3278" s="21" t="s">
        <v>41</v>
      </c>
      <c r="Z3278" s="21"/>
      <c r="AA3278" s="21" t="str">
        <f>HYPERLINK("https://miland.ru/api/getInfo/item/5828dc73-215a-11ee-a23d-00155d82e902")</f>
        <v>https://miland.ru/api/getInfo/item/5828dc73-215a-11ee-a23d-00155d82e902</v>
      </c>
      <c r="AB3278" s="21" t="s">
        <v>42</v>
      </c>
      <c r="AC3278" s="21"/>
      <c r="AD3278" s="21"/>
    </row>
    <row r="3279" spans="2:30" ht="12" customHeight="1" outlineLevel="3">
      <c r="B3279" s="70" t="s">
        <v>11407</v>
      </c>
      <c r="C3279" s="70"/>
      <c r="D3279" s="70"/>
      <c r="E3279" s="70"/>
      <c r="F3279" s="70"/>
      <c r="G3279" s="70"/>
    </row>
    <row r="3280" spans="2:30" s="1" customFormat="1" ht="96.3" customHeight="1" outlineLevel="4">
      <c r="B3280" s="57">
        <v>2553</v>
      </c>
      <c r="C3280" s="21" t="s">
        <v>11408</v>
      </c>
      <c r="D3280" s="72" t="s">
        <v>11409</v>
      </c>
      <c r="E3280" s="72"/>
      <c r="F3280" s="72"/>
      <c r="G3280" s="72"/>
      <c r="H3280" s="22" t="s">
        <v>11410</v>
      </c>
      <c r="I3280" s="27">
        <v>30</v>
      </c>
      <c r="J3280" s="22"/>
      <c r="K3280" s="20">
        <v>3</v>
      </c>
      <c r="L3280" s="24">
        <v>241.22</v>
      </c>
      <c r="M3280" s="11"/>
      <c r="N3280" s="22">
        <f>L3280*M3280</f>
        <v>0</v>
      </c>
      <c r="O3280" s="25">
        <f>0.454*M3280</f>
        <v>0</v>
      </c>
      <c r="P3280" s="26">
        <f>0.01347*M3280</f>
        <v>0</v>
      </c>
      <c r="Q3280" s="30"/>
      <c r="R3280" s="22" t="s">
        <v>11411</v>
      </c>
      <c r="S3280" s="22" t="s">
        <v>435</v>
      </c>
      <c r="T3280" s="21" t="str">
        <f>HYPERLINK("https://miland.ru/api/getInfo/image/46a6fdaf-10e8-11ee-a23b-00155d82e902")</f>
        <v>https://miland.ru/api/getInfo/image/46a6fdaf-10e8-11ee-a23b-00155d82e902</v>
      </c>
      <c r="U3280" s="21"/>
      <c r="V3280" s="21"/>
      <c r="W3280" s="21" t="s">
        <v>11412</v>
      </c>
      <c r="X3280" s="21"/>
      <c r="Y3280" s="21" t="s">
        <v>41</v>
      </c>
      <c r="Z3280" s="21"/>
      <c r="AA3280" s="21" t="str">
        <f>HYPERLINK("https://miland.ru/api/getInfo/item/46a6fdaf-10e8-11ee-a23b-00155d82e902")</f>
        <v>https://miland.ru/api/getInfo/item/46a6fdaf-10e8-11ee-a23b-00155d82e902</v>
      </c>
      <c r="AB3280" s="21" t="s">
        <v>42</v>
      </c>
      <c r="AC3280" s="21"/>
      <c r="AD3280" s="21"/>
    </row>
    <row r="3281" spans="2:30" s="1" customFormat="1" ht="96.3" customHeight="1" outlineLevel="4">
      <c r="B3281" s="57">
        <v>2554</v>
      </c>
      <c r="C3281" s="21" t="s">
        <v>11413</v>
      </c>
      <c r="D3281" s="72" t="s">
        <v>11414</v>
      </c>
      <c r="E3281" s="72"/>
      <c r="F3281" s="72"/>
      <c r="G3281" s="72"/>
      <c r="H3281" s="22" t="s">
        <v>11415</v>
      </c>
      <c r="I3281" s="27">
        <v>5</v>
      </c>
      <c r="J3281" s="22"/>
      <c r="K3281" s="20">
        <v>3</v>
      </c>
      <c r="L3281" s="24">
        <v>247.97</v>
      </c>
      <c r="M3281" s="11"/>
      <c r="N3281" s="22">
        <f>L3281*M3281</f>
        <v>0</v>
      </c>
      <c r="O3281" s="25">
        <f>0.673*M3281</f>
        <v>0</v>
      </c>
      <c r="P3281" s="29">
        <f>0.0238*M3281</f>
        <v>0</v>
      </c>
      <c r="Q3281" s="30"/>
      <c r="R3281" s="22" t="s">
        <v>11416</v>
      </c>
      <c r="S3281" s="22" t="s">
        <v>435</v>
      </c>
      <c r="T3281" s="21" t="str">
        <f>HYPERLINK("https://miland.ru/api/getInfo/image/fb963e58-10e7-11ee-a23b-00155d82e902")</f>
        <v>https://miland.ru/api/getInfo/image/fb963e58-10e7-11ee-a23b-00155d82e902</v>
      </c>
      <c r="U3281" s="21"/>
      <c r="V3281" s="21"/>
      <c r="W3281" s="21" t="s">
        <v>11412</v>
      </c>
      <c r="X3281" s="21"/>
      <c r="Y3281" s="21" t="s">
        <v>41</v>
      </c>
      <c r="Z3281" s="21"/>
      <c r="AA3281" s="21" t="str">
        <f>HYPERLINK("https://miland.ru/api/getInfo/item/fb963e58-10e7-11ee-a23b-00155d82e902")</f>
        <v>https://miland.ru/api/getInfo/item/fb963e58-10e7-11ee-a23b-00155d82e902</v>
      </c>
      <c r="AB3281" s="21" t="s">
        <v>42</v>
      </c>
      <c r="AC3281" s="21"/>
      <c r="AD3281" s="21"/>
    </row>
    <row r="3282" spans="2:30" s="1" customFormat="1" ht="96.3" customHeight="1" outlineLevel="4">
      <c r="B3282" s="57">
        <v>2555</v>
      </c>
      <c r="C3282" s="21" t="s">
        <v>11417</v>
      </c>
      <c r="D3282" s="72" t="s">
        <v>11418</v>
      </c>
      <c r="E3282" s="72"/>
      <c r="F3282" s="72"/>
      <c r="G3282" s="72"/>
      <c r="H3282" s="22" t="s">
        <v>11419</v>
      </c>
      <c r="I3282" s="23" t="s">
        <v>36</v>
      </c>
      <c r="J3282" s="22"/>
      <c r="K3282" s="20">
        <v>1</v>
      </c>
      <c r="L3282" s="24">
        <v>644.16999999999996</v>
      </c>
      <c r="M3282" s="11"/>
      <c r="N3282" s="22">
        <f>L3282*M3282</f>
        <v>0</v>
      </c>
      <c r="O3282" s="25">
        <f>0.167*M3282</f>
        <v>0</v>
      </c>
      <c r="P3282" s="26">
        <f>0.00322*M3282</f>
        <v>0</v>
      </c>
      <c r="Q3282" s="30"/>
      <c r="R3282" s="22" t="s">
        <v>11420</v>
      </c>
      <c r="S3282" s="22" t="s">
        <v>435</v>
      </c>
      <c r="T3282" s="21" t="str">
        <f>HYPERLINK("https://miland.ru/api/getInfo/image/2c138f62-10e9-11ee-a23b-00155d82e902")</f>
        <v>https://miland.ru/api/getInfo/image/2c138f62-10e9-11ee-a23b-00155d82e902</v>
      </c>
      <c r="U3282" s="21"/>
      <c r="V3282" s="21"/>
      <c r="W3282" s="21" t="s">
        <v>11421</v>
      </c>
      <c r="X3282" s="21"/>
      <c r="Y3282" s="21" t="s">
        <v>41</v>
      </c>
      <c r="Z3282" s="21"/>
      <c r="AA3282" s="21" t="str">
        <f>HYPERLINK("https://miland.ru/api/getInfo/item/2c138f62-10e9-11ee-a23b-00155d82e902")</f>
        <v>https://miland.ru/api/getInfo/item/2c138f62-10e9-11ee-a23b-00155d82e902</v>
      </c>
      <c r="AB3282" s="21" t="s">
        <v>42</v>
      </c>
      <c r="AC3282" s="21"/>
      <c r="AD3282" s="21" t="s">
        <v>11420</v>
      </c>
    </row>
    <row r="3283" spans="2:30" ht="12" customHeight="1" outlineLevel="3">
      <c r="B3283" s="70" t="s">
        <v>11422</v>
      </c>
      <c r="C3283" s="70"/>
      <c r="D3283" s="70"/>
      <c r="E3283" s="70"/>
      <c r="F3283" s="70"/>
      <c r="G3283" s="70"/>
    </row>
    <row r="3284" spans="2:30" s="1" customFormat="1" ht="96.3" customHeight="1" outlineLevel="4">
      <c r="B3284" s="57">
        <v>2556</v>
      </c>
      <c r="C3284" s="21" t="s">
        <v>11423</v>
      </c>
      <c r="D3284" s="72" t="s">
        <v>11424</v>
      </c>
      <c r="E3284" s="72"/>
      <c r="F3284" s="72"/>
      <c r="G3284" s="72"/>
      <c r="H3284" s="22" t="s">
        <v>11425</v>
      </c>
      <c r="I3284" s="27">
        <v>5</v>
      </c>
      <c r="J3284" s="22"/>
      <c r="K3284" s="20">
        <v>1</v>
      </c>
      <c r="L3284" s="32">
        <v>1383.52</v>
      </c>
      <c r="M3284" s="11"/>
      <c r="N3284" s="22">
        <f>L3284*M3284</f>
        <v>0</v>
      </c>
      <c r="O3284" s="25">
        <f>0.713*M3284</f>
        <v>0</v>
      </c>
      <c r="P3284" s="26">
        <f>0.00815*M3284</f>
        <v>0</v>
      </c>
      <c r="Q3284" s="30"/>
      <c r="R3284" s="22" t="s">
        <v>11426</v>
      </c>
      <c r="S3284" s="22" t="s">
        <v>435</v>
      </c>
      <c r="T3284" s="21" t="str">
        <f>HYPERLINK("https://miland.ru/api/getInfo/image/02e2753a-f713-11ee-a25d-00155d82e908")</f>
        <v>https://miland.ru/api/getInfo/image/02e2753a-f713-11ee-a25d-00155d82e908</v>
      </c>
      <c r="U3284" s="21"/>
      <c r="V3284" s="21"/>
      <c r="W3284" s="21" t="s">
        <v>70</v>
      </c>
      <c r="X3284" s="21"/>
      <c r="Y3284" s="21" t="s">
        <v>41</v>
      </c>
      <c r="Z3284" s="21"/>
      <c r="AA3284" s="21" t="str">
        <f>HYPERLINK("https://miland.ru/api/getInfo/item/02e2753a-f713-11ee-a25d-00155d82e908")</f>
        <v>https://miland.ru/api/getInfo/item/02e2753a-f713-11ee-a25d-00155d82e908</v>
      </c>
      <c r="AB3284" s="21" t="s">
        <v>42</v>
      </c>
      <c r="AC3284" s="21" t="s">
        <v>11427</v>
      </c>
      <c r="AD3284" s="21"/>
    </row>
    <row r="3285" spans="2:30" s="1" customFormat="1" ht="96.3" customHeight="1" outlineLevel="4">
      <c r="B3285" s="57">
        <v>2557</v>
      </c>
      <c r="C3285" s="21" t="s">
        <v>11428</v>
      </c>
      <c r="D3285" s="72" t="s">
        <v>11429</v>
      </c>
      <c r="E3285" s="72"/>
      <c r="F3285" s="72"/>
      <c r="G3285" s="72"/>
      <c r="H3285" s="22" t="s">
        <v>11430</v>
      </c>
      <c r="I3285" s="27">
        <v>8</v>
      </c>
      <c r="J3285" s="22"/>
      <c r="K3285" s="20">
        <v>1</v>
      </c>
      <c r="L3285" s="32">
        <v>1366.36</v>
      </c>
      <c r="M3285" s="11"/>
      <c r="N3285" s="22">
        <f>L3285*M3285</f>
        <v>0</v>
      </c>
      <c r="O3285" s="25">
        <f>1.109*M3285</f>
        <v>0</v>
      </c>
      <c r="P3285" s="26">
        <f>0.00846*M3285</f>
        <v>0</v>
      </c>
      <c r="Q3285" s="30"/>
      <c r="R3285" s="22" t="s">
        <v>11431</v>
      </c>
      <c r="S3285" s="22" t="s">
        <v>435</v>
      </c>
      <c r="T3285" s="21" t="str">
        <f>HYPERLINK("https://miland.ru/api/getInfo/image/80a4413e-de8c-11ed-a233-00155d82e902")</f>
        <v>https://miland.ru/api/getInfo/image/80a4413e-de8c-11ed-a233-00155d82e902</v>
      </c>
      <c r="U3285" s="21"/>
      <c r="V3285" s="21"/>
      <c r="W3285" s="21" t="s">
        <v>70</v>
      </c>
      <c r="X3285" s="21"/>
      <c r="Y3285" s="21" t="s">
        <v>41</v>
      </c>
      <c r="Z3285" s="21"/>
      <c r="AA3285" s="21" t="str">
        <f>HYPERLINK("https://miland.ru/api/getInfo/item/80a4413e-de8c-11ed-a233-00155d82e902")</f>
        <v>https://miland.ru/api/getInfo/item/80a4413e-de8c-11ed-a233-00155d82e902</v>
      </c>
      <c r="AB3285" s="21" t="s">
        <v>42</v>
      </c>
      <c r="AC3285" s="21"/>
      <c r="AD3285" s="21"/>
    </row>
    <row r="3286" spans="2:30" s="1" customFormat="1" ht="96.3" customHeight="1" outlineLevel="4">
      <c r="B3286" s="57">
        <v>2558</v>
      </c>
      <c r="C3286" s="21" t="s">
        <v>11432</v>
      </c>
      <c r="D3286" s="72" t="s">
        <v>11433</v>
      </c>
      <c r="E3286" s="72"/>
      <c r="F3286" s="72"/>
      <c r="G3286" s="72"/>
      <c r="H3286" s="22" t="s">
        <v>11434</v>
      </c>
      <c r="I3286" s="27">
        <v>5</v>
      </c>
      <c r="J3286" s="22"/>
      <c r="K3286" s="20">
        <v>1</v>
      </c>
      <c r="L3286" s="32">
        <v>1383.52</v>
      </c>
      <c r="M3286" s="11"/>
      <c r="N3286" s="22">
        <f>L3286*M3286</f>
        <v>0</v>
      </c>
      <c r="O3286" s="25">
        <f>0.535*M3286</f>
        <v>0</v>
      </c>
      <c r="P3286" s="26">
        <f>0.00664*M3286</f>
        <v>0</v>
      </c>
      <c r="Q3286" s="30"/>
      <c r="R3286" s="22" t="s">
        <v>11435</v>
      </c>
      <c r="S3286" s="22" t="s">
        <v>435</v>
      </c>
      <c r="T3286" s="21" t="str">
        <f>HYPERLINK("https://miland.ru/api/getInfo/image/dc623b92-f712-11ee-a25d-00155d82e908")</f>
        <v>https://miland.ru/api/getInfo/image/dc623b92-f712-11ee-a25d-00155d82e908</v>
      </c>
      <c r="U3286" s="21"/>
      <c r="V3286" s="21"/>
      <c r="W3286" s="21" t="s">
        <v>70</v>
      </c>
      <c r="X3286" s="21"/>
      <c r="Y3286" s="21" t="s">
        <v>41</v>
      </c>
      <c r="Z3286" s="21"/>
      <c r="AA3286" s="21" t="str">
        <f>HYPERLINK("https://miland.ru/api/getInfo/item/dc623b92-f712-11ee-a25d-00155d82e908")</f>
        <v>https://miland.ru/api/getInfo/item/dc623b92-f712-11ee-a25d-00155d82e908</v>
      </c>
      <c r="AB3286" s="21" t="s">
        <v>42</v>
      </c>
      <c r="AC3286" s="21" t="s">
        <v>11436</v>
      </c>
      <c r="AD3286" s="21"/>
    </row>
    <row r="3287" spans="2:30" ht="12" customHeight="1" outlineLevel="3">
      <c r="B3287" s="70" t="s">
        <v>11437</v>
      </c>
      <c r="C3287" s="70"/>
      <c r="D3287" s="70"/>
      <c r="E3287" s="70"/>
      <c r="F3287" s="70"/>
      <c r="G3287" s="70"/>
    </row>
    <row r="3288" spans="2:30" s="1" customFormat="1" ht="96.3" customHeight="1" outlineLevel="4">
      <c r="B3288" s="57">
        <v>2559</v>
      </c>
      <c r="C3288" s="21" t="s">
        <v>11438</v>
      </c>
      <c r="D3288" s="72" t="s">
        <v>11439</v>
      </c>
      <c r="E3288" s="72"/>
      <c r="F3288" s="72"/>
      <c r="G3288" s="72"/>
      <c r="H3288" s="22" t="s">
        <v>11440</v>
      </c>
      <c r="I3288" s="27">
        <v>5</v>
      </c>
      <c r="J3288" s="22"/>
      <c r="K3288" s="20">
        <v>1</v>
      </c>
      <c r="L3288" s="24">
        <v>497.21</v>
      </c>
      <c r="M3288" s="11"/>
      <c r="N3288" s="22">
        <f>L3288*M3288</f>
        <v>0</v>
      </c>
      <c r="O3288" s="33">
        <f>0.5*M3288</f>
        <v>0</v>
      </c>
      <c r="P3288" s="26">
        <f>0.00191*M3288</f>
        <v>0</v>
      </c>
      <c r="Q3288" s="30"/>
      <c r="R3288" s="22" t="s">
        <v>11441</v>
      </c>
      <c r="S3288" s="22" t="s">
        <v>435</v>
      </c>
      <c r="T3288" s="21" t="str">
        <f>HYPERLINK("https://miland.ru/api/getInfo/image/95939c0f-f59d-11ee-a25b-00155d82e908")</f>
        <v>https://miland.ru/api/getInfo/image/95939c0f-f59d-11ee-a25b-00155d82e908</v>
      </c>
      <c r="U3288" s="21"/>
      <c r="V3288" s="21"/>
      <c r="W3288" s="21" t="s">
        <v>70</v>
      </c>
      <c r="X3288" s="21"/>
      <c r="Y3288" s="21" t="s">
        <v>41</v>
      </c>
      <c r="Z3288" s="21"/>
      <c r="AA3288" s="21" t="str">
        <f>HYPERLINK("https://miland.ru/api/getInfo/item/95939c0f-f59d-11ee-a25b-00155d82e908")</f>
        <v>https://miland.ru/api/getInfo/item/95939c0f-f59d-11ee-a25b-00155d82e908</v>
      </c>
      <c r="AB3288" s="21" t="s">
        <v>42</v>
      </c>
      <c r="AC3288" s="21" t="s">
        <v>11442</v>
      </c>
      <c r="AD3288" s="21"/>
    </row>
    <row r="3289" spans="2:30" s="1" customFormat="1" ht="96.3" customHeight="1" outlineLevel="4">
      <c r="B3289" s="57">
        <v>2560</v>
      </c>
      <c r="C3289" s="21" t="s">
        <v>11443</v>
      </c>
      <c r="D3289" s="72" t="s">
        <v>11444</v>
      </c>
      <c r="E3289" s="72"/>
      <c r="F3289" s="72"/>
      <c r="G3289" s="72"/>
      <c r="H3289" s="22" t="s">
        <v>11445</v>
      </c>
      <c r="I3289" s="27">
        <v>11</v>
      </c>
      <c r="J3289" s="22"/>
      <c r="K3289" s="20">
        <v>1</v>
      </c>
      <c r="L3289" s="24">
        <v>497.21</v>
      </c>
      <c r="M3289" s="11"/>
      <c r="N3289" s="22">
        <f>L3289*M3289</f>
        <v>0</v>
      </c>
      <c r="O3289" s="28">
        <f>0.48*M3289</f>
        <v>0</v>
      </c>
      <c r="P3289" s="26">
        <f>0.00132*M3289</f>
        <v>0</v>
      </c>
      <c r="Q3289" s="30"/>
      <c r="R3289" s="22" t="s">
        <v>11446</v>
      </c>
      <c r="S3289" s="22" t="s">
        <v>435</v>
      </c>
      <c r="T3289" s="21" t="str">
        <f>HYPERLINK("https://miland.ru/api/getInfo/image/da79edfa-f59d-11ee-a25b-00155d82e908")</f>
        <v>https://miland.ru/api/getInfo/image/da79edfa-f59d-11ee-a25b-00155d82e908</v>
      </c>
      <c r="U3289" s="21"/>
      <c r="V3289" s="21"/>
      <c r="W3289" s="21" t="s">
        <v>70</v>
      </c>
      <c r="X3289" s="21"/>
      <c r="Y3289" s="21" t="s">
        <v>41</v>
      </c>
      <c r="Z3289" s="21"/>
      <c r="AA3289" s="21" t="str">
        <f>HYPERLINK("https://miland.ru/api/getInfo/item/da79edfa-f59d-11ee-a25b-00155d82e908")</f>
        <v>https://miland.ru/api/getInfo/item/da79edfa-f59d-11ee-a25b-00155d82e908</v>
      </c>
      <c r="AB3289" s="21" t="s">
        <v>42</v>
      </c>
      <c r="AC3289" s="21" t="s">
        <v>11442</v>
      </c>
      <c r="AD3289" s="21"/>
    </row>
    <row r="3290" spans="2:30" ht="12" customHeight="1" outlineLevel="3">
      <c r="B3290" s="70" t="s">
        <v>11447</v>
      </c>
      <c r="C3290" s="70"/>
      <c r="D3290" s="70"/>
      <c r="E3290" s="70"/>
      <c r="F3290" s="70"/>
      <c r="G3290" s="70"/>
    </row>
    <row r="3291" spans="2:30" s="1" customFormat="1" ht="96.3" customHeight="1" outlineLevel="4">
      <c r="B3291" s="57">
        <v>2561</v>
      </c>
      <c r="C3291" s="21" t="s">
        <v>11448</v>
      </c>
      <c r="D3291" s="72" t="s">
        <v>11449</v>
      </c>
      <c r="E3291" s="72"/>
      <c r="F3291" s="72"/>
      <c r="G3291" s="72"/>
      <c r="H3291" s="22" t="s">
        <v>11450</v>
      </c>
      <c r="I3291" s="27">
        <v>204</v>
      </c>
      <c r="J3291" s="22"/>
      <c r="K3291" s="20">
        <v>1</v>
      </c>
      <c r="L3291" s="24">
        <v>720.83</v>
      </c>
      <c r="M3291" s="11"/>
      <c r="N3291" s="22">
        <f t="shared" ref="N3291:N3300" si="159">L3291*M3291</f>
        <v>0</v>
      </c>
      <c r="O3291" s="25">
        <f>0.476*M3291</f>
        <v>0</v>
      </c>
      <c r="P3291" s="26">
        <f>0.00245*M3291</f>
        <v>0</v>
      </c>
      <c r="Q3291" s="30"/>
      <c r="R3291" s="22" t="s">
        <v>11451</v>
      </c>
      <c r="S3291" s="22" t="s">
        <v>435</v>
      </c>
      <c r="T3291" s="21" t="str">
        <f>HYPERLINK("https://miland.ru/api/getInfo/image/3d4ae2c4-2d5e-11ef-a261-00155d82e908")</f>
        <v>https://miland.ru/api/getInfo/image/3d4ae2c4-2d5e-11ef-a261-00155d82e908</v>
      </c>
      <c r="U3291" s="21"/>
      <c r="V3291" s="21"/>
      <c r="W3291" s="21" t="s">
        <v>5729</v>
      </c>
      <c r="X3291" s="21" t="s">
        <v>172</v>
      </c>
      <c r="Y3291" s="21" t="s">
        <v>173</v>
      </c>
      <c r="Z3291" s="21" t="s">
        <v>11452</v>
      </c>
      <c r="AA3291" s="21" t="str">
        <f>HYPERLINK("https://miland.ru/api/getInfo/item/3d4ae2c4-2d5e-11ef-a261-00155d82e908")</f>
        <v>https://miland.ru/api/getInfo/item/3d4ae2c4-2d5e-11ef-a261-00155d82e908</v>
      </c>
      <c r="AB3291" s="21" t="s">
        <v>42</v>
      </c>
      <c r="AC3291" s="21"/>
      <c r="AD3291" s="21"/>
    </row>
    <row r="3292" spans="2:30" s="1" customFormat="1" ht="96.3" customHeight="1" outlineLevel="4">
      <c r="B3292" s="57">
        <v>2562</v>
      </c>
      <c r="C3292" s="21" t="s">
        <v>11453</v>
      </c>
      <c r="D3292" s="72" t="s">
        <v>11454</v>
      </c>
      <c r="E3292" s="72"/>
      <c r="F3292" s="72"/>
      <c r="G3292" s="72"/>
      <c r="H3292" s="22" t="s">
        <v>11455</v>
      </c>
      <c r="I3292" s="27">
        <v>160</v>
      </c>
      <c r="J3292" s="22"/>
      <c r="K3292" s="20">
        <v>1</v>
      </c>
      <c r="L3292" s="24">
        <v>720.83</v>
      </c>
      <c r="M3292" s="11"/>
      <c r="N3292" s="22">
        <f t="shared" si="159"/>
        <v>0</v>
      </c>
      <c r="O3292" s="25">
        <f>0.477*M3292</f>
        <v>0</v>
      </c>
      <c r="P3292" s="26">
        <f>0.00231*M3292</f>
        <v>0</v>
      </c>
      <c r="Q3292" s="30"/>
      <c r="R3292" s="22" t="s">
        <v>11456</v>
      </c>
      <c r="S3292" s="22" t="s">
        <v>435</v>
      </c>
      <c r="T3292" s="21" t="str">
        <f>HYPERLINK("https://miland.ru/api/getInfo/image/2bdba203-2d5e-11ef-a261-00155d82e908")</f>
        <v>https://miland.ru/api/getInfo/image/2bdba203-2d5e-11ef-a261-00155d82e908</v>
      </c>
      <c r="U3292" s="21"/>
      <c r="V3292" s="21"/>
      <c r="W3292" s="21" t="s">
        <v>5729</v>
      </c>
      <c r="X3292" s="21" t="s">
        <v>172</v>
      </c>
      <c r="Y3292" s="21" t="s">
        <v>173</v>
      </c>
      <c r="Z3292" s="21" t="s">
        <v>11457</v>
      </c>
      <c r="AA3292" s="21" t="str">
        <f>HYPERLINK("https://miland.ru/api/getInfo/item/2bdba203-2d5e-11ef-a261-00155d82e908")</f>
        <v>https://miland.ru/api/getInfo/item/2bdba203-2d5e-11ef-a261-00155d82e908</v>
      </c>
      <c r="AB3292" s="21" t="s">
        <v>42</v>
      </c>
      <c r="AC3292" s="21"/>
      <c r="AD3292" s="21"/>
    </row>
    <row r="3293" spans="2:30" s="1" customFormat="1" ht="96.3" customHeight="1" outlineLevel="4">
      <c r="B3293" s="57">
        <v>2563</v>
      </c>
      <c r="C3293" s="21" t="s">
        <v>11458</v>
      </c>
      <c r="D3293" s="72" t="s">
        <v>11459</v>
      </c>
      <c r="E3293" s="72"/>
      <c r="F3293" s="72"/>
      <c r="G3293" s="72"/>
      <c r="H3293" s="22" t="s">
        <v>11460</v>
      </c>
      <c r="I3293" s="27">
        <v>34</v>
      </c>
      <c r="J3293" s="22"/>
      <c r="K3293" s="20">
        <v>1</v>
      </c>
      <c r="L3293" s="24">
        <v>720.83</v>
      </c>
      <c r="M3293" s="11"/>
      <c r="N3293" s="22">
        <f t="shared" si="159"/>
        <v>0</v>
      </c>
      <c r="O3293" s="25">
        <f>0.475*M3293</f>
        <v>0</v>
      </c>
      <c r="P3293" s="26">
        <f>0.00239*M3293</f>
        <v>0</v>
      </c>
      <c r="Q3293" s="30"/>
      <c r="R3293" s="22" t="s">
        <v>11461</v>
      </c>
      <c r="S3293" s="22" t="s">
        <v>435</v>
      </c>
      <c r="T3293" s="21" t="str">
        <f>HYPERLINK("https://miland.ru/api/getInfo/image/04da88d3-2d5e-11ef-a261-00155d82e908")</f>
        <v>https://miland.ru/api/getInfo/image/04da88d3-2d5e-11ef-a261-00155d82e908</v>
      </c>
      <c r="U3293" s="21"/>
      <c r="V3293" s="21"/>
      <c r="W3293" s="21" t="s">
        <v>5729</v>
      </c>
      <c r="X3293" s="21" t="s">
        <v>172</v>
      </c>
      <c r="Y3293" s="21" t="s">
        <v>173</v>
      </c>
      <c r="Z3293" s="21" t="s">
        <v>11462</v>
      </c>
      <c r="AA3293" s="21" t="str">
        <f>HYPERLINK("https://miland.ru/api/getInfo/item/04da88d3-2d5e-11ef-a261-00155d82e908")</f>
        <v>https://miland.ru/api/getInfo/item/04da88d3-2d5e-11ef-a261-00155d82e908</v>
      </c>
      <c r="AB3293" s="21" t="s">
        <v>42</v>
      </c>
      <c r="AC3293" s="21"/>
      <c r="AD3293" s="21"/>
    </row>
    <row r="3294" spans="2:30" s="1" customFormat="1" ht="96.3" customHeight="1" outlineLevel="4">
      <c r="B3294" s="57">
        <v>2564</v>
      </c>
      <c r="C3294" s="21" t="s">
        <v>11463</v>
      </c>
      <c r="D3294" s="72" t="s">
        <v>11464</v>
      </c>
      <c r="E3294" s="72"/>
      <c r="F3294" s="72"/>
      <c r="G3294" s="72"/>
      <c r="H3294" s="22" t="s">
        <v>11465</v>
      </c>
      <c r="I3294" s="27">
        <v>60</v>
      </c>
      <c r="J3294" s="22"/>
      <c r="K3294" s="20">
        <v>1</v>
      </c>
      <c r="L3294" s="24">
        <v>720.83</v>
      </c>
      <c r="M3294" s="11"/>
      <c r="N3294" s="22">
        <f t="shared" si="159"/>
        <v>0</v>
      </c>
      <c r="O3294" s="25">
        <f>0.481*M3294</f>
        <v>0</v>
      </c>
      <c r="P3294" s="26">
        <f>0.00228*M3294</f>
        <v>0</v>
      </c>
      <c r="Q3294" s="30"/>
      <c r="R3294" s="22" t="s">
        <v>11466</v>
      </c>
      <c r="S3294" s="22" t="s">
        <v>435</v>
      </c>
      <c r="T3294" s="21" t="str">
        <f>HYPERLINK("https://miland.ru/api/getInfo/image/56560b41-2d5e-11ef-a261-00155d82e908")</f>
        <v>https://miland.ru/api/getInfo/image/56560b41-2d5e-11ef-a261-00155d82e908</v>
      </c>
      <c r="U3294" s="21"/>
      <c r="V3294" s="21"/>
      <c r="W3294" s="21" t="s">
        <v>5729</v>
      </c>
      <c r="X3294" s="21" t="s">
        <v>172</v>
      </c>
      <c r="Y3294" s="21" t="s">
        <v>173</v>
      </c>
      <c r="Z3294" s="21" t="s">
        <v>11467</v>
      </c>
      <c r="AA3294" s="21" t="str">
        <f>HYPERLINK("https://miland.ru/api/getInfo/item/56560b41-2d5e-11ef-a261-00155d82e908")</f>
        <v>https://miland.ru/api/getInfo/item/56560b41-2d5e-11ef-a261-00155d82e908</v>
      </c>
      <c r="AB3294" s="21" t="s">
        <v>42</v>
      </c>
      <c r="AC3294" s="21"/>
      <c r="AD3294" s="21"/>
    </row>
    <row r="3295" spans="2:30" s="1" customFormat="1" ht="96.3" customHeight="1" outlineLevel="4">
      <c r="B3295" s="57">
        <v>2565</v>
      </c>
      <c r="C3295" s="21" t="s">
        <v>11468</v>
      </c>
      <c r="D3295" s="72" t="s">
        <v>11469</v>
      </c>
      <c r="E3295" s="72"/>
      <c r="F3295" s="72"/>
      <c r="G3295" s="72"/>
      <c r="H3295" s="22" t="s">
        <v>11470</v>
      </c>
      <c r="I3295" s="27">
        <v>291</v>
      </c>
      <c r="J3295" s="22"/>
      <c r="K3295" s="20">
        <v>1</v>
      </c>
      <c r="L3295" s="24">
        <v>720.83</v>
      </c>
      <c r="M3295" s="11"/>
      <c r="N3295" s="22">
        <f t="shared" si="159"/>
        <v>0</v>
      </c>
      <c r="O3295" s="25">
        <f>0.475*M3295</f>
        <v>0</v>
      </c>
      <c r="P3295" s="26">
        <f>0.00588*M3295</f>
        <v>0</v>
      </c>
      <c r="Q3295" s="30"/>
      <c r="R3295" s="22" t="s">
        <v>11471</v>
      </c>
      <c r="S3295" s="22" t="s">
        <v>435</v>
      </c>
      <c r="T3295" s="21" t="str">
        <f>HYPERLINK("https://miland.ru/api/getInfo/image/f8788951-1c2a-11f0-a279-00155d82e908")</f>
        <v>https://miland.ru/api/getInfo/image/f8788951-1c2a-11f0-a279-00155d82e908</v>
      </c>
      <c r="U3295" s="21"/>
      <c r="V3295" s="21"/>
      <c r="W3295" s="21" t="s">
        <v>5729</v>
      </c>
      <c r="X3295" s="21" t="s">
        <v>172</v>
      </c>
      <c r="Y3295" s="21" t="s">
        <v>173</v>
      </c>
      <c r="Z3295" s="21" t="s">
        <v>11472</v>
      </c>
      <c r="AA3295" s="21" t="str">
        <f>HYPERLINK("https://miland.ru/api/getInfo/item/f8788951-1c2a-11f0-a279-00155d82e908")</f>
        <v>https://miland.ru/api/getInfo/item/f8788951-1c2a-11f0-a279-00155d82e908</v>
      </c>
      <c r="AB3295" s="21" t="s">
        <v>42</v>
      </c>
      <c r="AC3295" s="21"/>
      <c r="AD3295" s="21"/>
    </row>
    <row r="3296" spans="2:30" s="1" customFormat="1" ht="96.3" customHeight="1" outlineLevel="4">
      <c r="B3296" s="57">
        <v>2566</v>
      </c>
      <c r="C3296" s="21" t="s">
        <v>11473</v>
      </c>
      <c r="D3296" s="72" t="s">
        <v>11474</v>
      </c>
      <c r="E3296" s="72"/>
      <c r="F3296" s="72"/>
      <c r="G3296" s="72"/>
      <c r="H3296" s="22" t="s">
        <v>11475</v>
      </c>
      <c r="I3296" s="27">
        <v>278</v>
      </c>
      <c r="J3296" s="22"/>
      <c r="K3296" s="20">
        <v>1</v>
      </c>
      <c r="L3296" s="24">
        <v>720.83</v>
      </c>
      <c r="M3296" s="11"/>
      <c r="N3296" s="22">
        <f t="shared" si="159"/>
        <v>0</v>
      </c>
      <c r="O3296" s="25">
        <f>0.476*M3296</f>
        <v>0</v>
      </c>
      <c r="P3296" s="26">
        <f>0.00228*M3296</f>
        <v>0</v>
      </c>
      <c r="Q3296" s="30"/>
      <c r="R3296" s="22" t="s">
        <v>11476</v>
      </c>
      <c r="S3296" s="22" t="s">
        <v>435</v>
      </c>
      <c r="T3296" s="21" t="str">
        <f>HYPERLINK("https://miland.ru/api/getInfo/image/a7bf6cc6-1c2b-11f0-a279-00155d82e908")</f>
        <v>https://miland.ru/api/getInfo/image/a7bf6cc6-1c2b-11f0-a279-00155d82e908</v>
      </c>
      <c r="U3296" s="21"/>
      <c r="V3296" s="21"/>
      <c r="W3296" s="21" t="s">
        <v>5729</v>
      </c>
      <c r="X3296" s="21" t="s">
        <v>172</v>
      </c>
      <c r="Y3296" s="21" t="s">
        <v>173</v>
      </c>
      <c r="Z3296" s="21" t="s">
        <v>11477</v>
      </c>
      <c r="AA3296" s="21" t="str">
        <f>HYPERLINK("https://miland.ru/api/getInfo/item/a7bf6cc6-1c2b-11f0-a279-00155d82e908")</f>
        <v>https://miland.ru/api/getInfo/item/a7bf6cc6-1c2b-11f0-a279-00155d82e908</v>
      </c>
      <c r="AB3296" s="21" t="s">
        <v>42</v>
      </c>
      <c r="AC3296" s="21"/>
      <c r="AD3296" s="21"/>
    </row>
    <row r="3297" spans="2:30" s="1" customFormat="1" ht="96.3" customHeight="1" outlineLevel="4">
      <c r="B3297" s="57">
        <v>2567</v>
      </c>
      <c r="C3297" s="21" t="s">
        <v>11478</v>
      </c>
      <c r="D3297" s="72" t="s">
        <v>11479</v>
      </c>
      <c r="E3297" s="72"/>
      <c r="F3297" s="72"/>
      <c r="G3297" s="72"/>
      <c r="H3297" s="22" t="s">
        <v>11480</v>
      </c>
      <c r="I3297" s="27">
        <v>7</v>
      </c>
      <c r="J3297" s="22"/>
      <c r="K3297" s="20">
        <v>1</v>
      </c>
      <c r="L3297" s="24">
        <v>720.83</v>
      </c>
      <c r="M3297" s="11"/>
      <c r="N3297" s="22">
        <f t="shared" si="159"/>
        <v>0</v>
      </c>
      <c r="O3297" s="25">
        <f>0.466*M3297</f>
        <v>0</v>
      </c>
      <c r="P3297" s="26">
        <f>0.00234*M3297</f>
        <v>0</v>
      </c>
      <c r="Q3297" s="30"/>
      <c r="R3297" s="22" t="s">
        <v>11481</v>
      </c>
      <c r="S3297" s="22" t="s">
        <v>435</v>
      </c>
      <c r="T3297" s="21" t="str">
        <f>HYPERLINK("https://miland.ru/api/getInfo/image/b404e629-1c29-11f0-a279-00155d82e908")</f>
        <v>https://miland.ru/api/getInfo/image/b404e629-1c29-11f0-a279-00155d82e908</v>
      </c>
      <c r="U3297" s="21"/>
      <c r="V3297" s="21"/>
      <c r="W3297" s="21" t="s">
        <v>5729</v>
      </c>
      <c r="X3297" s="21" t="s">
        <v>172</v>
      </c>
      <c r="Y3297" s="21" t="s">
        <v>173</v>
      </c>
      <c r="Z3297" s="21" t="s">
        <v>11482</v>
      </c>
      <c r="AA3297" s="21" t="str">
        <f>HYPERLINK("https://miland.ru/api/getInfo/item/b404e629-1c29-11f0-a279-00155d82e908")</f>
        <v>https://miland.ru/api/getInfo/item/b404e629-1c29-11f0-a279-00155d82e908</v>
      </c>
      <c r="AB3297" s="21" t="s">
        <v>42</v>
      </c>
      <c r="AC3297" s="21"/>
      <c r="AD3297" s="21"/>
    </row>
    <row r="3298" spans="2:30" s="1" customFormat="1" ht="96.3" customHeight="1" outlineLevel="4">
      <c r="B3298" s="57">
        <v>2568</v>
      </c>
      <c r="C3298" s="21" t="s">
        <v>11483</v>
      </c>
      <c r="D3298" s="72" t="s">
        <v>11484</v>
      </c>
      <c r="E3298" s="72"/>
      <c r="F3298" s="72"/>
      <c r="G3298" s="72"/>
      <c r="H3298" s="22" t="s">
        <v>11485</v>
      </c>
      <c r="I3298" s="27">
        <v>84</v>
      </c>
      <c r="J3298" s="22"/>
      <c r="K3298" s="20">
        <v>1</v>
      </c>
      <c r="L3298" s="24">
        <v>720.83</v>
      </c>
      <c r="M3298" s="11"/>
      <c r="N3298" s="22">
        <f t="shared" si="159"/>
        <v>0</v>
      </c>
      <c r="O3298" s="25">
        <f>0.481*M3298</f>
        <v>0</v>
      </c>
      <c r="P3298" s="26">
        <f>0.00227*M3298</f>
        <v>0</v>
      </c>
      <c r="Q3298" s="30"/>
      <c r="R3298" s="22" t="s">
        <v>11486</v>
      </c>
      <c r="S3298" s="22" t="s">
        <v>435</v>
      </c>
      <c r="T3298" s="21" t="str">
        <f>HYPERLINK("https://miland.ru/api/getInfo/image/1348938c-9eff-11ee-a257-00155d82e908")</f>
        <v>https://miland.ru/api/getInfo/image/1348938c-9eff-11ee-a257-00155d82e908</v>
      </c>
      <c r="U3298" s="21"/>
      <c r="V3298" s="21"/>
      <c r="W3298" s="21" t="s">
        <v>5729</v>
      </c>
      <c r="X3298" s="21" t="s">
        <v>172</v>
      </c>
      <c r="Y3298" s="21" t="s">
        <v>173</v>
      </c>
      <c r="Z3298" s="21" t="s">
        <v>11487</v>
      </c>
      <c r="AA3298" s="21" t="str">
        <f>HYPERLINK("https://miland.ru/api/getInfo/item/1348938c-9eff-11ee-a257-00155d82e908")</f>
        <v>https://miland.ru/api/getInfo/item/1348938c-9eff-11ee-a257-00155d82e908</v>
      </c>
      <c r="AB3298" s="21" t="s">
        <v>42</v>
      </c>
      <c r="AC3298" s="21" t="s">
        <v>5751</v>
      </c>
      <c r="AD3298" s="21"/>
    </row>
    <row r="3299" spans="2:30" s="1" customFormat="1" ht="96.3" customHeight="1" outlineLevel="4">
      <c r="B3299" s="57">
        <v>2569</v>
      </c>
      <c r="C3299" s="21" t="s">
        <v>11488</v>
      </c>
      <c r="D3299" s="72" t="s">
        <v>11489</v>
      </c>
      <c r="E3299" s="72"/>
      <c r="F3299" s="72"/>
      <c r="G3299" s="72"/>
      <c r="H3299" s="22" t="s">
        <v>11490</v>
      </c>
      <c r="I3299" s="27">
        <v>5</v>
      </c>
      <c r="J3299" s="22"/>
      <c r="K3299" s="20">
        <v>1</v>
      </c>
      <c r="L3299" s="24">
        <v>720.83</v>
      </c>
      <c r="M3299" s="11"/>
      <c r="N3299" s="22">
        <f t="shared" si="159"/>
        <v>0</v>
      </c>
      <c r="O3299" s="25">
        <f>0.474*M3299</f>
        <v>0</v>
      </c>
      <c r="P3299" s="26">
        <f>0.00235*M3299</f>
        <v>0</v>
      </c>
      <c r="Q3299" s="30"/>
      <c r="R3299" s="22" t="s">
        <v>11491</v>
      </c>
      <c r="S3299" s="22" t="s">
        <v>435</v>
      </c>
      <c r="T3299" s="21" t="str">
        <f>HYPERLINK("https://miland.ru/api/getInfo/image/ad43af40-9efe-11ee-a257-00155d82e908")</f>
        <v>https://miland.ru/api/getInfo/image/ad43af40-9efe-11ee-a257-00155d82e908</v>
      </c>
      <c r="U3299" s="21"/>
      <c r="V3299" s="21"/>
      <c r="W3299" s="21" t="s">
        <v>5729</v>
      </c>
      <c r="X3299" s="21" t="s">
        <v>172</v>
      </c>
      <c r="Y3299" s="21" t="s">
        <v>173</v>
      </c>
      <c r="Z3299" s="21" t="s">
        <v>11492</v>
      </c>
      <c r="AA3299" s="21" t="str">
        <f>HYPERLINK("https://miland.ru/api/getInfo/item/ad43af40-9efe-11ee-a257-00155d82e908")</f>
        <v>https://miland.ru/api/getInfo/item/ad43af40-9efe-11ee-a257-00155d82e908</v>
      </c>
      <c r="AB3299" s="21" t="s">
        <v>42</v>
      </c>
      <c r="AC3299" s="21" t="s">
        <v>5751</v>
      </c>
      <c r="AD3299" s="21"/>
    </row>
    <row r="3300" spans="2:30" s="1" customFormat="1" ht="96.3" customHeight="1" outlineLevel="4">
      <c r="B3300" s="57">
        <v>2570</v>
      </c>
      <c r="C3300" s="21" t="s">
        <v>11493</v>
      </c>
      <c r="D3300" s="72" t="s">
        <v>11494</v>
      </c>
      <c r="E3300" s="72"/>
      <c r="F3300" s="72"/>
      <c r="G3300" s="72"/>
      <c r="H3300" s="22" t="s">
        <v>11495</v>
      </c>
      <c r="I3300" s="27">
        <v>8</v>
      </c>
      <c r="J3300" s="22"/>
      <c r="K3300" s="20">
        <v>1</v>
      </c>
      <c r="L3300" s="24">
        <v>720.83</v>
      </c>
      <c r="M3300" s="11"/>
      <c r="N3300" s="22">
        <f t="shared" si="159"/>
        <v>0</v>
      </c>
      <c r="O3300" s="25">
        <f>0.485*M3300</f>
        <v>0</v>
      </c>
      <c r="P3300" s="29">
        <f>0.0023*M3300</f>
        <v>0</v>
      </c>
      <c r="Q3300" s="30"/>
      <c r="R3300" s="22" t="s">
        <v>11496</v>
      </c>
      <c r="S3300" s="22" t="s">
        <v>435</v>
      </c>
      <c r="T3300" s="21" t="str">
        <f>HYPERLINK("https://miland.ru/api/getInfo/image/1b586b05-2d5e-11ef-a261-00155d82e908")</f>
        <v>https://miland.ru/api/getInfo/image/1b586b05-2d5e-11ef-a261-00155d82e908</v>
      </c>
      <c r="U3300" s="21"/>
      <c r="V3300" s="21"/>
      <c r="W3300" s="21" t="s">
        <v>5729</v>
      </c>
      <c r="X3300" s="21" t="s">
        <v>172</v>
      </c>
      <c r="Y3300" s="21" t="s">
        <v>173</v>
      </c>
      <c r="Z3300" s="21" t="s">
        <v>11497</v>
      </c>
      <c r="AA3300" s="21" t="str">
        <f>HYPERLINK("https://miland.ru/api/getInfo/item/1b586b05-2d5e-11ef-a261-00155d82e908")</f>
        <v>https://miland.ru/api/getInfo/item/1b586b05-2d5e-11ef-a261-00155d82e908</v>
      </c>
      <c r="AB3300" s="21" t="s">
        <v>42</v>
      </c>
      <c r="AC3300" s="21"/>
      <c r="AD3300" s="21"/>
    </row>
    <row r="3301" spans="2:30" ht="12" customHeight="1" outlineLevel="3">
      <c r="B3301" s="70" t="s">
        <v>11498</v>
      </c>
      <c r="C3301" s="70"/>
      <c r="D3301" s="70"/>
      <c r="E3301" s="70"/>
      <c r="F3301" s="70"/>
      <c r="G3301" s="70"/>
    </row>
    <row r="3302" spans="2:30" ht="12" customHeight="1" outlineLevel="4">
      <c r="B3302" s="70" t="s">
        <v>11499</v>
      </c>
      <c r="C3302" s="70"/>
      <c r="D3302" s="70"/>
      <c r="E3302" s="70"/>
      <c r="F3302" s="70"/>
      <c r="G3302" s="70"/>
    </row>
    <row r="3303" spans="2:30" s="1" customFormat="1" ht="96.3" customHeight="1" outlineLevel="5">
      <c r="B3303" s="57">
        <v>2571</v>
      </c>
      <c r="C3303" s="21" t="s">
        <v>11500</v>
      </c>
      <c r="D3303" s="72" t="s">
        <v>11501</v>
      </c>
      <c r="E3303" s="72"/>
      <c r="F3303" s="72"/>
      <c r="G3303" s="72"/>
      <c r="H3303" s="22" t="s">
        <v>11502</v>
      </c>
      <c r="I3303" s="27">
        <v>104</v>
      </c>
      <c r="J3303" s="22"/>
      <c r="K3303" s="20">
        <v>1</v>
      </c>
      <c r="L3303" s="32">
        <v>2080.4299999999998</v>
      </c>
      <c r="M3303" s="11"/>
      <c r="N3303" s="22">
        <f t="shared" ref="N3303:N3313" si="160">L3303*M3303</f>
        <v>0</v>
      </c>
      <c r="O3303" s="25">
        <f>0.819*M3303</f>
        <v>0</v>
      </c>
      <c r="P3303" s="26">
        <f>0.01001*M3303</f>
        <v>0</v>
      </c>
      <c r="Q3303" s="30"/>
      <c r="R3303" s="22" t="s">
        <v>11503</v>
      </c>
      <c r="S3303" s="22" t="s">
        <v>435</v>
      </c>
      <c r="T3303" s="21" t="str">
        <f>HYPERLINK("https://miland.ru/api/getInfo/image/e4183e40-de91-11ed-a233-00155d82e902")</f>
        <v>https://miland.ru/api/getInfo/image/e4183e40-de91-11ed-a233-00155d82e902</v>
      </c>
      <c r="U3303" s="21"/>
      <c r="V3303" s="21" t="s">
        <v>650</v>
      </c>
      <c r="W3303" s="21" t="s">
        <v>70</v>
      </c>
      <c r="X3303" s="21"/>
      <c r="Y3303" s="21" t="s">
        <v>697</v>
      </c>
      <c r="Z3303" s="21"/>
      <c r="AA3303" s="21" t="str">
        <f>HYPERLINK("https://miland.ru/api/getInfo/item/e4183e40-de91-11ed-a233-00155d82e902")</f>
        <v>https://miland.ru/api/getInfo/item/e4183e40-de91-11ed-a233-00155d82e902</v>
      </c>
      <c r="AB3303" s="21" t="s">
        <v>42</v>
      </c>
      <c r="AC3303" s="21"/>
      <c r="AD3303" s="21"/>
    </row>
    <row r="3304" spans="2:30" s="1" customFormat="1" ht="96.3" customHeight="1" outlineLevel="5">
      <c r="B3304" s="57">
        <v>2572</v>
      </c>
      <c r="C3304" s="21" t="s">
        <v>11504</v>
      </c>
      <c r="D3304" s="72" t="s">
        <v>11505</v>
      </c>
      <c r="E3304" s="72"/>
      <c r="F3304" s="72"/>
      <c r="G3304" s="72"/>
      <c r="H3304" s="22" t="s">
        <v>11506</v>
      </c>
      <c r="I3304" s="27">
        <v>125</v>
      </c>
      <c r="J3304" s="22"/>
      <c r="K3304" s="20">
        <v>1</v>
      </c>
      <c r="L3304" s="32">
        <v>2068.6999999999998</v>
      </c>
      <c r="M3304" s="11"/>
      <c r="N3304" s="22">
        <f t="shared" si="160"/>
        <v>0</v>
      </c>
      <c r="O3304" s="25">
        <f>0.568*M3304</f>
        <v>0</v>
      </c>
      <c r="P3304" s="26">
        <f>0.00646*M3304</f>
        <v>0</v>
      </c>
      <c r="Q3304" s="30"/>
      <c r="R3304" s="22" t="s">
        <v>11507</v>
      </c>
      <c r="S3304" s="22"/>
      <c r="T3304" s="21" t="str">
        <f>HYPERLINK("https://miland.ru/api/getInfo/image/79706fff-de8f-11ed-a233-00155d82e902")</f>
        <v>https://miland.ru/api/getInfo/image/79706fff-de8f-11ed-a233-00155d82e902</v>
      </c>
      <c r="U3304" s="21"/>
      <c r="V3304" s="21" t="s">
        <v>650</v>
      </c>
      <c r="W3304" s="21" t="s">
        <v>70</v>
      </c>
      <c r="X3304" s="21"/>
      <c r="Y3304" s="21" t="s">
        <v>697</v>
      </c>
      <c r="Z3304" s="21"/>
      <c r="AA3304" s="21" t="str">
        <f>HYPERLINK("https://miland.ru/api/getInfo/item/79706fff-de8f-11ed-a233-00155d82e902")</f>
        <v>https://miland.ru/api/getInfo/item/79706fff-de8f-11ed-a233-00155d82e902</v>
      </c>
      <c r="AB3304" s="21" t="s">
        <v>42</v>
      </c>
      <c r="AC3304" s="21"/>
      <c r="AD3304" s="21"/>
    </row>
    <row r="3305" spans="2:30" s="1" customFormat="1" ht="96.3" customHeight="1" outlineLevel="5">
      <c r="B3305" s="57">
        <v>2573</v>
      </c>
      <c r="C3305" s="21" t="s">
        <v>11508</v>
      </c>
      <c r="D3305" s="72" t="s">
        <v>11509</v>
      </c>
      <c r="E3305" s="72"/>
      <c r="F3305" s="72"/>
      <c r="G3305" s="72"/>
      <c r="H3305" s="22" t="s">
        <v>11510</v>
      </c>
      <c r="I3305" s="27">
        <v>6</v>
      </c>
      <c r="J3305" s="22"/>
      <c r="K3305" s="20">
        <v>1</v>
      </c>
      <c r="L3305" s="32">
        <v>1894.29</v>
      </c>
      <c r="M3305" s="11"/>
      <c r="N3305" s="22">
        <f t="shared" si="160"/>
        <v>0</v>
      </c>
      <c r="O3305" s="25">
        <f>0.607*M3305</f>
        <v>0</v>
      </c>
      <c r="P3305" s="26">
        <f>0.00462*M3305</f>
        <v>0</v>
      </c>
      <c r="Q3305" s="30"/>
      <c r="R3305" s="22" t="s">
        <v>11511</v>
      </c>
      <c r="S3305" s="22" t="s">
        <v>435</v>
      </c>
      <c r="T3305" s="21" t="str">
        <f>HYPERLINK("https://miland.ru/api/getInfo/image/f1ddcd62-f803-11ee-a25d-00155d82e908")</f>
        <v>https://miland.ru/api/getInfo/image/f1ddcd62-f803-11ee-a25d-00155d82e908</v>
      </c>
      <c r="U3305" s="21"/>
      <c r="V3305" s="21" t="s">
        <v>11512</v>
      </c>
      <c r="W3305" s="21" t="s">
        <v>11513</v>
      </c>
      <c r="X3305" s="21"/>
      <c r="Y3305" s="21" t="s">
        <v>477</v>
      </c>
      <c r="Z3305" s="21" t="s">
        <v>11514</v>
      </c>
      <c r="AA3305" s="21" t="str">
        <f>HYPERLINK("https://miland.ru/api/getInfo/item/f1ddcd62-f803-11ee-a25d-00155d82e908")</f>
        <v>https://miland.ru/api/getInfo/item/f1ddcd62-f803-11ee-a25d-00155d82e908</v>
      </c>
      <c r="AB3305" s="21" t="s">
        <v>42</v>
      </c>
      <c r="AC3305" s="21" t="s">
        <v>11515</v>
      </c>
      <c r="AD3305" s="21"/>
    </row>
    <row r="3306" spans="2:30" s="1" customFormat="1" ht="96.3" customHeight="1" outlineLevel="5">
      <c r="B3306" s="57">
        <v>2574</v>
      </c>
      <c r="C3306" s="21" t="s">
        <v>11516</v>
      </c>
      <c r="D3306" s="72" t="s">
        <v>11517</v>
      </c>
      <c r="E3306" s="72"/>
      <c r="F3306" s="72"/>
      <c r="G3306" s="72"/>
      <c r="H3306" s="22" t="s">
        <v>11518</v>
      </c>
      <c r="I3306" s="27">
        <v>347</v>
      </c>
      <c r="J3306" s="22"/>
      <c r="K3306" s="20">
        <v>1</v>
      </c>
      <c r="L3306" s="32">
        <v>3250.28</v>
      </c>
      <c r="M3306" s="11"/>
      <c r="N3306" s="22">
        <f t="shared" si="160"/>
        <v>0</v>
      </c>
      <c r="O3306" s="25">
        <f>0.867*M3306</f>
        <v>0</v>
      </c>
      <c r="P3306" s="26">
        <f>0.01034*M3306</f>
        <v>0</v>
      </c>
      <c r="Q3306" s="30"/>
      <c r="R3306" s="22" t="s">
        <v>11519</v>
      </c>
      <c r="S3306" s="22"/>
      <c r="T3306" s="21" t="str">
        <f>HYPERLINK("https://miland.ru/api/getInfo/image/2ab50cbc-f804-11ee-a25d-00155d82e908")</f>
        <v>https://miland.ru/api/getInfo/image/2ab50cbc-f804-11ee-a25d-00155d82e908</v>
      </c>
      <c r="U3306" s="21"/>
      <c r="V3306" s="21" t="s">
        <v>11512</v>
      </c>
      <c r="W3306" s="21" t="s">
        <v>11513</v>
      </c>
      <c r="X3306" s="21" t="s">
        <v>172</v>
      </c>
      <c r="Y3306" s="21" t="s">
        <v>477</v>
      </c>
      <c r="Z3306" s="21" t="s">
        <v>11520</v>
      </c>
      <c r="AA3306" s="21" t="str">
        <f>HYPERLINK("https://miland.ru/api/getInfo/item/2ab50cbc-f804-11ee-a25d-00155d82e908")</f>
        <v>https://miland.ru/api/getInfo/item/2ab50cbc-f804-11ee-a25d-00155d82e908</v>
      </c>
      <c r="AB3306" s="21" t="s">
        <v>42</v>
      </c>
      <c r="AC3306" s="21" t="s">
        <v>11521</v>
      </c>
      <c r="AD3306" s="21"/>
    </row>
    <row r="3307" spans="2:30" s="1" customFormat="1" ht="96.3" customHeight="1" outlineLevel="5">
      <c r="B3307" s="57">
        <v>2575</v>
      </c>
      <c r="C3307" s="21" t="s">
        <v>11522</v>
      </c>
      <c r="D3307" s="72" t="s">
        <v>11523</v>
      </c>
      <c r="E3307" s="72"/>
      <c r="F3307" s="72"/>
      <c r="G3307" s="72"/>
      <c r="H3307" s="22" t="s">
        <v>11524</v>
      </c>
      <c r="I3307" s="27">
        <v>5</v>
      </c>
      <c r="J3307" s="22"/>
      <c r="K3307" s="20">
        <v>1</v>
      </c>
      <c r="L3307" s="24">
        <v>956.52</v>
      </c>
      <c r="M3307" s="11"/>
      <c r="N3307" s="22">
        <f t="shared" si="160"/>
        <v>0</v>
      </c>
      <c r="O3307" s="25">
        <f>0.317*M3307</f>
        <v>0</v>
      </c>
      <c r="P3307" s="26">
        <f>0.00326*M3307</f>
        <v>0</v>
      </c>
      <c r="Q3307" s="30"/>
      <c r="R3307" s="22" t="s">
        <v>11525</v>
      </c>
      <c r="S3307" s="22"/>
      <c r="T3307" s="21" t="str">
        <f>HYPERLINK("https://miland.ru/api/getInfo/image/4b892084-6bb7-11ed-a22a-00155d82e902")</f>
        <v>https://miland.ru/api/getInfo/image/4b892084-6bb7-11ed-a22a-00155d82e902</v>
      </c>
      <c r="U3307" s="21"/>
      <c r="V3307" s="21" t="s">
        <v>650</v>
      </c>
      <c r="W3307" s="21" t="s">
        <v>70</v>
      </c>
      <c r="X3307" s="21"/>
      <c r="Y3307" s="21" t="s">
        <v>697</v>
      </c>
      <c r="Z3307" s="21"/>
      <c r="AA3307" s="21" t="str">
        <f>HYPERLINK("https://miland.ru/api/getInfo/item/4b892084-6bb7-11ed-a22a-00155d82e902")</f>
        <v>https://miland.ru/api/getInfo/item/4b892084-6bb7-11ed-a22a-00155d82e902</v>
      </c>
      <c r="AB3307" s="21" t="s">
        <v>42</v>
      </c>
      <c r="AC3307" s="21" t="s">
        <v>11526</v>
      </c>
      <c r="AD3307" s="21"/>
    </row>
    <row r="3308" spans="2:30" s="1" customFormat="1" ht="96.3" customHeight="1" outlineLevel="5">
      <c r="B3308" s="57">
        <v>2576</v>
      </c>
      <c r="C3308" s="21" t="s">
        <v>11527</v>
      </c>
      <c r="D3308" s="72" t="s">
        <v>11528</v>
      </c>
      <c r="E3308" s="72"/>
      <c r="F3308" s="72"/>
      <c r="G3308" s="72"/>
      <c r="H3308" s="22" t="s">
        <v>11529</v>
      </c>
      <c r="I3308" s="27">
        <v>214</v>
      </c>
      <c r="J3308" s="22"/>
      <c r="K3308" s="20">
        <v>1</v>
      </c>
      <c r="L3308" s="24">
        <v>956.52</v>
      </c>
      <c r="M3308" s="11"/>
      <c r="N3308" s="22">
        <f t="shared" si="160"/>
        <v>0</v>
      </c>
      <c r="O3308" s="25">
        <f>0.362*M3308</f>
        <v>0</v>
      </c>
      <c r="P3308" s="26">
        <f>0.00342*M3308</f>
        <v>0</v>
      </c>
      <c r="Q3308" s="30"/>
      <c r="R3308" s="22" t="s">
        <v>11530</v>
      </c>
      <c r="S3308" s="22"/>
      <c r="T3308" s="21" t="str">
        <f>HYPERLINK("https://miland.ru/api/getInfo/image/7cdbdc04-6bb7-11ed-a22a-00155d82e902")</f>
        <v>https://miland.ru/api/getInfo/image/7cdbdc04-6bb7-11ed-a22a-00155d82e902</v>
      </c>
      <c r="U3308" s="21"/>
      <c r="V3308" s="21" t="s">
        <v>650</v>
      </c>
      <c r="W3308" s="21" t="s">
        <v>70</v>
      </c>
      <c r="X3308" s="21"/>
      <c r="Y3308" s="21" t="s">
        <v>697</v>
      </c>
      <c r="Z3308" s="21"/>
      <c r="AA3308" s="21" t="str">
        <f>HYPERLINK("https://miland.ru/api/getInfo/item/7cdbdc04-6bb7-11ed-a22a-00155d82e902")</f>
        <v>https://miland.ru/api/getInfo/item/7cdbdc04-6bb7-11ed-a22a-00155d82e902</v>
      </c>
      <c r="AB3308" s="21" t="s">
        <v>42</v>
      </c>
      <c r="AC3308" s="21" t="s">
        <v>11526</v>
      </c>
      <c r="AD3308" s="21"/>
    </row>
    <row r="3309" spans="2:30" s="1" customFormat="1" ht="96.3" customHeight="1" outlineLevel="5">
      <c r="B3309" s="57">
        <v>2577</v>
      </c>
      <c r="C3309" s="21" t="s">
        <v>11531</v>
      </c>
      <c r="D3309" s="72" t="s">
        <v>11532</v>
      </c>
      <c r="E3309" s="72"/>
      <c r="F3309" s="72"/>
      <c r="G3309" s="72"/>
      <c r="H3309" s="22" t="s">
        <v>11533</v>
      </c>
      <c r="I3309" s="27">
        <v>152</v>
      </c>
      <c r="J3309" s="22"/>
      <c r="K3309" s="20">
        <v>1</v>
      </c>
      <c r="L3309" s="24">
        <v>956.52</v>
      </c>
      <c r="M3309" s="11"/>
      <c r="N3309" s="22">
        <f t="shared" si="160"/>
        <v>0</v>
      </c>
      <c r="O3309" s="25">
        <f>0.364*M3309</f>
        <v>0</v>
      </c>
      <c r="P3309" s="26">
        <f>0.00348*M3309</f>
        <v>0</v>
      </c>
      <c r="Q3309" s="30"/>
      <c r="R3309" s="22" t="s">
        <v>11534</v>
      </c>
      <c r="S3309" s="22"/>
      <c r="T3309" s="21" t="str">
        <f>HYPERLINK("https://miland.ru/api/getInfo/image/02564a9b-6bb8-11ed-a22a-00155d82e902")</f>
        <v>https://miland.ru/api/getInfo/image/02564a9b-6bb8-11ed-a22a-00155d82e902</v>
      </c>
      <c r="U3309" s="21"/>
      <c r="V3309" s="21" t="s">
        <v>650</v>
      </c>
      <c r="W3309" s="21" t="s">
        <v>70</v>
      </c>
      <c r="X3309" s="21"/>
      <c r="Y3309" s="21" t="s">
        <v>697</v>
      </c>
      <c r="Z3309" s="21"/>
      <c r="AA3309" s="21" t="str">
        <f>HYPERLINK("https://miland.ru/api/getInfo/item/02564a9b-6bb8-11ed-a22a-00155d82e902")</f>
        <v>https://miland.ru/api/getInfo/item/02564a9b-6bb8-11ed-a22a-00155d82e902</v>
      </c>
      <c r="AB3309" s="21" t="s">
        <v>42</v>
      </c>
      <c r="AC3309" s="21" t="s">
        <v>11526</v>
      </c>
      <c r="AD3309" s="21"/>
    </row>
    <row r="3310" spans="2:30" s="1" customFormat="1" ht="96.3" customHeight="1" outlineLevel="5">
      <c r="B3310" s="57">
        <v>2578</v>
      </c>
      <c r="C3310" s="21" t="s">
        <v>11535</v>
      </c>
      <c r="D3310" s="72" t="s">
        <v>11536</v>
      </c>
      <c r="E3310" s="72"/>
      <c r="F3310" s="72"/>
      <c r="G3310" s="72"/>
      <c r="H3310" s="22" t="s">
        <v>11537</v>
      </c>
      <c r="I3310" s="27">
        <v>116</v>
      </c>
      <c r="J3310" s="22"/>
      <c r="K3310" s="20">
        <v>1</v>
      </c>
      <c r="L3310" s="24">
        <v>956.52</v>
      </c>
      <c r="M3310" s="11"/>
      <c r="N3310" s="22">
        <f t="shared" si="160"/>
        <v>0</v>
      </c>
      <c r="O3310" s="25">
        <f>0.392*M3310</f>
        <v>0</v>
      </c>
      <c r="P3310" s="26">
        <f>0.00267*M3310</f>
        <v>0</v>
      </c>
      <c r="Q3310" s="30"/>
      <c r="R3310" s="22" t="s">
        <v>11538</v>
      </c>
      <c r="S3310" s="22"/>
      <c r="T3310" s="21" t="str">
        <f>HYPERLINK("https://miland.ru/api/getInfo/image/4ea922a5-6bb6-11ed-a22a-00155d82e902")</f>
        <v>https://miland.ru/api/getInfo/image/4ea922a5-6bb6-11ed-a22a-00155d82e902</v>
      </c>
      <c r="U3310" s="21"/>
      <c r="V3310" s="21" t="s">
        <v>650</v>
      </c>
      <c r="W3310" s="21" t="s">
        <v>70</v>
      </c>
      <c r="X3310" s="21"/>
      <c r="Y3310" s="21" t="s">
        <v>697</v>
      </c>
      <c r="Z3310" s="21"/>
      <c r="AA3310" s="21" t="str">
        <f>HYPERLINK("https://miland.ru/api/getInfo/item/4ea922a5-6bb6-11ed-a22a-00155d82e902")</f>
        <v>https://miland.ru/api/getInfo/item/4ea922a5-6bb6-11ed-a22a-00155d82e902</v>
      </c>
      <c r="AB3310" s="21" t="s">
        <v>42</v>
      </c>
      <c r="AC3310" s="21" t="s">
        <v>11539</v>
      </c>
      <c r="AD3310" s="21"/>
    </row>
    <row r="3311" spans="2:30" s="1" customFormat="1" ht="96.3" customHeight="1" outlineLevel="5">
      <c r="B3311" s="57">
        <v>2579</v>
      </c>
      <c r="C3311" s="21" t="s">
        <v>11540</v>
      </c>
      <c r="D3311" s="72" t="s">
        <v>11541</v>
      </c>
      <c r="E3311" s="72"/>
      <c r="F3311" s="72"/>
      <c r="G3311" s="72"/>
      <c r="H3311" s="22" t="s">
        <v>11542</v>
      </c>
      <c r="I3311" s="27">
        <v>37</v>
      </c>
      <c r="J3311" s="22"/>
      <c r="K3311" s="20">
        <v>1</v>
      </c>
      <c r="L3311" s="24">
        <v>956.52</v>
      </c>
      <c r="M3311" s="11"/>
      <c r="N3311" s="22">
        <f t="shared" si="160"/>
        <v>0</v>
      </c>
      <c r="O3311" s="25">
        <f>0.397*M3311</f>
        <v>0</v>
      </c>
      <c r="P3311" s="26">
        <f>0.00242*M3311</f>
        <v>0</v>
      </c>
      <c r="Q3311" s="30"/>
      <c r="R3311" s="22" t="s">
        <v>11543</v>
      </c>
      <c r="S3311" s="22"/>
      <c r="T3311" s="21" t="str">
        <f>HYPERLINK("https://miland.ru/api/getInfo/image/148cc6f8-6bb7-11ed-a22a-00155d82e902")</f>
        <v>https://miland.ru/api/getInfo/image/148cc6f8-6bb7-11ed-a22a-00155d82e902</v>
      </c>
      <c r="U3311" s="21"/>
      <c r="V3311" s="21" t="s">
        <v>650</v>
      </c>
      <c r="W3311" s="21" t="s">
        <v>70</v>
      </c>
      <c r="X3311" s="21"/>
      <c r="Y3311" s="21" t="s">
        <v>697</v>
      </c>
      <c r="Z3311" s="21"/>
      <c r="AA3311" s="21" t="str">
        <f>HYPERLINK("https://miland.ru/api/getInfo/item/148cc6f8-6bb7-11ed-a22a-00155d82e902")</f>
        <v>https://miland.ru/api/getInfo/item/148cc6f8-6bb7-11ed-a22a-00155d82e902</v>
      </c>
      <c r="AB3311" s="21" t="s">
        <v>42</v>
      </c>
      <c r="AC3311" s="21" t="s">
        <v>11539</v>
      </c>
      <c r="AD3311" s="21"/>
    </row>
    <row r="3312" spans="2:30" s="1" customFormat="1" ht="96.3" customHeight="1" outlineLevel="5">
      <c r="B3312" s="57">
        <v>2580</v>
      </c>
      <c r="C3312" s="21" t="s">
        <v>11544</v>
      </c>
      <c r="D3312" s="72" t="s">
        <v>11545</v>
      </c>
      <c r="E3312" s="72"/>
      <c r="F3312" s="72"/>
      <c r="G3312" s="72"/>
      <c r="H3312" s="22" t="s">
        <v>11546</v>
      </c>
      <c r="I3312" s="27">
        <v>43</v>
      </c>
      <c r="J3312" s="22"/>
      <c r="K3312" s="20">
        <v>1</v>
      </c>
      <c r="L3312" s="24">
        <v>956.52</v>
      </c>
      <c r="M3312" s="11"/>
      <c r="N3312" s="22">
        <f t="shared" si="160"/>
        <v>0</v>
      </c>
      <c r="O3312" s="25">
        <f>0.389*M3312</f>
        <v>0</v>
      </c>
      <c r="P3312" s="26">
        <f>0.00276*M3312</f>
        <v>0</v>
      </c>
      <c r="Q3312" s="30"/>
      <c r="R3312" s="22" t="s">
        <v>11547</v>
      </c>
      <c r="S3312" s="22"/>
      <c r="T3312" s="21" t="str">
        <f>HYPERLINK("https://miland.ru/api/getInfo/image/b3ac44c1-6bb6-11ed-a22a-00155d82e902")</f>
        <v>https://miland.ru/api/getInfo/image/b3ac44c1-6bb6-11ed-a22a-00155d82e902</v>
      </c>
      <c r="U3312" s="21"/>
      <c r="V3312" s="21" t="s">
        <v>650</v>
      </c>
      <c r="W3312" s="21" t="s">
        <v>70</v>
      </c>
      <c r="X3312" s="21"/>
      <c r="Y3312" s="21" t="s">
        <v>697</v>
      </c>
      <c r="Z3312" s="21"/>
      <c r="AA3312" s="21" t="str">
        <f>HYPERLINK("https://miland.ru/api/getInfo/item/b3ac44c1-6bb6-11ed-a22a-00155d82e902")</f>
        <v>https://miland.ru/api/getInfo/item/b3ac44c1-6bb6-11ed-a22a-00155d82e902</v>
      </c>
      <c r="AB3312" s="21" t="s">
        <v>42</v>
      </c>
      <c r="AC3312" s="21" t="s">
        <v>11539</v>
      </c>
      <c r="AD3312" s="21"/>
    </row>
    <row r="3313" spans="2:30" s="1" customFormat="1" ht="96.3" customHeight="1" outlineLevel="5">
      <c r="B3313" s="57">
        <v>2581</v>
      </c>
      <c r="C3313" s="21" t="s">
        <v>11548</v>
      </c>
      <c r="D3313" s="72" t="s">
        <v>11549</v>
      </c>
      <c r="E3313" s="72"/>
      <c r="F3313" s="72"/>
      <c r="G3313" s="72"/>
      <c r="H3313" s="22" t="s">
        <v>11550</v>
      </c>
      <c r="I3313" s="27">
        <v>328</v>
      </c>
      <c r="J3313" s="22"/>
      <c r="K3313" s="20">
        <v>1</v>
      </c>
      <c r="L3313" s="32">
        <v>1152.68</v>
      </c>
      <c r="M3313" s="11"/>
      <c r="N3313" s="22">
        <f t="shared" si="160"/>
        <v>0</v>
      </c>
      <c r="O3313" s="25">
        <f>0.572*M3313</f>
        <v>0</v>
      </c>
      <c r="P3313" s="26">
        <f>0.00325*M3313</f>
        <v>0</v>
      </c>
      <c r="Q3313" s="30"/>
      <c r="R3313" s="22" t="s">
        <v>11551</v>
      </c>
      <c r="S3313" s="22"/>
      <c r="T3313" s="21" t="str">
        <f>HYPERLINK("https://miland.ru/api/getInfo/image/6bde78d1-ff14-11ef-a277-00155d82e908")</f>
        <v>https://miland.ru/api/getInfo/image/6bde78d1-ff14-11ef-a277-00155d82e908</v>
      </c>
      <c r="U3313" s="21"/>
      <c r="V3313" s="21" t="s">
        <v>9927</v>
      </c>
      <c r="W3313" s="21" t="s">
        <v>70</v>
      </c>
      <c r="X3313" s="21"/>
      <c r="Y3313" s="21" t="s">
        <v>697</v>
      </c>
      <c r="Z3313" s="21"/>
      <c r="AA3313" s="21" t="str">
        <f>HYPERLINK("https://miland.ru/api/getInfo/item/6bde78d1-ff14-11ef-a277-00155d82e908")</f>
        <v>https://miland.ru/api/getInfo/item/6bde78d1-ff14-11ef-a277-00155d82e908</v>
      </c>
      <c r="AB3313" s="21" t="s">
        <v>42</v>
      </c>
      <c r="AC3313" s="21"/>
      <c r="AD3313" s="21"/>
    </row>
    <row r="3314" spans="2:30" ht="12" customHeight="1" outlineLevel="4">
      <c r="B3314" s="70" t="s">
        <v>11552</v>
      </c>
      <c r="C3314" s="70"/>
      <c r="D3314" s="70"/>
      <c r="E3314" s="70"/>
      <c r="F3314" s="70"/>
      <c r="G3314" s="70"/>
    </row>
    <row r="3315" spans="2:30" s="1" customFormat="1" ht="96.3" customHeight="1" outlineLevel="5">
      <c r="B3315" s="57">
        <v>2582</v>
      </c>
      <c r="C3315" s="21" t="s">
        <v>11553</v>
      </c>
      <c r="D3315" s="72" t="s">
        <v>11554</v>
      </c>
      <c r="E3315" s="72"/>
      <c r="F3315" s="72"/>
      <c r="G3315" s="72"/>
      <c r="H3315" s="22" t="s">
        <v>11555</v>
      </c>
      <c r="I3315" s="27">
        <v>74</v>
      </c>
      <c r="J3315" s="22"/>
      <c r="K3315" s="20">
        <v>1</v>
      </c>
      <c r="L3315" s="24">
        <v>631.65</v>
      </c>
      <c r="M3315" s="11"/>
      <c r="N3315" s="22">
        <f t="shared" ref="N3315:N3352" si="161">L3315*M3315</f>
        <v>0</v>
      </c>
      <c r="O3315" s="25">
        <f>0.246*M3315</f>
        <v>0</v>
      </c>
      <c r="P3315" s="26">
        <f>0.00355*M3315</f>
        <v>0</v>
      </c>
      <c r="Q3315" s="30"/>
      <c r="R3315" s="22" t="s">
        <v>11556</v>
      </c>
      <c r="S3315" s="22"/>
      <c r="T3315" s="21" t="str">
        <f>HYPERLINK("https://miland.ru/api/getInfo/image/e97d110d-7a12-11ee-a248-00155d82e902")</f>
        <v>https://miland.ru/api/getInfo/image/e97d110d-7a12-11ee-a248-00155d82e902</v>
      </c>
      <c r="U3315" s="21"/>
      <c r="V3315" s="21" t="s">
        <v>650</v>
      </c>
      <c r="W3315" s="21" t="s">
        <v>70</v>
      </c>
      <c r="X3315" s="21"/>
      <c r="Y3315" s="21" t="s">
        <v>697</v>
      </c>
      <c r="Z3315" s="21"/>
      <c r="AA3315" s="21" t="str">
        <f>HYPERLINK("https://miland.ru/api/getInfo/item/e97d110d-7a12-11ee-a248-00155d82e902")</f>
        <v>https://miland.ru/api/getInfo/item/e97d110d-7a12-11ee-a248-00155d82e902</v>
      </c>
      <c r="AB3315" s="21" t="s">
        <v>42</v>
      </c>
      <c r="AC3315" s="21" t="s">
        <v>11557</v>
      </c>
      <c r="AD3315" s="21"/>
    </row>
    <row r="3316" spans="2:30" s="1" customFormat="1" ht="96.3" customHeight="1" outlineLevel="5">
      <c r="B3316" s="57">
        <v>2583</v>
      </c>
      <c r="C3316" s="21" t="s">
        <v>11558</v>
      </c>
      <c r="D3316" s="72" t="s">
        <v>11559</v>
      </c>
      <c r="E3316" s="72"/>
      <c r="F3316" s="72"/>
      <c r="G3316" s="72"/>
      <c r="H3316" s="22" t="s">
        <v>11560</v>
      </c>
      <c r="I3316" s="27">
        <v>204</v>
      </c>
      <c r="J3316" s="22"/>
      <c r="K3316" s="20">
        <v>1</v>
      </c>
      <c r="L3316" s="24">
        <v>749.76</v>
      </c>
      <c r="M3316" s="11"/>
      <c r="N3316" s="22">
        <f t="shared" si="161"/>
        <v>0</v>
      </c>
      <c r="O3316" s="25">
        <f>0.385*M3316</f>
        <v>0</v>
      </c>
      <c r="P3316" s="26">
        <f>0.00621*M3316</f>
        <v>0</v>
      </c>
      <c r="Q3316" s="30"/>
      <c r="R3316" s="22" t="s">
        <v>11561</v>
      </c>
      <c r="S3316" s="22"/>
      <c r="T3316" s="21" t="str">
        <f>HYPERLINK("https://miland.ru/api/getInfo/image/ded31675-df4a-11ed-a233-00155d82e902")</f>
        <v>https://miland.ru/api/getInfo/image/ded31675-df4a-11ed-a233-00155d82e902</v>
      </c>
      <c r="U3316" s="21"/>
      <c r="V3316" s="21" t="s">
        <v>650</v>
      </c>
      <c r="W3316" s="21" t="s">
        <v>70</v>
      </c>
      <c r="X3316" s="21"/>
      <c r="Y3316" s="21" t="s">
        <v>697</v>
      </c>
      <c r="Z3316" s="21"/>
      <c r="AA3316" s="21" t="str">
        <f>HYPERLINK("https://miland.ru/api/getInfo/item/ded31675-df4a-11ed-a233-00155d82e902")</f>
        <v>https://miland.ru/api/getInfo/item/ded31675-df4a-11ed-a233-00155d82e902</v>
      </c>
      <c r="AB3316" s="21" t="s">
        <v>42</v>
      </c>
      <c r="AC3316" s="21"/>
      <c r="AD3316" s="21"/>
    </row>
    <row r="3317" spans="2:30" s="1" customFormat="1" ht="96.3" customHeight="1" outlineLevel="5">
      <c r="B3317" s="57">
        <v>2584</v>
      </c>
      <c r="C3317" s="21" t="s">
        <v>11562</v>
      </c>
      <c r="D3317" s="72" t="s">
        <v>11563</v>
      </c>
      <c r="E3317" s="72"/>
      <c r="F3317" s="72"/>
      <c r="G3317" s="72"/>
      <c r="H3317" s="22" t="s">
        <v>11564</v>
      </c>
      <c r="I3317" s="27">
        <v>221</v>
      </c>
      <c r="J3317" s="22"/>
      <c r="K3317" s="20">
        <v>1</v>
      </c>
      <c r="L3317" s="24">
        <v>530.29</v>
      </c>
      <c r="M3317" s="11"/>
      <c r="N3317" s="22">
        <f t="shared" si="161"/>
        <v>0</v>
      </c>
      <c r="O3317" s="28">
        <f>0.26*M3317</f>
        <v>0</v>
      </c>
      <c r="P3317" s="26">
        <f>0.00411*M3317</f>
        <v>0</v>
      </c>
      <c r="Q3317" s="30"/>
      <c r="R3317" s="22" t="s">
        <v>11565</v>
      </c>
      <c r="S3317" s="22"/>
      <c r="T3317" s="21" t="str">
        <f>HYPERLINK("https://miland.ru/api/getInfo/image/5615e6d6-2ab6-11ee-a23d-00155d82e902")</f>
        <v>https://miland.ru/api/getInfo/image/5615e6d6-2ab6-11ee-a23d-00155d82e902</v>
      </c>
      <c r="U3317" s="21"/>
      <c r="V3317" s="21" t="s">
        <v>650</v>
      </c>
      <c r="W3317" s="21" t="s">
        <v>70</v>
      </c>
      <c r="X3317" s="21"/>
      <c r="Y3317" s="21" t="s">
        <v>697</v>
      </c>
      <c r="Z3317" s="21"/>
      <c r="AA3317" s="21" t="str">
        <f>HYPERLINK("https://miland.ru/api/getInfo/item/5615e6d6-2ab6-11ee-a23d-00155d82e902")</f>
        <v>https://miland.ru/api/getInfo/item/5615e6d6-2ab6-11ee-a23d-00155d82e902</v>
      </c>
      <c r="AB3317" s="21" t="s">
        <v>42</v>
      </c>
      <c r="AC3317" s="21"/>
      <c r="AD3317" s="21"/>
    </row>
    <row r="3318" spans="2:30" s="1" customFormat="1" ht="96.3" customHeight="1" outlineLevel="5">
      <c r="B3318" s="57">
        <v>2585</v>
      </c>
      <c r="C3318" s="21" t="s">
        <v>11566</v>
      </c>
      <c r="D3318" s="72" t="s">
        <v>11567</v>
      </c>
      <c r="E3318" s="72"/>
      <c r="F3318" s="72"/>
      <c r="G3318" s="72"/>
      <c r="H3318" s="22" t="s">
        <v>11568</v>
      </c>
      <c r="I3318" s="27">
        <v>137</v>
      </c>
      <c r="J3318" s="22"/>
      <c r="K3318" s="20">
        <v>1</v>
      </c>
      <c r="L3318" s="24">
        <v>530.29</v>
      </c>
      <c r="M3318" s="11"/>
      <c r="N3318" s="22">
        <f t="shared" si="161"/>
        <v>0</v>
      </c>
      <c r="O3318" s="25">
        <f>0.269*M3318</f>
        <v>0</v>
      </c>
      <c r="P3318" s="26">
        <f>0.00397*M3318</f>
        <v>0</v>
      </c>
      <c r="Q3318" s="30"/>
      <c r="R3318" s="22" t="s">
        <v>11569</v>
      </c>
      <c r="S3318" s="22"/>
      <c r="T3318" s="21" t="str">
        <f>HYPERLINK("https://miland.ru/api/getInfo/image/8ce028dc-2ab6-11ee-a23d-00155d82e902")</f>
        <v>https://miland.ru/api/getInfo/image/8ce028dc-2ab6-11ee-a23d-00155d82e902</v>
      </c>
      <c r="U3318" s="21"/>
      <c r="V3318" s="21" t="s">
        <v>650</v>
      </c>
      <c r="W3318" s="21" t="s">
        <v>70</v>
      </c>
      <c r="X3318" s="21"/>
      <c r="Y3318" s="21" t="s">
        <v>697</v>
      </c>
      <c r="Z3318" s="21"/>
      <c r="AA3318" s="21" t="str">
        <f>HYPERLINK("https://miland.ru/api/getInfo/item/8ce028dc-2ab6-11ee-a23d-00155d82e902")</f>
        <v>https://miland.ru/api/getInfo/item/8ce028dc-2ab6-11ee-a23d-00155d82e902</v>
      </c>
      <c r="AB3318" s="21" t="s">
        <v>42</v>
      </c>
      <c r="AC3318" s="21"/>
      <c r="AD3318" s="21"/>
    </row>
    <row r="3319" spans="2:30" s="1" customFormat="1" ht="96.3" customHeight="1" outlineLevel="5">
      <c r="B3319" s="57">
        <v>2586</v>
      </c>
      <c r="C3319" s="21" t="s">
        <v>11570</v>
      </c>
      <c r="D3319" s="72" t="s">
        <v>11571</v>
      </c>
      <c r="E3319" s="72"/>
      <c r="F3319" s="72"/>
      <c r="G3319" s="72"/>
      <c r="H3319" s="22" t="s">
        <v>11572</v>
      </c>
      <c r="I3319" s="27">
        <v>98</v>
      </c>
      <c r="J3319" s="22"/>
      <c r="K3319" s="20">
        <v>1</v>
      </c>
      <c r="L3319" s="24">
        <v>636.35</v>
      </c>
      <c r="M3319" s="11"/>
      <c r="N3319" s="22">
        <f t="shared" si="161"/>
        <v>0</v>
      </c>
      <c r="O3319" s="25">
        <f>0.379*M3319</f>
        <v>0</v>
      </c>
      <c r="P3319" s="26">
        <f>0.00581*M3319</f>
        <v>0</v>
      </c>
      <c r="Q3319" s="30"/>
      <c r="R3319" s="22" t="s">
        <v>11573</v>
      </c>
      <c r="S3319" s="22"/>
      <c r="T3319" s="21" t="str">
        <f>HYPERLINK("https://miland.ru/api/getInfo/image/29322e98-2ab4-11ee-a23d-00155d82e902")</f>
        <v>https://miland.ru/api/getInfo/image/29322e98-2ab4-11ee-a23d-00155d82e902</v>
      </c>
      <c r="U3319" s="21"/>
      <c r="V3319" s="21" t="s">
        <v>650</v>
      </c>
      <c r="W3319" s="21" t="s">
        <v>70</v>
      </c>
      <c r="X3319" s="21"/>
      <c r="Y3319" s="21" t="s">
        <v>697</v>
      </c>
      <c r="Z3319" s="21"/>
      <c r="AA3319" s="21" t="str">
        <f>HYPERLINK("https://miland.ru/api/getInfo/item/29322e98-2ab4-11ee-a23d-00155d82e902")</f>
        <v>https://miland.ru/api/getInfo/item/29322e98-2ab4-11ee-a23d-00155d82e902</v>
      </c>
      <c r="AB3319" s="21" t="s">
        <v>42</v>
      </c>
      <c r="AC3319" s="21"/>
      <c r="AD3319" s="21"/>
    </row>
    <row r="3320" spans="2:30" s="1" customFormat="1" ht="96.3" customHeight="1" outlineLevel="5">
      <c r="B3320" s="57">
        <v>2587</v>
      </c>
      <c r="C3320" s="21" t="s">
        <v>11574</v>
      </c>
      <c r="D3320" s="72" t="s">
        <v>11575</v>
      </c>
      <c r="E3320" s="72"/>
      <c r="F3320" s="72"/>
      <c r="G3320" s="72"/>
      <c r="H3320" s="22" t="s">
        <v>11576</v>
      </c>
      <c r="I3320" s="27">
        <v>57</v>
      </c>
      <c r="J3320" s="22"/>
      <c r="K3320" s="20">
        <v>1</v>
      </c>
      <c r="L3320" s="24">
        <v>636.35</v>
      </c>
      <c r="M3320" s="11"/>
      <c r="N3320" s="22">
        <f t="shared" si="161"/>
        <v>0</v>
      </c>
      <c r="O3320" s="25">
        <f>0.369*M3320</f>
        <v>0</v>
      </c>
      <c r="P3320" s="26">
        <f>0.00568*M3320</f>
        <v>0</v>
      </c>
      <c r="Q3320" s="30"/>
      <c r="R3320" s="22" t="s">
        <v>11577</v>
      </c>
      <c r="S3320" s="22"/>
      <c r="T3320" s="21" t="str">
        <f>HYPERLINK("https://miland.ru/api/getInfo/image/dc661481-2ab3-11ee-a23d-00155d82e902")</f>
        <v>https://miland.ru/api/getInfo/image/dc661481-2ab3-11ee-a23d-00155d82e902</v>
      </c>
      <c r="U3320" s="21"/>
      <c r="V3320" s="21" t="s">
        <v>650</v>
      </c>
      <c r="W3320" s="21" t="s">
        <v>70</v>
      </c>
      <c r="X3320" s="21"/>
      <c r="Y3320" s="21" t="s">
        <v>697</v>
      </c>
      <c r="Z3320" s="21"/>
      <c r="AA3320" s="21" t="str">
        <f>HYPERLINK("https://miland.ru/api/getInfo/item/dc661481-2ab3-11ee-a23d-00155d82e902")</f>
        <v>https://miland.ru/api/getInfo/item/dc661481-2ab3-11ee-a23d-00155d82e902</v>
      </c>
      <c r="AB3320" s="21" t="s">
        <v>42</v>
      </c>
      <c r="AC3320" s="21" t="s">
        <v>11578</v>
      </c>
      <c r="AD3320" s="21"/>
    </row>
    <row r="3321" spans="2:30" s="1" customFormat="1" ht="96.3" customHeight="1" outlineLevel="5">
      <c r="B3321" s="57">
        <v>2588</v>
      </c>
      <c r="C3321" s="21" t="s">
        <v>11579</v>
      </c>
      <c r="D3321" s="72" t="s">
        <v>11580</v>
      </c>
      <c r="E3321" s="72"/>
      <c r="F3321" s="72"/>
      <c r="G3321" s="72"/>
      <c r="H3321" s="22" t="s">
        <v>11581</v>
      </c>
      <c r="I3321" s="27">
        <v>371</v>
      </c>
      <c r="J3321" s="22"/>
      <c r="K3321" s="20">
        <v>1</v>
      </c>
      <c r="L3321" s="24">
        <v>636.35</v>
      </c>
      <c r="M3321" s="11"/>
      <c r="N3321" s="22">
        <f t="shared" si="161"/>
        <v>0</v>
      </c>
      <c r="O3321" s="25">
        <f>0.385*M3321</f>
        <v>0</v>
      </c>
      <c r="P3321" s="26">
        <f>0.00569*M3321</f>
        <v>0</v>
      </c>
      <c r="Q3321" s="30"/>
      <c r="R3321" s="22" t="s">
        <v>11582</v>
      </c>
      <c r="S3321" s="22"/>
      <c r="T3321" s="21" t="str">
        <f>HYPERLINK("https://miland.ru/api/getInfo/image/9fcd0199-2ab4-11ee-a23d-00155d82e902")</f>
        <v>https://miland.ru/api/getInfo/image/9fcd0199-2ab4-11ee-a23d-00155d82e902</v>
      </c>
      <c r="U3321" s="21"/>
      <c r="V3321" s="21" t="s">
        <v>650</v>
      </c>
      <c r="W3321" s="21" t="s">
        <v>70</v>
      </c>
      <c r="X3321" s="21"/>
      <c r="Y3321" s="21" t="s">
        <v>697</v>
      </c>
      <c r="Z3321" s="21"/>
      <c r="AA3321" s="21" t="str">
        <f>HYPERLINK("https://miland.ru/api/getInfo/item/9fcd0199-2ab4-11ee-a23d-00155d82e902")</f>
        <v>https://miland.ru/api/getInfo/item/9fcd0199-2ab4-11ee-a23d-00155d82e902</v>
      </c>
      <c r="AB3321" s="21" t="s">
        <v>42</v>
      </c>
      <c r="AC3321" s="21"/>
      <c r="AD3321" s="21"/>
    </row>
    <row r="3322" spans="2:30" s="1" customFormat="1" ht="96.3" customHeight="1" outlineLevel="5">
      <c r="B3322" s="57">
        <v>2589</v>
      </c>
      <c r="C3322" s="21" t="s">
        <v>11583</v>
      </c>
      <c r="D3322" s="72" t="s">
        <v>11584</v>
      </c>
      <c r="E3322" s="72"/>
      <c r="F3322" s="72"/>
      <c r="G3322" s="72"/>
      <c r="H3322" s="22" t="s">
        <v>11585</v>
      </c>
      <c r="I3322" s="27">
        <v>70</v>
      </c>
      <c r="J3322" s="22"/>
      <c r="K3322" s="20">
        <v>1</v>
      </c>
      <c r="L3322" s="24">
        <v>774.26</v>
      </c>
      <c r="M3322" s="11"/>
      <c r="N3322" s="22">
        <f t="shared" si="161"/>
        <v>0</v>
      </c>
      <c r="O3322" s="25">
        <f>0.371*M3322</f>
        <v>0</v>
      </c>
      <c r="P3322" s="26">
        <f>0.00653*M3322</f>
        <v>0</v>
      </c>
      <c r="Q3322" s="30"/>
      <c r="R3322" s="22" t="s">
        <v>11586</v>
      </c>
      <c r="S3322" s="22"/>
      <c r="T3322" s="21" t="str">
        <f>HYPERLINK("https://miland.ru/api/getInfo/image/0b9a2347-21a9-11f0-a279-00155d82e908")</f>
        <v>https://miland.ru/api/getInfo/image/0b9a2347-21a9-11f0-a279-00155d82e908</v>
      </c>
      <c r="U3322" s="21"/>
      <c r="V3322" s="21" t="s">
        <v>650</v>
      </c>
      <c r="W3322" s="21" t="s">
        <v>70</v>
      </c>
      <c r="X3322" s="21"/>
      <c r="Y3322" s="21" t="s">
        <v>697</v>
      </c>
      <c r="Z3322" s="21"/>
      <c r="AA3322" s="21" t="str">
        <f>HYPERLINK("https://miland.ru/api/getInfo/item/0b9a2347-21a9-11f0-a279-00155d82e908")</f>
        <v>https://miland.ru/api/getInfo/item/0b9a2347-21a9-11f0-a279-00155d82e908</v>
      </c>
      <c r="AB3322" s="21" t="s">
        <v>42</v>
      </c>
      <c r="AC3322" s="21"/>
      <c r="AD3322" s="21"/>
    </row>
    <row r="3323" spans="2:30" s="1" customFormat="1" ht="96.3" customHeight="1" outlineLevel="5">
      <c r="B3323" s="57">
        <v>2590</v>
      </c>
      <c r="C3323" s="21" t="s">
        <v>11587</v>
      </c>
      <c r="D3323" s="72" t="s">
        <v>11588</v>
      </c>
      <c r="E3323" s="72"/>
      <c r="F3323" s="72"/>
      <c r="G3323" s="72"/>
      <c r="H3323" s="22" t="s">
        <v>11589</v>
      </c>
      <c r="I3323" s="27">
        <v>431</v>
      </c>
      <c r="J3323" s="22"/>
      <c r="K3323" s="20">
        <v>1</v>
      </c>
      <c r="L3323" s="24">
        <v>597.15</v>
      </c>
      <c r="M3323" s="11"/>
      <c r="N3323" s="22">
        <f t="shared" si="161"/>
        <v>0</v>
      </c>
      <c r="O3323" s="25">
        <f>8.918*M3323</f>
        <v>0</v>
      </c>
      <c r="P3323" s="26">
        <f>0.06861*M3323</f>
        <v>0</v>
      </c>
      <c r="Q3323" s="30"/>
      <c r="R3323" s="22" t="s">
        <v>11590</v>
      </c>
      <c r="S3323" s="22"/>
      <c r="T3323" s="21" t="str">
        <f>HYPERLINK("https://miland.ru/api/getInfo/image/d62f7805-2ab5-11ee-a23d-00155d82e902")</f>
        <v>https://miland.ru/api/getInfo/image/d62f7805-2ab5-11ee-a23d-00155d82e902</v>
      </c>
      <c r="U3323" s="21"/>
      <c r="V3323" s="21" t="s">
        <v>650</v>
      </c>
      <c r="W3323" s="21" t="s">
        <v>70</v>
      </c>
      <c r="X3323" s="21"/>
      <c r="Y3323" s="21" t="s">
        <v>697</v>
      </c>
      <c r="Z3323" s="21"/>
      <c r="AA3323" s="21" t="str">
        <f>HYPERLINK("https://miland.ru/api/getInfo/item/d62f7805-2ab5-11ee-a23d-00155d82e902")</f>
        <v>https://miland.ru/api/getInfo/item/d62f7805-2ab5-11ee-a23d-00155d82e902</v>
      </c>
      <c r="AB3323" s="21" t="s">
        <v>42</v>
      </c>
      <c r="AC3323" s="21"/>
      <c r="AD3323" s="21"/>
    </row>
    <row r="3324" spans="2:30" s="1" customFormat="1" ht="96.3" customHeight="1" outlineLevel="5">
      <c r="B3324" s="57">
        <v>2591</v>
      </c>
      <c r="C3324" s="21" t="s">
        <v>11591</v>
      </c>
      <c r="D3324" s="72" t="s">
        <v>11592</v>
      </c>
      <c r="E3324" s="72"/>
      <c r="F3324" s="72"/>
      <c r="G3324" s="72"/>
      <c r="H3324" s="22" t="s">
        <v>11593</v>
      </c>
      <c r="I3324" s="27">
        <v>277</v>
      </c>
      <c r="J3324" s="22"/>
      <c r="K3324" s="20">
        <v>1</v>
      </c>
      <c r="L3324" s="24">
        <v>635.91</v>
      </c>
      <c r="M3324" s="11"/>
      <c r="N3324" s="22">
        <f t="shared" si="161"/>
        <v>0</v>
      </c>
      <c r="O3324" s="25">
        <f>0.383*M3324</f>
        <v>0</v>
      </c>
      <c r="P3324" s="26">
        <f>0.00538*M3324</f>
        <v>0</v>
      </c>
      <c r="Q3324" s="30"/>
      <c r="R3324" s="22" t="s">
        <v>11594</v>
      </c>
      <c r="S3324" s="22"/>
      <c r="T3324" s="21" t="str">
        <f>HYPERLINK("https://miland.ru/api/getInfo/image/a0bb6af6-7a13-11ee-a248-00155d82e902")</f>
        <v>https://miland.ru/api/getInfo/image/a0bb6af6-7a13-11ee-a248-00155d82e902</v>
      </c>
      <c r="U3324" s="21"/>
      <c r="V3324" s="21" t="s">
        <v>650</v>
      </c>
      <c r="W3324" s="21" t="s">
        <v>70</v>
      </c>
      <c r="X3324" s="21"/>
      <c r="Y3324" s="21" t="s">
        <v>697</v>
      </c>
      <c r="Z3324" s="21"/>
      <c r="AA3324" s="21" t="str">
        <f>HYPERLINK("https://miland.ru/api/getInfo/item/a0bb6af6-7a13-11ee-a248-00155d82e902")</f>
        <v>https://miland.ru/api/getInfo/item/a0bb6af6-7a13-11ee-a248-00155d82e902</v>
      </c>
      <c r="AB3324" s="21" t="s">
        <v>42</v>
      </c>
      <c r="AC3324" s="21" t="s">
        <v>4670</v>
      </c>
      <c r="AD3324" s="21"/>
    </row>
    <row r="3325" spans="2:30" s="1" customFormat="1" ht="96.3" customHeight="1" outlineLevel="5">
      <c r="B3325" s="57">
        <v>2592</v>
      </c>
      <c r="C3325" s="21" t="s">
        <v>11595</v>
      </c>
      <c r="D3325" s="72" t="s">
        <v>11596</v>
      </c>
      <c r="E3325" s="72"/>
      <c r="F3325" s="72"/>
      <c r="G3325" s="72"/>
      <c r="H3325" s="22" t="s">
        <v>11597</v>
      </c>
      <c r="I3325" s="27">
        <v>185</v>
      </c>
      <c r="J3325" s="22"/>
      <c r="K3325" s="20">
        <v>1</v>
      </c>
      <c r="L3325" s="24">
        <v>631.65</v>
      </c>
      <c r="M3325" s="11"/>
      <c r="N3325" s="22">
        <f t="shared" si="161"/>
        <v>0</v>
      </c>
      <c r="O3325" s="25">
        <f>0.244*M3325</f>
        <v>0</v>
      </c>
      <c r="P3325" s="26">
        <f>0.00352*M3325</f>
        <v>0</v>
      </c>
      <c r="Q3325" s="30"/>
      <c r="R3325" s="22" t="s">
        <v>11598</v>
      </c>
      <c r="S3325" s="22"/>
      <c r="T3325" s="21" t="str">
        <f>HYPERLINK("https://miland.ru/api/getInfo/image/0c51fb48-7a13-11ee-a248-00155d82e902")</f>
        <v>https://miland.ru/api/getInfo/image/0c51fb48-7a13-11ee-a248-00155d82e902</v>
      </c>
      <c r="U3325" s="21"/>
      <c r="V3325" s="21" t="s">
        <v>650</v>
      </c>
      <c r="W3325" s="21" t="s">
        <v>70</v>
      </c>
      <c r="X3325" s="21"/>
      <c r="Y3325" s="21" t="s">
        <v>697</v>
      </c>
      <c r="Z3325" s="21"/>
      <c r="AA3325" s="21" t="str">
        <f>HYPERLINK("https://miland.ru/api/getInfo/item/0c51fb48-7a13-11ee-a248-00155d82e902")</f>
        <v>https://miland.ru/api/getInfo/item/0c51fb48-7a13-11ee-a248-00155d82e902</v>
      </c>
      <c r="AB3325" s="21" t="s">
        <v>42</v>
      </c>
      <c r="AC3325" s="21" t="s">
        <v>11557</v>
      </c>
      <c r="AD3325" s="21"/>
    </row>
    <row r="3326" spans="2:30" s="1" customFormat="1" ht="96.3" customHeight="1" outlineLevel="5">
      <c r="B3326" s="57">
        <v>2593</v>
      </c>
      <c r="C3326" s="21" t="s">
        <v>11599</v>
      </c>
      <c r="D3326" s="72" t="s">
        <v>11600</v>
      </c>
      <c r="E3326" s="72"/>
      <c r="F3326" s="72"/>
      <c r="G3326" s="72"/>
      <c r="H3326" s="22" t="s">
        <v>11601</v>
      </c>
      <c r="I3326" s="27">
        <v>268</v>
      </c>
      <c r="J3326" s="22"/>
      <c r="K3326" s="20">
        <v>1</v>
      </c>
      <c r="L3326" s="24">
        <v>695.88</v>
      </c>
      <c r="M3326" s="11"/>
      <c r="N3326" s="22">
        <f t="shared" si="161"/>
        <v>0</v>
      </c>
      <c r="O3326" s="25">
        <f>0.281*M3326</f>
        <v>0</v>
      </c>
      <c r="P3326" s="26">
        <f>0.00358*M3326</f>
        <v>0</v>
      </c>
      <c r="Q3326" s="30"/>
      <c r="R3326" s="22" t="s">
        <v>11602</v>
      </c>
      <c r="S3326" s="22"/>
      <c r="T3326" s="21" t="str">
        <f>HYPERLINK("https://miland.ru/api/getInfo/image/872f62ce-7a13-11ee-a248-00155d82e902")</f>
        <v>https://miland.ru/api/getInfo/image/872f62ce-7a13-11ee-a248-00155d82e902</v>
      </c>
      <c r="U3326" s="21"/>
      <c r="V3326" s="21" t="s">
        <v>650</v>
      </c>
      <c r="W3326" s="21" t="s">
        <v>70</v>
      </c>
      <c r="X3326" s="21"/>
      <c r="Y3326" s="21" t="s">
        <v>697</v>
      </c>
      <c r="Z3326" s="21"/>
      <c r="AA3326" s="21" t="str">
        <f>HYPERLINK("https://miland.ru/api/getInfo/item/872f62ce-7a13-11ee-a248-00155d82e902")</f>
        <v>https://miland.ru/api/getInfo/item/872f62ce-7a13-11ee-a248-00155d82e902</v>
      </c>
      <c r="AB3326" s="21" t="s">
        <v>42</v>
      </c>
      <c r="AC3326" s="21" t="s">
        <v>11603</v>
      </c>
      <c r="AD3326" s="21"/>
    </row>
    <row r="3327" spans="2:30" s="1" customFormat="1" ht="96.3" customHeight="1" outlineLevel="5">
      <c r="B3327" s="57">
        <v>2594</v>
      </c>
      <c r="C3327" s="21" t="s">
        <v>11604</v>
      </c>
      <c r="D3327" s="72" t="s">
        <v>11605</v>
      </c>
      <c r="E3327" s="72"/>
      <c r="F3327" s="72"/>
      <c r="G3327" s="72"/>
      <c r="H3327" s="22" t="s">
        <v>11606</v>
      </c>
      <c r="I3327" s="27">
        <v>147</v>
      </c>
      <c r="J3327" s="22"/>
      <c r="K3327" s="20">
        <v>1</v>
      </c>
      <c r="L3327" s="24">
        <v>888.13</v>
      </c>
      <c r="M3327" s="11"/>
      <c r="N3327" s="22">
        <f t="shared" si="161"/>
        <v>0</v>
      </c>
      <c r="O3327" s="25">
        <f>0.456*M3327</f>
        <v>0</v>
      </c>
      <c r="P3327" s="26">
        <f>0.00798*M3327</f>
        <v>0</v>
      </c>
      <c r="Q3327" s="30"/>
      <c r="R3327" s="22" t="s">
        <v>11607</v>
      </c>
      <c r="S3327" s="22"/>
      <c r="T3327" s="21" t="str">
        <f>HYPERLINK("https://miland.ru/api/getInfo/image/9205e7c9-21a4-11f0-a279-00155d82e908")</f>
        <v>https://miland.ru/api/getInfo/image/9205e7c9-21a4-11f0-a279-00155d82e908</v>
      </c>
      <c r="U3327" s="21"/>
      <c r="V3327" s="21" t="s">
        <v>650</v>
      </c>
      <c r="W3327" s="21" t="s">
        <v>70</v>
      </c>
      <c r="X3327" s="21"/>
      <c r="Y3327" s="21" t="s">
        <v>697</v>
      </c>
      <c r="Z3327" s="21"/>
      <c r="AA3327" s="21" t="str">
        <f>HYPERLINK("https://miland.ru/api/getInfo/item/9205e7c9-21a4-11f0-a279-00155d82e908")</f>
        <v>https://miland.ru/api/getInfo/item/9205e7c9-21a4-11f0-a279-00155d82e908</v>
      </c>
      <c r="AB3327" s="21" t="s">
        <v>42</v>
      </c>
      <c r="AC3327" s="21"/>
      <c r="AD3327" s="21"/>
    </row>
    <row r="3328" spans="2:30" s="1" customFormat="1" ht="96.3" customHeight="1" outlineLevel="5">
      <c r="B3328" s="57">
        <v>2595</v>
      </c>
      <c r="C3328" s="21" t="s">
        <v>11608</v>
      </c>
      <c r="D3328" s="72" t="s">
        <v>11609</v>
      </c>
      <c r="E3328" s="72"/>
      <c r="F3328" s="72"/>
      <c r="G3328" s="72"/>
      <c r="H3328" s="22" t="s">
        <v>11610</v>
      </c>
      <c r="I3328" s="27">
        <v>273</v>
      </c>
      <c r="J3328" s="22"/>
      <c r="K3328" s="20">
        <v>1</v>
      </c>
      <c r="L3328" s="24">
        <v>685.18</v>
      </c>
      <c r="M3328" s="11"/>
      <c r="N3328" s="22">
        <f t="shared" si="161"/>
        <v>0</v>
      </c>
      <c r="O3328" s="25">
        <f>0.388*M3328</f>
        <v>0</v>
      </c>
      <c r="P3328" s="26">
        <f>0.00577*M3328</f>
        <v>0</v>
      </c>
      <c r="Q3328" s="30"/>
      <c r="R3328" s="22" t="s">
        <v>11611</v>
      </c>
      <c r="S3328" s="22"/>
      <c r="T3328" s="21" t="str">
        <f>HYPERLINK("https://miland.ru/api/getInfo/image/a038f075-7a10-11ee-a248-00155d82e902")</f>
        <v>https://miland.ru/api/getInfo/image/a038f075-7a10-11ee-a248-00155d82e902</v>
      </c>
      <c r="U3328" s="21"/>
      <c r="V3328" s="21" t="s">
        <v>650</v>
      </c>
      <c r="W3328" s="21" t="s">
        <v>70</v>
      </c>
      <c r="X3328" s="21"/>
      <c r="Y3328" s="21" t="s">
        <v>697</v>
      </c>
      <c r="Z3328" s="21"/>
      <c r="AA3328" s="21" t="str">
        <f>HYPERLINK("https://miland.ru/api/getInfo/item/a038f075-7a10-11ee-a248-00155d82e902")</f>
        <v>https://miland.ru/api/getInfo/item/a038f075-7a10-11ee-a248-00155d82e902</v>
      </c>
      <c r="AB3328" s="21" t="s">
        <v>42</v>
      </c>
      <c r="AC3328" s="21" t="s">
        <v>11612</v>
      </c>
      <c r="AD3328" s="21"/>
    </row>
    <row r="3329" spans="2:31" s="1" customFormat="1" ht="96.3" customHeight="1" outlineLevel="5">
      <c r="B3329" s="57">
        <v>2596</v>
      </c>
      <c r="C3329" s="21" t="s">
        <v>11613</v>
      </c>
      <c r="D3329" s="72" t="s">
        <v>11614</v>
      </c>
      <c r="E3329" s="72"/>
      <c r="F3329" s="72"/>
      <c r="G3329" s="72"/>
      <c r="H3329" s="22" t="s">
        <v>11615</v>
      </c>
      <c r="I3329" s="27">
        <v>270</v>
      </c>
      <c r="J3329" s="22"/>
      <c r="K3329" s="20">
        <v>1</v>
      </c>
      <c r="L3329" s="24">
        <v>711.94</v>
      </c>
      <c r="M3329" s="11"/>
      <c r="N3329" s="22">
        <f t="shared" si="161"/>
        <v>0</v>
      </c>
      <c r="O3329" s="25">
        <f>0.262*M3329</f>
        <v>0</v>
      </c>
      <c r="P3329" s="26">
        <f>0.00319*M3329</f>
        <v>0</v>
      </c>
      <c r="Q3329" s="30"/>
      <c r="R3329" s="22" t="s">
        <v>11616</v>
      </c>
      <c r="S3329" s="22"/>
      <c r="T3329" s="21" t="str">
        <f>HYPERLINK("https://miland.ru/api/getInfo/image/5321a3fc-7a13-11ee-a248-00155d82e902")</f>
        <v>https://miland.ru/api/getInfo/image/5321a3fc-7a13-11ee-a248-00155d82e902</v>
      </c>
      <c r="U3329" s="21"/>
      <c r="V3329" s="21" t="s">
        <v>650</v>
      </c>
      <c r="W3329" s="21" t="s">
        <v>70</v>
      </c>
      <c r="X3329" s="21"/>
      <c r="Y3329" s="21" t="s">
        <v>697</v>
      </c>
      <c r="Z3329" s="21"/>
      <c r="AA3329" s="21" t="str">
        <f>HYPERLINK("https://miland.ru/api/getInfo/item/5321a3fc-7a13-11ee-a248-00155d82e902")</f>
        <v>https://miland.ru/api/getInfo/item/5321a3fc-7a13-11ee-a248-00155d82e902</v>
      </c>
      <c r="AB3329" s="21" t="s">
        <v>42</v>
      </c>
      <c r="AC3329" s="21" t="s">
        <v>11617</v>
      </c>
      <c r="AD3329" s="21"/>
    </row>
    <row r="3330" spans="2:31" s="1" customFormat="1" ht="96.3" customHeight="1" outlineLevel="5">
      <c r="B3330" s="57">
        <v>2597</v>
      </c>
      <c r="C3330" s="21" t="s">
        <v>11618</v>
      </c>
      <c r="D3330" s="72" t="s">
        <v>11619</v>
      </c>
      <c r="E3330" s="72"/>
      <c r="F3330" s="72"/>
      <c r="G3330" s="72"/>
      <c r="H3330" s="22" t="s">
        <v>11620</v>
      </c>
      <c r="I3330" s="27">
        <v>55</v>
      </c>
      <c r="J3330" s="22"/>
      <c r="K3330" s="20">
        <v>1</v>
      </c>
      <c r="L3330" s="24">
        <v>899.29</v>
      </c>
      <c r="M3330" s="11"/>
      <c r="N3330" s="22">
        <f t="shared" si="161"/>
        <v>0</v>
      </c>
      <c r="O3330" s="25">
        <f>0.428*M3330</f>
        <v>0</v>
      </c>
      <c r="P3330" s="26">
        <f>0.00653*M3330</f>
        <v>0</v>
      </c>
      <c r="Q3330" s="30"/>
      <c r="R3330" s="22" t="s">
        <v>11621</v>
      </c>
      <c r="S3330" s="22"/>
      <c r="T3330" s="21" t="str">
        <f>HYPERLINK("https://miland.ru/api/getInfo/image/46fe29e7-2ab5-11ee-a23d-00155d82e902")</f>
        <v>https://miland.ru/api/getInfo/image/46fe29e7-2ab5-11ee-a23d-00155d82e902</v>
      </c>
      <c r="U3330" s="21"/>
      <c r="V3330" s="21" t="s">
        <v>650</v>
      </c>
      <c r="W3330" s="21" t="s">
        <v>70</v>
      </c>
      <c r="X3330" s="21"/>
      <c r="Y3330" s="21" t="s">
        <v>697</v>
      </c>
      <c r="Z3330" s="21"/>
      <c r="AA3330" s="21" t="str">
        <f>HYPERLINK("https://miland.ru/api/getInfo/item/46fe29e7-2ab5-11ee-a23d-00155d82e902")</f>
        <v>https://miland.ru/api/getInfo/item/46fe29e7-2ab5-11ee-a23d-00155d82e902</v>
      </c>
      <c r="AB3330" s="21" t="s">
        <v>42</v>
      </c>
      <c r="AC3330" s="21"/>
      <c r="AD3330" s="21"/>
    </row>
    <row r="3331" spans="2:31" s="1" customFormat="1" ht="96.3" customHeight="1" outlineLevel="5">
      <c r="B3331" s="57">
        <v>2598</v>
      </c>
      <c r="C3331" s="21" t="s">
        <v>11622</v>
      </c>
      <c r="D3331" s="72" t="s">
        <v>11623</v>
      </c>
      <c r="E3331" s="72"/>
      <c r="F3331" s="72"/>
      <c r="G3331" s="72"/>
      <c r="H3331" s="22" t="s">
        <v>11624</v>
      </c>
      <c r="I3331" s="27">
        <v>146</v>
      </c>
      <c r="J3331" s="22"/>
      <c r="K3331" s="20">
        <v>1</v>
      </c>
      <c r="L3331" s="24">
        <v>711.94</v>
      </c>
      <c r="M3331" s="11"/>
      <c r="N3331" s="22">
        <f t="shared" si="161"/>
        <v>0</v>
      </c>
      <c r="O3331" s="25">
        <f>0.272*M3331</f>
        <v>0</v>
      </c>
      <c r="P3331" s="26">
        <f>0.00353*M3331</f>
        <v>0</v>
      </c>
      <c r="Q3331" s="30"/>
      <c r="R3331" s="22" t="s">
        <v>11625</v>
      </c>
      <c r="S3331" s="22"/>
      <c r="T3331" s="21" t="str">
        <f>HYPERLINK("https://miland.ru/api/getInfo/image/6e5d4b39-7a13-11ee-a248-00155d82e902")</f>
        <v>https://miland.ru/api/getInfo/image/6e5d4b39-7a13-11ee-a248-00155d82e902</v>
      </c>
      <c r="U3331" s="21"/>
      <c r="V3331" s="21" t="s">
        <v>650</v>
      </c>
      <c r="W3331" s="21" t="s">
        <v>70</v>
      </c>
      <c r="X3331" s="21"/>
      <c r="Y3331" s="21" t="s">
        <v>697</v>
      </c>
      <c r="Z3331" s="21"/>
      <c r="AA3331" s="21" t="str">
        <f>HYPERLINK("https://miland.ru/api/getInfo/item/6e5d4b39-7a13-11ee-a248-00155d82e902")</f>
        <v>https://miland.ru/api/getInfo/item/6e5d4b39-7a13-11ee-a248-00155d82e902</v>
      </c>
      <c r="AB3331" s="21" t="s">
        <v>42</v>
      </c>
      <c r="AC3331" s="21" t="s">
        <v>11617</v>
      </c>
      <c r="AD3331" s="21"/>
    </row>
    <row r="3332" spans="2:31" s="1" customFormat="1" ht="96.3" customHeight="1" outlineLevel="5">
      <c r="B3332" s="57">
        <v>2599</v>
      </c>
      <c r="C3332" s="21" t="s">
        <v>11626</v>
      </c>
      <c r="D3332" s="72" t="s">
        <v>11627</v>
      </c>
      <c r="E3332" s="72"/>
      <c r="F3332" s="72"/>
      <c r="G3332" s="72"/>
      <c r="H3332" s="22" t="s">
        <v>11628</v>
      </c>
      <c r="I3332" s="27">
        <v>74</v>
      </c>
      <c r="J3332" s="22"/>
      <c r="K3332" s="20">
        <v>1</v>
      </c>
      <c r="L3332" s="24">
        <v>455.45</v>
      </c>
      <c r="M3332" s="11"/>
      <c r="N3332" s="22">
        <f t="shared" si="161"/>
        <v>0</v>
      </c>
      <c r="O3332" s="25">
        <f>0.225*M3332</f>
        <v>0</v>
      </c>
      <c r="P3332" s="26">
        <f>0.00243*M3332</f>
        <v>0</v>
      </c>
      <c r="Q3332" s="30"/>
      <c r="R3332" s="22" t="s">
        <v>11629</v>
      </c>
      <c r="S3332" s="22"/>
      <c r="T3332" s="21" t="str">
        <f>HYPERLINK("https://miland.ru/api/getInfo/image/ff7f827a-21a5-11f0-a279-00155d82e908")</f>
        <v>https://miland.ru/api/getInfo/image/ff7f827a-21a5-11f0-a279-00155d82e908</v>
      </c>
      <c r="U3332" s="21"/>
      <c r="V3332" s="21" t="s">
        <v>650</v>
      </c>
      <c r="W3332" s="21" t="s">
        <v>70</v>
      </c>
      <c r="X3332" s="21"/>
      <c r="Y3332" s="21" t="s">
        <v>697</v>
      </c>
      <c r="Z3332" s="21"/>
      <c r="AA3332" s="21" t="str">
        <f>HYPERLINK("https://miland.ru/api/getInfo/item/ff7f827a-21a5-11f0-a279-00155d82e908")</f>
        <v>https://miland.ru/api/getInfo/item/ff7f827a-21a5-11f0-a279-00155d82e908</v>
      </c>
      <c r="AB3332" s="21" t="s">
        <v>42</v>
      </c>
      <c r="AC3332" s="21"/>
      <c r="AD3332" s="21"/>
    </row>
    <row r="3333" spans="2:31" s="1" customFormat="1" ht="96.3" customHeight="1" outlineLevel="5">
      <c r="B3333" s="57">
        <v>2600</v>
      </c>
      <c r="C3333" s="21" t="s">
        <v>11630</v>
      </c>
      <c r="D3333" s="72" t="s">
        <v>11631</v>
      </c>
      <c r="E3333" s="72"/>
      <c r="F3333" s="72"/>
      <c r="G3333" s="72"/>
      <c r="H3333" s="22" t="s">
        <v>11632</v>
      </c>
      <c r="I3333" s="27">
        <v>79</v>
      </c>
      <c r="J3333" s="22"/>
      <c r="K3333" s="20">
        <v>1</v>
      </c>
      <c r="L3333" s="24">
        <v>535.29999999999995</v>
      </c>
      <c r="M3333" s="11"/>
      <c r="N3333" s="22">
        <f t="shared" si="161"/>
        <v>0</v>
      </c>
      <c r="O3333" s="28">
        <f>0.31*M3333</f>
        <v>0</v>
      </c>
      <c r="P3333" s="26">
        <f>0.00459*M3333</f>
        <v>0</v>
      </c>
      <c r="Q3333" s="30"/>
      <c r="R3333" s="22" t="s">
        <v>11633</v>
      </c>
      <c r="S3333" s="22"/>
      <c r="T3333" s="21" t="str">
        <f>HYPERLINK("https://miland.ru/api/getInfo/image/db5b517d-7a11-11ee-a248-00155d82e902")</f>
        <v>https://miland.ru/api/getInfo/image/db5b517d-7a11-11ee-a248-00155d82e902</v>
      </c>
      <c r="U3333" s="21"/>
      <c r="V3333" s="21" t="s">
        <v>650</v>
      </c>
      <c r="W3333" s="21" t="s">
        <v>70</v>
      </c>
      <c r="X3333" s="21"/>
      <c r="Y3333" s="21" t="s">
        <v>697</v>
      </c>
      <c r="Z3333" s="21"/>
      <c r="AA3333" s="21" t="str">
        <f>HYPERLINK("https://miland.ru/api/getInfo/item/db5b517d-7a11-11ee-a248-00155d82e902")</f>
        <v>https://miland.ru/api/getInfo/item/db5b517d-7a11-11ee-a248-00155d82e902</v>
      </c>
      <c r="AB3333" s="21" t="s">
        <v>42</v>
      </c>
      <c r="AC3333" s="21" t="s">
        <v>11634</v>
      </c>
      <c r="AD3333" s="21"/>
    </row>
    <row r="3334" spans="2:31" s="1" customFormat="1" ht="96.3" customHeight="1" outlineLevel="5">
      <c r="B3334" s="57">
        <v>2601</v>
      </c>
      <c r="C3334" s="21" t="s">
        <v>11635</v>
      </c>
      <c r="D3334" s="72" t="s">
        <v>11636</v>
      </c>
      <c r="E3334" s="72"/>
      <c r="F3334" s="72"/>
      <c r="G3334" s="72"/>
      <c r="H3334" s="22" t="s">
        <v>11637</v>
      </c>
      <c r="I3334" s="27">
        <v>139</v>
      </c>
      <c r="J3334" s="22"/>
      <c r="K3334" s="20">
        <v>1</v>
      </c>
      <c r="L3334" s="24">
        <v>535.29999999999995</v>
      </c>
      <c r="M3334" s="11"/>
      <c r="N3334" s="22">
        <f t="shared" si="161"/>
        <v>0</v>
      </c>
      <c r="O3334" s="25">
        <f>0.293*M3334</f>
        <v>0</v>
      </c>
      <c r="P3334" s="26">
        <f>0.00442*M3334</f>
        <v>0</v>
      </c>
      <c r="Q3334" s="30"/>
      <c r="R3334" s="22" t="s">
        <v>11638</v>
      </c>
      <c r="S3334" s="22"/>
      <c r="T3334" s="21" t="str">
        <f>HYPERLINK("https://miland.ru/api/getInfo/image/d855e7d2-7a10-11ee-a248-00155d82e902")</f>
        <v>https://miland.ru/api/getInfo/image/d855e7d2-7a10-11ee-a248-00155d82e902</v>
      </c>
      <c r="U3334" s="21"/>
      <c r="V3334" s="21" t="s">
        <v>650</v>
      </c>
      <c r="W3334" s="21" t="s">
        <v>70</v>
      </c>
      <c r="X3334" s="21"/>
      <c r="Y3334" s="21" t="s">
        <v>697</v>
      </c>
      <c r="Z3334" s="21"/>
      <c r="AA3334" s="21" t="str">
        <f>HYPERLINK("https://miland.ru/api/getInfo/item/d855e7d2-7a10-11ee-a248-00155d82e902")</f>
        <v>https://miland.ru/api/getInfo/item/d855e7d2-7a10-11ee-a248-00155d82e902</v>
      </c>
      <c r="AB3334" s="21" t="s">
        <v>42</v>
      </c>
      <c r="AC3334" s="21" t="s">
        <v>11634</v>
      </c>
      <c r="AD3334" s="21"/>
    </row>
    <row r="3335" spans="2:31" s="1" customFormat="1" ht="96.3" customHeight="1" outlineLevel="5">
      <c r="B3335" s="57">
        <v>2602</v>
      </c>
      <c r="C3335" s="21" t="s">
        <v>11639</v>
      </c>
      <c r="D3335" s="72" t="s">
        <v>11640</v>
      </c>
      <c r="E3335" s="72"/>
      <c r="F3335" s="72"/>
      <c r="G3335" s="72"/>
      <c r="H3335" s="22" t="s">
        <v>11641</v>
      </c>
      <c r="I3335" s="27">
        <v>100</v>
      </c>
      <c r="J3335" s="22"/>
      <c r="K3335" s="20">
        <v>1</v>
      </c>
      <c r="L3335" s="24">
        <v>535.29999999999995</v>
      </c>
      <c r="M3335" s="11"/>
      <c r="N3335" s="22">
        <f t="shared" si="161"/>
        <v>0</v>
      </c>
      <c r="O3335" s="25">
        <f>0.236*M3335</f>
        <v>0</v>
      </c>
      <c r="P3335" s="26">
        <f>0.00365*M3335</f>
        <v>0</v>
      </c>
      <c r="Q3335" s="30"/>
      <c r="R3335" s="22" t="s">
        <v>11642</v>
      </c>
      <c r="S3335" s="22"/>
      <c r="T3335" s="21" t="str">
        <f>HYPERLINK("https://miland.ru/api/getInfo/image/b648bb57-7a12-11ee-a248-00155d82e902")</f>
        <v>https://miland.ru/api/getInfo/image/b648bb57-7a12-11ee-a248-00155d82e902</v>
      </c>
      <c r="U3335" s="21"/>
      <c r="V3335" s="21" t="s">
        <v>650</v>
      </c>
      <c r="W3335" s="21" t="s">
        <v>70</v>
      </c>
      <c r="X3335" s="21"/>
      <c r="Y3335" s="21" t="s">
        <v>697</v>
      </c>
      <c r="Z3335" s="21"/>
      <c r="AA3335" s="21" t="str">
        <f>HYPERLINK("https://miland.ru/api/getInfo/item/b648bb57-7a12-11ee-a248-00155d82e902")</f>
        <v>https://miland.ru/api/getInfo/item/b648bb57-7a12-11ee-a248-00155d82e902</v>
      </c>
      <c r="AB3335" s="21" t="s">
        <v>42</v>
      </c>
      <c r="AC3335" s="21" t="s">
        <v>11643</v>
      </c>
      <c r="AD3335" s="21"/>
    </row>
    <row r="3336" spans="2:31" s="1" customFormat="1" ht="96.3" customHeight="1" outlineLevel="5">
      <c r="B3336" s="57">
        <v>2603</v>
      </c>
      <c r="C3336" s="21" t="s">
        <v>11644</v>
      </c>
      <c r="D3336" s="72" t="s">
        <v>11645</v>
      </c>
      <c r="E3336" s="72"/>
      <c r="F3336" s="72"/>
      <c r="G3336" s="72"/>
      <c r="H3336" s="22" t="s">
        <v>11646</v>
      </c>
      <c r="I3336" s="27">
        <v>186</v>
      </c>
      <c r="J3336" s="22"/>
      <c r="K3336" s="20">
        <v>1</v>
      </c>
      <c r="L3336" s="24">
        <v>535.29999999999995</v>
      </c>
      <c r="M3336" s="11"/>
      <c r="N3336" s="22">
        <f t="shared" si="161"/>
        <v>0</v>
      </c>
      <c r="O3336" s="25">
        <f>0.242*M3336</f>
        <v>0</v>
      </c>
      <c r="P3336" s="26">
        <f>0.00348*M3336</f>
        <v>0</v>
      </c>
      <c r="Q3336" s="30"/>
      <c r="R3336" s="22" t="s">
        <v>11647</v>
      </c>
      <c r="S3336" s="22"/>
      <c r="T3336" s="21" t="str">
        <f>HYPERLINK("https://miland.ru/api/getInfo/image/8cec7e49-7a12-11ee-a248-00155d82e902")</f>
        <v>https://miland.ru/api/getInfo/image/8cec7e49-7a12-11ee-a248-00155d82e902</v>
      </c>
      <c r="U3336" s="21"/>
      <c r="V3336" s="21" t="s">
        <v>650</v>
      </c>
      <c r="W3336" s="21" t="s">
        <v>70</v>
      </c>
      <c r="X3336" s="21"/>
      <c r="Y3336" s="21" t="s">
        <v>697</v>
      </c>
      <c r="Z3336" s="21"/>
      <c r="AA3336" s="21" t="str">
        <f>HYPERLINK("https://miland.ru/api/getInfo/item/8cec7e49-7a12-11ee-a248-00155d82e902")</f>
        <v>https://miland.ru/api/getInfo/item/8cec7e49-7a12-11ee-a248-00155d82e902</v>
      </c>
      <c r="AB3336" s="21" t="s">
        <v>42</v>
      </c>
      <c r="AC3336" s="21" t="s">
        <v>11643</v>
      </c>
      <c r="AD3336" s="21"/>
    </row>
    <row r="3337" spans="2:31" s="1" customFormat="1" ht="96.3" customHeight="1" outlineLevel="5">
      <c r="B3337" s="57">
        <v>2604</v>
      </c>
      <c r="C3337" s="21" t="s">
        <v>11648</v>
      </c>
      <c r="D3337" s="72" t="s">
        <v>11649</v>
      </c>
      <c r="E3337" s="72"/>
      <c r="F3337" s="72"/>
      <c r="G3337" s="72"/>
      <c r="H3337" s="22" t="s">
        <v>11650</v>
      </c>
      <c r="I3337" s="27">
        <v>155</v>
      </c>
      <c r="J3337" s="22"/>
      <c r="K3337" s="20">
        <v>1</v>
      </c>
      <c r="L3337" s="24">
        <v>689.38</v>
      </c>
      <c r="M3337" s="11"/>
      <c r="N3337" s="22">
        <f t="shared" si="161"/>
        <v>0</v>
      </c>
      <c r="O3337" s="25">
        <f>0.332*M3337</f>
        <v>0</v>
      </c>
      <c r="P3337" s="29">
        <f>0.0054*M3337</f>
        <v>0</v>
      </c>
      <c r="Q3337" s="30"/>
      <c r="R3337" s="22" t="s">
        <v>11651</v>
      </c>
      <c r="S3337" s="22"/>
      <c r="T3337" s="21" t="str">
        <f>HYPERLINK("https://miland.ru/api/getInfo/image/f6ffa083-7a11-11ee-a248-00155d82e902")</f>
        <v>https://miland.ru/api/getInfo/image/f6ffa083-7a11-11ee-a248-00155d82e902</v>
      </c>
      <c r="U3337" s="21"/>
      <c r="V3337" s="21" t="s">
        <v>650</v>
      </c>
      <c r="W3337" s="21" t="s">
        <v>70</v>
      </c>
      <c r="X3337" s="21"/>
      <c r="Y3337" s="21" t="s">
        <v>697</v>
      </c>
      <c r="Z3337" s="21"/>
      <c r="AA3337" s="21" t="str">
        <f>HYPERLINK("https://miland.ru/api/getInfo/item/f6ffa083-7a11-11ee-a248-00155d82e902")</f>
        <v>https://miland.ru/api/getInfo/item/f6ffa083-7a11-11ee-a248-00155d82e902</v>
      </c>
      <c r="AB3337" s="21" t="s">
        <v>42</v>
      </c>
      <c r="AC3337" s="21" t="s">
        <v>11652</v>
      </c>
      <c r="AD3337" s="21"/>
    </row>
    <row r="3338" spans="2:31" s="1" customFormat="1" ht="96.3" customHeight="1" outlineLevel="5">
      <c r="B3338" s="57">
        <v>2605</v>
      </c>
      <c r="C3338" s="21" t="s">
        <v>11653</v>
      </c>
      <c r="D3338" s="72" t="s">
        <v>11654</v>
      </c>
      <c r="E3338" s="72"/>
      <c r="F3338" s="72"/>
      <c r="G3338" s="72"/>
      <c r="H3338" s="22" t="s">
        <v>11655</v>
      </c>
      <c r="I3338" s="23" t="s">
        <v>36</v>
      </c>
      <c r="J3338" s="22"/>
      <c r="K3338" s="20">
        <v>1</v>
      </c>
      <c r="L3338" s="24">
        <v>478.22</v>
      </c>
      <c r="M3338" s="11"/>
      <c r="N3338" s="22">
        <f t="shared" si="161"/>
        <v>0</v>
      </c>
      <c r="O3338" s="25">
        <f>0.355*M3338</f>
        <v>0</v>
      </c>
      <c r="P3338" s="26">
        <f>0.00499*M3338</f>
        <v>0</v>
      </c>
      <c r="Q3338" s="30"/>
      <c r="R3338" s="22" t="s">
        <v>11656</v>
      </c>
      <c r="S3338" s="22"/>
      <c r="T3338" s="21" t="str">
        <f>HYPERLINK("https://miland.ru/api/getInfo/image/a034d38a-21a5-11f0-a279-00155d82e908")</f>
        <v>https://miland.ru/api/getInfo/image/a034d38a-21a5-11f0-a279-00155d82e908</v>
      </c>
      <c r="U3338" s="21"/>
      <c r="V3338" s="21" t="s">
        <v>650</v>
      </c>
      <c r="W3338" s="21" t="s">
        <v>70</v>
      </c>
      <c r="X3338" s="21"/>
      <c r="Y3338" s="21" t="s">
        <v>697</v>
      </c>
      <c r="Z3338" s="21"/>
      <c r="AA3338" s="21" t="str">
        <f>HYPERLINK("https://miland.ru/api/getInfo/item/a034d38a-21a5-11f0-a279-00155d82e908")</f>
        <v>https://miland.ru/api/getInfo/item/a034d38a-21a5-11f0-a279-00155d82e908</v>
      </c>
      <c r="AB3338" s="21" t="s">
        <v>42</v>
      </c>
      <c r="AC3338" s="21"/>
      <c r="AD3338" s="21"/>
    </row>
    <row r="3339" spans="2:31" s="1" customFormat="1" ht="96.3" customHeight="1" outlineLevel="5">
      <c r="B3339" s="57">
        <v>2606</v>
      </c>
      <c r="C3339" s="21" t="s">
        <v>11657</v>
      </c>
      <c r="D3339" s="72" t="s">
        <v>11658</v>
      </c>
      <c r="E3339" s="72"/>
      <c r="F3339" s="72"/>
      <c r="G3339" s="72"/>
      <c r="H3339" s="22" t="s">
        <v>11659</v>
      </c>
      <c r="I3339" s="27">
        <v>121</v>
      </c>
      <c r="J3339" s="22"/>
      <c r="K3339" s="20">
        <v>1</v>
      </c>
      <c r="L3339" s="24">
        <v>728.72</v>
      </c>
      <c r="M3339" s="11"/>
      <c r="N3339" s="22">
        <f t="shared" si="161"/>
        <v>0</v>
      </c>
      <c r="O3339" s="25">
        <f>0.565*M3339</f>
        <v>0</v>
      </c>
      <c r="P3339" s="26">
        <f>0.00763*M3339</f>
        <v>0</v>
      </c>
      <c r="Q3339" s="30"/>
      <c r="R3339" s="22" t="s">
        <v>11660</v>
      </c>
      <c r="S3339" s="22"/>
      <c r="T3339" s="21" t="str">
        <f>HYPERLINK("https://miland.ru/api/getInfo/image/42d1d00b-21a5-11f0-a279-00155d82e908")</f>
        <v>https://miland.ru/api/getInfo/image/42d1d00b-21a5-11f0-a279-00155d82e908</v>
      </c>
      <c r="U3339" s="21"/>
      <c r="V3339" s="21" t="s">
        <v>650</v>
      </c>
      <c r="W3339" s="21" t="s">
        <v>70</v>
      </c>
      <c r="X3339" s="21"/>
      <c r="Y3339" s="21" t="s">
        <v>697</v>
      </c>
      <c r="Z3339" s="21"/>
      <c r="AA3339" s="21" t="str">
        <f>HYPERLINK("https://miland.ru/api/getInfo/item/42d1d00b-21a5-11f0-a279-00155d82e908")</f>
        <v>https://miland.ru/api/getInfo/item/42d1d00b-21a5-11f0-a279-00155d82e908</v>
      </c>
      <c r="AB3339" s="21" t="s">
        <v>42</v>
      </c>
      <c r="AC3339" s="21"/>
      <c r="AD3339" s="21"/>
    </row>
    <row r="3340" spans="2:31" s="1" customFormat="1" ht="96.3" customHeight="1" outlineLevel="5">
      <c r="B3340" s="58">
        <v>2607</v>
      </c>
      <c r="C3340" s="7" t="s">
        <v>11661</v>
      </c>
      <c r="D3340" s="71" t="s">
        <v>11662</v>
      </c>
      <c r="E3340" s="71"/>
      <c r="F3340" s="71"/>
      <c r="G3340" s="71"/>
      <c r="H3340" s="8" t="s">
        <v>11663</v>
      </c>
      <c r="I3340" s="14">
        <v>129</v>
      </c>
      <c r="J3340" s="8"/>
      <c r="K3340" s="6">
        <v>1</v>
      </c>
      <c r="L3340" s="10">
        <v>693.01</v>
      </c>
      <c r="M3340" s="11"/>
      <c r="N3340" s="8">
        <f t="shared" si="161"/>
        <v>0</v>
      </c>
      <c r="O3340" s="18">
        <f>0.28*M3340</f>
        <v>0</v>
      </c>
      <c r="P3340" s="13">
        <f>0.00328*M3340</f>
        <v>0</v>
      </c>
      <c r="Q3340" s="17" t="s">
        <v>37</v>
      </c>
      <c r="R3340" s="8" t="s">
        <v>11664</v>
      </c>
      <c r="S3340" s="8" t="s">
        <v>435</v>
      </c>
      <c r="T3340" s="7" t="str">
        <f>HYPERLINK("https://miland.ru/api/getInfo/image/197bb041-afe3-11f0-a286-00155d82e908")</f>
        <v>https://miland.ru/api/getInfo/image/197bb041-afe3-11f0-a286-00155d82e908</v>
      </c>
      <c r="U3340" s="7"/>
      <c r="V3340" s="7" t="s">
        <v>650</v>
      </c>
      <c r="W3340" s="7" t="s">
        <v>70</v>
      </c>
      <c r="X3340" s="7"/>
      <c r="Y3340" s="7" t="s">
        <v>697</v>
      </c>
      <c r="Z3340" s="7"/>
      <c r="AA3340" s="7" t="str">
        <f>HYPERLINK("https://miland.ru/api/getInfo/item/197bb041-afe3-11f0-a286-00155d82e908")</f>
        <v>https://miland.ru/api/getInfo/item/197bb041-afe3-11f0-a286-00155d82e908</v>
      </c>
      <c r="AB3340" s="7" t="s">
        <v>42</v>
      </c>
      <c r="AC3340" s="7"/>
      <c r="AD3340" s="7"/>
      <c r="AE3340" s="54"/>
    </row>
    <row r="3341" spans="2:31" s="1" customFormat="1" ht="96.3" customHeight="1" outlineLevel="5">
      <c r="B3341" s="58">
        <v>2608</v>
      </c>
      <c r="C3341" s="7" t="s">
        <v>11665</v>
      </c>
      <c r="D3341" s="71" t="s">
        <v>11666</v>
      </c>
      <c r="E3341" s="71"/>
      <c r="F3341" s="71"/>
      <c r="G3341" s="71"/>
      <c r="H3341" s="8" t="s">
        <v>11667</v>
      </c>
      <c r="I3341" s="14">
        <v>134</v>
      </c>
      <c r="J3341" s="8"/>
      <c r="K3341" s="6">
        <v>1</v>
      </c>
      <c r="L3341" s="10">
        <v>693.01</v>
      </c>
      <c r="M3341" s="11"/>
      <c r="N3341" s="8">
        <f t="shared" si="161"/>
        <v>0</v>
      </c>
      <c r="O3341" s="18">
        <f>0.29*M3341</f>
        <v>0</v>
      </c>
      <c r="P3341" s="13">
        <f>0.00328*M3341</f>
        <v>0</v>
      </c>
      <c r="Q3341" s="17" t="s">
        <v>37</v>
      </c>
      <c r="R3341" s="8" t="s">
        <v>11668</v>
      </c>
      <c r="S3341" s="8" t="s">
        <v>435</v>
      </c>
      <c r="T3341" s="7" t="str">
        <f>HYPERLINK("https://miland.ru/api/getInfo/image/364e52de-afe3-11f0-a286-00155d82e908")</f>
        <v>https://miland.ru/api/getInfo/image/364e52de-afe3-11f0-a286-00155d82e908</v>
      </c>
      <c r="U3341" s="7"/>
      <c r="V3341" s="7" t="s">
        <v>650</v>
      </c>
      <c r="W3341" s="7" t="s">
        <v>70</v>
      </c>
      <c r="X3341" s="7"/>
      <c r="Y3341" s="7" t="s">
        <v>697</v>
      </c>
      <c r="Z3341" s="7"/>
      <c r="AA3341" s="7" t="str">
        <f>HYPERLINK("https://miland.ru/api/getInfo/item/364e52de-afe3-11f0-a286-00155d82e908")</f>
        <v>https://miland.ru/api/getInfo/item/364e52de-afe3-11f0-a286-00155d82e908</v>
      </c>
      <c r="AB3341" s="7" t="s">
        <v>42</v>
      </c>
      <c r="AC3341" s="7"/>
      <c r="AD3341" s="7"/>
      <c r="AE3341" s="54"/>
    </row>
    <row r="3342" spans="2:31" s="1" customFormat="1" ht="96.3" customHeight="1" outlineLevel="5">
      <c r="B3342" s="57">
        <v>2609</v>
      </c>
      <c r="C3342" s="21" t="s">
        <v>11669</v>
      </c>
      <c r="D3342" s="72" t="s">
        <v>11670</v>
      </c>
      <c r="E3342" s="72"/>
      <c r="F3342" s="72"/>
      <c r="G3342" s="72"/>
      <c r="H3342" s="22" t="s">
        <v>11671</v>
      </c>
      <c r="I3342" s="27">
        <v>166</v>
      </c>
      <c r="J3342" s="22"/>
      <c r="K3342" s="20">
        <v>1</v>
      </c>
      <c r="L3342" s="24">
        <v>576.84</v>
      </c>
      <c r="M3342" s="11"/>
      <c r="N3342" s="22">
        <f t="shared" si="161"/>
        <v>0</v>
      </c>
      <c r="O3342" s="25">
        <f>0.278*M3342</f>
        <v>0</v>
      </c>
      <c r="P3342" s="26">
        <f>0.00352*M3342</f>
        <v>0</v>
      </c>
      <c r="Q3342" s="30"/>
      <c r="R3342" s="22" t="s">
        <v>11672</v>
      </c>
      <c r="S3342" s="22"/>
      <c r="T3342" s="21" t="str">
        <f>HYPERLINK("https://miland.ru/api/getInfo/image/d760b349-f252-11ee-a25b-00155d82e908")</f>
        <v>https://miland.ru/api/getInfo/image/d760b349-f252-11ee-a25b-00155d82e908</v>
      </c>
      <c r="U3342" s="21"/>
      <c r="V3342" s="21" t="s">
        <v>650</v>
      </c>
      <c r="W3342" s="21" t="s">
        <v>70</v>
      </c>
      <c r="X3342" s="21"/>
      <c r="Y3342" s="21" t="s">
        <v>697</v>
      </c>
      <c r="Z3342" s="21"/>
      <c r="AA3342" s="21" t="str">
        <f>HYPERLINK("https://miland.ru/api/getInfo/item/d760b349-f252-11ee-a25b-00155d82e908")</f>
        <v>https://miland.ru/api/getInfo/item/d760b349-f252-11ee-a25b-00155d82e908</v>
      </c>
      <c r="AB3342" s="21" t="s">
        <v>42</v>
      </c>
      <c r="AC3342" s="21" t="s">
        <v>11673</v>
      </c>
      <c r="AD3342" s="21"/>
    </row>
    <row r="3343" spans="2:31" s="1" customFormat="1" ht="96.3" customHeight="1" outlineLevel="5">
      <c r="B3343" s="57">
        <v>2610</v>
      </c>
      <c r="C3343" s="21" t="s">
        <v>11674</v>
      </c>
      <c r="D3343" s="72" t="s">
        <v>11675</v>
      </c>
      <c r="E3343" s="72"/>
      <c r="F3343" s="72"/>
      <c r="G3343" s="72"/>
      <c r="H3343" s="22" t="s">
        <v>11676</v>
      </c>
      <c r="I3343" s="27">
        <v>86</v>
      </c>
      <c r="J3343" s="22"/>
      <c r="K3343" s="20">
        <v>1</v>
      </c>
      <c r="L3343" s="32">
        <v>1150.8900000000001</v>
      </c>
      <c r="M3343" s="11"/>
      <c r="N3343" s="22">
        <f t="shared" si="161"/>
        <v>0</v>
      </c>
      <c r="O3343" s="25">
        <f>0.501*M3343</f>
        <v>0</v>
      </c>
      <c r="P3343" s="26">
        <f>0.00709*M3343</f>
        <v>0</v>
      </c>
      <c r="Q3343" s="30"/>
      <c r="R3343" s="22" t="s">
        <v>11677</v>
      </c>
      <c r="S3343" s="22"/>
      <c r="T3343" s="21" t="str">
        <f>HYPERLINK("https://miland.ru/api/getInfo/image/a748c9b2-f252-11ee-a25b-00155d82e908")</f>
        <v>https://miland.ru/api/getInfo/image/a748c9b2-f252-11ee-a25b-00155d82e908</v>
      </c>
      <c r="U3343" s="21"/>
      <c r="V3343" s="21" t="s">
        <v>650</v>
      </c>
      <c r="W3343" s="21" t="s">
        <v>70</v>
      </c>
      <c r="X3343" s="21"/>
      <c r="Y3343" s="21" t="s">
        <v>697</v>
      </c>
      <c r="Z3343" s="21"/>
      <c r="AA3343" s="21" t="str">
        <f>HYPERLINK("https://miland.ru/api/getInfo/item/a748c9b2-f252-11ee-a25b-00155d82e908")</f>
        <v>https://miland.ru/api/getInfo/item/a748c9b2-f252-11ee-a25b-00155d82e908</v>
      </c>
      <c r="AB3343" s="21" t="s">
        <v>42</v>
      </c>
      <c r="AC3343" s="21" t="s">
        <v>11678</v>
      </c>
      <c r="AD3343" s="21"/>
    </row>
    <row r="3344" spans="2:31" s="1" customFormat="1" ht="96.3" customHeight="1" outlineLevel="5">
      <c r="B3344" s="57">
        <v>2611</v>
      </c>
      <c r="C3344" s="21" t="s">
        <v>11679</v>
      </c>
      <c r="D3344" s="72" t="s">
        <v>11680</v>
      </c>
      <c r="E3344" s="72"/>
      <c r="F3344" s="72"/>
      <c r="G3344" s="72"/>
      <c r="H3344" s="22" t="s">
        <v>11681</v>
      </c>
      <c r="I3344" s="27">
        <v>76</v>
      </c>
      <c r="J3344" s="22"/>
      <c r="K3344" s="20">
        <v>1</v>
      </c>
      <c r="L3344" s="24">
        <v>917.7</v>
      </c>
      <c r="M3344" s="11"/>
      <c r="N3344" s="22">
        <f t="shared" si="161"/>
        <v>0</v>
      </c>
      <c r="O3344" s="25">
        <f>0.441*M3344</f>
        <v>0</v>
      </c>
      <c r="P3344" s="26">
        <f>0.00728*M3344</f>
        <v>0</v>
      </c>
      <c r="Q3344" s="30"/>
      <c r="R3344" s="22" t="s">
        <v>11682</v>
      </c>
      <c r="S3344" s="22"/>
      <c r="T3344" s="21" t="str">
        <f>HYPERLINK("https://miland.ru/api/getInfo/image/82af002d-f252-11ee-a25b-00155d82e908")</f>
        <v>https://miland.ru/api/getInfo/image/82af002d-f252-11ee-a25b-00155d82e908</v>
      </c>
      <c r="U3344" s="21"/>
      <c r="V3344" s="21" t="s">
        <v>650</v>
      </c>
      <c r="W3344" s="21" t="s">
        <v>70</v>
      </c>
      <c r="X3344" s="21"/>
      <c r="Y3344" s="21" t="s">
        <v>697</v>
      </c>
      <c r="Z3344" s="21"/>
      <c r="AA3344" s="21" t="str">
        <f>HYPERLINK("https://miland.ru/api/getInfo/item/82af002d-f252-11ee-a25b-00155d82e908")</f>
        <v>https://miland.ru/api/getInfo/item/82af002d-f252-11ee-a25b-00155d82e908</v>
      </c>
      <c r="AB3344" s="21" t="s">
        <v>42</v>
      </c>
      <c r="AC3344" s="21" t="s">
        <v>11683</v>
      </c>
      <c r="AD3344" s="21"/>
    </row>
    <row r="3345" spans="2:31" s="1" customFormat="1" ht="96.3" customHeight="1" outlineLevel="5">
      <c r="B3345" s="57">
        <v>2612</v>
      </c>
      <c r="C3345" s="21" t="s">
        <v>11684</v>
      </c>
      <c r="D3345" s="72" t="s">
        <v>11685</v>
      </c>
      <c r="E3345" s="72"/>
      <c r="F3345" s="72"/>
      <c r="G3345" s="72"/>
      <c r="H3345" s="22" t="s">
        <v>11686</v>
      </c>
      <c r="I3345" s="27">
        <v>64</v>
      </c>
      <c r="J3345" s="22"/>
      <c r="K3345" s="20">
        <v>1</v>
      </c>
      <c r="L3345" s="24">
        <v>734.17</v>
      </c>
      <c r="M3345" s="11"/>
      <c r="N3345" s="22">
        <f t="shared" si="161"/>
        <v>0</v>
      </c>
      <c r="O3345" s="25">
        <f>0.357*M3345</f>
        <v>0</v>
      </c>
      <c r="P3345" s="26">
        <f>0.00533*M3345</f>
        <v>0</v>
      </c>
      <c r="Q3345" s="30"/>
      <c r="R3345" s="22" t="s">
        <v>11687</v>
      </c>
      <c r="S3345" s="22"/>
      <c r="T3345" s="21" t="str">
        <f>HYPERLINK("https://miland.ru/api/getInfo/image/78807e6c-f251-11ee-a25b-00155d82e908")</f>
        <v>https://miland.ru/api/getInfo/image/78807e6c-f251-11ee-a25b-00155d82e908</v>
      </c>
      <c r="U3345" s="21"/>
      <c r="V3345" s="21" t="s">
        <v>650</v>
      </c>
      <c r="W3345" s="21" t="s">
        <v>70</v>
      </c>
      <c r="X3345" s="21"/>
      <c r="Y3345" s="21" t="s">
        <v>697</v>
      </c>
      <c r="Z3345" s="21"/>
      <c r="AA3345" s="21" t="str">
        <f>HYPERLINK("https://miland.ru/api/getInfo/item/78807e6c-f251-11ee-a25b-00155d82e908")</f>
        <v>https://miland.ru/api/getInfo/item/78807e6c-f251-11ee-a25b-00155d82e908</v>
      </c>
      <c r="AB3345" s="21" t="s">
        <v>42</v>
      </c>
      <c r="AC3345" s="21" t="s">
        <v>11688</v>
      </c>
      <c r="AD3345" s="21"/>
    </row>
    <row r="3346" spans="2:31" s="1" customFormat="1" ht="96.3" customHeight="1" outlineLevel="5">
      <c r="B3346" s="57">
        <v>2613</v>
      </c>
      <c r="C3346" s="21" t="s">
        <v>11689</v>
      </c>
      <c r="D3346" s="72" t="s">
        <v>11690</v>
      </c>
      <c r="E3346" s="72"/>
      <c r="F3346" s="72"/>
      <c r="G3346" s="72"/>
      <c r="H3346" s="22" t="s">
        <v>11691</v>
      </c>
      <c r="I3346" s="27">
        <v>76</v>
      </c>
      <c r="J3346" s="22"/>
      <c r="K3346" s="20">
        <v>1</v>
      </c>
      <c r="L3346" s="24">
        <v>742.42</v>
      </c>
      <c r="M3346" s="11"/>
      <c r="N3346" s="22">
        <f t="shared" si="161"/>
        <v>0</v>
      </c>
      <c r="O3346" s="25">
        <f>0.442*M3346</f>
        <v>0</v>
      </c>
      <c r="P3346" s="26">
        <f>0.00691*M3346</f>
        <v>0</v>
      </c>
      <c r="Q3346" s="30"/>
      <c r="R3346" s="22" t="s">
        <v>11692</v>
      </c>
      <c r="S3346" s="22"/>
      <c r="T3346" s="21" t="str">
        <f>HYPERLINK("https://miland.ru/api/getInfo/image/3388e31f-df4c-11ed-a233-00155d82e902")</f>
        <v>https://miland.ru/api/getInfo/image/3388e31f-df4c-11ed-a233-00155d82e902</v>
      </c>
      <c r="U3346" s="21"/>
      <c r="V3346" s="21" t="s">
        <v>650</v>
      </c>
      <c r="W3346" s="21" t="s">
        <v>70</v>
      </c>
      <c r="X3346" s="21"/>
      <c r="Y3346" s="21" t="s">
        <v>697</v>
      </c>
      <c r="Z3346" s="21"/>
      <c r="AA3346" s="21" t="str">
        <f>HYPERLINK("https://miland.ru/api/getInfo/item/3388e31f-df4c-11ed-a233-00155d82e902")</f>
        <v>https://miland.ru/api/getInfo/item/3388e31f-df4c-11ed-a233-00155d82e902</v>
      </c>
      <c r="AB3346" s="21" t="s">
        <v>42</v>
      </c>
      <c r="AC3346" s="21"/>
      <c r="AD3346" s="21"/>
    </row>
    <row r="3347" spans="2:31" s="1" customFormat="1" ht="96.3" customHeight="1" outlineLevel="5">
      <c r="B3347" s="57">
        <v>2614</v>
      </c>
      <c r="C3347" s="21" t="s">
        <v>11693</v>
      </c>
      <c r="D3347" s="72" t="s">
        <v>11694</v>
      </c>
      <c r="E3347" s="72"/>
      <c r="F3347" s="72"/>
      <c r="G3347" s="72"/>
      <c r="H3347" s="22" t="s">
        <v>11695</v>
      </c>
      <c r="I3347" s="27">
        <v>321</v>
      </c>
      <c r="J3347" s="22"/>
      <c r="K3347" s="20">
        <v>1</v>
      </c>
      <c r="L3347" s="24">
        <v>625.75</v>
      </c>
      <c r="M3347" s="11"/>
      <c r="N3347" s="22">
        <f t="shared" si="161"/>
        <v>0</v>
      </c>
      <c r="O3347" s="25">
        <f>0.283*M3347</f>
        <v>0</v>
      </c>
      <c r="P3347" s="26">
        <f>0.00318*M3347</f>
        <v>0</v>
      </c>
      <c r="Q3347" s="30"/>
      <c r="R3347" s="22" t="s">
        <v>11696</v>
      </c>
      <c r="S3347" s="22"/>
      <c r="T3347" s="21" t="str">
        <f>HYPERLINK("https://miland.ru/api/getInfo/image/0735516b-df4f-11ed-a233-00155d82e902")</f>
        <v>https://miland.ru/api/getInfo/image/0735516b-df4f-11ed-a233-00155d82e902</v>
      </c>
      <c r="U3347" s="21"/>
      <c r="V3347" s="21" t="s">
        <v>650</v>
      </c>
      <c r="W3347" s="21" t="s">
        <v>70</v>
      </c>
      <c r="X3347" s="21"/>
      <c r="Y3347" s="21" t="s">
        <v>697</v>
      </c>
      <c r="Z3347" s="21"/>
      <c r="AA3347" s="21" t="str">
        <f>HYPERLINK("https://miland.ru/api/getInfo/item/0735516b-df4f-11ed-a233-00155d82e902")</f>
        <v>https://miland.ru/api/getInfo/item/0735516b-df4f-11ed-a233-00155d82e902</v>
      </c>
      <c r="AB3347" s="21" t="s">
        <v>42</v>
      </c>
      <c r="AC3347" s="21" t="s">
        <v>11697</v>
      </c>
      <c r="AD3347" s="21"/>
    </row>
    <row r="3348" spans="2:31" s="1" customFormat="1" ht="96.3" customHeight="1" outlineLevel="5">
      <c r="B3348" s="57">
        <v>2615</v>
      </c>
      <c r="C3348" s="21" t="s">
        <v>11698</v>
      </c>
      <c r="D3348" s="72" t="s">
        <v>11699</v>
      </c>
      <c r="E3348" s="72"/>
      <c r="F3348" s="72"/>
      <c r="G3348" s="72"/>
      <c r="H3348" s="22" t="s">
        <v>11700</v>
      </c>
      <c r="I3348" s="27">
        <v>258</v>
      </c>
      <c r="J3348" s="22"/>
      <c r="K3348" s="20">
        <v>1</v>
      </c>
      <c r="L3348" s="24">
        <v>678.78</v>
      </c>
      <c r="M3348" s="11"/>
      <c r="N3348" s="22">
        <f t="shared" si="161"/>
        <v>0</v>
      </c>
      <c r="O3348" s="25">
        <f>0.331*M3348</f>
        <v>0</v>
      </c>
      <c r="P3348" s="26">
        <f>0.00474*M3348</f>
        <v>0</v>
      </c>
      <c r="Q3348" s="30"/>
      <c r="R3348" s="22" t="s">
        <v>11701</v>
      </c>
      <c r="S3348" s="22"/>
      <c r="T3348" s="21" t="str">
        <f>HYPERLINK("https://miland.ru/api/getInfo/image/8f8c8c0e-df4c-11ed-a233-00155d82e902")</f>
        <v>https://miland.ru/api/getInfo/image/8f8c8c0e-df4c-11ed-a233-00155d82e902</v>
      </c>
      <c r="U3348" s="21"/>
      <c r="V3348" s="21" t="s">
        <v>650</v>
      </c>
      <c r="W3348" s="21" t="s">
        <v>70</v>
      </c>
      <c r="X3348" s="21"/>
      <c r="Y3348" s="21" t="s">
        <v>697</v>
      </c>
      <c r="Z3348" s="21"/>
      <c r="AA3348" s="21" t="str">
        <f>HYPERLINK("https://miland.ru/api/getInfo/item/8f8c8c0e-df4c-11ed-a233-00155d82e902")</f>
        <v>https://miland.ru/api/getInfo/item/8f8c8c0e-df4c-11ed-a233-00155d82e902</v>
      </c>
      <c r="AB3348" s="21" t="s">
        <v>42</v>
      </c>
      <c r="AC3348" s="21"/>
      <c r="AD3348" s="21"/>
    </row>
    <row r="3349" spans="2:31" s="1" customFormat="1" ht="96.3" customHeight="1" outlineLevel="5">
      <c r="B3349" s="57">
        <v>2616</v>
      </c>
      <c r="C3349" s="21" t="s">
        <v>11702</v>
      </c>
      <c r="D3349" s="72" t="s">
        <v>11703</v>
      </c>
      <c r="E3349" s="72"/>
      <c r="F3349" s="72"/>
      <c r="G3349" s="72"/>
      <c r="H3349" s="22" t="s">
        <v>11704</v>
      </c>
      <c r="I3349" s="27">
        <v>47</v>
      </c>
      <c r="J3349" s="22"/>
      <c r="K3349" s="20">
        <v>1</v>
      </c>
      <c r="L3349" s="24">
        <v>812.51</v>
      </c>
      <c r="M3349" s="11"/>
      <c r="N3349" s="22">
        <f t="shared" si="161"/>
        <v>0</v>
      </c>
      <c r="O3349" s="25">
        <f>0.456*M3349</f>
        <v>0</v>
      </c>
      <c r="P3349" s="26">
        <f>0.00621*M3349</f>
        <v>0</v>
      </c>
      <c r="Q3349" s="30"/>
      <c r="R3349" s="22" t="s">
        <v>11705</v>
      </c>
      <c r="S3349" s="22"/>
      <c r="T3349" s="21" t="str">
        <f>HYPERLINK("https://miland.ru/api/getInfo/image/bbcec7cb-df4e-11ed-a233-00155d82e902")</f>
        <v>https://miland.ru/api/getInfo/image/bbcec7cb-df4e-11ed-a233-00155d82e902</v>
      </c>
      <c r="U3349" s="21"/>
      <c r="V3349" s="21" t="s">
        <v>650</v>
      </c>
      <c r="W3349" s="21" t="s">
        <v>70</v>
      </c>
      <c r="X3349" s="21"/>
      <c r="Y3349" s="21" t="s">
        <v>697</v>
      </c>
      <c r="Z3349" s="21"/>
      <c r="AA3349" s="21" t="str">
        <f>HYPERLINK("https://miland.ru/api/getInfo/item/bbcec7cb-df4e-11ed-a233-00155d82e902")</f>
        <v>https://miland.ru/api/getInfo/item/bbcec7cb-df4e-11ed-a233-00155d82e902</v>
      </c>
      <c r="AB3349" s="21" t="s">
        <v>42</v>
      </c>
      <c r="AC3349" s="21"/>
      <c r="AD3349" s="21"/>
    </row>
    <row r="3350" spans="2:31" s="1" customFormat="1" ht="96.3" customHeight="1" outlineLevel="5">
      <c r="B3350" s="58">
        <v>2617</v>
      </c>
      <c r="C3350" s="7" t="s">
        <v>11706</v>
      </c>
      <c r="D3350" s="71" t="s">
        <v>11707</v>
      </c>
      <c r="E3350" s="71"/>
      <c r="F3350" s="71"/>
      <c r="G3350" s="71"/>
      <c r="H3350" s="8" t="s">
        <v>11708</v>
      </c>
      <c r="I3350" s="14">
        <v>22</v>
      </c>
      <c r="J3350" s="8"/>
      <c r="K3350" s="6">
        <v>1</v>
      </c>
      <c r="L3350" s="10">
        <v>693.01</v>
      </c>
      <c r="M3350" s="11"/>
      <c r="N3350" s="8">
        <f t="shared" si="161"/>
        <v>0</v>
      </c>
      <c r="O3350" s="18">
        <f>0.32*M3350</f>
        <v>0</v>
      </c>
      <c r="P3350" s="13">
        <f>0.00288*M3350</f>
        <v>0</v>
      </c>
      <c r="Q3350" s="17" t="s">
        <v>37</v>
      </c>
      <c r="R3350" s="8" t="s">
        <v>11709</v>
      </c>
      <c r="S3350" s="8"/>
      <c r="T3350" s="7" t="str">
        <f>HYPERLINK("https://miland.ru/api/getInfo/image/9970e6da-afe2-11f0-a286-00155d82e908")</f>
        <v>https://miland.ru/api/getInfo/image/9970e6da-afe2-11f0-a286-00155d82e908</v>
      </c>
      <c r="U3350" s="7"/>
      <c r="V3350" s="7" t="s">
        <v>650</v>
      </c>
      <c r="W3350" s="7" t="s">
        <v>70</v>
      </c>
      <c r="X3350" s="7"/>
      <c r="Y3350" s="7" t="s">
        <v>697</v>
      </c>
      <c r="Z3350" s="7"/>
      <c r="AA3350" s="7" t="str">
        <f>HYPERLINK("https://miland.ru/api/getInfo/item/9970e6da-afe2-11f0-a286-00155d82e908")</f>
        <v>https://miland.ru/api/getInfo/item/9970e6da-afe2-11f0-a286-00155d82e908</v>
      </c>
      <c r="AB3350" s="7" t="s">
        <v>42</v>
      </c>
      <c r="AC3350" s="7"/>
      <c r="AD3350" s="7"/>
      <c r="AE3350" s="54"/>
    </row>
    <row r="3351" spans="2:31" s="1" customFormat="1" ht="96.3" customHeight="1" outlineLevel="5">
      <c r="B3351" s="58">
        <v>2618</v>
      </c>
      <c r="C3351" s="7" t="s">
        <v>11710</v>
      </c>
      <c r="D3351" s="71" t="s">
        <v>11711</v>
      </c>
      <c r="E3351" s="71"/>
      <c r="F3351" s="71"/>
      <c r="G3351" s="71"/>
      <c r="H3351" s="8" t="s">
        <v>11712</v>
      </c>
      <c r="I3351" s="14">
        <v>60</v>
      </c>
      <c r="J3351" s="8"/>
      <c r="K3351" s="6">
        <v>1</v>
      </c>
      <c r="L3351" s="10">
        <v>764.71</v>
      </c>
      <c r="M3351" s="11"/>
      <c r="N3351" s="8">
        <f t="shared" si="161"/>
        <v>0</v>
      </c>
      <c r="O3351" s="18">
        <f>0.42*M3351</f>
        <v>0</v>
      </c>
      <c r="P3351" s="13">
        <f>0.00378*M3351</f>
        <v>0</v>
      </c>
      <c r="Q3351" s="17" t="s">
        <v>37</v>
      </c>
      <c r="R3351" s="8" t="s">
        <v>11713</v>
      </c>
      <c r="S3351" s="8"/>
      <c r="T3351" s="7" t="str">
        <f>HYPERLINK("https://miland.ru/api/getInfo/image/ccf501d6-afe1-11f0-a286-00155d82e908")</f>
        <v>https://miland.ru/api/getInfo/image/ccf501d6-afe1-11f0-a286-00155d82e908</v>
      </c>
      <c r="U3351" s="7"/>
      <c r="V3351" s="7" t="s">
        <v>650</v>
      </c>
      <c r="W3351" s="7" t="s">
        <v>70</v>
      </c>
      <c r="X3351" s="7"/>
      <c r="Y3351" s="7" t="s">
        <v>697</v>
      </c>
      <c r="Z3351" s="7"/>
      <c r="AA3351" s="7" t="str">
        <f>HYPERLINK("https://miland.ru/api/getInfo/item/ccf501d6-afe1-11f0-a286-00155d82e908")</f>
        <v>https://miland.ru/api/getInfo/item/ccf501d6-afe1-11f0-a286-00155d82e908</v>
      </c>
      <c r="AB3351" s="7" t="s">
        <v>42</v>
      </c>
      <c r="AC3351" s="7"/>
      <c r="AD3351" s="7"/>
      <c r="AE3351" s="54"/>
    </row>
    <row r="3352" spans="2:31" s="1" customFormat="1" ht="96.3" customHeight="1" outlineLevel="5">
      <c r="B3352" s="58">
        <v>2619</v>
      </c>
      <c r="C3352" s="7" t="s">
        <v>11714</v>
      </c>
      <c r="D3352" s="71" t="s">
        <v>11715</v>
      </c>
      <c r="E3352" s="71"/>
      <c r="F3352" s="71"/>
      <c r="G3352" s="71"/>
      <c r="H3352" s="8" t="s">
        <v>11716</v>
      </c>
      <c r="I3352" s="14">
        <v>164</v>
      </c>
      <c r="J3352" s="8"/>
      <c r="K3352" s="6">
        <v>1</v>
      </c>
      <c r="L3352" s="10">
        <v>693.01</v>
      </c>
      <c r="M3352" s="11"/>
      <c r="N3352" s="8">
        <f t="shared" si="161"/>
        <v>0</v>
      </c>
      <c r="O3352" s="18">
        <f>0.38*M3352</f>
        <v>0</v>
      </c>
      <c r="P3352" s="13">
        <f>0.00353*M3352</f>
        <v>0</v>
      </c>
      <c r="Q3352" s="17" t="s">
        <v>37</v>
      </c>
      <c r="R3352" s="8" t="s">
        <v>11717</v>
      </c>
      <c r="S3352" s="8"/>
      <c r="T3352" s="7" t="str">
        <f>HYPERLINK("https://miland.ru/api/getInfo/image/6f9b4cd0-afe2-11f0-a286-00155d82e908")</f>
        <v>https://miland.ru/api/getInfo/image/6f9b4cd0-afe2-11f0-a286-00155d82e908</v>
      </c>
      <c r="U3352" s="7"/>
      <c r="V3352" s="7" t="s">
        <v>650</v>
      </c>
      <c r="W3352" s="7" t="s">
        <v>70</v>
      </c>
      <c r="X3352" s="7"/>
      <c r="Y3352" s="7" t="s">
        <v>697</v>
      </c>
      <c r="Z3352" s="7"/>
      <c r="AA3352" s="7" t="str">
        <f>HYPERLINK("https://miland.ru/api/getInfo/item/6f9b4cd0-afe2-11f0-a286-00155d82e908")</f>
        <v>https://miland.ru/api/getInfo/item/6f9b4cd0-afe2-11f0-a286-00155d82e908</v>
      </c>
      <c r="AB3352" s="7" t="s">
        <v>42</v>
      </c>
      <c r="AC3352" s="7"/>
      <c r="AD3352" s="7"/>
      <c r="AE3352" s="54"/>
    </row>
    <row r="3353" spans="2:31" ht="12" customHeight="1" outlineLevel="3">
      <c r="B3353" s="70" t="s">
        <v>11718</v>
      </c>
      <c r="C3353" s="70"/>
      <c r="D3353" s="70"/>
      <c r="E3353" s="70"/>
      <c r="F3353" s="70"/>
      <c r="G3353" s="70"/>
    </row>
    <row r="3354" spans="2:31" s="1" customFormat="1" ht="96.3" customHeight="1" outlineLevel="4">
      <c r="B3354" s="57">
        <v>2620</v>
      </c>
      <c r="C3354" s="21" t="s">
        <v>11719</v>
      </c>
      <c r="D3354" s="72" t="s">
        <v>11720</v>
      </c>
      <c r="E3354" s="72"/>
      <c r="F3354" s="72"/>
      <c r="G3354" s="72"/>
      <c r="H3354" s="22" t="s">
        <v>11721</v>
      </c>
      <c r="I3354" s="23" t="s">
        <v>36</v>
      </c>
      <c r="J3354" s="22"/>
      <c r="K3354" s="20">
        <v>2</v>
      </c>
      <c r="L3354" s="24">
        <v>384.95</v>
      </c>
      <c r="M3354" s="11"/>
      <c r="N3354" s="22">
        <f t="shared" ref="N3354:N3361" si="162">L3354*M3354</f>
        <v>0</v>
      </c>
      <c r="O3354" s="25">
        <f>0.444*M3354</f>
        <v>0</v>
      </c>
      <c r="P3354" s="26">
        <f>0.00415*M3354</f>
        <v>0</v>
      </c>
      <c r="Q3354" s="30"/>
      <c r="R3354" s="22" t="s">
        <v>11722</v>
      </c>
      <c r="S3354" s="22"/>
      <c r="T3354" s="21" t="str">
        <f>HYPERLINK("https://miland.ru/api/getInfo/image/2f0535ab-c380-11ef-a268-00155d82e908")</f>
        <v>https://miland.ru/api/getInfo/image/2f0535ab-c380-11ef-a268-00155d82e908</v>
      </c>
      <c r="U3354" s="21"/>
      <c r="V3354" s="21"/>
      <c r="W3354" s="21" t="s">
        <v>11723</v>
      </c>
      <c r="X3354" s="21"/>
      <c r="Y3354" s="21" t="s">
        <v>41</v>
      </c>
      <c r="Z3354" s="21"/>
      <c r="AA3354" s="21" t="str">
        <f>HYPERLINK("https://miland.ru/api/getInfo/item/2f0535ab-c380-11ef-a268-00155d82e908")</f>
        <v>https://miland.ru/api/getInfo/item/2f0535ab-c380-11ef-a268-00155d82e908</v>
      </c>
      <c r="AB3354" s="21" t="s">
        <v>42</v>
      </c>
      <c r="AC3354" s="21"/>
      <c r="AD3354" s="21"/>
    </row>
    <row r="3355" spans="2:31" s="1" customFormat="1" ht="96.3" customHeight="1" outlineLevel="4">
      <c r="B3355" s="57">
        <v>2621</v>
      </c>
      <c r="C3355" s="21" t="s">
        <v>11724</v>
      </c>
      <c r="D3355" s="72" t="s">
        <v>11725</v>
      </c>
      <c r="E3355" s="72"/>
      <c r="F3355" s="72"/>
      <c r="G3355" s="72"/>
      <c r="H3355" s="22" t="s">
        <v>11726</v>
      </c>
      <c r="I3355" s="23" t="s">
        <v>36</v>
      </c>
      <c r="J3355" s="22"/>
      <c r="K3355" s="20">
        <v>1</v>
      </c>
      <c r="L3355" s="24">
        <v>609.53</v>
      </c>
      <c r="M3355" s="11"/>
      <c r="N3355" s="22">
        <f t="shared" si="162"/>
        <v>0</v>
      </c>
      <c r="O3355" s="25">
        <f>0.327*M3355</f>
        <v>0</v>
      </c>
      <c r="P3355" s="26">
        <f>0.00118*M3355</f>
        <v>0</v>
      </c>
      <c r="Q3355" s="30"/>
      <c r="R3355" s="22" t="s">
        <v>11727</v>
      </c>
      <c r="S3355" s="22"/>
      <c r="T3355" s="21" t="str">
        <f>HYPERLINK("https://miland.ru/api/getInfo/image/0090826b-c380-11ef-a268-00155d82e908")</f>
        <v>https://miland.ru/api/getInfo/image/0090826b-c380-11ef-a268-00155d82e908</v>
      </c>
      <c r="U3355" s="21"/>
      <c r="V3355" s="21"/>
      <c r="W3355" s="21" t="s">
        <v>11728</v>
      </c>
      <c r="X3355" s="21"/>
      <c r="Y3355" s="21" t="s">
        <v>41</v>
      </c>
      <c r="Z3355" s="21"/>
      <c r="AA3355" s="21" t="str">
        <f>HYPERLINK("https://miland.ru/api/getInfo/item/0090826b-c380-11ef-a268-00155d82e908")</f>
        <v>https://miland.ru/api/getInfo/item/0090826b-c380-11ef-a268-00155d82e908</v>
      </c>
      <c r="AB3355" s="21" t="s">
        <v>42</v>
      </c>
      <c r="AC3355" s="21"/>
      <c r="AD3355" s="21"/>
    </row>
    <row r="3356" spans="2:31" s="1" customFormat="1" ht="96.3" customHeight="1" outlineLevel="4">
      <c r="B3356" s="57">
        <v>2622</v>
      </c>
      <c r="C3356" s="21" t="s">
        <v>11729</v>
      </c>
      <c r="D3356" s="72" t="s">
        <v>11730</v>
      </c>
      <c r="E3356" s="72"/>
      <c r="F3356" s="72"/>
      <c r="G3356" s="72"/>
      <c r="H3356" s="22" t="s">
        <v>11731</v>
      </c>
      <c r="I3356" s="27">
        <v>107</v>
      </c>
      <c r="J3356" s="22"/>
      <c r="K3356" s="20">
        <v>1</v>
      </c>
      <c r="L3356" s="24">
        <v>641.24</v>
      </c>
      <c r="M3356" s="11"/>
      <c r="N3356" s="22">
        <f t="shared" si="162"/>
        <v>0</v>
      </c>
      <c r="O3356" s="25">
        <f>17.219*M3356</f>
        <v>0</v>
      </c>
      <c r="P3356" s="29">
        <f>0.0997*M3356</f>
        <v>0</v>
      </c>
      <c r="Q3356" s="30"/>
      <c r="R3356" s="22" t="s">
        <v>11732</v>
      </c>
      <c r="S3356" s="22"/>
      <c r="T3356" s="21" t="str">
        <f>HYPERLINK("https://miland.ru/api/getInfo/image/999c9cb3-a643-11ef-a267-00155d82e908")</f>
        <v>https://miland.ru/api/getInfo/image/999c9cb3-a643-11ef-a267-00155d82e908</v>
      </c>
      <c r="U3356" s="21"/>
      <c r="V3356" s="21"/>
      <c r="W3356" s="21" t="s">
        <v>11728</v>
      </c>
      <c r="X3356" s="21"/>
      <c r="Y3356" s="21" t="s">
        <v>41</v>
      </c>
      <c r="Z3356" s="21"/>
      <c r="AA3356" s="21" t="str">
        <f>HYPERLINK("https://miland.ru/api/getInfo/item/999c9cb3-a643-11ef-a267-00155d82e908")</f>
        <v>https://miland.ru/api/getInfo/item/999c9cb3-a643-11ef-a267-00155d82e908</v>
      </c>
      <c r="AB3356" s="21" t="s">
        <v>42</v>
      </c>
      <c r="AC3356" s="21" t="s">
        <v>11733</v>
      </c>
      <c r="AD3356" s="21"/>
    </row>
    <row r="3357" spans="2:31" s="1" customFormat="1" ht="96.3" customHeight="1" outlineLevel="4">
      <c r="B3357" s="57">
        <v>2623</v>
      </c>
      <c r="C3357" s="21" t="s">
        <v>11734</v>
      </c>
      <c r="D3357" s="72" t="s">
        <v>11735</v>
      </c>
      <c r="E3357" s="72"/>
      <c r="F3357" s="72"/>
      <c r="G3357" s="72"/>
      <c r="H3357" s="22" t="s">
        <v>11736</v>
      </c>
      <c r="I3357" s="27">
        <v>463</v>
      </c>
      <c r="J3357" s="22"/>
      <c r="K3357" s="20">
        <v>1</v>
      </c>
      <c r="L3357" s="24">
        <v>641.24</v>
      </c>
      <c r="M3357" s="11"/>
      <c r="N3357" s="22">
        <f t="shared" si="162"/>
        <v>0</v>
      </c>
      <c r="O3357" s="25">
        <f>0.269*M3357</f>
        <v>0</v>
      </c>
      <c r="P3357" s="26">
        <f>0.00167*M3357</f>
        <v>0</v>
      </c>
      <c r="Q3357" s="30"/>
      <c r="R3357" s="22" t="s">
        <v>11737</v>
      </c>
      <c r="S3357" s="22"/>
      <c r="T3357" s="21" t="str">
        <f>HYPERLINK("https://miland.ru/api/getInfo/image/124d6a6a-a644-11ef-a267-00155d82e908")</f>
        <v>https://miland.ru/api/getInfo/image/124d6a6a-a644-11ef-a267-00155d82e908</v>
      </c>
      <c r="U3357" s="21"/>
      <c r="V3357" s="21"/>
      <c r="W3357" s="21" t="s">
        <v>11728</v>
      </c>
      <c r="X3357" s="21"/>
      <c r="Y3357" s="21" t="s">
        <v>41</v>
      </c>
      <c r="Z3357" s="21"/>
      <c r="AA3357" s="21" t="str">
        <f>HYPERLINK("https://miland.ru/api/getInfo/item/124d6a6a-a644-11ef-a267-00155d82e908")</f>
        <v>https://miland.ru/api/getInfo/item/124d6a6a-a644-11ef-a267-00155d82e908</v>
      </c>
      <c r="AB3357" s="21" t="s">
        <v>42</v>
      </c>
      <c r="AC3357" s="21" t="s">
        <v>11733</v>
      </c>
      <c r="AD3357" s="21"/>
    </row>
    <row r="3358" spans="2:31" s="1" customFormat="1" ht="96.3" customHeight="1" outlineLevel="4">
      <c r="B3358" s="57">
        <v>2624</v>
      </c>
      <c r="C3358" s="21" t="s">
        <v>11738</v>
      </c>
      <c r="D3358" s="72" t="s">
        <v>11739</v>
      </c>
      <c r="E3358" s="72"/>
      <c r="F3358" s="72"/>
      <c r="G3358" s="72"/>
      <c r="H3358" s="22" t="s">
        <v>11740</v>
      </c>
      <c r="I3358" s="23" t="s">
        <v>36</v>
      </c>
      <c r="J3358" s="22"/>
      <c r="K3358" s="20">
        <v>1</v>
      </c>
      <c r="L3358" s="24">
        <v>488.01</v>
      </c>
      <c r="M3358" s="11"/>
      <c r="N3358" s="22">
        <f t="shared" si="162"/>
        <v>0</v>
      </c>
      <c r="O3358" s="25">
        <f>21.972*M3358</f>
        <v>0</v>
      </c>
      <c r="P3358" s="26">
        <f>0.09166*M3358</f>
        <v>0</v>
      </c>
      <c r="Q3358" s="30"/>
      <c r="R3358" s="22" t="s">
        <v>11741</v>
      </c>
      <c r="S3358" s="22"/>
      <c r="T3358" s="21" t="str">
        <f>HYPERLINK("https://miland.ru/api/getInfo/image/fe3ce18f-da97-11ed-a232-00155d82e902")</f>
        <v>https://miland.ru/api/getInfo/image/fe3ce18f-da97-11ed-a232-00155d82e902</v>
      </c>
      <c r="U3358" s="21"/>
      <c r="V3358" s="21"/>
      <c r="W3358" s="21" t="s">
        <v>11728</v>
      </c>
      <c r="X3358" s="21"/>
      <c r="Y3358" s="21" t="s">
        <v>41</v>
      </c>
      <c r="Z3358" s="21"/>
      <c r="AA3358" s="21" t="str">
        <f>HYPERLINK("https://miland.ru/api/getInfo/item/fe3ce18f-da97-11ed-a232-00155d82e902")</f>
        <v>https://miland.ru/api/getInfo/item/fe3ce18f-da97-11ed-a232-00155d82e902</v>
      </c>
      <c r="AB3358" s="21" t="s">
        <v>42</v>
      </c>
      <c r="AC3358" s="21"/>
      <c r="AD3358" s="21"/>
    </row>
    <row r="3359" spans="2:31" s="1" customFormat="1" ht="96.3" customHeight="1" outlineLevel="4">
      <c r="B3359" s="57">
        <v>2625</v>
      </c>
      <c r="C3359" s="21" t="s">
        <v>11742</v>
      </c>
      <c r="D3359" s="72" t="s">
        <v>11743</v>
      </c>
      <c r="E3359" s="72"/>
      <c r="F3359" s="72"/>
      <c r="G3359" s="72"/>
      <c r="H3359" s="22" t="s">
        <v>11744</v>
      </c>
      <c r="I3359" s="23" t="s">
        <v>36</v>
      </c>
      <c r="J3359" s="22"/>
      <c r="K3359" s="20">
        <v>3</v>
      </c>
      <c r="L3359" s="24">
        <v>240.21</v>
      </c>
      <c r="M3359" s="11"/>
      <c r="N3359" s="22">
        <f t="shared" si="162"/>
        <v>0</v>
      </c>
      <c r="O3359" s="25">
        <f>0.138*M3359</f>
        <v>0</v>
      </c>
      <c r="P3359" s="26">
        <f>0.00081*M3359</f>
        <v>0</v>
      </c>
      <c r="Q3359" s="30"/>
      <c r="R3359" s="22" t="s">
        <v>11745</v>
      </c>
      <c r="S3359" s="22"/>
      <c r="T3359" s="21" t="str">
        <f>HYPERLINK("https://miland.ru/api/getInfo/image/b1d36d40-da98-11ed-a232-00155d82e902")</f>
        <v>https://miland.ru/api/getInfo/image/b1d36d40-da98-11ed-a232-00155d82e902</v>
      </c>
      <c r="U3359" s="21"/>
      <c r="V3359" s="21"/>
      <c r="W3359" s="21" t="s">
        <v>11728</v>
      </c>
      <c r="X3359" s="21"/>
      <c r="Y3359" s="21" t="s">
        <v>41</v>
      </c>
      <c r="Z3359" s="21"/>
      <c r="AA3359" s="21" t="str">
        <f>HYPERLINK("https://miland.ru/api/getInfo/item/b1d36d40-da98-11ed-a232-00155d82e902")</f>
        <v>https://miland.ru/api/getInfo/item/b1d36d40-da98-11ed-a232-00155d82e902</v>
      </c>
      <c r="AB3359" s="21" t="s">
        <v>42</v>
      </c>
      <c r="AC3359" s="21"/>
      <c r="AD3359" s="21"/>
    </row>
    <row r="3360" spans="2:31" s="1" customFormat="1" ht="96.3" customHeight="1" outlineLevel="4">
      <c r="B3360" s="57">
        <v>2626</v>
      </c>
      <c r="C3360" s="21" t="s">
        <v>11746</v>
      </c>
      <c r="D3360" s="72" t="s">
        <v>11747</v>
      </c>
      <c r="E3360" s="72"/>
      <c r="F3360" s="72"/>
      <c r="G3360" s="72"/>
      <c r="H3360" s="22" t="s">
        <v>11748</v>
      </c>
      <c r="I3360" s="23" t="s">
        <v>36</v>
      </c>
      <c r="J3360" s="22"/>
      <c r="K3360" s="20">
        <v>3</v>
      </c>
      <c r="L3360" s="24">
        <v>260.23</v>
      </c>
      <c r="M3360" s="11"/>
      <c r="N3360" s="22">
        <f t="shared" si="162"/>
        <v>0</v>
      </c>
      <c r="O3360" s="25">
        <f>0.125*M3360</f>
        <v>0</v>
      </c>
      <c r="P3360" s="26">
        <f>0.00105*M3360</f>
        <v>0</v>
      </c>
      <c r="Q3360" s="30"/>
      <c r="R3360" s="22" t="s">
        <v>11749</v>
      </c>
      <c r="S3360" s="22"/>
      <c r="T3360" s="21" t="str">
        <f>HYPERLINK("https://miland.ru/api/getInfo/image/721f7e19-da98-11ed-a232-00155d82e902")</f>
        <v>https://miland.ru/api/getInfo/image/721f7e19-da98-11ed-a232-00155d82e902</v>
      </c>
      <c r="U3360" s="21"/>
      <c r="V3360" s="21"/>
      <c r="W3360" s="21" t="s">
        <v>11728</v>
      </c>
      <c r="X3360" s="21"/>
      <c r="Y3360" s="21" t="s">
        <v>41</v>
      </c>
      <c r="Z3360" s="21"/>
      <c r="AA3360" s="21" t="str">
        <f>HYPERLINK("https://miland.ru/api/getInfo/item/721f7e19-da98-11ed-a232-00155d82e902")</f>
        <v>https://miland.ru/api/getInfo/item/721f7e19-da98-11ed-a232-00155d82e902</v>
      </c>
      <c r="AB3360" s="21" t="s">
        <v>42</v>
      </c>
      <c r="AC3360" s="21"/>
      <c r="AD3360" s="21"/>
    </row>
    <row r="3361" spans="2:30" s="1" customFormat="1" ht="96.3" customHeight="1" outlineLevel="4">
      <c r="B3361" s="57">
        <v>2627</v>
      </c>
      <c r="C3361" s="21" t="s">
        <v>11750</v>
      </c>
      <c r="D3361" s="72" t="s">
        <v>11751</v>
      </c>
      <c r="E3361" s="72"/>
      <c r="F3361" s="72"/>
      <c r="G3361" s="72"/>
      <c r="H3361" s="22" t="s">
        <v>11752</v>
      </c>
      <c r="I3361" s="27">
        <v>409</v>
      </c>
      <c r="J3361" s="22"/>
      <c r="K3361" s="20">
        <v>3</v>
      </c>
      <c r="L3361" s="24">
        <v>225.19</v>
      </c>
      <c r="M3361" s="11"/>
      <c r="N3361" s="22">
        <f t="shared" si="162"/>
        <v>0</v>
      </c>
      <c r="O3361" s="25">
        <f>0.124*M3361</f>
        <v>0</v>
      </c>
      <c r="P3361" s="26">
        <f>0.00096*M3361</f>
        <v>0</v>
      </c>
      <c r="Q3361" s="30"/>
      <c r="R3361" s="22" t="s">
        <v>11753</v>
      </c>
      <c r="S3361" s="22"/>
      <c r="T3361" s="21" t="str">
        <f>HYPERLINK("https://miland.ru/api/getInfo/image/3b7dc4ae-da98-11ed-a232-00155d82e902")</f>
        <v>https://miland.ru/api/getInfo/image/3b7dc4ae-da98-11ed-a232-00155d82e902</v>
      </c>
      <c r="U3361" s="21"/>
      <c r="V3361" s="21"/>
      <c r="W3361" s="21" t="s">
        <v>11728</v>
      </c>
      <c r="X3361" s="21"/>
      <c r="Y3361" s="21" t="s">
        <v>41</v>
      </c>
      <c r="Z3361" s="21"/>
      <c r="AA3361" s="21" t="str">
        <f>HYPERLINK("https://miland.ru/api/getInfo/item/3b7dc4ae-da98-11ed-a232-00155d82e902")</f>
        <v>https://miland.ru/api/getInfo/item/3b7dc4ae-da98-11ed-a232-00155d82e902</v>
      </c>
      <c r="AB3361" s="21" t="s">
        <v>42</v>
      </c>
      <c r="AC3361" s="21"/>
      <c r="AD3361" s="21"/>
    </row>
    <row r="3362" spans="2:30" ht="12" customHeight="1" outlineLevel="3">
      <c r="B3362" s="70" t="s">
        <v>11754</v>
      </c>
      <c r="C3362" s="70"/>
      <c r="D3362" s="70"/>
      <c r="E3362" s="70"/>
      <c r="F3362" s="70"/>
      <c r="G3362" s="70"/>
    </row>
    <row r="3363" spans="2:30" s="1" customFormat="1" ht="96.3" customHeight="1" outlineLevel="4">
      <c r="B3363" s="57">
        <v>2628</v>
      </c>
      <c r="C3363" s="21" t="s">
        <v>11755</v>
      </c>
      <c r="D3363" s="72" t="s">
        <v>11756</v>
      </c>
      <c r="E3363" s="72"/>
      <c r="F3363" s="72"/>
      <c r="G3363" s="72"/>
      <c r="H3363" s="22" t="s">
        <v>11757</v>
      </c>
      <c r="I3363" s="27">
        <v>37</v>
      </c>
      <c r="J3363" s="22"/>
      <c r="K3363" s="20">
        <v>1</v>
      </c>
      <c r="L3363" s="32">
        <v>1810.18</v>
      </c>
      <c r="M3363" s="11"/>
      <c r="N3363" s="22">
        <f t="shared" ref="N3363:N3373" si="163">L3363*M3363</f>
        <v>0</v>
      </c>
      <c r="O3363" s="25">
        <f>0.532*M3363</f>
        <v>0</v>
      </c>
      <c r="P3363" s="26">
        <f>0.00128*M3363</f>
        <v>0</v>
      </c>
      <c r="Q3363" s="30"/>
      <c r="R3363" s="22" t="s">
        <v>11758</v>
      </c>
      <c r="S3363" s="22" t="s">
        <v>435</v>
      </c>
      <c r="T3363" s="21" t="str">
        <f>HYPERLINK("https://miland.ru/api/getInfo/image/6192d4de-c4b8-11ed-a230-00155d82e902")</f>
        <v>https://miland.ru/api/getInfo/image/6192d4de-c4b8-11ed-a230-00155d82e902</v>
      </c>
      <c r="U3363" s="21"/>
      <c r="V3363" s="21"/>
      <c r="W3363" s="21" t="s">
        <v>11759</v>
      </c>
      <c r="X3363" s="21"/>
      <c r="Y3363" s="21" t="s">
        <v>41</v>
      </c>
      <c r="Z3363" s="21"/>
      <c r="AA3363" s="21" t="str">
        <f>HYPERLINK("https://miland.ru/api/getInfo/item/6192d4de-c4b8-11ed-a230-00155d82e902")</f>
        <v>https://miland.ru/api/getInfo/item/6192d4de-c4b8-11ed-a230-00155d82e902</v>
      </c>
      <c r="AB3363" s="21" t="s">
        <v>42</v>
      </c>
      <c r="AC3363" s="21"/>
      <c r="AD3363" s="21"/>
    </row>
    <row r="3364" spans="2:30" s="1" customFormat="1" ht="96.3" customHeight="1" outlineLevel="4">
      <c r="B3364" s="57">
        <v>2629</v>
      </c>
      <c r="C3364" s="21" t="s">
        <v>11760</v>
      </c>
      <c r="D3364" s="72" t="s">
        <v>11761</v>
      </c>
      <c r="E3364" s="72"/>
      <c r="F3364" s="72"/>
      <c r="G3364" s="72"/>
      <c r="H3364" s="22" t="s">
        <v>11762</v>
      </c>
      <c r="I3364" s="27">
        <v>7</v>
      </c>
      <c r="J3364" s="22"/>
      <c r="K3364" s="20">
        <v>1</v>
      </c>
      <c r="L3364" s="32">
        <v>1629.72</v>
      </c>
      <c r="M3364" s="11"/>
      <c r="N3364" s="22">
        <f t="shared" si="163"/>
        <v>0</v>
      </c>
      <c r="O3364" s="25">
        <f>0.533*M3364</f>
        <v>0</v>
      </c>
      <c r="P3364" s="26">
        <f>0.00127*M3364</f>
        <v>0</v>
      </c>
      <c r="Q3364" s="30"/>
      <c r="R3364" s="22" t="s">
        <v>11763</v>
      </c>
      <c r="S3364" s="22" t="s">
        <v>435</v>
      </c>
      <c r="T3364" s="21" t="str">
        <f>HYPERLINK("https://miland.ru/api/getInfo/image/542c159a-c4bb-11ed-a230-00155d82e902")</f>
        <v>https://miland.ru/api/getInfo/image/542c159a-c4bb-11ed-a230-00155d82e902</v>
      </c>
      <c r="U3364" s="21"/>
      <c r="V3364" s="21"/>
      <c r="W3364" s="21" t="s">
        <v>11759</v>
      </c>
      <c r="X3364" s="21"/>
      <c r="Y3364" s="21" t="s">
        <v>41</v>
      </c>
      <c r="Z3364" s="21"/>
      <c r="AA3364" s="21" t="str">
        <f>HYPERLINK("https://miland.ru/api/getInfo/item/542c159a-c4bb-11ed-a230-00155d82e902")</f>
        <v>https://miland.ru/api/getInfo/item/542c159a-c4bb-11ed-a230-00155d82e902</v>
      </c>
      <c r="AB3364" s="21" t="s">
        <v>42</v>
      </c>
      <c r="AC3364" s="21"/>
      <c r="AD3364" s="21"/>
    </row>
    <row r="3365" spans="2:30" s="1" customFormat="1" ht="96.3" customHeight="1" outlineLevel="4">
      <c r="B3365" s="57">
        <v>2630</v>
      </c>
      <c r="C3365" s="21" t="s">
        <v>11764</v>
      </c>
      <c r="D3365" s="72" t="s">
        <v>11765</v>
      </c>
      <c r="E3365" s="72"/>
      <c r="F3365" s="72"/>
      <c r="G3365" s="72"/>
      <c r="H3365" s="22" t="s">
        <v>11766</v>
      </c>
      <c r="I3365" s="27">
        <v>342</v>
      </c>
      <c r="J3365" s="22"/>
      <c r="K3365" s="20">
        <v>1</v>
      </c>
      <c r="L3365" s="32">
        <v>1810.18</v>
      </c>
      <c r="M3365" s="11"/>
      <c r="N3365" s="22">
        <f t="shared" si="163"/>
        <v>0</v>
      </c>
      <c r="O3365" s="25">
        <f>0.561*M3365</f>
        <v>0</v>
      </c>
      <c r="P3365" s="26">
        <f>0.00124*M3365</f>
        <v>0</v>
      </c>
      <c r="Q3365" s="30"/>
      <c r="R3365" s="22" t="s">
        <v>11767</v>
      </c>
      <c r="S3365" s="22" t="s">
        <v>435</v>
      </c>
      <c r="T3365" s="21" t="str">
        <f>HYPERLINK("https://miland.ru/api/getInfo/image/c6b5fe33-c4bc-11ed-a230-00155d82e902")</f>
        <v>https://miland.ru/api/getInfo/image/c6b5fe33-c4bc-11ed-a230-00155d82e902</v>
      </c>
      <c r="U3365" s="21"/>
      <c r="V3365" s="21"/>
      <c r="W3365" s="21" t="s">
        <v>11759</v>
      </c>
      <c r="X3365" s="21"/>
      <c r="Y3365" s="21" t="s">
        <v>41</v>
      </c>
      <c r="Z3365" s="21"/>
      <c r="AA3365" s="21" t="str">
        <f>HYPERLINK("https://miland.ru/api/getInfo/item/c6b5fe33-c4bc-11ed-a230-00155d82e902")</f>
        <v>https://miland.ru/api/getInfo/item/c6b5fe33-c4bc-11ed-a230-00155d82e902</v>
      </c>
      <c r="AB3365" s="21" t="s">
        <v>42</v>
      </c>
      <c r="AC3365" s="21"/>
      <c r="AD3365" s="21"/>
    </row>
    <row r="3366" spans="2:30" s="1" customFormat="1" ht="96.3" customHeight="1" outlineLevel="4">
      <c r="B3366" s="57">
        <v>2631</v>
      </c>
      <c r="C3366" s="21" t="s">
        <v>11768</v>
      </c>
      <c r="D3366" s="72" t="s">
        <v>11769</v>
      </c>
      <c r="E3366" s="72"/>
      <c r="F3366" s="72"/>
      <c r="G3366" s="72"/>
      <c r="H3366" s="22" t="s">
        <v>11770</v>
      </c>
      <c r="I3366" s="27">
        <v>144</v>
      </c>
      <c r="J3366" s="22"/>
      <c r="K3366" s="20">
        <v>1</v>
      </c>
      <c r="L3366" s="32">
        <v>1609.06</v>
      </c>
      <c r="M3366" s="11"/>
      <c r="N3366" s="22">
        <f t="shared" si="163"/>
        <v>0</v>
      </c>
      <c r="O3366" s="25">
        <f>0.553*M3366</f>
        <v>0</v>
      </c>
      <c r="P3366" s="26">
        <f>0.00133*M3366</f>
        <v>0</v>
      </c>
      <c r="Q3366" s="30"/>
      <c r="R3366" s="22" t="s">
        <v>11771</v>
      </c>
      <c r="S3366" s="22" t="s">
        <v>435</v>
      </c>
      <c r="T3366" s="21" t="str">
        <f>HYPERLINK("https://miland.ru/api/getInfo/image/f8512aa4-c4bd-11ed-a230-00155d82e902")</f>
        <v>https://miland.ru/api/getInfo/image/f8512aa4-c4bd-11ed-a230-00155d82e902</v>
      </c>
      <c r="U3366" s="21"/>
      <c r="V3366" s="21"/>
      <c r="W3366" s="21" t="s">
        <v>11759</v>
      </c>
      <c r="X3366" s="21"/>
      <c r="Y3366" s="21" t="s">
        <v>41</v>
      </c>
      <c r="Z3366" s="21"/>
      <c r="AA3366" s="21" t="str">
        <f>HYPERLINK("https://miland.ru/api/getInfo/item/f8512aa4-c4bd-11ed-a230-00155d82e902")</f>
        <v>https://miland.ru/api/getInfo/item/f8512aa4-c4bd-11ed-a230-00155d82e902</v>
      </c>
      <c r="AB3366" s="21" t="s">
        <v>42</v>
      </c>
      <c r="AC3366" s="21"/>
      <c r="AD3366" s="21"/>
    </row>
    <row r="3367" spans="2:30" s="1" customFormat="1" ht="96.3" customHeight="1" outlineLevel="4">
      <c r="B3367" s="57">
        <v>2632</v>
      </c>
      <c r="C3367" s="21" t="s">
        <v>11772</v>
      </c>
      <c r="D3367" s="72" t="s">
        <v>11773</v>
      </c>
      <c r="E3367" s="72"/>
      <c r="F3367" s="72"/>
      <c r="G3367" s="72"/>
      <c r="H3367" s="22" t="s">
        <v>11774</v>
      </c>
      <c r="I3367" s="27">
        <v>292</v>
      </c>
      <c r="J3367" s="22"/>
      <c r="K3367" s="20">
        <v>1</v>
      </c>
      <c r="L3367" s="32">
        <v>1609.06</v>
      </c>
      <c r="M3367" s="11"/>
      <c r="N3367" s="22">
        <f t="shared" si="163"/>
        <v>0</v>
      </c>
      <c r="O3367" s="25">
        <f>0.548*M3367</f>
        <v>0</v>
      </c>
      <c r="P3367" s="29">
        <f>0.0013*M3367</f>
        <v>0</v>
      </c>
      <c r="Q3367" s="30"/>
      <c r="R3367" s="22" t="s">
        <v>11775</v>
      </c>
      <c r="S3367" s="22" t="s">
        <v>435</v>
      </c>
      <c r="T3367" s="21" t="str">
        <f>HYPERLINK("https://miland.ru/api/getInfo/image/f7f34512-c4bc-11ed-a230-00155d82e902")</f>
        <v>https://miland.ru/api/getInfo/image/f7f34512-c4bc-11ed-a230-00155d82e902</v>
      </c>
      <c r="U3367" s="21"/>
      <c r="V3367" s="21"/>
      <c r="W3367" s="21" t="s">
        <v>11759</v>
      </c>
      <c r="X3367" s="21"/>
      <c r="Y3367" s="21" t="s">
        <v>41</v>
      </c>
      <c r="Z3367" s="21"/>
      <c r="AA3367" s="21" t="str">
        <f>HYPERLINK("https://miland.ru/api/getInfo/item/f7f34512-c4bc-11ed-a230-00155d82e902")</f>
        <v>https://miland.ru/api/getInfo/item/f7f34512-c4bc-11ed-a230-00155d82e902</v>
      </c>
      <c r="AB3367" s="21" t="s">
        <v>42</v>
      </c>
      <c r="AC3367" s="21"/>
      <c r="AD3367" s="21"/>
    </row>
    <row r="3368" spans="2:30" s="1" customFormat="1" ht="96.3" customHeight="1" outlineLevel="4">
      <c r="B3368" s="57">
        <v>2633</v>
      </c>
      <c r="C3368" s="21" t="s">
        <v>11776</v>
      </c>
      <c r="D3368" s="72" t="s">
        <v>11777</v>
      </c>
      <c r="E3368" s="72"/>
      <c r="F3368" s="72"/>
      <c r="G3368" s="72"/>
      <c r="H3368" s="22" t="s">
        <v>11778</v>
      </c>
      <c r="I3368" s="27">
        <v>5</v>
      </c>
      <c r="J3368" s="22"/>
      <c r="K3368" s="20">
        <v>1</v>
      </c>
      <c r="L3368" s="32">
        <v>1609.06</v>
      </c>
      <c r="M3368" s="11"/>
      <c r="N3368" s="22">
        <f t="shared" si="163"/>
        <v>0</v>
      </c>
      <c r="O3368" s="25">
        <f>0.552*M3368</f>
        <v>0</v>
      </c>
      <c r="P3368" s="26">
        <f>0.00122*M3368</f>
        <v>0</v>
      </c>
      <c r="Q3368" s="30"/>
      <c r="R3368" s="22" t="s">
        <v>11779</v>
      </c>
      <c r="S3368" s="22" t="s">
        <v>435</v>
      </c>
      <c r="T3368" s="21" t="str">
        <f>HYPERLINK("https://miland.ru/api/getInfo/image/307c496c-c4be-11ed-a230-00155d82e902")</f>
        <v>https://miland.ru/api/getInfo/image/307c496c-c4be-11ed-a230-00155d82e902</v>
      </c>
      <c r="U3368" s="21"/>
      <c r="V3368" s="21"/>
      <c r="W3368" s="21" t="s">
        <v>11759</v>
      </c>
      <c r="X3368" s="21"/>
      <c r="Y3368" s="21" t="s">
        <v>41</v>
      </c>
      <c r="Z3368" s="21"/>
      <c r="AA3368" s="21" t="str">
        <f>HYPERLINK("https://miland.ru/api/getInfo/item/307c496c-c4be-11ed-a230-00155d82e902")</f>
        <v>https://miland.ru/api/getInfo/item/307c496c-c4be-11ed-a230-00155d82e902</v>
      </c>
      <c r="AB3368" s="21" t="s">
        <v>42</v>
      </c>
      <c r="AC3368" s="21"/>
      <c r="AD3368" s="21"/>
    </row>
    <row r="3369" spans="2:30" s="1" customFormat="1" ht="96.3" customHeight="1" outlineLevel="4">
      <c r="B3369" s="57">
        <v>2634</v>
      </c>
      <c r="C3369" s="21" t="s">
        <v>11780</v>
      </c>
      <c r="D3369" s="72" t="s">
        <v>11781</v>
      </c>
      <c r="E3369" s="72"/>
      <c r="F3369" s="72"/>
      <c r="G3369" s="72"/>
      <c r="H3369" s="22" t="s">
        <v>11782</v>
      </c>
      <c r="I3369" s="27">
        <v>315</v>
      </c>
      <c r="J3369" s="22"/>
      <c r="K3369" s="20">
        <v>1</v>
      </c>
      <c r="L3369" s="32">
        <v>1458.22</v>
      </c>
      <c r="M3369" s="11"/>
      <c r="N3369" s="22">
        <f t="shared" si="163"/>
        <v>0</v>
      </c>
      <c r="O3369" s="25">
        <f>0.513*M3369</f>
        <v>0</v>
      </c>
      <c r="P3369" s="26">
        <f>0.00137*M3369</f>
        <v>0</v>
      </c>
      <c r="Q3369" s="30"/>
      <c r="R3369" s="22" t="s">
        <v>11783</v>
      </c>
      <c r="S3369" s="22" t="s">
        <v>435</v>
      </c>
      <c r="T3369" s="21" t="str">
        <f>HYPERLINK("https://miland.ru/api/getInfo/image/fdc3ce27-c4b7-11ed-a230-00155d82e902")</f>
        <v>https://miland.ru/api/getInfo/image/fdc3ce27-c4b7-11ed-a230-00155d82e902</v>
      </c>
      <c r="U3369" s="21"/>
      <c r="V3369" s="21"/>
      <c r="W3369" s="21" t="s">
        <v>11759</v>
      </c>
      <c r="X3369" s="21"/>
      <c r="Y3369" s="21" t="s">
        <v>41</v>
      </c>
      <c r="Z3369" s="21"/>
      <c r="AA3369" s="21" t="str">
        <f>HYPERLINK("https://miland.ru/api/getInfo/item/fdc3ce27-c4b7-11ed-a230-00155d82e902")</f>
        <v>https://miland.ru/api/getInfo/item/fdc3ce27-c4b7-11ed-a230-00155d82e902</v>
      </c>
      <c r="AB3369" s="21" t="s">
        <v>42</v>
      </c>
      <c r="AC3369" s="21"/>
      <c r="AD3369" s="21"/>
    </row>
    <row r="3370" spans="2:30" s="1" customFormat="1" ht="96.3" customHeight="1" outlineLevel="4">
      <c r="B3370" s="57">
        <v>2635</v>
      </c>
      <c r="C3370" s="21" t="s">
        <v>11784</v>
      </c>
      <c r="D3370" s="72" t="s">
        <v>11785</v>
      </c>
      <c r="E3370" s="72"/>
      <c r="F3370" s="72"/>
      <c r="G3370" s="72"/>
      <c r="H3370" s="22" t="s">
        <v>11786</v>
      </c>
      <c r="I3370" s="27">
        <v>275</v>
      </c>
      <c r="J3370" s="22"/>
      <c r="K3370" s="20">
        <v>1</v>
      </c>
      <c r="L3370" s="32">
        <v>1458.22</v>
      </c>
      <c r="M3370" s="11"/>
      <c r="N3370" s="22">
        <f t="shared" si="163"/>
        <v>0</v>
      </c>
      <c r="O3370" s="25">
        <f>0.505*M3370</f>
        <v>0</v>
      </c>
      <c r="P3370" s="26">
        <f>0.00132*M3370</f>
        <v>0</v>
      </c>
      <c r="Q3370" s="30"/>
      <c r="R3370" s="22" t="s">
        <v>11787</v>
      </c>
      <c r="S3370" s="22" t="s">
        <v>435</v>
      </c>
      <c r="T3370" s="21" t="str">
        <f>HYPERLINK("https://miland.ru/api/getInfo/image/4a9de4aa-c4b7-11ed-a230-00155d82e902")</f>
        <v>https://miland.ru/api/getInfo/image/4a9de4aa-c4b7-11ed-a230-00155d82e902</v>
      </c>
      <c r="U3370" s="21"/>
      <c r="V3370" s="21"/>
      <c r="W3370" s="21" t="s">
        <v>11759</v>
      </c>
      <c r="X3370" s="21"/>
      <c r="Y3370" s="21" t="s">
        <v>41</v>
      </c>
      <c r="Z3370" s="21"/>
      <c r="AA3370" s="21" t="str">
        <f>HYPERLINK("https://miland.ru/api/getInfo/item/4a9de4aa-c4b7-11ed-a230-00155d82e902")</f>
        <v>https://miland.ru/api/getInfo/item/4a9de4aa-c4b7-11ed-a230-00155d82e902</v>
      </c>
      <c r="AB3370" s="21" t="s">
        <v>42</v>
      </c>
      <c r="AC3370" s="21"/>
      <c r="AD3370" s="21"/>
    </row>
    <row r="3371" spans="2:30" s="1" customFormat="1" ht="96.3" customHeight="1" outlineLevel="4">
      <c r="B3371" s="57">
        <v>2636</v>
      </c>
      <c r="C3371" s="21" t="s">
        <v>11788</v>
      </c>
      <c r="D3371" s="72" t="s">
        <v>11789</v>
      </c>
      <c r="E3371" s="72"/>
      <c r="F3371" s="72"/>
      <c r="G3371" s="72"/>
      <c r="H3371" s="22" t="s">
        <v>11790</v>
      </c>
      <c r="I3371" s="27">
        <v>143</v>
      </c>
      <c r="J3371" s="22"/>
      <c r="K3371" s="20">
        <v>1</v>
      </c>
      <c r="L3371" s="32">
        <v>1458.22</v>
      </c>
      <c r="M3371" s="11"/>
      <c r="N3371" s="22">
        <f t="shared" si="163"/>
        <v>0</v>
      </c>
      <c r="O3371" s="25">
        <f>0.502*M3371</f>
        <v>0</v>
      </c>
      <c r="P3371" s="29">
        <f>0.0013*M3371</f>
        <v>0</v>
      </c>
      <c r="Q3371" s="30"/>
      <c r="R3371" s="22" t="s">
        <v>11791</v>
      </c>
      <c r="S3371" s="22" t="s">
        <v>435</v>
      </c>
      <c r="T3371" s="21" t="str">
        <f>HYPERLINK("https://miland.ru/api/getInfo/image/2ebe1a9f-c4b8-11ed-a230-00155d82e902")</f>
        <v>https://miland.ru/api/getInfo/image/2ebe1a9f-c4b8-11ed-a230-00155d82e902</v>
      </c>
      <c r="U3371" s="21"/>
      <c r="V3371" s="21"/>
      <c r="W3371" s="21" t="s">
        <v>11759</v>
      </c>
      <c r="X3371" s="21"/>
      <c r="Y3371" s="21" t="s">
        <v>41</v>
      </c>
      <c r="Z3371" s="21"/>
      <c r="AA3371" s="21" t="str">
        <f>HYPERLINK("https://miland.ru/api/getInfo/item/2ebe1a9f-c4b8-11ed-a230-00155d82e902")</f>
        <v>https://miland.ru/api/getInfo/item/2ebe1a9f-c4b8-11ed-a230-00155d82e902</v>
      </c>
      <c r="AB3371" s="21" t="s">
        <v>42</v>
      </c>
      <c r="AC3371" s="21"/>
      <c r="AD3371" s="21"/>
    </row>
    <row r="3372" spans="2:30" s="1" customFormat="1" ht="96.3" customHeight="1" outlineLevel="4">
      <c r="B3372" s="57">
        <v>2637</v>
      </c>
      <c r="C3372" s="21" t="s">
        <v>11792</v>
      </c>
      <c r="D3372" s="72" t="s">
        <v>11793</v>
      </c>
      <c r="E3372" s="72"/>
      <c r="F3372" s="72"/>
      <c r="G3372" s="72"/>
      <c r="H3372" s="22" t="s">
        <v>11794</v>
      </c>
      <c r="I3372" s="27">
        <v>87</v>
      </c>
      <c r="J3372" s="22"/>
      <c r="K3372" s="20">
        <v>1</v>
      </c>
      <c r="L3372" s="24">
        <v>556.66999999999996</v>
      </c>
      <c r="M3372" s="11"/>
      <c r="N3372" s="22">
        <f t="shared" si="163"/>
        <v>0</v>
      </c>
      <c r="O3372" s="25">
        <f>0.246*M3372</f>
        <v>0</v>
      </c>
      <c r="P3372" s="26">
        <f>0.00303*M3372</f>
        <v>0</v>
      </c>
      <c r="Q3372" s="30"/>
      <c r="R3372" s="22" t="s">
        <v>11795</v>
      </c>
      <c r="S3372" s="22"/>
      <c r="T3372" s="21" t="str">
        <f>HYPERLINK("https://miland.ru/api/getInfo/image/c3a80a7b-e9a2-11ed-a233-00155d82e902")</f>
        <v>https://miland.ru/api/getInfo/image/c3a80a7b-e9a2-11ed-a233-00155d82e902</v>
      </c>
      <c r="U3372" s="21"/>
      <c r="V3372" s="21"/>
      <c r="W3372" s="21" t="s">
        <v>11759</v>
      </c>
      <c r="X3372" s="21"/>
      <c r="Y3372" s="21" t="s">
        <v>41</v>
      </c>
      <c r="Z3372" s="21"/>
      <c r="AA3372" s="21" t="str">
        <f>HYPERLINK("https://miland.ru/api/getInfo/item/c3a80a7b-e9a2-11ed-a233-00155d82e902")</f>
        <v>https://miland.ru/api/getInfo/item/c3a80a7b-e9a2-11ed-a233-00155d82e902</v>
      </c>
      <c r="AB3372" s="21" t="s">
        <v>42</v>
      </c>
      <c r="AC3372" s="21" t="s">
        <v>11796</v>
      </c>
      <c r="AD3372" s="21"/>
    </row>
    <row r="3373" spans="2:30" s="1" customFormat="1" ht="96.3" customHeight="1" outlineLevel="4">
      <c r="B3373" s="57">
        <v>2638</v>
      </c>
      <c r="C3373" s="21" t="s">
        <v>11797</v>
      </c>
      <c r="D3373" s="72" t="s">
        <v>11798</v>
      </c>
      <c r="E3373" s="72"/>
      <c r="F3373" s="72"/>
      <c r="G3373" s="72"/>
      <c r="H3373" s="22" t="s">
        <v>11799</v>
      </c>
      <c r="I3373" s="27">
        <v>26</v>
      </c>
      <c r="J3373" s="22"/>
      <c r="K3373" s="20">
        <v>1</v>
      </c>
      <c r="L3373" s="24">
        <v>779.65</v>
      </c>
      <c r="M3373" s="11"/>
      <c r="N3373" s="22">
        <f t="shared" si="163"/>
        <v>0</v>
      </c>
      <c r="O3373" s="28">
        <f>0.38*M3373</f>
        <v>0</v>
      </c>
      <c r="P3373" s="26">
        <f>0.00793*M3373</f>
        <v>0</v>
      </c>
      <c r="Q3373" s="30"/>
      <c r="R3373" s="22" t="s">
        <v>11800</v>
      </c>
      <c r="S3373" s="22" t="s">
        <v>435</v>
      </c>
      <c r="T3373" s="21" t="str">
        <f>HYPERLINK("https://miland.ru/api/getInfo/image/15c47c27-e9a0-11ed-a233-00155d82e902")</f>
        <v>https://miland.ru/api/getInfo/image/15c47c27-e9a0-11ed-a233-00155d82e902</v>
      </c>
      <c r="U3373" s="21"/>
      <c r="V3373" s="21"/>
      <c r="W3373" s="21" t="s">
        <v>11759</v>
      </c>
      <c r="X3373" s="21"/>
      <c r="Y3373" s="21" t="s">
        <v>41</v>
      </c>
      <c r="Z3373" s="21"/>
      <c r="AA3373" s="21" t="str">
        <f>HYPERLINK("https://miland.ru/api/getInfo/item/15c47c27-e9a0-11ed-a233-00155d82e902")</f>
        <v>https://miland.ru/api/getInfo/item/15c47c27-e9a0-11ed-a233-00155d82e902</v>
      </c>
      <c r="AB3373" s="21" t="s">
        <v>42</v>
      </c>
      <c r="AC3373" s="21" t="s">
        <v>11801</v>
      </c>
      <c r="AD3373" s="21"/>
    </row>
    <row r="3374" spans="2:30" ht="12" customHeight="1" outlineLevel="3">
      <c r="B3374" s="70" t="s">
        <v>11802</v>
      </c>
      <c r="C3374" s="70"/>
      <c r="D3374" s="70"/>
      <c r="E3374" s="70"/>
      <c r="F3374" s="70"/>
      <c r="G3374" s="70"/>
    </row>
    <row r="3375" spans="2:30" ht="12" customHeight="1" outlineLevel="4">
      <c r="B3375" s="70" t="s">
        <v>11803</v>
      </c>
      <c r="C3375" s="70"/>
      <c r="D3375" s="70"/>
      <c r="E3375" s="70"/>
      <c r="F3375" s="70"/>
      <c r="G3375" s="70"/>
    </row>
    <row r="3376" spans="2:30" ht="12" customHeight="1" outlineLevel="5">
      <c r="B3376" s="70" t="s">
        <v>11804</v>
      </c>
      <c r="C3376" s="70"/>
      <c r="D3376" s="70"/>
      <c r="E3376" s="70"/>
      <c r="F3376" s="70"/>
      <c r="G3376" s="70"/>
    </row>
    <row r="3377" spans="2:31" s="1" customFormat="1" ht="96.3" customHeight="1" outlineLevel="6">
      <c r="B3377" s="59">
        <v>2639</v>
      </c>
      <c r="C3377" s="35" t="s">
        <v>11805</v>
      </c>
      <c r="D3377" s="73" t="s">
        <v>11806</v>
      </c>
      <c r="E3377" s="73"/>
      <c r="F3377" s="73"/>
      <c r="G3377" s="73"/>
      <c r="H3377" s="36" t="s">
        <v>11807</v>
      </c>
      <c r="I3377" s="40">
        <v>118</v>
      </c>
      <c r="J3377" s="36"/>
      <c r="K3377" s="34">
        <v>1</v>
      </c>
      <c r="L3377" s="41">
        <v>597.43999999999994</v>
      </c>
      <c r="M3377" s="11"/>
      <c r="N3377" s="36">
        <f>L3377*M3377</f>
        <v>0</v>
      </c>
      <c r="O3377" s="42">
        <f>0.236*M3377</f>
        <v>0</v>
      </c>
      <c r="P3377" s="43">
        <f>0.00238*M3377</f>
        <v>0</v>
      </c>
      <c r="Q3377" s="50" t="s">
        <v>37</v>
      </c>
      <c r="R3377" s="36" t="s">
        <v>11808</v>
      </c>
      <c r="S3377" s="36"/>
      <c r="T3377" s="35" t="str">
        <f>HYPERLINK("https://miland.ru/api/getInfo/image/14527281-af15-11f0-a286-00155d82e908")</f>
        <v>https://miland.ru/api/getInfo/image/14527281-af15-11f0-a286-00155d82e908</v>
      </c>
      <c r="U3377" s="35"/>
      <c r="V3377" s="35"/>
      <c r="W3377" s="35" t="s">
        <v>171</v>
      </c>
      <c r="X3377" s="35" t="s">
        <v>172</v>
      </c>
      <c r="Y3377" s="35" t="s">
        <v>173</v>
      </c>
      <c r="Z3377" s="35" t="s">
        <v>11809</v>
      </c>
      <c r="AA3377" s="35" t="str">
        <f>HYPERLINK("https://miland.ru/api/getInfo/item/14527281-af15-11f0-a286-00155d82e908")</f>
        <v>https://miland.ru/api/getInfo/item/14527281-af15-11f0-a286-00155d82e908</v>
      </c>
      <c r="AB3377" s="35" t="s">
        <v>42</v>
      </c>
      <c r="AC3377" s="35"/>
      <c r="AD3377" s="35"/>
      <c r="AE3377" s="52" t="s">
        <v>9152</v>
      </c>
    </row>
    <row r="3378" spans="2:31" s="1" customFormat="1" ht="96.3" customHeight="1" outlineLevel="6">
      <c r="B3378" s="57">
        <v>2640</v>
      </c>
      <c r="C3378" s="21" t="s">
        <v>11810</v>
      </c>
      <c r="D3378" s="72" t="s">
        <v>11811</v>
      </c>
      <c r="E3378" s="72"/>
      <c r="F3378" s="72"/>
      <c r="G3378" s="72"/>
      <c r="H3378" s="22" t="s">
        <v>11812</v>
      </c>
      <c r="I3378" s="27">
        <v>5</v>
      </c>
      <c r="J3378" s="22"/>
      <c r="K3378" s="20">
        <v>1</v>
      </c>
      <c r="L3378" s="24">
        <v>650.57000000000005</v>
      </c>
      <c r="M3378" s="11"/>
      <c r="N3378" s="22">
        <f>L3378*M3378</f>
        <v>0</v>
      </c>
      <c r="O3378" s="25">
        <f>0.303*M3378</f>
        <v>0</v>
      </c>
      <c r="P3378" s="26">
        <f>0.01426*M3378</f>
        <v>0</v>
      </c>
      <c r="Q3378" s="30"/>
      <c r="R3378" s="22" t="s">
        <v>11813</v>
      </c>
      <c r="S3378" s="22" t="s">
        <v>435</v>
      </c>
      <c r="T3378" s="21" t="str">
        <f>HYPERLINK("https://miland.ru/api/getInfo/image/97d1b015-f648-11ee-a25b-00155d82e908")</f>
        <v>https://miland.ru/api/getInfo/image/97d1b015-f648-11ee-a25b-00155d82e908</v>
      </c>
      <c r="U3378" s="21"/>
      <c r="V3378" s="21"/>
      <c r="W3378" s="21" t="s">
        <v>171</v>
      </c>
      <c r="X3378" s="21" t="s">
        <v>172</v>
      </c>
      <c r="Y3378" s="21" t="s">
        <v>173</v>
      </c>
      <c r="Z3378" s="21" t="s">
        <v>11814</v>
      </c>
      <c r="AA3378" s="21" t="str">
        <f>HYPERLINK("https://miland.ru/api/getInfo/item/97d1b015-f648-11ee-a25b-00155d82e908")</f>
        <v>https://miland.ru/api/getInfo/item/97d1b015-f648-11ee-a25b-00155d82e908</v>
      </c>
      <c r="AB3378" s="21" t="s">
        <v>42</v>
      </c>
      <c r="AC3378" s="21" t="s">
        <v>11815</v>
      </c>
      <c r="AD3378" s="21"/>
    </row>
    <row r="3379" spans="2:31" ht="12" customHeight="1" outlineLevel="5">
      <c r="B3379" s="70" t="s">
        <v>11816</v>
      </c>
      <c r="C3379" s="70"/>
      <c r="D3379" s="70"/>
      <c r="E3379" s="70"/>
      <c r="F3379" s="70"/>
      <c r="G3379" s="70"/>
    </row>
    <row r="3380" spans="2:31" s="1" customFormat="1" ht="96.3" customHeight="1" outlineLevel="6">
      <c r="B3380" s="58">
        <v>2641</v>
      </c>
      <c r="C3380" s="7" t="s">
        <v>11817</v>
      </c>
      <c r="D3380" s="71" t="s">
        <v>11818</v>
      </c>
      <c r="E3380" s="71"/>
      <c r="F3380" s="71"/>
      <c r="G3380" s="71"/>
      <c r="H3380" s="8" t="s">
        <v>11819</v>
      </c>
      <c r="I3380" s="14">
        <v>41</v>
      </c>
      <c r="J3380" s="8"/>
      <c r="K3380" s="6">
        <v>3</v>
      </c>
      <c r="L3380" s="10">
        <v>224.03</v>
      </c>
      <c r="M3380" s="11"/>
      <c r="N3380" s="8">
        <f t="shared" ref="N3380:N3387" si="164">L3380*M3380</f>
        <v>0</v>
      </c>
      <c r="O3380" s="12">
        <f>0.117*M3380</f>
        <v>0</v>
      </c>
      <c r="P3380" s="13">
        <f>0.00197*M3380</f>
        <v>0</v>
      </c>
      <c r="Q3380" s="17" t="s">
        <v>37</v>
      </c>
      <c r="R3380" s="8" t="s">
        <v>11820</v>
      </c>
      <c r="S3380" s="8"/>
      <c r="T3380" s="7" t="str">
        <f>HYPERLINK("https://miland.ru/api/getInfo/image/8d407b2a-af17-11f0-a286-00155d82e908")</f>
        <v>https://miland.ru/api/getInfo/image/8d407b2a-af17-11f0-a286-00155d82e908</v>
      </c>
      <c r="U3380" s="7"/>
      <c r="V3380" s="7"/>
      <c r="W3380" s="7" t="s">
        <v>171</v>
      </c>
      <c r="X3380" s="7" t="s">
        <v>172</v>
      </c>
      <c r="Y3380" s="7" t="s">
        <v>173</v>
      </c>
      <c r="Z3380" s="7" t="s">
        <v>11821</v>
      </c>
      <c r="AA3380" s="7" t="str">
        <f>HYPERLINK("https://miland.ru/api/getInfo/item/8d407b2a-af17-11f0-a286-00155d82e908")</f>
        <v>https://miland.ru/api/getInfo/item/8d407b2a-af17-11f0-a286-00155d82e908</v>
      </c>
      <c r="AB3380" s="7" t="s">
        <v>42</v>
      </c>
      <c r="AC3380" s="7"/>
      <c r="AD3380" s="7"/>
      <c r="AE3380" s="54"/>
    </row>
    <row r="3381" spans="2:31" s="1" customFormat="1" ht="96.3" customHeight="1" outlineLevel="6">
      <c r="B3381" s="57">
        <v>2642</v>
      </c>
      <c r="C3381" s="21" t="s">
        <v>11822</v>
      </c>
      <c r="D3381" s="72" t="s">
        <v>11823</v>
      </c>
      <c r="E3381" s="72"/>
      <c r="F3381" s="72"/>
      <c r="G3381" s="72"/>
      <c r="H3381" s="22" t="s">
        <v>11824</v>
      </c>
      <c r="I3381" s="27">
        <v>104</v>
      </c>
      <c r="J3381" s="22"/>
      <c r="K3381" s="20">
        <v>1</v>
      </c>
      <c r="L3381" s="32">
        <v>1017.67</v>
      </c>
      <c r="M3381" s="11"/>
      <c r="N3381" s="22">
        <f t="shared" si="164"/>
        <v>0</v>
      </c>
      <c r="O3381" s="25">
        <f>0.225*M3381</f>
        <v>0</v>
      </c>
      <c r="P3381" s="26">
        <f>0.00156*M3381</f>
        <v>0</v>
      </c>
      <c r="Q3381" s="30"/>
      <c r="R3381" s="22" t="s">
        <v>11825</v>
      </c>
      <c r="S3381" s="22" t="s">
        <v>435</v>
      </c>
      <c r="T3381" s="21" t="str">
        <f>HYPERLINK("https://miland.ru/api/getInfo/image/294edf5d-f7e2-11ee-a25d-00155d82e908")</f>
        <v>https://miland.ru/api/getInfo/image/294edf5d-f7e2-11ee-a25d-00155d82e908</v>
      </c>
      <c r="U3381" s="21"/>
      <c r="V3381" s="21"/>
      <c r="W3381" s="21" t="s">
        <v>171</v>
      </c>
      <c r="X3381" s="21" t="s">
        <v>172</v>
      </c>
      <c r="Y3381" s="21" t="s">
        <v>173</v>
      </c>
      <c r="Z3381" s="21" t="s">
        <v>11826</v>
      </c>
      <c r="AA3381" s="21" t="str">
        <f>HYPERLINK("https://miland.ru/api/getInfo/item/294edf5d-f7e2-11ee-a25d-00155d82e908")</f>
        <v>https://miland.ru/api/getInfo/item/294edf5d-f7e2-11ee-a25d-00155d82e908</v>
      </c>
      <c r="AB3381" s="21" t="s">
        <v>42</v>
      </c>
      <c r="AC3381" s="21" t="s">
        <v>11827</v>
      </c>
      <c r="AD3381" s="21"/>
    </row>
    <row r="3382" spans="2:31" s="1" customFormat="1" ht="96.3" customHeight="1" outlineLevel="6">
      <c r="B3382" s="58">
        <v>2643</v>
      </c>
      <c r="C3382" s="7" t="s">
        <v>11828</v>
      </c>
      <c r="D3382" s="71" t="s">
        <v>11829</v>
      </c>
      <c r="E3382" s="71"/>
      <c r="F3382" s="71"/>
      <c r="G3382" s="71"/>
      <c r="H3382" s="8" t="s">
        <v>11830</v>
      </c>
      <c r="I3382" s="14">
        <v>113</v>
      </c>
      <c r="J3382" s="8"/>
      <c r="K3382" s="6">
        <v>2</v>
      </c>
      <c r="L3382" s="10">
        <v>348.5</v>
      </c>
      <c r="M3382" s="11"/>
      <c r="N3382" s="8">
        <f t="shared" si="164"/>
        <v>0</v>
      </c>
      <c r="O3382" s="12">
        <f>0.215*M3382</f>
        <v>0</v>
      </c>
      <c r="P3382" s="13">
        <f>0.00377*M3382</f>
        <v>0</v>
      </c>
      <c r="Q3382" s="17" t="s">
        <v>37</v>
      </c>
      <c r="R3382" s="8" t="s">
        <v>11831</v>
      </c>
      <c r="S3382" s="8"/>
      <c r="T3382" s="7" t="str">
        <f>HYPERLINK("https://miland.ru/api/getInfo/image/3ab64aa4-af19-11f0-a286-00155d82e908")</f>
        <v>https://miland.ru/api/getInfo/image/3ab64aa4-af19-11f0-a286-00155d82e908</v>
      </c>
      <c r="U3382" s="7"/>
      <c r="V3382" s="7"/>
      <c r="W3382" s="7" t="s">
        <v>171</v>
      </c>
      <c r="X3382" s="7" t="s">
        <v>172</v>
      </c>
      <c r="Y3382" s="7" t="s">
        <v>173</v>
      </c>
      <c r="Z3382" s="7" t="s">
        <v>11832</v>
      </c>
      <c r="AA3382" s="7" t="str">
        <f>HYPERLINK("https://miland.ru/api/getInfo/item/3ab64aa4-af19-11f0-a286-00155d82e908")</f>
        <v>https://miland.ru/api/getInfo/item/3ab64aa4-af19-11f0-a286-00155d82e908</v>
      </c>
      <c r="AB3382" s="7" t="s">
        <v>42</v>
      </c>
      <c r="AC3382" s="7"/>
      <c r="AD3382" s="7"/>
      <c r="AE3382" s="54"/>
    </row>
    <row r="3383" spans="2:31" s="1" customFormat="1" ht="96.3" customHeight="1" outlineLevel="6">
      <c r="B3383" s="57">
        <v>2644</v>
      </c>
      <c r="C3383" s="21" t="s">
        <v>11833</v>
      </c>
      <c r="D3383" s="72" t="s">
        <v>11834</v>
      </c>
      <c r="E3383" s="72"/>
      <c r="F3383" s="72"/>
      <c r="G3383" s="72"/>
      <c r="H3383" s="22" t="s">
        <v>11835</v>
      </c>
      <c r="I3383" s="27">
        <v>84</v>
      </c>
      <c r="J3383" s="22"/>
      <c r="K3383" s="20">
        <v>1</v>
      </c>
      <c r="L3383" s="32">
        <v>1017.67</v>
      </c>
      <c r="M3383" s="11"/>
      <c r="N3383" s="22">
        <f t="shared" si="164"/>
        <v>0</v>
      </c>
      <c r="O3383" s="25">
        <f>0.158*M3383</f>
        <v>0</v>
      </c>
      <c r="P3383" s="26">
        <f>0.00083*M3383</f>
        <v>0</v>
      </c>
      <c r="Q3383" s="30"/>
      <c r="R3383" s="22" t="s">
        <v>11836</v>
      </c>
      <c r="S3383" s="22" t="s">
        <v>435</v>
      </c>
      <c r="T3383" s="21" t="str">
        <f>HYPERLINK("https://miland.ru/api/getInfo/image/763519d7-f7e2-11ee-a25d-00155d82e908")</f>
        <v>https://miland.ru/api/getInfo/image/763519d7-f7e2-11ee-a25d-00155d82e908</v>
      </c>
      <c r="U3383" s="21"/>
      <c r="V3383" s="21"/>
      <c r="W3383" s="21" t="s">
        <v>171</v>
      </c>
      <c r="X3383" s="21" t="s">
        <v>172</v>
      </c>
      <c r="Y3383" s="21" t="s">
        <v>173</v>
      </c>
      <c r="Z3383" s="21" t="s">
        <v>11837</v>
      </c>
      <c r="AA3383" s="21" t="str">
        <f>HYPERLINK("https://miland.ru/api/getInfo/item/763519d7-f7e2-11ee-a25d-00155d82e908")</f>
        <v>https://miland.ru/api/getInfo/item/763519d7-f7e2-11ee-a25d-00155d82e908</v>
      </c>
      <c r="AB3383" s="21" t="s">
        <v>42</v>
      </c>
      <c r="AC3383" s="21" t="s">
        <v>11838</v>
      </c>
      <c r="AD3383" s="21"/>
    </row>
    <row r="3384" spans="2:31" s="1" customFormat="1" ht="96.3" customHeight="1" outlineLevel="6">
      <c r="B3384" s="57">
        <v>2645</v>
      </c>
      <c r="C3384" s="21" t="s">
        <v>11839</v>
      </c>
      <c r="D3384" s="72" t="s">
        <v>11840</v>
      </c>
      <c r="E3384" s="72"/>
      <c r="F3384" s="72"/>
      <c r="G3384" s="72"/>
      <c r="H3384" s="22" t="s">
        <v>11841</v>
      </c>
      <c r="I3384" s="27">
        <v>86</v>
      </c>
      <c r="J3384" s="22"/>
      <c r="K3384" s="20">
        <v>1</v>
      </c>
      <c r="L3384" s="32">
        <v>1017.67</v>
      </c>
      <c r="M3384" s="11"/>
      <c r="N3384" s="22">
        <f t="shared" si="164"/>
        <v>0</v>
      </c>
      <c r="O3384" s="25">
        <f>0.154*M3384</f>
        <v>0</v>
      </c>
      <c r="P3384" s="26">
        <f>0.00765*M3384</f>
        <v>0</v>
      </c>
      <c r="Q3384" s="30"/>
      <c r="R3384" s="22" t="s">
        <v>11842</v>
      </c>
      <c r="S3384" s="22" t="s">
        <v>435</v>
      </c>
      <c r="T3384" s="21" t="str">
        <f>HYPERLINK("https://miland.ru/api/getInfo/image/5aa649df-f7e2-11ee-a25d-00155d82e908")</f>
        <v>https://miland.ru/api/getInfo/image/5aa649df-f7e2-11ee-a25d-00155d82e908</v>
      </c>
      <c r="U3384" s="21"/>
      <c r="V3384" s="21"/>
      <c r="W3384" s="21" t="s">
        <v>171</v>
      </c>
      <c r="X3384" s="21" t="s">
        <v>172</v>
      </c>
      <c r="Y3384" s="21" t="s">
        <v>173</v>
      </c>
      <c r="Z3384" s="21" t="s">
        <v>11843</v>
      </c>
      <c r="AA3384" s="21" t="str">
        <f>HYPERLINK("https://miland.ru/api/getInfo/item/5aa649df-f7e2-11ee-a25d-00155d82e908")</f>
        <v>https://miland.ru/api/getInfo/item/5aa649df-f7e2-11ee-a25d-00155d82e908</v>
      </c>
      <c r="AB3384" s="21" t="s">
        <v>42</v>
      </c>
      <c r="AC3384" s="21" t="s">
        <v>11838</v>
      </c>
      <c r="AD3384" s="21"/>
    </row>
    <row r="3385" spans="2:31" s="1" customFormat="1" ht="96.3" customHeight="1" outlineLevel="6">
      <c r="B3385" s="58">
        <v>2646</v>
      </c>
      <c r="C3385" s="7" t="s">
        <v>11844</v>
      </c>
      <c r="D3385" s="71" t="s">
        <v>11845</v>
      </c>
      <c r="E3385" s="71"/>
      <c r="F3385" s="71"/>
      <c r="G3385" s="71"/>
      <c r="H3385" s="8" t="s">
        <v>11846</v>
      </c>
      <c r="I3385" s="14">
        <v>294</v>
      </c>
      <c r="J3385" s="8"/>
      <c r="K3385" s="6">
        <v>3</v>
      </c>
      <c r="L3385" s="10">
        <v>220.82</v>
      </c>
      <c r="M3385" s="11"/>
      <c r="N3385" s="8">
        <f t="shared" si="164"/>
        <v>0</v>
      </c>
      <c r="O3385" s="12">
        <f>0.132*M3385</f>
        <v>0</v>
      </c>
      <c r="P3385" s="13">
        <f>0.00168*M3385</f>
        <v>0</v>
      </c>
      <c r="Q3385" s="17" t="s">
        <v>37</v>
      </c>
      <c r="R3385" s="8" t="s">
        <v>11847</v>
      </c>
      <c r="S3385" s="8"/>
      <c r="T3385" s="7" t="str">
        <f>HYPERLINK("https://miland.ru/api/getInfo/image/b91ff109-af18-11f0-a286-00155d82e908")</f>
        <v>https://miland.ru/api/getInfo/image/b91ff109-af18-11f0-a286-00155d82e908</v>
      </c>
      <c r="U3385" s="7"/>
      <c r="V3385" s="7"/>
      <c r="W3385" s="7" t="s">
        <v>171</v>
      </c>
      <c r="X3385" s="7" t="s">
        <v>172</v>
      </c>
      <c r="Y3385" s="7" t="s">
        <v>173</v>
      </c>
      <c r="Z3385" s="7" t="s">
        <v>11848</v>
      </c>
      <c r="AA3385" s="7" t="str">
        <f>HYPERLINK("https://miland.ru/api/getInfo/item/b91ff109-af18-11f0-a286-00155d82e908")</f>
        <v>https://miland.ru/api/getInfo/item/b91ff109-af18-11f0-a286-00155d82e908</v>
      </c>
      <c r="AB3385" s="7" t="s">
        <v>42</v>
      </c>
      <c r="AC3385" s="7"/>
      <c r="AD3385" s="7"/>
      <c r="AE3385" s="54"/>
    </row>
    <row r="3386" spans="2:31" s="1" customFormat="1" ht="96.3" customHeight="1" outlineLevel="6">
      <c r="B3386" s="58">
        <v>2647</v>
      </c>
      <c r="C3386" s="7" t="s">
        <v>11849</v>
      </c>
      <c r="D3386" s="71" t="s">
        <v>11850</v>
      </c>
      <c r="E3386" s="71"/>
      <c r="F3386" s="71"/>
      <c r="G3386" s="71"/>
      <c r="H3386" s="8" t="s">
        <v>11851</v>
      </c>
      <c r="I3386" s="14">
        <v>221</v>
      </c>
      <c r="J3386" s="8"/>
      <c r="K3386" s="6">
        <v>3</v>
      </c>
      <c r="L3386" s="10">
        <v>220.82</v>
      </c>
      <c r="M3386" s="11"/>
      <c r="N3386" s="8">
        <f t="shared" si="164"/>
        <v>0</v>
      </c>
      <c r="O3386" s="12">
        <f>0.106*M3386</f>
        <v>0</v>
      </c>
      <c r="P3386" s="13">
        <f>0.00163*M3386</f>
        <v>0</v>
      </c>
      <c r="Q3386" s="17" t="s">
        <v>37</v>
      </c>
      <c r="R3386" s="8" t="s">
        <v>11852</v>
      </c>
      <c r="S3386" s="8"/>
      <c r="T3386" s="7" t="str">
        <f>HYPERLINK("https://miland.ru/api/getInfo/image/a294e8c4-af18-11f0-a286-00155d82e908")</f>
        <v>https://miland.ru/api/getInfo/image/a294e8c4-af18-11f0-a286-00155d82e908</v>
      </c>
      <c r="U3386" s="7"/>
      <c r="V3386" s="7"/>
      <c r="W3386" s="7" t="s">
        <v>171</v>
      </c>
      <c r="X3386" s="7" t="s">
        <v>172</v>
      </c>
      <c r="Y3386" s="7" t="s">
        <v>173</v>
      </c>
      <c r="Z3386" s="7" t="s">
        <v>11853</v>
      </c>
      <c r="AA3386" s="7" t="str">
        <f>HYPERLINK("https://miland.ru/api/getInfo/item/a294e8c4-af18-11f0-a286-00155d82e908")</f>
        <v>https://miland.ru/api/getInfo/item/a294e8c4-af18-11f0-a286-00155d82e908</v>
      </c>
      <c r="AB3386" s="7" t="s">
        <v>42</v>
      </c>
      <c r="AC3386" s="7"/>
      <c r="AD3386" s="7"/>
      <c r="AE3386" s="54"/>
    </row>
    <row r="3387" spans="2:31" s="1" customFormat="1" ht="96.3" customHeight="1" outlineLevel="6">
      <c r="B3387" s="58">
        <v>2648</v>
      </c>
      <c r="C3387" s="7" t="s">
        <v>11854</v>
      </c>
      <c r="D3387" s="71" t="s">
        <v>11855</v>
      </c>
      <c r="E3387" s="71"/>
      <c r="F3387" s="71"/>
      <c r="G3387" s="71"/>
      <c r="H3387" s="8" t="s">
        <v>11856</v>
      </c>
      <c r="I3387" s="14">
        <v>54</v>
      </c>
      <c r="J3387" s="8"/>
      <c r="K3387" s="6">
        <v>1</v>
      </c>
      <c r="L3387" s="10">
        <v>597.42999999999995</v>
      </c>
      <c r="M3387" s="11"/>
      <c r="N3387" s="8">
        <f t="shared" si="164"/>
        <v>0</v>
      </c>
      <c r="O3387" s="12">
        <f>0.211*M3387</f>
        <v>0</v>
      </c>
      <c r="P3387" s="13">
        <f>0.00343*M3387</f>
        <v>0</v>
      </c>
      <c r="Q3387" s="17" t="s">
        <v>37</v>
      </c>
      <c r="R3387" s="8" t="s">
        <v>11857</v>
      </c>
      <c r="S3387" s="8"/>
      <c r="T3387" s="7" t="str">
        <f>HYPERLINK("https://miland.ru/api/getInfo/image/dc1d5e7c-af18-11f0-a286-00155d82e908")</f>
        <v>https://miland.ru/api/getInfo/image/dc1d5e7c-af18-11f0-a286-00155d82e908</v>
      </c>
      <c r="U3387" s="7"/>
      <c r="V3387" s="7"/>
      <c r="W3387" s="7" t="s">
        <v>171</v>
      </c>
      <c r="X3387" s="7" t="s">
        <v>172</v>
      </c>
      <c r="Y3387" s="7" t="s">
        <v>173</v>
      </c>
      <c r="Z3387" s="7" t="s">
        <v>11858</v>
      </c>
      <c r="AA3387" s="7" t="str">
        <f>HYPERLINK("https://miland.ru/api/getInfo/item/dc1d5e7c-af18-11f0-a286-00155d82e908")</f>
        <v>https://miland.ru/api/getInfo/item/dc1d5e7c-af18-11f0-a286-00155d82e908</v>
      </c>
      <c r="AB3387" s="7" t="s">
        <v>42</v>
      </c>
      <c r="AC3387" s="7"/>
      <c r="AD3387" s="7"/>
      <c r="AE3387" s="54"/>
    </row>
    <row r="3388" spans="2:31" ht="12" customHeight="1" outlineLevel="5">
      <c r="B3388" s="70" t="s">
        <v>11859</v>
      </c>
      <c r="C3388" s="70"/>
      <c r="D3388" s="70"/>
      <c r="E3388" s="70"/>
      <c r="F3388" s="70"/>
      <c r="G3388" s="70"/>
    </row>
    <row r="3389" spans="2:31" s="1" customFormat="1" ht="96.3" customHeight="1" outlineLevel="6">
      <c r="B3389" s="57">
        <v>2649</v>
      </c>
      <c r="C3389" s="21" t="s">
        <v>11860</v>
      </c>
      <c r="D3389" s="72" t="s">
        <v>11861</v>
      </c>
      <c r="E3389" s="72"/>
      <c r="F3389" s="72"/>
      <c r="G3389" s="72"/>
      <c r="H3389" s="22" t="s">
        <v>11862</v>
      </c>
      <c r="I3389" s="27">
        <v>109</v>
      </c>
      <c r="J3389" s="22"/>
      <c r="K3389" s="20">
        <v>4</v>
      </c>
      <c r="L3389" s="24">
        <v>152.13</v>
      </c>
      <c r="M3389" s="11"/>
      <c r="N3389" s="22">
        <f>L3389*M3389</f>
        <v>0</v>
      </c>
      <c r="O3389" s="25">
        <f>0.043*M3389</f>
        <v>0</v>
      </c>
      <c r="P3389" s="26">
        <f>0.00116*M3389</f>
        <v>0</v>
      </c>
      <c r="Q3389" s="30"/>
      <c r="R3389" s="22" t="s">
        <v>11863</v>
      </c>
      <c r="S3389" s="22"/>
      <c r="T3389" s="21" t="str">
        <f>HYPERLINK("https://miland.ru/api/getInfo/image/9a84c145-f64e-11ee-a25c-00155d82e908")</f>
        <v>https://miland.ru/api/getInfo/image/9a84c145-f64e-11ee-a25c-00155d82e908</v>
      </c>
      <c r="U3389" s="21"/>
      <c r="V3389" s="21"/>
      <c r="W3389" s="21" t="s">
        <v>171</v>
      </c>
      <c r="X3389" s="21" t="s">
        <v>172</v>
      </c>
      <c r="Y3389" s="21" t="s">
        <v>173</v>
      </c>
      <c r="Z3389" s="21" t="s">
        <v>11864</v>
      </c>
      <c r="AA3389" s="21" t="str">
        <f>HYPERLINK("https://miland.ru/api/getInfo/item/9a84c145-f64e-11ee-a25c-00155d82e908")</f>
        <v>https://miland.ru/api/getInfo/item/9a84c145-f64e-11ee-a25c-00155d82e908</v>
      </c>
      <c r="AB3389" s="21" t="s">
        <v>42</v>
      </c>
      <c r="AC3389" s="21" t="s">
        <v>11865</v>
      </c>
      <c r="AD3389" s="21"/>
    </row>
    <row r="3390" spans="2:31" s="1" customFormat="1" ht="96.3" customHeight="1" outlineLevel="6">
      <c r="B3390" s="59">
        <v>2650</v>
      </c>
      <c r="C3390" s="35" t="s">
        <v>11866</v>
      </c>
      <c r="D3390" s="73" t="s">
        <v>11867</v>
      </c>
      <c r="E3390" s="73"/>
      <c r="F3390" s="73"/>
      <c r="G3390" s="73"/>
      <c r="H3390" s="36" t="s">
        <v>11868</v>
      </c>
      <c r="I3390" s="40">
        <v>286</v>
      </c>
      <c r="J3390" s="36"/>
      <c r="K3390" s="34">
        <v>3</v>
      </c>
      <c r="L3390" s="41">
        <v>102.17333333333333</v>
      </c>
      <c r="M3390" s="11"/>
      <c r="N3390" s="36">
        <f>L3390*M3390</f>
        <v>0</v>
      </c>
      <c r="O3390" s="42">
        <f>0.055*M3390</f>
        <v>0</v>
      </c>
      <c r="P3390" s="43">
        <f>0.00163*M3390</f>
        <v>0</v>
      </c>
      <c r="Q3390" s="50"/>
      <c r="R3390" s="36" t="s">
        <v>11869</v>
      </c>
      <c r="S3390" s="36" t="s">
        <v>435</v>
      </c>
      <c r="T3390" s="35" t="str">
        <f>HYPERLINK("https://miland.ru/api/getInfo/image/f82681c7-f64d-11ee-a25c-00155d82e908")</f>
        <v>https://miland.ru/api/getInfo/image/f82681c7-f64d-11ee-a25c-00155d82e908</v>
      </c>
      <c r="U3390" s="35"/>
      <c r="V3390" s="35"/>
      <c r="W3390" s="35" t="s">
        <v>171</v>
      </c>
      <c r="X3390" s="35" t="s">
        <v>172</v>
      </c>
      <c r="Y3390" s="35" t="s">
        <v>173</v>
      </c>
      <c r="Z3390" s="35" t="s">
        <v>11870</v>
      </c>
      <c r="AA3390" s="35" t="str">
        <f>HYPERLINK("https://miland.ru/api/getInfo/item/f82681c7-f64d-11ee-a25c-00155d82e908")</f>
        <v>https://miland.ru/api/getInfo/item/f82681c7-f64d-11ee-a25c-00155d82e908</v>
      </c>
      <c r="AB3390" s="35" t="s">
        <v>42</v>
      </c>
      <c r="AC3390" s="35" t="s">
        <v>11871</v>
      </c>
      <c r="AD3390" s="35"/>
      <c r="AE3390" s="52" t="s">
        <v>9152</v>
      </c>
    </row>
    <row r="3391" spans="2:31" s="1" customFormat="1" ht="96.3" customHeight="1" outlineLevel="6">
      <c r="B3391" s="57">
        <v>2651</v>
      </c>
      <c r="C3391" s="21" t="s">
        <v>11872</v>
      </c>
      <c r="D3391" s="72" t="s">
        <v>11873</v>
      </c>
      <c r="E3391" s="72"/>
      <c r="F3391" s="72"/>
      <c r="G3391" s="72"/>
      <c r="H3391" s="22" t="s">
        <v>11874</v>
      </c>
      <c r="I3391" s="27">
        <v>180</v>
      </c>
      <c r="J3391" s="22"/>
      <c r="K3391" s="20">
        <v>6</v>
      </c>
      <c r="L3391" s="24">
        <v>98.61</v>
      </c>
      <c r="M3391" s="11"/>
      <c r="N3391" s="22">
        <f>L3391*M3391</f>
        <v>0</v>
      </c>
      <c r="O3391" s="25">
        <f>0.036*M3391</f>
        <v>0</v>
      </c>
      <c r="P3391" s="26">
        <f>0.00091*M3391</f>
        <v>0</v>
      </c>
      <c r="Q3391" s="30"/>
      <c r="R3391" s="22" t="s">
        <v>11875</v>
      </c>
      <c r="S3391" s="22"/>
      <c r="T3391" s="21" t="str">
        <f>HYPERLINK("https://miland.ru/api/getInfo/image/816f4a28-f64d-11ee-a25c-00155d82e908")</f>
        <v>https://miland.ru/api/getInfo/image/816f4a28-f64d-11ee-a25c-00155d82e908</v>
      </c>
      <c r="U3391" s="21"/>
      <c r="V3391" s="21"/>
      <c r="W3391" s="21" t="s">
        <v>171</v>
      </c>
      <c r="X3391" s="21" t="s">
        <v>172</v>
      </c>
      <c r="Y3391" s="21" t="s">
        <v>173</v>
      </c>
      <c r="Z3391" s="21" t="s">
        <v>11876</v>
      </c>
      <c r="AA3391" s="21" t="str">
        <f>HYPERLINK("https://miland.ru/api/getInfo/item/816f4a28-f64d-11ee-a25c-00155d82e908")</f>
        <v>https://miland.ru/api/getInfo/item/816f4a28-f64d-11ee-a25c-00155d82e908</v>
      </c>
      <c r="AB3391" s="21" t="s">
        <v>42</v>
      </c>
      <c r="AC3391" s="21" t="s">
        <v>11877</v>
      </c>
      <c r="AD3391" s="21"/>
    </row>
    <row r="3392" spans="2:31" ht="12" customHeight="1" outlineLevel="4">
      <c r="B3392" s="70" t="s">
        <v>11878</v>
      </c>
      <c r="C3392" s="70"/>
      <c r="D3392" s="70"/>
      <c r="E3392" s="70"/>
      <c r="F3392" s="70"/>
      <c r="G3392" s="70"/>
    </row>
    <row r="3393" spans="2:30" s="1" customFormat="1" ht="96.3" customHeight="1" outlineLevel="5">
      <c r="B3393" s="57">
        <v>2652</v>
      </c>
      <c r="C3393" s="21" t="s">
        <v>11879</v>
      </c>
      <c r="D3393" s="72" t="s">
        <v>11880</v>
      </c>
      <c r="E3393" s="72"/>
      <c r="F3393" s="72"/>
      <c r="G3393" s="72"/>
      <c r="H3393" s="22" t="s">
        <v>11881</v>
      </c>
      <c r="I3393" s="27">
        <v>9</v>
      </c>
      <c r="J3393" s="22"/>
      <c r="K3393" s="20">
        <v>1</v>
      </c>
      <c r="L3393" s="32">
        <v>1530.91</v>
      </c>
      <c r="M3393" s="11"/>
      <c r="N3393" s="22">
        <f>L3393*M3393</f>
        <v>0</v>
      </c>
      <c r="O3393" s="25">
        <f>0.674*M3393</f>
        <v>0</v>
      </c>
      <c r="P3393" s="26">
        <f>0.00543*M3393</f>
        <v>0</v>
      </c>
      <c r="Q3393" s="30"/>
      <c r="R3393" s="22" t="s">
        <v>11882</v>
      </c>
      <c r="S3393" s="22" t="s">
        <v>435</v>
      </c>
      <c r="T3393" s="21" t="str">
        <f>HYPERLINK("https://miland.ru/api/getInfo/image/604a62b3-5b26-11f0-a281-00155d82e908")</f>
        <v>https://miland.ru/api/getInfo/image/604a62b3-5b26-11f0-a281-00155d82e908</v>
      </c>
      <c r="U3393" s="21"/>
      <c r="V3393" s="21"/>
      <c r="W3393" s="21" t="s">
        <v>11883</v>
      </c>
      <c r="X3393" s="21" t="s">
        <v>172</v>
      </c>
      <c r="Y3393" s="21" t="s">
        <v>173</v>
      </c>
      <c r="Z3393" s="21" t="s">
        <v>11884</v>
      </c>
      <c r="AA3393" s="21" t="str">
        <f>HYPERLINK("https://miland.ru/api/getInfo/item/604a62b3-5b26-11f0-a281-00155d82e908")</f>
        <v>https://miland.ru/api/getInfo/item/604a62b3-5b26-11f0-a281-00155d82e908</v>
      </c>
      <c r="AB3393" s="21" t="s">
        <v>42</v>
      </c>
      <c r="AC3393" s="21"/>
      <c r="AD3393" s="21"/>
    </row>
    <row r="3394" spans="2:30" s="1" customFormat="1" ht="96.3" customHeight="1" outlineLevel="5">
      <c r="B3394" s="57">
        <v>2653</v>
      </c>
      <c r="C3394" s="21" t="s">
        <v>11885</v>
      </c>
      <c r="D3394" s="72" t="s">
        <v>11886</v>
      </c>
      <c r="E3394" s="72"/>
      <c r="F3394" s="72"/>
      <c r="G3394" s="72"/>
      <c r="H3394" s="22" t="s">
        <v>11887</v>
      </c>
      <c r="I3394" s="27">
        <v>5</v>
      </c>
      <c r="J3394" s="22"/>
      <c r="K3394" s="20">
        <v>1</v>
      </c>
      <c r="L3394" s="32">
        <v>1698.35</v>
      </c>
      <c r="M3394" s="11"/>
      <c r="N3394" s="22">
        <f>L3394*M3394</f>
        <v>0</v>
      </c>
      <c r="O3394" s="25">
        <f>0.682*M3394</f>
        <v>0</v>
      </c>
      <c r="P3394" s="26">
        <f>0.00503*M3394</f>
        <v>0</v>
      </c>
      <c r="Q3394" s="30"/>
      <c r="R3394" s="22" t="s">
        <v>11888</v>
      </c>
      <c r="S3394" s="22" t="s">
        <v>435</v>
      </c>
      <c r="T3394" s="21" t="str">
        <f>HYPERLINK("https://miland.ru/api/getInfo/image/46946db4-5b27-11f0-a281-00155d82e908")</f>
        <v>https://miland.ru/api/getInfo/image/46946db4-5b27-11f0-a281-00155d82e908</v>
      </c>
      <c r="U3394" s="21"/>
      <c r="V3394" s="21"/>
      <c r="W3394" s="21" t="s">
        <v>11883</v>
      </c>
      <c r="X3394" s="21" t="s">
        <v>172</v>
      </c>
      <c r="Y3394" s="21" t="s">
        <v>173</v>
      </c>
      <c r="Z3394" s="21" t="s">
        <v>11889</v>
      </c>
      <c r="AA3394" s="21" t="str">
        <f>HYPERLINK("https://miland.ru/api/getInfo/item/46946db4-5b27-11f0-a281-00155d82e908")</f>
        <v>https://miland.ru/api/getInfo/item/46946db4-5b27-11f0-a281-00155d82e908</v>
      </c>
      <c r="AB3394" s="21" t="s">
        <v>42</v>
      </c>
      <c r="AC3394" s="21"/>
      <c r="AD3394" s="21"/>
    </row>
    <row r="3395" spans="2:30" s="1" customFormat="1" ht="96.3" customHeight="1" outlineLevel="5">
      <c r="B3395" s="57">
        <v>2654</v>
      </c>
      <c r="C3395" s="21" t="s">
        <v>11890</v>
      </c>
      <c r="D3395" s="72" t="s">
        <v>11891</v>
      </c>
      <c r="E3395" s="72"/>
      <c r="F3395" s="72"/>
      <c r="G3395" s="72"/>
      <c r="H3395" s="22" t="s">
        <v>11892</v>
      </c>
      <c r="I3395" s="27">
        <v>146</v>
      </c>
      <c r="J3395" s="22"/>
      <c r="K3395" s="20">
        <v>1</v>
      </c>
      <c r="L3395" s="32">
        <v>1599.04</v>
      </c>
      <c r="M3395" s="11"/>
      <c r="N3395" s="22">
        <f>L3395*M3395</f>
        <v>0</v>
      </c>
      <c r="O3395" s="25">
        <f>0.739*M3395</f>
        <v>0</v>
      </c>
      <c r="P3395" s="26">
        <f>0.00508*M3395</f>
        <v>0</v>
      </c>
      <c r="Q3395" s="30"/>
      <c r="R3395" s="22" t="s">
        <v>11893</v>
      </c>
      <c r="S3395" s="22" t="s">
        <v>435</v>
      </c>
      <c r="T3395" s="21" t="str">
        <f>HYPERLINK("https://miland.ru/api/getInfo/image/12cdf4d2-0125-11ed-a213-ac1f6b442185")</f>
        <v>https://miland.ru/api/getInfo/image/12cdf4d2-0125-11ed-a213-ac1f6b442185</v>
      </c>
      <c r="U3395" s="21"/>
      <c r="V3395" s="21"/>
      <c r="W3395" s="21" t="s">
        <v>171</v>
      </c>
      <c r="X3395" s="21" t="s">
        <v>172</v>
      </c>
      <c r="Y3395" s="21" t="s">
        <v>173</v>
      </c>
      <c r="Z3395" s="21" t="s">
        <v>11894</v>
      </c>
      <c r="AA3395" s="21" t="str">
        <f>HYPERLINK("https://miland.ru/api/getInfo/item/12cdf4d2-0125-11ed-a213-ac1f6b442185")</f>
        <v>https://miland.ru/api/getInfo/item/12cdf4d2-0125-11ed-a213-ac1f6b442185</v>
      </c>
      <c r="AB3395" s="21" t="s">
        <v>50</v>
      </c>
      <c r="AC3395" s="21" t="s">
        <v>11895</v>
      </c>
      <c r="AD3395" s="21"/>
    </row>
    <row r="3396" spans="2:30" s="1" customFormat="1" ht="96.3" customHeight="1" outlineLevel="5">
      <c r="B3396" s="57">
        <v>2655</v>
      </c>
      <c r="C3396" s="21" t="s">
        <v>11896</v>
      </c>
      <c r="D3396" s="72" t="s">
        <v>11897</v>
      </c>
      <c r="E3396" s="72"/>
      <c r="F3396" s="72"/>
      <c r="G3396" s="72"/>
      <c r="H3396" s="22" t="s">
        <v>11898</v>
      </c>
      <c r="I3396" s="27">
        <v>7</v>
      </c>
      <c r="J3396" s="22"/>
      <c r="K3396" s="20">
        <v>1</v>
      </c>
      <c r="L3396" s="24">
        <v>570.15</v>
      </c>
      <c r="M3396" s="11"/>
      <c r="N3396" s="22">
        <f>L3396*M3396</f>
        <v>0</v>
      </c>
      <c r="O3396" s="25">
        <f>0.296*M3396</f>
        <v>0</v>
      </c>
      <c r="P3396" s="26">
        <f>0.00149*M3396</f>
        <v>0</v>
      </c>
      <c r="Q3396" s="30"/>
      <c r="R3396" s="22" t="s">
        <v>11899</v>
      </c>
      <c r="S3396" s="22" t="s">
        <v>435</v>
      </c>
      <c r="T3396" s="21" t="str">
        <f>HYPERLINK("https://miland.ru/api/getInfo/image/b9b6623d-0129-11ed-a213-ac1f6b442185")</f>
        <v>https://miland.ru/api/getInfo/image/b9b6623d-0129-11ed-a213-ac1f6b442185</v>
      </c>
      <c r="U3396" s="21"/>
      <c r="V3396" s="21"/>
      <c r="W3396" s="21" t="s">
        <v>171</v>
      </c>
      <c r="X3396" s="21" t="s">
        <v>172</v>
      </c>
      <c r="Y3396" s="21" t="s">
        <v>173</v>
      </c>
      <c r="Z3396" s="21" t="s">
        <v>11900</v>
      </c>
      <c r="AA3396" s="21" t="str">
        <f>HYPERLINK("https://miland.ru/api/getInfo/item/b9b6623d-0129-11ed-a213-ac1f6b442185")</f>
        <v>https://miland.ru/api/getInfo/item/b9b6623d-0129-11ed-a213-ac1f6b442185</v>
      </c>
      <c r="AB3396" s="21" t="s">
        <v>50</v>
      </c>
      <c r="AC3396" s="21" t="s">
        <v>11901</v>
      </c>
      <c r="AD3396" s="21"/>
    </row>
    <row r="3397" spans="2:30" ht="12" customHeight="1" outlineLevel="4">
      <c r="B3397" s="70" t="s">
        <v>11902</v>
      </c>
      <c r="C3397" s="70"/>
      <c r="D3397" s="70"/>
      <c r="E3397" s="70"/>
      <c r="F3397" s="70"/>
      <c r="G3397" s="70"/>
    </row>
    <row r="3398" spans="2:30" s="1" customFormat="1" ht="96.3" customHeight="1" outlineLevel="5">
      <c r="B3398" s="57">
        <v>2656</v>
      </c>
      <c r="C3398" s="21" t="s">
        <v>11903</v>
      </c>
      <c r="D3398" s="72" t="s">
        <v>11904</v>
      </c>
      <c r="E3398" s="72"/>
      <c r="F3398" s="72"/>
      <c r="G3398" s="72"/>
      <c r="H3398" s="22" t="s">
        <v>11905</v>
      </c>
      <c r="I3398" s="27">
        <v>5</v>
      </c>
      <c r="J3398" s="22"/>
      <c r="K3398" s="20">
        <v>1</v>
      </c>
      <c r="L3398" s="32">
        <v>1169.56</v>
      </c>
      <c r="M3398" s="11"/>
      <c r="N3398" s="22">
        <f>L3398*M3398</f>
        <v>0</v>
      </c>
      <c r="O3398" s="25">
        <f>0.194*M3398</f>
        <v>0</v>
      </c>
      <c r="P3398" s="26">
        <f>0.00127*M3398</f>
        <v>0</v>
      </c>
      <c r="Q3398" s="30"/>
      <c r="R3398" s="22" t="s">
        <v>11906</v>
      </c>
      <c r="S3398" s="22" t="s">
        <v>435</v>
      </c>
      <c r="T3398" s="21" t="str">
        <f>HYPERLINK("https://miland.ru/api/getInfo/image/cdf013e1-f64a-11ee-a25b-00155d82e908")</f>
        <v>https://miland.ru/api/getInfo/image/cdf013e1-f64a-11ee-a25b-00155d82e908</v>
      </c>
      <c r="U3398" s="21"/>
      <c r="V3398" s="21"/>
      <c r="W3398" s="21" t="s">
        <v>171</v>
      </c>
      <c r="X3398" s="21" t="s">
        <v>172</v>
      </c>
      <c r="Y3398" s="21" t="s">
        <v>173</v>
      </c>
      <c r="Z3398" s="21" t="s">
        <v>11907</v>
      </c>
      <c r="AA3398" s="21" t="str">
        <f>HYPERLINK("https://miland.ru/api/getInfo/item/cdf013e1-f64a-11ee-a25b-00155d82e908")</f>
        <v>https://miland.ru/api/getInfo/item/cdf013e1-f64a-11ee-a25b-00155d82e908</v>
      </c>
      <c r="AB3398" s="21" t="s">
        <v>42</v>
      </c>
      <c r="AC3398" s="21" t="s">
        <v>11908</v>
      </c>
      <c r="AD3398" s="21"/>
    </row>
    <row r="3399" spans="2:30" s="1" customFormat="1" ht="96.3" customHeight="1" outlineLevel="5">
      <c r="B3399" s="57">
        <v>2657</v>
      </c>
      <c r="C3399" s="21" t="s">
        <v>11909</v>
      </c>
      <c r="D3399" s="72" t="s">
        <v>11910</v>
      </c>
      <c r="E3399" s="72"/>
      <c r="F3399" s="72"/>
      <c r="G3399" s="72"/>
      <c r="H3399" s="22" t="s">
        <v>11911</v>
      </c>
      <c r="I3399" s="27">
        <v>80</v>
      </c>
      <c r="J3399" s="22"/>
      <c r="K3399" s="20">
        <v>1</v>
      </c>
      <c r="L3399" s="24">
        <v>934.66</v>
      </c>
      <c r="M3399" s="11"/>
      <c r="N3399" s="22">
        <f>L3399*M3399</f>
        <v>0</v>
      </c>
      <c r="O3399" s="25">
        <f>0.205*M3399</f>
        <v>0</v>
      </c>
      <c r="P3399" s="26">
        <f>0.00125*M3399</f>
        <v>0</v>
      </c>
      <c r="Q3399" s="30"/>
      <c r="R3399" s="22" t="s">
        <v>11912</v>
      </c>
      <c r="S3399" s="22" t="s">
        <v>435</v>
      </c>
      <c r="T3399" s="21" t="str">
        <f>HYPERLINK("https://miland.ru/api/getInfo/image/a5195b1b-f64a-11ee-a25b-00155d82e908")</f>
        <v>https://miland.ru/api/getInfo/image/a5195b1b-f64a-11ee-a25b-00155d82e908</v>
      </c>
      <c r="U3399" s="21"/>
      <c r="V3399" s="21"/>
      <c r="W3399" s="21" t="s">
        <v>171</v>
      </c>
      <c r="X3399" s="21" t="s">
        <v>172</v>
      </c>
      <c r="Y3399" s="21" t="s">
        <v>173</v>
      </c>
      <c r="Z3399" s="21" t="s">
        <v>11913</v>
      </c>
      <c r="AA3399" s="21" t="str">
        <f>HYPERLINK("https://miland.ru/api/getInfo/item/a5195b1b-f64a-11ee-a25b-00155d82e908")</f>
        <v>https://miland.ru/api/getInfo/item/a5195b1b-f64a-11ee-a25b-00155d82e908</v>
      </c>
      <c r="AB3399" s="21" t="s">
        <v>42</v>
      </c>
      <c r="AC3399" s="21" t="s">
        <v>11914</v>
      </c>
      <c r="AD3399" s="21"/>
    </row>
    <row r="3400" spans="2:30" ht="12" customHeight="1" outlineLevel="4">
      <c r="B3400" s="70" t="s">
        <v>11915</v>
      </c>
      <c r="C3400" s="70"/>
      <c r="D3400" s="70"/>
      <c r="E3400" s="70"/>
      <c r="F3400" s="70"/>
      <c r="G3400" s="70"/>
    </row>
    <row r="3401" spans="2:30" s="1" customFormat="1" ht="96.3" customHeight="1" outlineLevel="5">
      <c r="B3401" s="57">
        <v>2658</v>
      </c>
      <c r="C3401" s="21" t="s">
        <v>11916</v>
      </c>
      <c r="D3401" s="72" t="s">
        <v>11917</v>
      </c>
      <c r="E3401" s="72"/>
      <c r="F3401" s="72"/>
      <c r="G3401" s="72"/>
      <c r="H3401" s="22" t="s">
        <v>11918</v>
      </c>
      <c r="I3401" s="23" t="s">
        <v>36</v>
      </c>
      <c r="J3401" s="22"/>
      <c r="K3401" s="20">
        <v>1</v>
      </c>
      <c r="L3401" s="32">
        <v>1449.73</v>
      </c>
      <c r="M3401" s="11"/>
      <c r="N3401" s="22">
        <f>L3401*M3401</f>
        <v>0</v>
      </c>
      <c r="O3401" s="33">
        <f>2.8*M3401</f>
        <v>0</v>
      </c>
      <c r="P3401" s="29">
        <f>0.0049*M3401</f>
        <v>0</v>
      </c>
      <c r="Q3401" s="30"/>
      <c r="R3401" s="22" t="s">
        <v>11919</v>
      </c>
      <c r="S3401" s="22"/>
      <c r="T3401" s="21" t="str">
        <f>HYPERLINK("https://miland.ru/api/getInfo/image/37982ae3-8919-11ee-a24a-00155d82e902")</f>
        <v>https://miland.ru/api/getInfo/image/37982ae3-8919-11ee-a24a-00155d82e902</v>
      </c>
      <c r="U3401" s="21"/>
      <c r="V3401" s="21"/>
      <c r="W3401" s="21" t="s">
        <v>11920</v>
      </c>
      <c r="X3401" s="21" t="s">
        <v>172</v>
      </c>
      <c r="Y3401" s="21" t="s">
        <v>173</v>
      </c>
      <c r="Z3401" s="21" t="s">
        <v>11921</v>
      </c>
      <c r="AA3401" s="21" t="str">
        <f>HYPERLINK("https://miland.ru/api/getInfo/item/37982ae3-8919-11ee-a24a-00155d82e902")</f>
        <v>https://miland.ru/api/getInfo/item/37982ae3-8919-11ee-a24a-00155d82e902</v>
      </c>
      <c r="AB3401" s="21" t="s">
        <v>42</v>
      </c>
      <c r="AC3401" s="21"/>
      <c r="AD3401" s="21"/>
    </row>
    <row r="3402" spans="2:30" ht="12" customHeight="1" outlineLevel="3">
      <c r="B3402" s="70" t="s">
        <v>11922</v>
      </c>
      <c r="C3402" s="70"/>
      <c r="D3402" s="70"/>
      <c r="E3402" s="70"/>
      <c r="F3402" s="70"/>
      <c r="G3402" s="70"/>
    </row>
    <row r="3403" spans="2:30" ht="12" customHeight="1" outlineLevel="4">
      <c r="B3403" s="70" t="s">
        <v>11923</v>
      </c>
      <c r="C3403" s="70"/>
      <c r="D3403" s="70"/>
      <c r="E3403" s="70"/>
      <c r="F3403" s="70"/>
      <c r="G3403" s="70"/>
    </row>
    <row r="3404" spans="2:30" s="1" customFormat="1" ht="96.3" customHeight="1" outlineLevel="5">
      <c r="B3404" s="57">
        <v>2659</v>
      </c>
      <c r="C3404" s="21" t="s">
        <v>11924</v>
      </c>
      <c r="D3404" s="72" t="s">
        <v>11925</v>
      </c>
      <c r="E3404" s="72"/>
      <c r="F3404" s="72"/>
      <c r="G3404" s="72"/>
      <c r="H3404" s="22" t="s">
        <v>11926</v>
      </c>
      <c r="I3404" s="27">
        <v>58</v>
      </c>
      <c r="J3404" s="22"/>
      <c r="K3404" s="20">
        <v>1</v>
      </c>
      <c r="L3404" s="24">
        <v>572.6</v>
      </c>
      <c r="M3404" s="11"/>
      <c r="N3404" s="22">
        <f>L3404*M3404</f>
        <v>0</v>
      </c>
      <c r="O3404" s="25">
        <f>0.403*M3404</f>
        <v>0</v>
      </c>
      <c r="P3404" s="26">
        <f>0.00075*M3404</f>
        <v>0</v>
      </c>
      <c r="Q3404" s="30"/>
      <c r="R3404" s="22" t="s">
        <v>11927</v>
      </c>
      <c r="S3404" s="22" t="s">
        <v>435</v>
      </c>
      <c r="T3404" s="21" t="str">
        <f>HYPERLINK("https://miland.ru/api/getInfo/image/30a9d15c-5049-11ed-a21d-ac1f6b442185")</f>
        <v>https://miland.ru/api/getInfo/image/30a9d15c-5049-11ed-a21d-ac1f6b442185</v>
      </c>
      <c r="U3404" s="21"/>
      <c r="V3404" s="21"/>
      <c r="W3404" s="21" t="s">
        <v>1630</v>
      </c>
      <c r="X3404" s="21"/>
      <c r="Y3404" s="21" t="s">
        <v>41</v>
      </c>
      <c r="Z3404" s="21"/>
      <c r="AA3404" s="21" t="str">
        <f>HYPERLINK("https://miland.ru/api/getInfo/item/30a9d15c-5049-11ed-a21d-ac1f6b442185")</f>
        <v>https://miland.ru/api/getInfo/item/30a9d15c-5049-11ed-a21d-ac1f6b442185</v>
      </c>
      <c r="AB3404" s="21" t="s">
        <v>42</v>
      </c>
      <c r="AC3404" s="21" t="s">
        <v>11928</v>
      </c>
      <c r="AD3404" s="21"/>
    </row>
    <row r="3405" spans="2:30" s="1" customFormat="1" ht="96.3" customHeight="1" outlineLevel="5">
      <c r="B3405" s="57">
        <v>2660</v>
      </c>
      <c r="C3405" s="21" t="s">
        <v>11929</v>
      </c>
      <c r="D3405" s="72" t="s">
        <v>11930</v>
      </c>
      <c r="E3405" s="72"/>
      <c r="F3405" s="72"/>
      <c r="G3405" s="72"/>
      <c r="H3405" s="22" t="s">
        <v>11931</v>
      </c>
      <c r="I3405" s="27">
        <v>51</v>
      </c>
      <c r="J3405" s="22"/>
      <c r="K3405" s="20">
        <v>1</v>
      </c>
      <c r="L3405" s="24">
        <v>572.20000000000005</v>
      </c>
      <c r="M3405" s="11"/>
      <c r="N3405" s="22">
        <f>L3405*M3405</f>
        <v>0</v>
      </c>
      <c r="O3405" s="25">
        <f>0.427*M3405</f>
        <v>0</v>
      </c>
      <c r="P3405" s="29">
        <f>0.0006*M3405</f>
        <v>0</v>
      </c>
      <c r="Q3405" s="30"/>
      <c r="R3405" s="22" t="s">
        <v>11932</v>
      </c>
      <c r="S3405" s="22" t="s">
        <v>435</v>
      </c>
      <c r="T3405" s="21" t="str">
        <f>HYPERLINK("https://miland.ru/api/getInfo/image/e0b8c53e-5049-11ed-a21d-ac1f6b442185")</f>
        <v>https://miland.ru/api/getInfo/image/e0b8c53e-5049-11ed-a21d-ac1f6b442185</v>
      </c>
      <c r="U3405" s="21"/>
      <c r="V3405" s="21"/>
      <c r="W3405" s="21" t="s">
        <v>1630</v>
      </c>
      <c r="X3405" s="21"/>
      <c r="Y3405" s="21" t="s">
        <v>41</v>
      </c>
      <c r="Z3405" s="21"/>
      <c r="AA3405" s="21" t="str">
        <f>HYPERLINK("https://miland.ru/api/getInfo/item/e0b8c53e-5049-11ed-a21d-ac1f6b442185")</f>
        <v>https://miland.ru/api/getInfo/item/e0b8c53e-5049-11ed-a21d-ac1f6b442185</v>
      </c>
      <c r="AB3405" s="21" t="s">
        <v>42</v>
      </c>
      <c r="AC3405" s="21" t="s">
        <v>11933</v>
      </c>
      <c r="AD3405" s="21"/>
    </row>
    <row r="3406" spans="2:30" s="1" customFormat="1" ht="96.3" customHeight="1" outlineLevel="5">
      <c r="B3406" s="57">
        <v>2661</v>
      </c>
      <c r="C3406" s="21" t="s">
        <v>11934</v>
      </c>
      <c r="D3406" s="72" t="s">
        <v>11935</v>
      </c>
      <c r="E3406" s="72"/>
      <c r="F3406" s="72"/>
      <c r="G3406" s="72"/>
      <c r="H3406" s="22" t="s">
        <v>11936</v>
      </c>
      <c r="I3406" s="27">
        <v>35</v>
      </c>
      <c r="J3406" s="22"/>
      <c r="K3406" s="20">
        <v>1</v>
      </c>
      <c r="L3406" s="24">
        <v>769.09</v>
      </c>
      <c r="M3406" s="11"/>
      <c r="N3406" s="22">
        <f>L3406*M3406</f>
        <v>0</v>
      </c>
      <c r="O3406" s="25">
        <f>0.369*M3406</f>
        <v>0</v>
      </c>
      <c r="P3406" s="26">
        <f>0.00055*M3406</f>
        <v>0</v>
      </c>
      <c r="Q3406" s="30"/>
      <c r="R3406" s="22" t="s">
        <v>11937</v>
      </c>
      <c r="S3406" s="22" t="s">
        <v>435</v>
      </c>
      <c r="T3406" s="21" t="str">
        <f>HYPERLINK("https://miland.ru/api/getInfo/image/d1fa87ee-5054-11ed-a21d-ac1f6b442185")</f>
        <v>https://miland.ru/api/getInfo/image/d1fa87ee-5054-11ed-a21d-ac1f6b442185</v>
      </c>
      <c r="U3406" s="21"/>
      <c r="V3406" s="21"/>
      <c r="W3406" s="21" t="s">
        <v>1630</v>
      </c>
      <c r="X3406" s="21"/>
      <c r="Y3406" s="21" t="s">
        <v>41</v>
      </c>
      <c r="Z3406" s="21"/>
      <c r="AA3406" s="21" t="str">
        <f>HYPERLINK("https://miland.ru/api/getInfo/item/d1fa87ee-5054-11ed-a21d-ac1f6b442185")</f>
        <v>https://miland.ru/api/getInfo/item/d1fa87ee-5054-11ed-a21d-ac1f6b442185</v>
      </c>
      <c r="AB3406" s="21" t="s">
        <v>42</v>
      </c>
      <c r="AC3406" s="21" t="s">
        <v>11938</v>
      </c>
      <c r="AD3406" s="21"/>
    </row>
    <row r="3407" spans="2:30" s="1" customFormat="1" ht="96.3" customHeight="1" outlineLevel="5">
      <c r="B3407" s="57">
        <v>2662</v>
      </c>
      <c r="C3407" s="21" t="s">
        <v>11939</v>
      </c>
      <c r="D3407" s="72" t="s">
        <v>11940</v>
      </c>
      <c r="E3407" s="72"/>
      <c r="F3407" s="72"/>
      <c r="G3407" s="72"/>
      <c r="H3407" s="22" t="s">
        <v>11941</v>
      </c>
      <c r="I3407" s="27">
        <v>34</v>
      </c>
      <c r="J3407" s="22"/>
      <c r="K3407" s="20">
        <v>1</v>
      </c>
      <c r="L3407" s="24">
        <v>560.57000000000005</v>
      </c>
      <c r="M3407" s="11"/>
      <c r="N3407" s="22">
        <f>L3407*M3407</f>
        <v>0</v>
      </c>
      <c r="O3407" s="25">
        <f>0.414*M3407</f>
        <v>0</v>
      </c>
      <c r="P3407" s="26">
        <f>0.00074*M3407</f>
        <v>0</v>
      </c>
      <c r="Q3407" s="30"/>
      <c r="R3407" s="22" t="s">
        <v>11942</v>
      </c>
      <c r="S3407" s="22" t="s">
        <v>435</v>
      </c>
      <c r="T3407" s="21" t="str">
        <f>HYPERLINK("https://miland.ru/api/getInfo/image/88617c6c-5049-11ed-a21d-ac1f6b442185")</f>
        <v>https://miland.ru/api/getInfo/image/88617c6c-5049-11ed-a21d-ac1f6b442185</v>
      </c>
      <c r="U3407" s="21"/>
      <c r="V3407" s="21"/>
      <c r="W3407" s="21" t="s">
        <v>1630</v>
      </c>
      <c r="X3407" s="21"/>
      <c r="Y3407" s="21" t="s">
        <v>41</v>
      </c>
      <c r="Z3407" s="21"/>
      <c r="AA3407" s="21" t="str">
        <f>HYPERLINK("https://miland.ru/api/getInfo/item/88617c6c-5049-11ed-a21d-ac1f6b442185")</f>
        <v>https://miland.ru/api/getInfo/item/88617c6c-5049-11ed-a21d-ac1f6b442185</v>
      </c>
      <c r="AB3407" s="21" t="s">
        <v>42</v>
      </c>
      <c r="AC3407" s="21" t="s">
        <v>11928</v>
      </c>
      <c r="AD3407" s="21"/>
    </row>
    <row r="3408" spans="2:30" ht="12" customHeight="1" outlineLevel="4">
      <c r="B3408" s="70" t="s">
        <v>11943</v>
      </c>
      <c r="C3408" s="70"/>
      <c r="D3408" s="70"/>
      <c r="E3408" s="70"/>
      <c r="F3408" s="70"/>
      <c r="G3408" s="70"/>
    </row>
    <row r="3409" spans="2:31" s="1" customFormat="1" ht="96.3" customHeight="1" outlineLevel="5">
      <c r="B3409" s="57">
        <v>2663</v>
      </c>
      <c r="C3409" s="21" t="s">
        <v>11944</v>
      </c>
      <c r="D3409" s="72" t="s">
        <v>11945</v>
      </c>
      <c r="E3409" s="72"/>
      <c r="F3409" s="72"/>
      <c r="G3409" s="72"/>
      <c r="H3409" s="22" t="s">
        <v>11946</v>
      </c>
      <c r="I3409" s="27">
        <v>89</v>
      </c>
      <c r="J3409" s="22"/>
      <c r="K3409" s="20">
        <v>2</v>
      </c>
      <c r="L3409" s="24">
        <v>384.23</v>
      </c>
      <c r="M3409" s="11"/>
      <c r="N3409" s="22">
        <f t="shared" ref="N3409:N3415" si="165">L3409*M3409</f>
        <v>0</v>
      </c>
      <c r="O3409" s="25">
        <f>0.215*M3409</f>
        <v>0</v>
      </c>
      <c r="P3409" s="26">
        <f>0.00086*M3409</f>
        <v>0</v>
      </c>
      <c r="Q3409" s="30"/>
      <c r="R3409" s="22" t="s">
        <v>11947</v>
      </c>
      <c r="S3409" s="22" t="s">
        <v>435</v>
      </c>
      <c r="T3409" s="21" t="str">
        <f>HYPERLINK("https://miland.ru/api/getInfo/image/2c3da2a9-55ac-11f0-a27e-00155d82e908")</f>
        <v>https://miland.ru/api/getInfo/image/2c3da2a9-55ac-11f0-a27e-00155d82e908</v>
      </c>
      <c r="U3409" s="21"/>
      <c r="V3409" s="21" t="s">
        <v>11948</v>
      </c>
      <c r="W3409" s="21" t="s">
        <v>1630</v>
      </c>
      <c r="X3409" s="21"/>
      <c r="Y3409" s="21" t="s">
        <v>697</v>
      </c>
      <c r="Z3409" s="21"/>
      <c r="AA3409" s="21" t="str">
        <f>HYPERLINK("https://miland.ru/api/getInfo/item/2c3da2a9-55ac-11f0-a27e-00155d82e908")</f>
        <v>https://miland.ru/api/getInfo/item/2c3da2a9-55ac-11f0-a27e-00155d82e908</v>
      </c>
      <c r="AB3409" s="21" t="s">
        <v>42</v>
      </c>
      <c r="AC3409" s="21"/>
      <c r="AD3409" s="21"/>
    </row>
    <row r="3410" spans="2:31" s="1" customFormat="1" ht="96.3" customHeight="1" outlineLevel="5">
      <c r="B3410" s="57">
        <v>2664</v>
      </c>
      <c r="C3410" s="21" t="s">
        <v>11949</v>
      </c>
      <c r="D3410" s="72" t="s">
        <v>11950</v>
      </c>
      <c r="E3410" s="72"/>
      <c r="F3410" s="72"/>
      <c r="G3410" s="72"/>
      <c r="H3410" s="22" t="s">
        <v>11951</v>
      </c>
      <c r="I3410" s="27">
        <v>56</v>
      </c>
      <c r="J3410" s="22"/>
      <c r="K3410" s="20">
        <v>3</v>
      </c>
      <c r="L3410" s="24">
        <v>194.45</v>
      </c>
      <c r="M3410" s="11"/>
      <c r="N3410" s="22">
        <f t="shared" si="165"/>
        <v>0</v>
      </c>
      <c r="O3410" s="25">
        <f>0.097*M3410</f>
        <v>0</v>
      </c>
      <c r="P3410" s="26">
        <f>0.00056*M3410</f>
        <v>0</v>
      </c>
      <c r="Q3410" s="30"/>
      <c r="R3410" s="22" t="s">
        <v>11952</v>
      </c>
      <c r="S3410" s="22" t="s">
        <v>435</v>
      </c>
      <c r="T3410" s="21" t="str">
        <f>HYPERLINK("https://miland.ru/api/getInfo/image/5014cca3-55ad-11f0-a27e-00155d82e908")</f>
        <v>https://miland.ru/api/getInfo/image/5014cca3-55ad-11f0-a27e-00155d82e908</v>
      </c>
      <c r="U3410" s="21"/>
      <c r="V3410" s="21" t="s">
        <v>11948</v>
      </c>
      <c r="W3410" s="21" t="s">
        <v>1630</v>
      </c>
      <c r="X3410" s="21"/>
      <c r="Y3410" s="21" t="s">
        <v>697</v>
      </c>
      <c r="Z3410" s="21"/>
      <c r="AA3410" s="21" t="str">
        <f>HYPERLINK("https://miland.ru/api/getInfo/item/5014cca3-55ad-11f0-a27e-00155d82e908")</f>
        <v>https://miland.ru/api/getInfo/item/5014cca3-55ad-11f0-a27e-00155d82e908</v>
      </c>
      <c r="AB3410" s="21" t="s">
        <v>42</v>
      </c>
      <c r="AC3410" s="21"/>
      <c r="AD3410" s="21"/>
    </row>
    <row r="3411" spans="2:31" s="1" customFormat="1" ht="96.3" customHeight="1" outlineLevel="5">
      <c r="B3411" s="57">
        <v>2665</v>
      </c>
      <c r="C3411" s="21" t="s">
        <v>11953</v>
      </c>
      <c r="D3411" s="72" t="s">
        <v>11954</v>
      </c>
      <c r="E3411" s="72"/>
      <c r="F3411" s="72"/>
      <c r="G3411" s="72"/>
      <c r="H3411" s="22" t="s">
        <v>11955</v>
      </c>
      <c r="I3411" s="27">
        <v>381</v>
      </c>
      <c r="J3411" s="22"/>
      <c r="K3411" s="20">
        <v>2</v>
      </c>
      <c r="L3411" s="24">
        <v>328.58</v>
      </c>
      <c r="M3411" s="11"/>
      <c r="N3411" s="22">
        <f t="shared" si="165"/>
        <v>0</v>
      </c>
      <c r="O3411" s="25">
        <f>0.182*M3411</f>
        <v>0</v>
      </c>
      <c r="P3411" s="26">
        <f>0.00066*M3411</f>
        <v>0</v>
      </c>
      <c r="Q3411" s="30"/>
      <c r="R3411" s="22" t="s">
        <v>11956</v>
      </c>
      <c r="S3411" s="22" t="s">
        <v>435</v>
      </c>
      <c r="T3411" s="21" t="str">
        <f>HYPERLINK("https://miland.ru/api/getInfo/image/f9f33c88-3afd-11f0-a27c-00155d82e908")</f>
        <v>https://miland.ru/api/getInfo/image/f9f33c88-3afd-11f0-a27c-00155d82e908</v>
      </c>
      <c r="U3411" s="21"/>
      <c r="V3411" s="21" t="s">
        <v>11948</v>
      </c>
      <c r="W3411" s="21" t="s">
        <v>1630</v>
      </c>
      <c r="X3411" s="21"/>
      <c r="Y3411" s="21" t="s">
        <v>697</v>
      </c>
      <c r="Z3411" s="21"/>
      <c r="AA3411" s="21" t="str">
        <f>HYPERLINK("https://miland.ru/api/getInfo/item/f9f33c88-3afd-11f0-a27c-00155d82e908")</f>
        <v>https://miland.ru/api/getInfo/item/f9f33c88-3afd-11f0-a27c-00155d82e908</v>
      </c>
      <c r="AB3411" s="21" t="s">
        <v>42</v>
      </c>
      <c r="AC3411" s="21"/>
      <c r="AD3411" s="21"/>
    </row>
    <row r="3412" spans="2:31" s="1" customFormat="1" ht="96.3" customHeight="1" outlineLevel="5">
      <c r="B3412" s="57">
        <v>2666</v>
      </c>
      <c r="C3412" s="21" t="s">
        <v>11957</v>
      </c>
      <c r="D3412" s="72" t="s">
        <v>11958</v>
      </c>
      <c r="E3412" s="72"/>
      <c r="F3412" s="72"/>
      <c r="G3412" s="72"/>
      <c r="H3412" s="22" t="s">
        <v>11959</v>
      </c>
      <c r="I3412" s="27">
        <v>10</v>
      </c>
      <c r="J3412" s="22"/>
      <c r="K3412" s="20">
        <v>2</v>
      </c>
      <c r="L3412" s="24">
        <v>384.23</v>
      </c>
      <c r="M3412" s="11"/>
      <c r="N3412" s="22">
        <f t="shared" si="165"/>
        <v>0</v>
      </c>
      <c r="O3412" s="25">
        <f>0.186*M3412</f>
        <v>0</v>
      </c>
      <c r="P3412" s="26">
        <f>0.00305*M3412</f>
        <v>0</v>
      </c>
      <c r="Q3412" s="30"/>
      <c r="R3412" s="22" t="s">
        <v>11960</v>
      </c>
      <c r="S3412" s="22" t="s">
        <v>435</v>
      </c>
      <c r="T3412" s="21" t="str">
        <f>HYPERLINK("https://miland.ru/api/getInfo/image/04c6e0bc-55ad-11f0-a27e-00155d82e908")</f>
        <v>https://miland.ru/api/getInfo/image/04c6e0bc-55ad-11f0-a27e-00155d82e908</v>
      </c>
      <c r="U3412" s="21"/>
      <c r="V3412" s="21" t="s">
        <v>11948</v>
      </c>
      <c r="W3412" s="21" t="s">
        <v>1630</v>
      </c>
      <c r="X3412" s="21"/>
      <c r="Y3412" s="21" t="s">
        <v>697</v>
      </c>
      <c r="Z3412" s="21"/>
      <c r="AA3412" s="21" t="str">
        <f>HYPERLINK("https://miland.ru/api/getInfo/item/04c6e0bc-55ad-11f0-a27e-00155d82e908")</f>
        <v>https://miland.ru/api/getInfo/item/04c6e0bc-55ad-11f0-a27e-00155d82e908</v>
      </c>
      <c r="AB3412" s="21" t="s">
        <v>42</v>
      </c>
      <c r="AC3412" s="21"/>
      <c r="AD3412" s="21"/>
    </row>
    <row r="3413" spans="2:31" s="1" customFormat="1" ht="96.3" customHeight="1" outlineLevel="5">
      <c r="B3413" s="57">
        <v>2667</v>
      </c>
      <c r="C3413" s="21" t="s">
        <v>11961</v>
      </c>
      <c r="D3413" s="72" t="s">
        <v>11962</v>
      </c>
      <c r="E3413" s="72"/>
      <c r="F3413" s="72"/>
      <c r="G3413" s="72"/>
      <c r="H3413" s="22" t="s">
        <v>11963</v>
      </c>
      <c r="I3413" s="23" t="s">
        <v>36</v>
      </c>
      <c r="J3413" s="22"/>
      <c r="K3413" s="20">
        <v>2</v>
      </c>
      <c r="L3413" s="24">
        <v>303.7</v>
      </c>
      <c r="M3413" s="11"/>
      <c r="N3413" s="22">
        <f t="shared" si="165"/>
        <v>0</v>
      </c>
      <c r="O3413" s="25">
        <f>0.125*M3413</f>
        <v>0</v>
      </c>
      <c r="P3413" s="26">
        <f>0.00067*M3413</f>
        <v>0</v>
      </c>
      <c r="Q3413" s="30"/>
      <c r="R3413" s="22" t="s">
        <v>11964</v>
      </c>
      <c r="S3413" s="22"/>
      <c r="T3413" s="21" t="str">
        <f>HYPERLINK("https://miland.ru/api/getInfo/image/80b665b0-3b00-11f0-a27c-00155d82e908")</f>
        <v>https://miland.ru/api/getInfo/image/80b665b0-3b00-11f0-a27c-00155d82e908</v>
      </c>
      <c r="U3413" s="21"/>
      <c r="V3413" s="21" t="s">
        <v>11948</v>
      </c>
      <c r="W3413" s="21" t="s">
        <v>1630</v>
      </c>
      <c r="X3413" s="21"/>
      <c r="Y3413" s="21" t="s">
        <v>697</v>
      </c>
      <c r="Z3413" s="21"/>
      <c r="AA3413" s="21" t="str">
        <f>HYPERLINK("https://miland.ru/api/getInfo/item/80b665b0-3b00-11f0-a27c-00155d82e908")</f>
        <v>https://miland.ru/api/getInfo/item/80b665b0-3b00-11f0-a27c-00155d82e908</v>
      </c>
      <c r="AB3413" s="21" t="s">
        <v>42</v>
      </c>
      <c r="AC3413" s="21"/>
      <c r="AD3413" s="21"/>
    </row>
    <row r="3414" spans="2:31" s="1" customFormat="1" ht="96.3" customHeight="1" outlineLevel="5">
      <c r="B3414" s="59">
        <v>2668</v>
      </c>
      <c r="C3414" s="35" t="s">
        <v>11965</v>
      </c>
      <c r="D3414" s="73" t="s">
        <v>11966</v>
      </c>
      <c r="E3414" s="73"/>
      <c r="F3414" s="73"/>
      <c r="G3414" s="73"/>
      <c r="H3414" s="36" t="s">
        <v>11967</v>
      </c>
      <c r="I3414" s="56" t="s">
        <v>36</v>
      </c>
      <c r="J3414" s="36"/>
      <c r="K3414" s="34">
        <v>3</v>
      </c>
      <c r="L3414" s="41">
        <v>165.96</v>
      </c>
      <c r="M3414" s="11"/>
      <c r="N3414" s="36">
        <f t="shared" si="165"/>
        <v>0</v>
      </c>
      <c r="O3414" s="42">
        <f>0.117*M3414</f>
        <v>0</v>
      </c>
      <c r="P3414" s="43">
        <f>0.00048*M3414</f>
        <v>0</v>
      </c>
      <c r="Q3414" s="50"/>
      <c r="R3414" s="36" t="s">
        <v>11968</v>
      </c>
      <c r="S3414" s="36"/>
      <c r="T3414" s="35" t="str">
        <f>HYPERLINK("https://miland.ru/api/getInfo/image/ceb5baab-3b00-11f0-a27c-00155d82e908")</f>
        <v>https://miland.ru/api/getInfo/image/ceb5baab-3b00-11f0-a27c-00155d82e908</v>
      </c>
      <c r="U3414" s="35"/>
      <c r="V3414" s="35" t="s">
        <v>11948</v>
      </c>
      <c r="W3414" s="35" t="s">
        <v>1630</v>
      </c>
      <c r="X3414" s="35"/>
      <c r="Y3414" s="35" t="s">
        <v>697</v>
      </c>
      <c r="Z3414" s="35"/>
      <c r="AA3414" s="35" t="str">
        <f>HYPERLINK("https://miland.ru/api/getInfo/item/ceb5baab-3b00-11f0-a27c-00155d82e908")</f>
        <v>https://miland.ru/api/getInfo/item/ceb5baab-3b00-11f0-a27c-00155d82e908</v>
      </c>
      <c r="AB3414" s="35" t="s">
        <v>42</v>
      </c>
      <c r="AC3414" s="35"/>
      <c r="AD3414" s="35"/>
      <c r="AE3414" s="52" t="s">
        <v>9152</v>
      </c>
    </row>
    <row r="3415" spans="2:31" s="1" customFormat="1" ht="96.3" customHeight="1" outlineLevel="5">
      <c r="B3415" s="57">
        <v>2669</v>
      </c>
      <c r="C3415" s="21" t="s">
        <v>11969</v>
      </c>
      <c r="D3415" s="72" t="s">
        <v>11970</v>
      </c>
      <c r="E3415" s="72"/>
      <c r="F3415" s="72"/>
      <c r="G3415" s="72"/>
      <c r="H3415" s="22" t="s">
        <v>11971</v>
      </c>
      <c r="I3415" s="27">
        <v>16</v>
      </c>
      <c r="J3415" s="22"/>
      <c r="K3415" s="20">
        <v>1</v>
      </c>
      <c r="L3415" s="24">
        <v>639.6</v>
      </c>
      <c r="M3415" s="11"/>
      <c r="N3415" s="22">
        <f t="shared" si="165"/>
        <v>0</v>
      </c>
      <c r="O3415" s="25">
        <f>0.173*M3415</f>
        <v>0</v>
      </c>
      <c r="P3415" s="26">
        <f>0.00109*M3415</f>
        <v>0</v>
      </c>
      <c r="Q3415" s="30"/>
      <c r="R3415" s="22" t="s">
        <v>11972</v>
      </c>
      <c r="S3415" s="22" t="s">
        <v>435</v>
      </c>
      <c r="T3415" s="21" t="str">
        <f>HYPERLINK("https://miland.ru/api/getInfo/image/9da6b5e7-55ad-11f0-a27e-00155d82e908")</f>
        <v>https://miland.ru/api/getInfo/image/9da6b5e7-55ad-11f0-a27e-00155d82e908</v>
      </c>
      <c r="U3415" s="21"/>
      <c r="V3415" s="21" t="s">
        <v>11948</v>
      </c>
      <c r="W3415" s="21" t="s">
        <v>1630</v>
      </c>
      <c r="X3415" s="21"/>
      <c r="Y3415" s="21" t="s">
        <v>697</v>
      </c>
      <c r="Z3415" s="21"/>
      <c r="AA3415" s="21" t="str">
        <f>HYPERLINK("https://miland.ru/api/getInfo/item/9da6b5e7-55ad-11f0-a27e-00155d82e908")</f>
        <v>https://miland.ru/api/getInfo/item/9da6b5e7-55ad-11f0-a27e-00155d82e908</v>
      </c>
      <c r="AB3415" s="21" t="s">
        <v>42</v>
      </c>
      <c r="AC3415" s="21"/>
      <c r="AD3415" s="21"/>
    </row>
    <row r="3416" spans="2:31" ht="12" customHeight="1" outlineLevel="3">
      <c r="B3416" s="70" t="s">
        <v>11973</v>
      </c>
      <c r="C3416" s="70"/>
      <c r="D3416" s="70"/>
      <c r="E3416" s="70"/>
      <c r="F3416" s="70"/>
      <c r="G3416" s="70"/>
    </row>
    <row r="3417" spans="2:31" ht="12" customHeight="1" outlineLevel="4">
      <c r="B3417" s="70" t="s">
        <v>11974</v>
      </c>
      <c r="C3417" s="70"/>
      <c r="D3417" s="70"/>
      <c r="E3417" s="70"/>
      <c r="F3417" s="70"/>
      <c r="G3417" s="70"/>
    </row>
    <row r="3418" spans="2:31" s="1" customFormat="1" ht="96.3" customHeight="1" outlineLevel="5">
      <c r="B3418" s="57">
        <v>2670</v>
      </c>
      <c r="C3418" s="21" t="s">
        <v>11975</v>
      </c>
      <c r="D3418" s="72" t="s">
        <v>11976</v>
      </c>
      <c r="E3418" s="72"/>
      <c r="F3418" s="72"/>
      <c r="G3418" s="72"/>
      <c r="H3418" s="22" t="s">
        <v>11977</v>
      </c>
      <c r="I3418" s="27">
        <v>9</v>
      </c>
      <c r="J3418" s="22"/>
      <c r="K3418" s="20">
        <v>1</v>
      </c>
      <c r="L3418" s="24">
        <v>976.73</v>
      </c>
      <c r="M3418" s="11"/>
      <c r="N3418" s="22">
        <f>L3418*M3418</f>
        <v>0</v>
      </c>
      <c r="O3418" s="25">
        <f>0.471*M3418</f>
        <v>0</v>
      </c>
      <c r="P3418" s="26">
        <f>0.00152*M3418</f>
        <v>0</v>
      </c>
      <c r="Q3418" s="30"/>
      <c r="R3418" s="22" t="s">
        <v>11978</v>
      </c>
      <c r="S3418" s="22"/>
      <c r="T3418" s="21" t="str">
        <f>HYPERLINK("https://miland.ru/api/getInfo/image/41c5d8ba-5235-11ee-a244-00155d82e902")</f>
        <v>https://miland.ru/api/getInfo/image/41c5d8ba-5235-11ee-a244-00155d82e902</v>
      </c>
      <c r="U3418" s="21"/>
      <c r="V3418" s="21"/>
      <c r="W3418" s="21" t="s">
        <v>8899</v>
      </c>
      <c r="X3418" s="21"/>
      <c r="Y3418" s="21" t="s">
        <v>41</v>
      </c>
      <c r="Z3418" s="21"/>
      <c r="AA3418" s="21" t="str">
        <f>HYPERLINK("https://miland.ru/api/getInfo/item/41c5d8ba-5235-11ee-a244-00155d82e902")</f>
        <v>https://miland.ru/api/getInfo/item/41c5d8ba-5235-11ee-a244-00155d82e902</v>
      </c>
      <c r="AB3418" s="21" t="s">
        <v>42</v>
      </c>
      <c r="AC3418" s="21" t="s">
        <v>11979</v>
      </c>
      <c r="AD3418" s="21"/>
    </row>
    <row r="3419" spans="2:31" s="1" customFormat="1" ht="96.3" customHeight="1" outlineLevel="5">
      <c r="B3419" s="57">
        <v>2671</v>
      </c>
      <c r="C3419" s="21" t="s">
        <v>11980</v>
      </c>
      <c r="D3419" s="72" t="s">
        <v>11981</v>
      </c>
      <c r="E3419" s="72"/>
      <c r="F3419" s="72"/>
      <c r="G3419" s="72"/>
      <c r="H3419" s="22" t="s">
        <v>11982</v>
      </c>
      <c r="I3419" s="27">
        <v>101</v>
      </c>
      <c r="J3419" s="22"/>
      <c r="K3419" s="20">
        <v>1</v>
      </c>
      <c r="L3419" s="32">
        <v>1457.09</v>
      </c>
      <c r="M3419" s="11"/>
      <c r="N3419" s="22">
        <f>L3419*M3419</f>
        <v>0</v>
      </c>
      <c r="O3419" s="25">
        <f>1.109*M3419</f>
        <v>0</v>
      </c>
      <c r="P3419" s="26">
        <f>0.00457*M3419</f>
        <v>0</v>
      </c>
      <c r="Q3419" s="30"/>
      <c r="R3419" s="22" t="s">
        <v>11983</v>
      </c>
      <c r="S3419" s="22"/>
      <c r="T3419" s="21" t="str">
        <f>HYPERLINK("https://miland.ru/api/getInfo/image/946f16e0-5236-11ee-a244-00155d82e902")</f>
        <v>https://miland.ru/api/getInfo/image/946f16e0-5236-11ee-a244-00155d82e902</v>
      </c>
      <c r="U3419" s="21"/>
      <c r="V3419" s="21"/>
      <c r="W3419" s="21" t="s">
        <v>8899</v>
      </c>
      <c r="X3419" s="21"/>
      <c r="Y3419" s="21" t="s">
        <v>41</v>
      </c>
      <c r="Z3419" s="21"/>
      <c r="AA3419" s="21" t="str">
        <f>HYPERLINK("https://miland.ru/api/getInfo/item/946f16e0-5236-11ee-a244-00155d82e902")</f>
        <v>https://miland.ru/api/getInfo/item/946f16e0-5236-11ee-a244-00155d82e902</v>
      </c>
      <c r="AB3419" s="21" t="s">
        <v>42</v>
      </c>
      <c r="AC3419" s="21" t="s">
        <v>11984</v>
      </c>
      <c r="AD3419" s="21"/>
    </row>
    <row r="3420" spans="2:31" ht="12" customHeight="1" outlineLevel="3">
      <c r="B3420" s="70" t="s">
        <v>11985</v>
      </c>
      <c r="C3420" s="70"/>
      <c r="D3420" s="70"/>
      <c r="E3420" s="70"/>
      <c r="F3420" s="70"/>
      <c r="G3420" s="70"/>
    </row>
    <row r="3421" spans="2:31" s="1" customFormat="1" ht="96.3" customHeight="1" outlineLevel="4">
      <c r="B3421" s="57">
        <v>2672</v>
      </c>
      <c r="C3421" s="21" t="s">
        <v>11986</v>
      </c>
      <c r="D3421" s="72" t="s">
        <v>11987</v>
      </c>
      <c r="E3421" s="72"/>
      <c r="F3421" s="72"/>
      <c r="G3421" s="72"/>
      <c r="H3421" s="22" t="s">
        <v>11988</v>
      </c>
      <c r="I3421" s="23" t="s">
        <v>36</v>
      </c>
      <c r="J3421" s="22"/>
      <c r="K3421" s="20">
        <v>1</v>
      </c>
      <c r="L3421" s="24">
        <v>684.39</v>
      </c>
      <c r="M3421" s="11"/>
      <c r="N3421" s="22">
        <f>L3421*M3421</f>
        <v>0</v>
      </c>
      <c r="O3421" s="25">
        <f>0.206*M3421</f>
        <v>0</v>
      </c>
      <c r="P3421" s="26">
        <f>0.00345*M3421</f>
        <v>0</v>
      </c>
      <c r="Q3421" s="30"/>
      <c r="R3421" s="22" t="s">
        <v>11989</v>
      </c>
      <c r="S3421" s="22"/>
      <c r="T3421" s="21" t="str">
        <f>HYPERLINK("https://miland.ru/api/getInfo/image/bf29a243-a539-11e8-a208-ac1f6b442184")</f>
        <v>https://miland.ru/api/getInfo/image/bf29a243-a539-11e8-a208-ac1f6b442184</v>
      </c>
      <c r="U3421" s="21"/>
      <c r="V3421" s="21"/>
      <c r="W3421" s="21" t="s">
        <v>1683</v>
      </c>
      <c r="X3421" s="21"/>
      <c r="Y3421" s="21" t="s">
        <v>41</v>
      </c>
      <c r="Z3421" s="21"/>
      <c r="AA3421" s="21" t="str">
        <f>HYPERLINK("https://miland.ru/api/getInfo/item/bf29a243-a539-11e8-a208-ac1f6b442184")</f>
        <v>https://miland.ru/api/getInfo/item/bf29a243-a539-11e8-a208-ac1f6b442184</v>
      </c>
      <c r="AB3421" s="21" t="s">
        <v>50</v>
      </c>
      <c r="AC3421" s="21"/>
      <c r="AD3421" s="21"/>
    </row>
    <row r="3422" spans="2:31" s="1" customFormat="1" ht="96.3" customHeight="1" outlineLevel="4">
      <c r="B3422" s="58">
        <v>2673</v>
      </c>
      <c r="C3422" s="7" t="s">
        <v>11990</v>
      </c>
      <c r="D3422" s="71" t="s">
        <v>11991</v>
      </c>
      <c r="E3422" s="71"/>
      <c r="F3422" s="71"/>
      <c r="G3422" s="71"/>
      <c r="H3422" s="8" t="s">
        <v>11992</v>
      </c>
      <c r="I3422" s="9" t="s">
        <v>36</v>
      </c>
      <c r="J3422" s="8"/>
      <c r="K3422" s="6">
        <v>1</v>
      </c>
      <c r="L3422" s="10">
        <v>684.39</v>
      </c>
      <c r="M3422" s="11"/>
      <c r="N3422" s="8">
        <f>L3422*M3422</f>
        <v>0</v>
      </c>
      <c r="O3422" s="12">
        <f>0.219*M3422</f>
        <v>0</v>
      </c>
      <c r="P3422" s="13">
        <f>0.00367*M3422</f>
        <v>0</v>
      </c>
      <c r="Q3422" s="17" t="s">
        <v>37</v>
      </c>
      <c r="R3422" s="8" t="s">
        <v>11993</v>
      </c>
      <c r="S3422" s="8"/>
      <c r="T3422" s="7" t="str">
        <f>HYPERLINK("https://miland.ru/api/getInfo/image/824b58b9-396a-11f1-a293-00155d82e908")</f>
        <v>https://miland.ru/api/getInfo/image/824b58b9-396a-11f1-a293-00155d82e908</v>
      </c>
      <c r="U3422" s="7"/>
      <c r="V3422" s="7"/>
      <c r="W3422" s="7" t="s">
        <v>1683</v>
      </c>
      <c r="X3422" s="7"/>
      <c r="Y3422" s="7" t="s">
        <v>41</v>
      </c>
      <c r="Z3422" s="7"/>
      <c r="AA3422" s="7" t="str">
        <f>HYPERLINK("https://miland.ru/api/getInfo/item/824b58b9-396a-11f1-a293-00155d82e908")</f>
        <v>https://miland.ru/api/getInfo/item/824b58b9-396a-11f1-a293-00155d82e908</v>
      </c>
      <c r="AB3422" s="7" t="s">
        <v>50</v>
      </c>
      <c r="AC3422" s="7"/>
      <c r="AD3422" s="7"/>
      <c r="AE3422" s="54"/>
    </row>
    <row r="3423" spans="2:31" s="1" customFormat="1" ht="96.3" customHeight="1" outlineLevel="4">
      <c r="B3423" s="58">
        <v>2674</v>
      </c>
      <c r="C3423" s="7" t="s">
        <v>11994</v>
      </c>
      <c r="D3423" s="71" t="s">
        <v>11995</v>
      </c>
      <c r="E3423" s="71"/>
      <c r="F3423" s="71"/>
      <c r="G3423" s="71"/>
      <c r="H3423" s="8" t="s">
        <v>11996</v>
      </c>
      <c r="I3423" s="9" t="s">
        <v>36</v>
      </c>
      <c r="J3423" s="8"/>
      <c r="K3423" s="6">
        <v>1</v>
      </c>
      <c r="L3423" s="10">
        <v>684.39</v>
      </c>
      <c r="M3423" s="11"/>
      <c r="N3423" s="8">
        <f>L3423*M3423</f>
        <v>0</v>
      </c>
      <c r="O3423" s="12">
        <f>0.216*M3423</f>
        <v>0</v>
      </c>
      <c r="P3423" s="13">
        <f>0.00331*M3423</f>
        <v>0</v>
      </c>
      <c r="Q3423" s="17" t="s">
        <v>37</v>
      </c>
      <c r="R3423" s="8" t="s">
        <v>11997</v>
      </c>
      <c r="S3423" s="8"/>
      <c r="T3423" s="7" t="str">
        <f>HYPERLINK("https://miland.ru/api/getInfo/image/d44b71dc-2780-11f1-a291-00155d82e908")</f>
        <v>https://miland.ru/api/getInfo/image/d44b71dc-2780-11f1-a291-00155d82e908</v>
      </c>
      <c r="U3423" s="7"/>
      <c r="V3423" s="7"/>
      <c r="W3423" s="7" t="s">
        <v>1683</v>
      </c>
      <c r="X3423" s="7"/>
      <c r="Y3423" s="7" t="s">
        <v>41</v>
      </c>
      <c r="Z3423" s="7"/>
      <c r="AA3423" s="7" t="str">
        <f>HYPERLINK("https://miland.ru/api/getInfo/item/d44b71dc-2780-11f1-a291-00155d82e908")</f>
        <v>https://miland.ru/api/getInfo/item/d44b71dc-2780-11f1-a291-00155d82e908</v>
      </c>
      <c r="AB3423" s="7" t="s">
        <v>50</v>
      </c>
      <c r="AC3423" s="7"/>
      <c r="AD3423" s="7"/>
      <c r="AE3423" s="54"/>
    </row>
    <row r="3424" spans="2:31" s="1" customFormat="1" ht="96.3" customHeight="1" outlineLevel="4">
      <c r="B3424" s="57">
        <v>2675</v>
      </c>
      <c r="C3424" s="21" t="s">
        <v>11998</v>
      </c>
      <c r="D3424" s="72" t="s">
        <v>11999</v>
      </c>
      <c r="E3424" s="72"/>
      <c r="F3424" s="72"/>
      <c r="G3424" s="72"/>
      <c r="H3424" s="22" t="s">
        <v>12000</v>
      </c>
      <c r="I3424" s="27">
        <v>199</v>
      </c>
      <c r="J3424" s="22"/>
      <c r="K3424" s="20">
        <v>1</v>
      </c>
      <c r="L3424" s="24">
        <v>684.39</v>
      </c>
      <c r="M3424" s="11"/>
      <c r="N3424" s="22">
        <f>L3424*M3424</f>
        <v>0</v>
      </c>
      <c r="O3424" s="25">
        <f>0.206*M3424</f>
        <v>0</v>
      </c>
      <c r="P3424" s="29">
        <f>0.0036*M3424</f>
        <v>0</v>
      </c>
      <c r="Q3424" s="30"/>
      <c r="R3424" s="22" t="s">
        <v>12001</v>
      </c>
      <c r="S3424" s="22"/>
      <c r="T3424" s="21" t="str">
        <f>HYPERLINK("https://miland.ru/api/getInfo/image/e0e3a342-a539-11e8-a208-ac1f6b442184")</f>
        <v>https://miland.ru/api/getInfo/image/e0e3a342-a539-11e8-a208-ac1f6b442184</v>
      </c>
      <c r="U3424" s="21"/>
      <c r="V3424" s="21"/>
      <c r="W3424" s="21" t="s">
        <v>1683</v>
      </c>
      <c r="X3424" s="21"/>
      <c r="Y3424" s="21" t="s">
        <v>41</v>
      </c>
      <c r="Z3424" s="21"/>
      <c r="AA3424" s="21" t="str">
        <f>HYPERLINK("https://miland.ru/api/getInfo/item/e0e3a342-a539-11e8-a208-ac1f6b442184")</f>
        <v>https://miland.ru/api/getInfo/item/e0e3a342-a539-11e8-a208-ac1f6b442184</v>
      </c>
      <c r="AB3424" s="21" t="s">
        <v>50</v>
      </c>
      <c r="AC3424" s="21"/>
      <c r="AD3424" s="21"/>
    </row>
    <row r="3425" spans="2:31" s="1" customFormat="1" ht="96.3" customHeight="1" outlineLevel="4">
      <c r="B3425" s="58">
        <v>2676</v>
      </c>
      <c r="C3425" s="7" t="s">
        <v>12002</v>
      </c>
      <c r="D3425" s="71" t="s">
        <v>12003</v>
      </c>
      <c r="E3425" s="71"/>
      <c r="F3425" s="71"/>
      <c r="G3425" s="71"/>
      <c r="H3425" s="8" t="s">
        <v>12004</v>
      </c>
      <c r="I3425" s="9" t="s">
        <v>36</v>
      </c>
      <c r="J3425" s="8"/>
      <c r="K3425" s="6">
        <v>1</v>
      </c>
      <c r="L3425" s="10">
        <v>684.39</v>
      </c>
      <c r="M3425" s="11"/>
      <c r="N3425" s="8">
        <f>L3425*M3425</f>
        <v>0</v>
      </c>
      <c r="O3425" s="12">
        <f>0.214*M3425</f>
        <v>0</v>
      </c>
      <c r="P3425" s="13">
        <f>0.00352*M3425</f>
        <v>0</v>
      </c>
      <c r="Q3425" s="17" t="s">
        <v>37</v>
      </c>
      <c r="R3425" s="8" t="s">
        <v>12005</v>
      </c>
      <c r="S3425" s="8"/>
      <c r="T3425" s="7" t="str">
        <f>HYPERLINK("https://miland.ru/api/getInfo/image/41e2bf2c-396a-11f1-a293-00155d82e908")</f>
        <v>https://miland.ru/api/getInfo/image/41e2bf2c-396a-11f1-a293-00155d82e908</v>
      </c>
      <c r="U3425" s="7"/>
      <c r="V3425" s="7"/>
      <c r="W3425" s="7" t="s">
        <v>1683</v>
      </c>
      <c r="X3425" s="7"/>
      <c r="Y3425" s="7" t="s">
        <v>41</v>
      </c>
      <c r="Z3425" s="7"/>
      <c r="AA3425" s="7" t="str">
        <f>HYPERLINK("https://miland.ru/api/getInfo/item/41e2bf2c-396a-11f1-a293-00155d82e908")</f>
        <v>https://miland.ru/api/getInfo/item/41e2bf2c-396a-11f1-a293-00155d82e908</v>
      </c>
      <c r="AB3425" s="7" t="s">
        <v>50</v>
      </c>
      <c r="AC3425" s="7"/>
      <c r="AD3425" s="7"/>
      <c r="AE3425" s="54"/>
    </row>
    <row r="3426" spans="2:31" ht="12" customHeight="1" outlineLevel="3">
      <c r="B3426" s="70" t="s">
        <v>10821</v>
      </c>
      <c r="C3426" s="70"/>
      <c r="D3426" s="70"/>
      <c r="E3426" s="70"/>
      <c r="F3426" s="70"/>
      <c r="G3426" s="70"/>
    </row>
    <row r="3427" spans="2:31" ht="12" customHeight="1" outlineLevel="4">
      <c r="B3427" s="70" t="s">
        <v>12006</v>
      </c>
      <c r="C3427" s="70"/>
      <c r="D3427" s="70"/>
      <c r="E3427" s="70"/>
      <c r="F3427" s="70"/>
      <c r="G3427" s="70"/>
    </row>
    <row r="3428" spans="2:31" s="1" customFormat="1" ht="96.3" customHeight="1" outlineLevel="5">
      <c r="B3428" s="57">
        <v>2677</v>
      </c>
      <c r="C3428" s="21" t="s">
        <v>12007</v>
      </c>
      <c r="D3428" s="72" t="s">
        <v>12008</v>
      </c>
      <c r="E3428" s="72"/>
      <c r="F3428" s="72"/>
      <c r="G3428" s="72"/>
      <c r="H3428" s="22" t="s">
        <v>12009</v>
      </c>
      <c r="I3428" s="27">
        <v>6</v>
      </c>
      <c r="J3428" s="22"/>
      <c r="K3428" s="20">
        <v>1</v>
      </c>
      <c r="L3428" s="24">
        <v>552.86</v>
      </c>
      <c r="M3428" s="11"/>
      <c r="N3428" s="22">
        <f>L3428*M3428</f>
        <v>0</v>
      </c>
      <c r="O3428" s="25">
        <f>0.156*M3428</f>
        <v>0</v>
      </c>
      <c r="P3428" s="26">
        <f>0.00249*M3428</f>
        <v>0</v>
      </c>
      <c r="Q3428" s="30"/>
      <c r="R3428" s="22" t="s">
        <v>12010</v>
      </c>
      <c r="S3428" s="22"/>
      <c r="T3428" s="21" t="str">
        <f>HYPERLINK("https://miland.ru/api/getInfo/image/8f45d035-deb6-11ed-a233-00155d82e902")</f>
        <v>https://miland.ru/api/getInfo/image/8f45d035-deb6-11ed-a233-00155d82e902</v>
      </c>
      <c r="U3428" s="21"/>
      <c r="V3428" s="21"/>
      <c r="W3428" s="21" t="s">
        <v>8899</v>
      </c>
      <c r="X3428" s="21"/>
      <c r="Y3428" s="21" t="s">
        <v>41</v>
      </c>
      <c r="Z3428" s="21"/>
      <c r="AA3428" s="21" t="str">
        <f>HYPERLINK("https://miland.ru/api/getInfo/item/8f45d035-deb6-11ed-a233-00155d82e902")</f>
        <v>https://miland.ru/api/getInfo/item/8f45d035-deb6-11ed-a233-00155d82e902</v>
      </c>
      <c r="AB3428" s="21" t="s">
        <v>42</v>
      </c>
      <c r="AC3428" s="21"/>
      <c r="AD3428" s="21"/>
    </row>
    <row r="3429" spans="2:31" s="1" customFormat="1" ht="96.3" customHeight="1" outlineLevel="5">
      <c r="B3429" s="57">
        <v>2678</v>
      </c>
      <c r="C3429" s="21" t="s">
        <v>12011</v>
      </c>
      <c r="D3429" s="72" t="s">
        <v>12012</v>
      </c>
      <c r="E3429" s="72"/>
      <c r="F3429" s="72"/>
      <c r="G3429" s="72"/>
      <c r="H3429" s="22" t="s">
        <v>12013</v>
      </c>
      <c r="I3429" s="27">
        <v>132</v>
      </c>
      <c r="J3429" s="22"/>
      <c r="K3429" s="20">
        <v>1</v>
      </c>
      <c r="L3429" s="24">
        <v>552.86</v>
      </c>
      <c r="M3429" s="11"/>
      <c r="N3429" s="22">
        <f>L3429*M3429</f>
        <v>0</v>
      </c>
      <c r="O3429" s="25">
        <f>0.148*M3429</f>
        <v>0</v>
      </c>
      <c r="P3429" s="26">
        <f>0.00219*M3429</f>
        <v>0</v>
      </c>
      <c r="Q3429" s="30"/>
      <c r="R3429" s="22" t="s">
        <v>12014</v>
      </c>
      <c r="S3429" s="22" t="s">
        <v>435</v>
      </c>
      <c r="T3429" s="21" t="str">
        <f>HYPERLINK("https://miland.ru/api/getInfo/image/c0bed72f-deb6-11ed-a233-00155d82e902")</f>
        <v>https://miland.ru/api/getInfo/image/c0bed72f-deb6-11ed-a233-00155d82e902</v>
      </c>
      <c r="U3429" s="21"/>
      <c r="V3429" s="21"/>
      <c r="W3429" s="21" t="s">
        <v>8899</v>
      </c>
      <c r="X3429" s="21"/>
      <c r="Y3429" s="21" t="s">
        <v>41</v>
      </c>
      <c r="Z3429" s="21"/>
      <c r="AA3429" s="21" t="str">
        <f>HYPERLINK("https://miland.ru/api/getInfo/item/c0bed72f-deb6-11ed-a233-00155d82e902")</f>
        <v>https://miland.ru/api/getInfo/item/c0bed72f-deb6-11ed-a233-00155d82e902</v>
      </c>
      <c r="AB3429" s="21" t="s">
        <v>42</v>
      </c>
      <c r="AC3429" s="21"/>
      <c r="AD3429" s="21"/>
    </row>
    <row r="3430" spans="2:31" ht="12" customHeight="1" outlineLevel="4">
      <c r="B3430" s="70" t="s">
        <v>103</v>
      </c>
      <c r="C3430" s="70"/>
      <c r="D3430" s="70"/>
      <c r="E3430" s="70"/>
      <c r="F3430" s="70"/>
      <c r="G3430" s="70"/>
    </row>
    <row r="3431" spans="2:31" s="1" customFormat="1" ht="96.3" customHeight="1" outlineLevel="5">
      <c r="B3431" s="59">
        <v>2679</v>
      </c>
      <c r="C3431" s="35" t="s">
        <v>12015</v>
      </c>
      <c r="D3431" s="73" t="s">
        <v>12016</v>
      </c>
      <c r="E3431" s="73"/>
      <c r="F3431" s="73"/>
      <c r="G3431" s="73"/>
      <c r="H3431" s="36" t="s">
        <v>12017</v>
      </c>
      <c r="I3431" s="40">
        <v>23</v>
      </c>
      <c r="J3431" s="36"/>
      <c r="K3431" s="34">
        <v>1</v>
      </c>
      <c r="L3431" s="41">
        <v>1332</v>
      </c>
      <c r="M3431" s="11"/>
      <c r="N3431" s="36">
        <f t="shared" ref="N3431:N3438" si="166">L3431*M3431</f>
        <v>0</v>
      </c>
      <c r="O3431" s="42">
        <f>1.648*M3431</f>
        <v>0</v>
      </c>
      <c r="P3431" s="43">
        <f>0.02017*M3431</f>
        <v>0</v>
      </c>
      <c r="Q3431" s="50"/>
      <c r="R3431" s="36" t="s">
        <v>12018</v>
      </c>
      <c r="S3431" s="36" t="s">
        <v>435</v>
      </c>
      <c r="T3431" s="35" t="str">
        <f>HYPERLINK("https://miland.ru/api/getInfo/image/6308005f-52fc-11ee-a244-00155d82e902")</f>
        <v>https://miland.ru/api/getInfo/image/6308005f-52fc-11ee-a244-00155d82e902</v>
      </c>
      <c r="U3431" s="35"/>
      <c r="V3431" s="35"/>
      <c r="W3431" s="35"/>
      <c r="X3431" s="35"/>
      <c r="Y3431" s="35" t="s">
        <v>41</v>
      </c>
      <c r="Z3431" s="35"/>
      <c r="AA3431" s="35" t="str">
        <f>HYPERLINK("https://miland.ru/api/getInfo/item/6308005f-52fc-11ee-a244-00155d82e902")</f>
        <v>https://miland.ru/api/getInfo/item/6308005f-52fc-11ee-a244-00155d82e902</v>
      </c>
      <c r="AB3431" s="35" t="s">
        <v>42</v>
      </c>
      <c r="AC3431" s="35"/>
      <c r="AD3431" s="35"/>
      <c r="AE3431" s="52" t="s">
        <v>1251</v>
      </c>
    </row>
    <row r="3432" spans="2:31" s="1" customFormat="1" ht="96.3" customHeight="1" outlineLevel="5">
      <c r="B3432" s="59">
        <v>2680</v>
      </c>
      <c r="C3432" s="35" t="s">
        <v>12019</v>
      </c>
      <c r="D3432" s="73" t="s">
        <v>12020</v>
      </c>
      <c r="E3432" s="73"/>
      <c r="F3432" s="73"/>
      <c r="G3432" s="73"/>
      <c r="H3432" s="36" t="s">
        <v>12021</v>
      </c>
      <c r="I3432" s="40">
        <v>6</v>
      </c>
      <c r="J3432" s="36"/>
      <c r="K3432" s="34">
        <v>1</v>
      </c>
      <c r="L3432" s="41">
        <v>1332</v>
      </c>
      <c r="M3432" s="11"/>
      <c r="N3432" s="36">
        <f t="shared" si="166"/>
        <v>0</v>
      </c>
      <c r="O3432" s="42">
        <f>1.648*M3432</f>
        <v>0</v>
      </c>
      <c r="P3432" s="43">
        <f>0.02017*M3432</f>
        <v>0</v>
      </c>
      <c r="Q3432" s="50"/>
      <c r="R3432" s="36" t="s">
        <v>12022</v>
      </c>
      <c r="S3432" s="36" t="s">
        <v>435</v>
      </c>
      <c r="T3432" s="35" t="str">
        <f>HYPERLINK("https://miland.ru/api/getInfo/image/3bc43571-52fc-11ee-a244-00155d82e902")</f>
        <v>https://miland.ru/api/getInfo/image/3bc43571-52fc-11ee-a244-00155d82e902</v>
      </c>
      <c r="U3432" s="35"/>
      <c r="V3432" s="35"/>
      <c r="W3432" s="35" t="s">
        <v>70</v>
      </c>
      <c r="X3432" s="35"/>
      <c r="Y3432" s="35" t="s">
        <v>41</v>
      </c>
      <c r="Z3432" s="35"/>
      <c r="AA3432" s="35" t="str">
        <f>HYPERLINK("https://miland.ru/api/getInfo/item/3bc43571-52fc-11ee-a244-00155d82e902")</f>
        <v>https://miland.ru/api/getInfo/item/3bc43571-52fc-11ee-a244-00155d82e902</v>
      </c>
      <c r="AB3432" s="35" t="s">
        <v>42</v>
      </c>
      <c r="AC3432" s="35"/>
      <c r="AD3432" s="35"/>
      <c r="AE3432" s="52" t="s">
        <v>1251</v>
      </c>
    </row>
    <row r="3433" spans="2:31" s="1" customFormat="1" ht="96.3" customHeight="1" outlineLevel="5">
      <c r="B3433" s="59">
        <v>2681</v>
      </c>
      <c r="C3433" s="35" t="s">
        <v>12023</v>
      </c>
      <c r="D3433" s="73" t="s">
        <v>12024</v>
      </c>
      <c r="E3433" s="73"/>
      <c r="F3433" s="73"/>
      <c r="G3433" s="73"/>
      <c r="H3433" s="36" t="s">
        <v>12025</v>
      </c>
      <c r="I3433" s="40">
        <v>5</v>
      </c>
      <c r="J3433" s="36"/>
      <c r="K3433" s="34">
        <v>1</v>
      </c>
      <c r="L3433" s="41">
        <v>798.66666666666663</v>
      </c>
      <c r="M3433" s="11"/>
      <c r="N3433" s="36">
        <f t="shared" si="166"/>
        <v>0</v>
      </c>
      <c r="O3433" s="42">
        <f>0.696*M3433</f>
        <v>0</v>
      </c>
      <c r="P3433" s="43">
        <f>0.00749*M3433</f>
        <v>0</v>
      </c>
      <c r="Q3433" s="50"/>
      <c r="R3433" s="36" t="s">
        <v>12026</v>
      </c>
      <c r="S3433" s="36" t="s">
        <v>435</v>
      </c>
      <c r="T3433" s="35" t="str">
        <f>HYPERLINK("https://miland.ru/api/getInfo/image/4c8ad96f-52ff-11ee-a244-00155d82e902")</f>
        <v>https://miland.ru/api/getInfo/image/4c8ad96f-52ff-11ee-a244-00155d82e902</v>
      </c>
      <c r="U3433" s="35"/>
      <c r="V3433" s="35"/>
      <c r="W3433" s="35"/>
      <c r="X3433" s="35"/>
      <c r="Y3433" s="35" t="s">
        <v>41</v>
      </c>
      <c r="Z3433" s="35"/>
      <c r="AA3433" s="35" t="str">
        <f>HYPERLINK("https://miland.ru/api/getInfo/item/4c8ad96f-52ff-11ee-a244-00155d82e902")</f>
        <v>https://miland.ru/api/getInfo/item/4c8ad96f-52ff-11ee-a244-00155d82e902</v>
      </c>
      <c r="AB3433" s="35" t="s">
        <v>42</v>
      </c>
      <c r="AC3433" s="35"/>
      <c r="AD3433" s="35"/>
      <c r="AE3433" s="52" t="s">
        <v>1251</v>
      </c>
    </row>
    <row r="3434" spans="2:31" s="1" customFormat="1" ht="96.3" customHeight="1" outlineLevel="5">
      <c r="B3434" s="59">
        <v>2682</v>
      </c>
      <c r="C3434" s="35" t="s">
        <v>12027</v>
      </c>
      <c r="D3434" s="73" t="s">
        <v>12028</v>
      </c>
      <c r="E3434" s="73"/>
      <c r="F3434" s="73"/>
      <c r="G3434" s="73"/>
      <c r="H3434" s="36" t="s">
        <v>12029</v>
      </c>
      <c r="I3434" s="40">
        <v>5</v>
      </c>
      <c r="J3434" s="36"/>
      <c r="K3434" s="34">
        <v>1</v>
      </c>
      <c r="L3434" s="41">
        <v>798.66666666666663</v>
      </c>
      <c r="M3434" s="11"/>
      <c r="N3434" s="36">
        <f t="shared" si="166"/>
        <v>0</v>
      </c>
      <c r="O3434" s="42">
        <f>0.701*M3434</f>
        <v>0</v>
      </c>
      <c r="P3434" s="43">
        <f>0.00718*M3434</f>
        <v>0</v>
      </c>
      <c r="Q3434" s="50"/>
      <c r="R3434" s="36" t="s">
        <v>12030</v>
      </c>
      <c r="S3434" s="36" t="s">
        <v>435</v>
      </c>
      <c r="T3434" s="35" t="str">
        <f>HYPERLINK("https://miland.ru/api/getInfo/image/8b54e934-52ff-11ee-a244-00155d82e902")</f>
        <v>https://miland.ru/api/getInfo/image/8b54e934-52ff-11ee-a244-00155d82e902</v>
      </c>
      <c r="U3434" s="35"/>
      <c r="V3434" s="35"/>
      <c r="W3434" s="35"/>
      <c r="X3434" s="35"/>
      <c r="Y3434" s="35" t="s">
        <v>41</v>
      </c>
      <c r="Z3434" s="35"/>
      <c r="AA3434" s="35" t="str">
        <f>HYPERLINK("https://miland.ru/api/getInfo/item/8b54e934-52ff-11ee-a244-00155d82e902")</f>
        <v>https://miland.ru/api/getInfo/item/8b54e934-52ff-11ee-a244-00155d82e902</v>
      </c>
      <c r="AB3434" s="35" t="s">
        <v>42</v>
      </c>
      <c r="AC3434" s="35"/>
      <c r="AD3434" s="35"/>
      <c r="AE3434" s="52" t="s">
        <v>1251</v>
      </c>
    </row>
    <row r="3435" spans="2:31" s="1" customFormat="1" ht="96.3" customHeight="1" outlineLevel="5">
      <c r="B3435" s="57">
        <v>2683</v>
      </c>
      <c r="C3435" s="21" t="s">
        <v>12031</v>
      </c>
      <c r="D3435" s="72" t="s">
        <v>12032</v>
      </c>
      <c r="E3435" s="72"/>
      <c r="F3435" s="72"/>
      <c r="G3435" s="72"/>
      <c r="H3435" s="22" t="s">
        <v>12033</v>
      </c>
      <c r="I3435" s="27">
        <v>6</v>
      </c>
      <c r="J3435" s="22"/>
      <c r="K3435" s="20">
        <v>1</v>
      </c>
      <c r="L3435" s="32">
        <v>2450.7199999999998</v>
      </c>
      <c r="M3435" s="11"/>
      <c r="N3435" s="22">
        <f t="shared" si="166"/>
        <v>0</v>
      </c>
      <c r="O3435" s="25">
        <f>1.203*M3435</f>
        <v>0</v>
      </c>
      <c r="P3435" s="26">
        <f>0.01917*M3435</f>
        <v>0</v>
      </c>
      <c r="Q3435" s="30"/>
      <c r="R3435" s="22" t="s">
        <v>12034</v>
      </c>
      <c r="S3435" s="22" t="s">
        <v>435</v>
      </c>
      <c r="T3435" s="21" t="str">
        <f>HYPERLINK("https://miland.ru/api/getInfo/image/c59448f3-52fb-11ee-a244-00155d82e902")</f>
        <v>https://miland.ru/api/getInfo/image/c59448f3-52fb-11ee-a244-00155d82e902</v>
      </c>
      <c r="U3435" s="21"/>
      <c r="V3435" s="21"/>
      <c r="W3435" s="21"/>
      <c r="X3435" s="21"/>
      <c r="Y3435" s="21" t="s">
        <v>41</v>
      </c>
      <c r="Z3435" s="21"/>
      <c r="AA3435" s="21" t="str">
        <f>HYPERLINK("https://miland.ru/api/getInfo/item/c59448f3-52fb-11ee-a244-00155d82e902")</f>
        <v>https://miland.ru/api/getInfo/item/c59448f3-52fb-11ee-a244-00155d82e902</v>
      </c>
      <c r="AB3435" s="21" t="s">
        <v>42</v>
      </c>
      <c r="AC3435" s="21"/>
      <c r="AD3435" s="21"/>
    </row>
    <row r="3436" spans="2:31" s="1" customFormat="1" ht="96.3" customHeight="1" outlineLevel="5">
      <c r="B3436" s="59">
        <v>2684</v>
      </c>
      <c r="C3436" s="35" t="s">
        <v>12035</v>
      </c>
      <c r="D3436" s="73" t="s">
        <v>12036</v>
      </c>
      <c r="E3436" s="73"/>
      <c r="F3436" s="73"/>
      <c r="G3436" s="73"/>
      <c r="H3436" s="36" t="s">
        <v>12037</v>
      </c>
      <c r="I3436" s="40">
        <v>5</v>
      </c>
      <c r="J3436" s="36"/>
      <c r="K3436" s="34">
        <v>1</v>
      </c>
      <c r="L3436" s="41">
        <v>1132</v>
      </c>
      <c r="M3436" s="11"/>
      <c r="N3436" s="36">
        <f t="shared" si="166"/>
        <v>0</v>
      </c>
      <c r="O3436" s="42">
        <f>1.343*M3436</f>
        <v>0</v>
      </c>
      <c r="P3436" s="43">
        <f>0.01978*M3436</f>
        <v>0</v>
      </c>
      <c r="Q3436" s="50"/>
      <c r="R3436" s="36" t="s">
        <v>12038</v>
      </c>
      <c r="S3436" s="36" t="s">
        <v>435</v>
      </c>
      <c r="T3436" s="35" t="str">
        <f>HYPERLINK("https://miland.ru/api/getInfo/image/db2cce8d-52fa-11ee-a244-00155d82e902")</f>
        <v>https://miland.ru/api/getInfo/image/db2cce8d-52fa-11ee-a244-00155d82e902</v>
      </c>
      <c r="U3436" s="35"/>
      <c r="V3436" s="35"/>
      <c r="W3436" s="35"/>
      <c r="X3436" s="35"/>
      <c r="Y3436" s="35" t="s">
        <v>41</v>
      </c>
      <c r="Z3436" s="35"/>
      <c r="AA3436" s="35" t="str">
        <f>HYPERLINK("https://miland.ru/api/getInfo/item/db2cce8d-52fa-11ee-a244-00155d82e902")</f>
        <v>https://miland.ru/api/getInfo/item/db2cce8d-52fa-11ee-a244-00155d82e902</v>
      </c>
      <c r="AB3436" s="35" t="s">
        <v>42</v>
      </c>
      <c r="AC3436" s="35"/>
      <c r="AD3436" s="35"/>
      <c r="AE3436" s="52" t="s">
        <v>1251</v>
      </c>
    </row>
    <row r="3437" spans="2:31" s="1" customFormat="1" ht="96.3" customHeight="1" outlineLevel="5">
      <c r="B3437" s="59">
        <v>2685</v>
      </c>
      <c r="C3437" s="35" t="s">
        <v>12039</v>
      </c>
      <c r="D3437" s="73" t="s">
        <v>12040</v>
      </c>
      <c r="E3437" s="73"/>
      <c r="F3437" s="73"/>
      <c r="G3437" s="73"/>
      <c r="H3437" s="36" t="s">
        <v>12041</v>
      </c>
      <c r="I3437" s="40">
        <v>5</v>
      </c>
      <c r="J3437" s="36"/>
      <c r="K3437" s="34">
        <v>1</v>
      </c>
      <c r="L3437" s="41">
        <v>1265.3333333333333</v>
      </c>
      <c r="M3437" s="11"/>
      <c r="N3437" s="36">
        <f t="shared" si="166"/>
        <v>0</v>
      </c>
      <c r="O3437" s="42">
        <f>1.648*M3437</f>
        <v>0</v>
      </c>
      <c r="P3437" s="43">
        <f>0.02017*M3437</f>
        <v>0</v>
      </c>
      <c r="Q3437" s="50"/>
      <c r="R3437" s="36" t="s">
        <v>12042</v>
      </c>
      <c r="S3437" s="36" t="s">
        <v>435</v>
      </c>
      <c r="T3437" s="35" t="str">
        <f>HYPERLINK("https://miland.ru/api/getInfo/image/eea08d27-52fc-11ee-a244-00155d82e902")</f>
        <v>https://miland.ru/api/getInfo/image/eea08d27-52fc-11ee-a244-00155d82e902</v>
      </c>
      <c r="U3437" s="35"/>
      <c r="V3437" s="35"/>
      <c r="W3437" s="35"/>
      <c r="X3437" s="35"/>
      <c r="Y3437" s="35" t="s">
        <v>41</v>
      </c>
      <c r="Z3437" s="35"/>
      <c r="AA3437" s="35" t="str">
        <f>HYPERLINK("https://miland.ru/api/getInfo/item/eea08d27-52fc-11ee-a244-00155d82e902")</f>
        <v>https://miland.ru/api/getInfo/item/eea08d27-52fc-11ee-a244-00155d82e902</v>
      </c>
      <c r="AB3437" s="35" t="s">
        <v>42</v>
      </c>
      <c r="AC3437" s="35"/>
      <c r="AD3437" s="35"/>
      <c r="AE3437" s="52" t="s">
        <v>1251</v>
      </c>
    </row>
    <row r="3438" spans="2:31" s="1" customFormat="1" ht="96.3" customHeight="1" outlineLevel="5">
      <c r="B3438" s="59">
        <v>2686</v>
      </c>
      <c r="C3438" s="35" t="s">
        <v>12043</v>
      </c>
      <c r="D3438" s="73" t="s">
        <v>12044</v>
      </c>
      <c r="E3438" s="73"/>
      <c r="F3438" s="73"/>
      <c r="G3438" s="73"/>
      <c r="H3438" s="36" t="s">
        <v>12045</v>
      </c>
      <c r="I3438" s="40">
        <v>5</v>
      </c>
      <c r="J3438" s="36"/>
      <c r="K3438" s="34">
        <v>1</v>
      </c>
      <c r="L3438" s="41">
        <v>1198.6666666666667</v>
      </c>
      <c r="M3438" s="11"/>
      <c r="N3438" s="36">
        <f t="shared" si="166"/>
        <v>0</v>
      </c>
      <c r="O3438" s="42">
        <f>1.335*M3438</f>
        <v>0</v>
      </c>
      <c r="P3438" s="43">
        <f>0.01566*M3438</f>
        <v>0</v>
      </c>
      <c r="Q3438" s="50"/>
      <c r="R3438" s="36" t="s">
        <v>12046</v>
      </c>
      <c r="S3438" s="36" t="s">
        <v>435</v>
      </c>
      <c r="T3438" s="35" t="str">
        <f>HYPERLINK("https://miland.ru/api/getInfo/image/195da8ab-52ff-11ee-a244-00155d82e902")</f>
        <v>https://miland.ru/api/getInfo/image/195da8ab-52ff-11ee-a244-00155d82e902</v>
      </c>
      <c r="U3438" s="35"/>
      <c r="V3438" s="35"/>
      <c r="W3438" s="35"/>
      <c r="X3438" s="35"/>
      <c r="Y3438" s="35" t="s">
        <v>41</v>
      </c>
      <c r="Z3438" s="35"/>
      <c r="AA3438" s="35" t="str">
        <f>HYPERLINK("https://miland.ru/api/getInfo/item/195da8ab-52ff-11ee-a244-00155d82e902")</f>
        <v>https://miland.ru/api/getInfo/item/195da8ab-52ff-11ee-a244-00155d82e902</v>
      </c>
      <c r="AB3438" s="35" t="s">
        <v>42</v>
      </c>
      <c r="AC3438" s="35"/>
      <c r="AD3438" s="35"/>
      <c r="AE3438" s="52" t="s">
        <v>1251</v>
      </c>
    </row>
    <row r="3439" spans="2:31" ht="12" customHeight="1" outlineLevel="3">
      <c r="B3439" s="70" t="s">
        <v>12047</v>
      </c>
      <c r="C3439" s="70"/>
      <c r="D3439" s="70"/>
      <c r="E3439" s="70"/>
      <c r="F3439" s="70"/>
      <c r="G3439" s="70"/>
    </row>
    <row r="3440" spans="2:31" s="1" customFormat="1" ht="96.3" customHeight="1" outlineLevel="4">
      <c r="B3440" s="57">
        <v>2687</v>
      </c>
      <c r="C3440" s="21" t="s">
        <v>12048</v>
      </c>
      <c r="D3440" s="72" t="s">
        <v>12049</v>
      </c>
      <c r="E3440" s="72"/>
      <c r="F3440" s="72"/>
      <c r="G3440" s="72"/>
      <c r="H3440" s="22" t="s">
        <v>12050</v>
      </c>
      <c r="I3440" s="23" t="s">
        <v>36</v>
      </c>
      <c r="J3440" s="22"/>
      <c r="K3440" s="20">
        <v>5</v>
      </c>
      <c r="L3440" s="24">
        <v>117.82</v>
      </c>
      <c r="M3440" s="11"/>
      <c r="N3440" s="22">
        <f>L3440*M3440</f>
        <v>0</v>
      </c>
      <c r="O3440" s="25">
        <f>0.045*M3440</f>
        <v>0</v>
      </c>
      <c r="P3440" s="26">
        <f>0.00041*M3440</f>
        <v>0</v>
      </c>
      <c r="Q3440" s="30"/>
      <c r="R3440" s="22" t="s">
        <v>12051</v>
      </c>
      <c r="S3440" s="22"/>
      <c r="T3440" s="21" t="str">
        <f>HYPERLINK("https://miland.ru/api/getInfo/image/bf8d0420-f7b1-11e7-951c-5cf3fc4a2490")</f>
        <v>https://miland.ru/api/getInfo/image/bf8d0420-f7b1-11e7-951c-5cf3fc4a2490</v>
      </c>
      <c r="U3440" s="21"/>
      <c r="V3440" s="21"/>
      <c r="W3440" s="21" t="s">
        <v>12052</v>
      </c>
      <c r="X3440" s="21"/>
      <c r="Y3440" s="21" t="s">
        <v>41</v>
      </c>
      <c r="Z3440" s="21"/>
      <c r="AA3440" s="21" t="str">
        <f>HYPERLINK("https://miland.ru/api/getInfo/item/bf8d0420-f7b1-11e7-951c-5cf3fc4a2490")</f>
        <v>https://miland.ru/api/getInfo/item/bf8d0420-f7b1-11e7-951c-5cf3fc4a2490</v>
      </c>
      <c r="AB3440" s="21" t="s">
        <v>42</v>
      </c>
      <c r="AC3440" s="21" t="s">
        <v>12053</v>
      </c>
      <c r="AD3440" s="21"/>
    </row>
    <row r="3441" spans="2:31" ht="12" customHeight="1" outlineLevel="3">
      <c r="B3441" s="70" t="s">
        <v>12054</v>
      </c>
      <c r="C3441" s="70"/>
      <c r="D3441" s="70"/>
      <c r="E3441" s="70"/>
      <c r="F3441" s="70"/>
      <c r="G3441" s="70"/>
    </row>
    <row r="3442" spans="2:31" ht="12" customHeight="1" outlineLevel="4">
      <c r="B3442" s="70" t="s">
        <v>12055</v>
      </c>
      <c r="C3442" s="70"/>
      <c r="D3442" s="70"/>
      <c r="E3442" s="70"/>
      <c r="F3442" s="70"/>
      <c r="G3442" s="70"/>
    </row>
    <row r="3443" spans="2:31" s="1" customFormat="1" ht="96.3" customHeight="1" outlineLevel="5">
      <c r="B3443" s="59">
        <v>2688</v>
      </c>
      <c r="C3443" s="35" t="s">
        <v>12056</v>
      </c>
      <c r="D3443" s="73" t="s">
        <v>12057</v>
      </c>
      <c r="E3443" s="73"/>
      <c r="F3443" s="73"/>
      <c r="G3443" s="73"/>
      <c r="H3443" s="36" t="s">
        <v>12058</v>
      </c>
      <c r="I3443" s="40">
        <v>44</v>
      </c>
      <c r="J3443" s="36"/>
      <c r="K3443" s="34">
        <v>1</v>
      </c>
      <c r="L3443" s="41">
        <v>824.6</v>
      </c>
      <c r="M3443" s="11"/>
      <c r="N3443" s="36">
        <f t="shared" ref="N3443:N3458" si="167">L3443*M3443</f>
        <v>0</v>
      </c>
      <c r="O3443" s="61">
        <f>0.6*M3443</f>
        <v>0</v>
      </c>
      <c r="P3443" s="43">
        <f>0.00778*M3443</f>
        <v>0</v>
      </c>
      <c r="Q3443" s="50"/>
      <c r="R3443" s="36" t="s">
        <v>12059</v>
      </c>
      <c r="S3443" s="36" t="s">
        <v>435</v>
      </c>
      <c r="T3443" s="35" t="str">
        <f>HYPERLINK("https://miland.ru/api/getInfo/image/d46cd902-e9af-11ed-a233-00155d82e902")</f>
        <v>https://miland.ru/api/getInfo/image/d46cd902-e9af-11ed-a233-00155d82e902</v>
      </c>
      <c r="U3443" s="35"/>
      <c r="V3443" s="35"/>
      <c r="W3443" s="35" t="s">
        <v>12060</v>
      </c>
      <c r="X3443" s="35"/>
      <c r="Y3443" s="35" t="s">
        <v>41</v>
      </c>
      <c r="Z3443" s="35"/>
      <c r="AA3443" s="35" t="str">
        <f>HYPERLINK("https://miland.ru/api/getInfo/item/d46cd902-e9af-11ed-a233-00155d82e902")</f>
        <v>https://miland.ru/api/getInfo/item/d46cd902-e9af-11ed-a233-00155d82e902</v>
      </c>
      <c r="AB3443" s="35" t="s">
        <v>42</v>
      </c>
      <c r="AC3443" s="35" t="s">
        <v>12061</v>
      </c>
      <c r="AD3443" s="35"/>
      <c r="AE3443" s="52" t="s">
        <v>1251</v>
      </c>
    </row>
    <row r="3444" spans="2:31" s="1" customFormat="1" ht="96.3" customHeight="1" outlineLevel="5">
      <c r="B3444" s="59">
        <v>2689</v>
      </c>
      <c r="C3444" s="35" t="s">
        <v>12062</v>
      </c>
      <c r="D3444" s="73" t="s">
        <v>12063</v>
      </c>
      <c r="E3444" s="73"/>
      <c r="F3444" s="73"/>
      <c r="G3444" s="73"/>
      <c r="H3444" s="36" t="s">
        <v>12064</v>
      </c>
      <c r="I3444" s="40">
        <v>64</v>
      </c>
      <c r="J3444" s="36"/>
      <c r="K3444" s="34">
        <v>1</v>
      </c>
      <c r="L3444" s="41">
        <v>566.90666666666664</v>
      </c>
      <c r="M3444" s="11"/>
      <c r="N3444" s="36">
        <f t="shared" si="167"/>
        <v>0</v>
      </c>
      <c r="O3444" s="42">
        <f>0.392*M3444</f>
        <v>0</v>
      </c>
      <c r="P3444" s="43">
        <f>0.00513*M3444</f>
        <v>0</v>
      </c>
      <c r="Q3444" s="50"/>
      <c r="R3444" s="36" t="s">
        <v>12065</v>
      </c>
      <c r="S3444" s="36" t="s">
        <v>435</v>
      </c>
      <c r="T3444" s="35" t="str">
        <f>HYPERLINK("https://miland.ru/api/getInfo/image/87424601-e9b0-11ed-a233-00155d82e902")</f>
        <v>https://miland.ru/api/getInfo/image/87424601-e9b0-11ed-a233-00155d82e902</v>
      </c>
      <c r="U3444" s="35"/>
      <c r="V3444" s="35"/>
      <c r="W3444" s="35" t="s">
        <v>12060</v>
      </c>
      <c r="X3444" s="35"/>
      <c r="Y3444" s="35" t="s">
        <v>41</v>
      </c>
      <c r="Z3444" s="35"/>
      <c r="AA3444" s="35" t="str">
        <f>HYPERLINK("https://miland.ru/api/getInfo/item/87424601-e9b0-11ed-a233-00155d82e902")</f>
        <v>https://miland.ru/api/getInfo/item/87424601-e9b0-11ed-a233-00155d82e902</v>
      </c>
      <c r="AB3444" s="35" t="s">
        <v>42</v>
      </c>
      <c r="AC3444" s="35" t="s">
        <v>12061</v>
      </c>
      <c r="AD3444" s="35"/>
      <c r="AE3444" s="52" t="s">
        <v>1251</v>
      </c>
    </row>
    <row r="3445" spans="2:31" s="1" customFormat="1" ht="96.3" customHeight="1" outlineLevel="5">
      <c r="B3445" s="59">
        <v>2690</v>
      </c>
      <c r="C3445" s="35" t="s">
        <v>12066</v>
      </c>
      <c r="D3445" s="73" t="s">
        <v>12067</v>
      </c>
      <c r="E3445" s="73"/>
      <c r="F3445" s="73"/>
      <c r="G3445" s="73"/>
      <c r="H3445" s="36" t="s">
        <v>12068</v>
      </c>
      <c r="I3445" s="40">
        <v>134</v>
      </c>
      <c r="J3445" s="36"/>
      <c r="K3445" s="34">
        <v>1</v>
      </c>
      <c r="L3445" s="41">
        <v>747.29333333333341</v>
      </c>
      <c r="M3445" s="11"/>
      <c r="N3445" s="36">
        <f t="shared" si="167"/>
        <v>0</v>
      </c>
      <c r="O3445" s="61">
        <f>0.5*M3445</f>
        <v>0</v>
      </c>
      <c r="P3445" s="43">
        <f>0.00481*M3445</f>
        <v>0</v>
      </c>
      <c r="Q3445" s="50"/>
      <c r="R3445" s="36" t="s">
        <v>12069</v>
      </c>
      <c r="S3445" s="36" t="s">
        <v>435</v>
      </c>
      <c r="T3445" s="35" t="str">
        <f>HYPERLINK("https://miland.ru/api/getInfo/image/e31d5acc-e9b2-11ed-a233-00155d82e902")</f>
        <v>https://miland.ru/api/getInfo/image/e31d5acc-e9b2-11ed-a233-00155d82e902</v>
      </c>
      <c r="U3445" s="35"/>
      <c r="V3445" s="35"/>
      <c r="W3445" s="35" t="s">
        <v>12060</v>
      </c>
      <c r="X3445" s="35"/>
      <c r="Y3445" s="35" t="s">
        <v>41</v>
      </c>
      <c r="Z3445" s="35"/>
      <c r="AA3445" s="35" t="str">
        <f>HYPERLINK("https://miland.ru/api/getInfo/item/e31d5acc-e9b2-11ed-a233-00155d82e902")</f>
        <v>https://miland.ru/api/getInfo/item/e31d5acc-e9b2-11ed-a233-00155d82e902</v>
      </c>
      <c r="AB3445" s="35" t="s">
        <v>42</v>
      </c>
      <c r="AC3445" s="35" t="s">
        <v>12061</v>
      </c>
      <c r="AD3445" s="35"/>
      <c r="AE3445" s="52" t="s">
        <v>1251</v>
      </c>
    </row>
    <row r="3446" spans="2:31" s="1" customFormat="1" ht="96.3" customHeight="1" outlineLevel="5">
      <c r="B3446" s="57">
        <v>2691</v>
      </c>
      <c r="C3446" s="21" t="s">
        <v>12070</v>
      </c>
      <c r="D3446" s="72" t="s">
        <v>12071</v>
      </c>
      <c r="E3446" s="72"/>
      <c r="F3446" s="72"/>
      <c r="G3446" s="72"/>
      <c r="H3446" s="22" t="s">
        <v>12072</v>
      </c>
      <c r="I3446" s="27">
        <v>5</v>
      </c>
      <c r="J3446" s="22"/>
      <c r="K3446" s="20">
        <v>1</v>
      </c>
      <c r="L3446" s="32">
        <v>1051.6500000000001</v>
      </c>
      <c r="M3446" s="11"/>
      <c r="N3446" s="22">
        <f t="shared" si="167"/>
        <v>0</v>
      </c>
      <c r="O3446" s="25">
        <f>0.381*M3446</f>
        <v>0</v>
      </c>
      <c r="P3446" s="26">
        <f>0.00256*M3446</f>
        <v>0</v>
      </c>
      <c r="Q3446" s="30"/>
      <c r="R3446" s="22" t="s">
        <v>12073</v>
      </c>
      <c r="S3446" s="22" t="s">
        <v>435</v>
      </c>
      <c r="T3446" s="21" t="str">
        <f>HYPERLINK("https://miland.ru/api/getInfo/image/18ae5ca3-e9c2-11ed-a233-00155d82e902")</f>
        <v>https://miland.ru/api/getInfo/image/18ae5ca3-e9c2-11ed-a233-00155d82e902</v>
      </c>
      <c r="U3446" s="21"/>
      <c r="V3446" s="21"/>
      <c r="W3446" s="21" t="s">
        <v>12060</v>
      </c>
      <c r="X3446" s="21"/>
      <c r="Y3446" s="21" t="s">
        <v>41</v>
      </c>
      <c r="Z3446" s="21"/>
      <c r="AA3446" s="21" t="str">
        <f>HYPERLINK("https://miland.ru/api/getInfo/item/18ae5ca3-e9c2-11ed-a233-00155d82e902")</f>
        <v>https://miland.ru/api/getInfo/item/18ae5ca3-e9c2-11ed-a233-00155d82e902</v>
      </c>
      <c r="AB3446" s="21" t="s">
        <v>42</v>
      </c>
      <c r="AC3446" s="21" t="s">
        <v>12074</v>
      </c>
      <c r="AD3446" s="21"/>
    </row>
    <row r="3447" spans="2:31" s="1" customFormat="1" ht="96.3" customHeight="1" outlineLevel="5">
      <c r="B3447" s="57">
        <v>2692</v>
      </c>
      <c r="C3447" s="21" t="s">
        <v>12075</v>
      </c>
      <c r="D3447" s="72" t="s">
        <v>12076</v>
      </c>
      <c r="E3447" s="72"/>
      <c r="F3447" s="72"/>
      <c r="G3447" s="72"/>
      <c r="H3447" s="22" t="s">
        <v>12077</v>
      </c>
      <c r="I3447" s="27">
        <v>33</v>
      </c>
      <c r="J3447" s="22"/>
      <c r="K3447" s="20">
        <v>1</v>
      </c>
      <c r="L3447" s="32">
        <v>1051.6500000000001</v>
      </c>
      <c r="M3447" s="11"/>
      <c r="N3447" s="22">
        <f t="shared" si="167"/>
        <v>0</v>
      </c>
      <c r="O3447" s="25">
        <f>0.406*M3447</f>
        <v>0</v>
      </c>
      <c r="P3447" s="26">
        <f>0.00297*M3447</f>
        <v>0</v>
      </c>
      <c r="Q3447" s="30"/>
      <c r="R3447" s="22" t="s">
        <v>12078</v>
      </c>
      <c r="S3447" s="22" t="s">
        <v>435</v>
      </c>
      <c r="T3447" s="21" t="str">
        <f>HYPERLINK("https://miland.ru/api/getInfo/image/2c5b64e8-e9c1-11ed-a233-00155d82e902")</f>
        <v>https://miland.ru/api/getInfo/image/2c5b64e8-e9c1-11ed-a233-00155d82e902</v>
      </c>
      <c r="U3447" s="21"/>
      <c r="V3447" s="21"/>
      <c r="W3447" s="21" t="s">
        <v>12060</v>
      </c>
      <c r="X3447" s="21"/>
      <c r="Y3447" s="21" t="s">
        <v>41</v>
      </c>
      <c r="Z3447" s="21"/>
      <c r="AA3447" s="21" t="str">
        <f>HYPERLINK("https://miland.ru/api/getInfo/item/2c5b64e8-e9c1-11ed-a233-00155d82e902")</f>
        <v>https://miland.ru/api/getInfo/item/2c5b64e8-e9c1-11ed-a233-00155d82e902</v>
      </c>
      <c r="AB3447" s="21" t="s">
        <v>42</v>
      </c>
      <c r="AC3447" s="21" t="s">
        <v>12074</v>
      </c>
      <c r="AD3447" s="21"/>
    </row>
    <row r="3448" spans="2:31" s="1" customFormat="1" ht="96.3" customHeight="1" outlineLevel="5">
      <c r="B3448" s="57">
        <v>2693</v>
      </c>
      <c r="C3448" s="21" t="s">
        <v>12079</v>
      </c>
      <c r="D3448" s="72" t="s">
        <v>12080</v>
      </c>
      <c r="E3448" s="72"/>
      <c r="F3448" s="72"/>
      <c r="G3448" s="72"/>
      <c r="H3448" s="22" t="s">
        <v>12081</v>
      </c>
      <c r="I3448" s="27">
        <v>14</v>
      </c>
      <c r="J3448" s="22"/>
      <c r="K3448" s="20">
        <v>1</v>
      </c>
      <c r="L3448" s="24">
        <v>901.42</v>
      </c>
      <c r="M3448" s="11"/>
      <c r="N3448" s="22">
        <f t="shared" si="167"/>
        <v>0</v>
      </c>
      <c r="O3448" s="25">
        <f>0.276*M3448</f>
        <v>0</v>
      </c>
      <c r="P3448" s="26">
        <f>0.00199*M3448</f>
        <v>0</v>
      </c>
      <c r="Q3448" s="30"/>
      <c r="R3448" s="22" t="s">
        <v>12082</v>
      </c>
      <c r="S3448" s="22" t="s">
        <v>435</v>
      </c>
      <c r="T3448" s="21" t="str">
        <f>HYPERLINK("https://miland.ru/api/getInfo/image/b2a2cb72-e9c1-11ed-a233-00155d82e902")</f>
        <v>https://miland.ru/api/getInfo/image/b2a2cb72-e9c1-11ed-a233-00155d82e902</v>
      </c>
      <c r="U3448" s="21"/>
      <c r="V3448" s="21"/>
      <c r="W3448" s="21" t="s">
        <v>12060</v>
      </c>
      <c r="X3448" s="21"/>
      <c r="Y3448" s="21" t="s">
        <v>41</v>
      </c>
      <c r="Z3448" s="21"/>
      <c r="AA3448" s="21" t="str">
        <f>HYPERLINK("https://miland.ru/api/getInfo/item/b2a2cb72-e9c1-11ed-a233-00155d82e902")</f>
        <v>https://miland.ru/api/getInfo/item/b2a2cb72-e9c1-11ed-a233-00155d82e902</v>
      </c>
      <c r="AB3448" s="21" t="s">
        <v>42</v>
      </c>
      <c r="AC3448" s="21" t="s">
        <v>12083</v>
      </c>
      <c r="AD3448" s="21"/>
    </row>
    <row r="3449" spans="2:31" s="1" customFormat="1" ht="96.3" customHeight="1" outlineLevel="5">
      <c r="B3449" s="57">
        <v>2694</v>
      </c>
      <c r="C3449" s="21" t="s">
        <v>12084</v>
      </c>
      <c r="D3449" s="72" t="s">
        <v>12085</v>
      </c>
      <c r="E3449" s="72"/>
      <c r="F3449" s="72"/>
      <c r="G3449" s="72"/>
      <c r="H3449" s="22" t="s">
        <v>12086</v>
      </c>
      <c r="I3449" s="27">
        <v>5</v>
      </c>
      <c r="J3449" s="22"/>
      <c r="K3449" s="20">
        <v>1</v>
      </c>
      <c r="L3449" s="32">
        <v>1051.6500000000001</v>
      </c>
      <c r="M3449" s="11"/>
      <c r="N3449" s="22">
        <f t="shared" si="167"/>
        <v>0</v>
      </c>
      <c r="O3449" s="25">
        <f>0.409*M3449</f>
        <v>0</v>
      </c>
      <c r="P3449" s="26">
        <f>0.00284*M3449</f>
        <v>0</v>
      </c>
      <c r="Q3449" s="30"/>
      <c r="R3449" s="22" t="s">
        <v>12087</v>
      </c>
      <c r="S3449" s="22" t="s">
        <v>435</v>
      </c>
      <c r="T3449" s="21" t="str">
        <f>HYPERLINK("https://miland.ru/api/getInfo/image/8824aa39-e9b9-11ed-a233-00155d82e902")</f>
        <v>https://miland.ru/api/getInfo/image/8824aa39-e9b9-11ed-a233-00155d82e902</v>
      </c>
      <c r="U3449" s="21"/>
      <c r="V3449" s="21"/>
      <c r="W3449" s="21" t="s">
        <v>12060</v>
      </c>
      <c r="X3449" s="21"/>
      <c r="Y3449" s="21" t="s">
        <v>41</v>
      </c>
      <c r="Z3449" s="21"/>
      <c r="AA3449" s="21" t="str">
        <f>HYPERLINK("https://miland.ru/api/getInfo/item/8824aa39-e9b9-11ed-a233-00155d82e902")</f>
        <v>https://miland.ru/api/getInfo/item/8824aa39-e9b9-11ed-a233-00155d82e902</v>
      </c>
      <c r="AB3449" s="21" t="s">
        <v>42</v>
      </c>
      <c r="AC3449" s="21" t="s">
        <v>12074</v>
      </c>
      <c r="AD3449" s="21"/>
    </row>
    <row r="3450" spans="2:31" s="1" customFormat="1" ht="96.3" customHeight="1" outlineLevel="5">
      <c r="B3450" s="57">
        <v>2695</v>
      </c>
      <c r="C3450" s="21" t="s">
        <v>12088</v>
      </c>
      <c r="D3450" s="72" t="s">
        <v>12089</v>
      </c>
      <c r="E3450" s="72"/>
      <c r="F3450" s="72"/>
      <c r="G3450" s="72"/>
      <c r="H3450" s="22" t="s">
        <v>12090</v>
      </c>
      <c r="I3450" s="27">
        <v>11</v>
      </c>
      <c r="J3450" s="22"/>
      <c r="K3450" s="20">
        <v>1</v>
      </c>
      <c r="L3450" s="32">
        <v>1051.6500000000001</v>
      </c>
      <c r="M3450" s="11"/>
      <c r="N3450" s="22">
        <f t="shared" si="167"/>
        <v>0</v>
      </c>
      <c r="O3450" s="25">
        <f>0.429*M3450</f>
        <v>0</v>
      </c>
      <c r="P3450" s="26">
        <f>0.00263*M3450</f>
        <v>0</v>
      </c>
      <c r="Q3450" s="30"/>
      <c r="R3450" s="22" t="s">
        <v>12091</v>
      </c>
      <c r="S3450" s="22" t="s">
        <v>435</v>
      </c>
      <c r="T3450" s="21" t="str">
        <f>HYPERLINK("https://miland.ru/api/getInfo/image/5de1497b-e9bd-11ed-a233-00155d82e902")</f>
        <v>https://miland.ru/api/getInfo/image/5de1497b-e9bd-11ed-a233-00155d82e902</v>
      </c>
      <c r="U3450" s="21"/>
      <c r="V3450" s="21"/>
      <c r="W3450" s="21" t="s">
        <v>12060</v>
      </c>
      <c r="X3450" s="21"/>
      <c r="Y3450" s="21" t="s">
        <v>41</v>
      </c>
      <c r="Z3450" s="21"/>
      <c r="AA3450" s="21" t="str">
        <f>HYPERLINK("https://miland.ru/api/getInfo/item/5de1497b-e9bd-11ed-a233-00155d82e902")</f>
        <v>https://miland.ru/api/getInfo/item/5de1497b-e9bd-11ed-a233-00155d82e902</v>
      </c>
      <c r="AB3450" s="21" t="s">
        <v>42</v>
      </c>
      <c r="AC3450" s="21" t="s">
        <v>12074</v>
      </c>
      <c r="AD3450" s="21"/>
    </row>
    <row r="3451" spans="2:31" s="1" customFormat="1" ht="96.3" customHeight="1" outlineLevel="5">
      <c r="B3451" s="57">
        <v>2696</v>
      </c>
      <c r="C3451" s="21" t="s">
        <v>12092</v>
      </c>
      <c r="D3451" s="72" t="s">
        <v>12093</v>
      </c>
      <c r="E3451" s="72"/>
      <c r="F3451" s="72"/>
      <c r="G3451" s="72"/>
      <c r="H3451" s="22" t="s">
        <v>12094</v>
      </c>
      <c r="I3451" s="27">
        <v>5</v>
      </c>
      <c r="J3451" s="22"/>
      <c r="K3451" s="20">
        <v>1</v>
      </c>
      <c r="L3451" s="24">
        <v>901.42</v>
      </c>
      <c r="M3451" s="11"/>
      <c r="N3451" s="22">
        <f t="shared" si="167"/>
        <v>0</v>
      </c>
      <c r="O3451" s="25">
        <f>0.295*M3451</f>
        <v>0</v>
      </c>
      <c r="P3451" s="26">
        <f>0.00195*M3451</f>
        <v>0</v>
      </c>
      <c r="Q3451" s="30"/>
      <c r="R3451" s="22" t="s">
        <v>12095</v>
      </c>
      <c r="S3451" s="22" t="s">
        <v>435</v>
      </c>
      <c r="T3451" s="21" t="str">
        <f>HYPERLINK("https://miland.ru/api/getInfo/image/d304b53f-e9ba-11ed-a233-00155d82e902")</f>
        <v>https://miland.ru/api/getInfo/image/d304b53f-e9ba-11ed-a233-00155d82e902</v>
      </c>
      <c r="U3451" s="21"/>
      <c r="V3451" s="21"/>
      <c r="W3451" s="21" t="s">
        <v>12060</v>
      </c>
      <c r="X3451" s="21"/>
      <c r="Y3451" s="21" t="s">
        <v>41</v>
      </c>
      <c r="Z3451" s="21"/>
      <c r="AA3451" s="21" t="str">
        <f>HYPERLINK("https://miland.ru/api/getInfo/item/d304b53f-e9ba-11ed-a233-00155d82e902")</f>
        <v>https://miland.ru/api/getInfo/item/d304b53f-e9ba-11ed-a233-00155d82e902</v>
      </c>
      <c r="AB3451" s="21" t="s">
        <v>42</v>
      </c>
      <c r="AC3451" s="21" t="s">
        <v>12083</v>
      </c>
      <c r="AD3451" s="21"/>
    </row>
    <row r="3452" spans="2:31" s="1" customFormat="1" ht="96.3" customHeight="1" outlineLevel="5">
      <c r="B3452" s="57">
        <v>2697</v>
      </c>
      <c r="C3452" s="21" t="s">
        <v>12096</v>
      </c>
      <c r="D3452" s="72" t="s">
        <v>12097</v>
      </c>
      <c r="E3452" s="72"/>
      <c r="F3452" s="72"/>
      <c r="G3452" s="72"/>
      <c r="H3452" s="22" t="s">
        <v>12098</v>
      </c>
      <c r="I3452" s="27">
        <v>6</v>
      </c>
      <c r="J3452" s="22"/>
      <c r="K3452" s="20">
        <v>1</v>
      </c>
      <c r="L3452" s="24">
        <v>701.1</v>
      </c>
      <c r="M3452" s="11"/>
      <c r="N3452" s="22">
        <f t="shared" si="167"/>
        <v>0</v>
      </c>
      <c r="O3452" s="25">
        <f>0.224*M3452</f>
        <v>0</v>
      </c>
      <c r="P3452" s="26">
        <f>0.00157*M3452</f>
        <v>0</v>
      </c>
      <c r="Q3452" s="30"/>
      <c r="R3452" s="22" t="s">
        <v>12099</v>
      </c>
      <c r="S3452" s="22" t="s">
        <v>435</v>
      </c>
      <c r="T3452" s="21" t="str">
        <f>HYPERLINK("https://miland.ru/api/getInfo/image/eb2015d3-e9bd-11ed-a233-00155d82e902")</f>
        <v>https://miland.ru/api/getInfo/image/eb2015d3-e9bd-11ed-a233-00155d82e902</v>
      </c>
      <c r="U3452" s="21"/>
      <c r="V3452" s="21"/>
      <c r="W3452" s="21" t="s">
        <v>12060</v>
      </c>
      <c r="X3452" s="21"/>
      <c r="Y3452" s="21" t="s">
        <v>41</v>
      </c>
      <c r="Z3452" s="21"/>
      <c r="AA3452" s="21" t="str">
        <f>HYPERLINK("https://miland.ru/api/getInfo/item/eb2015d3-e9bd-11ed-a233-00155d82e902")</f>
        <v>https://miland.ru/api/getInfo/item/eb2015d3-e9bd-11ed-a233-00155d82e902</v>
      </c>
      <c r="AB3452" s="21" t="s">
        <v>42</v>
      </c>
      <c r="AC3452" s="21" t="s">
        <v>12100</v>
      </c>
      <c r="AD3452" s="21"/>
    </row>
    <row r="3453" spans="2:31" s="1" customFormat="1" ht="96.3" customHeight="1" outlineLevel="5">
      <c r="B3453" s="57">
        <v>2698</v>
      </c>
      <c r="C3453" s="21" t="s">
        <v>12101</v>
      </c>
      <c r="D3453" s="72" t="s">
        <v>12102</v>
      </c>
      <c r="E3453" s="72"/>
      <c r="F3453" s="72"/>
      <c r="G3453" s="72"/>
      <c r="H3453" s="22" t="s">
        <v>12103</v>
      </c>
      <c r="I3453" s="27">
        <v>6</v>
      </c>
      <c r="J3453" s="22"/>
      <c r="K3453" s="20">
        <v>1</v>
      </c>
      <c r="L3453" s="24">
        <v>701.1</v>
      </c>
      <c r="M3453" s="11"/>
      <c r="N3453" s="22">
        <f t="shared" si="167"/>
        <v>0</v>
      </c>
      <c r="O3453" s="28">
        <f>0.23*M3453</f>
        <v>0</v>
      </c>
      <c r="P3453" s="26">
        <f>0.00169*M3453</f>
        <v>0</v>
      </c>
      <c r="Q3453" s="30"/>
      <c r="R3453" s="22" t="s">
        <v>12104</v>
      </c>
      <c r="S3453" s="22" t="s">
        <v>435</v>
      </c>
      <c r="T3453" s="21" t="str">
        <f>HYPERLINK("https://miland.ru/api/getInfo/image/1ea334ad-e9bc-11ed-a233-00155d82e902")</f>
        <v>https://miland.ru/api/getInfo/image/1ea334ad-e9bc-11ed-a233-00155d82e902</v>
      </c>
      <c r="U3453" s="21"/>
      <c r="V3453" s="21"/>
      <c r="W3453" s="21" t="s">
        <v>12060</v>
      </c>
      <c r="X3453" s="21"/>
      <c r="Y3453" s="21" t="s">
        <v>41</v>
      </c>
      <c r="Z3453" s="21"/>
      <c r="AA3453" s="21" t="str">
        <f>HYPERLINK("https://miland.ru/api/getInfo/item/1ea334ad-e9bc-11ed-a233-00155d82e902")</f>
        <v>https://miland.ru/api/getInfo/item/1ea334ad-e9bc-11ed-a233-00155d82e902</v>
      </c>
      <c r="AB3453" s="21" t="s">
        <v>42</v>
      </c>
      <c r="AC3453" s="21" t="s">
        <v>12100</v>
      </c>
      <c r="AD3453" s="21"/>
    </row>
    <row r="3454" spans="2:31" s="1" customFormat="1" ht="96.3" customHeight="1" outlineLevel="5">
      <c r="B3454" s="59">
        <v>2699</v>
      </c>
      <c r="C3454" s="35" t="s">
        <v>12105</v>
      </c>
      <c r="D3454" s="73" t="s">
        <v>12106</v>
      </c>
      <c r="E3454" s="73"/>
      <c r="F3454" s="73"/>
      <c r="G3454" s="73"/>
      <c r="H3454" s="36" t="s">
        <v>12107</v>
      </c>
      <c r="I3454" s="40">
        <v>203</v>
      </c>
      <c r="J3454" s="36"/>
      <c r="K3454" s="34">
        <v>1</v>
      </c>
      <c r="L3454" s="41">
        <v>695.7600000000001</v>
      </c>
      <c r="M3454" s="11"/>
      <c r="N3454" s="36">
        <f t="shared" si="167"/>
        <v>0</v>
      </c>
      <c r="O3454" s="42">
        <f>0.416*M3454</f>
        <v>0</v>
      </c>
      <c r="P3454" s="43">
        <f>0.00493*M3454</f>
        <v>0</v>
      </c>
      <c r="Q3454" s="50"/>
      <c r="R3454" s="36" t="s">
        <v>12108</v>
      </c>
      <c r="S3454" s="36" t="s">
        <v>435</v>
      </c>
      <c r="T3454" s="35" t="str">
        <f>HYPERLINK("https://miland.ru/api/getInfo/image/37aa1f3b-e9af-11ed-a233-00155d82e902")</f>
        <v>https://miland.ru/api/getInfo/image/37aa1f3b-e9af-11ed-a233-00155d82e902</v>
      </c>
      <c r="U3454" s="35"/>
      <c r="V3454" s="35"/>
      <c r="W3454" s="35" t="s">
        <v>12060</v>
      </c>
      <c r="X3454" s="35"/>
      <c r="Y3454" s="35" t="s">
        <v>41</v>
      </c>
      <c r="Z3454" s="35"/>
      <c r="AA3454" s="35" t="str">
        <f>HYPERLINK("https://miland.ru/api/getInfo/item/37aa1f3b-e9af-11ed-a233-00155d82e902")</f>
        <v>https://miland.ru/api/getInfo/item/37aa1f3b-e9af-11ed-a233-00155d82e902</v>
      </c>
      <c r="AB3454" s="35" t="s">
        <v>42</v>
      </c>
      <c r="AC3454" s="35" t="s">
        <v>12061</v>
      </c>
      <c r="AD3454" s="35"/>
      <c r="AE3454" s="52" t="s">
        <v>1251</v>
      </c>
    </row>
    <row r="3455" spans="2:31" s="1" customFormat="1" ht="96.3" customHeight="1" outlineLevel="5">
      <c r="B3455" s="57">
        <v>2700</v>
      </c>
      <c r="C3455" s="21" t="s">
        <v>12109</v>
      </c>
      <c r="D3455" s="72" t="s">
        <v>12110</v>
      </c>
      <c r="E3455" s="72"/>
      <c r="F3455" s="72"/>
      <c r="G3455" s="72"/>
      <c r="H3455" s="22" t="s">
        <v>12111</v>
      </c>
      <c r="I3455" s="27">
        <v>5</v>
      </c>
      <c r="J3455" s="22"/>
      <c r="K3455" s="20">
        <v>1</v>
      </c>
      <c r="L3455" s="32">
        <v>1051.6500000000001</v>
      </c>
      <c r="M3455" s="11"/>
      <c r="N3455" s="22">
        <f t="shared" si="167"/>
        <v>0</v>
      </c>
      <c r="O3455" s="25">
        <f>0.298*M3455</f>
        <v>0</v>
      </c>
      <c r="P3455" s="26">
        <f>0.00216*M3455</f>
        <v>0</v>
      </c>
      <c r="Q3455" s="30"/>
      <c r="R3455" s="22" t="s">
        <v>12112</v>
      </c>
      <c r="S3455" s="22" t="s">
        <v>435</v>
      </c>
      <c r="T3455" s="21" t="str">
        <f>HYPERLINK("https://miland.ru/api/getInfo/image/57dd457b-e9c3-11ed-a233-00155d82e902")</f>
        <v>https://miland.ru/api/getInfo/image/57dd457b-e9c3-11ed-a233-00155d82e902</v>
      </c>
      <c r="U3455" s="21"/>
      <c r="V3455" s="21"/>
      <c r="W3455" s="21" t="s">
        <v>12060</v>
      </c>
      <c r="X3455" s="21"/>
      <c r="Y3455" s="21" t="s">
        <v>41</v>
      </c>
      <c r="Z3455" s="21"/>
      <c r="AA3455" s="21" t="str">
        <f>HYPERLINK("https://miland.ru/api/getInfo/item/57dd457b-e9c3-11ed-a233-00155d82e902")</f>
        <v>https://miland.ru/api/getInfo/item/57dd457b-e9c3-11ed-a233-00155d82e902</v>
      </c>
      <c r="AB3455" s="21" t="s">
        <v>42</v>
      </c>
      <c r="AC3455" s="21" t="s">
        <v>12083</v>
      </c>
      <c r="AD3455" s="21"/>
    </row>
    <row r="3456" spans="2:31" s="1" customFormat="1" ht="96.3" customHeight="1" outlineLevel="5">
      <c r="B3456" s="59">
        <v>2701</v>
      </c>
      <c r="C3456" s="35" t="s">
        <v>12113</v>
      </c>
      <c r="D3456" s="73" t="s">
        <v>12114</v>
      </c>
      <c r="E3456" s="73"/>
      <c r="F3456" s="73"/>
      <c r="G3456" s="73"/>
      <c r="H3456" s="36" t="s">
        <v>12115</v>
      </c>
      <c r="I3456" s="40">
        <v>142</v>
      </c>
      <c r="J3456" s="36"/>
      <c r="K3456" s="34">
        <v>1</v>
      </c>
      <c r="L3456" s="41">
        <v>1004.9866666666667</v>
      </c>
      <c r="M3456" s="11"/>
      <c r="N3456" s="36">
        <f t="shared" si="167"/>
        <v>0</v>
      </c>
      <c r="O3456" s="42">
        <f>0.556*M3456</f>
        <v>0</v>
      </c>
      <c r="P3456" s="43">
        <f>0.00519*M3456</f>
        <v>0</v>
      </c>
      <c r="Q3456" s="50"/>
      <c r="R3456" s="36" t="s">
        <v>12116</v>
      </c>
      <c r="S3456" s="36" t="s">
        <v>435</v>
      </c>
      <c r="T3456" s="35" t="str">
        <f>HYPERLINK("https://miland.ru/api/getInfo/image/8a968400-e9b1-11ed-a233-00155d82e902")</f>
        <v>https://miland.ru/api/getInfo/image/8a968400-e9b1-11ed-a233-00155d82e902</v>
      </c>
      <c r="U3456" s="35"/>
      <c r="V3456" s="35"/>
      <c r="W3456" s="35" t="s">
        <v>12060</v>
      </c>
      <c r="X3456" s="35"/>
      <c r="Y3456" s="35" t="s">
        <v>41</v>
      </c>
      <c r="Z3456" s="35"/>
      <c r="AA3456" s="35" t="str">
        <f>HYPERLINK("https://miland.ru/api/getInfo/item/8a968400-e9b1-11ed-a233-00155d82e902")</f>
        <v>https://miland.ru/api/getInfo/item/8a968400-e9b1-11ed-a233-00155d82e902</v>
      </c>
      <c r="AB3456" s="35" t="s">
        <v>42</v>
      </c>
      <c r="AC3456" s="35" t="s">
        <v>12061</v>
      </c>
      <c r="AD3456" s="35"/>
      <c r="AE3456" s="52" t="s">
        <v>1251</v>
      </c>
    </row>
    <row r="3457" spans="2:31" s="1" customFormat="1" ht="96.3" customHeight="1" outlineLevel="5">
      <c r="B3457" s="57">
        <v>2702</v>
      </c>
      <c r="C3457" s="21" t="s">
        <v>12117</v>
      </c>
      <c r="D3457" s="72" t="s">
        <v>12118</v>
      </c>
      <c r="E3457" s="72"/>
      <c r="F3457" s="72"/>
      <c r="G3457" s="72"/>
      <c r="H3457" s="22" t="s">
        <v>12119</v>
      </c>
      <c r="I3457" s="27">
        <v>24</v>
      </c>
      <c r="J3457" s="22"/>
      <c r="K3457" s="20">
        <v>1</v>
      </c>
      <c r="L3457" s="32">
        <v>1051.6500000000001</v>
      </c>
      <c r="M3457" s="11"/>
      <c r="N3457" s="22">
        <f t="shared" si="167"/>
        <v>0</v>
      </c>
      <c r="O3457" s="25">
        <f>0.294*M3457</f>
        <v>0</v>
      </c>
      <c r="P3457" s="26">
        <f>0.00191*M3457</f>
        <v>0</v>
      </c>
      <c r="Q3457" s="30"/>
      <c r="R3457" s="22" t="s">
        <v>12120</v>
      </c>
      <c r="S3457" s="22" t="s">
        <v>435</v>
      </c>
      <c r="T3457" s="21" t="str">
        <f>HYPERLINK("https://miland.ru/api/getInfo/image/8518836b-e9c2-11ed-a233-00155d82e902")</f>
        <v>https://miland.ru/api/getInfo/image/8518836b-e9c2-11ed-a233-00155d82e902</v>
      </c>
      <c r="U3457" s="21"/>
      <c r="V3457" s="21"/>
      <c r="W3457" s="21" t="s">
        <v>12060</v>
      </c>
      <c r="X3457" s="21"/>
      <c r="Y3457" s="21" t="s">
        <v>41</v>
      </c>
      <c r="Z3457" s="21"/>
      <c r="AA3457" s="21" t="str">
        <f>HYPERLINK("https://miland.ru/api/getInfo/item/8518836b-e9c2-11ed-a233-00155d82e902")</f>
        <v>https://miland.ru/api/getInfo/item/8518836b-e9c2-11ed-a233-00155d82e902</v>
      </c>
      <c r="AB3457" s="21" t="s">
        <v>42</v>
      </c>
      <c r="AC3457" s="21" t="s">
        <v>12083</v>
      </c>
      <c r="AD3457" s="21"/>
    </row>
    <row r="3458" spans="2:31" s="1" customFormat="1" ht="96.3" customHeight="1" outlineLevel="5">
      <c r="B3458" s="57">
        <v>2703</v>
      </c>
      <c r="C3458" s="21" t="s">
        <v>12121</v>
      </c>
      <c r="D3458" s="72" t="s">
        <v>12122</v>
      </c>
      <c r="E3458" s="72"/>
      <c r="F3458" s="72"/>
      <c r="G3458" s="72"/>
      <c r="H3458" s="22" t="s">
        <v>12123</v>
      </c>
      <c r="I3458" s="27">
        <v>104</v>
      </c>
      <c r="J3458" s="22"/>
      <c r="K3458" s="20">
        <v>1</v>
      </c>
      <c r="L3458" s="32">
        <v>1051.6500000000001</v>
      </c>
      <c r="M3458" s="11"/>
      <c r="N3458" s="22">
        <f t="shared" si="167"/>
        <v>0</v>
      </c>
      <c r="O3458" s="25">
        <f>0.277*M3458</f>
        <v>0</v>
      </c>
      <c r="P3458" s="26">
        <f>0.00204*M3458</f>
        <v>0</v>
      </c>
      <c r="Q3458" s="30"/>
      <c r="R3458" s="22" t="s">
        <v>12124</v>
      </c>
      <c r="S3458" s="22" t="s">
        <v>435</v>
      </c>
      <c r="T3458" s="21" t="str">
        <f>HYPERLINK("https://miland.ru/api/getInfo/image/eecab717-e9c2-11ed-a233-00155d82e902")</f>
        <v>https://miland.ru/api/getInfo/image/eecab717-e9c2-11ed-a233-00155d82e902</v>
      </c>
      <c r="U3458" s="21"/>
      <c r="V3458" s="21"/>
      <c r="W3458" s="21" t="s">
        <v>12060</v>
      </c>
      <c r="X3458" s="21"/>
      <c r="Y3458" s="21" t="s">
        <v>41</v>
      </c>
      <c r="Z3458" s="21"/>
      <c r="AA3458" s="21" t="str">
        <f>HYPERLINK("https://miland.ru/api/getInfo/item/eecab717-e9c2-11ed-a233-00155d82e902")</f>
        <v>https://miland.ru/api/getInfo/item/eecab717-e9c2-11ed-a233-00155d82e902</v>
      </c>
      <c r="AB3458" s="21" t="s">
        <v>42</v>
      </c>
      <c r="AC3458" s="21" t="s">
        <v>12083</v>
      </c>
      <c r="AD3458" s="21"/>
    </row>
    <row r="3459" spans="2:31" ht="12" customHeight="1" outlineLevel="4">
      <c r="B3459" s="70" t="s">
        <v>12125</v>
      </c>
      <c r="C3459" s="70"/>
      <c r="D3459" s="70"/>
      <c r="E3459" s="70"/>
      <c r="F3459" s="70"/>
      <c r="G3459" s="70"/>
    </row>
    <row r="3460" spans="2:31" s="1" customFormat="1" ht="96.3" customHeight="1" outlineLevel="5">
      <c r="B3460" s="59">
        <v>2704</v>
      </c>
      <c r="C3460" s="35" t="s">
        <v>12126</v>
      </c>
      <c r="D3460" s="73" t="s">
        <v>12127</v>
      </c>
      <c r="E3460" s="73"/>
      <c r="F3460" s="73"/>
      <c r="G3460" s="73"/>
      <c r="H3460" s="36" t="s">
        <v>12128</v>
      </c>
      <c r="I3460" s="40">
        <v>285</v>
      </c>
      <c r="J3460" s="36"/>
      <c r="K3460" s="34">
        <v>1</v>
      </c>
      <c r="L3460" s="41">
        <v>1090.8</v>
      </c>
      <c r="M3460" s="11"/>
      <c r="N3460" s="36">
        <f>L3460*M3460</f>
        <v>0</v>
      </c>
      <c r="O3460" s="42">
        <f>0.255*M3460</f>
        <v>0</v>
      </c>
      <c r="P3460" s="55">
        <f>0.0014*M3460</f>
        <v>0</v>
      </c>
      <c r="Q3460" s="50"/>
      <c r="R3460" s="36" t="s">
        <v>12129</v>
      </c>
      <c r="S3460" s="36" t="s">
        <v>435</v>
      </c>
      <c r="T3460" s="35" t="str">
        <f>HYPERLINK("https://miland.ru/api/getInfo/image/d7288191-7d6a-11ee-a248-00155d82e902")</f>
        <v>https://miland.ru/api/getInfo/image/d7288191-7d6a-11ee-a248-00155d82e902</v>
      </c>
      <c r="U3460" s="35"/>
      <c r="V3460" s="35"/>
      <c r="W3460" s="35"/>
      <c r="X3460" s="35"/>
      <c r="Y3460" s="35" t="s">
        <v>41</v>
      </c>
      <c r="Z3460" s="35"/>
      <c r="AA3460" s="35" t="str">
        <f>HYPERLINK("https://miland.ru/api/getInfo/item/d7288191-7d6a-11ee-a248-00155d82e902")</f>
        <v>https://miland.ru/api/getInfo/item/d7288191-7d6a-11ee-a248-00155d82e902</v>
      </c>
      <c r="AB3460" s="35" t="s">
        <v>42</v>
      </c>
      <c r="AC3460" s="35" t="s">
        <v>12130</v>
      </c>
      <c r="AD3460" s="35"/>
      <c r="AE3460" s="52" t="s">
        <v>1251</v>
      </c>
    </row>
    <row r="3461" spans="2:31" s="1" customFormat="1" ht="96.3" customHeight="1" outlineLevel="5">
      <c r="B3461" s="59">
        <v>2705</v>
      </c>
      <c r="C3461" s="35" t="s">
        <v>12131</v>
      </c>
      <c r="D3461" s="73" t="s">
        <v>12132</v>
      </c>
      <c r="E3461" s="73"/>
      <c r="F3461" s="73"/>
      <c r="G3461" s="73"/>
      <c r="H3461" s="36" t="s">
        <v>12133</v>
      </c>
      <c r="I3461" s="40">
        <v>34</v>
      </c>
      <c r="J3461" s="36"/>
      <c r="K3461" s="34">
        <v>1</v>
      </c>
      <c r="L3461" s="41">
        <v>727.19999999999993</v>
      </c>
      <c r="M3461" s="11"/>
      <c r="N3461" s="36">
        <f>L3461*M3461</f>
        <v>0</v>
      </c>
      <c r="O3461" s="42">
        <f>0.266*M3461</f>
        <v>0</v>
      </c>
      <c r="P3461" s="43">
        <f>0.00132*M3461</f>
        <v>0</v>
      </c>
      <c r="Q3461" s="50"/>
      <c r="R3461" s="36" t="s">
        <v>12134</v>
      </c>
      <c r="S3461" s="36" t="s">
        <v>435</v>
      </c>
      <c r="T3461" s="35" t="str">
        <f>HYPERLINK("https://miland.ru/api/getInfo/image/7ad80cbe-7d6c-11ee-a248-00155d82e902")</f>
        <v>https://miland.ru/api/getInfo/image/7ad80cbe-7d6c-11ee-a248-00155d82e902</v>
      </c>
      <c r="U3461" s="35"/>
      <c r="V3461" s="35"/>
      <c r="W3461" s="35"/>
      <c r="X3461" s="35"/>
      <c r="Y3461" s="35" t="s">
        <v>41</v>
      </c>
      <c r="Z3461" s="35"/>
      <c r="AA3461" s="35" t="str">
        <f>HYPERLINK("https://miland.ru/api/getInfo/item/7ad80cbe-7d6c-11ee-a248-00155d82e902")</f>
        <v>https://miland.ru/api/getInfo/item/7ad80cbe-7d6c-11ee-a248-00155d82e902</v>
      </c>
      <c r="AB3461" s="35" t="s">
        <v>42</v>
      </c>
      <c r="AC3461" s="35" t="s">
        <v>12135</v>
      </c>
      <c r="AD3461" s="35"/>
      <c r="AE3461" s="52" t="s">
        <v>1251</v>
      </c>
    </row>
    <row r="3462" spans="2:31" ht="12" customHeight="1" outlineLevel="4">
      <c r="B3462" s="70" t="s">
        <v>12136</v>
      </c>
      <c r="C3462" s="70"/>
      <c r="D3462" s="70"/>
      <c r="E3462" s="70"/>
      <c r="F3462" s="70"/>
      <c r="G3462" s="70"/>
    </row>
    <row r="3463" spans="2:31" s="1" customFormat="1" ht="96.3" customHeight="1" outlineLevel="5">
      <c r="B3463" s="57">
        <v>2706</v>
      </c>
      <c r="C3463" s="21" t="s">
        <v>12137</v>
      </c>
      <c r="D3463" s="72" t="s">
        <v>12138</v>
      </c>
      <c r="E3463" s="72"/>
      <c r="F3463" s="72"/>
      <c r="G3463" s="72"/>
      <c r="H3463" s="22" t="s">
        <v>12139</v>
      </c>
      <c r="I3463" s="27">
        <v>5</v>
      </c>
      <c r="J3463" s="22"/>
      <c r="K3463" s="20">
        <v>1</v>
      </c>
      <c r="L3463" s="24">
        <v>669.68</v>
      </c>
      <c r="M3463" s="11"/>
      <c r="N3463" s="22">
        <f>L3463*M3463</f>
        <v>0</v>
      </c>
      <c r="O3463" s="25">
        <f>0.215*M3463</f>
        <v>0</v>
      </c>
      <c r="P3463" s="26">
        <f>0.00545*M3463</f>
        <v>0</v>
      </c>
      <c r="Q3463" s="30"/>
      <c r="R3463" s="22" t="s">
        <v>12140</v>
      </c>
      <c r="S3463" s="22"/>
      <c r="T3463" s="21" t="str">
        <f>HYPERLINK("https://miland.ru/api/getInfo/image/b581af8d-f725-11ee-a25d-00155d82e908")</f>
        <v>https://miland.ru/api/getInfo/image/b581af8d-f725-11ee-a25d-00155d82e908</v>
      </c>
      <c r="U3463" s="21"/>
      <c r="V3463" s="21"/>
      <c r="W3463" s="21" t="s">
        <v>12141</v>
      </c>
      <c r="X3463" s="21"/>
      <c r="Y3463" s="21" t="s">
        <v>41</v>
      </c>
      <c r="Z3463" s="21"/>
      <c r="AA3463" s="21" t="str">
        <f>HYPERLINK("https://miland.ru/api/getInfo/item/b581af8d-f725-11ee-a25d-00155d82e908")</f>
        <v>https://miland.ru/api/getInfo/item/b581af8d-f725-11ee-a25d-00155d82e908</v>
      </c>
      <c r="AB3463" s="21" t="s">
        <v>42</v>
      </c>
      <c r="AC3463" s="21" t="s">
        <v>12142</v>
      </c>
      <c r="AD3463" s="21"/>
    </row>
    <row r="3464" spans="2:31" s="1" customFormat="1" ht="96.3" customHeight="1" outlineLevel="5">
      <c r="B3464" s="57">
        <v>2707</v>
      </c>
      <c r="C3464" s="21" t="s">
        <v>12143</v>
      </c>
      <c r="D3464" s="72" t="s">
        <v>12144</v>
      </c>
      <c r="E3464" s="72"/>
      <c r="F3464" s="72"/>
      <c r="G3464" s="72"/>
      <c r="H3464" s="22" t="s">
        <v>12145</v>
      </c>
      <c r="I3464" s="27">
        <v>45</v>
      </c>
      <c r="J3464" s="22"/>
      <c r="K3464" s="20">
        <v>1</v>
      </c>
      <c r="L3464" s="24">
        <v>669.68</v>
      </c>
      <c r="M3464" s="11"/>
      <c r="N3464" s="22">
        <f>L3464*M3464</f>
        <v>0</v>
      </c>
      <c r="O3464" s="25">
        <f>0.278*M3464</f>
        <v>0</v>
      </c>
      <c r="P3464" s="26">
        <f>0.00308*M3464</f>
        <v>0</v>
      </c>
      <c r="Q3464" s="30"/>
      <c r="R3464" s="22" t="s">
        <v>12146</v>
      </c>
      <c r="S3464" s="22"/>
      <c r="T3464" s="21" t="str">
        <f>HYPERLINK("https://miland.ru/api/getInfo/image/baf77c98-f723-11ee-a25d-00155d82e908")</f>
        <v>https://miland.ru/api/getInfo/image/baf77c98-f723-11ee-a25d-00155d82e908</v>
      </c>
      <c r="U3464" s="21"/>
      <c r="V3464" s="21"/>
      <c r="W3464" s="21" t="s">
        <v>12141</v>
      </c>
      <c r="X3464" s="21"/>
      <c r="Y3464" s="21" t="s">
        <v>41</v>
      </c>
      <c r="Z3464" s="21"/>
      <c r="AA3464" s="21" t="str">
        <f>HYPERLINK("https://miland.ru/api/getInfo/item/baf77c98-f723-11ee-a25d-00155d82e908")</f>
        <v>https://miland.ru/api/getInfo/item/baf77c98-f723-11ee-a25d-00155d82e908</v>
      </c>
      <c r="AB3464" s="21" t="s">
        <v>42</v>
      </c>
      <c r="AC3464" s="21" t="s">
        <v>12147</v>
      </c>
      <c r="AD3464" s="21"/>
    </row>
    <row r="3465" spans="2:31" s="1" customFormat="1" ht="96.3" customHeight="1" outlineLevel="5">
      <c r="B3465" s="59">
        <v>2708</v>
      </c>
      <c r="C3465" s="35" t="s">
        <v>12148</v>
      </c>
      <c r="D3465" s="73" t="s">
        <v>12149</v>
      </c>
      <c r="E3465" s="73"/>
      <c r="F3465" s="73"/>
      <c r="G3465" s="73"/>
      <c r="H3465" s="36" t="s">
        <v>12150</v>
      </c>
      <c r="I3465" s="40">
        <v>44</v>
      </c>
      <c r="J3465" s="36"/>
      <c r="K3465" s="34">
        <v>1</v>
      </c>
      <c r="L3465" s="41">
        <v>357.16</v>
      </c>
      <c r="M3465" s="11"/>
      <c r="N3465" s="36">
        <f>L3465*M3465</f>
        <v>0</v>
      </c>
      <c r="O3465" s="42">
        <f>0.271*M3465</f>
        <v>0</v>
      </c>
      <c r="P3465" s="43">
        <f>0.00106*M3465</f>
        <v>0</v>
      </c>
      <c r="Q3465" s="50"/>
      <c r="R3465" s="36" t="s">
        <v>12151</v>
      </c>
      <c r="S3465" s="36" t="s">
        <v>435</v>
      </c>
      <c r="T3465" s="35" t="str">
        <f>HYPERLINK("https://miland.ru/api/getInfo/image/94a902ec-f71c-11ee-a25d-00155d82e908")</f>
        <v>https://miland.ru/api/getInfo/image/94a902ec-f71c-11ee-a25d-00155d82e908</v>
      </c>
      <c r="U3465" s="35"/>
      <c r="V3465" s="35"/>
      <c r="W3465" s="35" t="s">
        <v>12141</v>
      </c>
      <c r="X3465" s="35"/>
      <c r="Y3465" s="35" t="s">
        <v>41</v>
      </c>
      <c r="Z3465" s="35"/>
      <c r="AA3465" s="35" t="str">
        <f>HYPERLINK("https://miland.ru/api/getInfo/item/94a902ec-f71c-11ee-a25d-00155d82e908")</f>
        <v>https://miland.ru/api/getInfo/item/94a902ec-f71c-11ee-a25d-00155d82e908</v>
      </c>
      <c r="AB3465" s="35" t="s">
        <v>42</v>
      </c>
      <c r="AC3465" s="35" t="s">
        <v>12147</v>
      </c>
      <c r="AD3465" s="35"/>
      <c r="AE3465" s="52" t="s">
        <v>9152</v>
      </c>
    </row>
    <row r="3466" spans="2:31" s="1" customFormat="1" ht="96.3" customHeight="1" outlineLevel="5">
      <c r="B3466" s="59">
        <v>2709</v>
      </c>
      <c r="C3466" s="35" t="s">
        <v>12152</v>
      </c>
      <c r="D3466" s="73" t="s">
        <v>12153</v>
      </c>
      <c r="E3466" s="73"/>
      <c r="F3466" s="73"/>
      <c r="G3466" s="73"/>
      <c r="H3466" s="36" t="s">
        <v>12154</v>
      </c>
      <c r="I3466" s="40">
        <v>41</v>
      </c>
      <c r="J3466" s="36"/>
      <c r="K3466" s="34">
        <v>1</v>
      </c>
      <c r="L3466" s="41">
        <v>357.16</v>
      </c>
      <c r="M3466" s="11"/>
      <c r="N3466" s="36">
        <f>L3466*M3466</f>
        <v>0</v>
      </c>
      <c r="O3466" s="42">
        <f>0.265*M3466</f>
        <v>0</v>
      </c>
      <c r="P3466" s="43">
        <f>0.00304*M3466</f>
        <v>0</v>
      </c>
      <c r="Q3466" s="50"/>
      <c r="R3466" s="36" t="s">
        <v>12155</v>
      </c>
      <c r="S3466" s="36"/>
      <c r="T3466" s="35" t="str">
        <f>HYPERLINK("https://miland.ru/api/getInfo/image/24743243-f726-11ee-a25d-00155d82e908")</f>
        <v>https://miland.ru/api/getInfo/image/24743243-f726-11ee-a25d-00155d82e908</v>
      </c>
      <c r="U3466" s="35"/>
      <c r="V3466" s="35"/>
      <c r="W3466" s="35" t="s">
        <v>12141</v>
      </c>
      <c r="X3466" s="35"/>
      <c r="Y3466" s="35" t="s">
        <v>41</v>
      </c>
      <c r="Z3466" s="35"/>
      <c r="AA3466" s="35" t="str">
        <f>HYPERLINK("https://miland.ru/api/getInfo/item/24743243-f726-11ee-a25d-00155d82e908")</f>
        <v>https://miland.ru/api/getInfo/item/24743243-f726-11ee-a25d-00155d82e908</v>
      </c>
      <c r="AB3466" s="35" t="s">
        <v>42</v>
      </c>
      <c r="AC3466" s="35" t="s">
        <v>12156</v>
      </c>
      <c r="AD3466" s="35"/>
      <c r="AE3466" s="52" t="s">
        <v>9152</v>
      </c>
    </row>
    <row r="3467" spans="2:31" s="1" customFormat="1" ht="96.3" customHeight="1" outlineLevel="5">
      <c r="B3467" s="57">
        <v>2710</v>
      </c>
      <c r="C3467" s="21" t="s">
        <v>12157</v>
      </c>
      <c r="D3467" s="72" t="s">
        <v>12158</v>
      </c>
      <c r="E3467" s="72"/>
      <c r="F3467" s="72"/>
      <c r="G3467" s="72"/>
      <c r="H3467" s="22" t="s">
        <v>12159</v>
      </c>
      <c r="I3467" s="27">
        <v>5</v>
      </c>
      <c r="J3467" s="22"/>
      <c r="K3467" s="20">
        <v>1</v>
      </c>
      <c r="L3467" s="24">
        <v>503.52</v>
      </c>
      <c r="M3467" s="11"/>
      <c r="N3467" s="22">
        <f>L3467*M3467</f>
        <v>0</v>
      </c>
      <c r="O3467" s="25">
        <f>0.191*M3467</f>
        <v>0</v>
      </c>
      <c r="P3467" s="26">
        <f>0.00075*M3467</f>
        <v>0</v>
      </c>
      <c r="Q3467" s="30"/>
      <c r="R3467" s="22" t="s">
        <v>12160</v>
      </c>
      <c r="S3467" s="22" t="s">
        <v>435</v>
      </c>
      <c r="T3467" s="21" t="str">
        <f>HYPERLINK("https://miland.ru/api/getInfo/image/859bec65-f725-11ee-a25d-00155d82e908")</f>
        <v>https://miland.ru/api/getInfo/image/859bec65-f725-11ee-a25d-00155d82e908</v>
      </c>
      <c r="U3467" s="21"/>
      <c r="V3467" s="21"/>
      <c r="W3467" s="21" t="s">
        <v>12141</v>
      </c>
      <c r="X3467" s="21"/>
      <c r="Y3467" s="21" t="s">
        <v>41</v>
      </c>
      <c r="Z3467" s="21"/>
      <c r="AA3467" s="21" t="str">
        <f>HYPERLINK("https://miland.ru/api/getInfo/item/859bec65-f725-11ee-a25d-00155d82e908")</f>
        <v>https://miland.ru/api/getInfo/item/859bec65-f725-11ee-a25d-00155d82e908</v>
      </c>
      <c r="AB3467" s="21" t="s">
        <v>42</v>
      </c>
      <c r="AC3467" s="21" t="s">
        <v>12161</v>
      </c>
      <c r="AD3467" s="21"/>
    </row>
    <row r="3468" spans="2:31" ht="12" customHeight="1" outlineLevel="2">
      <c r="B3468" s="69" t="s">
        <v>12162</v>
      </c>
      <c r="C3468" s="69"/>
      <c r="D3468" s="69"/>
      <c r="E3468" s="69"/>
      <c r="F3468" s="69"/>
      <c r="G3468" s="69"/>
    </row>
    <row r="3469" spans="2:31" ht="12" customHeight="1" outlineLevel="3">
      <c r="B3469" s="70" t="s">
        <v>12163</v>
      </c>
      <c r="C3469" s="70"/>
      <c r="D3469" s="70"/>
      <c r="E3469" s="70"/>
      <c r="F3469" s="70"/>
      <c r="G3469" s="70"/>
    </row>
    <row r="3470" spans="2:31" s="1" customFormat="1" ht="96.3" customHeight="1" outlineLevel="4">
      <c r="B3470" s="57">
        <v>2711</v>
      </c>
      <c r="C3470" s="21" t="s">
        <v>12164</v>
      </c>
      <c r="D3470" s="72" t="s">
        <v>12165</v>
      </c>
      <c r="E3470" s="72"/>
      <c r="F3470" s="72"/>
      <c r="G3470" s="72"/>
      <c r="H3470" s="22" t="s">
        <v>12166</v>
      </c>
      <c r="I3470" s="23" t="s">
        <v>36</v>
      </c>
      <c r="J3470" s="22"/>
      <c r="K3470" s="20">
        <v>4</v>
      </c>
      <c r="L3470" s="24">
        <v>161.78</v>
      </c>
      <c r="M3470" s="11"/>
      <c r="N3470" s="22">
        <f>L3470*M3470</f>
        <v>0</v>
      </c>
      <c r="O3470" s="25">
        <f>0.063*M3470</f>
        <v>0</v>
      </c>
      <c r="P3470" s="29">
        <f>0.0005*M3470</f>
        <v>0</v>
      </c>
      <c r="Q3470" s="30"/>
      <c r="R3470" s="22" t="s">
        <v>12167</v>
      </c>
      <c r="S3470" s="22"/>
      <c r="T3470" s="21" t="str">
        <f>HYPERLINK("https://miland.ru/api/getInfo/image/b87bd383-f969-11ed-a239-00155d82e902")</f>
        <v>https://miland.ru/api/getInfo/image/b87bd383-f969-11ed-a239-00155d82e902</v>
      </c>
      <c r="U3470" s="21"/>
      <c r="V3470" s="21"/>
      <c r="W3470" s="21" t="s">
        <v>9274</v>
      </c>
      <c r="X3470" s="21"/>
      <c r="Y3470" s="21" t="s">
        <v>41</v>
      </c>
      <c r="Z3470" s="21"/>
      <c r="AA3470" s="21" t="str">
        <f>HYPERLINK("https://miland.ru/api/getInfo/item/b87bd383-f969-11ed-a239-00155d82e902")</f>
        <v>https://miland.ru/api/getInfo/item/b87bd383-f969-11ed-a239-00155d82e902</v>
      </c>
      <c r="AB3470" s="21" t="s">
        <v>42</v>
      </c>
      <c r="AC3470" s="21"/>
      <c r="AD3470" s="21"/>
    </row>
    <row r="3471" spans="2:31" ht="12" customHeight="1" outlineLevel="3">
      <c r="B3471" s="70" t="s">
        <v>12168</v>
      </c>
      <c r="C3471" s="70"/>
      <c r="D3471" s="70"/>
      <c r="E3471" s="70"/>
      <c r="F3471" s="70"/>
      <c r="G3471" s="70"/>
    </row>
    <row r="3472" spans="2:31" s="1" customFormat="1" ht="96.3" customHeight="1" outlineLevel="4">
      <c r="B3472" s="57">
        <v>2712</v>
      </c>
      <c r="C3472" s="21" t="s">
        <v>12169</v>
      </c>
      <c r="D3472" s="72" t="s">
        <v>12170</v>
      </c>
      <c r="E3472" s="72"/>
      <c r="F3472" s="72"/>
      <c r="G3472" s="72"/>
      <c r="H3472" s="22" t="s">
        <v>12171</v>
      </c>
      <c r="I3472" s="27">
        <v>7</v>
      </c>
      <c r="J3472" s="22"/>
      <c r="K3472" s="20">
        <v>1</v>
      </c>
      <c r="L3472" s="24">
        <v>913.72</v>
      </c>
      <c r="M3472" s="11"/>
      <c r="N3472" s="22">
        <f t="shared" ref="N3472:N3486" si="168">L3472*M3472</f>
        <v>0</v>
      </c>
      <c r="O3472" s="25">
        <f>0.139*M3472</f>
        <v>0</v>
      </c>
      <c r="P3472" s="26">
        <f>0.00118*M3472</f>
        <v>0</v>
      </c>
      <c r="Q3472" s="30"/>
      <c r="R3472" s="22" t="s">
        <v>12172</v>
      </c>
      <c r="S3472" s="22"/>
      <c r="T3472" s="21" t="str">
        <f>HYPERLINK("https://miland.ru/api/getInfo/image/af308a82-f5ab-11ee-a25b-00155d82e908")</f>
        <v>https://miland.ru/api/getInfo/image/af308a82-f5ab-11ee-a25b-00155d82e908</v>
      </c>
      <c r="U3472" s="21"/>
      <c r="V3472" s="21" t="s">
        <v>12173</v>
      </c>
      <c r="W3472" s="21" t="s">
        <v>12174</v>
      </c>
      <c r="X3472" s="21" t="s">
        <v>172</v>
      </c>
      <c r="Y3472" s="21" t="s">
        <v>12175</v>
      </c>
      <c r="Z3472" s="21" t="s">
        <v>12176</v>
      </c>
      <c r="AA3472" s="21" t="str">
        <f>HYPERLINK("https://miland.ru/api/getInfo/item/af308a82-f5ab-11ee-a25b-00155d82e908")</f>
        <v>https://miland.ru/api/getInfo/item/af308a82-f5ab-11ee-a25b-00155d82e908</v>
      </c>
      <c r="AB3472" s="21" t="s">
        <v>42</v>
      </c>
      <c r="AC3472" s="21" t="s">
        <v>12177</v>
      </c>
      <c r="AD3472" s="21"/>
    </row>
    <row r="3473" spans="2:31" s="1" customFormat="1" ht="96.3" customHeight="1" outlineLevel="4">
      <c r="B3473" s="57">
        <v>2713</v>
      </c>
      <c r="C3473" s="21" t="s">
        <v>12178</v>
      </c>
      <c r="D3473" s="72" t="s">
        <v>12179</v>
      </c>
      <c r="E3473" s="72"/>
      <c r="F3473" s="72"/>
      <c r="G3473" s="72"/>
      <c r="H3473" s="22" t="s">
        <v>12180</v>
      </c>
      <c r="I3473" s="27">
        <v>35</v>
      </c>
      <c r="J3473" s="22"/>
      <c r="K3473" s="20">
        <v>1</v>
      </c>
      <c r="L3473" s="24">
        <v>899.7</v>
      </c>
      <c r="M3473" s="11"/>
      <c r="N3473" s="22">
        <f t="shared" si="168"/>
        <v>0</v>
      </c>
      <c r="O3473" s="25">
        <f>0.184*M3473</f>
        <v>0</v>
      </c>
      <c r="P3473" s="26">
        <f>0.00152*M3473</f>
        <v>0</v>
      </c>
      <c r="Q3473" s="30"/>
      <c r="R3473" s="22" t="s">
        <v>12181</v>
      </c>
      <c r="S3473" s="22" t="s">
        <v>435</v>
      </c>
      <c r="T3473" s="21" t="str">
        <f>HYPERLINK("https://miland.ru/api/getInfo/image/f26b2c8d-f5aa-11ee-a25b-00155d82e908")</f>
        <v>https://miland.ru/api/getInfo/image/f26b2c8d-f5aa-11ee-a25b-00155d82e908</v>
      </c>
      <c r="U3473" s="21"/>
      <c r="V3473" s="21" t="s">
        <v>12173</v>
      </c>
      <c r="W3473" s="21" t="s">
        <v>12174</v>
      </c>
      <c r="X3473" s="21" t="s">
        <v>172</v>
      </c>
      <c r="Y3473" s="21" t="s">
        <v>12175</v>
      </c>
      <c r="Z3473" s="21" t="s">
        <v>12182</v>
      </c>
      <c r="AA3473" s="21" t="str">
        <f>HYPERLINK("https://miland.ru/api/getInfo/item/f26b2c8d-f5aa-11ee-a25b-00155d82e908")</f>
        <v>https://miland.ru/api/getInfo/item/f26b2c8d-f5aa-11ee-a25b-00155d82e908</v>
      </c>
      <c r="AB3473" s="21" t="s">
        <v>42</v>
      </c>
      <c r="AC3473" s="21" t="s">
        <v>12177</v>
      </c>
      <c r="AD3473" s="21"/>
    </row>
    <row r="3474" spans="2:31" s="1" customFormat="1" ht="96.3" customHeight="1" outlineLevel="4">
      <c r="B3474" s="57">
        <v>2714</v>
      </c>
      <c r="C3474" s="21" t="s">
        <v>12183</v>
      </c>
      <c r="D3474" s="72" t="s">
        <v>12184</v>
      </c>
      <c r="E3474" s="72"/>
      <c r="F3474" s="72"/>
      <c r="G3474" s="72"/>
      <c r="H3474" s="22" t="s">
        <v>12185</v>
      </c>
      <c r="I3474" s="27">
        <v>5</v>
      </c>
      <c r="J3474" s="22"/>
      <c r="K3474" s="20">
        <v>1</v>
      </c>
      <c r="L3474" s="24">
        <v>899.7</v>
      </c>
      <c r="M3474" s="11"/>
      <c r="N3474" s="22">
        <f t="shared" si="168"/>
        <v>0</v>
      </c>
      <c r="O3474" s="25">
        <f>0.184*M3474</f>
        <v>0</v>
      </c>
      <c r="P3474" s="26">
        <f>0.00163*M3474</f>
        <v>0</v>
      </c>
      <c r="Q3474" s="30"/>
      <c r="R3474" s="22" t="s">
        <v>12186</v>
      </c>
      <c r="S3474" s="22" t="s">
        <v>435</v>
      </c>
      <c r="T3474" s="21" t="str">
        <f>HYPERLINK("https://miland.ru/api/getInfo/image/1a773cb1-f5ab-11ee-a25b-00155d82e908")</f>
        <v>https://miland.ru/api/getInfo/image/1a773cb1-f5ab-11ee-a25b-00155d82e908</v>
      </c>
      <c r="U3474" s="21"/>
      <c r="V3474" s="21" t="s">
        <v>12173</v>
      </c>
      <c r="W3474" s="21" t="s">
        <v>12174</v>
      </c>
      <c r="X3474" s="21" t="s">
        <v>172</v>
      </c>
      <c r="Y3474" s="21" t="s">
        <v>12175</v>
      </c>
      <c r="Z3474" s="21" t="s">
        <v>12187</v>
      </c>
      <c r="AA3474" s="21" t="str">
        <f>HYPERLINK("https://miland.ru/api/getInfo/item/1a773cb1-f5ab-11ee-a25b-00155d82e908")</f>
        <v>https://miland.ru/api/getInfo/item/1a773cb1-f5ab-11ee-a25b-00155d82e908</v>
      </c>
      <c r="AB3474" s="21" t="s">
        <v>42</v>
      </c>
      <c r="AC3474" s="21" t="s">
        <v>12177</v>
      </c>
      <c r="AD3474" s="21"/>
    </row>
    <row r="3475" spans="2:31" s="1" customFormat="1" ht="96.3" customHeight="1" outlineLevel="4">
      <c r="B3475" s="57">
        <v>2715</v>
      </c>
      <c r="C3475" s="21" t="s">
        <v>12188</v>
      </c>
      <c r="D3475" s="72" t="s">
        <v>12189</v>
      </c>
      <c r="E3475" s="72"/>
      <c r="F3475" s="72"/>
      <c r="G3475" s="72"/>
      <c r="H3475" s="22" t="s">
        <v>12190</v>
      </c>
      <c r="I3475" s="27">
        <v>37</v>
      </c>
      <c r="J3475" s="22"/>
      <c r="K3475" s="20">
        <v>1</v>
      </c>
      <c r="L3475" s="24">
        <v>885</v>
      </c>
      <c r="M3475" s="11"/>
      <c r="N3475" s="22">
        <f t="shared" si="168"/>
        <v>0</v>
      </c>
      <c r="O3475" s="25">
        <f>0.168*M3475</f>
        <v>0</v>
      </c>
      <c r="P3475" s="29">
        <f>0.0011*M3475</f>
        <v>0</v>
      </c>
      <c r="Q3475" s="30"/>
      <c r="R3475" s="22" t="s">
        <v>12191</v>
      </c>
      <c r="S3475" s="22" t="s">
        <v>435</v>
      </c>
      <c r="T3475" s="21" t="str">
        <f>HYPERLINK("https://miland.ru/api/getInfo/image/5a54ce64-b6e4-11ef-a267-00155d82e908")</f>
        <v>https://miland.ru/api/getInfo/image/5a54ce64-b6e4-11ef-a267-00155d82e908</v>
      </c>
      <c r="U3475" s="21"/>
      <c r="V3475" s="21" t="s">
        <v>12173</v>
      </c>
      <c r="W3475" s="21" t="s">
        <v>12174</v>
      </c>
      <c r="X3475" s="21" t="s">
        <v>172</v>
      </c>
      <c r="Y3475" s="21" t="s">
        <v>12175</v>
      </c>
      <c r="Z3475" s="21" t="s">
        <v>12192</v>
      </c>
      <c r="AA3475" s="21" t="str">
        <f>HYPERLINK("https://miland.ru/api/getInfo/item/5a54ce64-b6e4-11ef-a267-00155d82e908")</f>
        <v>https://miland.ru/api/getInfo/item/5a54ce64-b6e4-11ef-a267-00155d82e908</v>
      </c>
      <c r="AB3475" s="21" t="s">
        <v>42</v>
      </c>
      <c r="AC3475" s="21"/>
      <c r="AD3475" s="21"/>
    </row>
    <row r="3476" spans="2:31" s="1" customFormat="1" ht="96.3" customHeight="1" outlineLevel="4">
      <c r="B3476" s="57">
        <v>2716</v>
      </c>
      <c r="C3476" s="21" t="s">
        <v>12193</v>
      </c>
      <c r="D3476" s="72" t="s">
        <v>12194</v>
      </c>
      <c r="E3476" s="72"/>
      <c r="F3476" s="72"/>
      <c r="G3476" s="72"/>
      <c r="H3476" s="22" t="s">
        <v>12195</v>
      </c>
      <c r="I3476" s="27">
        <v>7</v>
      </c>
      <c r="J3476" s="22"/>
      <c r="K3476" s="20">
        <v>1</v>
      </c>
      <c r="L3476" s="24">
        <v>935.57</v>
      </c>
      <c r="M3476" s="11"/>
      <c r="N3476" s="22">
        <f t="shared" si="168"/>
        <v>0</v>
      </c>
      <c r="O3476" s="25">
        <f>0.141*M3476</f>
        <v>0</v>
      </c>
      <c r="P3476" s="29">
        <f>0.0012*M3476</f>
        <v>0</v>
      </c>
      <c r="Q3476" s="30"/>
      <c r="R3476" s="22" t="s">
        <v>12196</v>
      </c>
      <c r="S3476" s="22" t="s">
        <v>435</v>
      </c>
      <c r="T3476" s="21" t="str">
        <f>HYPERLINK("https://miland.ru/api/getInfo/image/1943f65a-b6e4-11ef-a267-00155d82e908")</f>
        <v>https://miland.ru/api/getInfo/image/1943f65a-b6e4-11ef-a267-00155d82e908</v>
      </c>
      <c r="U3476" s="21"/>
      <c r="V3476" s="21" t="s">
        <v>12173</v>
      </c>
      <c r="W3476" s="21" t="s">
        <v>12174</v>
      </c>
      <c r="X3476" s="21" t="s">
        <v>172</v>
      </c>
      <c r="Y3476" s="21" t="s">
        <v>12175</v>
      </c>
      <c r="Z3476" s="21" t="s">
        <v>12197</v>
      </c>
      <c r="AA3476" s="21" t="str">
        <f>HYPERLINK("https://miland.ru/api/getInfo/item/1943f65a-b6e4-11ef-a267-00155d82e908")</f>
        <v>https://miland.ru/api/getInfo/item/1943f65a-b6e4-11ef-a267-00155d82e908</v>
      </c>
      <c r="AB3476" s="21" t="s">
        <v>42</v>
      </c>
      <c r="AC3476" s="21"/>
      <c r="AD3476" s="21"/>
    </row>
    <row r="3477" spans="2:31" s="1" customFormat="1" ht="96.3" customHeight="1" outlineLevel="4">
      <c r="B3477" s="57">
        <v>2717</v>
      </c>
      <c r="C3477" s="21" t="s">
        <v>12198</v>
      </c>
      <c r="D3477" s="72" t="s">
        <v>12199</v>
      </c>
      <c r="E3477" s="72"/>
      <c r="F3477" s="72"/>
      <c r="G3477" s="72"/>
      <c r="H3477" s="22" t="s">
        <v>12200</v>
      </c>
      <c r="I3477" s="27">
        <v>87</v>
      </c>
      <c r="J3477" s="22"/>
      <c r="K3477" s="20">
        <v>1</v>
      </c>
      <c r="L3477" s="24">
        <v>616.75</v>
      </c>
      <c r="M3477" s="11"/>
      <c r="N3477" s="22">
        <f t="shared" si="168"/>
        <v>0</v>
      </c>
      <c r="O3477" s="25">
        <f>0.161*M3477</f>
        <v>0</v>
      </c>
      <c r="P3477" s="26">
        <f>0.00068*M3477</f>
        <v>0</v>
      </c>
      <c r="Q3477" s="30"/>
      <c r="R3477" s="22" t="s">
        <v>12201</v>
      </c>
      <c r="S3477" s="22"/>
      <c r="T3477" s="21" t="str">
        <f>HYPERLINK("https://miland.ru/api/getInfo/image/54ce33f2-9021-11ee-a250-00155d82e908")</f>
        <v>https://miland.ru/api/getInfo/image/54ce33f2-9021-11ee-a250-00155d82e908</v>
      </c>
      <c r="U3477" s="21"/>
      <c r="V3477" s="21" t="s">
        <v>12173</v>
      </c>
      <c r="W3477" s="21" t="s">
        <v>12174</v>
      </c>
      <c r="X3477" s="21" t="s">
        <v>172</v>
      </c>
      <c r="Y3477" s="21" t="s">
        <v>12175</v>
      </c>
      <c r="Z3477" s="21" t="s">
        <v>12201</v>
      </c>
      <c r="AA3477" s="21" t="str">
        <f>HYPERLINK("https://miland.ru/api/getInfo/item/54ce33f2-9021-11ee-a250-00155d82e908")</f>
        <v>https://miland.ru/api/getInfo/item/54ce33f2-9021-11ee-a250-00155d82e908</v>
      </c>
      <c r="AB3477" s="21" t="s">
        <v>42</v>
      </c>
      <c r="AC3477" s="21" t="s">
        <v>12202</v>
      </c>
      <c r="AD3477" s="21"/>
    </row>
    <row r="3478" spans="2:31" s="1" customFormat="1" ht="96.3" customHeight="1" outlineLevel="4">
      <c r="B3478" s="57">
        <v>2718</v>
      </c>
      <c r="C3478" s="21" t="s">
        <v>12203</v>
      </c>
      <c r="D3478" s="72" t="s">
        <v>12204</v>
      </c>
      <c r="E3478" s="72"/>
      <c r="F3478" s="72"/>
      <c r="G3478" s="72"/>
      <c r="H3478" s="22" t="s">
        <v>12205</v>
      </c>
      <c r="I3478" s="27">
        <v>125</v>
      </c>
      <c r="J3478" s="22"/>
      <c r="K3478" s="20">
        <v>2</v>
      </c>
      <c r="L3478" s="24">
        <v>362.59</v>
      </c>
      <c r="M3478" s="11"/>
      <c r="N3478" s="22">
        <f t="shared" si="168"/>
        <v>0</v>
      </c>
      <c r="O3478" s="25">
        <f>0.078*M3478</f>
        <v>0</v>
      </c>
      <c r="P3478" s="26">
        <f>0.00069*M3478</f>
        <v>0</v>
      </c>
      <c r="Q3478" s="30"/>
      <c r="R3478" s="22" t="s">
        <v>12206</v>
      </c>
      <c r="S3478" s="22"/>
      <c r="T3478" s="21" t="str">
        <f>HYPERLINK("https://miland.ru/api/getInfo/image/28fbedc3-901a-11ee-a250-00155d82e908")</f>
        <v>https://miland.ru/api/getInfo/image/28fbedc3-901a-11ee-a250-00155d82e908</v>
      </c>
      <c r="U3478" s="21"/>
      <c r="V3478" s="21" t="s">
        <v>12173</v>
      </c>
      <c r="W3478" s="21" t="s">
        <v>12174</v>
      </c>
      <c r="X3478" s="21" t="s">
        <v>172</v>
      </c>
      <c r="Y3478" s="21" t="s">
        <v>12175</v>
      </c>
      <c r="Z3478" s="21" t="s">
        <v>12206</v>
      </c>
      <c r="AA3478" s="21" t="str">
        <f>HYPERLINK("https://miland.ru/api/getInfo/item/28fbedc3-901a-11ee-a250-00155d82e908")</f>
        <v>https://miland.ru/api/getInfo/item/28fbedc3-901a-11ee-a250-00155d82e908</v>
      </c>
      <c r="AB3478" s="21" t="s">
        <v>42</v>
      </c>
      <c r="AC3478" s="21" t="s">
        <v>12207</v>
      </c>
      <c r="AD3478" s="21"/>
    </row>
    <row r="3479" spans="2:31" s="1" customFormat="1" ht="96.3" customHeight="1" outlineLevel="4">
      <c r="B3479" s="57">
        <v>2719</v>
      </c>
      <c r="C3479" s="21" t="s">
        <v>12208</v>
      </c>
      <c r="D3479" s="72" t="s">
        <v>12209</v>
      </c>
      <c r="E3479" s="72"/>
      <c r="F3479" s="72"/>
      <c r="G3479" s="72"/>
      <c r="H3479" s="22" t="s">
        <v>12210</v>
      </c>
      <c r="I3479" s="27">
        <v>9</v>
      </c>
      <c r="J3479" s="22"/>
      <c r="K3479" s="20">
        <v>2</v>
      </c>
      <c r="L3479" s="24">
        <v>362.59</v>
      </c>
      <c r="M3479" s="11"/>
      <c r="N3479" s="22">
        <f t="shared" si="168"/>
        <v>0</v>
      </c>
      <c r="O3479" s="28">
        <f>0.08*M3479</f>
        <v>0</v>
      </c>
      <c r="P3479" s="26">
        <f>0.00468*M3479</f>
        <v>0</v>
      </c>
      <c r="Q3479" s="30"/>
      <c r="R3479" s="22" t="s">
        <v>12211</v>
      </c>
      <c r="S3479" s="22"/>
      <c r="T3479" s="21" t="str">
        <f>HYPERLINK("https://miland.ru/api/getInfo/image/646e4872-901a-11ee-a250-00155d82e908")</f>
        <v>https://miland.ru/api/getInfo/image/646e4872-901a-11ee-a250-00155d82e908</v>
      </c>
      <c r="U3479" s="21"/>
      <c r="V3479" s="21" t="s">
        <v>12173</v>
      </c>
      <c r="W3479" s="21" t="s">
        <v>12174</v>
      </c>
      <c r="X3479" s="21" t="s">
        <v>172</v>
      </c>
      <c r="Y3479" s="21" t="s">
        <v>12175</v>
      </c>
      <c r="Z3479" s="21" t="s">
        <v>12212</v>
      </c>
      <c r="AA3479" s="21" t="str">
        <f>HYPERLINK("https://miland.ru/api/getInfo/item/646e4872-901a-11ee-a250-00155d82e908")</f>
        <v>https://miland.ru/api/getInfo/item/646e4872-901a-11ee-a250-00155d82e908</v>
      </c>
      <c r="AB3479" s="21" t="s">
        <v>42</v>
      </c>
      <c r="AC3479" s="21" t="s">
        <v>12207</v>
      </c>
      <c r="AD3479" s="21"/>
    </row>
    <row r="3480" spans="2:31" s="1" customFormat="1" ht="96.3" customHeight="1" outlineLevel="4">
      <c r="B3480" s="59">
        <v>2720</v>
      </c>
      <c r="C3480" s="35" t="s">
        <v>12213</v>
      </c>
      <c r="D3480" s="73" t="s">
        <v>12214</v>
      </c>
      <c r="E3480" s="73"/>
      <c r="F3480" s="73"/>
      <c r="G3480" s="73"/>
      <c r="H3480" s="36" t="s">
        <v>12215</v>
      </c>
      <c r="I3480" s="40">
        <v>7</v>
      </c>
      <c r="J3480" s="36"/>
      <c r="K3480" s="34">
        <v>2</v>
      </c>
      <c r="L3480" s="41">
        <v>158.12</v>
      </c>
      <c r="M3480" s="11"/>
      <c r="N3480" s="36">
        <f t="shared" si="168"/>
        <v>0</v>
      </c>
      <c r="O3480" s="42">
        <f>0.091*M3480</f>
        <v>0</v>
      </c>
      <c r="P3480" s="43">
        <f>0.00047*M3480</f>
        <v>0</v>
      </c>
      <c r="Q3480" s="50"/>
      <c r="R3480" s="36" t="s">
        <v>12216</v>
      </c>
      <c r="S3480" s="36" t="s">
        <v>435</v>
      </c>
      <c r="T3480" s="35" t="str">
        <f>HYPERLINK("https://miland.ru/api/getInfo/image/ea4f2cac-901a-11ee-a250-00155d82e908")</f>
        <v>https://miland.ru/api/getInfo/image/ea4f2cac-901a-11ee-a250-00155d82e908</v>
      </c>
      <c r="U3480" s="35"/>
      <c r="V3480" s="35" t="s">
        <v>12173</v>
      </c>
      <c r="W3480" s="35" t="s">
        <v>12174</v>
      </c>
      <c r="X3480" s="35" t="s">
        <v>172</v>
      </c>
      <c r="Y3480" s="35" t="s">
        <v>12175</v>
      </c>
      <c r="Z3480" s="35" t="s">
        <v>12217</v>
      </c>
      <c r="AA3480" s="35" t="str">
        <f>HYPERLINK("https://miland.ru/api/getInfo/item/ea4f2cac-901a-11ee-a250-00155d82e908")</f>
        <v>https://miland.ru/api/getInfo/item/ea4f2cac-901a-11ee-a250-00155d82e908</v>
      </c>
      <c r="AB3480" s="35" t="s">
        <v>42</v>
      </c>
      <c r="AC3480" s="35" t="s">
        <v>12218</v>
      </c>
      <c r="AD3480" s="35"/>
      <c r="AE3480" s="52" t="s">
        <v>1251</v>
      </c>
    </row>
    <row r="3481" spans="2:31" s="1" customFormat="1" ht="96.3" customHeight="1" outlineLevel="4">
      <c r="B3481" s="57">
        <v>2721</v>
      </c>
      <c r="C3481" s="21" t="s">
        <v>12219</v>
      </c>
      <c r="D3481" s="72" t="s">
        <v>12220</v>
      </c>
      <c r="E3481" s="72"/>
      <c r="F3481" s="72"/>
      <c r="G3481" s="72"/>
      <c r="H3481" s="22" t="s">
        <v>12221</v>
      </c>
      <c r="I3481" s="23" t="s">
        <v>36</v>
      </c>
      <c r="J3481" s="22"/>
      <c r="K3481" s="20">
        <v>2</v>
      </c>
      <c r="L3481" s="24">
        <v>362.59</v>
      </c>
      <c r="M3481" s="11"/>
      <c r="N3481" s="22">
        <f t="shared" si="168"/>
        <v>0</v>
      </c>
      <c r="O3481" s="25">
        <f>0.086*M3481</f>
        <v>0</v>
      </c>
      <c r="P3481" s="29">
        <f>0.0006*M3481</f>
        <v>0</v>
      </c>
      <c r="Q3481" s="30"/>
      <c r="R3481" s="22" t="s">
        <v>12222</v>
      </c>
      <c r="S3481" s="22"/>
      <c r="T3481" s="21" t="str">
        <f>HYPERLINK("https://miland.ru/api/getInfo/image/99c95f14-901a-11ee-a250-00155d82e908")</f>
        <v>https://miland.ru/api/getInfo/image/99c95f14-901a-11ee-a250-00155d82e908</v>
      </c>
      <c r="U3481" s="21"/>
      <c r="V3481" s="21" t="s">
        <v>12173</v>
      </c>
      <c r="W3481" s="21" t="s">
        <v>12174</v>
      </c>
      <c r="X3481" s="21" t="s">
        <v>172</v>
      </c>
      <c r="Y3481" s="21" t="s">
        <v>12175</v>
      </c>
      <c r="Z3481" s="21" t="s">
        <v>12222</v>
      </c>
      <c r="AA3481" s="21" t="str">
        <f>HYPERLINK("https://miland.ru/api/getInfo/item/99c95f14-901a-11ee-a250-00155d82e908")</f>
        <v>https://miland.ru/api/getInfo/item/99c95f14-901a-11ee-a250-00155d82e908</v>
      </c>
      <c r="AB3481" s="21" t="s">
        <v>42</v>
      </c>
      <c r="AC3481" s="21" t="s">
        <v>12223</v>
      </c>
      <c r="AD3481" s="21"/>
    </row>
    <row r="3482" spans="2:31" s="1" customFormat="1" ht="96.3" customHeight="1" outlineLevel="4">
      <c r="B3482" s="57">
        <v>2722</v>
      </c>
      <c r="C3482" s="21" t="s">
        <v>12224</v>
      </c>
      <c r="D3482" s="72" t="s">
        <v>12225</v>
      </c>
      <c r="E3482" s="72"/>
      <c r="F3482" s="72"/>
      <c r="G3482" s="72"/>
      <c r="H3482" s="22" t="s">
        <v>12226</v>
      </c>
      <c r="I3482" s="27">
        <v>89</v>
      </c>
      <c r="J3482" s="22"/>
      <c r="K3482" s="20">
        <v>2</v>
      </c>
      <c r="L3482" s="24">
        <v>351.44</v>
      </c>
      <c r="M3482" s="11"/>
      <c r="N3482" s="22">
        <f t="shared" si="168"/>
        <v>0</v>
      </c>
      <c r="O3482" s="25">
        <f>0.068*M3482</f>
        <v>0</v>
      </c>
      <c r="P3482" s="26">
        <f>0.00042*M3482</f>
        <v>0</v>
      </c>
      <c r="Q3482" s="30"/>
      <c r="R3482" s="22" t="s">
        <v>12227</v>
      </c>
      <c r="S3482" s="22"/>
      <c r="T3482" s="21" t="str">
        <f>HYPERLINK("https://miland.ru/api/getInfo/image/17f4c99a-f96e-11ed-a239-00155d82e902")</f>
        <v>https://miland.ru/api/getInfo/image/17f4c99a-f96e-11ed-a239-00155d82e902</v>
      </c>
      <c r="U3482" s="21"/>
      <c r="V3482" s="21" t="s">
        <v>12173</v>
      </c>
      <c r="W3482" s="21" t="s">
        <v>12174</v>
      </c>
      <c r="X3482" s="21" t="s">
        <v>172</v>
      </c>
      <c r="Y3482" s="21" t="s">
        <v>12175</v>
      </c>
      <c r="Z3482" s="21" t="s">
        <v>12228</v>
      </c>
      <c r="AA3482" s="21" t="str">
        <f>HYPERLINK("https://miland.ru/api/getInfo/item/17f4c99a-f96e-11ed-a239-00155d82e902")</f>
        <v>https://miland.ru/api/getInfo/item/17f4c99a-f96e-11ed-a239-00155d82e902</v>
      </c>
      <c r="AB3482" s="21" t="s">
        <v>42</v>
      </c>
      <c r="AC3482" s="21"/>
      <c r="AD3482" s="21"/>
    </row>
    <row r="3483" spans="2:31" s="1" customFormat="1" ht="96.3" customHeight="1" outlineLevel="4">
      <c r="B3483" s="57">
        <v>2723</v>
      </c>
      <c r="C3483" s="21" t="s">
        <v>12229</v>
      </c>
      <c r="D3483" s="72" t="s">
        <v>12230</v>
      </c>
      <c r="E3483" s="72"/>
      <c r="F3483" s="72"/>
      <c r="G3483" s="72"/>
      <c r="H3483" s="22" t="s">
        <v>12231</v>
      </c>
      <c r="I3483" s="23" t="s">
        <v>36</v>
      </c>
      <c r="J3483" s="22"/>
      <c r="K3483" s="20">
        <v>2</v>
      </c>
      <c r="L3483" s="24">
        <v>351.44</v>
      </c>
      <c r="M3483" s="11"/>
      <c r="N3483" s="22">
        <f t="shared" si="168"/>
        <v>0</v>
      </c>
      <c r="O3483" s="25">
        <f>0.069*M3483</f>
        <v>0</v>
      </c>
      <c r="P3483" s="26">
        <f>0.00048*M3483</f>
        <v>0</v>
      </c>
      <c r="Q3483" s="30"/>
      <c r="R3483" s="22" t="s">
        <v>12232</v>
      </c>
      <c r="S3483" s="22"/>
      <c r="T3483" s="21" t="str">
        <f>HYPERLINK("https://miland.ru/api/getInfo/image/85f722dc-f96e-11ed-a239-00155d82e902")</f>
        <v>https://miland.ru/api/getInfo/image/85f722dc-f96e-11ed-a239-00155d82e902</v>
      </c>
      <c r="U3483" s="21"/>
      <c r="V3483" s="21" t="s">
        <v>12173</v>
      </c>
      <c r="W3483" s="21" t="s">
        <v>12174</v>
      </c>
      <c r="X3483" s="21" t="s">
        <v>172</v>
      </c>
      <c r="Y3483" s="21" t="s">
        <v>12175</v>
      </c>
      <c r="Z3483" s="21" t="s">
        <v>12233</v>
      </c>
      <c r="AA3483" s="21" t="str">
        <f>HYPERLINK("https://miland.ru/api/getInfo/item/85f722dc-f96e-11ed-a239-00155d82e902")</f>
        <v>https://miland.ru/api/getInfo/item/85f722dc-f96e-11ed-a239-00155d82e902</v>
      </c>
      <c r="AB3483" s="21" t="s">
        <v>42</v>
      </c>
      <c r="AC3483" s="21"/>
      <c r="AD3483" s="21"/>
    </row>
    <row r="3484" spans="2:31" s="1" customFormat="1" ht="96.3" customHeight="1" outlineLevel="4">
      <c r="B3484" s="57">
        <v>2724</v>
      </c>
      <c r="C3484" s="21" t="s">
        <v>12234</v>
      </c>
      <c r="D3484" s="72" t="s">
        <v>12235</v>
      </c>
      <c r="E3484" s="72"/>
      <c r="F3484" s="72"/>
      <c r="G3484" s="72"/>
      <c r="H3484" s="22" t="s">
        <v>12236</v>
      </c>
      <c r="I3484" s="23" t="s">
        <v>36</v>
      </c>
      <c r="J3484" s="22"/>
      <c r="K3484" s="20">
        <v>2</v>
      </c>
      <c r="L3484" s="24">
        <v>351.44</v>
      </c>
      <c r="M3484" s="11"/>
      <c r="N3484" s="22">
        <f t="shared" si="168"/>
        <v>0</v>
      </c>
      <c r="O3484" s="25">
        <f>0.068*M3484</f>
        <v>0</v>
      </c>
      <c r="P3484" s="26">
        <f>0.00044*M3484</f>
        <v>0</v>
      </c>
      <c r="Q3484" s="30"/>
      <c r="R3484" s="22" t="s">
        <v>12237</v>
      </c>
      <c r="S3484" s="22"/>
      <c r="T3484" s="21" t="str">
        <f>HYPERLINK("https://miland.ru/api/getInfo/image/aee23ac5-f96d-11ed-a239-00155d82e902")</f>
        <v>https://miland.ru/api/getInfo/image/aee23ac5-f96d-11ed-a239-00155d82e902</v>
      </c>
      <c r="U3484" s="21"/>
      <c r="V3484" s="21" t="s">
        <v>12173</v>
      </c>
      <c r="W3484" s="21" t="s">
        <v>12174</v>
      </c>
      <c r="X3484" s="21" t="s">
        <v>172</v>
      </c>
      <c r="Y3484" s="21" t="s">
        <v>12175</v>
      </c>
      <c r="Z3484" s="21" t="s">
        <v>12238</v>
      </c>
      <c r="AA3484" s="21" t="str">
        <f>HYPERLINK("https://miland.ru/api/getInfo/item/aee23ac5-f96d-11ed-a239-00155d82e902")</f>
        <v>https://miland.ru/api/getInfo/item/aee23ac5-f96d-11ed-a239-00155d82e902</v>
      </c>
      <c r="AB3484" s="21" t="s">
        <v>42</v>
      </c>
      <c r="AC3484" s="21"/>
      <c r="AD3484" s="21"/>
    </row>
    <row r="3485" spans="2:31" s="1" customFormat="1" ht="96.3" customHeight="1" outlineLevel="4">
      <c r="B3485" s="57">
        <v>2725</v>
      </c>
      <c r="C3485" s="21" t="s">
        <v>12239</v>
      </c>
      <c r="D3485" s="72" t="s">
        <v>12240</v>
      </c>
      <c r="E3485" s="72"/>
      <c r="F3485" s="72"/>
      <c r="G3485" s="72"/>
      <c r="H3485" s="22" t="s">
        <v>12241</v>
      </c>
      <c r="I3485" s="27">
        <v>147</v>
      </c>
      <c r="J3485" s="22"/>
      <c r="K3485" s="20">
        <v>2</v>
      </c>
      <c r="L3485" s="24">
        <v>278.14</v>
      </c>
      <c r="M3485" s="11"/>
      <c r="N3485" s="22">
        <f t="shared" si="168"/>
        <v>0</v>
      </c>
      <c r="O3485" s="25">
        <f>0.084*M3485</f>
        <v>0</v>
      </c>
      <c r="P3485" s="26">
        <f>0.00074*M3485</f>
        <v>0</v>
      </c>
      <c r="Q3485" s="30"/>
      <c r="R3485" s="22" t="s">
        <v>12242</v>
      </c>
      <c r="S3485" s="22"/>
      <c r="T3485" s="21" t="str">
        <f>HYPERLINK("https://miland.ru/api/getInfo/image/69e26e61-f96f-11ed-a239-00155d82e902")</f>
        <v>https://miland.ru/api/getInfo/image/69e26e61-f96f-11ed-a239-00155d82e902</v>
      </c>
      <c r="U3485" s="21"/>
      <c r="V3485" s="21" t="s">
        <v>12173</v>
      </c>
      <c r="W3485" s="21" t="s">
        <v>12174</v>
      </c>
      <c r="X3485" s="21" t="s">
        <v>172</v>
      </c>
      <c r="Y3485" s="21" t="s">
        <v>12175</v>
      </c>
      <c r="Z3485" s="21" t="s">
        <v>12243</v>
      </c>
      <c r="AA3485" s="21" t="str">
        <f>HYPERLINK("https://miland.ru/api/getInfo/item/69e26e61-f96f-11ed-a239-00155d82e902")</f>
        <v>https://miland.ru/api/getInfo/item/69e26e61-f96f-11ed-a239-00155d82e902</v>
      </c>
      <c r="AB3485" s="21" t="s">
        <v>42</v>
      </c>
      <c r="AC3485" s="21"/>
      <c r="AD3485" s="21"/>
    </row>
    <row r="3486" spans="2:31" s="1" customFormat="1" ht="96.3" customHeight="1" outlineLevel="4">
      <c r="B3486" s="59">
        <v>2726</v>
      </c>
      <c r="C3486" s="35" t="s">
        <v>12244</v>
      </c>
      <c r="D3486" s="73" t="s">
        <v>12245</v>
      </c>
      <c r="E3486" s="73"/>
      <c r="F3486" s="73"/>
      <c r="G3486" s="73"/>
      <c r="H3486" s="36" t="s">
        <v>12246</v>
      </c>
      <c r="I3486" s="40">
        <v>113</v>
      </c>
      <c r="J3486" s="36"/>
      <c r="K3486" s="34">
        <v>1</v>
      </c>
      <c r="L3486" s="41">
        <v>744.09333333333336</v>
      </c>
      <c r="M3486" s="11"/>
      <c r="N3486" s="36">
        <f t="shared" si="168"/>
        <v>0</v>
      </c>
      <c r="O3486" s="42">
        <f>0.089*M3486</f>
        <v>0</v>
      </c>
      <c r="P3486" s="43">
        <f>0.00028*M3486</f>
        <v>0</v>
      </c>
      <c r="Q3486" s="50"/>
      <c r="R3486" s="36" t="s">
        <v>12247</v>
      </c>
      <c r="S3486" s="36" t="s">
        <v>435</v>
      </c>
      <c r="T3486" s="35" t="str">
        <f>HYPERLINK("https://miland.ru/api/getInfo/image/c5bd571d-f970-11ed-a239-00155d82e902")</f>
        <v>https://miland.ru/api/getInfo/image/c5bd571d-f970-11ed-a239-00155d82e902</v>
      </c>
      <c r="U3486" s="35"/>
      <c r="V3486" s="35" t="s">
        <v>12173</v>
      </c>
      <c r="W3486" s="35" t="s">
        <v>12248</v>
      </c>
      <c r="X3486" s="35" t="s">
        <v>172</v>
      </c>
      <c r="Y3486" s="35" t="s">
        <v>173</v>
      </c>
      <c r="Z3486" s="35" t="s">
        <v>12249</v>
      </c>
      <c r="AA3486" s="35" t="str">
        <f>HYPERLINK("https://miland.ru/api/getInfo/item/c5bd571d-f970-11ed-a239-00155d82e902")</f>
        <v>https://miland.ru/api/getInfo/item/c5bd571d-f970-11ed-a239-00155d82e902</v>
      </c>
      <c r="AB3486" s="35" t="s">
        <v>42</v>
      </c>
      <c r="AC3486" s="35"/>
      <c r="AD3486" s="35"/>
      <c r="AE3486" s="52" t="s">
        <v>1251</v>
      </c>
    </row>
    <row r="3487" spans="2:31" ht="12" customHeight="1" outlineLevel="3">
      <c r="B3487" s="70" t="s">
        <v>12250</v>
      </c>
      <c r="C3487" s="70"/>
      <c r="D3487" s="70"/>
      <c r="E3487" s="70"/>
      <c r="F3487" s="70"/>
      <c r="G3487" s="70"/>
    </row>
    <row r="3488" spans="2:31" s="1" customFormat="1" ht="96.3" customHeight="1" outlineLevel="4">
      <c r="B3488" s="57">
        <v>2727</v>
      </c>
      <c r="C3488" s="21" t="s">
        <v>12251</v>
      </c>
      <c r="D3488" s="72" t="s">
        <v>12252</v>
      </c>
      <c r="E3488" s="72"/>
      <c r="F3488" s="72"/>
      <c r="G3488" s="72"/>
      <c r="H3488" s="22" t="s">
        <v>12253</v>
      </c>
      <c r="I3488" s="27">
        <v>13</v>
      </c>
      <c r="J3488" s="22"/>
      <c r="K3488" s="20">
        <v>4</v>
      </c>
      <c r="L3488" s="24">
        <v>153.29</v>
      </c>
      <c r="M3488" s="11"/>
      <c r="N3488" s="22">
        <f>L3488*M3488</f>
        <v>0</v>
      </c>
      <c r="O3488" s="25">
        <f>0.097*M3488</f>
        <v>0</v>
      </c>
      <c r="P3488" s="26">
        <f>0.00086*M3488</f>
        <v>0</v>
      </c>
      <c r="Q3488" s="30"/>
      <c r="R3488" s="22" t="s">
        <v>12254</v>
      </c>
      <c r="S3488" s="22" t="s">
        <v>435</v>
      </c>
      <c r="T3488" s="21" t="str">
        <f>HYPERLINK("https://miland.ru/api/getInfo/image/025afef9-b6d9-11ef-a267-00155d82e908")</f>
        <v>https://miland.ru/api/getInfo/image/025afef9-b6d9-11ef-a267-00155d82e908</v>
      </c>
      <c r="U3488" s="21"/>
      <c r="V3488" s="21" t="s">
        <v>12255</v>
      </c>
      <c r="W3488" s="21" t="s">
        <v>9274</v>
      </c>
      <c r="X3488" s="21"/>
      <c r="Y3488" s="21" t="s">
        <v>41</v>
      </c>
      <c r="Z3488" s="21"/>
      <c r="AA3488" s="21" t="str">
        <f>HYPERLINK("https://miland.ru/api/getInfo/item/025afef9-b6d9-11ef-a267-00155d82e908")</f>
        <v>https://miland.ru/api/getInfo/item/025afef9-b6d9-11ef-a267-00155d82e908</v>
      </c>
      <c r="AB3488" s="21" t="s">
        <v>42</v>
      </c>
      <c r="AC3488" s="21"/>
      <c r="AD3488" s="21"/>
    </row>
    <row r="3489" spans="2:31" ht="12" customHeight="1" outlineLevel="3">
      <c r="B3489" s="70" t="s">
        <v>12256</v>
      </c>
      <c r="C3489" s="70"/>
      <c r="D3489" s="70"/>
      <c r="E3489" s="70"/>
      <c r="F3489" s="70"/>
      <c r="G3489" s="70"/>
    </row>
    <row r="3490" spans="2:31" s="1" customFormat="1" ht="96.3" customHeight="1" outlineLevel="4">
      <c r="B3490" s="57">
        <v>2728</v>
      </c>
      <c r="C3490" s="21" t="s">
        <v>12257</v>
      </c>
      <c r="D3490" s="72" t="s">
        <v>12258</v>
      </c>
      <c r="E3490" s="72"/>
      <c r="F3490" s="72"/>
      <c r="G3490" s="72"/>
      <c r="H3490" s="22" t="s">
        <v>12259</v>
      </c>
      <c r="I3490" s="23" t="s">
        <v>36</v>
      </c>
      <c r="J3490" s="22"/>
      <c r="K3490" s="20">
        <v>1</v>
      </c>
      <c r="L3490" s="24">
        <v>523.16</v>
      </c>
      <c r="M3490" s="11"/>
      <c r="N3490" s="22">
        <f>L3490*M3490</f>
        <v>0</v>
      </c>
      <c r="O3490" s="25">
        <f>0.249*M3490</f>
        <v>0</v>
      </c>
      <c r="P3490" s="26">
        <f>0.00975*M3490</f>
        <v>0</v>
      </c>
      <c r="Q3490" s="30"/>
      <c r="R3490" s="22" t="s">
        <v>12260</v>
      </c>
      <c r="S3490" s="22" t="s">
        <v>435</v>
      </c>
      <c r="T3490" s="21" t="str">
        <f>HYPERLINK("https://miland.ru/api/getInfo/image/c7597321-f5b0-11ee-a25b-00155d82e908")</f>
        <v>https://miland.ru/api/getInfo/image/c7597321-f5b0-11ee-a25b-00155d82e908</v>
      </c>
      <c r="U3490" s="21"/>
      <c r="V3490" s="21"/>
      <c r="W3490" s="21" t="s">
        <v>10936</v>
      </c>
      <c r="X3490" s="21"/>
      <c r="Y3490" s="21" t="s">
        <v>41</v>
      </c>
      <c r="Z3490" s="21"/>
      <c r="AA3490" s="21" t="str">
        <f>HYPERLINK("https://miland.ru/api/getInfo/item/c7597321-f5b0-11ee-a25b-00155d82e908")</f>
        <v>https://miland.ru/api/getInfo/item/c7597321-f5b0-11ee-a25b-00155d82e908</v>
      </c>
      <c r="AB3490" s="21" t="s">
        <v>42</v>
      </c>
      <c r="AC3490" s="21" t="s">
        <v>12261</v>
      </c>
      <c r="AD3490" s="21"/>
    </row>
    <row r="3491" spans="2:31" s="1" customFormat="1" ht="96.3" customHeight="1" outlineLevel="4">
      <c r="B3491" s="57">
        <v>2729</v>
      </c>
      <c r="C3491" s="21" t="s">
        <v>12262</v>
      </c>
      <c r="D3491" s="72" t="s">
        <v>12263</v>
      </c>
      <c r="E3491" s="72"/>
      <c r="F3491" s="72"/>
      <c r="G3491" s="72"/>
      <c r="H3491" s="22" t="s">
        <v>12264</v>
      </c>
      <c r="I3491" s="27">
        <v>8</v>
      </c>
      <c r="J3491" s="22"/>
      <c r="K3491" s="20">
        <v>1</v>
      </c>
      <c r="L3491" s="24">
        <v>609.15</v>
      </c>
      <c r="M3491" s="11"/>
      <c r="N3491" s="22">
        <f>L3491*M3491</f>
        <v>0</v>
      </c>
      <c r="O3491" s="28">
        <f>0.14*M3491</f>
        <v>0</v>
      </c>
      <c r="P3491" s="26">
        <f>0.00143*M3491</f>
        <v>0</v>
      </c>
      <c r="Q3491" s="30"/>
      <c r="R3491" s="22" t="s">
        <v>12265</v>
      </c>
      <c r="S3491" s="22" t="s">
        <v>435</v>
      </c>
      <c r="T3491" s="21" t="str">
        <f>HYPERLINK("https://miland.ru/api/getInfo/image/f1b37767-f5ac-11ee-a25b-00155d82e908")</f>
        <v>https://miland.ru/api/getInfo/image/f1b37767-f5ac-11ee-a25b-00155d82e908</v>
      </c>
      <c r="U3491" s="21"/>
      <c r="V3491" s="21"/>
      <c r="W3491" s="21" t="s">
        <v>12266</v>
      </c>
      <c r="X3491" s="21" t="s">
        <v>172</v>
      </c>
      <c r="Y3491" s="21" t="s">
        <v>173</v>
      </c>
      <c r="Z3491" s="21" t="s">
        <v>12267</v>
      </c>
      <c r="AA3491" s="21" t="str">
        <f>HYPERLINK("https://miland.ru/api/getInfo/item/f1b37767-f5ac-11ee-a25b-00155d82e908")</f>
        <v>https://miland.ru/api/getInfo/item/f1b37767-f5ac-11ee-a25b-00155d82e908</v>
      </c>
      <c r="AB3491" s="21" t="s">
        <v>42</v>
      </c>
      <c r="AC3491" s="21"/>
      <c r="AD3491" s="21"/>
    </row>
    <row r="3492" spans="2:31" ht="12" customHeight="1" outlineLevel="3">
      <c r="B3492" s="70" t="s">
        <v>12268</v>
      </c>
      <c r="C3492" s="70"/>
      <c r="D3492" s="70"/>
      <c r="E3492" s="70"/>
      <c r="F3492" s="70"/>
      <c r="G3492" s="70"/>
    </row>
    <row r="3493" spans="2:31" s="1" customFormat="1" ht="96.3" customHeight="1" outlineLevel="4">
      <c r="B3493" s="57">
        <v>2730</v>
      </c>
      <c r="C3493" s="21" t="s">
        <v>12269</v>
      </c>
      <c r="D3493" s="72" t="s">
        <v>12270</v>
      </c>
      <c r="E3493" s="72"/>
      <c r="F3493" s="72"/>
      <c r="G3493" s="72"/>
      <c r="H3493" s="22" t="s">
        <v>12271</v>
      </c>
      <c r="I3493" s="27">
        <v>5</v>
      </c>
      <c r="J3493" s="22"/>
      <c r="K3493" s="20">
        <v>1</v>
      </c>
      <c r="L3493" s="32">
        <v>1148.97</v>
      </c>
      <c r="M3493" s="11"/>
      <c r="N3493" s="22">
        <f>L3493*M3493</f>
        <v>0</v>
      </c>
      <c r="O3493" s="25">
        <f>1.063*M3493</f>
        <v>0</v>
      </c>
      <c r="P3493" s="26">
        <f>0.00936*M3493</f>
        <v>0</v>
      </c>
      <c r="Q3493" s="30"/>
      <c r="R3493" s="22" t="s">
        <v>12272</v>
      </c>
      <c r="S3493" s="22" t="s">
        <v>435</v>
      </c>
      <c r="T3493" s="21" t="str">
        <f>HYPERLINK("https://miland.ru/api/getInfo/image/99a73fd9-b6e2-11ef-a267-00155d82e908")</f>
        <v>https://miland.ru/api/getInfo/image/99a73fd9-b6e2-11ef-a267-00155d82e908</v>
      </c>
      <c r="U3493" s="21"/>
      <c r="V3493" s="21"/>
      <c r="W3493" s="21" t="s">
        <v>12052</v>
      </c>
      <c r="X3493" s="21"/>
      <c r="Y3493" s="21" t="s">
        <v>41</v>
      </c>
      <c r="Z3493" s="21"/>
      <c r="AA3493" s="21" t="str">
        <f>HYPERLINK("https://miland.ru/api/getInfo/item/99a73fd9-b6e2-11ef-a267-00155d82e908")</f>
        <v>https://miland.ru/api/getInfo/item/99a73fd9-b6e2-11ef-a267-00155d82e908</v>
      </c>
      <c r="AB3493" s="21" t="s">
        <v>42</v>
      </c>
      <c r="AC3493" s="21"/>
      <c r="AD3493" s="21"/>
    </row>
    <row r="3494" spans="2:31" ht="12" customHeight="1" outlineLevel="3">
      <c r="B3494" s="70" t="s">
        <v>12273</v>
      </c>
      <c r="C3494" s="70"/>
      <c r="D3494" s="70"/>
      <c r="E3494" s="70"/>
      <c r="F3494" s="70"/>
      <c r="G3494" s="70"/>
    </row>
    <row r="3495" spans="2:31" s="1" customFormat="1" ht="96.3" customHeight="1" outlineLevel="4">
      <c r="B3495" s="57">
        <v>2731</v>
      </c>
      <c r="C3495" s="21" t="s">
        <v>12274</v>
      </c>
      <c r="D3495" s="72" t="s">
        <v>12275</v>
      </c>
      <c r="E3495" s="72"/>
      <c r="F3495" s="72"/>
      <c r="G3495" s="72"/>
      <c r="H3495" s="22" t="s">
        <v>12276</v>
      </c>
      <c r="I3495" s="27">
        <v>429</v>
      </c>
      <c r="J3495" s="22"/>
      <c r="K3495" s="20">
        <v>6</v>
      </c>
      <c r="L3495" s="24">
        <v>94.7</v>
      </c>
      <c r="M3495" s="11"/>
      <c r="N3495" s="22">
        <f>L3495*M3495</f>
        <v>0</v>
      </c>
      <c r="O3495" s="25">
        <f>0.078*M3495</f>
        <v>0</v>
      </c>
      <c r="P3495" s="29">
        <f>0.0007*M3495</f>
        <v>0</v>
      </c>
      <c r="Q3495" s="30"/>
      <c r="R3495" s="22" t="s">
        <v>12277</v>
      </c>
      <c r="S3495" s="22"/>
      <c r="T3495" s="21" t="str">
        <f>HYPERLINK("https://miland.ru/api/getInfo/image/c7454d29-f5af-11ee-a25b-00155d82e908")</f>
        <v>https://miland.ru/api/getInfo/image/c7454d29-f5af-11ee-a25b-00155d82e908</v>
      </c>
      <c r="U3495" s="21"/>
      <c r="V3495" s="21"/>
      <c r="W3495" s="21" t="s">
        <v>12278</v>
      </c>
      <c r="X3495" s="21"/>
      <c r="Y3495" s="21" t="s">
        <v>41</v>
      </c>
      <c r="Z3495" s="21"/>
      <c r="AA3495" s="21" t="str">
        <f>HYPERLINK("https://miland.ru/api/getInfo/item/c7454d29-f5af-11ee-a25b-00155d82e908")</f>
        <v>https://miland.ru/api/getInfo/item/c7454d29-f5af-11ee-a25b-00155d82e908</v>
      </c>
      <c r="AB3495" s="21" t="s">
        <v>42</v>
      </c>
      <c r="AC3495" s="21" t="s">
        <v>12279</v>
      </c>
      <c r="AD3495" s="21"/>
    </row>
    <row r="3496" spans="2:31" ht="12" customHeight="1" outlineLevel="3">
      <c r="B3496" s="70" t="s">
        <v>12280</v>
      </c>
      <c r="C3496" s="70"/>
      <c r="D3496" s="70"/>
      <c r="E3496" s="70"/>
      <c r="F3496" s="70"/>
      <c r="G3496" s="70"/>
    </row>
    <row r="3497" spans="2:31" s="1" customFormat="1" ht="96.3" customHeight="1" outlineLevel="4">
      <c r="B3497" s="59">
        <v>2732</v>
      </c>
      <c r="C3497" s="35" t="s">
        <v>12281</v>
      </c>
      <c r="D3497" s="73" t="s">
        <v>12282</v>
      </c>
      <c r="E3497" s="73"/>
      <c r="F3497" s="73"/>
      <c r="G3497" s="73"/>
      <c r="H3497" s="36" t="s">
        <v>12283</v>
      </c>
      <c r="I3497" s="40">
        <v>5</v>
      </c>
      <c r="J3497" s="36"/>
      <c r="K3497" s="34">
        <v>1</v>
      </c>
      <c r="L3497" s="41">
        <v>1675.9066666666668</v>
      </c>
      <c r="M3497" s="11"/>
      <c r="N3497" s="36">
        <f>L3497*M3497</f>
        <v>0</v>
      </c>
      <c r="O3497" s="42">
        <f>0.586*M3497</f>
        <v>0</v>
      </c>
      <c r="P3497" s="43">
        <f>0.00405*M3497</f>
        <v>0</v>
      </c>
      <c r="Q3497" s="50"/>
      <c r="R3497" s="36" t="s">
        <v>12284</v>
      </c>
      <c r="S3497" s="36" t="s">
        <v>435</v>
      </c>
      <c r="T3497" s="35" t="str">
        <f>HYPERLINK("https://miland.ru/api/getInfo/image/8e74297b-f967-11ed-a239-00155d82e902")</f>
        <v>https://miland.ru/api/getInfo/image/8e74297b-f967-11ed-a239-00155d82e902</v>
      </c>
      <c r="U3497" s="35"/>
      <c r="V3497" s="35"/>
      <c r="W3497" s="35" t="s">
        <v>12285</v>
      </c>
      <c r="X3497" s="35"/>
      <c r="Y3497" s="35" t="s">
        <v>41</v>
      </c>
      <c r="Z3497" s="35"/>
      <c r="AA3497" s="35" t="str">
        <f>HYPERLINK("https://miland.ru/api/getInfo/item/8e74297b-f967-11ed-a239-00155d82e902")</f>
        <v>https://miland.ru/api/getInfo/item/8e74297b-f967-11ed-a239-00155d82e902</v>
      </c>
      <c r="AB3497" s="35" t="s">
        <v>42</v>
      </c>
      <c r="AC3497" s="35"/>
      <c r="AD3497" s="35"/>
      <c r="AE3497" s="52" t="s">
        <v>1251</v>
      </c>
    </row>
    <row r="3498" spans="2:31" ht="12" customHeight="1" outlineLevel="3">
      <c r="B3498" s="70" t="s">
        <v>12286</v>
      </c>
      <c r="C3498" s="70"/>
      <c r="D3498" s="70"/>
      <c r="E3498" s="70"/>
      <c r="F3498" s="70"/>
      <c r="G3498" s="70"/>
    </row>
    <row r="3499" spans="2:31" s="1" customFormat="1" ht="96.3" customHeight="1" outlineLevel="4">
      <c r="B3499" s="57">
        <v>2733</v>
      </c>
      <c r="C3499" s="21" t="s">
        <v>12287</v>
      </c>
      <c r="D3499" s="72" t="s">
        <v>12288</v>
      </c>
      <c r="E3499" s="72"/>
      <c r="F3499" s="72"/>
      <c r="G3499" s="72"/>
      <c r="H3499" s="22" t="s">
        <v>12289</v>
      </c>
      <c r="I3499" s="27">
        <v>39</v>
      </c>
      <c r="J3499" s="22"/>
      <c r="K3499" s="20">
        <v>1</v>
      </c>
      <c r="L3499" s="24">
        <v>533.94000000000005</v>
      </c>
      <c r="M3499" s="11"/>
      <c r="N3499" s="22">
        <f>L3499*M3499</f>
        <v>0</v>
      </c>
      <c r="O3499" s="25">
        <f>0.149*M3499</f>
        <v>0</v>
      </c>
      <c r="P3499" s="26">
        <f>0.00088*M3499</f>
        <v>0</v>
      </c>
      <c r="Q3499" s="30"/>
      <c r="R3499" s="22" t="s">
        <v>12290</v>
      </c>
      <c r="S3499" s="22" t="s">
        <v>435</v>
      </c>
      <c r="T3499" s="21" t="str">
        <f>HYPERLINK("https://miland.ru/api/getInfo/image/9a7b29e8-b6d6-11ef-a267-00155d82e908")</f>
        <v>https://miland.ru/api/getInfo/image/9a7b29e8-b6d6-11ef-a267-00155d82e908</v>
      </c>
      <c r="U3499" s="21"/>
      <c r="V3499" s="21"/>
      <c r="W3499" s="21" t="s">
        <v>12291</v>
      </c>
      <c r="X3499" s="21" t="s">
        <v>172</v>
      </c>
      <c r="Y3499" s="21" t="s">
        <v>173</v>
      </c>
      <c r="Z3499" s="21"/>
      <c r="AA3499" s="21" t="str">
        <f>HYPERLINK("https://miland.ru/api/getInfo/item/9a7b29e8-b6d6-11ef-a267-00155d82e908")</f>
        <v>https://miland.ru/api/getInfo/item/9a7b29e8-b6d6-11ef-a267-00155d82e908</v>
      </c>
      <c r="AB3499" s="21" t="s">
        <v>42</v>
      </c>
      <c r="AC3499" s="21"/>
      <c r="AD3499" s="21"/>
    </row>
    <row r="3500" spans="2:31" s="1" customFormat="1" ht="96.3" customHeight="1" outlineLevel="4">
      <c r="B3500" s="57">
        <v>2734</v>
      </c>
      <c r="C3500" s="21" t="s">
        <v>12292</v>
      </c>
      <c r="D3500" s="72" t="s">
        <v>12293</v>
      </c>
      <c r="E3500" s="72"/>
      <c r="F3500" s="72"/>
      <c r="G3500" s="72"/>
      <c r="H3500" s="22" t="s">
        <v>12294</v>
      </c>
      <c r="I3500" s="27">
        <v>72</v>
      </c>
      <c r="J3500" s="22"/>
      <c r="K3500" s="20">
        <v>1</v>
      </c>
      <c r="L3500" s="24">
        <v>534.15</v>
      </c>
      <c r="M3500" s="11"/>
      <c r="N3500" s="22">
        <f>L3500*M3500</f>
        <v>0</v>
      </c>
      <c r="O3500" s="25">
        <f>0.148*M3500</f>
        <v>0</v>
      </c>
      <c r="P3500" s="29">
        <f>0.0009*M3500</f>
        <v>0</v>
      </c>
      <c r="Q3500" s="30"/>
      <c r="R3500" s="22" t="s">
        <v>12295</v>
      </c>
      <c r="S3500" s="22" t="s">
        <v>435</v>
      </c>
      <c r="T3500" s="21" t="str">
        <f>HYPERLINK("https://miland.ru/api/getInfo/image/bd6b5e85-b6d6-11ef-a267-00155d82e908")</f>
        <v>https://miland.ru/api/getInfo/image/bd6b5e85-b6d6-11ef-a267-00155d82e908</v>
      </c>
      <c r="U3500" s="21"/>
      <c r="V3500" s="21"/>
      <c r="W3500" s="21" t="s">
        <v>12291</v>
      </c>
      <c r="X3500" s="21" t="s">
        <v>172</v>
      </c>
      <c r="Y3500" s="21" t="s">
        <v>173</v>
      </c>
      <c r="Z3500" s="21" t="s">
        <v>12296</v>
      </c>
      <c r="AA3500" s="21" t="str">
        <f>HYPERLINK("https://miland.ru/api/getInfo/item/bd6b5e85-b6d6-11ef-a267-00155d82e908")</f>
        <v>https://miland.ru/api/getInfo/item/bd6b5e85-b6d6-11ef-a267-00155d82e908</v>
      </c>
      <c r="AB3500" s="21" t="s">
        <v>42</v>
      </c>
      <c r="AC3500" s="21"/>
      <c r="AD3500" s="21"/>
    </row>
    <row r="3501" spans="2:31" ht="12" customHeight="1" outlineLevel="3">
      <c r="B3501" s="70" t="s">
        <v>12297</v>
      </c>
      <c r="C3501" s="70"/>
      <c r="D3501" s="70"/>
      <c r="E3501" s="70"/>
      <c r="F3501" s="70"/>
      <c r="G3501" s="70"/>
    </row>
    <row r="3502" spans="2:31" s="1" customFormat="1" ht="96.3" customHeight="1" outlineLevel="4">
      <c r="B3502" s="57">
        <v>2735</v>
      </c>
      <c r="C3502" s="21" t="s">
        <v>12298</v>
      </c>
      <c r="D3502" s="72" t="s">
        <v>12299</v>
      </c>
      <c r="E3502" s="72"/>
      <c r="F3502" s="72"/>
      <c r="G3502" s="72"/>
      <c r="H3502" s="22" t="s">
        <v>12300</v>
      </c>
      <c r="I3502" s="27">
        <v>6</v>
      </c>
      <c r="J3502" s="22"/>
      <c r="K3502" s="20">
        <v>6</v>
      </c>
      <c r="L3502" s="24">
        <v>75.77</v>
      </c>
      <c r="M3502" s="11"/>
      <c r="N3502" s="22">
        <f>L3502*M3502</f>
        <v>0</v>
      </c>
      <c r="O3502" s="25">
        <f>0.008*M3502</f>
        <v>0</v>
      </c>
      <c r="P3502" s="26">
        <f>0.00002*M3502</f>
        <v>0</v>
      </c>
      <c r="Q3502" s="30"/>
      <c r="R3502" s="22" t="s">
        <v>12301</v>
      </c>
      <c r="S3502" s="22" t="s">
        <v>435</v>
      </c>
      <c r="T3502" s="21" t="str">
        <f>HYPERLINK("https://miland.ru/api/getInfo/image/70e89b00-f5af-11ee-a25b-00155d82e908")</f>
        <v>https://miland.ru/api/getInfo/image/70e89b00-f5af-11ee-a25b-00155d82e908</v>
      </c>
      <c r="U3502" s="21"/>
      <c r="V3502" s="21"/>
      <c r="W3502" s="21" t="s">
        <v>12302</v>
      </c>
      <c r="X3502" s="21"/>
      <c r="Y3502" s="21" t="s">
        <v>41</v>
      </c>
      <c r="Z3502" s="21"/>
      <c r="AA3502" s="21" t="str">
        <f>HYPERLINK("https://miland.ru/api/getInfo/item/70e89b00-f5af-11ee-a25b-00155d82e908")</f>
        <v>https://miland.ru/api/getInfo/item/70e89b00-f5af-11ee-a25b-00155d82e908</v>
      </c>
      <c r="AB3502" s="21" t="s">
        <v>42</v>
      </c>
      <c r="AC3502" s="21" t="s">
        <v>12303</v>
      </c>
      <c r="AD3502" s="21"/>
    </row>
    <row r="3503" spans="2:31" ht="12" customHeight="1" outlineLevel="2">
      <c r="B3503" s="69" t="s">
        <v>12304</v>
      </c>
      <c r="C3503" s="69"/>
      <c r="D3503" s="69"/>
      <c r="E3503" s="69"/>
      <c r="F3503" s="69"/>
      <c r="G3503" s="69"/>
    </row>
    <row r="3504" spans="2:31" ht="12" customHeight="1" outlineLevel="3">
      <c r="B3504" s="70" t="s">
        <v>12305</v>
      </c>
      <c r="C3504" s="70"/>
      <c r="D3504" s="70"/>
      <c r="E3504" s="70"/>
      <c r="F3504" s="70"/>
      <c r="G3504" s="70"/>
    </row>
    <row r="3505" spans="2:31" s="1" customFormat="1" ht="96.3" customHeight="1" outlineLevel="4">
      <c r="B3505" s="57">
        <v>2736</v>
      </c>
      <c r="C3505" s="21" t="s">
        <v>12306</v>
      </c>
      <c r="D3505" s="72" t="s">
        <v>12307</v>
      </c>
      <c r="E3505" s="72"/>
      <c r="F3505" s="72"/>
      <c r="G3505" s="72"/>
      <c r="H3505" s="22" t="s">
        <v>12308</v>
      </c>
      <c r="I3505" s="23" t="s">
        <v>36</v>
      </c>
      <c r="J3505" s="22"/>
      <c r="K3505" s="20">
        <v>1</v>
      </c>
      <c r="L3505" s="32">
        <v>1001.06</v>
      </c>
      <c r="M3505" s="11"/>
      <c r="N3505" s="22">
        <f t="shared" ref="N3505:N3510" si="169">L3505*M3505</f>
        <v>0</v>
      </c>
      <c r="O3505" s="25">
        <f>0.638*M3505</f>
        <v>0</v>
      </c>
      <c r="P3505" s="26">
        <f>0.00096*M3505</f>
        <v>0</v>
      </c>
      <c r="Q3505" s="30"/>
      <c r="R3505" s="22" t="s">
        <v>12309</v>
      </c>
      <c r="S3505" s="22" t="s">
        <v>435</v>
      </c>
      <c r="T3505" s="21" t="str">
        <f>HYPERLINK("https://miland.ru/api/getInfo/image/9c46e848-6119-11ee-a245-00155d82e902")</f>
        <v>https://miland.ru/api/getInfo/image/9c46e848-6119-11ee-a245-00155d82e902</v>
      </c>
      <c r="U3505" s="21"/>
      <c r="V3505" s="21"/>
      <c r="W3505" s="21" t="s">
        <v>12310</v>
      </c>
      <c r="X3505" s="21"/>
      <c r="Y3505" s="21" t="s">
        <v>41</v>
      </c>
      <c r="Z3505" s="21"/>
      <c r="AA3505" s="21" t="str">
        <f>HYPERLINK("https://miland.ru/api/getInfo/item/9c46e848-6119-11ee-a245-00155d82e902")</f>
        <v>https://miland.ru/api/getInfo/item/9c46e848-6119-11ee-a245-00155d82e902</v>
      </c>
      <c r="AB3505" s="21" t="s">
        <v>50</v>
      </c>
      <c r="AC3505" s="21"/>
      <c r="AD3505" s="21"/>
    </row>
    <row r="3506" spans="2:31" s="1" customFormat="1" ht="96.3" customHeight="1" outlineLevel="4">
      <c r="B3506" s="57">
        <v>2737</v>
      </c>
      <c r="C3506" s="21" t="s">
        <v>12311</v>
      </c>
      <c r="D3506" s="72" t="s">
        <v>12312</v>
      </c>
      <c r="E3506" s="72"/>
      <c r="F3506" s="72"/>
      <c r="G3506" s="72"/>
      <c r="H3506" s="22" t="s">
        <v>12313</v>
      </c>
      <c r="I3506" s="23" t="s">
        <v>36</v>
      </c>
      <c r="J3506" s="22"/>
      <c r="K3506" s="20">
        <v>1</v>
      </c>
      <c r="L3506" s="32">
        <v>1001.06</v>
      </c>
      <c r="M3506" s="11"/>
      <c r="N3506" s="22">
        <f t="shared" si="169"/>
        <v>0</v>
      </c>
      <c r="O3506" s="25">
        <f>0.635*M3506</f>
        <v>0</v>
      </c>
      <c r="P3506" s="25">
        <f>0.001*M3506</f>
        <v>0</v>
      </c>
      <c r="Q3506" s="30"/>
      <c r="R3506" s="22" t="s">
        <v>12314</v>
      </c>
      <c r="S3506" s="22" t="s">
        <v>435</v>
      </c>
      <c r="T3506" s="21" t="str">
        <f>HYPERLINK("https://miland.ru/api/getInfo/image/e776d6f8-6119-11ee-a245-00155d82e902")</f>
        <v>https://miland.ru/api/getInfo/image/e776d6f8-6119-11ee-a245-00155d82e902</v>
      </c>
      <c r="U3506" s="21"/>
      <c r="V3506" s="21"/>
      <c r="W3506" s="21" t="s">
        <v>12310</v>
      </c>
      <c r="X3506" s="21"/>
      <c r="Y3506" s="21" t="s">
        <v>41</v>
      </c>
      <c r="Z3506" s="21"/>
      <c r="AA3506" s="21" t="str">
        <f>HYPERLINK("https://miland.ru/api/getInfo/item/e776d6f8-6119-11ee-a245-00155d82e902")</f>
        <v>https://miland.ru/api/getInfo/item/e776d6f8-6119-11ee-a245-00155d82e902</v>
      </c>
      <c r="AB3506" s="21" t="s">
        <v>50</v>
      </c>
      <c r="AC3506" s="21"/>
      <c r="AD3506" s="21"/>
    </row>
    <row r="3507" spans="2:31" s="1" customFormat="1" ht="96.3" customHeight="1" outlineLevel="4">
      <c r="B3507" s="59">
        <v>2738</v>
      </c>
      <c r="C3507" s="35" t="s">
        <v>12315</v>
      </c>
      <c r="D3507" s="73" t="s">
        <v>12316</v>
      </c>
      <c r="E3507" s="73"/>
      <c r="F3507" s="73"/>
      <c r="G3507" s="73"/>
      <c r="H3507" s="36" t="s">
        <v>12317</v>
      </c>
      <c r="I3507" s="56" t="s">
        <v>36</v>
      </c>
      <c r="J3507" s="36"/>
      <c r="K3507" s="34">
        <v>1</v>
      </c>
      <c r="L3507" s="41">
        <v>305.73333333333335</v>
      </c>
      <c r="M3507" s="11"/>
      <c r="N3507" s="36">
        <f t="shared" si="169"/>
        <v>0</v>
      </c>
      <c r="O3507" s="47">
        <f>0.46*M3507</f>
        <v>0</v>
      </c>
      <c r="P3507" s="43">
        <f>0.00077*M3507</f>
        <v>0</v>
      </c>
      <c r="Q3507" s="50"/>
      <c r="R3507" s="36" t="s">
        <v>12318</v>
      </c>
      <c r="S3507" s="36" t="s">
        <v>435</v>
      </c>
      <c r="T3507" s="35" t="str">
        <f>HYPERLINK("https://miland.ru/api/getInfo/image/ed949c47-21bb-11ec-a20f-ac1f6b442185")</f>
        <v>https://miland.ru/api/getInfo/image/ed949c47-21bb-11ec-a20f-ac1f6b442185</v>
      </c>
      <c r="U3507" s="35"/>
      <c r="V3507" s="35"/>
      <c r="W3507" s="35" t="s">
        <v>12310</v>
      </c>
      <c r="X3507" s="35"/>
      <c r="Y3507" s="35" t="s">
        <v>41</v>
      </c>
      <c r="Z3507" s="35"/>
      <c r="AA3507" s="35" t="str">
        <f>HYPERLINK("https://miland.ru/api/getInfo/item/ed949c47-21bb-11ec-a20f-ac1f6b442185")</f>
        <v>https://miland.ru/api/getInfo/item/ed949c47-21bb-11ec-a20f-ac1f6b442185</v>
      </c>
      <c r="AB3507" s="35" t="s">
        <v>50</v>
      </c>
      <c r="AC3507" s="35"/>
      <c r="AD3507" s="35"/>
      <c r="AE3507" s="52" t="s">
        <v>1251</v>
      </c>
    </row>
    <row r="3508" spans="2:31" s="1" customFormat="1" ht="96.3" customHeight="1" outlineLevel="4">
      <c r="B3508" s="59">
        <v>2739</v>
      </c>
      <c r="C3508" s="35" t="s">
        <v>12319</v>
      </c>
      <c r="D3508" s="73" t="s">
        <v>12320</v>
      </c>
      <c r="E3508" s="73"/>
      <c r="F3508" s="73"/>
      <c r="G3508" s="73"/>
      <c r="H3508" s="36" t="s">
        <v>12321</v>
      </c>
      <c r="I3508" s="56" t="s">
        <v>36</v>
      </c>
      <c r="J3508" s="36"/>
      <c r="K3508" s="34">
        <v>1</v>
      </c>
      <c r="L3508" s="41">
        <v>305.73333333333335</v>
      </c>
      <c r="M3508" s="11"/>
      <c r="N3508" s="36">
        <f t="shared" si="169"/>
        <v>0</v>
      </c>
      <c r="O3508" s="47">
        <f>0.46*M3508</f>
        <v>0</v>
      </c>
      <c r="P3508" s="43">
        <f>0.00077*M3508</f>
        <v>0</v>
      </c>
      <c r="Q3508" s="50"/>
      <c r="R3508" s="36" t="s">
        <v>12322</v>
      </c>
      <c r="S3508" s="36" t="s">
        <v>435</v>
      </c>
      <c r="T3508" s="35" t="str">
        <f>HYPERLINK("https://miland.ru/api/getInfo/image/138559ee-2279-11ec-a20f-ac1f6b442185")</f>
        <v>https://miland.ru/api/getInfo/image/138559ee-2279-11ec-a20f-ac1f6b442185</v>
      </c>
      <c r="U3508" s="35"/>
      <c r="V3508" s="35"/>
      <c r="W3508" s="35" t="s">
        <v>12310</v>
      </c>
      <c r="X3508" s="35"/>
      <c r="Y3508" s="35" t="s">
        <v>41</v>
      </c>
      <c r="Z3508" s="35"/>
      <c r="AA3508" s="35" t="str">
        <f>HYPERLINK("https://miland.ru/api/getInfo/item/138559ee-2279-11ec-a20f-ac1f6b442185")</f>
        <v>https://miland.ru/api/getInfo/item/138559ee-2279-11ec-a20f-ac1f6b442185</v>
      </c>
      <c r="AB3508" s="35" t="s">
        <v>50</v>
      </c>
      <c r="AC3508" s="35"/>
      <c r="AD3508" s="35"/>
      <c r="AE3508" s="52" t="s">
        <v>1251</v>
      </c>
    </row>
    <row r="3509" spans="2:31" s="1" customFormat="1" ht="96.3" customHeight="1" outlineLevel="4">
      <c r="B3509" s="57">
        <v>2740</v>
      </c>
      <c r="C3509" s="21" t="s">
        <v>12323</v>
      </c>
      <c r="D3509" s="72" t="s">
        <v>12324</v>
      </c>
      <c r="E3509" s="72"/>
      <c r="F3509" s="72"/>
      <c r="G3509" s="72"/>
      <c r="H3509" s="22" t="s">
        <v>12325</v>
      </c>
      <c r="I3509" s="27">
        <v>110</v>
      </c>
      <c r="J3509" s="22"/>
      <c r="K3509" s="20">
        <v>1</v>
      </c>
      <c r="L3509" s="24">
        <v>412.41</v>
      </c>
      <c r="M3509" s="11"/>
      <c r="N3509" s="22">
        <f t="shared" si="169"/>
        <v>0</v>
      </c>
      <c r="O3509" s="28">
        <f>0.46*M3509</f>
        <v>0</v>
      </c>
      <c r="P3509" s="26">
        <f>0.00077*M3509</f>
        <v>0</v>
      </c>
      <c r="Q3509" s="30"/>
      <c r="R3509" s="22" t="s">
        <v>12326</v>
      </c>
      <c r="S3509" s="22" t="s">
        <v>435</v>
      </c>
      <c r="T3509" s="21" t="str">
        <f>HYPERLINK("https://miland.ru/api/getInfo/image/4029480f-a38c-11ec-a211-ac1f6b442185")</f>
        <v>https://miland.ru/api/getInfo/image/4029480f-a38c-11ec-a211-ac1f6b442185</v>
      </c>
      <c r="U3509" s="21"/>
      <c r="V3509" s="21" t="s">
        <v>12327</v>
      </c>
      <c r="W3509" s="21" t="s">
        <v>12310</v>
      </c>
      <c r="X3509" s="21"/>
      <c r="Y3509" s="21" t="s">
        <v>41</v>
      </c>
      <c r="Z3509" s="21"/>
      <c r="AA3509" s="21" t="str">
        <f>HYPERLINK("https://miland.ru/api/getInfo/item/4029480f-a38c-11ec-a211-ac1f6b442185")</f>
        <v>https://miland.ru/api/getInfo/item/4029480f-a38c-11ec-a211-ac1f6b442185</v>
      </c>
      <c r="AB3509" s="21" t="s">
        <v>50</v>
      </c>
      <c r="AC3509" s="21"/>
      <c r="AD3509" s="21"/>
    </row>
    <row r="3510" spans="2:31" s="1" customFormat="1" ht="96.3" customHeight="1" outlineLevel="4">
      <c r="B3510" s="57">
        <v>2741</v>
      </c>
      <c r="C3510" s="21" t="s">
        <v>12328</v>
      </c>
      <c r="D3510" s="72" t="s">
        <v>12329</v>
      </c>
      <c r="E3510" s="72"/>
      <c r="F3510" s="72"/>
      <c r="G3510" s="72"/>
      <c r="H3510" s="22" t="s">
        <v>12330</v>
      </c>
      <c r="I3510" s="27">
        <v>71</v>
      </c>
      <c r="J3510" s="22"/>
      <c r="K3510" s="20">
        <v>1</v>
      </c>
      <c r="L3510" s="24">
        <v>412.41</v>
      </c>
      <c r="M3510" s="11"/>
      <c r="N3510" s="22">
        <f t="shared" si="169"/>
        <v>0</v>
      </c>
      <c r="O3510" s="28">
        <f>0.46*M3510</f>
        <v>0</v>
      </c>
      <c r="P3510" s="26">
        <f>0.00077*M3510</f>
        <v>0</v>
      </c>
      <c r="Q3510" s="30"/>
      <c r="R3510" s="22" t="s">
        <v>12331</v>
      </c>
      <c r="S3510" s="22" t="s">
        <v>435</v>
      </c>
      <c r="T3510" s="21" t="str">
        <f>HYPERLINK("https://miland.ru/api/getInfo/image/7c201ea7-a38c-11ec-a211-ac1f6b442185")</f>
        <v>https://miland.ru/api/getInfo/image/7c201ea7-a38c-11ec-a211-ac1f6b442185</v>
      </c>
      <c r="U3510" s="21"/>
      <c r="V3510" s="21"/>
      <c r="W3510" s="21" t="s">
        <v>12310</v>
      </c>
      <c r="X3510" s="21"/>
      <c r="Y3510" s="21" t="s">
        <v>41</v>
      </c>
      <c r="Z3510" s="21"/>
      <c r="AA3510" s="21" t="str">
        <f>HYPERLINK("https://miland.ru/api/getInfo/item/7c201ea7-a38c-11ec-a211-ac1f6b442185")</f>
        <v>https://miland.ru/api/getInfo/item/7c201ea7-a38c-11ec-a211-ac1f6b442185</v>
      </c>
      <c r="AB3510" s="21" t="s">
        <v>50</v>
      </c>
      <c r="AC3510" s="21"/>
      <c r="AD3510" s="21"/>
    </row>
    <row r="3511" spans="2:31" ht="12" customHeight="1" outlineLevel="3">
      <c r="B3511" s="70" t="s">
        <v>12332</v>
      </c>
      <c r="C3511" s="70"/>
      <c r="D3511" s="70"/>
      <c r="E3511" s="70"/>
      <c r="F3511" s="70"/>
      <c r="G3511" s="70"/>
    </row>
    <row r="3512" spans="2:31" ht="12" customHeight="1" outlineLevel="4">
      <c r="B3512" s="70" t="s">
        <v>12333</v>
      </c>
      <c r="C3512" s="70"/>
      <c r="D3512" s="70"/>
      <c r="E3512" s="70"/>
      <c r="F3512" s="70"/>
      <c r="G3512" s="70"/>
    </row>
    <row r="3513" spans="2:31" s="1" customFormat="1" ht="96.3" customHeight="1" outlineLevel="5">
      <c r="B3513" s="57">
        <v>2742</v>
      </c>
      <c r="C3513" s="21" t="s">
        <v>12334</v>
      </c>
      <c r="D3513" s="72" t="s">
        <v>12335</v>
      </c>
      <c r="E3513" s="72"/>
      <c r="F3513" s="72"/>
      <c r="G3513" s="72"/>
      <c r="H3513" s="22" t="s">
        <v>12336</v>
      </c>
      <c r="I3513" s="23" t="s">
        <v>36</v>
      </c>
      <c r="J3513" s="22"/>
      <c r="K3513" s="20">
        <v>1</v>
      </c>
      <c r="L3513" s="24">
        <v>429.02</v>
      </c>
      <c r="M3513" s="11"/>
      <c r="N3513" s="22">
        <f t="shared" ref="N3513:N3526" si="170">L3513*M3513</f>
        <v>0</v>
      </c>
      <c r="O3513" s="25">
        <f>0.203*M3513</f>
        <v>0</v>
      </c>
      <c r="P3513" s="26">
        <f>0.00053*M3513</f>
        <v>0</v>
      </c>
      <c r="Q3513" s="30"/>
      <c r="R3513" s="22" t="s">
        <v>12337</v>
      </c>
      <c r="S3513" s="22" t="s">
        <v>435</v>
      </c>
      <c r="T3513" s="21" t="str">
        <f>HYPERLINK("https://miland.ru/api/getInfo/image/4661ba39-73aa-11ec-a210-ac1f6b442185")</f>
        <v>https://miland.ru/api/getInfo/image/4661ba39-73aa-11ec-a210-ac1f6b442185</v>
      </c>
      <c r="U3513" s="21"/>
      <c r="V3513" s="21" t="s">
        <v>12338</v>
      </c>
      <c r="W3513" s="21" t="s">
        <v>12339</v>
      </c>
      <c r="X3513" s="21"/>
      <c r="Y3513" s="21" t="s">
        <v>41</v>
      </c>
      <c r="Z3513" s="21"/>
      <c r="AA3513" s="21" t="str">
        <f>HYPERLINK("https://miland.ru/api/getInfo/item/4661ba39-73aa-11ec-a210-ac1f6b442185")</f>
        <v>https://miland.ru/api/getInfo/item/4661ba39-73aa-11ec-a210-ac1f6b442185</v>
      </c>
      <c r="AB3513" s="21" t="s">
        <v>50</v>
      </c>
      <c r="AC3513" s="21"/>
      <c r="AD3513" s="21"/>
    </row>
    <row r="3514" spans="2:31" s="1" customFormat="1" ht="96.3" customHeight="1" outlineLevel="5">
      <c r="B3514" s="57">
        <v>2743</v>
      </c>
      <c r="C3514" s="21" t="s">
        <v>12340</v>
      </c>
      <c r="D3514" s="72" t="s">
        <v>12341</v>
      </c>
      <c r="E3514" s="72"/>
      <c r="F3514" s="72"/>
      <c r="G3514" s="72"/>
      <c r="H3514" s="22" t="s">
        <v>12342</v>
      </c>
      <c r="I3514" s="23" t="s">
        <v>36</v>
      </c>
      <c r="J3514" s="22"/>
      <c r="K3514" s="20">
        <v>1</v>
      </c>
      <c r="L3514" s="24">
        <v>429.02</v>
      </c>
      <c r="M3514" s="11"/>
      <c r="N3514" s="22">
        <f t="shared" si="170"/>
        <v>0</v>
      </c>
      <c r="O3514" s="33">
        <f>0.2*M3514</f>
        <v>0</v>
      </c>
      <c r="P3514" s="26">
        <f>0.00035*M3514</f>
        <v>0</v>
      </c>
      <c r="Q3514" s="30"/>
      <c r="R3514" s="22" t="s">
        <v>12343</v>
      </c>
      <c r="S3514" s="22" t="s">
        <v>435</v>
      </c>
      <c r="T3514" s="21" t="str">
        <f>HYPERLINK("https://miland.ru/api/getInfo/image/f69c7bec-8975-11ec-a211-ac1f6b442185")</f>
        <v>https://miland.ru/api/getInfo/image/f69c7bec-8975-11ec-a211-ac1f6b442185</v>
      </c>
      <c r="U3514" s="21"/>
      <c r="V3514" s="21"/>
      <c r="W3514" s="21" t="s">
        <v>12339</v>
      </c>
      <c r="X3514" s="21"/>
      <c r="Y3514" s="21" t="s">
        <v>41</v>
      </c>
      <c r="Z3514" s="21"/>
      <c r="AA3514" s="21" t="str">
        <f>HYPERLINK("https://miland.ru/api/getInfo/item/f69c7bec-8975-11ec-a211-ac1f6b442185")</f>
        <v>https://miland.ru/api/getInfo/item/f69c7bec-8975-11ec-a211-ac1f6b442185</v>
      </c>
      <c r="AB3514" s="21" t="s">
        <v>50</v>
      </c>
      <c r="AC3514" s="21"/>
      <c r="AD3514" s="21"/>
    </row>
    <row r="3515" spans="2:31" s="1" customFormat="1" ht="96.3" customHeight="1" outlineLevel="5">
      <c r="B3515" s="57">
        <v>2744</v>
      </c>
      <c r="C3515" s="21" t="s">
        <v>12344</v>
      </c>
      <c r="D3515" s="72" t="s">
        <v>12345</v>
      </c>
      <c r="E3515" s="72"/>
      <c r="F3515" s="72"/>
      <c r="G3515" s="72"/>
      <c r="H3515" s="22" t="s">
        <v>12346</v>
      </c>
      <c r="I3515" s="27">
        <v>189</v>
      </c>
      <c r="J3515" s="22"/>
      <c r="K3515" s="20">
        <v>3</v>
      </c>
      <c r="L3515" s="24">
        <v>236.48</v>
      </c>
      <c r="M3515" s="11"/>
      <c r="N3515" s="22">
        <f t="shared" si="170"/>
        <v>0</v>
      </c>
      <c r="O3515" s="25">
        <f>0.105*M3515</f>
        <v>0</v>
      </c>
      <c r="P3515" s="26">
        <f>0.00036*M3515</f>
        <v>0</v>
      </c>
      <c r="Q3515" s="30"/>
      <c r="R3515" s="22" t="s">
        <v>12347</v>
      </c>
      <c r="S3515" s="22"/>
      <c r="T3515" s="21" t="str">
        <f>HYPERLINK("https://miland.ru/api/getInfo/image/348bf6f3-51d5-11ec-a20f-ac1f6b442185")</f>
        <v>https://miland.ru/api/getInfo/image/348bf6f3-51d5-11ec-a20f-ac1f6b442185</v>
      </c>
      <c r="U3515" s="21"/>
      <c r="V3515" s="21"/>
      <c r="W3515" s="21" t="s">
        <v>12339</v>
      </c>
      <c r="X3515" s="21"/>
      <c r="Y3515" s="21" t="s">
        <v>41</v>
      </c>
      <c r="Z3515" s="21"/>
      <c r="AA3515" s="21" t="str">
        <f>HYPERLINK("https://miland.ru/api/getInfo/item/348bf6f3-51d5-11ec-a20f-ac1f6b442185")</f>
        <v>https://miland.ru/api/getInfo/item/348bf6f3-51d5-11ec-a20f-ac1f6b442185</v>
      </c>
      <c r="AB3515" s="21" t="s">
        <v>50</v>
      </c>
      <c r="AC3515" s="21"/>
      <c r="AD3515" s="21"/>
    </row>
    <row r="3516" spans="2:31" s="1" customFormat="1" ht="96.3" customHeight="1" outlineLevel="5">
      <c r="B3516" s="57">
        <v>2745</v>
      </c>
      <c r="C3516" s="21" t="s">
        <v>12348</v>
      </c>
      <c r="D3516" s="72" t="s">
        <v>12349</v>
      </c>
      <c r="E3516" s="72"/>
      <c r="F3516" s="72"/>
      <c r="G3516" s="72"/>
      <c r="H3516" s="22" t="s">
        <v>12350</v>
      </c>
      <c r="I3516" s="23" t="s">
        <v>36</v>
      </c>
      <c r="J3516" s="22"/>
      <c r="K3516" s="20">
        <v>3</v>
      </c>
      <c r="L3516" s="24">
        <v>236.48</v>
      </c>
      <c r="M3516" s="11"/>
      <c r="N3516" s="22">
        <f t="shared" si="170"/>
        <v>0</v>
      </c>
      <c r="O3516" s="25">
        <f>0.103*M3516</f>
        <v>0</v>
      </c>
      <c r="P3516" s="26">
        <f>0.00036*M3516</f>
        <v>0</v>
      </c>
      <c r="Q3516" s="30"/>
      <c r="R3516" s="22" t="s">
        <v>12351</v>
      </c>
      <c r="S3516" s="22"/>
      <c r="T3516" s="21" t="str">
        <f>HYPERLINK("https://miland.ru/api/getInfo/image/b75a431b-51d5-11ec-a20f-ac1f6b442185")</f>
        <v>https://miland.ru/api/getInfo/image/b75a431b-51d5-11ec-a20f-ac1f6b442185</v>
      </c>
      <c r="U3516" s="21"/>
      <c r="V3516" s="21"/>
      <c r="W3516" s="21" t="s">
        <v>12339</v>
      </c>
      <c r="X3516" s="21"/>
      <c r="Y3516" s="21" t="s">
        <v>41</v>
      </c>
      <c r="Z3516" s="21"/>
      <c r="AA3516" s="21" t="str">
        <f>HYPERLINK("https://miland.ru/api/getInfo/item/b75a431b-51d5-11ec-a20f-ac1f6b442185")</f>
        <v>https://miland.ru/api/getInfo/item/b75a431b-51d5-11ec-a20f-ac1f6b442185</v>
      </c>
      <c r="AB3516" s="21" t="s">
        <v>50</v>
      </c>
      <c r="AC3516" s="21"/>
      <c r="AD3516" s="21"/>
    </row>
    <row r="3517" spans="2:31" s="1" customFormat="1" ht="96.3" customHeight="1" outlineLevel="5">
      <c r="B3517" s="57">
        <v>2746</v>
      </c>
      <c r="C3517" s="21" t="s">
        <v>12352</v>
      </c>
      <c r="D3517" s="72" t="s">
        <v>12353</v>
      </c>
      <c r="E3517" s="72"/>
      <c r="F3517" s="72"/>
      <c r="G3517" s="72"/>
      <c r="H3517" s="22" t="s">
        <v>12354</v>
      </c>
      <c r="I3517" s="23" t="s">
        <v>36</v>
      </c>
      <c r="J3517" s="22"/>
      <c r="K3517" s="20">
        <v>1</v>
      </c>
      <c r="L3517" s="24">
        <v>503.39</v>
      </c>
      <c r="M3517" s="11"/>
      <c r="N3517" s="22">
        <f t="shared" si="170"/>
        <v>0</v>
      </c>
      <c r="O3517" s="25">
        <f>0.256*M3517</f>
        <v>0</v>
      </c>
      <c r="P3517" s="26">
        <f>0.00059*M3517</f>
        <v>0</v>
      </c>
      <c r="Q3517" s="30"/>
      <c r="R3517" s="22" t="s">
        <v>12355</v>
      </c>
      <c r="S3517" s="22"/>
      <c r="T3517" s="21" t="str">
        <f>HYPERLINK("https://miland.ru/api/getInfo/image/35a96c1b-e341-11ed-a233-00155d82e902")</f>
        <v>https://miland.ru/api/getInfo/image/35a96c1b-e341-11ed-a233-00155d82e902</v>
      </c>
      <c r="U3517" s="21"/>
      <c r="V3517" s="21" t="s">
        <v>12338</v>
      </c>
      <c r="W3517" s="21" t="s">
        <v>12339</v>
      </c>
      <c r="X3517" s="21"/>
      <c r="Y3517" s="21" t="s">
        <v>12356</v>
      </c>
      <c r="Z3517" s="21"/>
      <c r="AA3517" s="21" t="str">
        <f>HYPERLINK("https://miland.ru/api/getInfo/item/35a96c1b-e341-11ed-a233-00155d82e902")</f>
        <v>https://miland.ru/api/getInfo/item/35a96c1b-e341-11ed-a233-00155d82e902</v>
      </c>
      <c r="AB3517" s="21" t="s">
        <v>50</v>
      </c>
      <c r="AC3517" s="21"/>
      <c r="AD3517" s="21"/>
    </row>
    <row r="3518" spans="2:31" s="1" customFormat="1" ht="96.3" customHeight="1" outlineLevel="5">
      <c r="B3518" s="57">
        <v>2747</v>
      </c>
      <c r="C3518" s="21" t="s">
        <v>12357</v>
      </c>
      <c r="D3518" s="72" t="s">
        <v>12358</v>
      </c>
      <c r="E3518" s="72"/>
      <c r="F3518" s="72"/>
      <c r="G3518" s="72"/>
      <c r="H3518" s="22" t="s">
        <v>12359</v>
      </c>
      <c r="I3518" s="27">
        <v>365</v>
      </c>
      <c r="J3518" s="22"/>
      <c r="K3518" s="20">
        <v>1</v>
      </c>
      <c r="L3518" s="24">
        <v>503.39</v>
      </c>
      <c r="M3518" s="11"/>
      <c r="N3518" s="22">
        <f t="shared" si="170"/>
        <v>0</v>
      </c>
      <c r="O3518" s="25">
        <f>0.262*M3518</f>
        <v>0</v>
      </c>
      <c r="P3518" s="26">
        <f>0.00066*M3518</f>
        <v>0</v>
      </c>
      <c r="Q3518" s="30"/>
      <c r="R3518" s="22" t="s">
        <v>12360</v>
      </c>
      <c r="S3518" s="22"/>
      <c r="T3518" s="21" t="str">
        <f>HYPERLINK("https://miland.ru/api/getInfo/image/37955da9-1384-11ef-a25d-00155d82e908")</f>
        <v>https://miland.ru/api/getInfo/image/37955da9-1384-11ef-a25d-00155d82e908</v>
      </c>
      <c r="U3518" s="21"/>
      <c r="V3518" s="21"/>
      <c r="W3518" s="21" t="s">
        <v>12339</v>
      </c>
      <c r="X3518" s="21"/>
      <c r="Y3518" s="21" t="s">
        <v>41</v>
      </c>
      <c r="Z3518" s="21"/>
      <c r="AA3518" s="21" t="str">
        <f>HYPERLINK("https://miland.ru/api/getInfo/item/37955da9-1384-11ef-a25d-00155d82e908")</f>
        <v>https://miland.ru/api/getInfo/item/37955da9-1384-11ef-a25d-00155d82e908</v>
      </c>
      <c r="AB3518" s="21" t="s">
        <v>50</v>
      </c>
      <c r="AC3518" s="21"/>
      <c r="AD3518" s="21"/>
    </row>
    <row r="3519" spans="2:31" s="1" customFormat="1" ht="96.3" customHeight="1" outlineLevel="5">
      <c r="B3519" s="57">
        <v>2748</v>
      </c>
      <c r="C3519" s="21" t="s">
        <v>12361</v>
      </c>
      <c r="D3519" s="72" t="s">
        <v>12362</v>
      </c>
      <c r="E3519" s="72"/>
      <c r="F3519" s="72"/>
      <c r="G3519" s="72"/>
      <c r="H3519" s="22" t="s">
        <v>12363</v>
      </c>
      <c r="I3519" s="27">
        <v>347</v>
      </c>
      <c r="J3519" s="22"/>
      <c r="K3519" s="20">
        <v>1</v>
      </c>
      <c r="L3519" s="24">
        <v>503.39</v>
      </c>
      <c r="M3519" s="11"/>
      <c r="N3519" s="22">
        <f t="shared" si="170"/>
        <v>0</v>
      </c>
      <c r="O3519" s="25">
        <f>0.266*M3519</f>
        <v>0</v>
      </c>
      <c r="P3519" s="26">
        <f>0.00059*M3519</f>
        <v>0</v>
      </c>
      <c r="Q3519" s="30"/>
      <c r="R3519" s="22" t="s">
        <v>12364</v>
      </c>
      <c r="S3519" s="22"/>
      <c r="T3519" s="21" t="str">
        <f>HYPERLINK("https://miland.ru/api/getInfo/image/feabaaa4-9d81-11ed-a22f-00155d82e902")</f>
        <v>https://miland.ru/api/getInfo/image/feabaaa4-9d81-11ed-a22f-00155d82e902</v>
      </c>
      <c r="U3519" s="21"/>
      <c r="V3519" s="21"/>
      <c r="W3519" s="21" t="s">
        <v>12339</v>
      </c>
      <c r="X3519" s="21"/>
      <c r="Y3519" s="21" t="s">
        <v>41</v>
      </c>
      <c r="Z3519" s="21"/>
      <c r="AA3519" s="21" t="str">
        <f>HYPERLINK("https://miland.ru/api/getInfo/item/feabaaa4-9d81-11ed-a22f-00155d82e902")</f>
        <v>https://miland.ru/api/getInfo/item/feabaaa4-9d81-11ed-a22f-00155d82e902</v>
      </c>
      <c r="AB3519" s="21" t="s">
        <v>50</v>
      </c>
      <c r="AC3519" s="21"/>
      <c r="AD3519" s="21"/>
    </row>
    <row r="3520" spans="2:31" s="1" customFormat="1" ht="96.3" customHeight="1" outlineLevel="5">
      <c r="B3520" s="59">
        <v>2749</v>
      </c>
      <c r="C3520" s="35" t="s">
        <v>12365</v>
      </c>
      <c r="D3520" s="73" t="s">
        <v>12366</v>
      </c>
      <c r="E3520" s="73"/>
      <c r="F3520" s="73"/>
      <c r="G3520" s="73"/>
      <c r="H3520" s="36" t="s">
        <v>12367</v>
      </c>
      <c r="I3520" s="56" t="s">
        <v>36</v>
      </c>
      <c r="J3520" s="36"/>
      <c r="K3520" s="34">
        <v>1</v>
      </c>
      <c r="L3520" s="41">
        <v>339.17333333333335</v>
      </c>
      <c r="M3520" s="11"/>
      <c r="N3520" s="36">
        <f t="shared" si="170"/>
        <v>0</v>
      </c>
      <c r="O3520" s="42">
        <f>0.262*M3520</f>
        <v>0</v>
      </c>
      <c r="P3520" s="42">
        <f>0.002*M3520</f>
        <v>0</v>
      </c>
      <c r="Q3520" s="50"/>
      <c r="R3520" s="36" t="s">
        <v>12368</v>
      </c>
      <c r="S3520" s="36" t="s">
        <v>435</v>
      </c>
      <c r="T3520" s="35" t="str">
        <f>HYPERLINK("https://miland.ru/api/getInfo/image/358fbed1-9d81-11ed-a22f-00155d82e902")</f>
        <v>https://miland.ru/api/getInfo/image/358fbed1-9d81-11ed-a22f-00155d82e902</v>
      </c>
      <c r="U3520" s="35"/>
      <c r="V3520" s="35"/>
      <c r="W3520" s="35" t="s">
        <v>12339</v>
      </c>
      <c r="X3520" s="35"/>
      <c r="Y3520" s="35" t="s">
        <v>41</v>
      </c>
      <c r="Z3520" s="35"/>
      <c r="AA3520" s="35" t="str">
        <f>HYPERLINK("https://miland.ru/api/getInfo/item/358fbed1-9d81-11ed-a22f-00155d82e902")</f>
        <v>https://miland.ru/api/getInfo/item/358fbed1-9d81-11ed-a22f-00155d82e902</v>
      </c>
      <c r="AB3520" s="35" t="s">
        <v>50</v>
      </c>
      <c r="AC3520" s="35"/>
      <c r="AD3520" s="35"/>
      <c r="AE3520" s="52" t="s">
        <v>1251</v>
      </c>
    </row>
    <row r="3521" spans="2:30" s="1" customFormat="1" ht="96.3" customHeight="1" outlineLevel="5">
      <c r="B3521" s="57">
        <v>2750</v>
      </c>
      <c r="C3521" s="21" t="s">
        <v>12369</v>
      </c>
      <c r="D3521" s="72" t="s">
        <v>12370</v>
      </c>
      <c r="E3521" s="72"/>
      <c r="F3521" s="72"/>
      <c r="G3521" s="72"/>
      <c r="H3521" s="22" t="s">
        <v>12371</v>
      </c>
      <c r="I3521" s="23" t="s">
        <v>36</v>
      </c>
      <c r="J3521" s="22"/>
      <c r="K3521" s="20">
        <v>1</v>
      </c>
      <c r="L3521" s="24">
        <v>503.39</v>
      </c>
      <c r="M3521" s="11"/>
      <c r="N3521" s="22">
        <f t="shared" si="170"/>
        <v>0</v>
      </c>
      <c r="O3521" s="25">
        <f>0.264*M3521</f>
        <v>0</v>
      </c>
      <c r="P3521" s="26">
        <f>0.00069*M3521</f>
        <v>0</v>
      </c>
      <c r="Q3521" s="30"/>
      <c r="R3521" s="22" t="s">
        <v>12372</v>
      </c>
      <c r="S3521" s="22" t="s">
        <v>435</v>
      </c>
      <c r="T3521" s="21" t="str">
        <f>HYPERLINK("https://miland.ru/api/getInfo/image/107a1b38-1384-11ef-a25d-00155d82e908")</f>
        <v>https://miland.ru/api/getInfo/image/107a1b38-1384-11ef-a25d-00155d82e908</v>
      </c>
      <c r="U3521" s="21"/>
      <c r="V3521" s="21"/>
      <c r="W3521" s="21" t="s">
        <v>12339</v>
      </c>
      <c r="X3521" s="21"/>
      <c r="Y3521" s="21" t="s">
        <v>41</v>
      </c>
      <c r="Z3521" s="21"/>
      <c r="AA3521" s="21" t="str">
        <f>HYPERLINK("https://miland.ru/api/getInfo/item/107a1b38-1384-11ef-a25d-00155d82e908")</f>
        <v>https://miland.ru/api/getInfo/item/107a1b38-1384-11ef-a25d-00155d82e908</v>
      </c>
      <c r="AB3521" s="21" t="s">
        <v>50</v>
      </c>
      <c r="AC3521" s="21"/>
      <c r="AD3521" s="21"/>
    </row>
    <row r="3522" spans="2:30" s="1" customFormat="1" ht="96.3" customHeight="1" outlineLevel="5">
      <c r="B3522" s="57">
        <v>2751</v>
      </c>
      <c r="C3522" s="21" t="s">
        <v>12373</v>
      </c>
      <c r="D3522" s="72" t="s">
        <v>12374</v>
      </c>
      <c r="E3522" s="72"/>
      <c r="F3522" s="72"/>
      <c r="G3522" s="72"/>
      <c r="H3522" s="22" t="s">
        <v>12375</v>
      </c>
      <c r="I3522" s="23" t="s">
        <v>36</v>
      </c>
      <c r="J3522" s="22"/>
      <c r="K3522" s="20">
        <v>1</v>
      </c>
      <c r="L3522" s="24">
        <v>503.39</v>
      </c>
      <c r="M3522" s="11"/>
      <c r="N3522" s="22">
        <f t="shared" si="170"/>
        <v>0</v>
      </c>
      <c r="O3522" s="25">
        <f>0.263*M3522</f>
        <v>0</v>
      </c>
      <c r="P3522" s="26">
        <f>0.00065*M3522</f>
        <v>0</v>
      </c>
      <c r="Q3522" s="30"/>
      <c r="R3522" s="22" t="s">
        <v>12376</v>
      </c>
      <c r="S3522" s="22"/>
      <c r="T3522" s="21" t="str">
        <f>HYPERLINK("https://miland.ru/api/getInfo/image/e5a62a12-9d7e-11ed-a22f-00155d82e902")</f>
        <v>https://miland.ru/api/getInfo/image/e5a62a12-9d7e-11ed-a22f-00155d82e902</v>
      </c>
      <c r="U3522" s="21"/>
      <c r="V3522" s="21"/>
      <c r="W3522" s="21" t="s">
        <v>12339</v>
      </c>
      <c r="X3522" s="21"/>
      <c r="Y3522" s="21" t="s">
        <v>41</v>
      </c>
      <c r="Z3522" s="21"/>
      <c r="AA3522" s="21" t="str">
        <f>HYPERLINK("https://miland.ru/api/getInfo/item/e5a62a12-9d7e-11ed-a22f-00155d82e902")</f>
        <v>https://miland.ru/api/getInfo/item/e5a62a12-9d7e-11ed-a22f-00155d82e902</v>
      </c>
      <c r="AB3522" s="21" t="s">
        <v>50</v>
      </c>
      <c r="AC3522" s="21"/>
      <c r="AD3522" s="21"/>
    </row>
    <row r="3523" spans="2:30" s="1" customFormat="1" ht="96.3" customHeight="1" outlineLevel="5">
      <c r="B3523" s="57">
        <v>2752</v>
      </c>
      <c r="C3523" s="21" t="s">
        <v>12377</v>
      </c>
      <c r="D3523" s="72" t="s">
        <v>12378</v>
      </c>
      <c r="E3523" s="72"/>
      <c r="F3523" s="72"/>
      <c r="G3523" s="72"/>
      <c r="H3523" s="22" t="s">
        <v>12379</v>
      </c>
      <c r="I3523" s="23" t="s">
        <v>36</v>
      </c>
      <c r="J3523" s="22"/>
      <c r="K3523" s="20">
        <v>1</v>
      </c>
      <c r="L3523" s="24">
        <v>429.02</v>
      </c>
      <c r="M3523" s="11"/>
      <c r="N3523" s="22">
        <f t="shared" si="170"/>
        <v>0</v>
      </c>
      <c r="O3523" s="25">
        <f>0.198*M3523</f>
        <v>0</v>
      </c>
      <c r="P3523" s="26">
        <f>0.00034*M3523</f>
        <v>0</v>
      </c>
      <c r="Q3523" s="30"/>
      <c r="R3523" s="22" t="s">
        <v>12380</v>
      </c>
      <c r="S3523" s="22"/>
      <c r="T3523" s="21" t="str">
        <f>HYPERLINK("https://miland.ru/api/getInfo/image/ce1c78fd-4225-11ec-a20f-ac1f6b442185")</f>
        <v>https://miland.ru/api/getInfo/image/ce1c78fd-4225-11ec-a20f-ac1f6b442185</v>
      </c>
      <c r="U3523" s="21"/>
      <c r="V3523" s="21"/>
      <c r="W3523" s="21" t="s">
        <v>12339</v>
      </c>
      <c r="X3523" s="21"/>
      <c r="Y3523" s="21" t="s">
        <v>41</v>
      </c>
      <c r="Z3523" s="21"/>
      <c r="AA3523" s="21" t="str">
        <f>HYPERLINK("https://miland.ru/api/getInfo/item/ce1c78fd-4225-11ec-a20f-ac1f6b442185")</f>
        <v>https://miland.ru/api/getInfo/item/ce1c78fd-4225-11ec-a20f-ac1f6b442185</v>
      </c>
      <c r="AB3523" s="21" t="s">
        <v>50</v>
      </c>
      <c r="AC3523" s="21"/>
      <c r="AD3523" s="21"/>
    </row>
    <row r="3524" spans="2:30" s="1" customFormat="1" ht="96.3" customHeight="1" outlineLevel="5">
      <c r="B3524" s="57">
        <v>2753</v>
      </c>
      <c r="C3524" s="21" t="s">
        <v>12381</v>
      </c>
      <c r="D3524" s="72" t="s">
        <v>12382</v>
      </c>
      <c r="E3524" s="72"/>
      <c r="F3524" s="72"/>
      <c r="G3524" s="72"/>
      <c r="H3524" s="22" t="s">
        <v>12383</v>
      </c>
      <c r="I3524" s="27">
        <v>378</v>
      </c>
      <c r="J3524" s="22"/>
      <c r="K3524" s="20">
        <v>1</v>
      </c>
      <c r="L3524" s="24">
        <v>429.02</v>
      </c>
      <c r="M3524" s="11"/>
      <c r="N3524" s="22">
        <f t="shared" si="170"/>
        <v>0</v>
      </c>
      <c r="O3524" s="25">
        <f>0.196*M3524</f>
        <v>0</v>
      </c>
      <c r="P3524" s="26">
        <f>0.00038*M3524</f>
        <v>0</v>
      </c>
      <c r="Q3524" s="30"/>
      <c r="R3524" s="22" t="s">
        <v>12384</v>
      </c>
      <c r="S3524" s="22"/>
      <c r="T3524" s="21" t="str">
        <f>HYPERLINK("https://miland.ru/api/getInfo/image/792c18c9-4225-11ec-a20f-ac1f6b442185")</f>
        <v>https://miland.ru/api/getInfo/image/792c18c9-4225-11ec-a20f-ac1f6b442185</v>
      </c>
      <c r="U3524" s="21"/>
      <c r="V3524" s="21"/>
      <c r="W3524" s="21" t="s">
        <v>12339</v>
      </c>
      <c r="X3524" s="21"/>
      <c r="Y3524" s="21" t="s">
        <v>41</v>
      </c>
      <c r="Z3524" s="21"/>
      <c r="AA3524" s="21" t="str">
        <f>HYPERLINK("https://miland.ru/api/getInfo/item/792c18c9-4225-11ec-a20f-ac1f6b442185")</f>
        <v>https://miland.ru/api/getInfo/item/792c18c9-4225-11ec-a20f-ac1f6b442185</v>
      </c>
      <c r="AB3524" s="21" t="s">
        <v>50</v>
      </c>
      <c r="AC3524" s="21"/>
      <c r="AD3524" s="21"/>
    </row>
    <row r="3525" spans="2:30" s="1" customFormat="1" ht="96.3" customHeight="1" outlineLevel="5">
      <c r="B3525" s="57">
        <v>2754</v>
      </c>
      <c r="C3525" s="21" t="s">
        <v>12385</v>
      </c>
      <c r="D3525" s="72" t="s">
        <v>12386</v>
      </c>
      <c r="E3525" s="72"/>
      <c r="F3525" s="72"/>
      <c r="G3525" s="72"/>
      <c r="H3525" s="22" t="s">
        <v>12387</v>
      </c>
      <c r="I3525" s="23" t="s">
        <v>36</v>
      </c>
      <c r="J3525" s="22"/>
      <c r="K3525" s="20">
        <v>1</v>
      </c>
      <c r="L3525" s="24">
        <v>429.02</v>
      </c>
      <c r="M3525" s="11"/>
      <c r="N3525" s="22">
        <f t="shared" si="170"/>
        <v>0</v>
      </c>
      <c r="O3525" s="28">
        <f>0.19*M3525</f>
        <v>0</v>
      </c>
      <c r="P3525" s="26">
        <f>0.00031*M3525</f>
        <v>0</v>
      </c>
      <c r="Q3525" s="30"/>
      <c r="R3525" s="22" t="s">
        <v>12388</v>
      </c>
      <c r="S3525" s="22" t="s">
        <v>435</v>
      </c>
      <c r="T3525" s="21" t="str">
        <f>HYPERLINK("https://miland.ru/api/getInfo/image/15368c05-d1ce-11ec-a212-ac1f6b442185")</f>
        <v>https://miland.ru/api/getInfo/image/15368c05-d1ce-11ec-a212-ac1f6b442185</v>
      </c>
      <c r="U3525" s="21"/>
      <c r="V3525" s="21"/>
      <c r="W3525" s="21" t="s">
        <v>12339</v>
      </c>
      <c r="X3525" s="21"/>
      <c r="Y3525" s="21" t="s">
        <v>41</v>
      </c>
      <c r="Z3525" s="21"/>
      <c r="AA3525" s="21" t="str">
        <f>HYPERLINK("https://miland.ru/api/getInfo/item/15368c05-d1ce-11ec-a212-ac1f6b442185")</f>
        <v>https://miland.ru/api/getInfo/item/15368c05-d1ce-11ec-a212-ac1f6b442185</v>
      </c>
      <c r="AB3525" s="21" t="s">
        <v>50</v>
      </c>
      <c r="AC3525" s="21"/>
      <c r="AD3525" s="21"/>
    </row>
    <row r="3526" spans="2:30" s="1" customFormat="1" ht="96.3" customHeight="1" outlineLevel="5">
      <c r="B3526" s="57">
        <v>2755</v>
      </c>
      <c r="C3526" s="21" t="s">
        <v>12389</v>
      </c>
      <c r="D3526" s="72" t="s">
        <v>12390</v>
      </c>
      <c r="E3526" s="72"/>
      <c r="F3526" s="72"/>
      <c r="G3526" s="72"/>
      <c r="H3526" s="22" t="s">
        <v>12391</v>
      </c>
      <c r="I3526" s="23" t="s">
        <v>36</v>
      </c>
      <c r="J3526" s="22"/>
      <c r="K3526" s="20">
        <v>1</v>
      </c>
      <c r="L3526" s="32">
        <v>1271.57</v>
      </c>
      <c r="M3526" s="11"/>
      <c r="N3526" s="22">
        <f t="shared" si="170"/>
        <v>0</v>
      </c>
      <c r="O3526" s="25">
        <f>0.489*M3526</f>
        <v>0</v>
      </c>
      <c r="P3526" s="26">
        <f>0.00225*M3526</f>
        <v>0</v>
      </c>
      <c r="Q3526" s="30"/>
      <c r="R3526" s="22" t="s">
        <v>12392</v>
      </c>
      <c r="S3526" s="22" t="s">
        <v>435</v>
      </c>
      <c r="T3526" s="21" t="str">
        <f>HYPERLINK("https://miland.ru/api/getInfo/image/7aa00cbb-fde3-11ec-a213-ac1f6b442185")</f>
        <v>https://miland.ru/api/getInfo/image/7aa00cbb-fde3-11ec-a213-ac1f6b442185</v>
      </c>
      <c r="U3526" s="21"/>
      <c r="V3526" s="21"/>
      <c r="W3526" s="21" t="s">
        <v>12339</v>
      </c>
      <c r="X3526" s="21"/>
      <c r="Y3526" s="21" t="s">
        <v>41</v>
      </c>
      <c r="Z3526" s="21"/>
      <c r="AA3526" s="21" t="str">
        <f>HYPERLINK("https://miland.ru/api/getInfo/item/7aa00cbb-fde3-11ec-a213-ac1f6b442185")</f>
        <v>https://miland.ru/api/getInfo/item/7aa00cbb-fde3-11ec-a213-ac1f6b442185</v>
      </c>
      <c r="AB3526" s="21" t="s">
        <v>42</v>
      </c>
      <c r="AC3526" s="21"/>
      <c r="AD3526" s="21"/>
    </row>
    <row r="3527" spans="2:30" ht="12" customHeight="1" outlineLevel="4">
      <c r="B3527" s="70" t="s">
        <v>12393</v>
      </c>
      <c r="C3527" s="70"/>
      <c r="D3527" s="70"/>
      <c r="E3527" s="70"/>
      <c r="F3527" s="70"/>
      <c r="G3527" s="70"/>
    </row>
    <row r="3528" spans="2:30" s="1" customFormat="1" ht="96.3" customHeight="1" outlineLevel="5">
      <c r="B3528" s="57">
        <v>2756</v>
      </c>
      <c r="C3528" s="21" t="s">
        <v>12394</v>
      </c>
      <c r="D3528" s="72" t="s">
        <v>12395</v>
      </c>
      <c r="E3528" s="72"/>
      <c r="F3528" s="72"/>
      <c r="G3528" s="72"/>
      <c r="H3528" s="22" t="s">
        <v>12396</v>
      </c>
      <c r="I3528" s="23" t="s">
        <v>36</v>
      </c>
      <c r="J3528" s="22"/>
      <c r="K3528" s="20">
        <v>3</v>
      </c>
      <c r="L3528" s="24">
        <v>244.43</v>
      </c>
      <c r="M3528" s="11"/>
      <c r="N3528" s="22">
        <f>L3528*M3528</f>
        <v>0</v>
      </c>
      <c r="O3528" s="28">
        <f>0.12*M3528</f>
        <v>0</v>
      </c>
      <c r="P3528" s="26">
        <f>0.00026*M3528</f>
        <v>0</v>
      </c>
      <c r="Q3528" s="30"/>
      <c r="R3528" s="22" t="s">
        <v>12397</v>
      </c>
      <c r="S3528" s="22"/>
      <c r="T3528" s="21" t="str">
        <f>HYPERLINK("https://miland.ru/api/getInfo/image/b82e2e47-22ef-11e9-a21c-ac1f6b442184")</f>
        <v>https://miland.ru/api/getInfo/image/b82e2e47-22ef-11e9-a21c-ac1f6b442184</v>
      </c>
      <c r="U3528" s="21"/>
      <c r="V3528" s="21" t="s">
        <v>12338</v>
      </c>
      <c r="W3528" s="21" t="s">
        <v>12339</v>
      </c>
      <c r="X3528" s="21"/>
      <c r="Y3528" s="21" t="s">
        <v>41</v>
      </c>
      <c r="Z3528" s="21"/>
      <c r="AA3528" s="21" t="str">
        <f>HYPERLINK("https://miland.ru/api/getInfo/item/b82e2e47-22ef-11e9-a21c-ac1f6b442184")</f>
        <v>https://miland.ru/api/getInfo/item/b82e2e47-22ef-11e9-a21c-ac1f6b442184</v>
      </c>
      <c r="AB3528" s="21" t="s">
        <v>50</v>
      </c>
      <c r="AC3528" s="21"/>
      <c r="AD3528" s="21"/>
    </row>
    <row r="3529" spans="2:30" s="1" customFormat="1" ht="96.3" customHeight="1" outlineLevel="5">
      <c r="B3529" s="57">
        <v>2757</v>
      </c>
      <c r="C3529" s="21" t="s">
        <v>12398</v>
      </c>
      <c r="D3529" s="72" t="s">
        <v>12399</v>
      </c>
      <c r="E3529" s="72"/>
      <c r="F3529" s="72"/>
      <c r="G3529" s="72"/>
      <c r="H3529" s="22" t="s">
        <v>12400</v>
      </c>
      <c r="I3529" s="23" t="s">
        <v>36</v>
      </c>
      <c r="J3529" s="22"/>
      <c r="K3529" s="20">
        <v>3</v>
      </c>
      <c r="L3529" s="24">
        <v>244.43</v>
      </c>
      <c r="M3529" s="11"/>
      <c r="N3529" s="22">
        <f>L3529*M3529</f>
        <v>0</v>
      </c>
      <c r="O3529" s="25">
        <f>0.115*M3529</f>
        <v>0</v>
      </c>
      <c r="P3529" s="29">
        <f>0.0003*M3529</f>
        <v>0</v>
      </c>
      <c r="Q3529" s="30"/>
      <c r="R3529" s="22" t="s">
        <v>12401</v>
      </c>
      <c r="S3529" s="22"/>
      <c r="T3529" s="21" t="str">
        <f>HYPERLINK("https://miland.ru/api/getInfo/image/2fc393ec-1b1c-11e9-a21c-ac1f6b442184")</f>
        <v>https://miland.ru/api/getInfo/image/2fc393ec-1b1c-11e9-a21c-ac1f6b442184</v>
      </c>
      <c r="U3529" s="21"/>
      <c r="V3529" s="21" t="s">
        <v>12338</v>
      </c>
      <c r="W3529" s="21" t="s">
        <v>12339</v>
      </c>
      <c r="X3529" s="21"/>
      <c r="Y3529" s="21" t="s">
        <v>41</v>
      </c>
      <c r="Z3529" s="21"/>
      <c r="AA3529" s="21" t="str">
        <f>HYPERLINK("https://miland.ru/api/getInfo/item/2fc393ec-1b1c-11e9-a21c-ac1f6b442184")</f>
        <v>https://miland.ru/api/getInfo/item/2fc393ec-1b1c-11e9-a21c-ac1f6b442184</v>
      </c>
      <c r="AB3529" s="21" t="s">
        <v>50</v>
      </c>
      <c r="AC3529" s="21"/>
      <c r="AD3529" s="21"/>
    </row>
    <row r="3530" spans="2:30" ht="12" customHeight="1" outlineLevel="3">
      <c r="B3530" s="70" t="s">
        <v>12402</v>
      </c>
      <c r="C3530" s="70"/>
      <c r="D3530" s="70"/>
      <c r="E3530" s="70"/>
      <c r="F3530" s="70"/>
      <c r="G3530" s="70"/>
    </row>
    <row r="3531" spans="2:30" s="1" customFormat="1" ht="96.3" customHeight="1" outlineLevel="4">
      <c r="B3531" s="57">
        <v>2758</v>
      </c>
      <c r="C3531" s="21" t="s">
        <v>12403</v>
      </c>
      <c r="D3531" s="72" t="s">
        <v>12404</v>
      </c>
      <c r="E3531" s="72"/>
      <c r="F3531" s="72"/>
      <c r="G3531" s="72"/>
      <c r="H3531" s="22" t="s">
        <v>12405</v>
      </c>
      <c r="I3531" s="27">
        <v>8</v>
      </c>
      <c r="J3531" s="22"/>
      <c r="K3531" s="20">
        <v>1</v>
      </c>
      <c r="L3531" s="32">
        <v>1262</v>
      </c>
      <c r="M3531" s="11"/>
      <c r="N3531" s="22">
        <f>L3531*M3531</f>
        <v>0</v>
      </c>
      <c r="O3531" s="25">
        <f>0.729*M3531</f>
        <v>0</v>
      </c>
      <c r="P3531" s="26">
        <f>0.00204*M3531</f>
        <v>0</v>
      </c>
      <c r="Q3531" s="30"/>
      <c r="R3531" s="22" t="s">
        <v>12406</v>
      </c>
      <c r="S3531" s="22" t="s">
        <v>435</v>
      </c>
      <c r="T3531" s="21" t="str">
        <f>HYPERLINK("https://miland.ru/api/getInfo/image/8a168782-4b2d-11ee-a244-00155d82e902")</f>
        <v>https://miland.ru/api/getInfo/image/8a168782-4b2d-11ee-a244-00155d82e902</v>
      </c>
      <c r="U3531" s="21"/>
      <c r="V3531" s="21"/>
      <c r="W3531" s="21" t="s">
        <v>4899</v>
      </c>
      <c r="X3531" s="21"/>
      <c r="Y3531" s="21" t="s">
        <v>41</v>
      </c>
      <c r="Z3531" s="21"/>
      <c r="AA3531" s="21" t="str">
        <f>HYPERLINK("https://miland.ru/api/getInfo/item/8a168782-4b2d-11ee-a244-00155d82e902")</f>
        <v>https://miland.ru/api/getInfo/item/8a168782-4b2d-11ee-a244-00155d82e902</v>
      </c>
      <c r="AB3531" s="21" t="s">
        <v>50</v>
      </c>
      <c r="AC3531" s="21"/>
      <c r="AD3531" s="21"/>
    </row>
    <row r="3532" spans="2:30" s="1" customFormat="1" ht="96.3" customHeight="1" outlineLevel="4">
      <c r="B3532" s="57">
        <v>2759</v>
      </c>
      <c r="C3532" s="21" t="s">
        <v>12407</v>
      </c>
      <c r="D3532" s="72" t="s">
        <v>12408</v>
      </c>
      <c r="E3532" s="72"/>
      <c r="F3532" s="72"/>
      <c r="G3532" s="72"/>
      <c r="H3532" s="22" t="s">
        <v>12409</v>
      </c>
      <c r="I3532" s="27">
        <v>11</v>
      </c>
      <c r="J3532" s="22"/>
      <c r="K3532" s="20">
        <v>1</v>
      </c>
      <c r="L3532" s="32">
        <v>1841.96</v>
      </c>
      <c r="M3532" s="11"/>
      <c r="N3532" s="22">
        <f>L3532*M3532</f>
        <v>0</v>
      </c>
      <c r="O3532" s="25">
        <f>0.965*M3532</f>
        <v>0</v>
      </c>
      <c r="P3532" s="26">
        <f>0.00266*M3532</f>
        <v>0</v>
      </c>
      <c r="Q3532" s="30"/>
      <c r="R3532" s="22" t="s">
        <v>12410</v>
      </c>
      <c r="S3532" s="22" t="s">
        <v>435</v>
      </c>
      <c r="T3532" s="21" t="str">
        <f>HYPERLINK("https://miland.ru/api/getInfo/image/323934a2-e593-11ed-a233-00155d82e902")</f>
        <v>https://miland.ru/api/getInfo/image/323934a2-e593-11ed-a233-00155d82e902</v>
      </c>
      <c r="U3532" s="21"/>
      <c r="V3532" s="21"/>
      <c r="W3532" s="21"/>
      <c r="X3532" s="21"/>
      <c r="Y3532" s="21" t="s">
        <v>41</v>
      </c>
      <c r="Z3532" s="21"/>
      <c r="AA3532" s="21" t="str">
        <f>HYPERLINK("https://miland.ru/api/getInfo/item/323934a2-e593-11ed-a233-00155d82e902")</f>
        <v>https://miland.ru/api/getInfo/item/323934a2-e593-11ed-a233-00155d82e902</v>
      </c>
      <c r="AB3532" s="21" t="s">
        <v>50</v>
      </c>
      <c r="AC3532" s="21"/>
      <c r="AD3532" s="21"/>
    </row>
    <row r="3533" spans="2:30" s="1" customFormat="1" ht="96.3" customHeight="1" outlineLevel="4">
      <c r="B3533" s="57">
        <v>2760</v>
      </c>
      <c r="C3533" s="21" t="s">
        <v>12411</v>
      </c>
      <c r="D3533" s="72" t="s">
        <v>12412</v>
      </c>
      <c r="E3533" s="72"/>
      <c r="F3533" s="72"/>
      <c r="G3533" s="72"/>
      <c r="H3533" s="22" t="s">
        <v>12413</v>
      </c>
      <c r="I3533" s="27">
        <v>5</v>
      </c>
      <c r="J3533" s="22"/>
      <c r="K3533" s="20">
        <v>1</v>
      </c>
      <c r="L3533" s="32">
        <v>1841.96</v>
      </c>
      <c r="M3533" s="11"/>
      <c r="N3533" s="22">
        <f>L3533*M3533</f>
        <v>0</v>
      </c>
      <c r="O3533" s="25">
        <f>0.975*M3533</f>
        <v>0</v>
      </c>
      <c r="P3533" s="26">
        <f>0.00185*M3533</f>
        <v>0</v>
      </c>
      <c r="Q3533" s="30"/>
      <c r="R3533" s="22" t="s">
        <v>12414</v>
      </c>
      <c r="S3533" s="22" t="s">
        <v>435</v>
      </c>
      <c r="T3533" s="21" t="str">
        <f>HYPERLINK("https://miland.ru/api/getInfo/image/a198b5fa-e592-11ed-a233-00155d82e902")</f>
        <v>https://miland.ru/api/getInfo/image/a198b5fa-e592-11ed-a233-00155d82e902</v>
      </c>
      <c r="U3533" s="21"/>
      <c r="V3533" s="21"/>
      <c r="W3533" s="21"/>
      <c r="X3533" s="21"/>
      <c r="Y3533" s="21" t="s">
        <v>41</v>
      </c>
      <c r="Z3533" s="21"/>
      <c r="AA3533" s="21" t="str">
        <f>HYPERLINK("https://miland.ru/api/getInfo/item/a198b5fa-e592-11ed-a233-00155d82e902")</f>
        <v>https://miland.ru/api/getInfo/item/a198b5fa-e592-11ed-a233-00155d82e902</v>
      </c>
      <c r="AB3533" s="21" t="s">
        <v>50</v>
      </c>
      <c r="AC3533" s="21"/>
      <c r="AD3533" s="21"/>
    </row>
    <row r="3534" spans="2:30" ht="12" customHeight="1" outlineLevel="3">
      <c r="B3534" s="70" t="s">
        <v>12415</v>
      </c>
      <c r="C3534" s="70"/>
      <c r="D3534" s="70"/>
      <c r="E3534" s="70"/>
      <c r="F3534" s="70"/>
      <c r="G3534" s="70"/>
    </row>
    <row r="3535" spans="2:30" s="1" customFormat="1" ht="96.3" customHeight="1" outlineLevel="4">
      <c r="B3535" s="57">
        <v>2761</v>
      </c>
      <c r="C3535" s="21" t="s">
        <v>12416</v>
      </c>
      <c r="D3535" s="72" t="s">
        <v>12417</v>
      </c>
      <c r="E3535" s="72"/>
      <c r="F3535" s="72"/>
      <c r="G3535" s="72"/>
      <c r="H3535" s="22" t="s">
        <v>12418</v>
      </c>
      <c r="I3535" s="23" t="s">
        <v>36</v>
      </c>
      <c r="J3535" s="22"/>
      <c r="K3535" s="20">
        <v>1</v>
      </c>
      <c r="L3535" s="24">
        <v>548.36</v>
      </c>
      <c r="M3535" s="11"/>
      <c r="N3535" s="22">
        <f>L3535*M3535</f>
        <v>0</v>
      </c>
      <c r="O3535" s="25">
        <f>0.293*M3535</f>
        <v>0</v>
      </c>
      <c r="P3535" s="29">
        <f>0.0006*M3535</f>
        <v>0</v>
      </c>
      <c r="Q3535" s="30"/>
      <c r="R3535" s="22" t="s">
        <v>12419</v>
      </c>
      <c r="S3535" s="22"/>
      <c r="T3535" s="21" t="str">
        <f>HYPERLINK("https://miland.ru/api/getInfo/image/dd7961d0-5f36-11ed-a229-00155d82e902")</f>
        <v>https://miland.ru/api/getInfo/image/dd7961d0-5f36-11ed-a229-00155d82e902</v>
      </c>
      <c r="U3535" s="21"/>
      <c r="V3535" s="21" t="s">
        <v>12338</v>
      </c>
      <c r="W3535" s="21" t="s">
        <v>12339</v>
      </c>
      <c r="X3535" s="21"/>
      <c r="Y3535" s="21" t="s">
        <v>41</v>
      </c>
      <c r="Z3535" s="21"/>
      <c r="AA3535" s="21" t="str">
        <f>HYPERLINK("https://miland.ru/api/getInfo/item/dd7961d0-5f36-11ed-a229-00155d82e902")</f>
        <v>https://miland.ru/api/getInfo/item/dd7961d0-5f36-11ed-a229-00155d82e902</v>
      </c>
      <c r="AB3535" s="21" t="s">
        <v>50</v>
      </c>
      <c r="AC3535" s="21"/>
      <c r="AD3535" s="21"/>
    </row>
    <row r="3536" spans="2:30" s="1" customFormat="1" ht="96.3" customHeight="1" outlineLevel="4">
      <c r="B3536" s="57">
        <v>2762</v>
      </c>
      <c r="C3536" s="21" t="s">
        <v>12420</v>
      </c>
      <c r="D3536" s="72" t="s">
        <v>12421</v>
      </c>
      <c r="E3536" s="72"/>
      <c r="F3536" s="72"/>
      <c r="G3536" s="72"/>
      <c r="H3536" s="22" t="s">
        <v>12422</v>
      </c>
      <c r="I3536" s="23" t="s">
        <v>36</v>
      </c>
      <c r="J3536" s="22"/>
      <c r="K3536" s="20">
        <v>2</v>
      </c>
      <c r="L3536" s="24">
        <v>390.34</v>
      </c>
      <c r="M3536" s="11"/>
      <c r="N3536" s="22">
        <f>L3536*M3536</f>
        <v>0</v>
      </c>
      <c r="O3536" s="25">
        <f>0.232*M3536</f>
        <v>0</v>
      </c>
      <c r="P3536" s="26">
        <f>0.00056*M3536</f>
        <v>0</v>
      </c>
      <c r="Q3536" s="30"/>
      <c r="R3536" s="22" t="s">
        <v>12423</v>
      </c>
      <c r="S3536" s="22"/>
      <c r="T3536" s="21" t="str">
        <f>HYPERLINK("https://miland.ru/api/getInfo/image/9b6308ae-5f36-11ed-a229-00155d82e902")</f>
        <v>https://miland.ru/api/getInfo/image/9b6308ae-5f36-11ed-a229-00155d82e902</v>
      </c>
      <c r="U3536" s="21"/>
      <c r="V3536" s="21" t="s">
        <v>12338</v>
      </c>
      <c r="W3536" s="21" t="s">
        <v>12339</v>
      </c>
      <c r="X3536" s="21"/>
      <c r="Y3536" s="21" t="s">
        <v>12356</v>
      </c>
      <c r="Z3536" s="21"/>
      <c r="AA3536" s="21" t="str">
        <f>HYPERLINK("https://miland.ru/api/getInfo/item/9b6308ae-5f36-11ed-a229-00155d82e902")</f>
        <v>https://miland.ru/api/getInfo/item/9b6308ae-5f36-11ed-a229-00155d82e902</v>
      </c>
      <c r="AB3536" s="21" t="s">
        <v>50</v>
      </c>
      <c r="AC3536" s="21"/>
      <c r="AD3536" s="21"/>
    </row>
    <row r="3537" spans="2:31" s="1" customFormat="1" ht="96.3" customHeight="1" outlineLevel="4">
      <c r="B3537" s="57">
        <v>2763</v>
      </c>
      <c r="C3537" s="21" t="s">
        <v>12424</v>
      </c>
      <c r="D3537" s="72" t="s">
        <v>12425</v>
      </c>
      <c r="E3537" s="72"/>
      <c r="F3537" s="72"/>
      <c r="G3537" s="72"/>
      <c r="H3537" s="22" t="s">
        <v>12426</v>
      </c>
      <c r="I3537" s="23" t="s">
        <v>36</v>
      </c>
      <c r="J3537" s="22"/>
      <c r="K3537" s="20">
        <v>2</v>
      </c>
      <c r="L3537" s="24">
        <v>390.34</v>
      </c>
      <c r="M3537" s="11"/>
      <c r="N3537" s="22">
        <f>L3537*M3537</f>
        <v>0</v>
      </c>
      <c r="O3537" s="25">
        <f>0.211*M3537</f>
        <v>0</v>
      </c>
      <c r="P3537" s="26">
        <f>0.00051*M3537</f>
        <v>0</v>
      </c>
      <c r="Q3537" s="30"/>
      <c r="R3537" s="22" t="s">
        <v>12427</v>
      </c>
      <c r="S3537" s="22"/>
      <c r="T3537" s="21" t="str">
        <f>HYPERLINK("https://miland.ru/api/getInfo/image/3348552e-5f36-11ed-a229-00155d82e902")</f>
        <v>https://miland.ru/api/getInfo/image/3348552e-5f36-11ed-a229-00155d82e902</v>
      </c>
      <c r="U3537" s="21"/>
      <c r="V3537" s="21" t="s">
        <v>12338</v>
      </c>
      <c r="W3537" s="21" t="s">
        <v>12339</v>
      </c>
      <c r="X3537" s="21"/>
      <c r="Y3537" s="21" t="s">
        <v>41</v>
      </c>
      <c r="Z3537" s="21"/>
      <c r="AA3537" s="21" t="str">
        <f>HYPERLINK("https://miland.ru/api/getInfo/item/3348552e-5f36-11ed-a229-00155d82e902")</f>
        <v>https://miland.ru/api/getInfo/item/3348552e-5f36-11ed-a229-00155d82e902</v>
      </c>
      <c r="AB3537" s="21" t="s">
        <v>50</v>
      </c>
      <c r="AC3537" s="21"/>
      <c r="AD3537" s="21"/>
    </row>
    <row r="3538" spans="2:31" s="1" customFormat="1" ht="96.3" customHeight="1" outlineLevel="4">
      <c r="B3538" s="57">
        <v>2764</v>
      </c>
      <c r="C3538" s="21" t="s">
        <v>12428</v>
      </c>
      <c r="D3538" s="72" t="s">
        <v>12429</v>
      </c>
      <c r="E3538" s="72"/>
      <c r="F3538" s="72"/>
      <c r="G3538" s="72"/>
      <c r="H3538" s="22" t="s">
        <v>12430</v>
      </c>
      <c r="I3538" s="27">
        <v>331</v>
      </c>
      <c r="J3538" s="22"/>
      <c r="K3538" s="20">
        <v>1</v>
      </c>
      <c r="L3538" s="24">
        <v>548.36</v>
      </c>
      <c r="M3538" s="11"/>
      <c r="N3538" s="22">
        <f>L3538*M3538</f>
        <v>0</v>
      </c>
      <c r="O3538" s="25">
        <f>0.288*M3538</f>
        <v>0</v>
      </c>
      <c r="P3538" s="29">
        <f>0.0006*M3538</f>
        <v>0</v>
      </c>
      <c r="Q3538" s="30"/>
      <c r="R3538" s="22" t="s">
        <v>12431</v>
      </c>
      <c r="S3538" s="22"/>
      <c r="T3538" s="21" t="str">
        <f>HYPERLINK("https://miland.ru/api/getInfo/image/ddbe2509-9d69-11ee-a256-00155d82e908")</f>
        <v>https://miland.ru/api/getInfo/image/ddbe2509-9d69-11ee-a256-00155d82e908</v>
      </c>
      <c r="U3538" s="21"/>
      <c r="V3538" s="21" t="s">
        <v>12338</v>
      </c>
      <c r="W3538" s="21" t="s">
        <v>12339</v>
      </c>
      <c r="X3538" s="21"/>
      <c r="Y3538" s="21" t="s">
        <v>41</v>
      </c>
      <c r="Z3538" s="21"/>
      <c r="AA3538" s="21" t="str">
        <f>HYPERLINK("https://miland.ru/api/getInfo/item/ddbe2509-9d69-11ee-a256-00155d82e908")</f>
        <v>https://miland.ru/api/getInfo/item/ddbe2509-9d69-11ee-a256-00155d82e908</v>
      </c>
      <c r="AB3538" s="21" t="s">
        <v>50</v>
      </c>
      <c r="AC3538" s="21"/>
      <c r="AD3538" s="21"/>
    </row>
    <row r="3539" spans="2:31" s="1" customFormat="1" ht="96.3" customHeight="1" outlineLevel="4">
      <c r="B3539" s="58">
        <v>2765</v>
      </c>
      <c r="C3539" s="7" t="s">
        <v>12432</v>
      </c>
      <c r="D3539" s="71" t="s">
        <v>12433</v>
      </c>
      <c r="E3539" s="71"/>
      <c r="F3539" s="71"/>
      <c r="G3539" s="71"/>
      <c r="H3539" s="8" t="s">
        <v>12434</v>
      </c>
      <c r="I3539" s="9" t="s">
        <v>36</v>
      </c>
      <c r="J3539" s="8"/>
      <c r="K3539" s="6">
        <v>1</v>
      </c>
      <c r="L3539" s="10">
        <v>390.34</v>
      </c>
      <c r="M3539" s="11"/>
      <c r="N3539" s="8">
        <f>L3539*M3539</f>
        <v>0</v>
      </c>
      <c r="O3539" s="12">
        <f>0.237*M3539</f>
        <v>0</v>
      </c>
      <c r="P3539" s="13">
        <f>0.00054*M3539</f>
        <v>0</v>
      </c>
      <c r="Q3539" s="17" t="s">
        <v>37</v>
      </c>
      <c r="R3539" s="8" t="s">
        <v>12435</v>
      </c>
      <c r="S3539" s="8"/>
      <c r="T3539" s="7" t="str">
        <f>HYPERLINK("https://miland.ru/api/getInfo/image/aab83731-3f04-11f1-a294-00155d82e908")</f>
        <v>https://miland.ru/api/getInfo/image/aab83731-3f04-11f1-a294-00155d82e908</v>
      </c>
      <c r="U3539" s="7"/>
      <c r="V3539" s="7" t="s">
        <v>12338</v>
      </c>
      <c r="W3539" s="7" t="s">
        <v>12339</v>
      </c>
      <c r="X3539" s="7"/>
      <c r="Y3539" s="7" t="s">
        <v>41</v>
      </c>
      <c r="Z3539" s="7"/>
      <c r="AA3539" s="7" t="str">
        <f>HYPERLINK("https://miland.ru/api/getInfo/item/aab83731-3f04-11f1-a294-00155d82e908")</f>
        <v>https://miland.ru/api/getInfo/item/aab83731-3f04-11f1-a294-00155d82e908</v>
      </c>
      <c r="AB3539" s="7" t="s">
        <v>50</v>
      </c>
      <c r="AC3539" s="7"/>
      <c r="AD3539" s="7"/>
      <c r="AE3539" s="54"/>
    </row>
    <row r="3540" spans="2:31" ht="12" customHeight="1" outlineLevel="3">
      <c r="B3540" s="70" t="s">
        <v>12436</v>
      </c>
      <c r="C3540" s="70"/>
      <c r="D3540" s="70"/>
      <c r="E3540" s="70"/>
      <c r="F3540" s="70"/>
      <c r="G3540" s="70"/>
    </row>
    <row r="3541" spans="2:31" ht="12" customHeight="1" outlineLevel="4">
      <c r="B3541" s="70" t="s">
        <v>12437</v>
      </c>
      <c r="C3541" s="70"/>
      <c r="D3541" s="70"/>
      <c r="E3541" s="70"/>
      <c r="F3541" s="70"/>
      <c r="G3541" s="70"/>
    </row>
    <row r="3542" spans="2:31" s="1" customFormat="1" ht="96.3" customHeight="1" outlineLevel="5">
      <c r="B3542" s="57">
        <v>2766</v>
      </c>
      <c r="C3542" s="21" t="s">
        <v>12438</v>
      </c>
      <c r="D3542" s="72" t="s">
        <v>12439</v>
      </c>
      <c r="E3542" s="72"/>
      <c r="F3542" s="72"/>
      <c r="G3542" s="72"/>
      <c r="H3542" s="22" t="s">
        <v>12440</v>
      </c>
      <c r="I3542" s="23" t="s">
        <v>36</v>
      </c>
      <c r="J3542" s="22"/>
      <c r="K3542" s="20">
        <v>2</v>
      </c>
      <c r="L3542" s="24">
        <v>283.47000000000003</v>
      </c>
      <c r="M3542" s="11"/>
      <c r="N3542" s="22">
        <f>L3542*M3542</f>
        <v>0</v>
      </c>
      <c r="O3542" s="25">
        <f>0.028*M3542</f>
        <v>0</v>
      </c>
      <c r="P3542" s="26">
        <f>0.00013*M3542</f>
        <v>0</v>
      </c>
      <c r="Q3542" s="30"/>
      <c r="R3542" s="22" t="s">
        <v>12441</v>
      </c>
      <c r="S3542" s="22"/>
      <c r="T3542" s="21" t="str">
        <f>HYPERLINK("https://miland.ru/api/getInfo/image/2a7ce271-7329-11ee-a248-00155d82e902")</f>
        <v>https://miland.ru/api/getInfo/image/2a7ce271-7329-11ee-a248-00155d82e902</v>
      </c>
      <c r="U3542" s="21"/>
      <c r="V3542" s="21"/>
      <c r="W3542" s="21" t="s">
        <v>10470</v>
      </c>
      <c r="X3542" s="21"/>
      <c r="Y3542" s="21" t="s">
        <v>41</v>
      </c>
      <c r="Z3542" s="21"/>
      <c r="AA3542" s="21" t="str">
        <f>HYPERLINK("https://miland.ru/api/getInfo/item/2a7ce271-7329-11ee-a248-00155d82e902")</f>
        <v>https://miland.ru/api/getInfo/item/2a7ce271-7329-11ee-a248-00155d82e902</v>
      </c>
      <c r="AB3542" s="21" t="s">
        <v>42</v>
      </c>
      <c r="AC3542" s="21" t="s">
        <v>12442</v>
      </c>
      <c r="AD3542" s="21"/>
    </row>
    <row r="3543" spans="2:31" s="1" customFormat="1" ht="96.3" customHeight="1" outlineLevel="5">
      <c r="B3543" s="57">
        <v>2767</v>
      </c>
      <c r="C3543" s="21" t="s">
        <v>12443</v>
      </c>
      <c r="D3543" s="72" t="s">
        <v>12444</v>
      </c>
      <c r="E3543" s="72"/>
      <c r="F3543" s="72"/>
      <c r="G3543" s="72"/>
      <c r="H3543" s="22" t="s">
        <v>12445</v>
      </c>
      <c r="I3543" s="27">
        <v>176</v>
      </c>
      <c r="J3543" s="22"/>
      <c r="K3543" s="20">
        <v>3</v>
      </c>
      <c r="L3543" s="24">
        <v>206.9</v>
      </c>
      <c r="M3543" s="11"/>
      <c r="N3543" s="22">
        <f>L3543*M3543</f>
        <v>0</v>
      </c>
      <c r="O3543" s="25">
        <f>0.015*M3543</f>
        <v>0</v>
      </c>
      <c r="P3543" s="26">
        <f>0.00396*M3543</f>
        <v>0</v>
      </c>
      <c r="Q3543" s="30"/>
      <c r="R3543" s="22" t="s">
        <v>12446</v>
      </c>
      <c r="S3543" s="22"/>
      <c r="T3543" s="21" t="str">
        <f>HYPERLINK("https://miland.ru/api/getInfo/image/c24b9ad2-b884-11ef-a267-00155d82e908")</f>
        <v>https://miland.ru/api/getInfo/image/c24b9ad2-b884-11ef-a267-00155d82e908</v>
      </c>
      <c r="U3543" s="21"/>
      <c r="V3543" s="21"/>
      <c r="W3543" s="21" t="s">
        <v>12447</v>
      </c>
      <c r="X3543" s="21"/>
      <c r="Y3543" s="21" t="s">
        <v>41</v>
      </c>
      <c r="Z3543" s="21"/>
      <c r="AA3543" s="21" t="str">
        <f>HYPERLINK("https://miland.ru/api/getInfo/item/c24b9ad2-b884-11ef-a267-00155d82e908")</f>
        <v>https://miland.ru/api/getInfo/item/c24b9ad2-b884-11ef-a267-00155d82e908</v>
      </c>
      <c r="AB3543" s="21" t="s">
        <v>42</v>
      </c>
      <c r="AC3543" s="21"/>
      <c r="AD3543" s="21"/>
    </row>
    <row r="3544" spans="2:31" s="1" customFormat="1" ht="96.3" customHeight="1" outlineLevel="5">
      <c r="B3544" s="57">
        <v>2768</v>
      </c>
      <c r="C3544" s="21" t="s">
        <v>12448</v>
      </c>
      <c r="D3544" s="72" t="s">
        <v>12449</v>
      </c>
      <c r="E3544" s="72"/>
      <c r="F3544" s="72"/>
      <c r="G3544" s="72"/>
      <c r="H3544" s="22" t="s">
        <v>12450</v>
      </c>
      <c r="I3544" s="27">
        <v>32</v>
      </c>
      <c r="J3544" s="22"/>
      <c r="K3544" s="20">
        <v>2</v>
      </c>
      <c r="L3544" s="24">
        <v>268.82</v>
      </c>
      <c r="M3544" s="11"/>
      <c r="N3544" s="22">
        <f>L3544*M3544</f>
        <v>0</v>
      </c>
      <c r="O3544" s="25">
        <f>0.024*M3544</f>
        <v>0</v>
      </c>
      <c r="P3544" s="26">
        <f>0.00601*M3544</f>
        <v>0</v>
      </c>
      <c r="Q3544" s="30"/>
      <c r="R3544" s="22" t="s">
        <v>12451</v>
      </c>
      <c r="S3544" s="22"/>
      <c r="T3544" s="21" t="str">
        <f>HYPERLINK("https://miland.ru/api/getInfo/image/1f2681a2-b884-11ef-a267-00155d82e908")</f>
        <v>https://miland.ru/api/getInfo/image/1f2681a2-b884-11ef-a267-00155d82e908</v>
      </c>
      <c r="U3544" s="21"/>
      <c r="V3544" s="21"/>
      <c r="W3544" s="21" t="s">
        <v>10470</v>
      </c>
      <c r="X3544" s="21"/>
      <c r="Y3544" s="21" t="s">
        <v>41</v>
      </c>
      <c r="Z3544" s="21"/>
      <c r="AA3544" s="21" t="str">
        <f>HYPERLINK("https://miland.ru/api/getInfo/item/1f2681a2-b884-11ef-a267-00155d82e908")</f>
        <v>https://miland.ru/api/getInfo/item/1f2681a2-b884-11ef-a267-00155d82e908</v>
      </c>
      <c r="AB3544" s="21" t="s">
        <v>42</v>
      </c>
      <c r="AC3544" s="21"/>
      <c r="AD3544" s="21"/>
    </row>
    <row r="3545" spans="2:31" s="1" customFormat="1" ht="96.3" customHeight="1" outlineLevel="5">
      <c r="B3545" s="57">
        <v>2769</v>
      </c>
      <c r="C3545" s="21" t="s">
        <v>12452</v>
      </c>
      <c r="D3545" s="72" t="s">
        <v>12453</v>
      </c>
      <c r="E3545" s="72"/>
      <c r="F3545" s="72"/>
      <c r="G3545" s="72"/>
      <c r="H3545" s="22" t="s">
        <v>12454</v>
      </c>
      <c r="I3545" s="23" t="s">
        <v>36</v>
      </c>
      <c r="J3545" s="22"/>
      <c r="K3545" s="20">
        <v>2</v>
      </c>
      <c r="L3545" s="24">
        <v>268.82</v>
      </c>
      <c r="M3545" s="11"/>
      <c r="N3545" s="22">
        <f>L3545*M3545</f>
        <v>0</v>
      </c>
      <c r="O3545" s="25">
        <f>0.027*M3545</f>
        <v>0</v>
      </c>
      <c r="P3545" s="26">
        <f>0.00005*M3545</f>
        <v>0</v>
      </c>
      <c r="Q3545" s="30"/>
      <c r="R3545" s="22" t="s">
        <v>12455</v>
      </c>
      <c r="S3545" s="22"/>
      <c r="T3545" s="21" t="str">
        <f>HYPERLINK("https://miland.ru/api/getInfo/image/d78c7b7c-b884-11ef-a267-00155d82e908")</f>
        <v>https://miland.ru/api/getInfo/image/d78c7b7c-b884-11ef-a267-00155d82e908</v>
      </c>
      <c r="U3545" s="21"/>
      <c r="V3545" s="21"/>
      <c r="W3545" s="21" t="s">
        <v>10470</v>
      </c>
      <c r="X3545" s="21"/>
      <c r="Y3545" s="21" t="s">
        <v>41</v>
      </c>
      <c r="Z3545" s="21"/>
      <c r="AA3545" s="21" t="str">
        <f>HYPERLINK("https://miland.ru/api/getInfo/item/d78c7b7c-b884-11ef-a267-00155d82e908")</f>
        <v>https://miland.ru/api/getInfo/item/d78c7b7c-b884-11ef-a267-00155d82e908</v>
      </c>
      <c r="AB3545" s="21" t="s">
        <v>42</v>
      </c>
      <c r="AC3545" s="21"/>
      <c r="AD3545" s="21"/>
    </row>
    <row r="3546" spans="2:31" ht="12" customHeight="1" outlineLevel="4">
      <c r="B3546" s="70" t="s">
        <v>12456</v>
      </c>
      <c r="C3546" s="70"/>
      <c r="D3546" s="70"/>
      <c r="E3546" s="70"/>
      <c r="F3546" s="70"/>
      <c r="G3546" s="70"/>
    </row>
    <row r="3547" spans="2:31" s="1" customFormat="1" ht="96.3" customHeight="1" outlineLevel="5">
      <c r="B3547" s="57">
        <v>2770</v>
      </c>
      <c r="C3547" s="21" t="s">
        <v>12457</v>
      </c>
      <c r="D3547" s="72" t="s">
        <v>12458</v>
      </c>
      <c r="E3547" s="72"/>
      <c r="F3547" s="72"/>
      <c r="G3547" s="72"/>
      <c r="H3547" s="22" t="s">
        <v>12459</v>
      </c>
      <c r="I3547" s="27">
        <v>207</v>
      </c>
      <c r="J3547" s="22"/>
      <c r="K3547" s="20">
        <v>2</v>
      </c>
      <c r="L3547" s="24">
        <v>299.79000000000002</v>
      </c>
      <c r="M3547" s="11"/>
      <c r="N3547" s="22">
        <f>L3547*M3547</f>
        <v>0</v>
      </c>
      <c r="O3547" s="28">
        <f>0.07*M3547</f>
        <v>0</v>
      </c>
      <c r="P3547" s="26">
        <f>0.00077*M3547</f>
        <v>0</v>
      </c>
      <c r="Q3547" s="30"/>
      <c r="R3547" s="22" t="s">
        <v>12460</v>
      </c>
      <c r="S3547" s="22" t="s">
        <v>435</v>
      </c>
      <c r="T3547" s="21" t="str">
        <f>HYPERLINK("https://miland.ru/api/getInfo/image/accaed8b-52e6-11ee-a244-00155d82e902")</f>
        <v>https://miland.ru/api/getInfo/image/accaed8b-52e6-11ee-a244-00155d82e902</v>
      </c>
      <c r="U3547" s="21"/>
      <c r="V3547" s="21"/>
      <c r="W3547" s="21" t="s">
        <v>4906</v>
      </c>
      <c r="X3547" s="21"/>
      <c r="Y3547" s="21" t="s">
        <v>41</v>
      </c>
      <c r="Z3547" s="21"/>
      <c r="AA3547" s="21" t="str">
        <f>HYPERLINK("https://miland.ru/api/getInfo/item/accaed8b-52e6-11ee-a244-00155d82e902")</f>
        <v>https://miland.ru/api/getInfo/item/accaed8b-52e6-11ee-a244-00155d82e902</v>
      </c>
      <c r="AB3547" s="21" t="s">
        <v>42</v>
      </c>
      <c r="AC3547" s="21"/>
      <c r="AD3547" s="21"/>
    </row>
    <row r="3548" spans="2:31" s="1" customFormat="1" ht="96.3" customHeight="1" outlineLevel="5">
      <c r="B3548" s="57">
        <v>2771</v>
      </c>
      <c r="C3548" s="21" t="s">
        <v>12461</v>
      </c>
      <c r="D3548" s="72" t="s">
        <v>12462</v>
      </c>
      <c r="E3548" s="72"/>
      <c r="F3548" s="72"/>
      <c r="G3548" s="72"/>
      <c r="H3548" s="22" t="s">
        <v>12463</v>
      </c>
      <c r="I3548" s="23" t="s">
        <v>36</v>
      </c>
      <c r="J3548" s="22"/>
      <c r="K3548" s="20">
        <v>2</v>
      </c>
      <c r="L3548" s="24">
        <v>299.79000000000002</v>
      </c>
      <c r="M3548" s="11"/>
      <c r="N3548" s="22">
        <f>L3548*M3548</f>
        <v>0</v>
      </c>
      <c r="O3548" s="28">
        <f>0.07*M3548</f>
        <v>0</v>
      </c>
      <c r="P3548" s="26">
        <f>0.00077*M3548</f>
        <v>0</v>
      </c>
      <c r="Q3548" s="30"/>
      <c r="R3548" s="22" t="s">
        <v>12464</v>
      </c>
      <c r="S3548" s="22" t="s">
        <v>435</v>
      </c>
      <c r="T3548" s="21" t="str">
        <f>HYPERLINK("https://miland.ru/api/getInfo/image/792b36e0-52e6-11ee-a244-00155d82e902")</f>
        <v>https://miland.ru/api/getInfo/image/792b36e0-52e6-11ee-a244-00155d82e902</v>
      </c>
      <c r="U3548" s="21"/>
      <c r="V3548" s="21"/>
      <c r="W3548" s="21" t="s">
        <v>4906</v>
      </c>
      <c r="X3548" s="21"/>
      <c r="Y3548" s="21" t="s">
        <v>41</v>
      </c>
      <c r="Z3548" s="21"/>
      <c r="AA3548" s="21" t="str">
        <f>HYPERLINK("https://miland.ru/api/getInfo/item/792b36e0-52e6-11ee-a244-00155d82e902")</f>
        <v>https://miland.ru/api/getInfo/item/792b36e0-52e6-11ee-a244-00155d82e902</v>
      </c>
      <c r="AB3548" s="21" t="s">
        <v>42</v>
      </c>
      <c r="AC3548" s="21"/>
      <c r="AD3548" s="21"/>
    </row>
    <row r="3549" spans="2:31" s="1" customFormat="1" ht="96.3" customHeight="1" outlineLevel="5">
      <c r="B3549" s="57">
        <v>2772</v>
      </c>
      <c r="C3549" s="21" t="s">
        <v>12465</v>
      </c>
      <c r="D3549" s="72" t="s">
        <v>12466</v>
      </c>
      <c r="E3549" s="72"/>
      <c r="F3549" s="72"/>
      <c r="G3549" s="72"/>
      <c r="H3549" s="22" t="s">
        <v>12467</v>
      </c>
      <c r="I3549" s="23" t="s">
        <v>36</v>
      </c>
      <c r="J3549" s="22"/>
      <c r="K3549" s="20">
        <v>2</v>
      </c>
      <c r="L3549" s="24">
        <v>319.8</v>
      </c>
      <c r="M3549" s="11"/>
      <c r="N3549" s="22">
        <f>L3549*M3549</f>
        <v>0</v>
      </c>
      <c r="O3549" s="25">
        <f>0.062*M3549</f>
        <v>0</v>
      </c>
      <c r="P3549" s="26">
        <f>0.00473*M3549</f>
        <v>0</v>
      </c>
      <c r="Q3549" s="30"/>
      <c r="R3549" s="22" t="s">
        <v>12468</v>
      </c>
      <c r="S3549" s="22"/>
      <c r="T3549" s="21" t="str">
        <f>HYPERLINK("https://miland.ru/api/getInfo/image/cd3cce67-52e7-11ee-a244-00155d82e902")</f>
        <v>https://miland.ru/api/getInfo/image/cd3cce67-52e7-11ee-a244-00155d82e902</v>
      </c>
      <c r="U3549" s="21"/>
      <c r="V3549" s="21"/>
      <c r="W3549" s="21" t="s">
        <v>4906</v>
      </c>
      <c r="X3549" s="21"/>
      <c r="Y3549" s="21" t="s">
        <v>41</v>
      </c>
      <c r="Z3549" s="21"/>
      <c r="AA3549" s="21" t="str">
        <f>HYPERLINK("https://miland.ru/api/getInfo/item/cd3cce67-52e7-11ee-a244-00155d82e902")</f>
        <v>https://miland.ru/api/getInfo/item/cd3cce67-52e7-11ee-a244-00155d82e902</v>
      </c>
      <c r="AB3549" s="21" t="s">
        <v>42</v>
      </c>
      <c r="AC3549" s="21"/>
      <c r="AD3549" s="21"/>
    </row>
    <row r="3550" spans="2:31" ht="12" customHeight="1" outlineLevel="4">
      <c r="B3550" s="70" t="s">
        <v>12469</v>
      </c>
      <c r="C3550" s="70"/>
      <c r="D3550" s="70"/>
      <c r="E3550" s="70"/>
      <c r="F3550" s="70"/>
      <c r="G3550" s="70"/>
    </row>
    <row r="3551" spans="2:31" s="1" customFormat="1" ht="96.3" customHeight="1" outlineLevel="5">
      <c r="B3551" s="57">
        <v>2773</v>
      </c>
      <c r="C3551" s="21" t="s">
        <v>12470</v>
      </c>
      <c r="D3551" s="72" t="s">
        <v>12471</v>
      </c>
      <c r="E3551" s="72"/>
      <c r="F3551" s="72"/>
      <c r="G3551" s="72"/>
      <c r="H3551" s="22" t="s">
        <v>12472</v>
      </c>
      <c r="I3551" s="23" t="s">
        <v>36</v>
      </c>
      <c r="J3551" s="22"/>
      <c r="K3551" s="20">
        <v>5</v>
      </c>
      <c r="L3551" s="24">
        <v>127.22</v>
      </c>
      <c r="M3551" s="11"/>
      <c r="N3551" s="22">
        <f>L3551*M3551</f>
        <v>0</v>
      </c>
      <c r="O3551" s="25">
        <f>0.008*M3551</f>
        <v>0</v>
      </c>
      <c r="P3551" s="26">
        <f>0.00024*M3551</f>
        <v>0</v>
      </c>
      <c r="Q3551" s="30"/>
      <c r="R3551" s="22" t="s">
        <v>12473</v>
      </c>
      <c r="S3551" s="22" t="s">
        <v>435</v>
      </c>
      <c r="T3551" s="21" t="str">
        <f>HYPERLINK("https://miland.ru/api/getInfo/image/ac46fe44-52e5-11ee-a244-00155d82e902")</f>
        <v>https://miland.ru/api/getInfo/image/ac46fe44-52e5-11ee-a244-00155d82e902</v>
      </c>
      <c r="U3551" s="21"/>
      <c r="V3551" s="21"/>
      <c r="W3551" s="21" t="s">
        <v>8941</v>
      </c>
      <c r="X3551" s="21"/>
      <c r="Y3551" s="21" t="s">
        <v>41</v>
      </c>
      <c r="Z3551" s="21"/>
      <c r="AA3551" s="21" t="str">
        <f>HYPERLINK("https://miland.ru/api/getInfo/item/ac46fe44-52e5-11ee-a244-00155d82e902")</f>
        <v>https://miland.ru/api/getInfo/item/ac46fe44-52e5-11ee-a244-00155d82e902</v>
      </c>
      <c r="AB3551" s="21" t="s">
        <v>42</v>
      </c>
      <c r="AC3551" s="21"/>
      <c r="AD3551" s="21"/>
    </row>
    <row r="3552" spans="2:31" s="1" customFormat="1" ht="96.3" customHeight="1" outlineLevel="5">
      <c r="B3552" s="57">
        <v>2774</v>
      </c>
      <c r="C3552" s="21" t="s">
        <v>12474</v>
      </c>
      <c r="D3552" s="72" t="s">
        <v>12475</v>
      </c>
      <c r="E3552" s="72"/>
      <c r="F3552" s="72"/>
      <c r="G3552" s="72"/>
      <c r="H3552" s="22" t="s">
        <v>12476</v>
      </c>
      <c r="I3552" s="27">
        <v>9</v>
      </c>
      <c r="J3552" s="22"/>
      <c r="K3552" s="20">
        <v>5</v>
      </c>
      <c r="L3552" s="24">
        <v>127.22</v>
      </c>
      <c r="M3552" s="11"/>
      <c r="N3552" s="22">
        <f>L3552*M3552</f>
        <v>0</v>
      </c>
      <c r="O3552" s="25">
        <f>0.015*M3552</f>
        <v>0</v>
      </c>
      <c r="P3552" s="26">
        <f>0.00006*M3552</f>
        <v>0</v>
      </c>
      <c r="Q3552" s="30"/>
      <c r="R3552" s="22" t="s">
        <v>12477</v>
      </c>
      <c r="S3552" s="22" t="s">
        <v>435</v>
      </c>
      <c r="T3552" s="21" t="str">
        <f>HYPERLINK("https://miland.ru/api/getInfo/image/78d7dcc7-52e4-11ee-a244-00155d82e902")</f>
        <v>https://miland.ru/api/getInfo/image/78d7dcc7-52e4-11ee-a244-00155d82e902</v>
      </c>
      <c r="U3552" s="21"/>
      <c r="V3552" s="21"/>
      <c r="W3552" s="21" t="s">
        <v>8941</v>
      </c>
      <c r="X3552" s="21"/>
      <c r="Y3552" s="21" t="s">
        <v>41</v>
      </c>
      <c r="Z3552" s="21"/>
      <c r="AA3552" s="21" t="str">
        <f>HYPERLINK("https://miland.ru/api/getInfo/item/78d7dcc7-52e4-11ee-a244-00155d82e902")</f>
        <v>https://miland.ru/api/getInfo/item/78d7dcc7-52e4-11ee-a244-00155d82e902</v>
      </c>
      <c r="AB3552" s="21" t="s">
        <v>42</v>
      </c>
      <c r="AC3552" s="21"/>
      <c r="AD3552" s="21"/>
    </row>
    <row r="3553" spans="2:31" s="1" customFormat="1" ht="96.3" customHeight="1" outlineLevel="5">
      <c r="B3553" s="57">
        <v>2775</v>
      </c>
      <c r="C3553" s="21" t="s">
        <v>12478</v>
      </c>
      <c r="D3553" s="72" t="s">
        <v>12479</v>
      </c>
      <c r="E3553" s="72"/>
      <c r="F3553" s="72"/>
      <c r="G3553" s="72"/>
      <c r="H3553" s="22" t="s">
        <v>12480</v>
      </c>
      <c r="I3553" s="23" t="s">
        <v>36</v>
      </c>
      <c r="J3553" s="22"/>
      <c r="K3553" s="20">
        <v>5</v>
      </c>
      <c r="L3553" s="24">
        <v>127.22</v>
      </c>
      <c r="M3553" s="11"/>
      <c r="N3553" s="22">
        <f>L3553*M3553</f>
        <v>0</v>
      </c>
      <c r="O3553" s="25">
        <f>0.015*M3553</f>
        <v>0</v>
      </c>
      <c r="P3553" s="26">
        <f>0.00006*M3553</f>
        <v>0</v>
      </c>
      <c r="Q3553" s="30"/>
      <c r="R3553" s="22" t="s">
        <v>12481</v>
      </c>
      <c r="S3553" s="22"/>
      <c r="T3553" s="21" t="str">
        <f>HYPERLINK("https://miland.ru/api/getInfo/image/e852c2bf-52e2-11ee-a244-00155d82e902")</f>
        <v>https://miland.ru/api/getInfo/image/e852c2bf-52e2-11ee-a244-00155d82e902</v>
      </c>
      <c r="U3553" s="21"/>
      <c r="V3553" s="21"/>
      <c r="W3553" s="21" t="s">
        <v>8941</v>
      </c>
      <c r="X3553" s="21"/>
      <c r="Y3553" s="21" t="s">
        <v>41</v>
      </c>
      <c r="Z3553" s="21"/>
      <c r="AA3553" s="21" t="str">
        <f>HYPERLINK("https://miland.ru/api/getInfo/item/e852c2bf-52e2-11ee-a244-00155d82e902")</f>
        <v>https://miland.ru/api/getInfo/item/e852c2bf-52e2-11ee-a244-00155d82e902</v>
      </c>
      <c r="AB3553" s="21" t="s">
        <v>42</v>
      </c>
      <c r="AC3553" s="21"/>
      <c r="AD3553" s="21"/>
    </row>
    <row r="3554" spans="2:31" s="1" customFormat="1" ht="96.3" customHeight="1" outlineLevel="5">
      <c r="B3554" s="57">
        <v>2776</v>
      </c>
      <c r="C3554" s="21" t="s">
        <v>12482</v>
      </c>
      <c r="D3554" s="72" t="s">
        <v>12483</v>
      </c>
      <c r="E3554" s="72"/>
      <c r="F3554" s="72"/>
      <c r="G3554" s="72"/>
      <c r="H3554" s="22" t="s">
        <v>12484</v>
      </c>
      <c r="I3554" s="27">
        <v>9</v>
      </c>
      <c r="J3554" s="22"/>
      <c r="K3554" s="20">
        <v>5</v>
      </c>
      <c r="L3554" s="24">
        <v>127.22</v>
      </c>
      <c r="M3554" s="11"/>
      <c r="N3554" s="22">
        <f>L3554*M3554</f>
        <v>0</v>
      </c>
      <c r="O3554" s="25">
        <f>0.015*M3554</f>
        <v>0</v>
      </c>
      <c r="P3554" s="26">
        <f>0.00006*M3554</f>
        <v>0</v>
      </c>
      <c r="Q3554" s="30"/>
      <c r="R3554" s="22" t="s">
        <v>12485</v>
      </c>
      <c r="S3554" s="22" t="s">
        <v>435</v>
      </c>
      <c r="T3554" s="21" t="str">
        <f>HYPERLINK("https://miland.ru/api/getInfo/image/c71d457f-52e4-11ee-a244-00155d82e902")</f>
        <v>https://miland.ru/api/getInfo/image/c71d457f-52e4-11ee-a244-00155d82e902</v>
      </c>
      <c r="U3554" s="21"/>
      <c r="V3554" s="21"/>
      <c r="W3554" s="21" t="s">
        <v>8941</v>
      </c>
      <c r="X3554" s="21"/>
      <c r="Y3554" s="21" t="s">
        <v>41</v>
      </c>
      <c r="Z3554" s="21"/>
      <c r="AA3554" s="21" t="str">
        <f>HYPERLINK("https://miland.ru/api/getInfo/item/c71d457f-52e4-11ee-a244-00155d82e902")</f>
        <v>https://miland.ru/api/getInfo/item/c71d457f-52e4-11ee-a244-00155d82e902</v>
      </c>
      <c r="AB3554" s="21" t="s">
        <v>42</v>
      </c>
      <c r="AC3554" s="21"/>
      <c r="AD3554" s="21"/>
    </row>
    <row r="3555" spans="2:31" s="1" customFormat="1" ht="96.3" customHeight="1" outlineLevel="5">
      <c r="B3555" s="57">
        <v>2777</v>
      </c>
      <c r="C3555" s="21" t="s">
        <v>12486</v>
      </c>
      <c r="D3555" s="72" t="s">
        <v>12487</v>
      </c>
      <c r="E3555" s="72"/>
      <c r="F3555" s="72"/>
      <c r="G3555" s="72"/>
      <c r="H3555" s="22" t="s">
        <v>12488</v>
      </c>
      <c r="I3555" s="23" t="s">
        <v>36</v>
      </c>
      <c r="J3555" s="22"/>
      <c r="K3555" s="20">
        <v>5</v>
      </c>
      <c r="L3555" s="24">
        <v>127.22</v>
      </c>
      <c r="M3555" s="11"/>
      <c r="N3555" s="22">
        <f>L3555*M3555</f>
        <v>0</v>
      </c>
      <c r="O3555" s="25">
        <f>0.013*M3555</f>
        <v>0</v>
      </c>
      <c r="P3555" s="29">
        <f>0.0004*M3555</f>
        <v>0</v>
      </c>
      <c r="Q3555" s="30"/>
      <c r="R3555" s="22" t="s">
        <v>12489</v>
      </c>
      <c r="S3555" s="22"/>
      <c r="T3555" s="21" t="str">
        <f>HYPERLINK("https://miland.ru/api/getInfo/image/539d8061-52e5-11ee-a244-00155d82e902")</f>
        <v>https://miland.ru/api/getInfo/image/539d8061-52e5-11ee-a244-00155d82e902</v>
      </c>
      <c r="U3555" s="21"/>
      <c r="V3555" s="21"/>
      <c r="W3555" s="21" t="s">
        <v>8941</v>
      </c>
      <c r="X3555" s="21"/>
      <c r="Y3555" s="21" t="s">
        <v>41</v>
      </c>
      <c r="Z3555" s="21"/>
      <c r="AA3555" s="21" t="str">
        <f>HYPERLINK("https://miland.ru/api/getInfo/item/539d8061-52e5-11ee-a244-00155d82e902")</f>
        <v>https://miland.ru/api/getInfo/item/539d8061-52e5-11ee-a244-00155d82e902</v>
      </c>
      <c r="AB3555" s="21" t="s">
        <v>42</v>
      </c>
      <c r="AC3555" s="21"/>
      <c r="AD3555" s="21"/>
    </row>
    <row r="3556" spans="2:31" ht="12" customHeight="1" outlineLevel="4">
      <c r="B3556" s="70" t="s">
        <v>12490</v>
      </c>
      <c r="C3556" s="70"/>
      <c r="D3556" s="70"/>
      <c r="E3556" s="70"/>
      <c r="F3556" s="70"/>
      <c r="G3556" s="70"/>
    </row>
    <row r="3557" spans="2:31" s="1" customFormat="1" ht="96.3" customHeight="1" outlineLevel="5">
      <c r="B3557" s="57">
        <v>2778</v>
      </c>
      <c r="C3557" s="21" t="s">
        <v>12491</v>
      </c>
      <c r="D3557" s="72" t="s">
        <v>12492</v>
      </c>
      <c r="E3557" s="72"/>
      <c r="F3557" s="72"/>
      <c r="G3557" s="72"/>
      <c r="H3557" s="22" t="s">
        <v>12493</v>
      </c>
      <c r="I3557" s="27">
        <v>101</v>
      </c>
      <c r="J3557" s="22"/>
      <c r="K3557" s="20">
        <v>1</v>
      </c>
      <c r="L3557" s="32">
        <v>1799.32</v>
      </c>
      <c r="M3557" s="11"/>
      <c r="N3557" s="22">
        <f>L3557*M3557</f>
        <v>0</v>
      </c>
      <c r="O3557" s="25">
        <f>0.606*M3557</f>
        <v>0</v>
      </c>
      <c r="P3557" s="26">
        <f>0.00689*M3557</f>
        <v>0</v>
      </c>
      <c r="Q3557" s="30"/>
      <c r="R3557" s="22" t="s">
        <v>12494</v>
      </c>
      <c r="S3557" s="22" t="s">
        <v>435</v>
      </c>
      <c r="T3557" s="21" t="str">
        <f>HYPERLINK("https://miland.ru/api/getInfo/image/db5373b2-00d3-11f0-a277-00155d82e908")</f>
        <v>https://miland.ru/api/getInfo/image/db5373b2-00d3-11f0-a277-00155d82e908</v>
      </c>
      <c r="U3557" s="21"/>
      <c r="V3557" s="21"/>
      <c r="W3557" s="21" t="s">
        <v>11362</v>
      </c>
      <c r="X3557" s="21"/>
      <c r="Y3557" s="21" t="s">
        <v>41</v>
      </c>
      <c r="Z3557" s="21"/>
      <c r="AA3557" s="21" t="str">
        <f>HYPERLINK("https://miland.ru/api/getInfo/item/db5373b2-00d3-11f0-a277-00155d82e908")</f>
        <v>https://miland.ru/api/getInfo/item/db5373b2-00d3-11f0-a277-00155d82e908</v>
      </c>
      <c r="AB3557" s="21" t="s">
        <v>42</v>
      </c>
      <c r="AC3557" s="21"/>
      <c r="AD3557" s="21"/>
    </row>
    <row r="3558" spans="2:31" s="1" customFormat="1" ht="96.3" customHeight="1" outlineLevel="5">
      <c r="B3558" s="57">
        <v>2779</v>
      </c>
      <c r="C3558" s="21" t="s">
        <v>12495</v>
      </c>
      <c r="D3558" s="72" t="s">
        <v>12496</v>
      </c>
      <c r="E3558" s="72"/>
      <c r="F3558" s="72"/>
      <c r="G3558" s="72"/>
      <c r="H3558" s="22" t="s">
        <v>12497</v>
      </c>
      <c r="I3558" s="23" t="s">
        <v>36</v>
      </c>
      <c r="J3558" s="22"/>
      <c r="K3558" s="20">
        <v>4</v>
      </c>
      <c r="L3558" s="24">
        <v>170.04</v>
      </c>
      <c r="M3558" s="11"/>
      <c r="N3558" s="22">
        <f>L3558*M3558</f>
        <v>0</v>
      </c>
      <c r="O3558" s="25">
        <f>0.044*M3558</f>
        <v>0</v>
      </c>
      <c r="P3558" s="26">
        <f>0.00033*M3558</f>
        <v>0</v>
      </c>
      <c r="Q3558" s="30"/>
      <c r="R3558" s="22" t="s">
        <v>12498</v>
      </c>
      <c r="S3558" s="22"/>
      <c r="T3558" s="21" t="str">
        <f>HYPERLINK("https://miland.ru/api/getInfo/image/1bef22b5-7319-11ee-a248-00155d82e902")</f>
        <v>https://miland.ru/api/getInfo/image/1bef22b5-7319-11ee-a248-00155d82e902</v>
      </c>
      <c r="U3558" s="21"/>
      <c r="V3558" s="21"/>
      <c r="W3558" s="21" t="s">
        <v>8899</v>
      </c>
      <c r="X3558" s="21"/>
      <c r="Y3558" s="21" t="s">
        <v>41</v>
      </c>
      <c r="Z3558" s="21"/>
      <c r="AA3558" s="21" t="str">
        <f>HYPERLINK("https://miland.ru/api/getInfo/item/1bef22b5-7319-11ee-a248-00155d82e902")</f>
        <v>https://miland.ru/api/getInfo/item/1bef22b5-7319-11ee-a248-00155d82e902</v>
      </c>
      <c r="AB3558" s="21" t="s">
        <v>42</v>
      </c>
      <c r="AC3558" s="21" t="s">
        <v>12499</v>
      </c>
      <c r="AD3558" s="21"/>
    </row>
    <row r="3559" spans="2:31" ht="12" customHeight="1" outlineLevel="4">
      <c r="B3559" s="70" t="s">
        <v>12500</v>
      </c>
      <c r="C3559" s="70"/>
      <c r="D3559" s="70"/>
      <c r="E3559" s="70"/>
      <c r="F3559" s="70"/>
      <c r="G3559" s="70"/>
    </row>
    <row r="3560" spans="2:31" s="1" customFormat="1" ht="96.3" customHeight="1" outlineLevel="5">
      <c r="B3560" s="59">
        <v>2780</v>
      </c>
      <c r="C3560" s="35" t="s">
        <v>12501</v>
      </c>
      <c r="D3560" s="73" t="s">
        <v>12502</v>
      </c>
      <c r="E3560" s="73"/>
      <c r="F3560" s="73"/>
      <c r="G3560" s="73"/>
      <c r="H3560" s="36" t="s">
        <v>12503</v>
      </c>
      <c r="I3560" s="56" t="s">
        <v>36</v>
      </c>
      <c r="J3560" s="36"/>
      <c r="K3560" s="34">
        <v>1</v>
      </c>
      <c r="L3560" s="41">
        <v>251.81333333333336</v>
      </c>
      <c r="M3560" s="11"/>
      <c r="N3560" s="36">
        <f>L3560*M3560</f>
        <v>0</v>
      </c>
      <c r="O3560" s="42">
        <f>0.207*M3560</f>
        <v>0</v>
      </c>
      <c r="P3560" s="43">
        <f>0.00031*M3560</f>
        <v>0</v>
      </c>
      <c r="Q3560" s="50"/>
      <c r="R3560" s="36" t="s">
        <v>12504</v>
      </c>
      <c r="S3560" s="36" t="s">
        <v>435</v>
      </c>
      <c r="T3560" s="35" t="str">
        <f>HYPERLINK("https://miland.ru/api/getInfo/image/b4638255-7e33-11ee-a248-00155d82e902")</f>
        <v>https://miland.ru/api/getInfo/image/b4638255-7e33-11ee-a248-00155d82e902</v>
      </c>
      <c r="U3560" s="35"/>
      <c r="V3560" s="35"/>
      <c r="W3560" s="35" t="s">
        <v>1630</v>
      </c>
      <c r="X3560" s="35"/>
      <c r="Y3560" s="35" t="s">
        <v>41</v>
      </c>
      <c r="Z3560" s="35"/>
      <c r="AA3560" s="35" t="str">
        <f>HYPERLINK("https://miland.ru/api/getInfo/item/b4638255-7e33-11ee-a248-00155d82e902")</f>
        <v>https://miland.ru/api/getInfo/item/b4638255-7e33-11ee-a248-00155d82e902</v>
      </c>
      <c r="AB3560" s="35" t="s">
        <v>42</v>
      </c>
      <c r="AC3560" s="35"/>
      <c r="AD3560" s="35"/>
      <c r="AE3560" s="52" t="s">
        <v>1251</v>
      </c>
    </row>
    <row r="3561" spans="2:31" ht="16.05" customHeight="1" outlineLevel="1">
      <c r="B3561" s="68" t="s">
        <v>12505</v>
      </c>
      <c r="C3561" s="68"/>
      <c r="D3561" s="68"/>
      <c r="E3561" s="68"/>
      <c r="F3561" s="68"/>
      <c r="G3561" s="68"/>
    </row>
    <row r="3562" spans="2:31" ht="12" customHeight="1" outlineLevel="2">
      <c r="B3562" s="69" t="s">
        <v>12506</v>
      </c>
      <c r="C3562" s="69"/>
      <c r="D3562" s="69"/>
      <c r="E3562" s="69"/>
      <c r="F3562" s="69"/>
      <c r="G3562" s="69"/>
    </row>
    <row r="3563" spans="2:31" ht="12" customHeight="1" outlineLevel="3">
      <c r="B3563" s="70" t="s">
        <v>6497</v>
      </c>
      <c r="C3563" s="70"/>
      <c r="D3563" s="70"/>
      <c r="E3563" s="70"/>
      <c r="F3563" s="70"/>
      <c r="G3563" s="70"/>
    </row>
    <row r="3564" spans="2:31" ht="12" customHeight="1" outlineLevel="4">
      <c r="B3564" s="70" t="s">
        <v>12507</v>
      </c>
      <c r="C3564" s="70"/>
      <c r="D3564" s="70"/>
      <c r="E3564" s="70"/>
      <c r="F3564" s="70"/>
      <c r="G3564" s="70"/>
    </row>
    <row r="3565" spans="2:31" ht="12" customHeight="1" outlineLevel="5">
      <c r="B3565" s="70" t="s">
        <v>12508</v>
      </c>
      <c r="C3565" s="70"/>
      <c r="D3565" s="70"/>
      <c r="E3565" s="70"/>
      <c r="F3565" s="70"/>
      <c r="G3565" s="70"/>
    </row>
    <row r="3566" spans="2:31" s="1" customFormat="1" ht="96.3" customHeight="1" outlineLevel="6">
      <c r="B3566" s="57">
        <v>2781</v>
      </c>
      <c r="C3566" s="21" t="s">
        <v>12509</v>
      </c>
      <c r="D3566" s="72" t="s">
        <v>12510</v>
      </c>
      <c r="E3566" s="72"/>
      <c r="F3566" s="72"/>
      <c r="G3566" s="72"/>
      <c r="H3566" s="22" t="s">
        <v>12511</v>
      </c>
      <c r="I3566" s="23" t="s">
        <v>36</v>
      </c>
      <c r="J3566" s="22"/>
      <c r="K3566" s="20">
        <v>25</v>
      </c>
      <c r="L3566" s="24">
        <v>26.07</v>
      </c>
      <c r="M3566" s="11"/>
      <c r="N3566" s="22">
        <f>L3566*M3566</f>
        <v>0</v>
      </c>
      <c r="O3566" s="25">
        <f>0.027*M3566</f>
        <v>0</v>
      </c>
      <c r="P3566" s="26">
        <f>0.00052*M3566</f>
        <v>0</v>
      </c>
      <c r="Q3566" s="30"/>
      <c r="R3566" s="22" t="s">
        <v>12512</v>
      </c>
      <c r="S3566" s="22"/>
      <c r="T3566" s="21" t="str">
        <f>HYPERLINK("https://miland.ru/api/getInfo/image/66593931-63e8-11e8-84c9-5cf3fc4a2490")</f>
        <v>https://miland.ru/api/getInfo/image/66593931-63e8-11e8-84c9-5cf3fc4a2490</v>
      </c>
      <c r="U3566" s="21"/>
      <c r="V3566" s="21" t="s">
        <v>6525</v>
      </c>
      <c r="W3566" s="21" t="s">
        <v>378</v>
      </c>
      <c r="X3566" s="21"/>
      <c r="Y3566" s="21" t="s">
        <v>41</v>
      </c>
      <c r="Z3566" s="21"/>
      <c r="AA3566" s="21" t="str">
        <f>HYPERLINK("https://miland.ru/api/getInfo/item/66593931-63e8-11e8-84c9-5cf3fc4a2490")</f>
        <v>https://miland.ru/api/getInfo/item/66593931-63e8-11e8-84c9-5cf3fc4a2490</v>
      </c>
      <c r="AB3566" s="21" t="s">
        <v>50</v>
      </c>
      <c r="AC3566" s="21"/>
      <c r="AD3566" s="21"/>
    </row>
    <row r="3567" spans="2:31" s="1" customFormat="1" ht="96.3" customHeight="1" outlineLevel="6">
      <c r="B3567" s="57">
        <v>2782</v>
      </c>
      <c r="C3567" s="21" t="s">
        <v>12509</v>
      </c>
      <c r="D3567" s="72" t="s">
        <v>12510</v>
      </c>
      <c r="E3567" s="72"/>
      <c r="F3567" s="72"/>
      <c r="G3567" s="72"/>
      <c r="H3567" s="22" t="s">
        <v>12511</v>
      </c>
      <c r="I3567" s="23" t="s">
        <v>36</v>
      </c>
      <c r="J3567" s="22"/>
      <c r="K3567" s="20">
        <v>25</v>
      </c>
      <c r="L3567" s="24">
        <v>26.07</v>
      </c>
      <c r="M3567" s="11"/>
      <c r="N3567" s="22">
        <f>L3567*M3567</f>
        <v>0</v>
      </c>
      <c r="O3567" s="25">
        <f>0.027*M3567</f>
        <v>0</v>
      </c>
      <c r="P3567" s="26">
        <f>0.00052*M3567</f>
        <v>0</v>
      </c>
      <c r="Q3567" s="30"/>
      <c r="R3567" s="22" t="s">
        <v>12512</v>
      </c>
      <c r="S3567" s="22"/>
      <c r="T3567" s="21" t="str">
        <f>HYPERLINK("https://miland.ru/api/getInfo/image/66593931-63e8-11e8-84c9-5cf3fc4a2490")</f>
        <v>https://miland.ru/api/getInfo/image/66593931-63e8-11e8-84c9-5cf3fc4a2490</v>
      </c>
      <c r="U3567" s="21"/>
      <c r="V3567" s="21" t="s">
        <v>6525</v>
      </c>
      <c r="W3567" s="21" t="s">
        <v>378</v>
      </c>
      <c r="X3567" s="21"/>
      <c r="Y3567" s="21" t="s">
        <v>41</v>
      </c>
      <c r="Z3567" s="21"/>
      <c r="AA3567" s="21" t="str">
        <f>HYPERLINK("https://miland.ru/api/getInfo/item/66593931-63e8-11e8-84c9-5cf3fc4a2490")</f>
        <v>https://miland.ru/api/getInfo/item/66593931-63e8-11e8-84c9-5cf3fc4a2490</v>
      </c>
      <c r="AB3567" s="21" t="s">
        <v>50</v>
      </c>
      <c r="AC3567" s="21"/>
      <c r="AD3567" s="21"/>
    </row>
    <row r="3568" spans="2:31" ht="12" customHeight="1" outlineLevel="5">
      <c r="B3568" s="70" t="s">
        <v>12513</v>
      </c>
      <c r="C3568" s="70"/>
      <c r="D3568" s="70"/>
      <c r="E3568" s="70"/>
      <c r="F3568" s="70"/>
      <c r="G3568" s="70"/>
    </row>
    <row r="3569" spans="2:31" s="1" customFormat="1" ht="96.3" customHeight="1" outlineLevel="6">
      <c r="B3569" s="57">
        <v>2783</v>
      </c>
      <c r="C3569" s="21" t="s">
        <v>12514</v>
      </c>
      <c r="D3569" s="72" t="s">
        <v>12515</v>
      </c>
      <c r="E3569" s="72"/>
      <c r="F3569" s="72"/>
      <c r="G3569" s="72"/>
      <c r="H3569" s="22" t="s">
        <v>12516</v>
      </c>
      <c r="I3569" s="23" t="s">
        <v>36</v>
      </c>
      <c r="J3569" s="22"/>
      <c r="K3569" s="20">
        <v>25</v>
      </c>
      <c r="L3569" s="24">
        <v>34.78</v>
      </c>
      <c r="M3569" s="11"/>
      <c r="N3569" s="22">
        <f>L3569*M3569</f>
        <v>0</v>
      </c>
      <c r="O3569" s="25">
        <f>0.034*M3569</f>
        <v>0</v>
      </c>
      <c r="P3569" s="26">
        <f>0.00228*M3569</f>
        <v>0</v>
      </c>
      <c r="Q3569" s="30"/>
      <c r="R3569" s="22" t="s">
        <v>12517</v>
      </c>
      <c r="S3569" s="22"/>
      <c r="T3569" s="21" t="str">
        <f>HYPERLINK("https://miland.ru/api/getInfo/image/ad209bb1-63e8-11e8-84c9-5cf3fc4a2490")</f>
        <v>https://miland.ru/api/getInfo/image/ad209bb1-63e8-11e8-84c9-5cf3fc4a2490</v>
      </c>
      <c r="U3569" s="21"/>
      <c r="V3569" s="21" t="s">
        <v>6525</v>
      </c>
      <c r="W3569" s="21" t="s">
        <v>378</v>
      </c>
      <c r="X3569" s="21"/>
      <c r="Y3569" s="21" t="s">
        <v>41</v>
      </c>
      <c r="Z3569" s="21"/>
      <c r="AA3569" s="21" t="str">
        <f>HYPERLINK("https://miland.ru/api/getInfo/item/ad209bb1-63e8-11e8-84c9-5cf3fc4a2490")</f>
        <v>https://miland.ru/api/getInfo/item/ad209bb1-63e8-11e8-84c9-5cf3fc4a2490</v>
      </c>
      <c r="AB3569" s="21" t="s">
        <v>50</v>
      </c>
      <c r="AC3569" s="21" t="s">
        <v>12518</v>
      </c>
      <c r="AD3569" s="21"/>
    </row>
    <row r="3570" spans="2:31" s="1" customFormat="1" ht="96.3" customHeight="1" outlineLevel="6">
      <c r="B3570" s="57">
        <v>2784</v>
      </c>
      <c r="C3570" s="21" t="s">
        <v>12514</v>
      </c>
      <c r="D3570" s="72" t="s">
        <v>12515</v>
      </c>
      <c r="E3570" s="72"/>
      <c r="F3570" s="72"/>
      <c r="G3570" s="72"/>
      <c r="H3570" s="22" t="s">
        <v>12516</v>
      </c>
      <c r="I3570" s="23" t="s">
        <v>36</v>
      </c>
      <c r="J3570" s="22"/>
      <c r="K3570" s="20">
        <v>25</v>
      </c>
      <c r="L3570" s="24">
        <v>34.78</v>
      </c>
      <c r="M3570" s="11"/>
      <c r="N3570" s="22">
        <f>L3570*M3570</f>
        <v>0</v>
      </c>
      <c r="O3570" s="25">
        <f>0.034*M3570</f>
        <v>0</v>
      </c>
      <c r="P3570" s="26">
        <f>0.00228*M3570</f>
        <v>0</v>
      </c>
      <c r="Q3570" s="30"/>
      <c r="R3570" s="22" t="s">
        <v>12517</v>
      </c>
      <c r="S3570" s="22"/>
      <c r="T3570" s="21" t="str">
        <f>HYPERLINK("https://miland.ru/api/getInfo/image/ad209bb1-63e8-11e8-84c9-5cf3fc4a2490")</f>
        <v>https://miland.ru/api/getInfo/image/ad209bb1-63e8-11e8-84c9-5cf3fc4a2490</v>
      </c>
      <c r="U3570" s="21"/>
      <c r="V3570" s="21" t="s">
        <v>6525</v>
      </c>
      <c r="W3570" s="21" t="s">
        <v>378</v>
      </c>
      <c r="X3570" s="21"/>
      <c r="Y3570" s="21" t="s">
        <v>41</v>
      </c>
      <c r="Z3570" s="21"/>
      <c r="AA3570" s="21" t="str">
        <f>HYPERLINK("https://miland.ru/api/getInfo/item/ad209bb1-63e8-11e8-84c9-5cf3fc4a2490")</f>
        <v>https://miland.ru/api/getInfo/item/ad209bb1-63e8-11e8-84c9-5cf3fc4a2490</v>
      </c>
      <c r="AB3570" s="21" t="s">
        <v>50</v>
      </c>
      <c r="AC3570" s="21" t="s">
        <v>12518</v>
      </c>
      <c r="AD3570" s="21"/>
    </row>
    <row r="3571" spans="2:31" ht="12" customHeight="1" outlineLevel="5">
      <c r="B3571" s="70" t="s">
        <v>12519</v>
      </c>
      <c r="C3571" s="70"/>
      <c r="D3571" s="70"/>
      <c r="E3571" s="70"/>
      <c r="F3571" s="70"/>
      <c r="G3571" s="70"/>
    </row>
    <row r="3572" spans="2:31" s="1" customFormat="1" ht="96.3" customHeight="1" outlineLevel="6">
      <c r="B3572" s="57">
        <v>2785</v>
      </c>
      <c r="C3572" s="21" t="s">
        <v>12520</v>
      </c>
      <c r="D3572" s="72" t="s">
        <v>12521</v>
      </c>
      <c r="E3572" s="72"/>
      <c r="F3572" s="72"/>
      <c r="G3572" s="72"/>
      <c r="H3572" s="22" t="s">
        <v>12522</v>
      </c>
      <c r="I3572" s="23" t="s">
        <v>36</v>
      </c>
      <c r="J3572" s="22"/>
      <c r="K3572" s="20">
        <v>25</v>
      </c>
      <c r="L3572" s="24">
        <v>37.46</v>
      </c>
      <c r="M3572" s="11"/>
      <c r="N3572" s="22">
        <f>L3572*M3572</f>
        <v>0</v>
      </c>
      <c r="O3572" s="25">
        <f>0.054*M3572</f>
        <v>0</v>
      </c>
      <c r="P3572" s="26">
        <f>0.00065*M3572</f>
        <v>0</v>
      </c>
      <c r="Q3572" s="30"/>
      <c r="R3572" s="22" t="s">
        <v>12523</v>
      </c>
      <c r="S3572" s="22"/>
      <c r="T3572" s="21" t="str">
        <f>HYPERLINK("https://miland.ru/api/getInfo/image/4735bcd1-63e9-11e8-84c9-5cf3fc4a2490")</f>
        <v>https://miland.ru/api/getInfo/image/4735bcd1-63e9-11e8-84c9-5cf3fc4a2490</v>
      </c>
      <c r="U3572" s="21"/>
      <c r="V3572" s="21" t="s">
        <v>6525</v>
      </c>
      <c r="W3572" s="21" t="s">
        <v>378</v>
      </c>
      <c r="X3572" s="21"/>
      <c r="Y3572" s="21" t="s">
        <v>41</v>
      </c>
      <c r="Z3572" s="21"/>
      <c r="AA3572" s="21" t="str">
        <f>HYPERLINK("https://miland.ru/api/getInfo/item/4735bcd1-63e9-11e8-84c9-5cf3fc4a2490")</f>
        <v>https://miland.ru/api/getInfo/item/4735bcd1-63e9-11e8-84c9-5cf3fc4a2490</v>
      </c>
      <c r="AB3572" s="21" t="s">
        <v>50</v>
      </c>
      <c r="AC3572" s="21" t="s">
        <v>12524</v>
      </c>
      <c r="AD3572" s="21"/>
    </row>
    <row r="3573" spans="2:31" s="1" customFormat="1" ht="96.3" customHeight="1" outlineLevel="6">
      <c r="B3573" s="57">
        <v>2786</v>
      </c>
      <c r="C3573" s="21" t="s">
        <v>12520</v>
      </c>
      <c r="D3573" s="72" t="s">
        <v>12521</v>
      </c>
      <c r="E3573" s="72"/>
      <c r="F3573" s="72"/>
      <c r="G3573" s="72"/>
      <c r="H3573" s="22" t="s">
        <v>12522</v>
      </c>
      <c r="I3573" s="23" t="s">
        <v>36</v>
      </c>
      <c r="J3573" s="22"/>
      <c r="K3573" s="20">
        <v>25</v>
      </c>
      <c r="L3573" s="24">
        <v>37.46</v>
      </c>
      <c r="M3573" s="11"/>
      <c r="N3573" s="22">
        <f>L3573*M3573</f>
        <v>0</v>
      </c>
      <c r="O3573" s="25">
        <f>0.054*M3573</f>
        <v>0</v>
      </c>
      <c r="P3573" s="26">
        <f>0.00065*M3573</f>
        <v>0</v>
      </c>
      <c r="Q3573" s="30"/>
      <c r="R3573" s="22" t="s">
        <v>12523</v>
      </c>
      <c r="S3573" s="22"/>
      <c r="T3573" s="21" t="str">
        <f>HYPERLINK("https://miland.ru/api/getInfo/image/4735bcd1-63e9-11e8-84c9-5cf3fc4a2490")</f>
        <v>https://miland.ru/api/getInfo/image/4735bcd1-63e9-11e8-84c9-5cf3fc4a2490</v>
      </c>
      <c r="U3573" s="21"/>
      <c r="V3573" s="21" t="s">
        <v>6525</v>
      </c>
      <c r="W3573" s="21" t="s">
        <v>378</v>
      </c>
      <c r="X3573" s="21"/>
      <c r="Y3573" s="21" t="s">
        <v>41</v>
      </c>
      <c r="Z3573" s="21"/>
      <c r="AA3573" s="21" t="str">
        <f>HYPERLINK("https://miland.ru/api/getInfo/item/4735bcd1-63e9-11e8-84c9-5cf3fc4a2490")</f>
        <v>https://miland.ru/api/getInfo/item/4735bcd1-63e9-11e8-84c9-5cf3fc4a2490</v>
      </c>
      <c r="AB3573" s="21" t="s">
        <v>50</v>
      </c>
      <c r="AC3573" s="21" t="s">
        <v>12524</v>
      </c>
      <c r="AD3573" s="21"/>
    </row>
    <row r="3574" spans="2:31" ht="12" customHeight="1" outlineLevel="4">
      <c r="B3574" s="70" t="s">
        <v>6498</v>
      </c>
      <c r="C3574" s="70"/>
      <c r="D3574" s="70"/>
      <c r="E3574" s="70"/>
      <c r="F3574" s="70"/>
      <c r="G3574" s="70"/>
    </row>
    <row r="3575" spans="2:31" ht="12" customHeight="1" outlineLevel="5">
      <c r="B3575" s="70" t="s">
        <v>12525</v>
      </c>
      <c r="C3575" s="70"/>
      <c r="D3575" s="70"/>
      <c r="E3575" s="70"/>
      <c r="F3575" s="70"/>
      <c r="G3575" s="70"/>
    </row>
    <row r="3576" spans="2:31" ht="12" customHeight="1" outlineLevel="6">
      <c r="B3576" s="70" t="s">
        <v>12526</v>
      </c>
      <c r="C3576" s="70"/>
      <c r="D3576" s="70"/>
      <c r="E3576" s="70"/>
      <c r="F3576" s="70"/>
      <c r="G3576" s="70"/>
    </row>
    <row r="3577" spans="2:31" s="1" customFormat="1" ht="96.3" customHeight="1" outlineLevel="7">
      <c r="B3577" s="58">
        <v>2787</v>
      </c>
      <c r="C3577" s="7" t="s">
        <v>12527</v>
      </c>
      <c r="D3577" s="71" t="s">
        <v>12528</v>
      </c>
      <c r="E3577" s="71"/>
      <c r="F3577" s="71"/>
      <c r="G3577" s="71"/>
      <c r="H3577" s="8" t="s">
        <v>12529</v>
      </c>
      <c r="I3577" s="9" t="s">
        <v>36</v>
      </c>
      <c r="J3577" s="8"/>
      <c r="K3577" s="6">
        <v>12</v>
      </c>
      <c r="L3577" s="10">
        <v>48.32</v>
      </c>
      <c r="M3577" s="11"/>
      <c r="N3577" s="8">
        <f t="shared" ref="N3577:N3589" si="171">L3577*M3577</f>
        <v>0</v>
      </c>
      <c r="O3577" s="12">
        <f>0.037*M3577</f>
        <v>0</v>
      </c>
      <c r="P3577" s="13">
        <f>0.00047*M3577</f>
        <v>0</v>
      </c>
      <c r="Q3577" s="17" t="s">
        <v>37</v>
      </c>
      <c r="R3577" s="8" t="s">
        <v>12530</v>
      </c>
      <c r="S3577" s="8"/>
      <c r="T3577" s="7" t="str">
        <f>HYPERLINK("https://miland.ru/api/getInfo/image/bc761dce-067d-11f1-a28f-00155d82e908")</f>
        <v>https://miland.ru/api/getInfo/image/bc761dce-067d-11f1-a28f-00155d82e908</v>
      </c>
      <c r="U3577" s="7"/>
      <c r="V3577" s="7"/>
      <c r="W3577" s="7" t="s">
        <v>378</v>
      </c>
      <c r="X3577" s="7"/>
      <c r="Y3577" s="7" t="s">
        <v>41</v>
      </c>
      <c r="Z3577" s="7"/>
      <c r="AA3577" s="7" t="str">
        <f>HYPERLINK("https://miland.ru/api/getInfo/item/bc761dce-067d-11f1-a28f-00155d82e908")</f>
        <v>https://miland.ru/api/getInfo/item/bc761dce-067d-11f1-a28f-00155d82e908</v>
      </c>
      <c r="AB3577" s="7" t="s">
        <v>42</v>
      </c>
      <c r="AC3577" s="7"/>
      <c r="AD3577" s="7"/>
      <c r="AE3577" s="54"/>
    </row>
    <row r="3578" spans="2:31" s="1" customFormat="1" ht="96.3" customHeight="1" outlineLevel="7">
      <c r="B3578" s="58">
        <v>2788</v>
      </c>
      <c r="C3578" s="7" t="s">
        <v>12531</v>
      </c>
      <c r="D3578" s="71" t="s">
        <v>12532</v>
      </c>
      <c r="E3578" s="71"/>
      <c r="F3578" s="71"/>
      <c r="G3578" s="71"/>
      <c r="H3578" s="8" t="s">
        <v>12533</v>
      </c>
      <c r="I3578" s="9" t="s">
        <v>36</v>
      </c>
      <c r="J3578" s="8"/>
      <c r="K3578" s="6">
        <v>12</v>
      </c>
      <c r="L3578" s="10">
        <v>48.32</v>
      </c>
      <c r="M3578" s="11"/>
      <c r="N3578" s="8">
        <f t="shared" si="171"/>
        <v>0</v>
      </c>
      <c r="O3578" s="18">
        <f>0.04*M3578</f>
        <v>0</v>
      </c>
      <c r="P3578" s="16">
        <f>0.0009*M3578</f>
        <v>0</v>
      </c>
      <c r="Q3578" s="17" t="s">
        <v>37</v>
      </c>
      <c r="R3578" s="8" t="s">
        <v>12534</v>
      </c>
      <c r="S3578" s="8"/>
      <c r="T3578" s="7" t="str">
        <f>HYPERLINK("https://miland.ru/api/getInfo/image/5e97d03b-067e-11f1-a28f-00155d82e908")</f>
        <v>https://miland.ru/api/getInfo/image/5e97d03b-067e-11f1-a28f-00155d82e908</v>
      </c>
      <c r="U3578" s="7"/>
      <c r="V3578" s="7"/>
      <c r="W3578" s="7" t="s">
        <v>378</v>
      </c>
      <c r="X3578" s="7"/>
      <c r="Y3578" s="7" t="s">
        <v>41</v>
      </c>
      <c r="Z3578" s="7"/>
      <c r="AA3578" s="7" t="str">
        <f>HYPERLINK("https://miland.ru/api/getInfo/item/5e97d03b-067e-11f1-a28f-00155d82e908")</f>
        <v>https://miland.ru/api/getInfo/item/5e97d03b-067e-11f1-a28f-00155d82e908</v>
      </c>
      <c r="AB3578" s="7" t="s">
        <v>42</v>
      </c>
      <c r="AC3578" s="7"/>
      <c r="AD3578" s="7"/>
      <c r="AE3578" s="54"/>
    </row>
    <row r="3579" spans="2:31" s="1" customFormat="1" ht="96.3" customHeight="1" outlineLevel="7">
      <c r="B3579" s="58">
        <v>2789</v>
      </c>
      <c r="C3579" s="7" t="s">
        <v>12535</v>
      </c>
      <c r="D3579" s="71" t="s">
        <v>12536</v>
      </c>
      <c r="E3579" s="71"/>
      <c r="F3579" s="71"/>
      <c r="G3579" s="71"/>
      <c r="H3579" s="8" t="s">
        <v>12537</v>
      </c>
      <c r="I3579" s="9" t="s">
        <v>36</v>
      </c>
      <c r="J3579" s="8"/>
      <c r="K3579" s="6">
        <v>12</v>
      </c>
      <c r="L3579" s="10">
        <v>48.32</v>
      </c>
      <c r="M3579" s="11"/>
      <c r="N3579" s="8">
        <f t="shared" si="171"/>
        <v>0</v>
      </c>
      <c r="O3579" s="12">
        <f>0.045*M3579</f>
        <v>0</v>
      </c>
      <c r="P3579" s="13">
        <f>0.00018*M3579</f>
        <v>0</v>
      </c>
      <c r="Q3579" s="17" t="s">
        <v>37</v>
      </c>
      <c r="R3579" s="8" t="s">
        <v>12538</v>
      </c>
      <c r="S3579" s="8"/>
      <c r="T3579" s="7" t="str">
        <f>HYPERLINK("https://miland.ru/api/getInfo/image/f8b1ace3-9d37-11f0-a285-00155d82e908")</f>
        <v>https://miland.ru/api/getInfo/image/f8b1ace3-9d37-11f0-a285-00155d82e908</v>
      </c>
      <c r="U3579" s="7"/>
      <c r="V3579" s="7" t="s">
        <v>6525</v>
      </c>
      <c r="W3579" s="7" t="s">
        <v>378</v>
      </c>
      <c r="X3579" s="7"/>
      <c r="Y3579" s="7" t="s">
        <v>41</v>
      </c>
      <c r="Z3579" s="7"/>
      <c r="AA3579" s="7" t="str">
        <f>HYPERLINK("https://miland.ru/api/getInfo/item/f8b1ace3-9d37-11f0-a285-00155d82e908")</f>
        <v>https://miland.ru/api/getInfo/item/f8b1ace3-9d37-11f0-a285-00155d82e908</v>
      </c>
      <c r="AB3579" s="7" t="s">
        <v>42</v>
      </c>
      <c r="AC3579" s="7"/>
      <c r="AD3579" s="7"/>
      <c r="AE3579" s="54"/>
    </row>
    <row r="3580" spans="2:31" s="1" customFormat="1" ht="96.3" customHeight="1" outlineLevel="7">
      <c r="B3580" s="58">
        <v>2790</v>
      </c>
      <c r="C3580" s="7" t="s">
        <v>12539</v>
      </c>
      <c r="D3580" s="71" t="s">
        <v>12540</v>
      </c>
      <c r="E3580" s="71"/>
      <c r="F3580" s="71"/>
      <c r="G3580" s="71"/>
      <c r="H3580" s="8" t="s">
        <v>12541</v>
      </c>
      <c r="I3580" s="9" t="s">
        <v>36</v>
      </c>
      <c r="J3580" s="8"/>
      <c r="K3580" s="6">
        <v>12</v>
      </c>
      <c r="L3580" s="10">
        <v>48.32</v>
      </c>
      <c r="M3580" s="11"/>
      <c r="N3580" s="8">
        <f t="shared" si="171"/>
        <v>0</v>
      </c>
      <c r="O3580" s="12">
        <f>0.043*M3580</f>
        <v>0</v>
      </c>
      <c r="P3580" s="16">
        <f>0.0006*M3580</f>
        <v>0</v>
      </c>
      <c r="Q3580" s="17" t="s">
        <v>37</v>
      </c>
      <c r="R3580" s="8" t="s">
        <v>12542</v>
      </c>
      <c r="S3580" s="8"/>
      <c r="T3580" s="7" t="str">
        <f>HYPERLINK("https://miland.ru/api/getInfo/image/4bd64c4e-067d-11f1-a28f-00155d82e908")</f>
        <v>https://miland.ru/api/getInfo/image/4bd64c4e-067d-11f1-a28f-00155d82e908</v>
      </c>
      <c r="U3580" s="7"/>
      <c r="V3580" s="7"/>
      <c r="W3580" s="7" t="s">
        <v>378</v>
      </c>
      <c r="X3580" s="7"/>
      <c r="Y3580" s="7" t="s">
        <v>41</v>
      </c>
      <c r="Z3580" s="7"/>
      <c r="AA3580" s="7" t="str">
        <f>HYPERLINK("https://miland.ru/api/getInfo/item/4bd64c4e-067d-11f1-a28f-00155d82e908")</f>
        <v>https://miland.ru/api/getInfo/item/4bd64c4e-067d-11f1-a28f-00155d82e908</v>
      </c>
      <c r="AB3580" s="7" t="s">
        <v>42</v>
      </c>
      <c r="AC3580" s="7"/>
      <c r="AD3580" s="7"/>
      <c r="AE3580" s="54"/>
    </row>
    <row r="3581" spans="2:31" s="1" customFormat="1" ht="96.3" customHeight="1" outlineLevel="7">
      <c r="B3581" s="58">
        <v>2791</v>
      </c>
      <c r="C3581" s="7" t="s">
        <v>12543</v>
      </c>
      <c r="D3581" s="71" t="s">
        <v>12544</v>
      </c>
      <c r="E3581" s="71"/>
      <c r="F3581" s="71"/>
      <c r="G3581" s="71"/>
      <c r="H3581" s="8" t="s">
        <v>12545</v>
      </c>
      <c r="I3581" s="9" t="s">
        <v>36</v>
      </c>
      <c r="J3581" s="8"/>
      <c r="K3581" s="6">
        <v>12</v>
      </c>
      <c r="L3581" s="10">
        <v>48.32</v>
      </c>
      <c r="M3581" s="11"/>
      <c r="N3581" s="8">
        <f t="shared" si="171"/>
        <v>0</v>
      </c>
      <c r="O3581" s="12">
        <f>0.039*M3581</f>
        <v>0</v>
      </c>
      <c r="P3581" s="13">
        <f>0.01525*M3581</f>
        <v>0</v>
      </c>
      <c r="Q3581" s="17" t="s">
        <v>37</v>
      </c>
      <c r="R3581" s="8" t="s">
        <v>12546</v>
      </c>
      <c r="S3581" s="8"/>
      <c r="T3581" s="7" t="str">
        <f>HYPERLINK("https://miland.ru/api/getInfo/image/f9f5c640-067c-11f1-a28f-00155d82e908")</f>
        <v>https://miland.ru/api/getInfo/image/f9f5c640-067c-11f1-a28f-00155d82e908</v>
      </c>
      <c r="U3581" s="7"/>
      <c r="V3581" s="7"/>
      <c r="W3581" s="7" t="s">
        <v>378</v>
      </c>
      <c r="X3581" s="7"/>
      <c r="Y3581" s="7" t="s">
        <v>41</v>
      </c>
      <c r="Z3581" s="7"/>
      <c r="AA3581" s="7" t="str">
        <f>HYPERLINK("https://miland.ru/api/getInfo/item/f9f5c640-067c-11f1-a28f-00155d82e908")</f>
        <v>https://miland.ru/api/getInfo/item/f9f5c640-067c-11f1-a28f-00155d82e908</v>
      </c>
      <c r="AB3581" s="7" t="s">
        <v>42</v>
      </c>
      <c r="AC3581" s="7"/>
      <c r="AD3581" s="7"/>
      <c r="AE3581" s="54"/>
    </row>
    <row r="3582" spans="2:31" s="1" customFormat="1" ht="96.3" customHeight="1" outlineLevel="7">
      <c r="B3582" s="58">
        <v>2792</v>
      </c>
      <c r="C3582" s="7" t="s">
        <v>12547</v>
      </c>
      <c r="D3582" s="71" t="s">
        <v>12548</v>
      </c>
      <c r="E3582" s="71"/>
      <c r="F3582" s="71"/>
      <c r="G3582" s="71"/>
      <c r="H3582" s="8" t="s">
        <v>12549</v>
      </c>
      <c r="I3582" s="9" t="s">
        <v>36</v>
      </c>
      <c r="J3582" s="8"/>
      <c r="K3582" s="6">
        <v>12</v>
      </c>
      <c r="L3582" s="10">
        <v>48.32</v>
      </c>
      <c r="M3582" s="11"/>
      <c r="N3582" s="8">
        <f t="shared" si="171"/>
        <v>0</v>
      </c>
      <c r="O3582" s="18">
        <f>0.04*M3582</f>
        <v>0</v>
      </c>
      <c r="P3582" s="13">
        <f>0.00052*M3582</f>
        <v>0</v>
      </c>
      <c r="Q3582" s="17" t="s">
        <v>37</v>
      </c>
      <c r="R3582" s="8" t="s">
        <v>12550</v>
      </c>
      <c r="S3582" s="8"/>
      <c r="T3582" s="7" t="str">
        <f>HYPERLINK("https://miland.ru/api/getInfo/image/1f6e1f9b-067d-11f1-a28f-00155d82e908")</f>
        <v>https://miland.ru/api/getInfo/image/1f6e1f9b-067d-11f1-a28f-00155d82e908</v>
      </c>
      <c r="U3582" s="7"/>
      <c r="V3582" s="7"/>
      <c r="W3582" s="7" t="s">
        <v>378</v>
      </c>
      <c r="X3582" s="7"/>
      <c r="Y3582" s="7" t="s">
        <v>41</v>
      </c>
      <c r="Z3582" s="7"/>
      <c r="AA3582" s="7" t="str">
        <f>HYPERLINK("https://miland.ru/api/getInfo/item/1f6e1f9b-067d-11f1-a28f-00155d82e908")</f>
        <v>https://miland.ru/api/getInfo/item/1f6e1f9b-067d-11f1-a28f-00155d82e908</v>
      </c>
      <c r="AB3582" s="7" t="s">
        <v>42</v>
      </c>
      <c r="AC3582" s="7"/>
      <c r="AD3582" s="7"/>
      <c r="AE3582" s="54"/>
    </row>
    <row r="3583" spans="2:31" s="1" customFormat="1" ht="96.3" customHeight="1" outlineLevel="7">
      <c r="B3583" s="58">
        <v>2793</v>
      </c>
      <c r="C3583" s="7" t="s">
        <v>12551</v>
      </c>
      <c r="D3583" s="71" t="s">
        <v>12552</v>
      </c>
      <c r="E3583" s="71"/>
      <c r="F3583" s="71"/>
      <c r="G3583" s="71"/>
      <c r="H3583" s="8" t="s">
        <v>12553</v>
      </c>
      <c r="I3583" s="9" t="s">
        <v>36</v>
      </c>
      <c r="J3583" s="8"/>
      <c r="K3583" s="6">
        <v>12</v>
      </c>
      <c r="L3583" s="10">
        <v>48.32</v>
      </c>
      <c r="M3583" s="11"/>
      <c r="N3583" s="8">
        <f t="shared" si="171"/>
        <v>0</v>
      </c>
      <c r="O3583" s="12">
        <f>0.044*M3583</f>
        <v>0</v>
      </c>
      <c r="P3583" s="13">
        <f>0.00017*M3583</f>
        <v>0</v>
      </c>
      <c r="Q3583" s="17" t="s">
        <v>37</v>
      </c>
      <c r="R3583" s="8" t="s">
        <v>12554</v>
      </c>
      <c r="S3583" s="8"/>
      <c r="T3583" s="7" t="str">
        <f>HYPERLINK("https://miland.ru/api/getInfo/image/e5f09bfb-728d-11f0-a284-00155d82e908")</f>
        <v>https://miland.ru/api/getInfo/image/e5f09bfb-728d-11f0-a284-00155d82e908</v>
      </c>
      <c r="U3583" s="7"/>
      <c r="V3583" s="7" t="s">
        <v>6525</v>
      </c>
      <c r="W3583" s="7" t="s">
        <v>378</v>
      </c>
      <c r="X3583" s="7"/>
      <c r="Y3583" s="7" t="s">
        <v>41</v>
      </c>
      <c r="Z3583" s="7"/>
      <c r="AA3583" s="7" t="str">
        <f>HYPERLINK("https://miland.ru/api/getInfo/item/e5f09bfb-728d-11f0-a284-00155d82e908")</f>
        <v>https://miland.ru/api/getInfo/item/e5f09bfb-728d-11f0-a284-00155d82e908</v>
      </c>
      <c r="AB3583" s="7" t="s">
        <v>42</v>
      </c>
      <c r="AC3583" s="7"/>
      <c r="AD3583" s="7"/>
      <c r="AE3583" s="54"/>
    </row>
    <row r="3584" spans="2:31" s="1" customFormat="1" ht="96.3" customHeight="1" outlineLevel="7">
      <c r="B3584" s="58">
        <v>2794</v>
      </c>
      <c r="C3584" s="7" t="s">
        <v>12555</v>
      </c>
      <c r="D3584" s="71" t="s">
        <v>12556</v>
      </c>
      <c r="E3584" s="71"/>
      <c r="F3584" s="71"/>
      <c r="G3584" s="71"/>
      <c r="H3584" s="8" t="s">
        <v>12557</v>
      </c>
      <c r="I3584" s="9" t="s">
        <v>36</v>
      </c>
      <c r="J3584" s="8"/>
      <c r="K3584" s="6">
        <v>12</v>
      </c>
      <c r="L3584" s="10">
        <v>48.32</v>
      </c>
      <c r="M3584" s="11"/>
      <c r="N3584" s="8">
        <f t="shared" si="171"/>
        <v>0</v>
      </c>
      <c r="O3584" s="12">
        <f>0.044*M3584</f>
        <v>0</v>
      </c>
      <c r="P3584" s="13">
        <f>0.00017*M3584</f>
        <v>0</v>
      </c>
      <c r="Q3584" s="17" t="s">
        <v>37</v>
      </c>
      <c r="R3584" s="8" t="s">
        <v>12558</v>
      </c>
      <c r="S3584" s="8"/>
      <c r="T3584" s="7" t="str">
        <f>HYPERLINK("https://miland.ru/api/getInfo/image/9a52736f-728d-11f0-a284-00155d82e908")</f>
        <v>https://miland.ru/api/getInfo/image/9a52736f-728d-11f0-a284-00155d82e908</v>
      </c>
      <c r="U3584" s="7"/>
      <c r="V3584" s="7" t="s">
        <v>6525</v>
      </c>
      <c r="W3584" s="7" t="s">
        <v>378</v>
      </c>
      <c r="X3584" s="7"/>
      <c r="Y3584" s="7" t="s">
        <v>41</v>
      </c>
      <c r="Z3584" s="7"/>
      <c r="AA3584" s="7" t="str">
        <f>HYPERLINK("https://miland.ru/api/getInfo/item/9a52736f-728d-11f0-a284-00155d82e908")</f>
        <v>https://miland.ru/api/getInfo/item/9a52736f-728d-11f0-a284-00155d82e908</v>
      </c>
      <c r="AB3584" s="7" t="s">
        <v>42</v>
      </c>
      <c r="AC3584" s="7"/>
      <c r="AD3584" s="7"/>
      <c r="AE3584" s="54"/>
    </row>
    <row r="3585" spans="2:31" s="1" customFormat="1" ht="96.3" customHeight="1" outlineLevel="7">
      <c r="B3585" s="58">
        <v>2795</v>
      </c>
      <c r="C3585" s="7" t="s">
        <v>12559</v>
      </c>
      <c r="D3585" s="71" t="s">
        <v>12560</v>
      </c>
      <c r="E3585" s="71"/>
      <c r="F3585" s="71"/>
      <c r="G3585" s="71"/>
      <c r="H3585" s="8" t="s">
        <v>12561</v>
      </c>
      <c r="I3585" s="9" t="s">
        <v>36</v>
      </c>
      <c r="J3585" s="8"/>
      <c r="K3585" s="6">
        <v>12</v>
      </c>
      <c r="L3585" s="10">
        <v>48.32</v>
      </c>
      <c r="M3585" s="11"/>
      <c r="N3585" s="8">
        <f t="shared" si="171"/>
        <v>0</v>
      </c>
      <c r="O3585" s="12">
        <f>0.045*M3585</f>
        <v>0</v>
      </c>
      <c r="P3585" s="13">
        <f>0.00018*M3585</f>
        <v>0</v>
      </c>
      <c r="Q3585" s="17" t="s">
        <v>37</v>
      </c>
      <c r="R3585" s="8" t="s">
        <v>12562</v>
      </c>
      <c r="S3585" s="8"/>
      <c r="T3585" s="7" t="str">
        <f>HYPERLINK("https://miland.ru/api/getInfo/image/ae960cf3-9d38-11f0-a285-00155d82e908")</f>
        <v>https://miland.ru/api/getInfo/image/ae960cf3-9d38-11f0-a285-00155d82e908</v>
      </c>
      <c r="U3585" s="7"/>
      <c r="V3585" s="7" t="s">
        <v>6525</v>
      </c>
      <c r="W3585" s="7" t="s">
        <v>378</v>
      </c>
      <c r="X3585" s="7"/>
      <c r="Y3585" s="7" t="s">
        <v>41</v>
      </c>
      <c r="Z3585" s="7"/>
      <c r="AA3585" s="7" t="str">
        <f>HYPERLINK("https://miland.ru/api/getInfo/item/ae960cf3-9d38-11f0-a285-00155d82e908")</f>
        <v>https://miland.ru/api/getInfo/item/ae960cf3-9d38-11f0-a285-00155d82e908</v>
      </c>
      <c r="AB3585" s="7" t="s">
        <v>42</v>
      </c>
      <c r="AC3585" s="7"/>
      <c r="AD3585" s="7"/>
      <c r="AE3585" s="54"/>
    </row>
    <row r="3586" spans="2:31" s="1" customFormat="1" ht="96.3" customHeight="1" outlineLevel="7">
      <c r="B3586" s="58">
        <v>2796</v>
      </c>
      <c r="C3586" s="7" t="s">
        <v>12563</v>
      </c>
      <c r="D3586" s="71" t="s">
        <v>12564</v>
      </c>
      <c r="E3586" s="71"/>
      <c r="F3586" s="71"/>
      <c r="G3586" s="71"/>
      <c r="H3586" s="8" t="s">
        <v>12565</v>
      </c>
      <c r="I3586" s="9" t="s">
        <v>36</v>
      </c>
      <c r="J3586" s="8"/>
      <c r="K3586" s="6">
        <v>12</v>
      </c>
      <c r="L3586" s="10">
        <v>48.32</v>
      </c>
      <c r="M3586" s="11"/>
      <c r="N3586" s="8">
        <f t="shared" si="171"/>
        <v>0</v>
      </c>
      <c r="O3586" s="18">
        <f>0.04*M3586</f>
        <v>0</v>
      </c>
      <c r="P3586" s="13">
        <f>0.00034*M3586</f>
        <v>0</v>
      </c>
      <c r="Q3586" s="17" t="s">
        <v>37</v>
      </c>
      <c r="R3586" s="8" t="s">
        <v>12566</v>
      </c>
      <c r="S3586" s="8"/>
      <c r="T3586" s="7" t="str">
        <f>HYPERLINK("https://miland.ru/api/getInfo/image/a3074d4f-067d-11f1-a28f-00155d82e908")</f>
        <v>https://miland.ru/api/getInfo/image/a3074d4f-067d-11f1-a28f-00155d82e908</v>
      </c>
      <c r="U3586" s="7"/>
      <c r="V3586" s="7"/>
      <c r="W3586" s="7" t="s">
        <v>378</v>
      </c>
      <c r="X3586" s="7"/>
      <c r="Y3586" s="7" t="s">
        <v>41</v>
      </c>
      <c r="Z3586" s="7"/>
      <c r="AA3586" s="7" t="str">
        <f>HYPERLINK("https://miland.ru/api/getInfo/item/a3074d4f-067d-11f1-a28f-00155d82e908")</f>
        <v>https://miland.ru/api/getInfo/item/a3074d4f-067d-11f1-a28f-00155d82e908</v>
      </c>
      <c r="AB3586" s="7" t="s">
        <v>42</v>
      </c>
      <c r="AC3586" s="7"/>
      <c r="AD3586" s="7"/>
      <c r="AE3586" s="54"/>
    </row>
    <row r="3587" spans="2:31" s="1" customFormat="1" ht="96.3" customHeight="1" outlineLevel="7">
      <c r="B3587" s="58">
        <v>2797</v>
      </c>
      <c r="C3587" s="7" t="s">
        <v>12567</v>
      </c>
      <c r="D3587" s="71" t="s">
        <v>12568</v>
      </c>
      <c r="E3587" s="71"/>
      <c r="F3587" s="71"/>
      <c r="G3587" s="71"/>
      <c r="H3587" s="8" t="s">
        <v>12569</v>
      </c>
      <c r="I3587" s="9" t="s">
        <v>36</v>
      </c>
      <c r="J3587" s="8"/>
      <c r="K3587" s="6">
        <v>12</v>
      </c>
      <c r="L3587" s="10">
        <v>48.32</v>
      </c>
      <c r="M3587" s="11"/>
      <c r="N3587" s="8">
        <f t="shared" si="171"/>
        <v>0</v>
      </c>
      <c r="O3587" s="12">
        <f>0.044*M3587</f>
        <v>0</v>
      </c>
      <c r="P3587" s="13">
        <f>0.00017*M3587</f>
        <v>0</v>
      </c>
      <c r="Q3587" s="17" t="s">
        <v>37</v>
      </c>
      <c r="R3587" s="8" t="s">
        <v>12570</v>
      </c>
      <c r="S3587" s="8"/>
      <c r="T3587" s="7" t="str">
        <f>HYPERLINK("https://miland.ru/api/getInfo/image/cda7a3f3-728d-11f0-a284-00155d82e908")</f>
        <v>https://miland.ru/api/getInfo/image/cda7a3f3-728d-11f0-a284-00155d82e908</v>
      </c>
      <c r="U3587" s="7"/>
      <c r="V3587" s="7" t="s">
        <v>6525</v>
      </c>
      <c r="W3587" s="7" t="s">
        <v>378</v>
      </c>
      <c r="X3587" s="7"/>
      <c r="Y3587" s="7" t="s">
        <v>41</v>
      </c>
      <c r="Z3587" s="7"/>
      <c r="AA3587" s="7" t="str">
        <f>HYPERLINK("https://miland.ru/api/getInfo/item/cda7a3f3-728d-11f0-a284-00155d82e908")</f>
        <v>https://miland.ru/api/getInfo/item/cda7a3f3-728d-11f0-a284-00155d82e908</v>
      </c>
      <c r="AB3587" s="7" t="s">
        <v>42</v>
      </c>
      <c r="AC3587" s="7"/>
      <c r="AD3587" s="7"/>
      <c r="AE3587" s="54"/>
    </row>
    <row r="3588" spans="2:31" s="1" customFormat="1" ht="96.3" customHeight="1" outlineLevel="7">
      <c r="B3588" s="58">
        <v>2798</v>
      </c>
      <c r="C3588" s="7" t="s">
        <v>12571</v>
      </c>
      <c r="D3588" s="71" t="s">
        <v>12572</v>
      </c>
      <c r="E3588" s="71"/>
      <c r="F3588" s="71"/>
      <c r="G3588" s="71"/>
      <c r="H3588" s="8" t="s">
        <v>12573</v>
      </c>
      <c r="I3588" s="9" t="s">
        <v>36</v>
      </c>
      <c r="J3588" s="8"/>
      <c r="K3588" s="6">
        <v>12</v>
      </c>
      <c r="L3588" s="10">
        <v>48.32</v>
      </c>
      <c r="M3588" s="11"/>
      <c r="N3588" s="8">
        <f t="shared" si="171"/>
        <v>0</v>
      </c>
      <c r="O3588" s="12">
        <f>0.045*M3588</f>
        <v>0</v>
      </c>
      <c r="P3588" s="13">
        <f>0.00017*M3588</f>
        <v>0</v>
      </c>
      <c r="Q3588" s="17" t="s">
        <v>37</v>
      </c>
      <c r="R3588" s="8" t="s">
        <v>12574</v>
      </c>
      <c r="S3588" s="8"/>
      <c r="T3588" s="7" t="str">
        <f>HYPERLINK("https://miland.ru/api/getInfo/image/d30e530d-728a-11f0-a284-00155d82e908")</f>
        <v>https://miland.ru/api/getInfo/image/d30e530d-728a-11f0-a284-00155d82e908</v>
      </c>
      <c r="U3588" s="7"/>
      <c r="V3588" s="7" t="s">
        <v>6525</v>
      </c>
      <c r="W3588" s="7" t="s">
        <v>378</v>
      </c>
      <c r="X3588" s="7"/>
      <c r="Y3588" s="7" t="s">
        <v>41</v>
      </c>
      <c r="Z3588" s="7"/>
      <c r="AA3588" s="7" t="str">
        <f>HYPERLINK("https://miland.ru/api/getInfo/item/d30e530d-728a-11f0-a284-00155d82e908")</f>
        <v>https://miland.ru/api/getInfo/item/d30e530d-728a-11f0-a284-00155d82e908</v>
      </c>
      <c r="AB3588" s="7" t="s">
        <v>42</v>
      </c>
      <c r="AC3588" s="7"/>
      <c r="AD3588" s="7"/>
      <c r="AE3588" s="54"/>
    </row>
    <row r="3589" spans="2:31" s="1" customFormat="1" ht="96.3" customHeight="1" outlineLevel="7">
      <c r="B3589" s="58">
        <v>2799</v>
      </c>
      <c r="C3589" s="7" t="s">
        <v>12575</v>
      </c>
      <c r="D3589" s="71" t="s">
        <v>12576</v>
      </c>
      <c r="E3589" s="71"/>
      <c r="F3589" s="71"/>
      <c r="G3589" s="71"/>
      <c r="H3589" s="8" t="s">
        <v>12577</v>
      </c>
      <c r="I3589" s="9" t="s">
        <v>36</v>
      </c>
      <c r="J3589" s="8"/>
      <c r="K3589" s="6">
        <v>12</v>
      </c>
      <c r="L3589" s="10">
        <v>48.32</v>
      </c>
      <c r="M3589" s="11"/>
      <c r="N3589" s="8">
        <f t="shared" si="171"/>
        <v>0</v>
      </c>
      <c r="O3589" s="12">
        <f>0.044*M3589</f>
        <v>0</v>
      </c>
      <c r="P3589" s="13">
        <f>0.00017*M3589</f>
        <v>0</v>
      </c>
      <c r="Q3589" s="17" t="s">
        <v>37</v>
      </c>
      <c r="R3589" s="8" t="s">
        <v>12578</v>
      </c>
      <c r="S3589" s="8"/>
      <c r="T3589" s="7" t="str">
        <f>HYPERLINK("https://miland.ru/api/getInfo/image/b2c2068a-728d-11f0-a284-00155d82e908")</f>
        <v>https://miland.ru/api/getInfo/image/b2c2068a-728d-11f0-a284-00155d82e908</v>
      </c>
      <c r="U3589" s="7"/>
      <c r="V3589" s="7" t="s">
        <v>6525</v>
      </c>
      <c r="W3589" s="7" t="s">
        <v>378</v>
      </c>
      <c r="X3589" s="7"/>
      <c r="Y3589" s="7" t="s">
        <v>41</v>
      </c>
      <c r="Z3589" s="7"/>
      <c r="AA3589" s="7" t="str">
        <f>HYPERLINK("https://miland.ru/api/getInfo/item/b2c2068a-728d-11f0-a284-00155d82e908")</f>
        <v>https://miland.ru/api/getInfo/item/b2c2068a-728d-11f0-a284-00155d82e908</v>
      </c>
      <c r="AB3589" s="7" t="s">
        <v>42</v>
      </c>
      <c r="AC3589" s="7"/>
      <c r="AD3589" s="7"/>
      <c r="AE3589" s="54"/>
    </row>
    <row r="3590" spans="2:31" ht="12" customHeight="1" outlineLevel="6">
      <c r="B3590" s="70" t="s">
        <v>12579</v>
      </c>
      <c r="C3590" s="70"/>
      <c r="D3590" s="70"/>
      <c r="E3590" s="70"/>
      <c r="F3590" s="70"/>
      <c r="G3590" s="70"/>
    </row>
    <row r="3591" spans="2:31" s="1" customFormat="1" ht="96.3" customHeight="1" outlineLevel="7">
      <c r="B3591" s="58">
        <v>2800</v>
      </c>
      <c r="C3591" s="7" t="s">
        <v>12580</v>
      </c>
      <c r="D3591" s="71" t="s">
        <v>12581</v>
      </c>
      <c r="E3591" s="71"/>
      <c r="F3591" s="71"/>
      <c r="G3591" s="71"/>
      <c r="H3591" s="8" t="s">
        <v>12582</v>
      </c>
      <c r="I3591" s="9" t="s">
        <v>36</v>
      </c>
      <c r="J3591" s="8"/>
      <c r="K3591" s="6">
        <v>12</v>
      </c>
      <c r="L3591" s="10">
        <v>60.48</v>
      </c>
      <c r="M3591" s="11"/>
      <c r="N3591" s="8">
        <f t="shared" ref="N3591:N3602" si="172">L3591*M3591</f>
        <v>0</v>
      </c>
      <c r="O3591" s="12">
        <f>0.041*M3591</f>
        <v>0</v>
      </c>
      <c r="P3591" s="13">
        <f>0.00043*M3591</f>
        <v>0</v>
      </c>
      <c r="Q3591" s="17" t="s">
        <v>37</v>
      </c>
      <c r="R3591" s="8" t="s">
        <v>12583</v>
      </c>
      <c r="S3591" s="8"/>
      <c r="T3591" s="7" t="str">
        <f>HYPERLINK("https://miland.ru/api/getInfo/image/c95175d0-067e-11f1-a28f-00155d82e908")</f>
        <v>https://miland.ru/api/getInfo/image/c95175d0-067e-11f1-a28f-00155d82e908</v>
      </c>
      <c r="U3591" s="7"/>
      <c r="V3591" s="7"/>
      <c r="W3591" s="7" t="s">
        <v>378</v>
      </c>
      <c r="X3591" s="7"/>
      <c r="Y3591" s="7" t="s">
        <v>41</v>
      </c>
      <c r="Z3591" s="7"/>
      <c r="AA3591" s="7" t="str">
        <f>HYPERLINK("https://miland.ru/api/getInfo/item/c95175d0-067e-11f1-a28f-00155d82e908")</f>
        <v>https://miland.ru/api/getInfo/item/c95175d0-067e-11f1-a28f-00155d82e908</v>
      </c>
      <c r="AB3591" s="7" t="s">
        <v>42</v>
      </c>
      <c r="AC3591" s="7"/>
      <c r="AD3591" s="7"/>
      <c r="AE3591" s="54"/>
    </row>
    <row r="3592" spans="2:31" s="1" customFormat="1" ht="96.3" customHeight="1" outlineLevel="7">
      <c r="B3592" s="58">
        <v>2801</v>
      </c>
      <c r="C3592" s="7" t="s">
        <v>12584</v>
      </c>
      <c r="D3592" s="71" t="s">
        <v>12585</v>
      </c>
      <c r="E3592" s="71"/>
      <c r="F3592" s="71"/>
      <c r="G3592" s="71"/>
      <c r="H3592" s="8" t="s">
        <v>12586</v>
      </c>
      <c r="I3592" s="9" t="s">
        <v>36</v>
      </c>
      <c r="J3592" s="8"/>
      <c r="K3592" s="6">
        <v>12</v>
      </c>
      <c r="L3592" s="10">
        <v>60.48</v>
      </c>
      <c r="M3592" s="11"/>
      <c r="N3592" s="8">
        <f t="shared" si="172"/>
        <v>0</v>
      </c>
      <c r="O3592" s="12">
        <f>0.042*M3592</f>
        <v>0</v>
      </c>
      <c r="P3592" s="13">
        <f>0.00024*M3592</f>
        <v>0</v>
      </c>
      <c r="Q3592" s="17" t="s">
        <v>37</v>
      </c>
      <c r="R3592" s="8" t="s">
        <v>12587</v>
      </c>
      <c r="S3592" s="8"/>
      <c r="T3592" s="7" t="str">
        <f>HYPERLINK("https://miland.ru/api/getInfo/image/0e85f179-067f-11f1-a28f-00155d82e908")</f>
        <v>https://miland.ru/api/getInfo/image/0e85f179-067f-11f1-a28f-00155d82e908</v>
      </c>
      <c r="U3592" s="7"/>
      <c r="V3592" s="7"/>
      <c r="W3592" s="7" t="s">
        <v>378</v>
      </c>
      <c r="X3592" s="7"/>
      <c r="Y3592" s="7" t="s">
        <v>41</v>
      </c>
      <c r="Z3592" s="7"/>
      <c r="AA3592" s="7" t="str">
        <f>HYPERLINK("https://miland.ru/api/getInfo/item/0e85f179-067f-11f1-a28f-00155d82e908")</f>
        <v>https://miland.ru/api/getInfo/item/0e85f179-067f-11f1-a28f-00155d82e908</v>
      </c>
      <c r="AB3592" s="7" t="s">
        <v>42</v>
      </c>
      <c r="AC3592" s="7"/>
      <c r="AD3592" s="7"/>
      <c r="AE3592" s="54"/>
    </row>
    <row r="3593" spans="2:31" s="1" customFormat="1" ht="96.3" customHeight="1" outlineLevel="7">
      <c r="B3593" s="58">
        <v>2802</v>
      </c>
      <c r="C3593" s="7" t="s">
        <v>12588</v>
      </c>
      <c r="D3593" s="71" t="s">
        <v>12589</v>
      </c>
      <c r="E3593" s="71"/>
      <c r="F3593" s="71"/>
      <c r="G3593" s="71"/>
      <c r="H3593" s="8" t="s">
        <v>12590</v>
      </c>
      <c r="I3593" s="9" t="s">
        <v>36</v>
      </c>
      <c r="J3593" s="8"/>
      <c r="K3593" s="6">
        <v>12</v>
      </c>
      <c r="L3593" s="10">
        <v>60.48</v>
      </c>
      <c r="M3593" s="11"/>
      <c r="N3593" s="8">
        <f t="shared" si="172"/>
        <v>0</v>
      </c>
      <c r="O3593" s="12">
        <f>0.043*M3593</f>
        <v>0</v>
      </c>
      <c r="P3593" s="16">
        <f>0.0006*M3593</f>
        <v>0</v>
      </c>
      <c r="Q3593" s="17" t="s">
        <v>37</v>
      </c>
      <c r="R3593" s="8" t="s">
        <v>12591</v>
      </c>
      <c r="S3593" s="8"/>
      <c r="T3593" s="7" t="str">
        <f>HYPERLINK("https://miland.ru/api/getInfo/image/b1055469-067e-11f1-a28f-00155d82e908")</f>
        <v>https://miland.ru/api/getInfo/image/b1055469-067e-11f1-a28f-00155d82e908</v>
      </c>
      <c r="U3593" s="7"/>
      <c r="V3593" s="7"/>
      <c r="W3593" s="7" t="s">
        <v>378</v>
      </c>
      <c r="X3593" s="7"/>
      <c r="Y3593" s="7" t="s">
        <v>41</v>
      </c>
      <c r="Z3593" s="7"/>
      <c r="AA3593" s="7" t="str">
        <f>HYPERLINK("https://miland.ru/api/getInfo/item/b1055469-067e-11f1-a28f-00155d82e908")</f>
        <v>https://miland.ru/api/getInfo/item/b1055469-067e-11f1-a28f-00155d82e908</v>
      </c>
      <c r="AB3593" s="7" t="s">
        <v>42</v>
      </c>
      <c r="AC3593" s="7"/>
      <c r="AD3593" s="7"/>
      <c r="AE3593" s="54"/>
    </row>
    <row r="3594" spans="2:31" s="1" customFormat="1" ht="96.3" customHeight="1" outlineLevel="7">
      <c r="B3594" s="58">
        <v>2803</v>
      </c>
      <c r="C3594" s="7" t="s">
        <v>12592</v>
      </c>
      <c r="D3594" s="71" t="s">
        <v>12593</v>
      </c>
      <c r="E3594" s="71"/>
      <c r="F3594" s="71"/>
      <c r="G3594" s="71"/>
      <c r="H3594" s="8" t="s">
        <v>12594</v>
      </c>
      <c r="I3594" s="9" t="s">
        <v>36</v>
      </c>
      <c r="J3594" s="8"/>
      <c r="K3594" s="6">
        <v>12</v>
      </c>
      <c r="L3594" s="10">
        <v>60.48</v>
      </c>
      <c r="M3594" s="11"/>
      <c r="N3594" s="8">
        <f t="shared" si="172"/>
        <v>0</v>
      </c>
      <c r="O3594" s="12">
        <f>0.044*M3594</f>
        <v>0</v>
      </c>
      <c r="P3594" s="13">
        <f>0.00017*M3594</f>
        <v>0</v>
      </c>
      <c r="Q3594" s="17" t="s">
        <v>37</v>
      </c>
      <c r="R3594" s="8" t="s">
        <v>12595</v>
      </c>
      <c r="S3594" s="8"/>
      <c r="T3594" s="7" t="str">
        <f>HYPERLINK("https://miland.ru/api/getInfo/image/074a3fca-7680-11f0-a284-00155d82e908")</f>
        <v>https://miland.ru/api/getInfo/image/074a3fca-7680-11f0-a284-00155d82e908</v>
      </c>
      <c r="U3594" s="7"/>
      <c r="V3594" s="7" t="s">
        <v>6525</v>
      </c>
      <c r="W3594" s="7" t="s">
        <v>378</v>
      </c>
      <c r="X3594" s="7"/>
      <c r="Y3594" s="7" t="s">
        <v>41</v>
      </c>
      <c r="Z3594" s="7"/>
      <c r="AA3594" s="7" t="str">
        <f>HYPERLINK("https://miland.ru/api/getInfo/item/074a3fca-7680-11f0-a284-00155d82e908")</f>
        <v>https://miland.ru/api/getInfo/item/074a3fca-7680-11f0-a284-00155d82e908</v>
      </c>
      <c r="AB3594" s="7" t="s">
        <v>42</v>
      </c>
      <c r="AC3594" s="7"/>
      <c r="AD3594" s="7"/>
      <c r="AE3594" s="54"/>
    </row>
    <row r="3595" spans="2:31" s="1" customFormat="1" ht="96.3" customHeight="1" outlineLevel="7">
      <c r="B3595" s="58">
        <v>2804</v>
      </c>
      <c r="C3595" s="7" t="s">
        <v>12596</v>
      </c>
      <c r="D3595" s="71" t="s">
        <v>12597</v>
      </c>
      <c r="E3595" s="71"/>
      <c r="F3595" s="71"/>
      <c r="G3595" s="71"/>
      <c r="H3595" s="8" t="s">
        <v>12598</v>
      </c>
      <c r="I3595" s="9" t="s">
        <v>36</v>
      </c>
      <c r="J3595" s="8"/>
      <c r="K3595" s="6">
        <v>12</v>
      </c>
      <c r="L3595" s="10">
        <v>60.48</v>
      </c>
      <c r="M3595" s="11"/>
      <c r="N3595" s="8">
        <f t="shared" si="172"/>
        <v>0</v>
      </c>
      <c r="O3595" s="12">
        <f>0.045*M3595</f>
        <v>0</v>
      </c>
      <c r="P3595" s="13">
        <f>0.00017*M3595</f>
        <v>0</v>
      </c>
      <c r="Q3595" s="17" t="s">
        <v>37</v>
      </c>
      <c r="R3595" s="8" t="s">
        <v>12599</v>
      </c>
      <c r="S3595" s="8"/>
      <c r="T3595" s="7" t="str">
        <f>HYPERLINK("https://miland.ru/api/getInfo/image/a9714c99-7680-11f0-a284-00155d82e908")</f>
        <v>https://miland.ru/api/getInfo/image/a9714c99-7680-11f0-a284-00155d82e908</v>
      </c>
      <c r="U3595" s="7"/>
      <c r="V3595" s="7" t="s">
        <v>6525</v>
      </c>
      <c r="W3595" s="7" t="s">
        <v>378</v>
      </c>
      <c r="X3595" s="7"/>
      <c r="Y3595" s="7" t="s">
        <v>41</v>
      </c>
      <c r="Z3595" s="7"/>
      <c r="AA3595" s="7" t="str">
        <f>HYPERLINK("https://miland.ru/api/getInfo/item/a9714c99-7680-11f0-a284-00155d82e908")</f>
        <v>https://miland.ru/api/getInfo/item/a9714c99-7680-11f0-a284-00155d82e908</v>
      </c>
      <c r="AB3595" s="7" t="s">
        <v>42</v>
      </c>
      <c r="AC3595" s="7"/>
      <c r="AD3595" s="7"/>
      <c r="AE3595" s="54"/>
    </row>
    <row r="3596" spans="2:31" s="1" customFormat="1" ht="96.3" customHeight="1" outlineLevel="7">
      <c r="B3596" s="58">
        <v>2805</v>
      </c>
      <c r="C3596" s="7" t="s">
        <v>12600</v>
      </c>
      <c r="D3596" s="71" t="s">
        <v>12601</v>
      </c>
      <c r="E3596" s="71"/>
      <c r="F3596" s="71"/>
      <c r="G3596" s="71"/>
      <c r="H3596" s="8" t="s">
        <v>12602</v>
      </c>
      <c r="I3596" s="9" t="s">
        <v>36</v>
      </c>
      <c r="J3596" s="8"/>
      <c r="K3596" s="6">
        <v>12</v>
      </c>
      <c r="L3596" s="10">
        <v>60.48</v>
      </c>
      <c r="M3596" s="11"/>
      <c r="N3596" s="8">
        <f t="shared" si="172"/>
        <v>0</v>
      </c>
      <c r="O3596" s="12">
        <f>0.045*M3596</f>
        <v>0</v>
      </c>
      <c r="P3596" s="13">
        <f>0.00017*M3596</f>
        <v>0</v>
      </c>
      <c r="Q3596" s="17" t="s">
        <v>37</v>
      </c>
      <c r="R3596" s="8" t="s">
        <v>12603</v>
      </c>
      <c r="S3596" s="8"/>
      <c r="T3596" s="7" t="str">
        <f>HYPERLINK("https://miland.ru/api/getInfo/image/164cacd9-7681-11f0-a284-00155d82e908")</f>
        <v>https://miland.ru/api/getInfo/image/164cacd9-7681-11f0-a284-00155d82e908</v>
      </c>
      <c r="U3596" s="7"/>
      <c r="V3596" s="7" t="s">
        <v>6525</v>
      </c>
      <c r="W3596" s="7" t="s">
        <v>378</v>
      </c>
      <c r="X3596" s="7"/>
      <c r="Y3596" s="7" t="s">
        <v>41</v>
      </c>
      <c r="Z3596" s="7"/>
      <c r="AA3596" s="7" t="str">
        <f>HYPERLINK("https://miland.ru/api/getInfo/item/164cacd9-7681-11f0-a284-00155d82e908")</f>
        <v>https://miland.ru/api/getInfo/item/164cacd9-7681-11f0-a284-00155d82e908</v>
      </c>
      <c r="AB3596" s="7" t="s">
        <v>42</v>
      </c>
      <c r="AC3596" s="7"/>
      <c r="AD3596" s="7"/>
      <c r="AE3596" s="54"/>
    </row>
    <row r="3597" spans="2:31" s="1" customFormat="1" ht="96.3" customHeight="1" outlineLevel="7">
      <c r="B3597" s="58">
        <v>2806</v>
      </c>
      <c r="C3597" s="7" t="s">
        <v>12604</v>
      </c>
      <c r="D3597" s="71" t="s">
        <v>12605</v>
      </c>
      <c r="E3597" s="71"/>
      <c r="F3597" s="71"/>
      <c r="G3597" s="71"/>
      <c r="H3597" s="8" t="s">
        <v>12606</v>
      </c>
      <c r="I3597" s="9" t="s">
        <v>36</v>
      </c>
      <c r="J3597" s="8"/>
      <c r="K3597" s="6">
        <v>12</v>
      </c>
      <c r="L3597" s="10">
        <v>60.48</v>
      </c>
      <c r="M3597" s="11"/>
      <c r="N3597" s="8">
        <f t="shared" si="172"/>
        <v>0</v>
      </c>
      <c r="O3597" s="12">
        <f>0.044*M3597</f>
        <v>0</v>
      </c>
      <c r="P3597" s="13">
        <f>0.00017*M3597</f>
        <v>0</v>
      </c>
      <c r="Q3597" s="17" t="s">
        <v>37</v>
      </c>
      <c r="R3597" s="8" t="s">
        <v>12607</v>
      </c>
      <c r="S3597" s="8"/>
      <c r="T3597" s="7" t="str">
        <f>HYPERLINK("https://miland.ru/api/getInfo/image/fdf104ad-7680-11f0-a284-00155d82e908")</f>
        <v>https://miland.ru/api/getInfo/image/fdf104ad-7680-11f0-a284-00155d82e908</v>
      </c>
      <c r="U3597" s="7"/>
      <c r="V3597" s="7" t="s">
        <v>6525</v>
      </c>
      <c r="W3597" s="7" t="s">
        <v>378</v>
      </c>
      <c r="X3597" s="7"/>
      <c r="Y3597" s="7" t="s">
        <v>41</v>
      </c>
      <c r="Z3597" s="7"/>
      <c r="AA3597" s="7" t="str">
        <f>HYPERLINK("https://miland.ru/api/getInfo/item/fdf104ad-7680-11f0-a284-00155d82e908")</f>
        <v>https://miland.ru/api/getInfo/item/fdf104ad-7680-11f0-a284-00155d82e908</v>
      </c>
      <c r="AB3597" s="7" t="s">
        <v>42</v>
      </c>
      <c r="AC3597" s="7"/>
      <c r="AD3597" s="7"/>
      <c r="AE3597" s="54"/>
    </row>
    <row r="3598" spans="2:31" s="1" customFormat="1" ht="96.3" customHeight="1" outlineLevel="7">
      <c r="B3598" s="58">
        <v>2807</v>
      </c>
      <c r="C3598" s="7" t="s">
        <v>12608</v>
      </c>
      <c r="D3598" s="71" t="s">
        <v>12609</v>
      </c>
      <c r="E3598" s="71"/>
      <c r="F3598" s="71"/>
      <c r="G3598" s="71"/>
      <c r="H3598" s="8" t="s">
        <v>12610</v>
      </c>
      <c r="I3598" s="9" t="s">
        <v>36</v>
      </c>
      <c r="J3598" s="8"/>
      <c r="K3598" s="6">
        <v>12</v>
      </c>
      <c r="L3598" s="10">
        <v>60.48</v>
      </c>
      <c r="M3598" s="11"/>
      <c r="N3598" s="8">
        <f t="shared" si="172"/>
        <v>0</v>
      </c>
      <c r="O3598" s="12">
        <f>0.044*M3598</f>
        <v>0</v>
      </c>
      <c r="P3598" s="13">
        <f>0.00013*M3598</f>
        <v>0</v>
      </c>
      <c r="Q3598" s="17" t="s">
        <v>37</v>
      </c>
      <c r="R3598" s="8" t="s">
        <v>12611</v>
      </c>
      <c r="S3598" s="8"/>
      <c r="T3598" s="7" t="str">
        <f>HYPERLINK("https://miland.ru/api/getInfo/image/616575e9-7680-11f0-a284-00155d82e908")</f>
        <v>https://miland.ru/api/getInfo/image/616575e9-7680-11f0-a284-00155d82e908</v>
      </c>
      <c r="U3598" s="7"/>
      <c r="V3598" s="7" t="s">
        <v>6525</v>
      </c>
      <c r="W3598" s="7" t="s">
        <v>378</v>
      </c>
      <c r="X3598" s="7"/>
      <c r="Y3598" s="7" t="s">
        <v>41</v>
      </c>
      <c r="Z3598" s="7"/>
      <c r="AA3598" s="7" t="str">
        <f>HYPERLINK("https://miland.ru/api/getInfo/item/616575e9-7680-11f0-a284-00155d82e908")</f>
        <v>https://miland.ru/api/getInfo/item/616575e9-7680-11f0-a284-00155d82e908</v>
      </c>
      <c r="AB3598" s="7" t="s">
        <v>42</v>
      </c>
      <c r="AC3598" s="7"/>
      <c r="AD3598" s="7"/>
      <c r="AE3598" s="54"/>
    </row>
    <row r="3599" spans="2:31" s="1" customFormat="1" ht="96.3" customHeight="1" outlineLevel="7">
      <c r="B3599" s="58">
        <v>2808</v>
      </c>
      <c r="C3599" s="7" t="s">
        <v>12612</v>
      </c>
      <c r="D3599" s="71" t="s">
        <v>12613</v>
      </c>
      <c r="E3599" s="71"/>
      <c r="F3599" s="71"/>
      <c r="G3599" s="71"/>
      <c r="H3599" s="8" t="s">
        <v>12614</v>
      </c>
      <c r="I3599" s="9" t="s">
        <v>36</v>
      </c>
      <c r="J3599" s="8"/>
      <c r="K3599" s="6">
        <v>12</v>
      </c>
      <c r="L3599" s="10">
        <v>60.48</v>
      </c>
      <c r="M3599" s="11"/>
      <c r="N3599" s="8">
        <f t="shared" si="172"/>
        <v>0</v>
      </c>
      <c r="O3599" s="12">
        <f>0.044*M3599</f>
        <v>0</v>
      </c>
      <c r="P3599" s="13">
        <f>0.00017*M3599</f>
        <v>0</v>
      </c>
      <c r="Q3599" s="17" t="s">
        <v>37</v>
      </c>
      <c r="R3599" s="8" t="s">
        <v>12615</v>
      </c>
      <c r="S3599" s="8"/>
      <c r="T3599" s="7" t="str">
        <f>HYPERLINK("https://miland.ru/api/getInfo/image/2ed19bec-7680-11f0-a284-00155d82e908")</f>
        <v>https://miland.ru/api/getInfo/image/2ed19bec-7680-11f0-a284-00155d82e908</v>
      </c>
      <c r="U3599" s="7"/>
      <c r="V3599" s="7" t="s">
        <v>6525</v>
      </c>
      <c r="W3599" s="7" t="s">
        <v>378</v>
      </c>
      <c r="X3599" s="7"/>
      <c r="Y3599" s="7" t="s">
        <v>41</v>
      </c>
      <c r="Z3599" s="7"/>
      <c r="AA3599" s="7" t="str">
        <f>HYPERLINK("https://miland.ru/api/getInfo/item/2ed19bec-7680-11f0-a284-00155d82e908")</f>
        <v>https://miland.ru/api/getInfo/item/2ed19bec-7680-11f0-a284-00155d82e908</v>
      </c>
      <c r="AB3599" s="7" t="s">
        <v>42</v>
      </c>
      <c r="AC3599" s="7"/>
      <c r="AD3599" s="7"/>
      <c r="AE3599" s="54"/>
    </row>
    <row r="3600" spans="2:31" s="1" customFormat="1" ht="96.3" customHeight="1" outlineLevel="7">
      <c r="B3600" s="58">
        <v>2809</v>
      </c>
      <c r="C3600" s="7" t="s">
        <v>12616</v>
      </c>
      <c r="D3600" s="71" t="s">
        <v>12617</v>
      </c>
      <c r="E3600" s="71"/>
      <c r="F3600" s="71"/>
      <c r="G3600" s="71"/>
      <c r="H3600" s="8" t="s">
        <v>12618</v>
      </c>
      <c r="I3600" s="9" t="s">
        <v>36</v>
      </c>
      <c r="J3600" s="8"/>
      <c r="K3600" s="6">
        <v>12</v>
      </c>
      <c r="L3600" s="10">
        <v>60.48</v>
      </c>
      <c r="M3600" s="11"/>
      <c r="N3600" s="8">
        <f t="shared" si="172"/>
        <v>0</v>
      </c>
      <c r="O3600" s="12">
        <f>0.044*M3600</f>
        <v>0</v>
      </c>
      <c r="P3600" s="13">
        <f>0.00017*M3600</f>
        <v>0</v>
      </c>
      <c r="Q3600" s="17" t="s">
        <v>37</v>
      </c>
      <c r="R3600" s="8" t="s">
        <v>12619</v>
      </c>
      <c r="S3600" s="8"/>
      <c r="T3600" s="7" t="str">
        <f>HYPERLINK("https://miland.ru/api/getInfo/image/b69df04e-767f-11f0-a284-00155d82e908")</f>
        <v>https://miland.ru/api/getInfo/image/b69df04e-767f-11f0-a284-00155d82e908</v>
      </c>
      <c r="U3600" s="7"/>
      <c r="V3600" s="7" t="s">
        <v>6525</v>
      </c>
      <c r="W3600" s="7" t="s">
        <v>378</v>
      </c>
      <c r="X3600" s="7"/>
      <c r="Y3600" s="7" t="s">
        <v>41</v>
      </c>
      <c r="Z3600" s="7"/>
      <c r="AA3600" s="7" t="str">
        <f>HYPERLINK("https://miland.ru/api/getInfo/item/b69df04e-767f-11f0-a284-00155d82e908")</f>
        <v>https://miland.ru/api/getInfo/item/b69df04e-767f-11f0-a284-00155d82e908</v>
      </c>
      <c r="AB3600" s="7" t="s">
        <v>42</v>
      </c>
      <c r="AC3600" s="7"/>
      <c r="AD3600" s="7"/>
      <c r="AE3600" s="54"/>
    </row>
    <row r="3601" spans="2:31" s="1" customFormat="1" ht="96.3" customHeight="1" outlineLevel="7">
      <c r="B3601" s="58">
        <v>2810</v>
      </c>
      <c r="C3601" s="7" t="s">
        <v>12620</v>
      </c>
      <c r="D3601" s="71" t="s">
        <v>12621</v>
      </c>
      <c r="E3601" s="71"/>
      <c r="F3601" s="71"/>
      <c r="G3601" s="71"/>
      <c r="H3601" s="8" t="s">
        <v>12622</v>
      </c>
      <c r="I3601" s="9" t="s">
        <v>36</v>
      </c>
      <c r="J3601" s="8"/>
      <c r="K3601" s="6">
        <v>12</v>
      </c>
      <c r="L3601" s="10">
        <v>60.48</v>
      </c>
      <c r="M3601" s="11"/>
      <c r="N3601" s="8">
        <f t="shared" si="172"/>
        <v>0</v>
      </c>
      <c r="O3601" s="12">
        <f>0.043*M3601</f>
        <v>0</v>
      </c>
      <c r="P3601" s="13">
        <f>0.00074*M3601</f>
        <v>0</v>
      </c>
      <c r="Q3601" s="17" t="s">
        <v>37</v>
      </c>
      <c r="R3601" s="8" t="s">
        <v>12623</v>
      </c>
      <c r="S3601" s="8"/>
      <c r="T3601" s="7" t="str">
        <f>HYPERLINK("https://miland.ru/api/getInfo/image/f4ac7840-067e-11f1-a28f-00155d82e908")</f>
        <v>https://miland.ru/api/getInfo/image/f4ac7840-067e-11f1-a28f-00155d82e908</v>
      </c>
      <c r="U3601" s="7"/>
      <c r="V3601" s="7"/>
      <c r="W3601" s="7" t="s">
        <v>378</v>
      </c>
      <c r="X3601" s="7"/>
      <c r="Y3601" s="7" t="s">
        <v>41</v>
      </c>
      <c r="Z3601" s="7"/>
      <c r="AA3601" s="7" t="str">
        <f>HYPERLINK("https://miland.ru/api/getInfo/item/f4ac7840-067e-11f1-a28f-00155d82e908")</f>
        <v>https://miland.ru/api/getInfo/item/f4ac7840-067e-11f1-a28f-00155d82e908</v>
      </c>
      <c r="AB3601" s="7" t="s">
        <v>42</v>
      </c>
      <c r="AC3601" s="7"/>
      <c r="AD3601" s="7"/>
      <c r="AE3601" s="54"/>
    </row>
    <row r="3602" spans="2:31" s="1" customFormat="1" ht="96.3" customHeight="1" outlineLevel="7">
      <c r="B3602" s="58">
        <v>2811</v>
      </c>
      <c r="C3602" s="7" t="s">
        <v>12624</v>
      </c>
      <c r="D3602" s="71" t="s">
        <v>12625</v>
      </c>
      <c r="E3602" s="71"/>
      <c r="F3602" s="71"/>
      <c r="G3602" s="71"/>
      <c r="H3602" s="8" t="s">
        <v>12626</v>
      </c>
      <c r="I3602" s="9" t="s">
        <v>36</v>
      </c>
      <c r="J3602" s="8"/>
      <c r="K3602" s="6">
        <v>12</v>
      </c>
      <c r="L3602" s="10">
        <v>60.48</v>
      </c>
      <c r="M3602" s="11"/>
      <c r="N3602" s="8">
        <f t="shared" si="172"/>
        <v>0</v>
      </c>
      <c r="O3602" s="18">
        <f>0.04*M3602</f>
        <v>0</v>
      </c>
      <c r="P3602" s="13">
        <f>0.00044*M3602</f>
        <v>0</v>
      </c>
      <c r="Q3602" s="17" t="s">
        <v>37</v>
      </c>
      <c r="R3602" s="8" t="s">
        <v>12627</v>
      </c>
      <c r="S3602" s="8"/>
      <c r="T3602" s="7" t="str">
        <f>HYPERLINK("https://miland.ru/api/getInfo/image/96e4e6a1-067e-11f1-a28f-00155d82e908")</f>
        <v>https://miland.ru/api/getInfo/image/96e4e6a1-067e-11f1-a28f-00155d82e908</v>
      </c>
      <c r="U3602" s="7"/>
      <c r="V3602" s="7"/>
      <c r="W3602" s="7" t="s">
        <v>378</v>
      </c>
      <c r="X3602" s="7"/>
      <c r="Y3602" s="7" t="s">
        <v>41</v>
      </c>
      <c r="Z3602" s="7"/>
      <c r="AA3602" s="7" t="str">
        <f>HYPERLINK("https://miland.ru/api/getInfo/item/96e4e6a1-067e-11f1-a28f-00155d82e908")</f>
        <v>https://miland.ru/api/getInfo/item/96e4e6a1-067e-11f1-a28f-00155d82e908</v>
      </c>
      <c r="AB3602" s="7" t="s">
        <v>42</v>
      </c>
      <c r="AC3602" s="7"/>
      <c r="AD3602" s="7"/>
      <c r="AE3602" s="54"/>
    </row>
    <row r="3603" spans="2:31" ht="12" customHeight="1" outlineLevel="5">
      <c r="B3603" s="70" t="s">
        <v>12628</v>
      </c>
      <c r="C3603" s="70"/>
      <c r="D3603" s="70"/>
      <c r="E3603" s="70"/>
      <c r="F3603" s="70"/>
      <c r="G3603" s="70"/>
    </row>
    <row r="3604" spans="2:31" ht="12" customHeight="1" outlineLevel="6">
      <c r="B3604" s="70" t="s">
        <v>12629</v>
      </c>
      <c r="C3604" s="70"/>
      <c r="D3604" s="70"/>
      <c r="E3604" s="70"/>
      <c r="F3604" s="70"/>
      <c r="G3604" s="70"/>
    </row>
    <row r="3605" spans="2:31" s="1" customFormat="1" ht="96.3" customHeight="1" outlineLevel="7">
      <c r="B3605" s="58">
        <v>2812</v>
      </c>
      <c r="C3605" s="7" t="s">
        <v>12630</v>
      </c>
      <c r="D3605" s="71" t="s">
        <v>12631</v>
      </c>
      <c r="E3605" s="71"/>
      <c r="F3605" s="71"/>
      <c r="G3605" s="71"/>
      <c r="H3605" s="8" t="s">
        <v>12632</v>
      </c>
      <c r="I3605" s="9" t="s">
        <v>36</v>
      </c>
      <c r="J3605" s="8"/>
      <c r="K3605" s="6">
        <v>12</v>
      </c>
      <c r="L3605" s="10">
        <v>40.46</v>
      </c>
      <c r="M3605" s="11"/>
      <c r="N3605" s="8">
        <f t="shared" ref="N3605:N3623" si="173">L3605*M3605</f>
        <v>0</v>
      </c>
      <c r="O3605" s="12">
        <f>0.031*M3605</f>
        <v>0</v>
      </c>
      <c r="P3605" s="13">
        <f>0.00013*M3605</f>
        <v>0</v>
      </c>
      <c r="Q3605" s="17" t="s">
        <v>37</v>
      </c>
      <c r="R3605" s="8" t="s">
        <v>12633</v>
      </c>
      <c r="S3605" s="8"/>
      <c r="T3605" s="7" t="str">
        <f>HYPERLINK("https://miland.ru/api/getInfo/image/5e270c35-9d34-11f0-a285-00155d82e908")</f>
        <v>https://miland.ru/api/getInfo/image/5e270c35-9d34-11f0-a285-00155d82e908</v>
      </c>
      <c r="U3605" s="7"/>
      <c r="V3605" s="7" t="s">
        <v>6525</v>
      </c>
      <c r="W3605" s="7" t="s">
        <v>378</v>
      </c>
      <c r="X3605" s="7"/>
      <c r="Y3605" s="7" t="s">
        <v>41</v>
      </c>
      <c r="Z3605" s="7"/>
      <c r="AA3605" s="7" t="str">
        <f>HYPERLINK("https://miland.ru/api/getInfo/item/5e270c35-9d34-11f0-a285-00155d82e908")</f>
        <v>https://miland.ru/api/getInfo/item/5e270c35-9d34-11f0-a285-00155d82e908</v>
      </c>
      <c r="AB3605" s="7" t="s">
        <v>42</v>
      </c>
      <c r="AC3605" s="7"/>
      <c r="AD3605" s="7"/>
      <c r="AE3605" s="54"/>
    </row>
    <row r="3606" spans="2:31" s="1" customFormat="1" ht="96.3" customHeight="1" outlineLevel="7">
      <c r="B3606" s="58">
        <v>2813</v>
      </c>
      <c r="C3606" s="7" t="s">
        <v>12634</v>
      </c>
      <c r="D3606" s="71" t="s">
        <v>12635</v>
      </c>
      <c r="E3606" s="71"/>
      <c r="F3606" s="71"/>
      <c r="G3606" s="71"/>
      <c r="H3606" s="8" t="s">
        <v>12636</v>
      </c>
      <c r="I3606" s="9" t="s">
        <v>36</v>
      </c>
      <c r="J3606" s="8"/>
      <c r="K3606" s="6">
        <v>12</v>
      </c>
      <c r="L3606" s="10">
        <v>40.46</v>
      </c>
      <c r="M3606" s="11"/>
      <c r="N3606" s="8">
        <f t="shared" si="173"/>
        <v>0</v>
      </c>
      <c r="O3606" s="18">
        <f>0.03*M3606</f>
        <v>0</v>
      </c>
      <c r="P3606" s="13">
        <f>0.00013*M3606</f>
        <v>0</v>
      </c>
      <c r="Q3606" s="17" t="s">
        <v>37</v>
      </c>
      <c r="R3606" s="8" t="s">
        <v>12637</v>
      </c>
      <c r="S3606" s="8"/>
      <c r="T3606" s="7" t="str">
        <f>HYPERLINK("https://miland.ru/api/getInfo/image/5156b0ea-9d36-11f0-a285-00155d82e908")</f>
        <v>https://miland.ru/api/getInfo/image/5156b0ea-9d36-11f0-a285-00155d82e908</v>
      </c>
      <c r="U3606" s="7"/>
      <c r="V3606" s="7" t="s">
        <v>6525</v>
      </c>
      <c r="W3606" s="7" t="s">
        <v>378</v>
      </c>
      <c r="X3606" s="7"/>
      <c r="Y3606" s="7" t="s">
        <v>41</v>
      </c>
      <c r="Z3606" s="7"/>
      <c r="AA3606" s="7" t="str">
        <f>HYPERLINK("https://miland.ru/api/getInfo/item/5156b0ea-9d36-11f0-a285-00155d82e908")</f>
        <v>https://miland.ru/api/getInfo/item/5156b0ea-9d36-11f0-a285-00155d82e908</v>
      </c>
      <c r="AB3606" s="7" t="s">
        <v>42</v>
      </c>
      <c r="AC3606" s="7"/>
      <c r="AD3606" s="7"/>
      <c r="AE3606" s="54"/>
    </row>
    <row r="3607" spans="2:31" s="1" customFormat="1" ht="96.3" customHeight="1" outlineLevel="7">
      <c r="B3607" s="58">
        <v>2814</v>
      </c>
      <c r="C3607" s="7" t="s">
        <v>12638</v>
      </c>
      <c r="D3607" s="71" t="s">
        <v>12639</v>
      </c>
      <c r="E3607" s="71"/>
      <c r="F3607" s="71"/>
      <c r="G3607" s="71"/>
      <c r="H3607" s="8" t="s">
        <v>12640</v>
      </c>
      <c r="I3607" s="9" t="s">
        <v>36</v>
      </c>
      <c r="J3607" s="8"/>
      <c r="K3607" s="6">
        <v>12</v>
      </c>
      <c r="L3607" s="10">
        <v>40.46</v>
      </c>
      <c r="M3607" s="11"/>
      <c r="N3607" s="8">
        <f t="shared" si="173"/>
        <v>0</v>
      </c>
      <c r="O3607" s="12">
        <f>0.031*M3607</f>
        <v>0</v>
      </c>
      <c r="P3607" s="13">
        <f>0.00017*M3607</f>
        <v>0</v>
      </c>
      <c r="Q3607" s="17" t="s">
        <v>37</v>
      </c>
      <c r="R3607" s="8" t="s">
        <v>12641</v>
      </c>
      <c r="S3607" s="8"/>
      <c r="T3607" s="7" t="str">
        <f>HYPERLINK("https://miland.ru/api/getInfo/image/0f9a1f7e-9d35-11f0-a285-00155d82e908")</f>
        <v>https://miland.ru/api/getInfo/image/0f9a1f7e-9d35-11f0-a285-00155d82e908</v>
      </c>
      <c r="U3607" s="7"/>
      <c r="V3607" s="7" t="s">
        <v>6525</v>
      </c>
      <c r="W3607" s="7" t="s">
        <v>378</v>
      </c>
      <c r="X3607" s="7"/>
      <c r="Y3607" s="7" t="s">
        <v>41</v>
      </c>
      <c r="Z3607" s="7"/>
      <c r="AA3607" s="7" t="str">
        <f>HYPERLINK("https://miland.ru/api/getInfo/item/0f9a1f7e-9d35-11f0-a285-00155d82e908")</f>
        <v>https://miland.ru/api/getInfo/item/0f9a1f7e-9d35-11f0-a285-00155d82e908</v>
      </c>
      <c r="AB3607" s="7" t="s">
        <v>42</v>
      </c>
      <c r="AC3607" s="7"/>
      <c r="AD3607" s="7"/>
      <c r="AE3607" s="54"/>
    </row>
    <row r="3608" spans="2:31" s="1" customFormat="1" ht="96.3" customHeight="1" outlineLevel="7">
      <c r="B3608" s="58">
        <v>2815</v>
      </c>
      <c r="C3608" s="7" t="s">
        <v>12642</v>
      </c>
      <c r="D3608" s="71" t="s">
        <v>12643</v>
      </c>
      <c r="E3608" s="71"/>
      <c r="F3608" s="71"/>
      <c r="G3608" s="71"/>
      <c r="H3608" s="8" t="s">
        <v>12644</v>
      </c>
      <c r="I3608" s="9" t="s">
        <v>36</v>
      </c>
      <c r="J3608" s="8"/>
      <c r="K3608" s="6">
        <v>12</v>
      </c>
      <c r="L3608" s="10">
        <v>40.46</v>
      </c>
      <c r="M3608" s="11"/>
      <c r="N3608" s="8">
        <f t="shared" si="173"/>
        <v>0</v>
      </c>
      <c r="O3608" s="12">
        <f>0.004*M3608</f>
        <v>0</v>
      </c>
      <c r="P3608" s="13">
        <f>0.00017*M3608</f>
        <v>0</v>
      </c>
      <c r="Q3608" s="17" t="s">
        <v>37</v>
      </c>
      <c r="R3608" s="8" t="s">
        <v>12645</v>
      </c>
      <c r="S3608" s="8"/>
      <c r="T3608" s="7" t="str">
        <f>HYPERLINK("https://miland.ru/api/getInfo/image/3a3b1f23-9d36-11f0-a285-00155d82e908")</f>
        <v>https://miland.ru/api/getInfo/image/3a3b1f23-9d36-11f0-a285-00155d82e908</v>
      </c>
      <c r="U3608" s="7"/>
      <c r="V3608" s="7" t="s">
        <v>6525</v>
      </c>
      <c r="W3608" s="7" t="s">
        <v>378</v>
      </c>
      <c r="X3608" s="7"/>
      <c r="Y3608" s="7" t="s">
        <v>41</v>
      </c>
      <c r="Z3608" s="7"/>
      <c r="AA3608" s="7" t="str">
        <f>HYPERLINK("https://miland.ru/api/getInfo/item/3a3b1f23-9d36-11f0-a285-00155d82e908")</f>
        <v>https://miland.ru/api/getInfo/item/3a3b1f23-9d36-11f0-a285-00155d82e908</v>
      </c>
      <c r="AB3608" s="7" t="s">
        <v>42</v>
      </c>
      <c r="AC3608" s="7"/>
      <c r="AD3608" s="7"/>
      <c r="AE3608" s="54"/>
    </row>
    <row r="3609" spans="2:31" s="1" customFormat="1" ht="96.3" customHeight="1" outlineLevel="7">
      <c r="B3609" s="58">
        <v>2816</v>
      </c>
      <c r="C3609" s="7" t="s">
        <v>12646</v>
      </c>
      <c r="D3609" s="71" t="s">
        <v>12647</v>
      </c>
      <c r="E3609" s="71"/>
      <c r="F3609" s="71"/>
      <c r="G3609" s="71"/>
      <c r="H3609" s="8" t="s">
        <v>12648</v>
      </c>
      <c r="I3609" s="9" t="s">
        <v>36</v>
      </c>
      <c r="J3609" s="8"/>
      <c r="K3609" s="6">
        <v>12</v>
      </c>
      <c r="L3609" s="10">
        <v>40.46</v>
      </c>
      <c r="M3609" s="11"/>
      <c r="N3609" s="8">
        <f t="shared" si="173"/>
        <v>0</v>
      </c>
      <c r="O3609" s="12">
        <f>0.031*M3609</f>
        <v>0</v>
      </c>
      <c r="P3609" s="13">
        <f>0.00017*M3609</f>
        <v>0</v>
      </c>
      <c r="Q3609" s="17" t="s">
        <v>37</v>
      </c>
      <c r="R3609" s="8" t="s">
        <v>12649</v>
      </c>
      <c r="S3609" s="8"/>
      <c r="T3609" s="7" t="str">
        <f>HYPERLINK("https://miland.ru/api/getInfo/image/c9d1649d-767e-11f0-a284-00155d82e908")</f>
        <v>https://miland.ru/api/getInfo/image/c9d1649d-767e-11f0-a284-00155d82e908</v>
      </c>
      <c r="U3609" s="7"/>
      <c r="V3609" s="7" t="s">
        <v>6525</v>
      </c>
      <c r="W3609" s="7" t="s">
        <v>378</v>
      </c>
      <c r="X3609" s="7"/>
      <c r="Y3609" s="7" t="s">
        <v>41</v>
      </c>
      <c r="Z3609" s="7"/>
      <c r="AA3609" s="7" t="str">
        <f>HYPERLINK("https://miland.ru/api/getInfo/item/c9d1649d-767e-11f0-a284-00155d82e908")</f>
        <v>https://miland.ru/api/getInfo/item/c9d1649d-767e-11f0-a284-00155d82e908</v>
      </c>
      <c r="AB3609" s="7" t="s">
        <v>42</v>
      </c>
      <c r="AC3609" s="7"/>
      <c r="AD3609" s="7"/>
      <c r="AE3609" s="54"/>
    </row>
    <row r="3610" spans="2:31" s="1" customFormat="1" ht="96.3" customHeight="1" outlineLevel="7">
      <c r="B3610" s="58">
        <v>2817</v>
      </c>
      <c r="C3610" s="7" t="s">
        <v>12650</v>
      </c>
      <c r="D3610" s="71" t="s">
        <v>12651</v>
      </c>
      <c r="E3610" s="71"/>
      <c r="F3610" s="71"/>
      <c r="G3610" s="71"/>
      <c r="H3610" s="8" t="s">
        <v>12652</v>
      </c>
      <c r="I3610" s="9" t="s">
        <v>36</v>
      </c>
      <c r="J3610" s="8"/>
      <c r="K3610" s="6">
        <v>12</v>
      </c>
      <c r="L3610" s="10">
        <v>40.46</v>
      </c>
      <c r="M3610" s="11"/>
      <c r="N3610" s="8">
        <f t="shared" si="173"/>
        <v>0</v>
      </c>
      <c r="O3610" s="18">
        <f>0.03*M3610</f>
        <v>0</v>
      </c>
      <c r="P3610" s="13">
        <f>0.00013*M3610</f>
        <v>0</v>
      </c>
      <c r="Q3610" s="17" t="s">
        <v>37</v>
      </c>
      <c r="R3610" s="8" t="s">
        <v>12653</v>
      </c>
      <c r="S3610" s="8"/>
      <c r="T3610" s="7" t="str">
        <f>HYPERLINK("https://miland.ru/api/getInfo/image/e4eca61d-767e-11f0-a284-00155d82e908")</f>
        <v>https://miland.ru/api/getInfo/image/e4eca61d-767e-11f0-a284-00155d82e908</v>
      </c>
      <c r="U3610" s="7"/>
      <c r="V3610" s="7" t="s">
        <v>6525</v>
      </c>
      <c r="W3610" s="7" t="s">
        <v>378</v>
      </c>
      <c r="X3610" s="7"/>
      <c r="Y3610" s="7" t="s">
        <v>41</v>
      </c>
      <c r="Z3610" s="7"/>
      <c r="AA3610" s="7" t="str">
        <f>HYPERLINK("https://miland.ru/api/getInfo/item/e4eca61d-767e-11f0-a284-00155d82e908")</f>
        <v>https://miland.ru/api/getInfo/item/e4eca61d-767e-11f0-a284-00155d82e908</v>
      </c>
      <c r="AB3610" s="7" t="s">
        <v>42</v>
      </c>
      <c r="AC3610" s="7"/>
      <c r="AD3610" s="7"/>
      <c r="AE3610" s="54"/>
    </row>
    <row r="3611" spans="2:31" s="1" customFormat="1" ht="96.3" customHeight="1" outlineLevel="7">
      <c r="B3611" s="58">
        <v>2818</v>
      </c>
      <c r="C3611" s="7" t="s">
        <v>12654</v>
      </c>
      <c r="D3611" s="71" t="s">
        <v>12655</v>
      </c>
      <c r="E3611" s="71"/>
      <c r="F3611" s="71"/>
      <c r="G3611" s="71"/>
      <c r="H3611" s="8" t="s">
        <v>12656</v>
      </c>
      <c r="I3611" s="9" t="s">
        <v>36</v>
      </c>
      <c r="J3611" s="8"/>
      <c r="K3611" s="6">
        <v>12</v>
      </c>
      <c r="L3611" s="10">
        <v>40.46</v>
      </c>
      <c r="M3611" s="11"/>
      <c r="N3611" s="8">
        <f t="shared" si="173"/>
        <v>0</v>
      </c>
      <c r="O3611" s="18">
        <f>0.03*M3611</f>
        <v>0</v>
      </c>
      <c r="P3611" s="13">
        <f>0.00017*M3611</f>
        <v>0</v>
      </c>
      <c r="Q3611" s="17" t="s">
        <v>37</v>
      </c>
      <c r="R3611" s="8" t="s">
        <v>12657</v>
      </c>
      <c r="S3611" s="8"/>
      <c r="T3611" s="7" t="str">
        <f>HYPERLINK("https://miland.ru/api/getInfo/image/4913f885-767e-11f0-a284-00155d82e908")</f>
        <v>https://miland.ru/api/getInfo/image/4913f885-767e-11f0-a284-00155d82e908</v>
      </c>
      <c r="U3611" s="7"/>
      <c r="V3611" s="7" t="s">
        <v>6525</v>
      </c>
      <c r="W3611" s="7" t="s">
        <v>378</v>
      </c>
      <c r="X3611" s="7"/>
      <c r="Y3611" s="7" t="s">
        <v>41</v>
      </c>
      <c r="Z3611" s="7"/>
      <c r="AA3611" s="7" t="str">
        <f>HYPERLINK("https://miland.ru/api/getInfo/item/4913f885-767e-11f0-a284-00155d82e908")</f>
        <v>https://miland.ru/api/getInfo/item/4913f885-767e-11f0-a284-00155d82e908</v>
      </c>
      <c r="AB3611" s="7" t="s">
        <v>42</v>
      </c>
      <c r="AC3611" s="7"/>
      <c r="AD3611" s="7"/>
      <c r="AE3611" s="54"/>
    </row>
    <row r="3612" spans="2:31" s="1" customFormat="1" ht="96.3" customHeight="1" outlineLevel="7">
      <c r="B3612" s="58">
        <v>2819</v>
      </c>
      <c r="C3612" s="7" t="s">
        <v>12658</v>
      </c>
      <c r="D3612" s="71" t="s">
        <v>12659</v>
      </c>
      <c r="E3612" s="71"/>
      <c r="F3612" s="71"/>
      <c r="G3612" s="71"/>
      <c r="H3612" s="8" t="s">
        <v>12660</v>
      </c>
      <c r="I3612" s="9" t="s">
        <v>36</v>
      </c>
      <c r="J3612" s="8"/>
      <c r="K3612" s="6">
        <v>12</v>
      </c>
      <c r="L3612" s="10">
        <v>40.46</v>
      </c>
      <c r="M3612" s="11"/>
      <c r="N3612" s="8">
        <f t="shared" si="173"/>
        <v>0</v>
      </c>
      <c r="O3612" s="18">
        <f>0.03*M3612</f>
        <v>0</v>
      </c>
      <c r="P3612" s="13">
        <f>0.00013*M3612</f>
        <v>0</v>
      </c>
      <c r="Q3612" s="17" t="s">
        <v>37</v>
      </c>
      <c r="R3612" s="8" t="s">
        <v>12661</v>
      </c>
      <c r="S3612" s="8"/>
      <c r="T3612" s="7" t="str">
        <f>HYPERLINK("https://miland.ru/api/getInfo/image/2e26f29c-767c-11f0-a284-00155d82e908")</f>
        <v>https://miland.ru/api/getInfo/image/2e26f29c-767c-11f0-a284-00155d82e908</v>
      </c>
      <c r="U3612" s="7"/>
      <c r="V3612" s="7" t="s">
        <v>6525</v>
      </c>
      <c r="W3612" s="7" t="s">
        <v>378</v>
      </c>
      <c r="X3612" s="7"/>
      <c r="Y3612" s="7" t="s">
        <v>41</v>
      </c>
      <c r="Z3612" s="7"/>
      <c r="AA3612" s="7" t="str">
        <f>HYPERLINK("https://miland.ru/api/getInfo/item/2e26f29c-767c-11f0-a284-00155d82e908")</f>
        <v>https://miland.ru/api/getInfo/item/2e26f29c-767c-11f0-a284-00155d82e908</v>
      </c>
      <c r="AB3612" s="7" t="s">
        <v>42</v>
      </c>
      <c r="AC3612" s="7"/>
      <c r="AD3612" s="7"/>
      <c r="AE3612" s="54"/>
    </row>
    <row r="3613" spans="2:31" s="1" customFormat="1" ht="96.3" customHeight="1" outlineLevel="7">
      <c r="B3613" s="58">
        <v>2820</v>
      </c>
      <c r="C3613" s="7" t="s">
        <v>12662</v>
      </c>
      <c r="D3613" s="71" t="s">
        <v>12663</v>
      </c>
      <c r="E3613" s="71"/>
      <c r="F3613" s="71"/>
      <c r="G3613" s="71"/>
      <c r="H3613" s="8" t="s">
        <v>12664</v>
      </c>
      <c r="I3613" s="9" t="s">
        <v>36</v>
      </c>
      <c r="J3613" s="8"/>
      <c r="K3613" s="6">
        <v>12</v>
      </c>
      <c r="L3613" s="10">
        <v>40.46</v>
      </c>
      <c r="M3613" s="11"/>
      <c r="N3613" s="8">
        <f t="shared" si="173"/>
        <v>0</v>
      </c>
      <c r="O3613" s="12">
        <f>0.031*M3613</f>
        <v>0</v>
      </c>
      <c r="P3613" s="13">
        <f>0.00017*M3613</f>
        <v>0</v>
      </c>
      <c r="Q3613" s="17" t="s">
        <v>37</v>
      </c>
      <c r="R3613" s="8" t="s">
        <v>12665</v>
      </c>
      <c r="S3613" s="8"/>
      <c r="T3613" s="7" t="str">
        <f>HYPERLINK("https://miland.ru/api/getInfo/image/18b82ba6-767f-11f0-a284-00155d82e908")</f>
        <v>https://miland.ru/api/getInfo/image/18b82ba6-767f-11f0-a284-00155d82e908</v>
      </c>
      <c r="U3613" s="7"/>
      <c r="V3613" s="7" t="s">
        <v>6525</v>
      </c>
      <c r="W3613" s="7" t="s">
        <v>378</v>
      </c>
      <c r="X3613" s="7"/>
      <c r="Y3613" s="7" t="s">
        <v>41</v>
      </c>
      <c r="Z3613" s="7"/>
      <c r="AA3613" s="7" t="str">
        <f>HYPERLINK("https://miland.ru/api/getInfo/item/18b82ba6-767f-11f0-a284-00155d82e908")</f>
        <v>https://miland.ru/api/getInfo/item/18b82ba6-767f-11f0-a284-00155d82e908</v>
      </c>
      <c r="AB3613" s="7" t="s">
        <v>42</v>
      </c>
      <c r="AC3613" s="7"/>
      <c r="AD3613" s="7"/>
      <c r="AE3613" s="54"/>
    </row>
    <row r="3614" spans="2:31" s="1" customFormat="1" ht="96.3" customHeight="1" outlineLevel="7">
      <c r="B3614" s="58">
        <v>2821</v>
      </c>
      <c r="C3614" s="7" t="s">
        <v>12666</v>
      </c>
      <c r="D3614" s="71" t="s">
        <v>12667</v>
      </c>
      <c r="E3614" s="71"/>
      <c r="F3614" s="71"/>
      <c r="G3614" s="71"/>
      <c r="H3614" s="8" t="s">
        <v>12668</v>
      </c>
      <c r="I3614" s="9" t="s">
        <v>36</v>
      </c>
      <c r="J3614" s="8"/>
      <c r="K3614" s="6">
        <v>12</v>
      </c>
      <c r="L3614" s="10">
        <v>40.46</v>
      </c>
      <c r="M3614" s="11"/>
      <c r="N3614" s="8">
        <f t="shared" si="173"/>
        <v>0</v>
      </c>
      <c r="O3614" s="18">
        <f>0.03*M3614</f>
        <v>0</v>
      </c>
      <c r="P3614" s="13">
        <f>0.00017*M3614</f>
        <v>0</v>
      </c>
      <c r="Q3614" s="17" t="s">
        <v>37</v>
      </c>
      <c r="R3614" s="8" t="s">
        <v>12669</v>
      </c>
      <c r="S3614" s="8"/>
      <c r="T3614" s="7" t="str">
        <f>HYPERLINK("https://miland.ru/api/getInfo/image/60a04297-767f-11f0-a284-00155d82e908")</f>
        <v>https://miland.ru/api/getInfo/image/60a04297-767f-11f0-a284-00155d82e908</v>
      </c>
      <c r="U3614" s="7"/>
      <c r="V3614" s="7" t="s">
        <v>6525</v>
      </c>
      <c r="W3614" s="7" t="s">
        <v>378</v>
      </c>
      <c r="X3614" s="7"/>
      <c r="Y3614" s="7" t="s">
        <v>41</v>
      </c>
      <c r="Z3614" s="7"/>
      <c r="AA3614" s="7" t="str">
        <f>HYPERLINK("https://miland.ru/api/getInfo/item/60a04297-767f-11f0-a284-00155d82e908")</f>
        <v>https://miland.ru/api/getInfo/item/60a04297-767f-11f0-a284-00155d82e908</v>
      </c>
      <c r="AB3614" s="7" t="s">
        <v>42</v>
      </c>
      <c r="AC3614" s="7"/>
      <c r="AD3614" s="7"/>
      <c r="AE3614" s="54"/>
    </row>
    <row r="3615" spans="2:31" s="1" customFormat="1" ht="96.3" customHeight="1" outlineLevel="7">
      <c r="B3615" s="58">
        <v>2822</v>
      </c>
      <c r="C3615" s="7" t="s">
        <v>12670</v>
      </c>
      <c r="D3615" s="71" t="s">
        <v>12671</v>
      </c>
      <c r="E3615" s="71"/>
      <c r="F3615" s="71"/>
      <c r="G3615" s="71"/>
      <c r="H3615" s="8" t="s">
        <v>12672</v>
      </c>
      <c r="I3615" s="9" t="s">
        <v>36</v>
      </c>
      <c r="J3615" s="8"/>
      <c r="K3615" s="6">
        <v>12</v>
      </c>
      <c r="L3615" s="10">
        <v>40.46</v>
      </c>
      <c r="M3615" s="11"/>
      <c r="N3615" s="8">
        <f t="shared" si="173"/>
        <v>0</v>
      </c>
      <c r="O3615" s="18">
        <f>0.03*M3615</f>
        <v>0</v>
      </c>
      <c r="P3615" s="13">
        <f>0.00013*M3615</f>
        <v>0</v>
      </c>
      <c r="Q3615" s="17" t="s">
        <v>37</v>
      </c>
      <c r="R3615" s="8" t="s">
        <v>12673</v>
      </c>
      <c r="S3615" s="8"/>
      <c r="T3615" s="7" t="str">
        <f>HYPERLINK("https://miland.ru/api/getInfo/image/fd71811d-767e-11f0-a284-00155d82e908")</f>
        <v>https://miland.ru/api/getInfo/image/fd71811d-767e-11f0-a284-00155d82e908</v>
      </c>
      <c r="U3615" s="7"/>
      <c r="V3615" s="7" t="s">
        <v>6525</v>
      </c>
      <c r="W3615" s="7" t="s">
        <v>378</v>
      </c>
      <c r="X3615" s="7"/>
      <c r="Y3615" s="7" t="s">
        <v>41</v>
      </c>
      <c r="Z3615" s="7"/>
      <c r="AA3615" s="7" t="str">
        <f>HYPERLINK("https://miland.ru/api/getInfo/item/fd71811d-767e-11f0-a284-00155d82e908")</f>
        <v>https://miland.ru/api/getInfo/item/fd71811d-767e-11f0-a284-00155d82e908</v>
      </c>
      <c r="AB3615" s="7" t="s">
        <v>42</v>
      </c>
      <c r="AC3615" s="7"/>
      <c r="AD3615" s="7"/>
      <c r="AE3615" s="54"/>
    </row>
    <row r="3616" spans="2:31" s="1" customFormat="1" ht="96.3" customHeight="1" outlineLevel="7">
      <c r="B3616" s="58">
        <v>2823</v>
      </c>
      <c r="C3616" s="7" t="s">
        <v>12674</v>
      </c>
      <c r="D3616" s="71" t="s">
        <v>12675</v>
      </c>
      <c r="E3616" s="71"/>
      <c r="F3616" s="71"/>
      <c r="G3616" s="71"/>
      <c r="H3616" s="8" t="s">
        <v>12676</v>
      </c>
      <c r="I3616" s="9" t="s">
        <v>36</v>
      </c>
      <c r="J3616" s="8"/>
      <c r="K3616" s="6">
        <v>12</v>
      </c>
      <c r="L3616" s="10">
        <v>40.46</v>
      </c>
      <c r="M3616" s="11"/>
      <c r="N3616" s="8">
        <f t="shared" si="173"/>
        <v>0</v>
      </c>
      <c r="O3616" s="18">
        <f>0.03*M3616</f>
        <v>0</v>
      </c>
      <c r="P3616" s="13">
        <f>0.00017*M3616</f>
        <v>0</v>
      </c>
      <c r="Q3616" s="17" t="s">
        <v>37</v>
      </c>
      <c r="R3616" s="8" t="s">
        <v>12677</v>
      </c>
      <c r="S3616" s="8"/>
      <c r="T3616" s="7" t="str">
        <f>HYPERLINK("https://miland.ru/api/getInfo/image/7040f057-767e-11f0-a284-00155d82e908")</f>
        <v>https://miland.ru/api/getInfo/image/7040f057-767e-11f0-a284-00155d82e908</v>
      </c>
      <c r="U3616" s="7"/>
      <c r="V3616" s="7" t="s">
        <v>6525</v>
      </c>
      <c r="W3616" s="7" t="s">
        <v>378</v>
      </c>
      <c r="X3616" s="7"/>
      <c r="Y3616" s="7" t="s">
        <v>41</v>
      </c>
      <c r="Z3616" s="7"/>
      <c r="AA3616" s="7" t="str">
        <f>HYPERLINK("https://miland.ru/api/getInfo/item/7040f057-767e-11f0-a284-00155d82e908")</f>
        <v>https://miland.ru/api/getInfo/item/7040f057-767e-11f0-a284-00155d82e908</v>
      </c>
      <c r="AB3616" s="7" t="s">
        <v>42</v>
      </c>
      <c r="AC3616" s="7"/>
      <c r="AD3616" s="7"/>
      <c r="AE3616" s="54"/>
    </row>
    <row r="3617" spans="2:31" s="1" customFormat="1" ht="96.3" customHeight="1" outlineLevel="7">
      <c r="B3617" s="58">
        <v>2824</v>
      </c>
      <c r="C3617" s="7" t="s">
        <v>12678</v>
      </c>
      <c r="D3617" s="71" t="s">
        <v>12679</v>
      </c>
      <c r="E3617" s="71"/>
      <c r="F3617" s="71"/>
      <c r="G3617" s="71"/>
      <c r="H3617" s="8" t="s">
        <v>12680</v>
      </c>
      <c r="I3617" s="9" t="s">
        <v>36</v>
      </c>
      <c r="J3617" s="8"/>
      <c r="K3617" s="6">
        <v>12</v>
      </c>
      <c r="L3617" s="10">
        <v>40.46</v>
      </c>
      <c r="M3617" s="11"/>
      <c r="N3617" s="8">
        <f t="shared" si="173"/>
        <v>0</v>
      </c>
      <c r="O3617" s="12">
        <f>0.036*M3617</f>
        <v>0</v>
      </c>
      <c r="P3617" s="16">
        <f>0.0006*M3617</f>
        <v>0</v>
      </c>
      <c r="Q3617" s="17" t="s">
        <v>37</v>
      </c>
      <c r="R3617" s="8" t="s">
        <v>12681</v>
      </c>
      <c r="S3617" s="8"/>
      <c r="T3617" s="7" t="str">
        <f>HYPERLINK("https://miland.ru/api/getInfo/image/190de74e-0680-11f1-a28f-00155d82e908")</f>
        <v>https://miland.ru/api/getInfo/image/190de74e-0680-11f1-a28f-00155d82e908</v>
      </c>
      <c r="U3617" s="7"/>
      <c r="V3617" s="7"/>
      <c r="W3617" s="7" t="s">
        <v>378</v>
      </c>
      <c r="X3617" s="7"/>
      <c r="Y3617" s="7" t="s">
        <v>41</v>
      </c>
      <c r="Z3617" s="7"/>
      <c r="AA3617" s="7" t="str">
        <f>HYPERLINK("https://miland.ru/api/getInfo/item/190de74e-0680-11f1-a28f-00155d82e908")</f>
        <v>https://miland.ru/api/getInfo/item/190de74e-0680-11f1-a28f-00155d82e908</v>
      </c>
      <c r="AB3617" s="7" t="s">
        <v>42</v>
      </c>
      <c r="AC3617" s="7"/>
      <c r="AD3617" s="7"/>
      <c r="AE3617" s="54"/>
    </row>
    <row r="3618" spans="2:31" s="1" customFormat="1" ht="96.3" customHeight="1" outlineLevel="7">
      <c r="B3618" s="58">
        <v>2825</v>
      </c>
      <c r="C3618" s="7" t="s">
        <v>12682</v>
      </c>
      <c r="D3618" s="71" t="s">
        <v>12683</v>
      </c>
      <c r="E3618" s="71"/>
      <c r="F3618" s="71"/>
      <c r="G3618" s="71"/>
      <c r="H3618" s="8" t="s">
        <v>12684</v>
      </c>
      <c r="I3618" s="9" t="s">
        <v>36</v>
      </c>
      <c r="J3618" s="8"/>
      <c r="K3618" s="6">
        <v>12</v>
      </c>
      <c r="L3618" s="10">
        <v>40.46</v>
      </c>
      <c r="M3618" s="11"/>
      <c r="N3618" s="8">
        <f t="shared" si="173"/>
        <v>0</v>
      </c>
      <c r="O3618" s="12">
        <f>0.039*M3618</f>
        <v>0</v>
      </c>
      <c r="P3618" s="13">
        <f>0.00068*M3618</f>
        <v>0</v>
      </c>
      <c r="Q3618" s="17" t="s">
        <v>37</v>
      </c>
      <c r="R3618" s="8" t="s">
        <v>12685</v>
      </c>
      <c r="S3618" s="8"/>
      <c r="T3618" s="7" t="str">
        <f>HYPERLINK("https://miland.ru/api/getInfo/image/9959463e-067f-11f1-a28f-00155d82e908")</f>
        <v>https://miland.ru/api/getInfo/image/9959463e-067f-11f1-a28f-00155d82e908</v>
      </c>
      <c r="U3618" s="7"/>
      <c r="V3618" s="7"/>
      <c r="W3618" s="7" t="s">
        <v>378</v>
      </c>
      <c r="X3618" s="7"/>
      <c r="Y3618" s="7" t="s">
        <v>41</v>
      </c>
      <c r="Z3618" s="7"/>
      <c r="AA3618" s="7" t="str">
        <f>HYPERLINK("https://miland.ru/api/getInfo/item/9959463e-067f-11f1-a28f-00155d82e908")</f>
        <v>https://miland.ru/api/getInfo/item/9959463e-067f-11f1-a28f-00155d82e908</v>
      </c>
      <c r="AB3618" s="7" t="s">
        <v>42</v>
      </c>
      <c r="AC3618" s="7"/>
      <c r="AD3618" s="7"/>
      <c r="AE3618" s="54"/>
    </row>
    <row r="3619" spans="2:31" s="1" customFormat="1" ht="96.3" customHeight="1" outlineLevel="7">
      <c r="B3619" s="58">
        <v>2826</v>
      </c>
      <c r="C3619" s="7" t="s">
        <v>12686</v>
      </c>
      <c r="D3619" s="71" t="s">
        <v>12687</v>
      </c>
      <c r="E3619" s="71"/>
      <c r="F3619" s="71"/>
      <c r="G3619" s="71"/>
      <c r="H3619" s="8" t="s">
        <v>12688</v>
      </c>
      <c r="I3619" s="9" t="s">
        <v>36</v>
      </c>
      <c r="J3619" s="8"/>
      <c r="K3619" s="6">
        <v>12</v>
      </c>
      <c r="L3619" s="10">
        <v>40.46</v>
      </c>
      <c r="M3619" s="11"/>
      <c r="N3619" s="8">
        <f t="shared" si="173"/>
        <v>0</v>
      </c>
      <c r="O3619" s="12">
        <f>0.038*M3619</f>
        <v>0</v>
      </c>
      <c r="P3619" s="16">
        <f>0.0004*M3619</f>
        <v>0</v>
      </c>
      <c r="Q3619" s="17" t="s">
        <v>37</v>
      </c>
      <c r="R3619" s="8" t="s">
        <v>12689</v>
      </c>
      <c r="S3619" s="8"/>
      <c r="T3619" s="7" t="str">
        <f>HYPERLINK("https://miland.ru/api/getInfo/image/f7c7a10a-067f-11f1-a28f-00155d82e908")</f>
        <v>https://miland.ru/api/getInfo/image/f7c7a10a-067f-11f1-a28f-00155d82e908</v>
      </c>
      <c r="U3619" s="7"/>
      <c r="V3619" s="7"/>
      <c r="W3619" s="7" t="s">
        <v>378</v>
      </c>
      <c r="X3619" s="7"/>
      <c r="Y3619" s="7" t="s">
        <v>41</v>
      </c>
      <c r="Z3619" s="7"/>
      <c r="AA3619" s="7" t="str">
        <f>HYPERLINK("https://miland.ru/api/getInfo/item/f7c7a10a-067f-11f1-a28f-00155d82e908")</f>
        <v>https://miland.ru/api/getInfo/item/f7c7a10a-067f-11f1-a28f-00155d82e908</v>
      </c>
      <c r="AB3619" s="7" t="s">
        <v>42</v>
      </c>
      <c r="AC3619" s="7"/>
      <c r="AD3619" s="7"/>
      <c r="AE3619" s="54"/>
    </row>
    <row r="3620" spans="2:31" s="1" customFormat="1" ht="96.3" customHeight="1" outlineLevel="7">
      <c r="B3620" s="58">
        <v>2827</v>
      </c>
      <c r="C3620" s="7" t="s">
        <v>12690</v>
      </c>
      <c r="D3620" s="71" t="s">
        <v>12691</v>
      </c>
      <c r="E3620" s="71"/>
      <c r="F3620" s="71"/>
      <c r="G3620" s="71"/>
      <c r="H3620" s="8" t="s">
        <v>12692</v>
      </c>
      <c r="I3620" s="9" t="s">
        <v>36</v>
      </c>
      <c r="J3620" s="8"/>
      <c r="K3620" s="6">
        <v>12</v>
      </c>
      <c r="L3620" s="10">
        <v>40.46</v>
      </c>
      <c r="M3620" s="11"/>
      <c r="N3620" s="8">
        <f t="shared" si="173"/>
        <v>0</v>
      </c>
      <c r="O3620" s="12">
        <f>0.037*M3620</f>
        <v>0</v>
      </c>
      <c r="P3620" s="13">
        <f>0.00083*M3620</f>
        <v>0</v>
      </c>
      <c r="Q3620" s="17" t="s">
        <v>37</v>
      </c>
      <c r="R3620" s="8" t="s">
        <v>12693</v>
      </c>
      <c r="S3620" s="8"/>
      <c r="T3620" s="7" t="str">
        <f>HYPERLINK("https://miland.ru/api/getInfo/image/2bc1fe13-0680-11f1-a28f-00155d82e908")</f>
        <v>https://miland.ru/api/getInfo/image/2bc1fe13-0680-11f1-a28f-00155d82e908</v>
      </c>
      <c r="U3620" s="7"/>
      <c r="V3620" s="7"/>
      <c r="W3620" s="7" t="s">
        <v>378</v>
      </c>
      <c r="X3620" s="7"/>
      <c r="Y3620" s="7" t="s">
        <v>41</v>
      </c>
      <c r="Z3620" s="7"/>
      <c r="AA3620" s="7" t="str">
        <f>HYPERLINK("https://miland.ru/api/getInfo/item/2bc1fe13-0680-11f1-a28f-00155d82e908")</f>
        <v>https://miland.ru/api/getInfo/item/2bc1fe13-0680-11f1-a28f-00155d82e908</v>
      </c>
      <c r="AB3620" s="7" t="s">
        <v>42</v>
      </c>
      <c r="AC3620" s="7"/>
      <c r="AD3620" s="7"/>
      <c r="AE3620" s="54"/>
    </row>
    <row r="3621" spans="2:31" s="1" customFormat="1" ht="96.3" customHeight="1" outlineLevel="7">
      <c r="B3621" s="58">
        <v>2828</v>
      </c>
      <c r="C3621" s="7" t="s">
        <v>12694</v>
      </c>
      <c r="D3621" s="71" t="s">
        <v>12695</v>
      </c>
      <c r="E3621" s="71"/>
      <c r="F3621" s="71"/>
      <c r="G3621" s="71"/>
      <c r="H3621" s="8" t="s">
        <v>12696</v>
      </c>
      <c r="I3621" s="9" t="s">
        <v>36</v>
      </c>
      <c r="J3621" s="8"/>
      <c r="K3621" s="6">
        <v>12</v>
      </c>
      <c r="L3621" s="10">
        <v>40.46</v>
      </c>
      <c r="M3621" s="11"/>
      <c r="N3621" s="8">
        <f t="shared" si="173"/>
        <v>0</v>
      </c>
      <c r="O3621" s="12">
        <f>0.039*M3621</f>
        <v>0</v>
      </c>
      <c r="P3621" s="13">
        <f>0.00061*M3621</f>
        <v>0</v>
      </c>
      <c r="Q3621" s="17" t="s">
        <v>37</v>
      </c>
      <c r="R3621" s="8" t="s">
        <v>12697</v>
      </c>
      <c r="S3621" s="8"/>
      <c r="T3621" s="7" t="str">
        <f>HYPERLINK("https://miland.ru/api/getInfo/image/46a1eace-0680-11f1-a28f-00155d82e908")</f>
        <v>https://miland.ru/api/getInfo/image/46a1eace-0680-11f1-a28f-00155d82e908</v>
      </c>
      <c r="U3621" s="7"/>
      <c r="V3621" s="7"/>
      <c r="W3621" s="7" t="s">
        <v>378</v>
      </c>
      <c r="X3621" s="7"/>
      <c r="Y3621" s="7" t="s">
        <v>41</v>
      </c>
      <c r="Z3621" s="7"/>
      <c r="AA3621" s="7" t="str">
        <f>HYPERLINK("https://miland.ru/api/getInfo/item/46a1eace-0680-11f1-a28f-00155d82e908")</f>
        <v>https://miland.ru/api/getInfo/item/46a1eace-0680-11f1-a28f-00155d82e908</v>
      </c>
      <c r="AB3621" s="7" t="s">
        <v>42</v>
      </c>
      <c r="AC3621" s="7"/>
      <c r="AD3621" s="7"/>
      <c r="AE3621" s="54"/>
    </row>
    <row r="3622" spans="2:31" s="1" customFormat="1" ht="96.3" customHeight="1" outlineLevel="7">
      <c r="B3622" s="58">
        <v>2829</v>
      </c>
      <c r="C3622" s="7" t="s">
        <v>12698</v>
      </c>
      <c r="D3622" s="71" t="s">
        <v>12699</v>
      </c>
      <c r="E3622" s="71"/>
      <c r="F3622" s="71"/>
      <c r="G3622" s="71"/>
      <c r="H3622" s="8" t="s">
        <v>12700</v>
      </c>
      <c r="I3622" s="9" t="s">
        <v>36</v>
      </c>
      <c r="J3622" s="8"/>
      <c r="K3622" s="6">
        <v>12</v>
      </c>
      <c r="L3622" s="10">
        <v>40.46</v>
      </c>
      <c r="M3622" s="11"/>
      <c r="N3622" s="8">
        <f t="shared" si="173"/>
        <v>0</v>
      </c>
      <c r="O3622" s="12">
        <f>0.039*M3622</f>
        <v>0</v>
      </c>
      <c r="P3622" s="13">
        <f>0.00025*M3622</f>
        <v>0</v>
      </c>
      <c r="Q3622" s="17" t="s">
        <v>37</v>
      </c>
      <c r="R3622" s="8" t="s">
        <v>12701</v>
      </c>
      <c r="S3622" s="8"/>
      <c r="T3622" s="7" t="str">
        <f>HYPERLINK("https://miland.ru/api/getInfo/image/d927c46b-067f-11f1-a28f-00155d82e908")</f>
        <v>https://miland.ru/api/getInfo/image/d927c46b-067f-11f1-a28f-00155d82e908</v>
      </c>
      <c r="U3622" s="7"/>
      <c r="V3622" s="7"/>
      <c r="W3622" s="7" t="s">
        <v>378</v>
      </c>
      <c r="X3622" s="7"/>
      <c r="Y3622" s="7" t="s">
        <v>41</v>
      </c>
      <c r="Z3622" s="7"/>
      <c r="AA3622" s="7" t="str">
        <f>HYPERLINK("https://miland.ru/api/getInfo/item/d927c46b-067f-11f1-a28f-00155d82e908")</f>
        <v>https://miland.ru/api/getInfo/item/d927c46b-067f-11f1-a28f-00155d82e908</v>
      </c>
      <c r="AB3622" s="7" t="s">
        <v>42</v>
      </c>
      <c r="AC3622" s="7"/>
      <c r="AD3622" s="7"/>
      <c r="AE3622" s="54"/>
    </row>
    <row r="3623" spans="2:31" s="1" customFormat="1" ht="96.3" customHeight="1" outlineLevel="7">
      <c r="B3623" s="58">
        <v>2830</v>
      </c>
      <c r="C3623" s="7" t="s">
        <v>12702</v>
      </c>
      <c r="D3623" s="71" t="s">
        <v>12703</v>
      </c>
      <c r="E3623" s="71"/>
      <c r="F3623" s="71"/>
      <c r="G3623" s="71"/>
      <c r="H3623" s="8" t="s">
        <v>12704</v>
      </c>
      <c r="I3623" s="9" t="s">
        <v>36</v>
      </c>
      <c r="J3623" s="8"/>
      <c r="K3623" s="6">
        <v>12</v>
      </c>
      <c r="L3623" s="10">
        <v>40.46</v>
      </c>
      <c r="M3623" s="11"/>
      <c r="N3623" s="8">
        <f t="shared" si="173"/>
        <v>0</v>
      </c>
      <c r="O3623" s="12">
        <f>0.039*M3623</f>
        <v>0</v>
      </c>
      <c r="P3623" s="13">
        <f>0.00089*M3623</f>
        <v>0</v>
      </c>
      <c r="Q3623" s="17" t="s">
        <v>37</v>
      </c>
      <c r="R3623" s="8" t="s">
        <v>12705</v>
      </c>
      <c r="S3623" s="8"/>
      <c r="T3623" s="7" t="str">
        <f>HYPERLINK("https://miland.ru/api/getInfo/image/63f96825-0680-11f1-a28f-00155d82e908")</f>
        <v>https://miland.ru/api/getInfo/image/63f96825-0680-11f1-a28f-00155d82e908</v>
      </c>
      <c r="U3623" s="7"/>
      <c r="V3623" s="7"/>
      <c r="W3623" s="7" t="s">
        <v>378</v>
      </c>
      <c r="X3623" s="7"/>
      <c r="Y3623" s="7" t="s">
        <v>41</v>
      </c>
      <c r="Z3623" s="7"/>
      <c r="AA3623" s="7" t="str">
        <f>HYPERLINK("https://miland.ru/api/getInfo/item/63f96825-0680-11f1-a28f-00155d82e908")</f>
        <v>https://miland.ru/api/getInfo/item/63f96825-0680-11f1-a28f-00155d82e908</v>
      </c>
      <c r="AB3623" s="7" t="s">
        <v>42</v>
      </c>
      <c r="AC3623" s="7"/>
      <c r="AD3623" s="7"/>
      <c r="AE3623" s="54"/>
    </row>
    <row r="3624" spans="2:31" ht="12" customHeight="1" outlineLevel="6">
      <c r="B3624" s="70" t="s">
        <v>12706</v>
      </c>
      <c r="C3624" s="70"/>
      <c r="D3624" s="70"/>
      <c r="E3624" s="70"/>
      <c r="F3624" s="70"/>
      <c r="G3624" s="70"/>
    </row>
    <row r="3625" spans="2:31" s="1" customFormat="1" ht="96.3" customHeight="1" outlineLevel="7">
      <c r="B3625" s="57">
        <v>2831</v>
      </c>
      <c r="C3625" s="21" t="s">
        <v>12707</v>
      </c>
      <c r="D3625" s="72" t="s">
        <v>12708</v>
      </c>
      <c r="E3625" s="72"/>
      <c r="F3625" s="72"/>
      <c r="G3625" s="72"/>
      <c r="H3625" s="22" t="s">
        <v>12709</v>
      </c>
      <c r="I3625" s="27">
        <v>12</v>
      </c>
      <c r="J3625" s="22"/>
      <c r="K3625" s="20">
        <v>12</v>
      </c>
      <c r="L3625" s="24">
        <v>75.319999999999993</v>
      </c>
      <c r="M3625" s="11"/>
      <c r="N3625" s="22">
        <f>L3625*M3625</f>
        <v>0</v>
      </c>
      <c r="O3625" s="25">
        <f>0.043*M3625</f>
        <v>0</v>
      </c>
      <c r="P3625" s="26">
        <f>0.00009*M3625</f>
        <v>0</v>
      </c>
      <c r="Q3625" s="30"/>
      <c r="R3625" s="22" t="s">
        <v>12710</v>
      </c>
      <c r="S3625" s="22" t="s">
        <v>435</v>
      </c>
      <c r="T3625" s="21" t="str">
        <f>HYPERLINK("https://miland.ru/api/getInfo/image/4d385abe-b378-11ee-a259-00155d82e908")</f>
        <v>https://miland.ru/api/getInfo/image/4d385abe-b378-11ee-a259-00155d82e908</v>
      </c>
      <c r="U3625" s="21"/>
      <c r="V3625" s="21" t="s">
        <v>6525</v>
      </c>
      <c r="W3625" s="21" t="s">
        <v>378</v>
      </c>
      <c r="X3625" s="21"/>
      <c r="Y3625" s="21" t="s">
        <v>41</v>
      </c>
      <c r="Z3625" s="21"/>
      <c r="AA3625" s="21" t="str">
        <f>HYPERLINK("https://miland.ru/api/getInfo/item/4d385abe-b378-11ee-a259-00155d82e908")</f>
        <v>https://miland.ru/api/getInfo/item/4d385abe-b378-11ee-a259-00155d82e908</v>
      </c>
      <c r="AB3625" s="21" t="s">
        <v>42</v>
      </c>
      <c r="AC3625" s="21" t="s">
        <v>12711</v>
      </c>
      <c r="AD3625" s="21"/>
    </row>
    <row r="3626" spans="2:31" s="1" customFormat="1" ht="96.3" customHeight="1" outlineLevel="7">
      <c r="B3626" s="57">
        <v>2832</v>
      </c>
      <c r="C3626" s="21" t="s">
        <v>12712</v>
      </c>
      <c r="D3626" s="72" t="s">
        <v>12713</v>
      </c>
      <c r="E3626" s="72"/>
      <c r="F3626" s="72"/>
      <c r="G3626" s="72"/>
      <c r="H3626" s="22" t="s">
        <v>12714</v>
      </c>
      <c r="I3626" s="27">
        <v>12</v>
      </c>
      <c r="J3626" s="22"/>
      <c r="K3626" s="20">
        <v>12</v>
      </c>
      <c r="L3626" s="24">
        <v>75.319999999999993</v>
      </c>
      <c r="M3626" s="11"/>
      <c r="N3626" s="22">
        <f>L3626*M3626</f>
        <v>0</v>
      </c>
      <c r="O3626" s="25">
        <f>0.044*M3626</f>
        <v>0</v>
      </c>
      <c r="P3626" s="26">
        <f>0.00041*M3626</f>
        <v>0</v>
      </c>
      <c r="Q3626" s="30"/>
      <c r="R3626" s="22" t="s">
        <v>12715</v>
      </c>
      <c r="S3626" s="22" t="s">
        <v>435</v>
      </c>
      <c r="T3626" s="21" t="str">
        <f>HYPERLINK("https://miland.ru/api/getInfo/image/823d9cce-b378-11ee-a259-00155d82e908")</f>
        <v>https://miland.ru/api/getInfo/image/823d9cce-b378-11ee-a259-00155d82e908</v>
      </c>
      <c r="U3626" s="21"/>
      <c r="V3626" s="21" t="s">
        <v>6525</v>
      </c>
      <c r="W3626" s="21" t="s">
        <v>378</v>
      </c>
      <c r="X3626" s="21"/>
      <c r="Y3626" s="21" t="s">
        <v>41</v>
      </c>
      <c r="Z3626" s="21"/>
      <c r="AA3626" s="21" t="str">
        <f>HYPERLINK("https://miland.ru/api/getInfo/item/823d9cce-b378-11ee-a259-00155d82e908")</f>
        <v>https://miland.ru/api/getInfo/item/823d9cce-b378-11ee-a259-00155d82e908</v>
      </c>
      <c r="AB3626" s="21" t="s">
        <v>42</v>
      </c>
      <c r="AC3626" s="21" t="s">
        <v>12711</v>
      </c>
      <c r="AD3626" s="21"/>
    </row>
    <row r="3627" spans="2:31" ht="12" customHeight="1" outlineLevel="5">
      <c r="B3627" s="70" t="s">
        <v>12716</v>
      </c>
      <c r="C3627" s="70"/>
      <c r="D3627" s="70"/>
      <c r="E3627" s="70"/>
      <c r="F3627" s="70"/>
      <c r="G3627" s="70"/>
    </row>
    <row r="3628" spans="2:31" ht="12" customHeight="1" outlineLevel="6">
      <c r="B3628" s="70" t="s">
        <v>12717</v>
      </c>
      <c r="C3628" s="70"/>
      <c r="D3628" s="70"/>
      <c r="E3628" s="70"/>
      <c r="F3628" s="70"/>
      <c r="G3628" s="70"/>
    </row>
    <row r="3629" spans="2:31" s="1" customFormat="1" ht="96.3" customHeight="1" outlineLevel="7">
      <c r="B3629" s="58">
        <v>2833</v>
      </c>
      <c r="C3629" s="7" t="s">
        <v>12718</v>
      </c>
      <c r="D3629" s="71" t="s">
        <v>12719</v>
      </c>
      <c r="E3629" s="71"/>
      <c r="F3629" s="71"/>
      <c r="G3629" s="71"/>
      <c r="H3629" s="8" t="s">
        <v>12720</v>
      </c>
      <c r="I3629" s="9" t="s">
        <v>36</v>
      </c>
      <c r="J3629" s="8"/>
      <c r="K3629" s="6">
        <v>12</v>
      </c>
      <c r="L3629" s="10">
        <v>44.73</v>
      </c>
      <c r="M3629" s="11"/>
      <c r="N3629" s="8">
        <f t="shared" ref="N3629:N3661" si="174">L3629*M3629</f>
        <v>0</v>
      </c>
      <c r="O3629" s="12">
        <f t="shared" ref="O3629:O3638" si="175">0.035*M3629</f>
        <v>0</v>
      </c>
      <c r="P3629" s="13">
        <f>0.00017*M3629</f>
        <v>0</v>
      </c>
      <c r="Q3629" s="17" t="s">
        <v>37</v>
      </c>
      <c r="R3629" s="8" t="s">
        <v>12721</v>
      </c>
      <c r="S3629" s="8"/>
      <c r="T3629" s="7" t="str">
        <f>HYPERLINK("https://miland.ru/api/getInfo/image/0bef2a87-9dcf-11f0-a285-00155d82e908")</f>
        <v>https://miland.ru/api/getInfo/image/0bef2a87-9dcf-11f0-a285-00155d82e908</v>
      </c>
      <c r="U3629" s="7"/>
      <c r="V3629" s="7" t="s">
        <v>6525</v>
      </c>
      <c r="W3629" s="7" t="s">
        <v>378</v>
      </c>
      <c r="X3629" s="7"/>
      <c r="Y3629" s="7" t="s">
        <v>41</v>
      </c>
      <c r="Z3629" s="7"/>
      <c r="AA3629" s="7" t="str">
        <f>HYPERLINK("https://miland.ru/api/getInfo/item/0bef2a87-9dcf-11f0-a285-00155d82e908")</f>
        <v>https://miland.ru/api/getInfo/item/0bef2a87-9dcf-11f0-a285-00155d82e908</v>
      </c>
      <c r="AB3629" s="7" t="s">
        <v>42</v>
      </c>
      <c r="AC3629" s="7"/>
      <c r="AD3629" s="7"/>
      <c r="AE3629" s="54"/>
    </row>
    <row r="3630" spans="2:31" s="1" customFormat="1" ht="96.3" customHeight="1" outlineLevel="7">
      <c r="B3630" s="58">
        <v>2834</v>
      </c>
      <c r="C3630" s="7" t="s">
        <v>12722</v>
      </c>
      <c r="D3630" s="71" t="s">
        <v>12723</v>
      </c>
      <c r="E3630" s="71"/>
      <c r="F3630" s="71"/>
      <c r="G3630" s="71"/>
      <c r="H3630" s="8" t="s">
        <v>12724</v>
      </c>
      <c r="I3630" s="9" t="s">
        <v>36</v>
      </c>
      <c r="J3630" s="8"/>
      <c r="K3630" s="6">
        <v>12</v>
      </c>
      <c r="L3630" s="10">
        <v>44.73</v>
      </c>
      <c r="M3630" s="11"/>
      <c r="N3630" s="8">
        <f t="shared" si="174"/>
        <v>0</v>
      </c>
      <c r="O3630" s="12">
        <f t="shared" si="175"/>
        <v>0</v>
      </c>
      <c r="P3630" s="13">
        <f>0.00017*M3630</f>
        <v>0</v>
      </c>
      <c r="Q3630" s="17" t="s">
        <v>37</v>
      </c>
      <c r="R3630" s="8" t="s">
        <v>12725</v>
      </c>
      <c r="S3630" s="8"/>
      <c r="T3630" s="7" t="str">
        <f>HYPERLINK("https://miland.ru/api/getInfo/image/d6ed75b7-9dce-11f0-a285-00155d82e908")</f>
        <v>https://miland.ru/api/getInfo/image/d6ed75b7-9dce-11f0-a285-00155d82e908</v>
      </c>
      <c r="U3630" s="7"/>
      <c r="V3630" s="7" t="s">
        <v>6525</v>
      </c>
      <c r="W3630" s="7" t="s">
        <v>378</v>
      </c>
      <c r="X3630" s="7"/>
      <c r="Y3630" s="7" t="s">
        <v>41</v>
      </c>
      <c r="Z3630" s="7"/>
      <c r="AA3630" s="7" t="str">
        <f>HYPERLINK("https://miland.ru/api/getInfo/item/d6ed75b7-9dce-11f0-a285-00155d82e908")</f>
        <v>https://miland.ru/api/getInfo/item/d6ed75b7-9dce-11f0-a285-00155d82e908</v>
      </c>
      <c r="AB3630" s="7" t="s">
        <v>42</v>
      </c>
      <c r="AC3630" s="7"/>
      <c r="AD3630" s="7"/>
      <c r="AE3630" s="54"/>
    </row>
    <row r="3631" spans="2:31" s="1" customFormat="1" ht="96.3" customHeight="1" outlineLevel="7">
      <c r="B3631" s="58">
        <v>2835</v>
      </c>
      <c r="C3631" s="7" t="s">
        <v>12726</v>
      </c>
      <c r="D3631" s="71" t="s">
        <v>12727</v>
      </c>
      <c r="E3631" s="71"/>
      <c r="F3631" s="71"/>
      <c r="G3631" s="71"/>
      <c r="H3631" s="8" t="s">
        <v>12728</v>
      </c>
      <c r="I3631" s="9" t="s">
        <v>36</v>
      </c>
      <c r="J3631" s="8"/>
      <c r="K3631" s="6">
        <v>12</v>
      </c>
      <c r="L3631" s="10">
        <v>44.73</v>
      </c>
      <c r="M3631" s="11"/>
      <c r="N3631" s="8">
        <f t="shared" si="174"/>
        <v>0</v>
      </c>
      <c r="O3631" s="12">
        <f t="shared" si="175"/>
        <v>0</v>
      </c>
      <c r="P3631" s="13">
        <f>0.00017*M3631</f>
        <v>0</v>
      </c>
      <c r="Q3631" s="17" t="s">
        <v>37</v>
      </c>
      <c r="R3631" s="8" t="s">
        <v>12729</v>
      </c>
      <c r="S3631" s="8"/>
      <c r="T3631" s="7" t="str">
        <f>HYPERLINK("https://miland.ru/api/getInfo/image/a0550519-9dce-11f0-a285-00155d82e908")</f>
        <v>https://miland.ru/api/getInfo/image/a0550519-9dce-11f0-a285-00155d82e908</v>
      </c>
      <c r="U3631" s="7"/>
      <c r="V3631" s="7" t="s">
        <v>6525</v>
      </c>
      <c r="W3631" s="7" t="s">
        <v>378</v>
      </c>
      <c r="X3631" s="7"/>
      <c r="Y3631" s="7" t="s">
        <v>41</v>
      </c>
      <c r="Z3631" s="7"/>
      <c r="AA3631" s="7" t="str">
        <f>HYPERLINK("https://miland.ru/api/getInfo/item/a0550519-9dce-11f0-a285-00155d82e908")</f>
        <v>https://miland.ru/api/getInfo/item/a0550519-9dce-11f0-a285-00155d82e908</v>
      </c>
      <c r="AB3631" s="7" t="s">
        <v>42</v>
      </c>
      <c r="AC3631" s="7"/>
      <c r="AD3631" s="7"/>
      <c r="AE3631" s="54"/>
    </row>
    <row r="3632" spans="2:31" s="1" customFormat="1" ht="96.3" customHeight="1" outlineLevel="7">
      <c r="B3632" s="58">
        <v>2836</v>
      </c>
      <c r="C3632" s="7" t="s">
        <v>12730</v>
      </c>
      <c r="D3632" s="71" t="s">
        <v>12731</v>
      </c>
      <c r="E3632" s="71"/>
      <c r="F3632" s="71"/>
      <c r="G3632" s="71"/>
      <c r="H3632" s="8" t="s">
        <v>12732</v>
      </c>
      <c r="I3632" s="9" t="s">
        <v>36</v>
      </c>
      <c r="J3632" s="8"/>
      <c r="K3632" s="6">
        <v>12</v>
      </c>
      <c r="L3632" s="10">
        <v>44.73</v>
      </c>
      <c r="M3632" s="11"/>
      <c r="N3632" s="8">
        <f t="shared" si="174"/>
        <v>0</v>
      </c>
      <c r="O3632" s="12">
        <f t="shared" si="175"/>
        <v>0</v>
      </c>
      <c r="P3632" s="13">
        <f>0.00013*M3632</f>
        <v>0</v>
      </c>
      <c r="Q3632" s="17" t="s">
        <v>37</v>
      </c>
      <c r="R3632" s="8" t="s">
        <v>12733</v>
      </c>
      <c r="S3632" s="8"/>
      <c r="T3632" s="7" t="str">
        <f>HYPERLINK("https://miland.ru/api/getInfo/image/46e1ba4a-7681-11f0-a284-00155d82e908")</f>
        <v>https://miland.ru/api/getInfo/image/46e1ba4a-7681-11f0-a284-00155d82e908</v>
      </c>
      <c r="U3632" s="7"/>
      <c r="V3632" s="7" t="s">
        <v>6525</v>
      </c>
      <c r="W3632" s="7" t="s">
        <v>378</v>
      </c>
      <c r="X3632" s="7"/>
      <c r="Y3632" s="7" t="s">
        <v>41</v>
      </c>
      <c r="Z3632" s="7"/>
      <c r="AA3632" s="7" t="str">
        <f>HYPERLINK("https://miland.ru/api/getInfo/item/46e1ba4a-7681-11f0-a284-00155d82e908")</f>
        <v>https://miland.ru/api/getInfo/item/46e1ba4a-7681-11f0-a284-00155d82e908</v>
      </c>
      <c r="AB3632" s="7" t="s">
        <v>42</v>
      </c>
      <c r="AC3632" s="7"/>
      <c r="AD3632" s="7"/>
      <c r="AE3632" s="54"/>
    </row>
    <row r="3633" spans="2:31" s="1" customFormat="1" ht="96.3" customHeight="1" outlineLevel="7">
      <c r="B3633" s="58">
        <v>2837</v>
      </c>
      <c r="C3633" s="7" t="s">
        <v>12734</v>
      </c>
      <c r="D3633" s="71" t="s">
        <v>12735</v>
      </c>
      <c r="E3633" s="71"/>
      <c r="F3633" s="71"/>
      <c r="G3633" s="71"/>
      <c r="H3633" s="8" t="s">
        <v>12736</v>
      </c>
      <c r="I3633" s="9" t="s">
        <v>36</v>
      </c>
      <c r="J3633" s="8"/>
      <c r="K3633" s="6">
        <v>12</v>
      </c>
      <c r="L3633" s="10">
        <v>44.73</v>
      </c>
      <c r="M3633" s="11"/>
      <c r="N3633" s="8">
        <f t="shared" si="174"/>
        <v>0</v>
      </c>
      <c r="O3633" s="12">
        <f t="shared" si="175"/>
        <v>0</v>
      </c>
      <c r="P3633" s="13">
        <f t="shared" ref="P3633:P3638" si="176">0.00017*M3633</f>
        <v>0</v>
      </c>
      <c r="Q3633" s="17" t="s">
        <v>37</v>
      </c>
      <c r="R3633" s="8" t="s">
        <v>12737</v>
      </c>
      <c r="S3633" s="8"/>
      <c r="T3633" s="7" t="str">
        <f>HYPERLINK("https://miland.ru/api/getInfo/image/9532f1de-7681-11f0-a284-00155d82e908")</f>
        <v>https://miland.ru/api/getInfo/image/9532f1de-7681-11f0-a284-00155d82e908</v>
      </c>
      <c r="U3633" s="7"/>
      <c r="V3633" s="7" t="s">
        <v>6525</v>
      </c>
      <c r="W3633" s="7" t="s">
        <v>378</v>
      </c>
      <c r="X3633" s="7"/>
      <c r="Y3633" s="7" t="s">
        <v>41</v>
      </c>
      <c r="Z3633" s="7"/>
      <c r="AA3633" s="7" t="str">
        <f>HYPERLINK("https://miland.ru/api/getInfo/item/9532f1de-7681-11f0-a284-00155d82e908")</f>
        <v>https://miland.ru/api/getInfo/item/9532f1de-7681-11f0-a284-00155d82e908</v>
      </c>
      <c r="AB3633" s="7" t="s">
        <v>42</v>
      </c>
      <c r="AC3633" s="7"/>
      <c r="AD3633" s="7"/>
      <c r="AE3633" s="54"/>
    </row>
    <row r="3634" spans="2:31" s="1" customFormat="1" ht="96.3" customHeight="1" outlineLevel="7">
      <c r="B3634" s="58">
        <v>2838</v>
      </c>
      <c r="C3634" s="7" t="s">
        <v>12738</v>
      </c>
      <c r="D3634" s="71" t="s">
        <v>12739</v>
      </c>
      <c r="E3634" s="71"/>
      <c r="F3634" s="71"/>
      <c r="G3634" s="71"/>
      <c r="H3634" s="8" t="s">
        <v>12740</v>
      </c>
      <c r="I3634" s="9" t="s">
        <v>36</v>
      </c>
      <c r="J3634" s="8"/>
      <c r="K3634" s="6">
        <v>12</v>
      </c>
      <c r="L3634" s="10">
        <v>44.73</v>
      </c>
      <c r="M3634" s="11"/>
      <c r="N3634" s="8">
        <f t="shared" si="174"/>
        <v>0</v>
      </c>
      <c r="O3634" s="12">
        <f t="shared" si="175"/>
        <v>0</v>
      </c>
      <c r="P3634" s="13">
        <f t="shared" si="176"/>
        <v>0</v>
      </c>
      <c r="Q3634" s="17" t="s">
        <v>37</v>
      </c>
      <c r="R3634" s="8" t="s">
        <v>12741</v>
      </c>
      <c r="S3634" s="8"/>
      <c r="T3634" s="7" t="str">
        <f>HYPERLINK("https://miland.ru/api/getInfo/image/2dcb1e42-7681-11f0-a284-00155d82e908")</f>
        <v>https://miland.ru/api/getInfo/image/2dcb1e42-7681-11f0-a284-00155d82e908</v>
      </c>
      <c r="U3634" s="7"/>
      <c r="V3634" s="7" t="s">
        <v>6525</v>
      </c>
      <c r="W3634" s="7" t="s">
        <v>378</v>
      </c>
      <c r="X3634" s="7"/>
      <c r="Y3634" s="7" t="s">
        <v>41</v>
      </c>
      <c r="Z3634" s="7"/>
      <c r="AA3634" s="7" t="str">
        <f>HYPERLINK("https://miland.ru/api/getInfo/item/2dcb1e42-7681-11f0-a284-00155d82e908")</f>
        <v>https://miland.ru/api/getInfo/item/2dcb1e42-7681-11f0-a284-00155d82e908</v>
      </c>
      <c r="AB3634" s="7" t="s">
        <v>42</v>
      </c>
      <c r="AC3634" s="7"/>
      <c r="AD3634" s="7"/>
      <c r="AE3634" s="54"/>
    </row>
    <row r="3635" spans="2:31" s="1" customFormat="1" ht="96.3" customHeight="1" outlineLevel="7">
      <c r="B3635" s="58">
        <v>2839</v>
      </c>
      <c r="C3635" s="7" t="s">
        <v>12742</v>
      </c>
      <c r="D3635" s="71" t="s">
        <v>12743</v>
      </c>
      <c r="E3635" s="71"/>
      <c r="F3635" s="71"/>
      <c r="G3635" s="71"/>
      <c r="H3635" s="8" t="s">
        <v>12744</v>
      </c>
      <c r="I3635" s="9" t="s">
        <v>36</v>
      </c>
      <c r="J3635" s="8"/>
      <c r="K3635" s="6">
        <v>12</v>
      </c>
      <c r="L3635" s="10">
        <v>44.73</v>
      </c>
      <c r="M3635" s="11"/>
      <c r="N3635" s="8">
        <f t="shared" si="174"/>
        <v>0</v>
      </c>
      <c r="O3635" s="12">
        <f t="shared" si="175"/>
        <v>0</v>
      </c>
      <c r="P3635" s="13">
        <f t="shared" si="176"/>
        <v>0</v>
      </c>
      <c r="Q3635" s="17" t="s">
        <v>37</v>
      </c>
      <c r="R3635" s="8" t="s">
        <v>12745</v>
      </c>
      <c r="S3635" s="8"/>
      <c r="T3635" s="7" t="str">
        <f>HYPERLINK("https://miland.ru/api/getInfo/image/b9da18c8-7681-11f0-a284-00155d82e908")</f>
        <v>https://miland.ru/api/getInfo/image/b9da18c8-7681-11f0-a284-00155d82e908</v>
      </c>
      <c r="U3635" s="7"/>
      <c r="V3635" s="7" t="s">
        <v>6525</v>
      </c>
      <c r="W3635" s="7" t="s">
        <v>378</v>
      </c>
      <c r="X3635" s="7"/>
      <c r="Y3635" s="7" t="s">
        <v>41</v>
      </c>
      <c r="Z3635" s="7"/>
      <c r="AA3635" s="7" t="str">
        <f>HYPERLINK("https://miland.ru/api/getInfo/item/b9da18c8-7681-11f0-a284-00155d82e908")</f>
        <v>https://miland.ru/api/getInfo/item/b9da18c8-7681-11f0-a284-00155d82e908</v>
      </c>
      <c r="AB3635" s="7" t="s">
        <v>42</v>
      </c>
      <c r="AC3635" s="7"/>
      <c r="AD3635" s="7"/>
      <c r="AE3635" s="54"/>
    </row>
    <row r="3636" spans="2:31" s="1" customFormat="1" ht="96.3" customHeight="1" outlineLevel="7">
      <c r="B3636" s="58">
        <v>2840</v>
      </c>
      <c r="C3636" s="7" t="s">
        <v>12746</v>
      </c>
      <c r="D3636" s="71" t="s">
        <v>12747</v>
      </c>
      <c r="E3636" s="71"/>
      <c r="F3636" s="71"/>
      <c r="G3636" s="71"/>
      <c r="H3636" s="8" t="s">
        <v>12748</v>
      </c>
      <c r="I3636" s="9" t="s">
        <v>36</v>
      </c>
      <c r="J3636" s="8"/>
      <c r="K3636" s="6">
        <v>12</v>
      </c>
      <c r="L3636" s="10">
        <v>44.73</v>
      </c>
      <c r="M3636" s="11"/>
      <c r="N3636" s="8">
        <f t="shared" si="174"/>
        <v>0</v>
      </c>
      <c r="O3636" s="12">
        <f t="shared" si="175"/>
        <v>0</v>
      </c>
      <c r="P3636" s="13">
        <f t="shared" si="176"/>
        <v>0</v>
      </c>
      <c r="Q3636" s="17" t="s">
        <v>37</v>
      </c>
      <c r="R3636" s="8" t="s">
        <v>12749</v>
      </c>
      <c r="S3636" s="8"/>
      <c r="T3636" s="7" t="str">
        <f>HYPERLINK("https://miland.ru/api/getInfo/image/5ecf8593-7681-11f0-a284-00155d82e908")</f>
        <v>https://miland.ru/api/getInfo/image/5ecf8593-7681-11f0-a284-00155d82e908</v>
      </c>
      <c r="U3636" s="7"/>
      <c r="V3636" s="7" t="s">
        <v>6525</v>
      </c>
      <c r="W3636" s="7" t="s">
        <v>378</v>
      </c>
      <c r="X3636" s="7"/>
      <c r="Y3636" s="7" t="s">
        <v>41</v>
      </c>
      <c r="Z3636" s="7"/>
      <c r="AA3636" s="7" t="str">
        <f>HYPERLINK("https://miland.ru/api/getInfo/item/5ecf8593-7681-11f0-a284-00155d82e908")</f>
        <v>https://miland.ru/api/getInfo/item/5ecf8593-7681-11f0-a284-00155d82e908</v>
      </c>
      <c r="AB3636" s="7" t="s">
        <v>42</v>
      </c>
      <c r="AC3636" s="7"/>
      <c r="AD3636" s="7"/>
      <c r="AE3636" s="54"/>
    </row>
    <row r="3637" spans="2:31" s="1" customFormat="1" ht="96.3" customHeight="1" outlineLevel="7">
      <c r="B3637" s="58">
        <v>2841</v>
      </c>
      <c r="C3637" s="7" t="s">
        <v>12750</v>
      </c>
      <c r="D3637" s="71" t="s">
        <v>12751</v>
      </c>
      <c r="E3637" s="71"/>
      <c r="F3637" s="71"/>
      <c r="G3637" s="71"/>
      <c r="H3637" s="8" t="s">
        <v>12752</v>
      </c>
      <c r="I3637" s="9" t="s">
        <v>36</v>
      </c>
      <c r="J3637" s="8"/>
      <c r="K3637" s="6">
        <v>12</v>
      </c>
      <c r="L3637" s="10">
        <v>44.73</v>
      </c>
      <c r="M3637" s="11"/>
      <c r="N3637" s="8">
        <f t="shared" si="174"/>
        <v>0</v>
      </c>
      <c r="O3637" s="12">
        <f t="shared" si="175"/>
        <v>0</v>
      </c>
      <c r="P3637" s="13">
        <f t="shared" si="176"/>
        <v>0</v>
      </c>
      <c r="Q3637" s="17" t="s">
        <v>37</v>
      </c>
      <c r="R3637" s="8" t="s">
        <v>12753</v>
      </c>
      <c r="S3637" s="8"/>
      <c r="T3637" s="7" t="str">
        <f>HYPERLINK("https://miland.ru/api/getInfo/image/1f8df9fb-9dcf-11f0-a285-00155d82e908")</f>
        <v>https://miland.ru/api/getInfo/image/1f8df9fb-9dcf-11f0-a285-00155d82e908</v>
      </c>
      <c r="U3637" s="7"/>
      <c r="V3637" s="7" t="s">
        <v>6525</v>
      </c>
      <c r="W3637" s="7" t="s">
        <v>378</v>
      </c>
      <c r="X3637" s="7"/>
      <c r="Y3637" s="7" t="s">
        <v>41</v>
      </c>
      <c r="Z3637" s="7"/>
      <c r="AA3637" s="7" t="str">
        <f>HYPERLINK("https://miland.ru/api/getInfo/item/1f8df9fb-9dcf-11f0-a285-00155d82e908")</f>
        <v>https://miland.ru/api/getInfo/item/1f8df9fb-9dcf-11f0-a285-00155d82e908</v>
      </c>
      <c r="AB3637" s="7" t="s">
        <v>42</v>
      </c>
      <c r="AC3637" s="7"/>
      <c r="AD3637" s="7"/>
      <c r="AE3637" s="54"/>
    </row>
    <row r="3638" spans="2:31" s="1" customFormat="1" ht="96.3" customHeight="1" outlineLevel="7">
      <c r="B3638" s="58">
        <v>2842</v>
      </c>
      <c r="C3638" s="7" t="s">
        <v>12754</v>
      </c>
      <c r="D3638" s="71" t="s">
        <v>12755</v>
      </c>
      <c r="E3638" s="71"/>
      <c r="F3638" s="71"/>
      <c r="G3638" s="71"/>
      <c r="H3638" s="8" t="s">
        <v>12756</v>
      </c>
      <c r="I3638" s="9" t="s">
        <v>36</v>
      </c>
      <c r="J3638" s="8"/>
      <c r="K3638" s="6">
        <v>12</v>
      </c>
      <c r="L3638" s="10">
        <v>44.73</v>
      </c>
      <c r="M3638" s="11"/>
      <c r="N3638" s="8">
        <f t="shared" si="174"/>
        <v>0</v>
      </c>
      <c r="O3638" s="12">
        <f t="shared" si="175"/>
        <v>0</v>
      </c>
      <c r="P3638" s="13">
        <f t="shared" si="176"/>
        <v>0</v>
      </c>
      <c r="Q3638" s="17" t="s">
        <v>37</v>
      </c>
      <c r="R3638" s="8" t="s">
        <v>12757</v>
      </c>
      <c r="S3638" s="8"/>
      <c r="T3638" s="7" t="str">
        <f>HYPERLINK("https://miland.ru/api/getInfo/image/7b9fd02c-7681-11f0-a284-00155d82e908")</f>
        <v>https://miland.ru/api/getInfo/image/7b9fd02c-7681-11f0-a284-00155d82e908</v>
      </c>
      <c r="U3638" s="7"/>
      <c r="V3638" s="7" t="s">
        <v>6525</v>
      </c>
      <c r="W3638" s="7" t="s">
        <v>378</v>
      </c>
      <c r="X3638" s="7"/>
      <c r="Y3638" s="7" t="s">
        <v>41</v>
      </c>
      <c r="Z3638" s="7"/>
      <c r="AA3638" s="7" t="str">
        <f>HYPERLINK("https://miland.ru/api/getInfo/item/7b9fd02c-7681-11f0-a284-00155d82e908")</f>
        <v>https://miland.ru/api/getInfo/item/7b9fd02c-7681-11f0-a284-00155d82e908</v>
      </c>
      <c r="AB3638" s="7" t="s">
        <v>42</v>
      </c>
      <c r="AC3638" s="7"/>
      <c r="AD3638" s="7"/>
      <c r="AE3638" s="54"/>
    </row>
    <row r="3639" spans="2:31" s="1" customFormat="1" ht="96.3" customHeight="1" outlineLevel="7">
      <c r="B3639" s="58">
        <v>2843</v>
      </c>
      <c r="C3639" s="7" t="s">
        <v>12758</v>
      </c>
      <c r="D3639" s="71" t="s">
        <v>12759</v>
      </c>
      <c r="E3639" s="71"/>
      <c r="F3639" s="71"/>
      <c r="G3639" s="71"/>
      <c r="H3639" s="8" t="s">
        <v>12760</v>
      </c>
      <c r="I3639" s="9" t="s">
        <v>36</v>
      </c>
      <c r="J3639" s="8"/>
      <c r="K3639" s="6">
        <v>12</v>
      </c>
      <c r="L3639" s="10">
        <v>44.73</v>
      </c>
      <c r="M3639" s="11"/>
      <c r="N3639" s="8">
        <f t="shared" si="174"/>
        <v>0</v>
      </c>
      <c r="O3639" s="12">
        <f>0.032*M3639</f>
        <v>0</v>
      </c>
      <c r="P3639" s="13">
        <f>0.00013*M3639</f>
        <v>0</v>
      </c>
      <c r="Q3639" s="17" t="s">
        <v>37</v>
      </c>
      <c r="R3639" s="8" t="s">
        <v>12761</v>
      </c>
      <c r="S3639" s="8"/>
      <c r="T3639" s="7" t="str">
        <f>HYPERLINK("https://miland.ru/api/getInfo/image/f4e1c0ae-9dce-11f0-a285-00155d82e908")</f>
        <v>https://miland.ru/api/getInfo/image/f4e1c0ae-9dce-11f0-a285-00155d82e908</v>
      </c>
      <c r="U3639" s="7"/>
      <c r="V3639" s="7" t="s">
        <v>6525</v>
      </c>
      <c r="W3639" s="7" t="s">
        <v>378</v>
      </c>
      <c r="X3639" s="7"/>
      <c r="Y3639" s="7" t="s">
        <v>41</v>
      </c>
      <c r="Z3639" s="7"/>
      <c r="AA3639" s="7" t="str">
        <f>HYPERLINK("https://miland.ru/api/getInfo/item/f4e1c0ae-9dce-11f0-a285-00155d82e908")</f>
        <v>https://miland.ru/api/getInfo/item/f4e1c0ae-9dce-11f0-a285-00155d82e908</v>
      </c>
      <c r="AB3639" s="7" t="s">
        <v>42</v>
      </c>
      <c r="AC3639" s="7"/>
      <c r="AD3639" s="7"/>
      <c r="AE3639" s="54"/>
    </row>
    <row r="3640" spans="2:31" s="1" customFormat="1" ht="96.3" customHeight="1" outlineLevel="7">
      <c r="B3640" s="58">
        <v>2844</v>
      </c>
      <c r="C3640" s="7" t="s">
        <v>12762</v>
      </c>
      <c r="D3640" s="71" t="s">
        <v>12763</v>
      </c>
      <c r="E3640" s="71"/>
      <c r="F3640" s="71"/>
      <c r="G3640" s="71"/>
      <c r="H3640" s="8" t="s">
        <v>12764</v>
      </c>
      <c r="I3640" s="9" t="s">
        <v>36</v>
      </c>
      <c r="J3640" s="8"/>
      <c r="K3640" s="6">
        <v>12</v>
      </c>
      <c r="L3640" s="10">
        <v>44.73</v>
      </c>
      <c r="M3640" s="11"/>
      <c r="N3640" s="8">
        <f t="shared" si="174"/>
        <v>0</v>
      </c>
      <c r="O3640" s="12">
        <f>0.042*M3640</f>
        <v>0</v>
      </c>
      <c r="P3640" s="13">
        <f>0.00074*M3640</f>
        <v>0</v>
      </c>
      <c r="Q3640" s="17" t="s">
        <v>37</v>
      </c>
      <c r="R3640" s="8" t="s">
        <v>12765</v>
      </c>
      <c r="S3640" s="8"/>
      <c r="T3640" s="7" t="str">
        <f>HYPERLINK("https://miland.ru/api/getInfo/image/697fe1b3-067c-11f1-a28f-00155d82e908")</f>
        <v>https://miland.ru/api/getInfo/image/697fe1b3-067c-11f1-a28f-00155d82e908</v>
      </c>
      <c r="U3640" s="7"/>
      <c r="V3640" s="7"/>
      <c r="W3640" s="7" t="s">
        <v>378</v>
      </c>
      <c r="X3640" s="7"/>
      <c r="Y3640" s="7" t="s">
        <v>41</v>
      </c>
      <c r="Z3640" s="7"/>
      <c r="AA3640" s="7" t="str">
        <f>HYPERLINK("https://miland.ru/api/getInfo/item/697fe1b3-067c-11f1-a28f-00155d82e908")</f>
        <v>https://miland.ru/api/getInfo/item/697fe1b3-067c-11f1-a28f-00155d82e908</v>
      </c>
      <c r="AB3640" s="7" t="s">
        <v>42</v>
      </c>
      <c r="AC3640" s="7"/>
      <c r="AD3640" s="7"/>
      <c r="AE3640" s="54"/>
    </row>
    <row r="3641" spans="2:31" s="1" customFormat="1" ht="96.3" customHeight="1" outlineLevel="7">
      <c r="B3641" s="58">
        <v>2845</v>
      </c>
      <c r="C3641" s="7" t="s">
        <v>12766</v>
      </c>
      <c r="D3641" s="71" t="s">
        <v>12767</v>
      </c>
      <c r="E3641" s="71"/>
      <c r="F3641" s="71"/>
      <c r="G3641" s="71"/>
      <c r="H3641" s="8" t="s">
        <v>12768</v>
      </c>
      <c r="I3641" s="9" t="s">
        <v>36</v>
      </c>
      <c r="J3641" s="8"/>
      <c r="K3641" s="6">
        <v>12</v>
      </c>
      <c r="L3641" s="10">
        <v>44.73</v>
      </c>
      <c r="M3641" s="11"/>
      <c r="N3641" s="8">
        <f t="shared" si="174"/>
        <v>0</v>
      </c>
      <c r="O3641" s="12">
        <f>0.038*M3641</f>
        <v>0</v>
      </c>
      <c r="P3641" s="13">
        <f>0.00043*M3641</f>
        <v>0</v>
      </c>
      <c r="Q3641" s="17" t="s">
        <v>37</v>
      </c>
      <c r="R3641" s="8" t="s">
        <v>12769</v>
      </c>
      <c r="S3641" s="8"/>
      <c r="T3641" s="7" t="str">
        <f>HYPERLINK("https://miland.ru/api/getInfo/image/2dde211e-067b-11f1-a28f-00155d82e908")</f>
        <v>https://miland.ru/api/getInfo/image/2dde211e-067b-11f1-a28f-00155d82e908</v>
      </c>
      <c r="U3641" s="7"/>
      <c r="V3641" s="7"/>
      <c r="W3641" s="7" t="s">
        <v>378</v>
      </c>
      <c r="X3641" s="7"/>
      <c r="Y3641" s="7" t="s">
        <v>41</v>
      </c>
      <c r="Z3641" s="7"/>
      <c r="AA3641" s="7" t="str">
        <f>HYPERLINK("https://miland.ru/api/getInfo/item/2dde211e-067b-11f1-a28f-00155d82e908")</f>
        <v>https://miland.ru/api/getInfo/item/2dde211e-067b-11f1-a28f-00155d82e908</v>
      </c>
      <c r="AB3641" s="7" t="s">
        <v>42</v>
      </c>
      <c r="AC3641" s="7"/>
      <c r="AD3641" s="7"/>
      <c r="AE3641" s="54"/>
    </row>
    <row r="3642" spans="2:31" s="1" customFormat="1" ht="96.3" customHeight="1" outlineLevel="7">
      <c r="B3642" s="58">
        <v>2846</v>
      </c>
      <c r="C3642" s="7" t="s">
        <v>12770</v>
      </c>
      <c r="D3642" s="71" t="s">
        <v>12771</v>
      </c>
      <c r="E3642" s="71"/>
      <c r="F3642" s="71"/>
      <c r="G3642" s="71"/>
      <c r="H3642" s="8" t="s">
        <v>12772</v>
      </c>
      <c r="I3642" s="9" t="s">
        <v>36</v>
      </c>
      <c r="J3642" s="8"/>
      <c r="K3642" s="6">
        <v>12</v>
      </c>
      <c r="L3642" s="10">
        <v>44.73</v>
      </c>
      <c r="M3642" s="11"/>
      <c r="N3642" s="8">
        <f t="shared" si="174"/>
        <v>0</v>
      </c>
      <c r="O3642" s="12">
        <f>0.039*M3642</f>
        <v>0</v>
      </c>
      <c r="P3642" s="16">
        <f>0.0006*M3642</f>
        <v>0</v>
      </c>
      <c r="Q3642" s="17" t="s">
        <v>37</v>
      </c>
      <c r="R3642" s="8" t="s">
        <v>12773</v>
      </c>
      <c r="S3642" s="8"/>
      <c r="T3642" s="7" t="str">
        <f>HYPERLINK("https://miland.ru/api/getInfo/image/05127d4e-067b-11f1-a28f-00155d82e908")</f>
        <v>https://miland.ru/api/getInfo/image/05127d4e-067b-11f1-a28f-00155d82e908</v>
      </c>
      <c r="U3642" s="7"/>
      <c r="V3642" s="7"/>
      <c r="W3642" s="7" t="s">
        <v>378</v>
      </c>
      <c r="X3642" s="7"/>
      <c r="Y3642" s="7" t="s">
        <v>41</v>
      </c>
      <c r="Z3642" s="7"/>
      <c r="AA3642" s="7" t="str">
        <f>HYPERLINK("https://miland.ru/api/getInfo/item/05127d4e-067b-11f1-a28f-00155d82e908")</f>
        <v>https://miland.ru/api/getInfo/item/05127d4e-067b-11f1-a28f-00155d82e908</v>
      </c>
      <c r="AB3642" s="7" t="s">
        <v>42</v>
      </c>
      <c r="AC3642" s="7"/>
      <c r="AD3642" s="7"/>
      <c r="AE3642" s="54"/>
    </row>
    <row r="3643" spans="2:31" s="1" customFormat="1" ht="96.3" customHeight="1" outlineLevel="7">
      <c r="B3643" s="58">
        <v>2847</v>
      </c>
      <c r="C3643" s="7" t="s">
        <v>12774</v>
      </c>
      <c r="D3643" s="71" t="s">
        <v>12775</v>
      </c>
      <c r="E3643" s="71"/>
      <c r="F3643" s="71"/>
      <c r="G3643" s="71"/>
      <c r="H3643" s="8" t="s">
        <v>12776</v>
      </c>
      <c r="I3643" s="9" t="s">
        <v>36</v>
      </c>
      <c r="J3643" s="8"/>
      <c r="K3643" s="6">
        <v>12</v>
      </c>
      <c r="L3643" s="10">
        <v>44.73</v>
      </c>
      <c r="M3643" s="11"/>
      <c r="N3643" s="8">
        <f t="shared" si="174"/>
        <v>0</v>
      </c>
      <c r="O3643" s="18">
        <f>0.04*M3643</f>
        <v>0</v>
      </c>
      <c r="P3643" s="13">
        <f>0.00048*M3643</f>
        <v>0</v>
      </c>
      <c r="Q3643" s="17" t="s">
        <v>37</v>
      </c>
      <c r="R3643" s="8" t="s">
        <v>12777</v>
      </c>
      <c r="S3643" s="8"/>
      <c r="T3643" s="7" t="str">
        <f>HYPERLINK("https://miland.ru/api/getInfo/image/480432f0-067c-11f1-a28f-00155d82e908")</f>
        <v>https://miland.ru/api/getInfo/image/480432f0-067c-11f1-a28f-00155d82e908</v>
      </c>
      <c r="U3643" s="7"/>
      <c r="V3643" s="7"/>
      <c r="W3643" s="7" t="s">
        <v>378</v>
      </c>
      <c r="X3643" s="7"/>
      <c r="Y3643" s="7" t="s">
        <v>41</v>
      </c>
      <c r="Z3643" s="7"/>
      <c r="AA3643" s="7" t="str">
        <f>HYPERLINK("https://miland.ru/api/getInfo/item/480432f0-067c-11f1-a28f-00155d82e908")</f>
        <v>https://miland.ru/api/getInfo/item/480432f0-067c-11f1-a28f-00155d82e908</v>
      </c>
      <c r="AB3643" s="7" t="s">
        <v>42</v>
      </c>
      <c r="AC3643" s="7"/>
      <c r="AD3643" s="7"/>
      <c r="AE3643" s="54"/>
    </row>
    <row r="3644" spans="2:31" s="1" customFormat="1" ht="96.3" customHeight="1" outlineLevel="7">
      <c r="B3644" s="58">
        <v>2848</v>
      </c>
      <c r="C3644" s="7" t="s">
        <v>12778</v>
      </c>
      <c r="D3644" s="71" t="s">
        <v>12779</v>
      </c>
      <c r="E3644" s="71"/>
      <c r="F3644" s="71"/>
      <c r="G3644" s="71"/>
      <c r="H3644" s="8" t="s">
        <v>12780</v>
      </c>
      <c r="I3644" s="9" t="s">
        <v>36</v>
      </c>
      <c r="J3644" s="8"/>
      <c r="K3644" s="6">
        <v>12</v>
      </c>
      <c r="L3644" s="10">
        <v>44.73</v>
      </c>
      <c r="M3644" s="11"/>
      <c r="N3644" s="8">
        <f t="shared" si="174"/>
        <v>0</v>
      </c>
      <c r="O3644" s="18">
        <f>0.04*M3644</f>
        <v>0</v>
      </c>
      <c r="P3644" s="13">
        <f>0.00015*M3644</f>
        <v>0</v>
      </c>
      <c r="Q3644" s="17" t="s">
        <v>37</v>
      </c>
      <c r="R3644" s="8" t="s">
        <v>12781</v>
      </c>
      <c r="S3644" s="8"/>
      <c r="T3644" s="7" t="str">
        <f>HYPERLINK("https://miland.ru/api/getInfo/image/dfb96cce-067b-11f1-a28f-00155d82e908")</f>
        <v>https://miland.ru/api/getInfo/image/dfb96cce-067b-11f1-a28f-00155d82e908</v>
      </c>
      <c r="U3644" s="7"/>
      <c r="V3644" s="7"/>
      <c r="W3644" s="7" t="s">
        <v>378</v>
      </c>
      <c r="X3644" s="7"/>
      <c r="Y3644" s="7" t="s">
        <v>41</v>
      </c>
      <c r="Z3644" s="7"/>
      <c r="AA3644" s="7" t="str">
        <f>HYPERLINK("https://miland.ru/api/getInfo/item/dfb96cce-067b-11f1-a28f-00155d82e908")</f>
        <v>https://miland.ru/api/getInfo/item/dfb96cce-067b-11f1-a28f-00155d82e908</v>
      </c>
      <c r="AB3644" s="7" t="s">
        <v>42</v>
      </c>
      <c r="AC3644" s="7"/>
      <c r="AD3644" s="7"/>
      <c r="AE3644" s="54"/>
    </row>
    <row r="3645" spans="2:31" s="1" customFormat="1" ht="96.3" customHeight="1" outlineLevel="7">
      <c r="B3645" s="58">
        <v>2849</v>
      </c>
      <c r="C3645" s="7" t="s">
        <v>12782</v>
      </c>
      <c r="D3645" s="71" t="s">
        <v>12783</v>
      </c>
      <c r="E3645" s="71"/>
      <c r="F3645" s="71"/>
      <c r="G3645" s="71"/>
      <c r="H3645" s="8" t="s">
        <v>12784</v>
      </c>
      <c r="I3645" s="9" t="s">
        <v>36</v>
      </c>
      <c r="J3645" s="8"/>
      <c r="K3645" s="6">
        <v>12</v>
      </c>
      <c r="L3645" s="10">
        <v>44.73</v>
      </c>
      <c r="M3645" s="11"/>
      <c r="N3645" s="8">
        <f t="shared" si="174"/>
        <v>0</v>
      </c>
      <c r="O3645" s="12">
        <f>0.032*M3645</f>
        <v>0</v>
      </c>
      <c r="P3645" s="13">
        <f>0.00064*M3645</f>
        <v>0</v>
      </c>
      <c r="Q3645" s="17" t="s">
        <v>37</v>
      </c>
      <c r="R3645" s="8" t="s">
        <v>12785</v>
      </c>
      <c r="S3645" s="8"/>
      <c r="T3645" s="7" t="str">
        <f>HYPERLINK("https://miland.ru/api/getInfo/image/bc79be0f-067c-11f1-a28f-00155d82e908")</f>
        <v>https://miland.ru/api/getInfo/image/bc79be0f-067c-11f1-a28f-00155d82e908</v>
      </c>
      <c r="U3645" s="7"/>
      <c r="V3645" s="7"/>
      <c r="W3645" s="7" t="s">
        <v>378</v>
      </c>
      <c r="X3645" s="7"/>
      <c r="Y3645" s="7" t="s">
        <v>41</v>
      </c>
      <c r="Z3645" s="7"/>
      <c r="AA3645" s="7" t="str">
        <f>HYPERLINK("https://miland.ru/api/getInfo/item/bc79be0f-067c-11f1-a28f-00155d82e908")</f>
        <v>https://miland.ru/api/getInfo/item/bc79be0f-067c-11f1-a28f-00155d82e908</v>
      </c>
      <c r="AB3645" s="7" t="s">
        <v>42</v>
      </c>
      <c r="AC3645" s="7"/>
      <c r="AD3645" s="7"/>
      <c r="AE3645" s="54"/>
    </row>
    <row r="3646" spans="2:31" s="1" customFormat="1" ht="96.3" customHeight="1" outlineLevel="7">
      <c r="B3646" s="58">
        <v>2850</v>
      </c>
      <c r="C3646" s="7" t="s">
        <v>12786</v>
      </c>
      <c r="D3646" s="71" t="s">
        <v>12787</v>
      </c>
      <c r="E3646" s="71"/>
      <c r="F3646" s="71"/>
      <c r="G3646" s="71"/>
      <c r="H3646" s="8" t="s">
        <v>12788</v>
      </c>
      <c r="I3646" s="9" t="s">
        <v>36</v>
      </c>
      <c r="J3646" s="8"/>
      <c r="K3646" s="6">
        <v>12</v>
      </c>
      <c r="L3646" s="10">
        <v>44.73</v>
      </c>
      <c r="M3646" s="11"/>
      <c r="N3646" s="8">
        <f t="shared" si="174"/>
        <v>0</v>
      </c>
      <c r="O3646" s="12">
        <f>0.042*M3646</f>
        <v>0</v>
      </c>
      <c r="P3646" s="13">
        <f>0.00058*M3646</f>
        <v>0</v>
      </c>
      <c r="Q3646" s="17" t="s">
        <v>37</v>
      </c>
      <c r="R3646" s="8" t="s">
        <v>12789</v>
      </c>
      <c r="S3646" s="8"/>
      <c r="T3646" s="7" t="str">
        <f>HYPERLINK("https://miland.ru/api/getInfo/image/b7723b88-067b-11f1-a28f-00155d82e908")</f>
        <v>https://miland.ru/api/getInfo/image/b7723b88-067b-11f1-a28f-00155d82e908</v>
      </c>
      <c r="U3646" s="7"/>
      <c r="V3646" s="7"/>
      <c r="W3646" s="7" t="s">
        <v>378</v>
      </c>
      <c r="X3646" s="7"/>
      <c r="Y3646" s="7" t="s">
        <v>41</v>
      </c>
      <c r="Z3646" s="7"/>
      <c r="AA3646" s="7" t="str">
        <f>HYPERLINK("https://miland.ru/api/getInfo/item/b7723b88-067b-11f1-a28f-00155d82e908")</f>
        <v>https://miland.ru/api/getInfo/item/b7723b88-067b-11f1-a28f-00155d82e908</v>
      </c>
      <c r="AB3646" s="7" t="s">
        <v>42</v>
      </c>
      <c r="AC3646" s="7"/>
      <c r="AD3646" s="7"/>
      <c r="AE3646" s="54"/>
    </row>
    <row r="3647" spans="2:31" s="1" customFormat="1" ht="96.3" customHeight="1" outlineLevel="7">
      <c r="B3647" s="58">
        <v>2851</v>
      </c>
      <c r="C3647" s="7" t="s">
        <v>12790</v>
      </c>
      <c r="D3647" s="71" t="s">
        <v>12791</v>
      </c>
      <c r="E3647" s="71"/>
      <c r="F3647" s="71"/>
      <c r="G3647" s="71"/>
      <c r="H3647" s="8" t="s">
        <v>12792</v>
      </c>
      <c r="I3647" s="9" t="s">
        <v>36</v>
      </c>
      <c r="J3647" s="8"/>
      <c r="K3647" s="6">
        <v>12</v>
      </c>
      <c r="L3647" s="10">
        <v>44.73</v>
      </c>
      <c r="M3647" s="11"/>
      <c r="N3647" s="8">
        <f t="shared" si="174"/>
        <v>0</v>
      </c>
      <c r="O3647" s="12">
        <f>0.039*M3647</f>
        <v>0</v>
      </c>
      <c r="P3647" s="13">
        <f>0.00112*M3647</f>
        <v>0</v>
      </c>
      <c r="Q3647" s="17" t="s">
        <v>37</v>
      </c>
      <c r="R3647" s="8" t="s">
        <v>12793</v>
      </c>
      <c r="S3647" s="8"/>
      <c r="T3647" s="7" t="str">
        <f>HYPERLINK("https://miland.ru/api/getInfo/image/51f737b9-067b-11f1-a28f-00155d82e908")</f>
        <v>https://miland.ru/api/getInfo/image/51f737b9-067b-11f1-a28f-00155d82e908</v>
      </c>
      <c r="U3647" s="7"/>
      <c r="V3647" s="7"/>
      <c r="W3647" s="7" t="s">
        <v>378</v>
      </c>
      <c r="X3647" s="7"/>
      <c r="Y3647" s="7" t="s">
        <v>41</v>
      </c>
      <c r="Z3647" s="7"/>
      <c r="AA3647" s="7" t="str">
        <f>HYPERLINK("https://miland.ru/api/getInfo/item/51f737b9-067b-11f1-a28f-00155d82e908")</f>
        <v>https://miland.ru/api/getInfo/item/51f737b9-067b-11f1-a28f-00155d82e908</v>
      </c>
      <c r="AB3647" s="7" t="s">
        <v>42</v>
      </c>
      <c r="AC3647" s="7"/>
      <c r="AD3647" s="7"/>
      <c r="AE3647" s="54"/>
    </row>
    <row r="3648" spans="2:31" s="1" customFormat="1" ht="96.3" customHeight="1" outlineLevel="7">
      <c r="B3648" s="58">
        <v>2852</v>
      </c>
      <c r="C3648" s="7" t="s">
        <v>12794</v>
      </c>
      <c r="D3648" s="71" t="s">
        <v>12795</v>
      </c>
      <c r="E3648" s="71"/>
      <c r="F3648" s="71"/>
      <c r="G3648" s="71"/>
      <c r="H3648" s="8" t="s">
        <v>12796</v>
      </c>
      <c r="I3648" s="9" t="s">
        <v>36</v>
      </c>
      <c r="J3648" s="8"/>
      <c r="K3648" s="6">
        <v>12</v>
      </c>
      <c r="L3648" s="10">
        <v>44.73</v>
      </c>
      <c r="M3648" s="11"/>
      <c r="N3648" s="8">
        <f t="shared" si="174"/>
        <v>0</v>
      </c>
      <c r="O3648" s="12">
        <f>0.039*M3648</f>
        <v>0</v>
      </c>
      <c r="P3648" s="13">
        <f>0.00105*M3648</f>
        <v>0</v>
      </c>
      <c r="Q3648" s="17" t="s">
        <v>37</v>
      </c>
      <c r="R3648" s="8" t="s">
        <v>12797</v>
      </c>
      <c r="S3648" s="8"/>
      <c r="T3648" s="7" t="str">
        <f>HYPERLINK("https://miland.ru/api/getInfo/image/135e06b7-067c-11f1-a28f-00155d82e908")</f>
        <v>https://miland.ru/api/getInfo/image/135e06b7-067c-11f1-a28f-00155d82e908</v>
      </c>
      <c r="U3648" s="7"/>
      <c r="V3648" s="7"/>
      <c r="W3648" s="7" t="s">
        <v>378</v>
      </c>
      <c r="X3648" s="7"/>
      <c r="Y3648" s="7" t="s">
        <v>41</v>
      </c>
      <c r="Z3648" s="7"/>
      <c r="AA3648" s="7" t="str">
        <f>HYPERLINK("https://miland.ru/api/getInfo/item/135e06b7-067c-11f1-a28f-00155d82e908")</f>
        <v>https://miland.ru/api/getInfo/item/135e06b7-067c-11f1-a28f-00155d82e908</v>
      </c>
      <c r="AB3648" s="7" t="s">
        <v>42</v>
      </c>
      <c r="AC3648" s="7"/>
      <c r="AD3648" s="7"/>
      <c r="AE3648" s="54"/>
    </row>
    <row r="3649" spans="2:31" s="1" customFormat="1" ht="96.3" customHeight="1" outlineLevel="7">
      <c r="B3649" s="58">
        <v>2853</v>
      </c>
      <c r="C3649" s="7" t="s">
        <v>12798</v>
      </c>
      <c r="D3649" s="71" t="s">
        <v>12799</v>
      </c>
      <c r="E3649" s="71"/>
      <c r="F3649" s="71"/>
      <c r="G3649" s="71"/>
      <c r="H3649" s="8" t="s">
        <v>12800</v>
      </c>
      <c r="I3649" s="9" t="s">
        <v>36</v>
      </c>
      <c r="J3649" s="8"/>
      <c r="K3649" s="6">
        <v>12</v>
      </c>
      <c r="L3649" s="10">
        <v>44.73</v>
      </c>
      <c r="M3649" s="11"/>
      <c r="N3649" s="8">
        <f t="shared" si="174"/>
        <v>0</v>
      </c>
      <c r="O3649" s="12">
        <f>0.037*M3649</f>
        <v>0</v>
      </c>
      <c r="P3649" s="13">
        <f>0.00057*M3649</f>
        <v>0</v>
      </c>
      <c r="Q3649" s="17" t="s">
        <v>37</v>
      </c>
      <c r="R3649" s="8" t="s">
        <v>12801</v>
      </c>
      <c r="S3649" s="8"/>
      <c r="T3649" s="7" t="str">
        <f>HYPERLINK("https://miland.ru/api/getInfo/image/224b4be0-067a-11f1-a28f-00155d82e908")</f>
        <v>https://miland.ru/api/getInfo/image/224b4be0-067a-11f1-a28f-00155d82e908</v>
      </c>
      <c r="U3649" s="7"/>
      <c r="V3649" s="7"/>
      <c r="W3649" s="7" t="s">
        <v>378</v>
      </c>
      <c r="X3649" s="7"/>
      <c r="Y3649" s="7" t="s">
        <v>41</v>
      </c>
      <c r="Z3649" s="7"/>
      <c r="AA3649" s="7" t="str">
        <f>HYPERLINK("https://miland.ru/api/getInfo/item/224b4be0-067a-11f1-a28f-00155d82e908")</f>
        <v>https://miland.ru/api/getInfo/item/224b4be0-067a-11f1-a28f-00155d82e908</v>
      </c>
      <c r="AB3649" s="7" t="s">
        <v>42</v>
      </c>
      <c r="AC3649" s="7"/>
      <c r="AD3649" s="7"/>
      <c r="AE3649" s="54"/>
    </row>
    <row r="3650" spans="2:31" s="1" customFormat="1" ht="96.3" customHeight="1" outlineLevel="7">
      <c r="B3650" s="58">
        <v>2854</v>
      </c>
      <c r="C3650" s="7" t="s">
        <v>12802</v>
      </c>
      <c r="D3650" s="71" t="s">
        <v>12803</v>
      </c>
      <c r="E3650" s="71"/>
      <c r="F3650" s="71"/>
      <c r="G3650" s="71"/>
      <c r="H3650" s="8" t="s">
        <v>12804</v>
      </c>
      <c r="I3650" s="9" t="s">
        <v>36</v>
      </c>
      <c r="J3650" s="8"/>
      <c r="K3650" s="6">
        <v>12</v>
      </c>
      <c r="L3650" s="10">
        <v>44.73</v>
      </c>
      <c r="M3650" s="11"/>
      <c r="N3650" s="8">
        <f t="shared" si="174"/>
        <v>0</v>
      </c>
      <c r="O3650" s="12">
        <f>0.039*M3650</f>
        <v>0</v>
      </c>
      <c r="P3650" s="13">
        <f>0.00033*M3650</f>
        <v>0</v>
      </c>
      <c r="Q3650" s="17" t="s">
        <v>37</v>
      </c>
      <c r="R3650" s="8" t="s">
        <v>12805</v>
      </c>
      <c r="S3650" s="8"/>
      <c r="T3650" s="7" t="str">
        <f>HYPERLINK("https://miland.ru/api/getInfo/image/76059fa0-067b-11f1-a28f-00155d82e908")</f>
        <v>https://miland.ru/api/getInfo/image/76059fa0-067b-11f1-a28f-00155d82e908</v>
      </c>
      <c r="U3650" s="7"/>
      <c r="V3650" s="7"/>
      <c r="W3650" s="7" t="s">
        <v>378</v>
      </c>
      <c r="X3650" s="7"/>
      <c r="Y3650" s="7" t="s">
        <v>41</v>
      </c>
      <c r="Z3650" s="7"/>
      <c r="AA3650" s="7" t="str">
        <f>HYPERLINK("https://miland.ru/api/getInfo/item/76059fa0-067b-11f1-a28f-00155d82e908")</f>
        <v>https://miland.ru/api/getInfo/item/76059fa0-067b-11f1-a28f-00155d82e908</v>
      </c>
      <c r="AB3650" s="7" t="s">
        <v>42</v>
      </c>
      <c r="AC3650" s="7"/>
      <c r="AD3650" s="7"/>
      <c r="AE3650" s="54"/>
    </row>
    <row r="3651" spans="2:31" s="1" customFormat="1" ht="96.3" customHeight="1" outlineLevel="7">
      <c r="B3651" s="58">
        <v>2855</v>
      </c>
      <c r="C3651" s="7" t="s">
        <v>12806</v>
      </c>
      <c r="D3651" s="71" t="s">
        <v>12807</v>
      </c>
      <c r="E3651" s="71"/>
      <c r="F3651" s="71"/>
      <c r="G3651" s="71"/>
      <c r="H3651" s="8" t="s">
        <v>12808</v>
      </c>
      <c r="I3651" s="9" t="s">
        <v>36</v>
      </c>
      <c r="J3651" s="8"/>
      <c r="K3651" s="6">
        <v>12</v>
      </c>
      <c r="L3651" s="10">
        <v>44.73</v>
      </c>
      <c r="M3651" s="11"/>
      <c r="N3651" s="8">
        <f t="shared" si="174"/>
        <v>0</v>
      </c>
      <c r="O3651" s="12">
        <f>0.041*M3651</f>
        <v>0</v>
      </c>
      <c r="P3651" s="13">
        <f>0.00048*M3651</f>
        <v>0</v>
      </c>
      <c r="Q3651" s="17" t="s">
        <v>37</v>
      </c>
      <c r="R3651" s="8" t="s">
        <v>12809</v>
      </c>
      <c r="S3651" s="8"/>
      <c r="T3651" s="7" t="str">
        <f>HYPERLINK("https://miland.ru/api/getInfo/image/93474a59-067c-11f1-a28f-00155d82e908")</f>
        <v>https://miland.ru/api/getInfo/image/93474a59-067c-11f1-a28f-00155d82e908</v>
      </c>
      <c r="U3651" s="7"/>
      <c r="V3651" s="7"/>
      <c r="W3651" s="7" t="s">
        <v>378</v>
      </c>
      <c r="X3651" s="7"/>
      <c r="Y3651" s="7" t="s">
        <v>41</v>
      </c>
      <c r="Z3651" s="7"/>
      <c r="AA3651" s="7" t="str">
        <f>HYPERLINK("https://miland.ru/api/getInfo/item/93474a59-067c-11f1-a28f-00155d82e908")</f>
        <v>https://miland.ru/api/getInfo/item/93474a59-067c-11f1-a28f-00155d82e908</v>
      </c>
      <c r="AB3651" s="7" t="s">
        <v>42</v>
      </c>
      <c r="AC3651" s="7"/>
      <c r="AD3651" s="7"/>
      <c r="AE3651" s="54"/>
    </row>
    <row r="3652" spans="2:31" s="1" customFormat="1" ht="96.3" customHeight="1" outlineLevel="7">
      <c r="B3652" s="57">
        <v>2856</v>
      </c>
      <c r="C3652" s="21" t="s">
        <v>12810</v>
      </c>
      <c r="D3652" s="72" t="s">
        <v>12811</v>
      </c>
      <c r="E3652" s="72"/>
      <c r="F3652" s="72"/>
      <c r="G3652" s="72"/>
      <c r="H3652" s="22" t="s">
        <v>12812</v>
      </c>
      <c r="I3652" s="27">
        <v>276</v>
      </c>
      <c r="J3652" s="22"/>
      <c r="K3652" s="20">
        <v>12</v>
      </c>
      <c r="L3652" s="24">
        <v>44.73</v>
      </c>
      <c r="M3652" s="11"/>
      <c r="N3652" s="22">
        <f t="shared" si="174"/>
        <v>0</v>
      </c>
      <c r="O3652" s="28">
        <f>0.04*M3652</f>
        <v>0</v>
      </c>
      <c r="P3652" s="26">
        <f>0.00009*M3652</f>
        <v>0</v>
      </c>
      <c r="Q3652" s="30"/>
      <c r="R3652" s="22" t="s">
        <v>12813</v>
      </c>
      <c r="S3652" s="22" t="s">
        <v>435</v>
      </c>
      <c r="T3652" s="21" t="str">
        <f>HYPERLINK("https://miland.ru/api/getInfo/image/22f3f71e-5ebe-11ef-a262-00155d82e908")</f>
        <v>https://miland.ru/api/getInfo/image/22f3f71e-5ebe-11ef-a262-00155d82e908</v>
      </c>
      <c r="U3652" s="21"/>
      <c r="V3652" s="21" t="s">
        <v>6525</v>
      </c>
      <c r="W3652" s="21" t="s">
        <v>378</v>
      </c>
      <c r="X3652" s="21"/>
      <c r="Y3652" s="21" t="s">
        <v>41</v>
      </c>
      <c r="Z3652" s="21"/>
      <c r="AA3652" s="21" t="str">
        <f>HYPERLINK("https://miland.ru/api/getInfo/item/22f3f71e-5ebe-11ef-a262-00155d82e908")</f>
        <v>https://miland.ru/api/getInfo/item/22f3f71e-5ebe-11ef-a262-00155d82e908</v>
      </c>
      <c r="AB3652" s="21" t="s">
        <v>42</v>
      </c>
      <c r="AC3652" s="21" t="s">
        <v>12814</v>
      </c>
      <c r="AD3652" s="21"/>
    </row>
    <row r="3653" spans="2:31" s="1" customFormat="1" ht="96.3" customHeight="1" outlineLevel="7">
      <c r="B3653" s="57">
        <v>2857</v>
      </c>
      <c r="C3653" s="21" t="s">
        <v>12815</v>
      </c>
      <c r="D3653" s="72" t="s">
        <v>12816</v>
      </c>
      <c r="E3653" s="72"/>
      <c r="F3653" s="72"/>
      <c r="G3653" s="72"/>
      <c r="H3653" s="22" t="s">
        <v>12817</v>
      </c>
      <c r="I3653" s="27">
        <v>228</v>
      </c>
      <c r="J3653" s="22"/>
      <c r="K3653" s="20">
        <v>12</v>
      </c>
      <c r="L3653" s="24">
        <v>44.73</v>
      </c>
      <c r="M3653" s="11"/>
      <c r="N3653" s="22">
        <f t="shared" si="174"/>
        <v>0</v>
      </c>
      <c r="O3653" s="25">
        <f>0.041*M3653</f>
        <v>0</v>
      </c>
      <c r="P3653" s="26">
        <f>0.00037*M3653</f>
        <v>0</v>
      </c>
      <c r="Q3653" s="30"/>
      <c r="R3653" s="22" t="s">
        <v>12818</v>
      </c>
      <c r="S3653" s="22" t="s">
        <v>435</v>
      </c>
      <c r="T3653" s="21" t="str">
        <f>HYPERLINK("https://miland.ru/api/getInfo/image/55752c8d-5ebe-11ef-a262-00155d82e908")</f>
        <v>https://miland.ru/api/getInfo/image/55752c8d-5ebe-11ef-a262-00155d82e908</v>
      </c>
      <c r="U3653" s="21"/>
      <c r="V3653" s="21" t="s">
        <v>6525</v>
      </c>
      <c r="W3653" s="21" t="s">
        <v>378</v>
      </c>
      <c r="X3653" s="21"/>
      <c r="Y3653" s="21" t="s">
        <v>41</v>
      </c>
      <c r="Z3653" s="21"/>
      <c r="AA3653" s="21" t="str">
        <f>HYPERLINK("https://miland.ru/api/getInfo/item/55752c8d-5ebe-11ef-a262-00155d82e908")</f>
        <v>https://miland.ru/api/getInfo/item/55752c8d-5ebe-11ef-a262-00155d82e908</v>
      </c>
      <c r="AB3653" s="21" t="s">
        <v>42</v>
      </c>
      <c r="AC3653" s="21" t="s">
        <v>12814</v>
      </c>
      <c r="AD3653" s="21"/>
    </row>
    <row r="3654" spans="2:31" s="1" customFormat="1" ht="96.3" customHeight="1" outlineLevel="7">
      <c r="B3654" s="57">
        <v>2858</v>
      </c>
      <c r="C3654" s="21" t="s">
        <v>12819</v>
      </c>
      <c r="D3654" s="72" t="s">
        <v>12820</v>
      </c>
      <c r="E3654" s="72"/>
      <c r="F3654" s="72"/>
      <c r="G3654" s="72"/>
      <c r="H3654" s="22" t="s">
        <v>12821</v>
      </c>
      <c r="I3654" s="27">
        <v>192</v>
      </c>
      <c r="J3654" s="22"/>
      <c r="K3654" s="20">
        <v>12</v>
      </c>
      <c r="L3654" s="24">
        <v>44.73</v>
      </c>
      <c r="M3654" s="11"/>
      <c r="N3654" s="22">
        <f t="shared" si="174"/>
        <v>0</v>
      </c>
      <c r="O3654" s="25">
        <f>0.039*M3654</f>
        <v>0</v>
      </c>
      <c r="P3654" s="26">
        <f>0.00013*M3654</f>
        <v>0</v>
      </c>
      <c r="Q3654" s="30"/>
      <c r="R3654" s="22" t="s">
        <v>12822</v>
      </c>
      <c r="S3654" s="22" t="s">
        <v>435</v>
      </c>
      <c r="T3654" s="21" t="str">
        <f>HYPERLINK("https://miland.ru/api/getInfo/image/f8bf064d-5ebe-11ef-a262-00155d82e908")</f>
        <v>https://miland.ru/api/getInfo/image/f8bf064d-5ebe-11ef-a262-00155d82e908</v>
      </c>
      <c r="U3654" s="21"/>
      <c r="V3654" s="21" t="s">
        <v>6525</v>
      </c>
      <c r="W3654" s="21" t="s">
        <v>378</v>
      </c>
      <c r="X3654" s="21"/>
      <c r="Y3654" s="21" t="s">
        <v>41</v>
      </c>
      <c r="Z3654" s="21"/>
      <c r="AA3654" s="21" t="str">
        <f>HYPERLINK("https://miland.ru/api/getInfo/item/f8bf064d-5ebe-11ef-a262-00155d82e908")</f>
        <v>https://miland.ru/api/getInfo/item/f8bf064d-5ebe-11ef-a262-00155d82e908</v>
      </c>
      <c r="AB3654" s="21" t="s">
        <v>42</v>
      </c>
      <c r="AC3654" s="21" t="s">
        <v>12814</v>
      </c>
      <c r="AD3654" s="21"/>
    </row>
    <row r="3655" spans="2:31" s="1" customFormat="1" ht="96.3" customHeight="1" outlineLevel="7">
      <c r="B3655" s="57">
        <v>2859</v>
      </c>
      <c r="C3655" s="21" t="s">
        <v>12823</v>
      </c>
      <c r="D3655" s="72" t="s">
        <v>12824</v>
      </c>
      <c r="E3655" s="72"/>
      <c r="F3655" s="72"/>
      <c r="G3655" s="72"/>
      <c r="H3655" s="22" t="s">
        <v>12825</v>
      </c>
      <c r="I3655" s="27">
        <v>192</v>
      </c>
      <c r="J3655" s="22"/>
      <c r="K3655" s="20">
        <v>12</v>
      </c>
      <c r="L3655" s="24">
        <v>44.73</v>
      </c>
      <c r="M3655" s="11"/>
      <c r="N3655" s="22">
        <f t="shared" si="174"/>
        <v>0</v>
      </c>
      <c r="O3655" s="28">
        <f>0.04*M3655</f>
        <v>0</v>
      </c>
      <c r="P3655" s="26">
        <f>0.00216*M3655</f>
        <v>0</v>
      </c>
      <c r="Q3655" s="30"/>
      <c r="R3655" s="22" t="s">
        <v>12826</v>
      </c>
      <c r="S3655" s="22" t="s">
        <v>435</v>
      </c>
      <c r="T3655" s="21" t="str">
        <f>HYPERLINK("https://miland.ru/api/getInfo/image/6a70b5ec-5ebe-11ef-a262-00155d82e908")</f>
        <v>https://miland.ru/api/getInfo/image/6a70b5ec-5ebe-11ef-a262-00155d82e908</v>
      </c>
      <c r="U3655" s="21"/>
      <c r="V3655" s="21" t="s">
        <v>6525</v>
      </c>
      <c r="W3655" s="21" t="s">
        <v>378</v>
      </c>
      <c r="X3655" s="21"/>
      <c r="Y3655" s="21" t="s">
        <v>41</v>
      </c>
      <c r="Z3655" s="21"/>
      <c r="AA3655" s="21" t="str">
        <f>HYPERLINK("https://miland.ru/api/getInfo/item/6a70b5ec-5ebe-11ef-a262-00155d82e908")</f>
        <v>https://miland.ru/api/getInfo/item/6a70b5ec-5ebe-11ef-a262-00155d82e908</v>
      </c>
      <c r="AB3655" s="21" t="s">
        <v>42</v>
      </c>
      <c r="AC3655" s="21" t="s">
        <v>12814</v>
      </c>
      <c r="AD3655" s="21"/>
    </row>
    <row r="3656" spans="2:31" s="1" customFormat="1" ht="96.3" customHeight="1" outlineLevel="7">
      <c r="B3656" s="57">
        <v>2860</v>
      </c>
      <c r="C3656" s="21" t="s">
        <v>12827</v>
      </c>
      <c r="D3656" s="72" t="s">
        <v>12828</v>
      </c>
      <c r="E3656" s="72"/>
      <c r="F3656" s="72"/>
      <c r="G3656" s="72"/>
      <c r="H3656" s="22" t="s">
        <v>12829</v>
      </c>
      <c r="I3656" s="27">
        <v>108</v>
      </c>
      <c r="J3656" s="22"/>
      <c r="K3656" s="20">
        <v>12</v>
      </c>
      <c r="L3656" s="24">
        <v>44.73</v>
      </c>
      <c r="M3656" s="11"/>
      <c r="N3656" s="22">
        <f t="shared" si="174"/>
        <v>0</v>
      </c>
      <c r="O3656" s="28">
        <f>0.04*M3656</f>
        <v>0</v>
      </c>
      <c r="P3656" s="26">
        <f>0.00064*M3656</f>
        <v>0</v>
      </c>
      <c r="Q3656" s="30"/>
      <c r="R3656" s="22" t="s">
        <v>12830</v>
      </c>
      <c r="S3656" s="22" t="s">
        <v>435</v>
      </c>
      <c r="T3656" s="21" t="str">
        <f>HYPERLINK("https://miland.ru/api/getInfo/image/e31c89b1-5ebe-11ef-a262-00155d82e908")</f>
        <v>https://miland.ru/api/getInfo/image/e31c89b1-5ebe-11ef-a262-00155d82e908</v>
      </c>
      <c r="U3656" s="21"/>
      <c r="V3656" s="21" t="s">
        <v>6525</v>
      </c>
      <c r="W3656" s="21" t="s">
        <v>378</v>
      </c>
      <c r="X3656" s="21"/>
      <c r="Y3656" s="21" t="s">
        <v>41</v>
      </c>
      <c r="Z3656" s="21"/>
      <c r="AA3656" s="21" t="str">
        <f>HYPERLINK("https://miland.ru/api/getInfo/item/e31c89b1-5ebe-11ef-a262-00155d82e908")</f>
        <v>https://miland.ru/api/getInfo/item/e31c89b1-5ebe-11ef-a262-00155d82e908</v>
      </c>
      <c r="AB3656" s="21" t="s">
        <v>42</v>
      </c>
      <c r="AC3656" s="21" t="s">
        <v>12814</v>
      </c>
      <c r="AD3656" s="21"/>
    </row>
    <row r="3657" spans="2:31" s="1" customFormat="1" ht="96.3" customHeight="1" outlineLevel="7">
      <c r="B3657" s="57">
        <v>2861</v>
      </c>
      <c r="C3657" s="21" t="s">
        <v>12831</v>
      </c>
      <c r="D3657" s="72" t="s">
        <v>12832</v>
      </c>
      <c r="E3657" s="72"/>
      <c r="F3657" s="72"/>
      <c r="G3657" s="72"/>
      <c r="H3657" s="22" t="s">
        <v>12833</v>
      </c>
      <c r="I3657" s="27">
        <v>12</v>
      </c>
      <c r="J3657" s="22"/>
      <c r="K3657" s="20">
        <v>12</v>
      </c>
      <c r="L3657" s="24">
        <v>44.73</v>
      </c>
      <c r="M3657" s="11"/>
      <c r="N3657" s="22">
        <f t="shared" si="174"/>
        <v>0</v>
      </c>
      <c r="O3657" s="25">
        <f>0.041*M3657</f>
        <v>0</v>
      </c>
      <c r="P3657" s="26">
        <f>0.00015*M3657</f>
        <v>0</v>
      </c>
      <c r="Q3657" s="30"/>
      <c r="R3657" s="22" t="s">
        <v>12834</v>
      </c>
      <c r="S3657" s="22" t="s">
        <v>435</v>
      </c>
      <c r="T3657" s="21" t="str">
        <f>HYPERLINK("https://miland.ru/api/getInfo/image/cbe4c35c-5ebe-11ef-a262-00155d82e908")</f>
        <v>https://miland.ru/api/getInfo/image/cbe4c35c-5ebe-11ef-a262-00155d82e908</v>
      </c>
      <c r="U3657" s="21"/>
      <c r="V3657" s="21" t="s">
        <v>6525</v>
      </c>
      <c r="W3657" s="21" t="s">
        <v>378</v>
      </c>
      <c r="X3657" s="21"/>
      <c r="Y3657" s="21" t="s">
        <v>41</v>
      </c>
      <c r="Z3657" s="21"/>
      <c r="AA3657" s="21" t="str">
        <f>HYPERLINK("https://miland.ru/api/getInfo/item/cbe4c35c-5ebe-11ef-a262-00155d82e908")</f>
        <v>https://miland.ru/api/getInfo/item/cbe4c35c-5ebe-11ef-a262-00155d82e908</v>
      </c>
      <c r="AB3657" s="21" t="s">
        <v>42</v>
      </c>
      <c r="AC3657" s="21" t="s">
        <v>12814</v>
      </c>
      <c r="AD3657" s="21"/>
    </row>
    <row r="3658" spans="2:31" s="1" customFormat="1" ht="96.3" customHeight="1" outlineLevel="7">
      <c r="B3658" s="57">
        <v>2862</v>
      </c>
      <c r="C3658" s="21" t="s">
        <v>12835</v>
      </c>
      <c r="D3658" s="72" t="s">
        <v>12836</v>
      </c>
      <c r="E3658" s="72"/>
      <c r="F3658" s="72"/>
      <c r="G3658" s="72"/>
      <c r="H3658" s="22" t="s">
        <v>12837</v>
      </c>
      <c r="I3658" s="27">
        <v>156</v>
      </c>
      <c r="J3658" s="22"/>
      <c r="K3658" s="20">
        <v>12</v>
      </c>
      <c r="L3658" s="24">
        <v>44.73</v>
      </c>
      <c r="M3658" s="11"/>
      <c r="N3658" s="22">
        <f t="shared" si="174"/>
        <v>0</v>
      </c>
      <c r="O3658" s="25">
        <f>0.041*M3658</f>
        <v>0</v>
      </c>
      <c r="P3658" s="26">
        <f>0.00099*M3658</f>
        <v>0</v>
      </c>
      <c r="Q3658" s="30"/>
      <c r="R3658" s="22" t="s">
        <v>12838</v>
      </c>
      <c r="S3658" s="22" t="s">
        <v>435</v>
      </c>
      <c r="T3658" s="21" t="str">
        <f>HYPERLINK("https://miland.ru/api/getInfo/image/917fec15-5ebe-11ef-a262-00155d82e908")</f>
        <v>https://miland.ru/api/getInfo/image/917fec15-5ebe-11ef-a262-00155d82e908</v>
      </c>
      <c r="U3658" s="21"/>
      <c r="V3658" s="21" t="s">
        <v>6525</v>
      </c>
      <c r="W3658" s="21" t="s">
        <v>378</v>
      </c>
      <c r="X3658" s="21"/>
      <c r="Y3658" s="21" t="s">
        <v>41</v>
      </c>
      <c r="Z3658" s="21"/>
      <c r="AA3658" s="21" t="str">
        <f>HYPERLINK("https://miland.ru/api/getInfo/item/917fec15-5ebe-11ef-a262-00155d82e908")</f>
        <v>https://miland.ru/api/getInfo/item/917fec15-5ebe-11ef-a262-00155d82e908</v>
      </c>
      <c r="AB3658" s="21" t="s">
        <v>42</v>
      </c>
      <c r="AC3658" s="21" t="s">
        <v>12814</v>
      </c>
      <c r="AD3658" s="21"/>
    </row>
    <row r="3659" spans="2:31" s="1" customFormat="1" ht="96.3" customHeight="1" outlineLevel="7">
      <c r="B3659" s="57">
        <v>2863</v>
      </c>
      <c r="C3659" s="21" t="s">
        <v>12839</v>
      </c>
      <c r="D3659" s="72" t="s">
        <v>12840</v>
      </c>
      <c r="E3659" s="72"/>
      <c r="F3659" s="72"/>
      <c r="G3659" s="72"/>
      <c r="H3659" s="22" t="s">
        <v>12841</v>
      </c>
      <c r="I3659" s="27">
        <v>84</v>
      </c>
      <c r="J3659" s="22"/>
      <c r="K3659" s="20">
        <v>12</v>
      </c>
      <c r="L3659" s="24">
        <v>44.73</v>
      </c>
      <c r="M3659" s="11"/>
      <c r="N3659" s="22">
        <f t="shared" si="174"/>
        <v>0</v>
      </c>
      <c r="O3659" s="28">
        <f>0.04*M3659</f>
        <v>0</v>
      </c>
      <c r="P3659" s="26">
        <f>0.00027*M3659</f>
        <v>0</v>
      </c>
      <c r="Q3659" s="30"/>
      <c r="R3659" s="22" t="s">
        <v>12842</v>
      </c>
      <c r="S3659" s="22" t="s">
        <v>435</v>
      </c>
      <c r="T3659" s="21" t="str">
        <f>HYPERLINK("https://miland.ru/api/getInfo/image/0f630472-5ebf-11ef-a262-00155d82e908")</f>
        <v>https://miland.ru/api/getInfo/image/0f630472-5ebf-11ef-a262-00155d82e908</v>
      </c>
      <c r="U3659" s="21"/>
      <c r="V3659" s="21" t="s">
        <v>6525</v>
      </c>
      <c r="W3659" s="21" t="s">
        <v>378</v>
      </c>
      <c r="X3659" s="21"/>
      <c r="Y3659" s="21" t="s">
        <v>41</v>
      </c>
      <c r="Z3659" s="21"/>
      <c r="AA3659" s="21" t="str">
        <f>HYPERLINK("https://miland.ru/api/getInfo/item/0f630472-5ebf-11ef-a262-00155d82e908")</f>
        <v>https://miland.ru/api/getInfo/item/0f630472-5ebf-11ef-a262-00155d82e908</v>
      </c>
      <c r="AB3659" s="21" t="s">
        <v>42</v>
      </c>
      <c r="AC3659" s="21" t="s">
        <v>12814</v>
      </c>
      <c r="AD3659" s="21"/>
    </row>
    <row r="3660" spans="2:31" s="1" customFormat="1" ht="96.3" customHeight="1" outlineLevel="7">
      <c r="B3660" s="57">
        <v>2864</v>
      </c>
      <c r="C3660" s="21" t="s">
        <v>12843</v>
      </c>
      <c r="D3660" s="72" t="s">
        <v>12844</v>
      </c>
      <c r="E3660" s="72"/>
      <c r="F3660" s="72"/>
      <c r="G3660" s="72"/>
      <c r="H3660" s="22" t="s">
        <v>12845</v>
      </c>
      <c r="I3660" s="27">
        <v>192</v>
      </c>
      <c r="J3660" s="22"/>
      <c r="K3660" s="20">
        <v>12</v>
      </c>
      <c r="L3660" s="24">
        <v>44.73</v>
      </c>
      <c r="M3660" s="11"/>
      <c r="N3660" s="22">
        <f t="shared" si="174"/>
        <v>0</v>
      </c>
      <c r="O3660" s="25">
        <f>0.039*M3660</f>
        <v>0</v>
      </c>
      <c r="P3660" s="26">
        <f>0.00037*M3660</f>
        <v>0</v>
      </c>
      <c r="Q3660" s="30"/>
      <c r="R3660" s="22" t="s">
        <v>12846</v>
      </c>
      <c r="S3660" s="22" t="s">
        <v>435</v>
      </c>
      <c r="T3660" s="21" t="str">
        <f>HYPERLINK("https://miland.ru/api/getInfo/image/25d9b5e9-5ebf-11ef-a262-00155d82e908")</f>
        <v>https://miland.ru/api/getInfo/image/25d9b5e9-5ebf-11ef-a262-00155d82e908</v>
      </c>
      <c r="U3660" s="21"/>
      <c r="V3660" s="21" t="s">
        <v>6525</v>
      </c>
      <c r="W3660" s="21" t="s">
        <v>378</v>
      </c>
      <c r="X3660" s="21"/>
      <c r="Y3660" s="21" t="s">
        <v>41</v>
      </c>
      <c r="Z3660" s="21"/>
      <c r="AA3660" s="21" t="str">
        <f>HYPERLINK("https://miland.ru/api/getInfo/item/25d9b5e9-5ebf-11ef-a262-00155d82e908")</f>
        <v>https://miland.ru/api/getInfo/item/25d9b5e9-5ebf-11ef-a262-00155d82e908</v>
      </c>
      <c r="AB3660" s="21" t="s">
        <v>42</v>
      </c>
      <c r="AC3660" s="21" t="s">
        <v>12814</v>
      </c>
      <c r="AD3660" s="21"/>
    </row>
    <row r="3661" spans="2:31" s="1" customFormat="1" ht="96.3" customHeight="1" outlineLevel="7">
      <c r="B3661" s="57">
        <v>2865</v>
      </c>
      <c r="C3661" s="21" t="s">
        <v>12847</v>
      </c>
      <c r="D3661" s="72" t="s">
        <v>12848</v>
      </c>
      <c r="E3661" s="72"/>
      <c r="F3661" s="72"/>
      <c r="G3661" s="72"/>
      <c r="H3661" s="22" t="s">
        <v>12849</v>
      </c>
      <c r="I3661" s="27">
        <v>144</v>
      </c>
      <c r="J3661" s="22"/>
      <c r="K3661" s="20">
        <v>12</v>
      </c>
      <c r="L3661" s="24">
        <v>44.73</v>
      </c>
      <c r="M3661" s="11"/>
      <c r="N3661" s="22">
        <f t="shared" si="174"/>
        <v>0</v>
      </c>
      <c r="O3661" s="25">
        <f>0.041*M3661</f>
        <v>0</v>
      </c>
      <c r="P3661" s="26">
        <f>0.00033*M3661</f>
        <v>0</v>
      </c>
      <c r="Q3661" s="30"/>
      <c r="R3661" s="22" t="s">
        <v>12850</v>
      </c>
      <c r="S3661" s="22" t="s">
        <v>435</v>
      </c>
      <c r="T3661" s="21" t="str">
        <f>HYPERLINK("https://miland.ru/api/getInfo/image/3c01ba70-5ebf-11ef-a262-00155d82e908")</f>
        <v>https://miland.ru/api/getInfo/image/3c01ba70-5ebf-11ef-a262-00155d82e908</v>
      </c>
      <c r="U3661" s="21"/>
      <c r="V3661" s="21" t="s">
        <v>6525</v>
      </c>
      <c r="W3661" s="21" t="s">
        <v>378</v>
      </c>
      <c r="X3661" s="21"/>
      <c r="Y3661" s="21" t="s">
        <v>41</v>
      </c>
      <c r="Z3661" s="21"/>
      <c r="AA3661" s="21" t="str">
        <f>HYPERLINK("https://miland.ru/api/getInfo/item/3c01ba70-5ebf-11ef-a262-00155d82e908")</f>
        <v>https://miland.ru/api/getInfo/item/3c01ba70-5ebf-11ef-a262-00155d82e908</v>
      </c>
      <c r="AB3661" s="21" t="s">
        <v>42</v>
      </c>
      <c r="AC3661" s="21" t="s">
        <v>12814</v>
      </c>
      <c r="AD3661" s="21"/>
    </row>
    <row r="3662" spans="2:31" ht="12" customHeight="1" outlineLevel="4">
      <c r="B3662" s="70" t="s">
        <v>6555</v>
      </c>
      <c r="C3662" s="70"/>
      <c r="D3662" s="70"/>
      <c r="E3662" s="70"/>
      <c r="F3662" s="70"/>
      <c r="G3662" s="70"/>
    </row>
    <row r="3663" spans="2:31" ht="12" customHeight="1" outlineLevel="5">
      <c r="B3663" s="70" t="s">
        <v>6556</v>
      </c>
      <c r="C3663" s="70"/>
      <c r="D3663" s="70"/>
      <c r="E3663" s="70"/>
      <c r="F3663" s="70"/>
      <c r="G3663" s="70"/>
    </row>
    <row r="3664" spans="2:31" s="1" customFormat="1" ht="96.3" customHeight="1" outlineLevel="6">
      <c r="B3664" s="59">
        <v>2866</v>
      </c>
      <c r="C3664" s="35" t="s">
        <v>12851</v>
      </c>
      <c r="D3664" s="73" t="s">
        <v>12852</v>
      </c>
      <c r="E3664" s="73"/>
      <c r="F3664" s="73"/>
      <c r="G3664" s="73"/>
      <c r="H3664" s="36" t="s">
        <v>12853</v>
      </c>
      <c r="I3664" s="56" t="s">
        <v>36</v>
      </c>
      <c r="J3664" s="36"/>
      <c r="K3664" s="34">
        <v>24</v>
      </c>
      <c r="L3664" s="41">
        <v>25.346666666666668</v>
      </c>
      <c r="M3664" s="11"/>
      <c r="N3664" s="36">
        <f t="shared" ref="N3664:N3693" si="177">L3664*M3664</f>
        <v>0</v>
      </c>
      <c r="O3664" s="42">
        <f t="shared" ref="O3664:O3673" si="178">0.017*M3664</f>
        <v>0</v>
      </c>
      <c r="P3664" s="43">
        <f>0.00003*M3664</f>
        <v>0</v>
      </c>
      <c r="Q3664" s="50"/>
      <c r="R3664" s="36" t="s">
        <v>12854</v>
      </c>
      <c r="S3664" s="36" t="s">
        <v>435</v>
      </c>
      <c r="T3664" s="35" t="str">
        <f>HYPERLINK("https://miland.ru/api/getInfo/image/2d56a386-030d-11ef-a25d-00155d82e908")</f>
        <v>https://miland.ru/api/getInfo/image/2d56a386-030d-11ef-a25d-00155d82e908</v>
      </c>
      <c r="U3664" s="35"/>
      <c r="V3664" s="35" t="s">
        <v>6525</v>
      </c>
      <c r="W3664" s="35" t="s">
        <v>378</v>
      </c>
      <c r="X3664" s="35"/>
      <c r="Y3664" s="35" t="s">
        <v>41</v>
      </c>
      <c r="Z3664" s="35"/>
      <c r="AA3664" s="35" t="str">
        <f>HYPERLINK("https://miland.ru/api/getInfo/item/2d56a386-030d-11ef-a25d-00155d82e908")</f>
        <v>https://miland.ru/api/getInfo/item/2d56a386-030d-11ef-a25d-00155d82e908</v>
      </c>
      <c r="AB3664" s="35" t="s">
        <v>42</v>
      </c>
      <c r="AC3664" s="35" t="s">
        <v>12855</v>
      </c>
      <c r="AD3664" s="35"/>
      <c r="AE3664" s="52" t="s">
        <v>1251</v>
      </c>
    </row>
    <row r="3665" spans="2:31" s="1" customFormat="1" ht="96.3" customHeight="1" outlineLevel="6">
      <c r="B3665" s="59">
        <v>2867</v>
      </c>
      <c r="C3665" s="35" t="s">
        <v>12856</v>
      </c>
      <c r="D3665" s="73" t="s">
        <v>12857</v>
      </c>
      <c r="E3665" s="73"/>
      <c r="F3665" s="73"/>
      <c r="G3665" s="73"/>
      <c r="H3665" s="36" t="s">
        <v>12858</v>
      </c>
      <c r="I3665" s="56" t="s">
        <v>36</v>
      </c>
      <c r="J3665" s="36"/>
      <c r="K3665" s="34">
        <v>12</v>
      </c>
      <c r="L3665" s="41">
        <v>19.84</v>
      </c>
      <c r="M3665" s="11"/>
      <c r="N3665" s="36">
        <f t="shared" si="177"/>
        <v>0</v>
      </c>
      <c r="O3665" s="42">
        <f t="shared" si="178"/>
        <v>0</v>
      </c>
      <c r="P3665" s="55">
        <f t="shared" ref="P3665:P3673" si="179">0.0001*M3665</f>
        <v>0</v>
      </c>
      <c r="Q3665" s="50" t="s">
        <v>37</v>
      </c>
      <c r="R3665" s="36" t="s">
        <v>12859</v>
      </c>
      <c r="S3665" s="36"/>
      <c r="T3665" s="35" t="str">
        <f>HYPERLINK("https://miland.ru/api/getInfo/image/8ff17d94-58a1-11f0-a27f-00155d82e908")</f>
        <v>https://miland.ru/api/getInfo/image/8ff17d94-58a1-11f0-a27f-00155d82e908</v>
      </c>
      <c r="U3665" s="35"/>
      <c r="V3665" s="35"/>
      <c r="W3665" s="35" t="s">
        <v>378</v>
      </c>
      <c r="X3665" s="35"/>
      <c r="Y3665" s="35" t="s">
        <v>41</v>
      </c>
      <c r="Z3665" s="35"/>
      <c r="AA3665" s="35" t="str">
        <f>HYPERLINK("https://miland.ru/api/getInfo/item/8ff17d94-58a1-11f0-a27f-00155d82e908")</f>
        <v>https://miland.ru/api/getInfo/item/8ff17d94-58a1-11f0-a27f-00155d82e908</v>
      </c>
      <c r="AB3665" s="35" t="s">
        <v>42</v>
      </c>
      <c r="AC3665" s="35"/>
      <c r="AD3665" s="35"/>
      <c r="AE3665" s="52" t="s">
        <v>1251</v>
      </c>
    </row>
    <row r="3666" spans="2:31" s="1" customFormat="1" ht="96.3" customHeight="1" outlineLevel="6">
      <c r="B3666" s="59">
        <v>2868</v>
      </c>
      <c r="C3666" s="35" t="s">
        <v>12860</v>
      </c>
      <c r="D3666" s="73" t="s">
        <v>12861</v>
      </c>
      <c r="E3666" s="73"/>
      <c r="F3666" s="73"/>
      <c r="G3666" s="73"/>
      <c r="H3666" s="36" t="s">
        <v>12862</v>
      </c>
      <c r="I3666" s="56" t="s">
        <v>36</v>
      </c>
      <c r="J3666" s="36"/>
      <c r="K3666" s="34">
        <v>12</v>
      </c>
      <c r="L3666" s="41">
        <v>19.84</v>
      </c>
      <c r="M3666" s="11"/>
      <c r="N3666" s="36">
        <f t="shared" si="177"/>
        <v>0</v>
      </c>
      <c r="O3666" s="42">
        <f t="shared" si="178"/>
        <v>0</v>
      </c>
      <c r="P3666" s="55">
        <f t="shared" si="179"/>
        <v>0</v>
      </c>
      <c r="Q3666" s="50" t="s">
        <v>37</v>
      </c>
      <c r="R3666" s="36" t="s">
        <v>12863</v>
      </c>
      <c r="S3666" s="36"/>
      <c r="T3666" s="35" t="str">
        <f>HYPERLINK("https://miland.ru/api/getInfo/image/de921a99-58a2-11f0-a27f-00155d82e908")</f>
        <v>https://miland.ru/api/getInfo/image/de921a99-58a2-11f0-a27f-00155d82e908</v>
      </c>
      <c r="U3666" s="35"/>
      <c r="V3666" s="35"/>
      <c r="W3666" s="35" t="s">
        <v>378</v>
      </c>
      <c r="X3666" s="35"/>
      <c r="Y3666" s="35" t="s">
        <v>41</v>
      </c>
      <c r="Z3666" s="35"/>
      <c r="AA3666" s="35" t="str">
        <f>HYPERLINK("https://miland.ru/api/getInfo/item/de921a99-58a2-11f0-a27f-00155d82e908")</f>
        <v>https://miland.ru/api/getInfo/item/de921a99-58a2-11f0-a27f-00155d82e908</v>
      </c>
      <c r="AB3666" s="35" t="s">
        <v>42</v>
      </c>
      <c r="AC3666" s="35"/>
      <c r="AD3666" s="35"/>
      <c r="AE3666" s="52" t="s">
        <v>1251</v>
      </c>
    </row>
    <row r="3667" spans="2:31" s="1" customFormat="1" ht="96.3" customHeight="1" outlineLevel="6">
      <c r="B3667" s="59">
        <v>2869</v>
      </c>
      <c r="C3667" s="35" t="s">
        <v>12864</v>
      </c>
      <c r="D3667" s="73" t="s">
        <v>12865</v>
      </c>
      <c r="E3667" s="73"/>
      <c r="F3667" s="73"/>
      <c r="G3667" s="73"/>
      <c r="H3667" s="36" t="s">
        <v>12866</v>
      </c>
      <c r="I3667" s="56" t="s">
        <v>36</v>
      </c>
      <c r="J3667" s="36"/>
      <c r="K3667" s="34">
        <v>12</v>
      </c>
      <c r="L3667" s="41">
        <v>19.84</v>
      </c>
      <c r="M3667" s="11"/>
      <c r="N3667" s="36">
        <f t="shared" si="177"/>
        <v>0</v>
      </c>
      <c r="O3667" s="42">
        <f t="shared" si="178"/>
        <v>0</v>
      </c>
      <c r="P3667" s="55">
        <f t="shared" si="179"/>
        <v>0</v>
      </c>
      <c r="Q3667" s="50" t="s">
        <v>37</v>
      </c>
      <c r="R3667" s="36" t="s">
        <v>12867</v>
      </c>
      <c r="S3667" s="36"/>
      <c r="T3667" s="35" t="str">
        <f>HYPERLINK("https://miland.ru/api/getInfo/image/af68dc81-58a0-11f0-a27f-00155d82e908")</f>
        <v>https://miland.ru/api/getInfo/image/af68dc81-58a0-11f0-a27f-00155d82e908</v>
      </c>
      <c r="U3667" s="35"/>
      <c r="V3667" s="35"/>
      <c r="W3667" s="35" t="s">
        <v>378</v>
      </c>
      <c r="X3667" s="35"/>
      <c r="Y3667" s="35" t="s">
        <v>41</v>
      </c>
      <c r="Z3667" s="35"/>
      <c r="AA3667" s="35" t="str">
        <f>HYPERLINK("https://miland.ru/api/getInfo/item/af68dc81-58a0-11f0-a27f-00155d82e908")</f>
        <v>https://miland.ru/api/getInfo/item/af68dc81-58a0-11f0-a27f-00155d82e908</v>
      </c>
      <c r="AB3667" s="35" t="s">
        <v>42</v>
      </c>
      <c r="AC3667" s="35"/>
      <c r="AD3667" s="35"/>
      <c r="AE3667" s="52" t="s">
        <v>1251</v>
      </c>
    </row>
    <row r="3668" spans="2:31" s="1" customFormat="1" ht="96.3" customHeight="1" outlineLevel="6">
      <c r="B3668" s="59">
        <v>2870</v>
      </c>
      <c r="C3668" s="35" t="s">
        <v>12868</v>
      </c>
      <c r="D3668" s="73" t="s">
        <v>12869</v>
      </c>
      <c r="E3668" s="73"/>
      <c r="F3668" s="73"/>
      <c r="G3668" s="73"/>
      <c r="H3668" s="36" t="s">
        <v>12870</v>
      </c>
      <c r="I3668" s="56" t="s">
        <v>36</v>
      </c>
      <c r="J3668" s="36"/>
      <c r="K3668" s="34">
        <v>12</v>
      </c>
      <c r="L3668" s="41">
        <v>19.84</v>
      </c>
      <c r="M3668" s="11"/>
      <c r="N3668" s="36">
        <f t="shared" si="177"/>
        <v>0</v>
      </c>
      <c r="O3668" s="42">
        <f t="shared" si="178"/>
        <v>0</v>
      </c>
      <c r="P3668" s="55">
        <f t="shared" si="179"/>
        <v>0</v>
      </c>
      <c r="Q3668" s="50" t="s">
        <v>37</v>
      </c>
      <c r="R3668" s="36" t="s">
        <v>12871</v>
      </c>
      <c r="S3668" s="36"/>
      <c r="T3668" s="35" t="str">
        <f>HYPERLINK("https://miland.ru/api/getInfo/image/678931b4-58a3-11f0-a27f-00155d82e908")</f>
        <v>https://miland.ru/api/getInfo/image/678931b4-58a3-11f0-a27f-00155d82e908</v>
      </c>
      <c r="U3668" s="35"/>
      <c r="V3668" s="35"/>
      <c r="W3668" s="35" t="s">
        <v>378</v>
      </c>
      <c r="X3668" s="35"/>
      <c r="Y3668" s="35" t="s">
        <v>41</v>
      </c>
      <c r="Z3668" s="35"/>
      <c r="AA3668" s="35" t="str">
        <f>HYPERLINK("https://miland.ru/api/getInfo/item/678931b4-58a3-11f0-a27f-00155d82e908")</f>
        <v>https://miland.ru/api/getInfo/item/678931b4-58a3-11f0-a27f-00155d82e908</v>
      </c>
      <c r="AB3668" s="35" t="s">
        <v>42</v>
      </c>
      <c r="AC3668" s="35"/>
      <c r="AD3668" s="35"/>
      <c r="AE3668" s="52" t="s">
        <v>1251</v>
      </c>
    </row>
    <row r="3669" spans="2:31" s="1" customFormat="1" ht="96.3" customHeight="1" outlineLevel="6">
      <c r="B3669" s="59">
        <v>2871</v>
      </c>
      <c r="C3669" s="35" t="s">
        <v>12872</v>
      </c>
      <c r="D3669" s="73" t="s">
        <v>12873</v>
      </c>
      <c r="E3669" s="73"/>
      <c r="F3669" s="73"/>
      <c r="G3669" s="73"/>
      <c r="H3669" s="36" t="s">
        <v>12874</v>
      </c>
      <c r="I3669" s="56" t="s">
        <v>36</v>
      </c>
      <c r="J3669" s="36"/>
      <c r="K3669" s="34">
        <v>12</v>
      </c>
      <c r="L3669" s="41">
        <v>19.84</v>
      </c>
      <c r="M3669" s="11"/>
      <c r="N3669" s="36">
        <f t="shared" si="177"/>
        <v>0</v>
      </c>
      <c r="O3669" s="42">
        <f t="shared" si="178"/>
        <v>0</v>
      </c>
      <c r="P3669" s="55">
        <f t="shared" si="179"/>
        <v>0</v>
      </c>
      <c r="Q3669" s="50" t="s">
        <v>37</v>
      </c>
      <c r="R3669" s="36" t="s">
        <v>12875</v>
      </c>
      <c r="S3669" s="36"/>
      <c r="T3669" s="35" t="str">
        <f>HYPERLINK("https://miland.ru/api/getInfo/image/c4278fda-58a3-11f0-a27f-00155d82e908")</f>
        <v>https://miland.ru/api/getInfo/image/c4278fda-58a3-11f0-a27f-00155d82e908</v>
      </c>
      <c r="U3669" s="35"/>
      <c r="V3669" s="35"/>
      <c r="W3669" s="35" t="s">
        <v>378</v>
      </c>
      <c r="X3669" s="35"/>
      <c r="Y3669" s="35" t="s">
        <v>41</v>
      </c>
      <c r="Z3669" s="35"/>
      <c r="AA3669" s="35" t="str">
        <f>HYPERLINK("https://miland.ru/api/getInfo/item/c4278fda-58a3-11f0-a27f-00155d82e908")</f>
        <v>https://miland.ru/api/getInfo/item/c4278fda-58a3-11f0-a27f-00155d82e908</v>
      </c>
      <c r="AB3669" s="35" t="s">
        <v>42</v>
      </c>
      <c r="AC3669" s="35"/>
      <c r="AD3669" s="35"/>
      <c r="AE3669" s="52" t="s">
        <v>1251</v>
      </c>
    </row>
    <row r="3670" spans="2:31" s="1" customFormat="1" ht="96.3" customHeight="1" outlineLevel="6">
      <c r="B3670" s="59">
        <v>2872</v>
      </c>
      <c r="C3670" s="35" t="s">
        <v>12876</v>
      </c>
      <c r="D3670" s="73" t="s">
        <v>12877</v>
      </c>
      <c r="E3670" s="73"/>
      <c r="F3670" s="73"/>
      <c r="G3670" s="73"/>
      <c r="H3670" s="36" t="s">
        <v>12878</v>
      </c>
      <c r="I3670" s="40">
        <v>336</v>
      </c>
      <c r="J3670" s="36"/>
      <c r="K3670" s="34">
        <v>12</v>
      </c>
      <c r="L3670" s="41">
        <v>20.146666666666665</v>
      </c>
      <c r="M3670" s="11"/>
      <c r="N3670" s="36">
        <f t="shared" si="177"/>
        <v>0</v>
      </c>
      <c r="O3670" s="42">
        <f t="shared" si="178"/>
        <v>0</v>
      </c>
      <c r="P3670" s="55">
        <f t="shared" si="179"/>
        <v>0</v>
      </c>
      <c r="Q3670" s="50" t="s">
        <v>37</v>
      </c>
      <c r="R3670" s="36" t="s">
        <v>12879</v>
      </c>
      <c r="S3670" s="36"/>
      <c r="T3670" s="35" t="str">
        <f>HYPERLINK("https://miland.ru/api/getInfo/image/50a026c3-58a4-11f0-a27f-00155d82e908")</f>
        <v>https://miland.ru/api/getInfo/image/50a026c3-58a4-11f0-a27f-00155d82e908</v>
      </c>
      <c r="U3670" s="35"/>
      <c r="V3670" s="35"/>
      <c r="W3670" s="35" t="s">
        <v>378</v>
      </c>
      <c r="X3670" s="35"/>
      <c r="Y3670" s="35" t="s">
        <v>41</v>
      </c>
      <c r="Z3670" s="35"/>
      <c r="AA3670" s="35" t="str">
        <f>HYPERLINK("https://miland.ru/api/getInfo/item/50a026c3-58a4-11f0-a27f-00155d82e908")</f>
        <v>https://miland.ru/api/getInfo/item/50a026c3-58a4-11f0-a27f-00155d82e908</v>
      </c>
      <c r="AB3670" s="35" t="s">
        <v>42</v>
      </c>
      <c r="AC3670" s="35"/>
      <c r="AD3670" s="35"/>
      <c r="AE3670" s="52" t="s">
        <v>1251</v>
      </c>
    </row>
    <row r="3671" spans="2:31" s="1" customFormat="1" ht="96.3" customHeight="1" outlineLevel="6">
      <c r="B3671" s="59">
        <v>2873</v>
      </c>
      <c r="C3671" s="35" t="s">
        <v>12880</v>
      </c>
      <c r="D3671" s="73" t="s">
        <v>12881</v>
      </c>
      <c r="E3671" s="73"/>
      <c r="F3671" s="73"/>
      <c r="G3671" s="73"/>
      <c r="H3671" s="36" t="s">
        <v>12882</v>
      </c>
      <c r="I3671" s="40">
        <v>36</v>
      </c>
      <c r="J3671" s="36"/>
      <c r="K3671" s="34">
        <v>12</v>
      </c>
      <c r="L3671" s="41">
        <v>20.386666666666667</v>
      </c>
      <c r="M3671" s="11"/>
      <c r="N3671" s="36">
        <f t="shared" si="177"/>
        <v>0</v>
      </c>
      <c r="O3671" s="42">
        <f t="shared" si="178"/>
        <v>0</v>
      </c>
      <c r="P3671" s="55">
        <f t="shared" si="179"/>
        <v>0</v>
      </c>
      <c r="Q3671" s="50"/>
      <c r="R3671" s="36" t="s">
        <v>12883</v>
      </c>
      <c r="S3671" s="36"/>
      <c r="T3671" s="35"/>
      <c r="U3671" s="35"/>
      <c r="V3671" s="35"/>
      <c r="W3671" s="35" t="s">
        <v>378</v>
      </c>
      <c r="X3671" s="35"/>
      <c r="Y3671" s="35" t="s">
        <v>41</v>
      </c>
      <c r="Z3671" s="35"/>
      <c r="AA3671" s="35"/>
      <c r="AB3671" s="35" t="s">
        <v>42</v>
      </c>
      <c r="AC3671" s="35"/>
      <c r="AD3671" s="35"/>
      <c r="AE3671" s="52" t="s">
        <v>1251</v>
      </c>
    </row>
    <row r="3672" spans="2:31" s="1" customFormat="1" ht="96.3" customHeight="1" outlineLevel="6">
      <c r="B3672" s="59">
        <v>2874</v>
      </c>
      <c r="C3672" s="35" t="s">
        <v>12884</v>
      </c>
      <c r="D3672" s="73" t="s">
        <v>12885</v>
      </c>
      <c r="E3672" s="73"/>
      <c r="F3672" s="73"/>
      <c r="G3672" s="73"/>
      <c r="H3672" s="36" t="s">
        <v>12886</v>
      </c>
      <c r="I3672" s="40">
        <v>192</v>
      </c>
      <c r="J3672" s="36"/>
      <c r="K3672" s="34">
        <v>12</v>
      </c>
      <c r="L3672" s="41">
        <v>20.146666666666665</v>
      </c>
      <c r="M3672" s="11"/>
      <c r="N3672" s="36">
        <f t="shared" si="177"/>
        <v>0</v>
      </c>
      <c r="O3672" s="42">
        <f t="shared" si="178"/>
        <v>0</v>
      </c>
      <c r="P3672" s="55">
        <f t="shared" si="179"/>
        <v>0</v>
      </c>
      <c r="Q3672" s="50" t="s">
        <v>37</v>
      </c>
      <c r="R3672" s="36" t="s">
        <v>12887</v>
      </c>
      <c r="S3672" s="36"/>
      <c r="T3672" s="35" t="str">
        <f>HYPERLINK("https://miland.ru/api/getInfo/image/f205dbc1-58a4-11f0-a27f-00155d82e908")</f>
        <v>https://miland.ru/api/getInfo/image/f205dbc1-58a4-11f0-a27f-00155d82e908</v>
      </c>
      <c r="U3672" s="35"/>
      <c r="V3672" s="35"/>
      <c r="W3672" s="35" t="s">
        <v>378</v>
      </c>
      <c r="X3672" s="35"/>
      <c r="Y3672" s="35" t="s">
        <v>41</v>
      </c>
      <c r="Z3672" s="35"/>
      <c r="AA3672" s="35" t="str">
        <f>HYPERLINK("https://miland.ru/api/getInfo/item/f205dbc1-58a4-11f0-a27f-00155d82e908")</f>
        <v>https://miland.ru/api/getInfo/item/f205dbc1-58a4-11f0-a27f-00155d82e908</v>
      </c>
      <c r="AB3672" s="35" t="s">
        <v>42</v>
      </c>
      <c r="AC3672" s="35"/>
      <c r="AD3672" s="35"/>
      <c r="AE3672" s="52" t="s">
        <v>1251</v>
      </c>
    </row>
    <row r="3673" spans="2:31" s="1" customFormat="1" ht="96.3" customHeight="1" outlineLevel="6">
      <c r="B3673" s="59">
        <v>2875</v>
      </c>
      <c r="C3673" s="35" t="s">
        <v>12888</v>
      </c>
      <c r="D3673" s="73" t="s">
        <v>12889</v>
      </c>
      <c r="E3673" s="73"/>
      <c r="F3673" s="73"/>
      <c r="G3673" s="73"/>
      <c r="H3673" s="36" t="s">
        <v>12890</v>
      </c>
      <c r="I3673" s="40">
        <v>348</v>
      </c>
      <c r="J3673" s="36"/>
      <c r="K3673" s="34">
        <v>12</v>
      </c>
      <c r="L3673" s="41">
        <v>20.146666666666665</v>
      </c>
      <c r="M3673" s="11"/>
      <c r="N3673" s="36">
        <f t="shared" si="177"/>
        <v>0</v>
      </c>
      <c r="O3673" s="42">
        <f t="shared" si="178"/>
        <v>0</v>
      </c>
      <c r="P3673" s="55">
        <f t="shared" si="179"/>
        <v>0</v>
      </c>
      <c r="Q3673" s="50" t="s">
        <v>37</v>
      </c>
      <c r="R3673" s="36" t="s">
        <v>12891</v>
      </c>
      <c r="S3673" s="36"/>
      <c r="T3673" s="35" t="str">
        <f>HYPERLINK("https://miland.ru/api/getInfo/image/7e1d1fa5-58a4-11f0-a27f-00155d82e908")</f>
        <v>https://miland.ru/api/getInfo/image/7e1d1fa5-58a4-11f0-a27f-00155d82e908</v>
      </c>
      <c r="U3673" s="35"/>
      <c r="V3673" s="35"/>
      <c r="W3673" s="35" t="s">
        <v>378</v>
      </c>
      <c r="X3673" s="35"/>
      <c r="Y3673" s="35" t="s">
        <v>41</v>
      </c>
      <c r="Z3673" s="35"/>
      <c r="AA3673" s="35" t="str">
        <f>HYPERLINK("https://miland.ru/api/getInfo/item/7e1d1fa5-58a4-11f0-a27f-00155d82e908")</f>
        <v>https://miland.ru/api/getInfo/item/7e1d1fa5-58a4-11f0-a27f-00155d82e908</v>
      </c>
      <c r="AB3673" s="35" t="s">
        <v>42</v>
      </c>
      <c r="AC3673" s="35"/>
      <c r="AD3673" s="35"/>
      <c r="AE3673" s="52" t="s">
        <v>1251</v>
      </c>
    </row>
    <row r="3674" spans="2:31" s="1" customFormat="1" ht="96.3" customHeight="1" outlineLevel="6">
      <c r="B3674" s="59">
        <v>2876</v>
      </c>
      <c r="C3674" s="35" t="s">
        <v>12892</v>
      </c>
      <c r="D3674" s="73" t="s">
        <v>12893</v>
      </c>
      <c r="E3674" s="73"/>
      <c r="F3674" s="73"/>
      <c r="G3674" s="73"/>
      <c r="H3674" s="36" t="s">
        <v>12894</v>
      </c>
      <c r="I3674" s="56" t="s">
        <v>36</v>
      </c>
      <c r="J3674" s="36"/>
      <c r="K3674" s="34">
        <v>24</v>
      </c>
      <c r="L3674" s="41">
        <v>25.346666666666668</v>
      </c>
      <c r="M3674" s="11"/>
      <c r="N3674" s="36">
        <f t="shared" si="177"/>
        <v>0</v>
      </c>
      <c r="O3674" s="42">
        <f t="shared" ref="O3674:O3679" si="180">0.015*M3674</f>
        <v>0</v>
      </c>
      <c r="P3674" s="43">
        <f>0.00005*M3674</f>
        <v>0</v>
      </c>
      <c r="Q3674" s="50" t="s">
        <v>37</v>
      </c>
      <c r="R3674" s="36" t="s">
        <v>12895</v>
      </c>
      <c r="S3674" s="36"/>
      <c r="T3674" s="35" t="str">
        <f>HYPERLINK("https://miland.ru/api/getInfo/image/39d6c248-57f4-11f0-a27f-00155d82e908")</f>
        <v>https://miland.ru/api/getInfo/image/39d6c248-57f4-11f0-a27f-00155d82e908</v>
      </c>
      <c r="U3674" s="35"/>
      <c r="V3674" s="35" t="s">
        <v>6525</v>
      </c>
      <c r="W3674" s="35" t="s">
        <v>378</v>
      </c>
      <c r="X3674" s="35"/>
      <c r="Y3674" s="35" t="s">
        <v>41</v>
      </c>
      <c r="Z3674" s="35"/>
      <c r="AA3674" s="35" t="str">
        <f>HYPERLINK("https://miland.ru/api/getInfo/item/39d6c248-57f4-11f0-a27f-00155d82e908")</f>
        <v>https://miland.ru/api/getInfo/item/39d6c248-57f4-11f0-a27f-00155d82e908</v>
      </c>
      <c r="AB3674" s="35" t="s">
        <v>42</v>
      </c>
      <c r="AC3674" s="35"/>
      <c r="AD3674" s="35"/>
      <c r="AE3674" s="52" t="s">
        <v>1251</v>
      </c>
    </row>
    <row r="3675" spans="2:31" s="1" customFormat="1" ht="96.3" customHeight="1" outlineLevel="6">
      <c r="B3675" s="59">
        <v>2877</v>
      </c>
      <c r="C3675" s="35" t="s">
        <v>12896</v>
      </c>
      <c r="D3675" s="73" t="s">
        <v>12897</v>
      </c>
      <c r="E3675" s="73"/>
      <c r="F3675" s="73"/>
      <c r="G3675" s="73"/>
      <c r="H3675" s="36" t="s">
        <v>12898</v>
      </c>
      <c r="I3675" s="56" t="s">
        <v>36</v>
      </c>
      <c r="J3675" s="36"/>
      <c r="K3675" s="34">
        <v>24</v>
      </c>
      <c r="L3675" s="41">
        <v>25.346666666666668</v>
      </c>
      <c r="M3675" s="11"/>
      <c r="N3675" s="36">
        <f t="shared" si="177"/>
        <v>0</v>
      </c>
      <c r="O3675" s="42">
        <f t="shared" si="180"/>
        <v>0</v>
      </c>
      <c r="P3675" s="43">
        <f>0.00005*M3675</f>
        <v>0</v>
      </c>
      <c r="Q3675" s="50" t="s">
        <v>37</v>
      </c>
      <c r="R3675" s="36" t="s">
        <v>12899</v>
      </c>
      <c r="S3675" s="36"/>
      <c r="T3675" s="35" t="str">
        <f>HYPERLINK("https://miland.ru/api/getInfo/image/1abd17da-57fc-11f0-a27f-00155d82e908")</f>
        <v>https://miland.ru/api/getInfo/image/1abd17da-57fc-11f0-a27f-00155d82e908</v>
      </c>
      <c r="U3675" s="35"/>
      <c r="V3675" s="35" t="s">
        <v>6525</v>
      </c>
      <c r="W3675" s="35" t="s">
        <v>378</v>
      </c>
      <c r="X3675" s="35"/>
      <c r="Y3675" s="35" t="s">
        <v>41</v>
      </c>
      <c r="Z3675" s="35"/>
      <c r="AA3675" s="35" t="str">
        <f>HYPERLINK("https://miland.ru/api/getInfo/item/1abd17da-57fc-11f0-a27f-00155d82e908")</f>
        <v>https://miland.ru/api/getInfo/item/1abd17da-57fc-11f0-a27f-00155d82e908</v>
      </c>
      <c r="AB3675" s="35" t="s">
        <v>42</v>
      </c>
      <c r="AC3675" s="35"/>
      <c r="AD3675" s="35"/>
      <c r="AE3675" s="52" t="s">
        <v>1251</v>
      </c>
    </row>
    <row r="3676" spans="2:31" s="1" customFormat="1" ht="96.3" customHeight="1" outlineLevel="6">
      <c r="B3676" s="59">
        <v>2878</v>
      </c>
      <c r="C3676" s="35" t="s">
        <v>12900</v>
      </c>
      <c r="D3676" s="73" t="s">
        <v>12901</v>
      </c>
      <c r="E3676" s="73"/>
      <c r="F3676" s="73"/>
      <c r="G3676" s="73"/>
      <c r="H3676" s="36" t="s">
        <v>12902</v>
      </c>
      <c r="I3676" s="40">
        <v>408</v>
      </c>
      <c r="J3676" s="36"/>
      <c r="K3676" s="34">
        <v>24</v>
      </c>
      <c r="L3676" s="41">
        <v>25.346666666666668</v>
      </c>
      <c r="M3676" s="11"/>
      <c r="N3676" s="36">
        <f t="shared" si="177"/>
        <v>0</v>
      </c>
      <c r="O3676" s="42">
        <f t="shared" si="180"/>
        <v>0</v>
      </c>
      <c r="P3676" s="43">
        <f>0.00003*M3676</f>
        <v>0</v>
      </c>
      <c r="Q3676" s="50" t="s">
        <v>37</v>
      </c>
      <c r="R3676" s="36" t="s">
        <v>12903</v>
      </c>
      <c r="S3676" s="36"/>
      <c r="T3676" s="35" t="str">
        <f>HYPERLINK("https://miland.ru/api/getInfo/image/8fc8832e-57fd-11f0-a27f-00155d82e908")</f>
        <v>https://miland.ru/api/getInfo/image/8fc8832e-57fd-11f0-a27f-00155d82e908</v>
      </c>
      <c r="U3676" s="35"/>
      <c r="V3676" s="35" t="s">
        <v>6525</v>
      </c>
      <c r="W3676" s="35" t="s">
        <v>378</v>
      </c>
      <c r="X3676" s="35"/>
      <c r="Y3676" s="35" t="s">
        <v>41</v>
      </c>
      <c r="Z3676" s="35"/>
      <c r="AA3676" s="35" t="str">
        <f>HYPERLINK("https://miland.ru/api/getInfo/item/8fc8832e-57fd-11f0-a27f-00155d82e908")</f>
        <v>https://miland.ru/api/getInfo/item/8fc8832e-57fd-11f0-a27f-00155d82e908</v>
      </c>
      <c r="AB3676" s="35" t="s">
        <v>42</v>
      </c>
      <c r="AC3676" s="35"/>
      <c r="AD3676" s="35"/>
      <c r="AE3676" s="52" t="s">
        <v>1251</v>
      </c>
    </row>
    <row r="3677" spans="2:31" s="1" customFormat="1" ht="96.3" customHeight="1" outlineLevel="6">
      <c r="B3677" s="59">
        <v>2879</v>
      </c>
      <c r="C3677" s="35" t="s">
        <v>12904</v>
      </c>
      <c r="D3677" s="73" t="s">
        <v>12905</v>
      </c>
      <c r="E3677" s="73"/>
      <c r="F3677" s="73"/>
      <c r="G3677" s="73"/>
      <c r="H3677" s="36" t="s">
        <v>12906</v>
      </c>
      <c r="I3677" s="56" t="s">
        <v>36</v>
      </c>
      <c r="J3677" s="36"/>
      <c r="K3677" s="34">
        <v>24</v>
      </c>
      <c r="L3677" s="41">
        <v>25.346666666666668</v>
      </c>
      <c r="M3677" s="11"/>
      <c r="N3677" s="36">
        <f t="shared" si="177"/>
        <v>0</v>
      </c>
      <c r="O3677" s="42">
        <f t="shared" si="180"/>
        <v>0</v>
      </c>
      <c r="P3677" s="43">
        <f>0.00005*M3677</f>
        <v>0</v>
      </c>
      <c r="Q3677" s="50" t="s">
        <v>37</v>
      </c>
      <c r="R3677" s="36" t="s">
        <v>12907</v>
      </c>
      <c r="S3677" s="36"/>
      <c r="T3677" s="35" t="str">
        <f>HYPERLINK("https://miland.ru/api/getInfo/image/72964ca1-57fc-11f0-a27f-00155d82e908")</f>
        <v>https://miland.ru/api/getInfo/image/72964ca1-57fc-11f0-a27f-00155d82e908</v>
      </c>
      <c r="U3677" s="35"/>
      <c r="V3677" s="35" t="s">
        <v>6525</v>
      </c>
      <c r="W3677" s="35" t="s">
        <v>378</v>
      </c>
      <c r="X3677" s="35"/>
      <c r="Y3677" s="35" t="s">
        <v>41</v>
      </c>
      <c r="Z3677" s="35"/>
      <c r="AA3677" s="35" t="str">
        <f>HYPERLINK("https://miland.ru/api/getInfo/item/72964ca1-57fc-11f0-a27f-00155d82e908")</f>
        <v>https://miland.ru/api/getInfo/item/72964ca1-57fc-11f0-a27f-00155d82e908</v>
      </c>
      <c r="AB3677" s="35" t="s">
        <v>42</v>
      </c>
      <c r="AC3677" s="35"/>
      <c r="AD3677" s="35"/>
      <c r="AE3677" s="52" t="s">
        <v>1251</v>
      </c>
    </row>
    <row r="3678" spans="2:31" s="1" customFormat="1" ht="96.3" customHeight="1" outlineLevel="6">
      <c r="B3678" s="59">
        <v>2880</v>
      </c>
      <c r="C3678" s="35" t="s">
        <v>12908</v>
      </c>
      <c r="D3678" s="73" t="s">
        <v>12909</v>
      </c>
      <c r="E3678" s="73"/>
      <c r="F3678" s="73"/>
      <c r="G3678" s="73"/>
      <c r="H3678" s="36" t="s">
        <v>12910</v>
      </c>
      <c r="I3678" s="40">
        <v>360</v>
      </c>
      <c r="J3678" s="36"/>
      <c r="K3678" s="34">
        <v>24</v>
      </c>
      <c r="L3678" s="41">
        <v>25.346666666666668</v>
      </c>
      <c r="M3678" s="11"/>
      <c r="N3678" s="36">
        <f t="shared" si="177"/>
        <v>0</v>
      </c>
      <c r="O3678" s="42">
        <f t="shared" si="180"/>
        <v>0</v>
      </c>
      <c r="P3678" s="43">
        <f>0.00005*M3678</f>
        <v>0</v>
      </c>
      <c r="Q3678" s="50" t="s">
        <v>37</v>
      </c>
      <c r="R3678" s="36" t="s">
        <v>12911</v>
      </c>
      <c r="S3678" s="36"/>
      <c r="T3678" s="35" t="str">
        <f>HYPERLINK("https://miland.ru/api/getInfo/image/d7d14069-57f3-11f0-a27f-00155d82e908")</f>
        <v>https://miland.ru/api/getInfo/image/d7d14069-57f3-11f0-a27f-00155d82e908</v>
      </c>
      <c r="U3678" s="35"/>
      <c r="V3678" s="35" t="s">
        <v>6525</v>
      </c>
      <c r="W3678" s="35" t="s">
        <v>378</v>
      </c>
      <c r="X3678" s="35"/>
      <c r="Y3678" s="35" t="s">
        <v>41</v>
      </c>
      <c r="Z3678" s="35"/>
      <c r="AA3678" s="35" t="str">
        <f>HYPERLINK("https://miland.ru/api/getInfo/item/d7d14069-57f3-11f0-a27f-00155d82e908")</f>
        <v>https://miland.ru/api/getInfo/item/d7d14069-57f3-11f0-a27f-00155d82e908</v>
      </c>
      <c r="AB3678" s="35" t="s">
        <v>42</v>
      </c>
      <c r="AC3678" s="35"/>
      <c r="AD3678" s="35"/>
      <c r="AE3678" s="52" t="s">
        <v>1251</v>
      </c>
    </row>
    <row r="3679" spans="2:31" s="1" customFormat="1" ht="96.3" customHeight="1" outlineLevel="6">
      <c r="B3679" s="59">
        <v>2881</v>
      </c>
      <c r="C3679" s="35" t="s">
        <v>12912</v>
      </c>
      <c r="D3679" s="73" t="s">
        <v>12913</v>
      </c>
      <c r="E3679" s="73"/>
      <c r="F3679" s="73"/>
      <c r="G3679" s="73"/>
      <c r="H3679" s="36" t="s">
        <v>12914</v>
      </c>
      <c r="I3679" s="56" t="s">
        <v>36</v>
      </c>
      <c r="J3679" s="36"/>
      <c r="K3679" s="34">
        <v>24</v>
      </c>
      <c r="L3679" s="41">
        <v>25.346666666666668</v>
      </c>
      <c r="M3679" s="11"/>
      <c r="N3679" s="36">
        <f t="shared" si="177"/>
        <v>0</v>
      </c>
      <c r="O3679" s="42">
        <f t="shared" si="180"/>
        <v>0</v>
      </c>
      <c r="P3679" s="43">
        <f>0.00005*M3679</f>
        <v>0</v>
      </c>
      <c r="Q3679" s="50" t="s">
        <v>37</v>
      </c>
      <c r="R3679" s="36" t="s">
        <v>12915</v>
      </c>
      <c r="S3679" s="36"/>
      <c r="T3679" s="35" t="str">
        <f>HYPERLINK("https://miland.ru/api/getInfo/image/4d51efbf-57fd-11f0-a27f-00155d82e908")</f>
        <v>https://miland.ru/api/getInfo/image/4d51efbf-57fd-11f0-a27f-00155d82e908</v>
      </c>
      <c r="U3679" s="35"/>
      <c r="V3679" s="35" t="s">
        <v>6525</v>
      </c>
      <c r="W3679" s="35" t="s">
        <v>378</v>
      </c>
      <c r="X3679" s="35"/>
      <c r="Y3679" s="35" t="s">
        <v>41</v>
      </c>
      <c r="Z3679" s="35"/>
      <c r="AA3679" s="35" t="str">
        <f>HYPERLINK("https://miland.ru/api/getInfo/item/4d51efbf-57fd-11f0-a27f-00155d82e908")</f>
        <v>https://miland.ru/api/getInfo/item/4d51efbf-57fd-11f0-a27f-00155d82e908</v>
      </c>
      <c r="AB3679" s="35" t="s">
        <v>42</v>
      </c>
      <c r="AC3679" s="35"/>
      <c r="AD3679" s="35"/>
      <c r="AE3679" s="52" t="s">
        <v>1251</v>
      </c>
    </row>
    <row r="3680" spans="2:31" s="1" customFormat="1" ht="96.3" customHeight="1" outlineLevel="6">
      <c r="B3680" s="59">
        <v>2882</v>
      </c>
      <c r="C3680" s="35" t="s">
        <v>12916</v>
      </c>
      <c r="D3680" s="73" t="s">
        <v>12917</v>
      </c>
      <c r="E3680" s="73"/>
      <c r="F3680" s="73"/>
      <c r="G3680" s="73"/>
      <c r="H3680" s="36" t="s">
        <v>12918</v>
      </c>
      <c r="I3680" s="56" t="s">
        <v>36</v>
      </c>
      <c r="J3680" s="36"/>
      <c r="K3680" s="34">
        <v>24</v>
      </c>
      <c r="L3680" s="41">
        <v>25.346666666666668</v>
      </c>
      <c r="M3680" s="11"/>
      <c r="N3680" s="36">
        <f t="shared" si="177"/>
        <v>0</v>
      </c>
      <c r="O3680" s="42">
        <f>0.017*M3680</f>
        <v>0</v>
      </c>
      <c r="P3680" s="43">
        <f>0.00005*M3680</f>
        <v>0</v>
      </c>
      <c r="Q3680" s="50"/>
      <c r="R3680" s="36" t="s">
        <v>12919</v>
      </c>
      <c r="S3680" s="36" t="s">
        <v>435</v>
      </c>
      <c r="T3680" s="35" t="str">
        <f>HYPERLINK("https://miland.ru/api/getInfo/image/b358e91f-030d-11ef-a25d-00155d82e908")</f>
        <v>https://miland.ru/api/getInfo/image/b358e91f-030d-11ef-a25d-00155d82e908</v>
      </c>
      <c r="U3680" s="35"/>
      <c r="V3680" s="35" t="s">
        <v>6525</v>
      </c>
      <c r="W3680" s="35" t="s">
        <v>378</v>
      </c>
      <c r="X3680" s="35"/>
      <c r="Y3680" s="35" t="s">
        <v>41</v>
      </c>
      <c r="Z3680" s="35"/>
      <c r="AA3680" s="35" t="str">
        <f>HYPERLINK("https://miland.ru/api/getInfo/item/b358e91f-030d-11ef-a25d-00155d82e908")</f>
        <v>https://miland.ru/api/getInfo/item/b358e91f-030d-11ef-a25d-00155d82e908</v>
      </c>
      <c r="AB3680" s="35" t="s">
        <v>42</v>
      </c>
      <c r="AC3680" s="35" t="s">
        <v>12855</v>
      </c>
      <c r="AD3680" s="35"/>
      <c r="AE3680" s="52" t="s">
        <v>1251</v>
      </c>
    </row>
    <row r="3681" spans="2:31" s="1" customFormat="1" ht="96.3" customHeight="1" outlineLevel="6">
      <c r="B3681" s="59">
        <v>2883</v>
      </c>
      <c r="C3681" s="35" t="s">
        <v>12920</v>
      </c>
      <c r="D3681" s="73" t="s">
        <v>12921</v>
      </c>
      <c r="E3681" s="73"/>
      <c r="F3681" s="73"/>
      <c r="G3681" s="73"/>
      <c r="H3681" s="36" t="s">
        <v>12922</v>
      </c>
      <c r="I3681" s="56" t="s">
        <v>36</v>
      </c>
      <c r="J3681" s="36"/>
      <c r="K3681" s="34">
        <v>24</v>
      </c>
      <c r="L3681" s="41">
        <v>25.346666666666668</v>
      </c>
      <c r="M3681" s="11"/>
      <c r="N3681" s="36">
        <f t="shared" si="177"/>
        <v>0</v>
      </c>
      <c r="O3681" s="42">
        <f>0.017*M3681</f>
        <v>0</v>
      </c>
      <c r="P3681" s="43">
        <f>0.00003*M3681</f>
        <v>0</v>
      </c>
      <c r="Q3681" s="50"/>
      <c r="R3681" s="36" t="s">
        <v>12923</v>
      </c>
      <c r="S3681" s="36" t="s">
        <v>435</v>
      </c>
      <c r="T3681" s="35" t="str">
        <f>HYPERLINK("https://miland.ru/api/getInfo/image/eb4055e2-030c-11ef-a25d-00155d82e908")</f>
        <v>https://miland.ru/api/getInfo/image/eb4055e2-030c-11ef-a25d-00155d82e908</v>
      </c>
      <c r="U3681" s="35"/>
      <c r="V3681" s="35" t="s">
        <v>6525</v>
      </c>
      <c r="W3681" s="35" t="s">
        <v>378</v>
      </c>
      <c r="X3681" s="35"/>
      <c r="Y3681" s="35" t="s">
        <v>41</v>
      </c>
      <c r="Z3681" s="35"/>
      <c r="AA3681" s="35" t="str">
        <f>HYPERLINK("https://miland.ru/api/getInfo/item/eb4055e2-030c-11ef-a25d-00155d82e908")</f>
        <v>https://miland.ru/api/getInfo/item/eb4055e2-030c-11ef-a25d-00155d82e908</v>
      </c>
      <c r="AB3681" s="35" t="s">
        <v>42</v>
      </c>
      <c r="AC3681" s="35" t="s">
        <v>12855</v>
      </c>
      <c r="AD3681" s="35"/>
      <c r="AE3681" s="52" t="s">
        <v>1251</v>
      </c>
    </row>
    <row r="3682" spans="2:31" s="1" customFormat="1" ht="96.3" customHeight="1" outlineLevel="6">
      <c r="B3682" s="59">
        <v>2884</v>
      </c>
      <c r="C3682" s="35" t="s">
        <v>12924</v>
      </c>
      <c r="D3682" s="73" t="s">
        <v>12925</v>
      </c>
      <c r="E3682" s="73"/>
      <c r="F3682" s="73"/>
      <c r="G3682" s="73"/>
      <c r="H3682" s="36" t="s">
        <v>12926</v>
      </c>
      <c r="I3682" s="56" t="s">
        <v>36</v>
      </c>
      <c r="J3682" s="36"/>
      <c r="K3682" s="34">
        <v>24</v>
      </c>
      <c r="L3682" s="41">
        <v>25.346666666666668</v>
      </c>
      <c r="M3682" s="11"/>
      <c r="N3682" s="36">
        <f t="shared" si="177"/>
        <v>0</v>
      </c>
      <c r="O3682" s="42">
        <f>0.017*M3682</f>
        <v>0</v>
      </c>
      <c r="P3682" s="43">
        <f>0.00003*M3682</f>
        <v>0</v>
      </c>
      <c r="Q3682" s="50"/>
      <c r="R3682" s="36" t="s">
        <v>12927</v>
      </c>
      <c r="S3682" s="36" t="s">
        <v>435</v>
      </c>
      <c r="T3682" s="35" t="str">
        <f>HYPERLINK("https://miland.ru/api/getInfo/image/6e644b46-030d-11ef-a25d-00155d82e908")</f>
        <v>https://miland.ru/api/getInfo/image/6e644b46-030d-11ef-a25d-00155d82e908</v>
      </c>
      <c r="U3682" s="35"/>
      <c r="V3682" s="35" t="s">
        <v>6525</v>
      </c>
      <c r="W3682" s="35" t="s">
        <v>378</v>
      </c>
      <c r="X3682" s="35"/>
      <c r="Y3682" s="35" t="s">
        <v>41</v>
      </c>
      <c r="Z3682" s="35"/>
      <c r="AA3682" s="35" t="str">
        <f>HYPERLINK("https://miland.ru/api/getInfo/item/6e644b46-030d-11ef-a25d-00155d82e908")</f>
        <v>https://miland.ru/api/getInfo/item/6e644b46-030d-11ef-a25d-00155d82e908</v>
      </c>
      <c r="AB3682" s="35" t="s">
        <v>42</v>
      </c>
      <c r="AC3682" s="35" t="s">
        <v>12855</v>
      </c>
      <c r="AD3682" s="35"/>
      <c r="AE3682" s="52" t="s">
        <v>1251</v>
      </c>
    </row>
    <row r="3683" spans="2:31" s="1" customFormat="1" ht="96.3" customHeight="1" outlineLevel="6">
      <c r="B3683" s="59">
        <v>2885</v>
      </c>
      <c r="C3683" s="35" t="s">
        <v>12928</v>
      </c>
      <c r="D3683" s="73" t="s">
        <v>12929</v>
      </c>
      <c r="E3683" s="73"/>
      <c r="F3683" s="73"/>
      <c r="G3683" s="73"/>
      <c r="H3683" s="36" t="s">
        <v>12930</v>
      </c>
      <c r="I3683" s="56" t="s">
        <v>36</v>
      </c>
      <c r="J3683" s="36"/>
      <c r="K3683" s="34">
        <v>24</v>
      </c>
      <c r="L3683" s="41">
        <v>25.346666666666668</v>
      </c>
      <c r="M3683" s="11"/>
      <c r="N3683" s="36">
        <f t="shared" si="177"/>
        <v>0</v>
      </c>
      <c r="O3683" s="42">
        <f>0.017*M3683</f>
        <v>0</v>
      </c>
      <c r="P3683" s="43">
        <f>0.00003*M3683</f>
        <v>0</v>
      </c>
      <c r="Q3683" s="50"/>
      <c r="R3683" s="36" t="s">
        <v>12931</v>
      </c>
      <c r="S3683" s="36" t="s">
        <v>435</v>
      </c>
      <c r="T3683" s="35" t="str">
        <f>HYPERLINK("https://miland.ru/api/getInfo/image/9d5e329d-030d-11ef-a25d-00155d82e908")</f>
        <v>https://miland.ru/api/getInfo/image/9d5e329d-030d-11ef-a25d-00155d82e908</v>
      </c>
      <c r="U3683" s="35"/>
      <c r="V3683" s="35" t="s">
        <v>6525</v>
      </c>
      <c r="W3683" s="35" t="s">
        <v>378</v>
      </c>
      <c r="X3683" s="35"/>
      <c r="Y3683" s="35" t="s">
        <v>41</v>
      </c>
      <c r="Z3683" s="35"/>
      <c r="AA3683" s="35" t="str">
        <f>HYPERLINK("https://miland.ru/api/getInfo/item/9d5e329d-030d-11ef-a25d-00155d82e908")</f>
        <v>https://miland.ru/api/getInfo/item/9d5e329d-030d-11ef-a25d-00155d82e908</v>
      </c>
      <c r="AB3683" s="35" t="s">
        <v>42</v>
      </c>
      <c r="AC3683" s="35" t="s">
        <v>12855</v>
      </c>
      <c r="AD3683" s="35"/>
      <c r="AE3683" s="52" t="s">
        <v>1251</v>
      </c>
    </row>
    <row r="3684" spans="2:31" s="1" customFormat="1" ht="96.3" customHeight="1" outlineLevel="6">
      <c r="B3684" s="59">
        <v>2886</v>
      </c>
      <c r="C3684" s="35" t="s">
        <v>12932</v>
      </c>
      <c r="D3684" s="73" t="s">
        <v>12933</v>
      </c>
      <c r="E3684" s="73"/>
      <c r="F3684" s="73"/>
      <c r="G3684" s="73"/>
      <c r="H3684" s="36" t="s">
        <v>12934</v>
      </c>
      <c r="I3684" s="56" t="s">
        <v>36</v>
      </c>
      <c r="J3684" s="36"/>
      <c r="K3684" s="34">
        <v>24</v>
      </c>
      <c r="L3684" s="41">
        <v>25.346666666666668</v>
      </c>
      <c r="M3684" s="11"/>
      <c r="N3684" s="36">
        <f t="shared" si="177"/>
        <v>0</v>
      </c>
      <c r="O3684" s="42">
        <f>0.015*M3684</f>
        <v>0</v>
      </c>
      <c r="P3684" s="43">
        <f>0.00008*M3684</f>
        <v>0</v>
      </c>
      <c r="Q3684" s="50"/>
      <c r="R3684" s="36" t="s">
        <v>12935</v>
      </c>
      <c r="S3684" s="36"/>
      <c r="T3684" s="35" t="str">
        <f>HYPERLINK("https://miland.ru/api/getInfo/image/4392a2e0-edb9-11ef-a274-00155d82e908")</f>
        <v>https://miland.ru/api/getInfo/image/4392a2e0-edb9-11ef-a274-00155d82e908</v>
      </c>
      <c r="U3684" s="35"/>
      <c r="V3684" s="35" t="s">
        <v>6525</v>
      </c>
      <c r="W3684" s="35" t="s">
        <v>378</v>
      </c>
      <c r="X3684" s="35"/>
      <c r="Y3684" s="35" t="s">
        <v>41</v>
      </c>
      <c r="Z3684" s="35"/>
      <c r="AA3684" s="35" t="str">
        <f>HYPERLINK("https://miland.ru/api/getInfo/item/4392a2e0-edb9-11ef-a274-00155d82e908")</f>
        <v>https://miland.ru/api/getInfo/item/4392a2e0-edb9-11ef-a274-00155d82e908</v>
      </c>
      <c r="AB3684" s="35" t="s">
        <v>42</v>
      </c>
      <c r="AC3684" s="35"/>
      <c r="AD3684" s="35"/>
      <c r="AE3684" s="52" t="s">
        <v>1251</v>
      </c>
    </row>
    <row r="3685" spans="2:31" s="1" customFormat="1" ht="96.3" customHeight="1" outlineLevel="6">
      <c r="B3685" s="59">
        <v>2887</v>
      </c>
      <c r="C3685" s="35" t="s">
        <v>12936</v>
      </c>
      <c r="D3685" s="73" t="s">
        <v>12937</v>
      </c>
      <c r="E3685" s="73"/>
      <c r="F3685" s="73"/>
      <c r="G3685" s="73"/>
      <c r="H3685" s="36" t="s">
        <v>12938</v>
      </c>
      <c r="I3685" s="56" t="s">
        <v>36</v>
      </c>
      <c r="J3685" s="36"/>
      <c r="K3685" s="34">
        <v>24</v>
      </c>
      <c r="L3685" s="41">
        <v>25.346666666666668</v>
      </c>
      <c r="M3685" s="11"/>
      <c r="N3685" s="36">
        <f t="shared" si="177"/>
        <v>0</v>
      </c>
      <c r="O3685" s="42">
        <f>0.019*M3685</f>
        <v>0</v>
      </c>
      <c r="P3685" s="43">
        <f>0.00006*M3685</f>
        <v>0</v>
      </c>
      <c r="Q3685" s="50"/>
      <c r="R3685" s="36" t="s">
        <v>12939</v>
      </c>
      <c r="S3685" s="36"/>
      <c r="T3685" s="35" t="str">
        <f>HYPERLINK("https://miland.ru/api/getInfo/image/19c1415e-edb8-11ef-a274-00155d82e908")</f>
        <v>https://miland.ru/api/getInfo/image/19c1415e-edb8-11ef-a274-00155d82e908</v>
      </c>
      <c r="U3685" s="35"/>
      <c r="V3685" s="35" t="s">
        <v>6525</v>
      </c>
      <c r="W3685" s="35" t="s">
        <v>378</v>
      </c>
      <c r="X3685" s="35"/>
      <c r="Y3685" s="35" t="s">
        <v>41</v>
      </c>
      <c r="Z3685" s="35"/>
      <c r="AA3685" s="35" t="str">
        <f>HYPERLINK("https://miland.ru/api/getInfo/item/19c1415e-edb8-11ef-a274-00155d82e908")</f>
        <v>https://miland.ru/api/getInfo/item/19c1415e-edb8-11ef-a274-00155d82e908</v>
      </c>
      <c r="AB3685" s="35" t="s">
        <v>42</v>
      </c>
      <c r="AC3685" s="35"/>
      <c r="AD3685" s="35"/>
      <c r="AE3685" s="52" t="s">
        <v>1251</v>
      </c>
    </row>
    <row r="3686" spans="2:31" s="1" customFormat="1" ht="96.3" customHeight="1" outlineLevel="6">
      <c r="B3686" s="59">
        <v>2888</v>
      </c>
      <c r="C3686" s="35" t="s">
        <v>12940</v>
      </c>
      <c r="D3686" s="73" t="s">
        <v>12941</v>
      </c>
      <c r="E3686" s="73"/>
      <c r="F3686" s="73"/>
      <c r="G3686" s="73"/>
      <c r="H3686" s="36" t="s">
        <v>12942</v>
      </c>
      <c r="I3686" s="56" t="s">
        <v>36</v>
      </c>
      <c r="J3686" s="36"/>
      <c r="K3686" s="34">
        <v>24</v>
      </c>
      <c r="L3686" s="41">
        <v>25.346666666666668</v>
      </c>
      <c r="M3686" s="11"/>
      <c r="N3686" s="36">
        <f t="shared" si="177"/>
        <v>0</v>
      </c>
      <c r="O3686" s="42">
        <f>0.029*M3686</f>
        <v>0</v>
      </c>
      <c r="P3686" s="43">
        <f>0.00005*M3686</f>
        <v>0</v>
      </c>
      <c r="Q3686" s="50"/>
      <c r="R3686" s="36" t="s">
        <v>12943</v>
      </c>
      <c r="S3686" s="36"/>
      <c r="T3686" s="35" t="str">
        <f>HYPERLINK("https://miland.ru/api/getInfo/image/791d2e49-edb8-11ef-a274-00155d82e908")</f>
        <v>https://miland.ru/api/getInfo/image/791d2e49-edb8-11ef-a274-00155d82e908</v>
      </c>
      <c r="U3686" s="35"/>
      <c r="V3686" s="35" t="s">
        <v>6525</v>
      </c>
      <c r="W3686" s="35" t="s">
        <v>378</v>
      </c>
      <c r="X3686" s="35"/>
      <c r="Y3686" s="35" t="s">
        <v>41</v>
      </c>
      <c r="Z3686" s="35"/>
      <c r="AA3686" s="35" t="str">
        <f>HYPERLINK("https://miland.ru/api/getInfo/item/791d2e49-edb8-11ef-a274-00155d82e908")</f>
        <v>https://miland.ru/api/getInfo/item/791d2e49-edb8-11ef-a274-00155d82e908</v>
      </c>
      <c r="AB3686" s="35" t="s">
        <v>42</v>
      </c>
      <c r="AC3686" s="35"/>
      <c r="AD3686" s="35"/>
      <c r="AE3686" s="52" t="s">
        <v>1251</v>
      </c>
    </row>
    <row r="3687" spans="2:31" s="1" customFormat="1" ht="96.3" customHeight="1" outlineLevel="6">
      <c r="B3687" s="59">
        <v>2889</v>
      </c>
      <c r="C3687" s="35" t="s">
        <v>12944</v>
      </c>
      <c r="D3687" s="73" t="s">
        <v>12945</v>
      </c>
      <c r="E3687" s="73"/>
      <c r="F3687" s="73"/>
      <c r="G3687" s="73"/>
      <c r="H3687" s="36" t="s">
        <v>12946</v>
      </c>
      <c r="I3687" s="56" t="s">
        <v>36</v>
      </c>
      <c r="J3687" s="36"/>
      <c r="K3687" s="34">
        <v>24</v>
      </c>
      <c r="L3687" s="41">
        <v>25.346666666666668</v>
      </c>
      <c r="M3687" s="11"/>
      <c r="N3687" s="36">
        <f t="shared" si="177"/>
        <v>0</v>
      </c>
      <c r="O3687" s="42">
        <f>0.034*M3687</f>
        <v>0</v>
      </c>
      <c r="P3687" s="43">
        <f>0.00013*M3687</f>
        <v>0</v>
      </c>
      <c r="Q3687" s="50"/>
      <c r="R3687" s="36" t="s">
        <v>12947</v>
      </c>
      <c r="S3687" s="36"/>
      <c r="T3687" s="35" t="str">
        <f>HYPERLINK("https://miland.ru/api/getInfo/image/fe5bb633-edb8-11ef-a274-00155d82e908")</f>
        <v>https://miland.ru/api/getInfo/image/fe5bb633-edb8-11ef-a274-00155d82e908</v>
      </c>
      <c r="U3687" s="35"/>
      <c r="V3687" s="35" t="s">
        <v>6525</v>
      </c>
      <c r="W3687" s="35" t="s">
        <v>378</v>
      </c>
      <c r="X3687" s="35"/>
      <c r="Y3687" s="35" t="s">
        <v>41</v>
      </c>
      <c r="Z3687" s="35"/>
      <c r="AA3687" s="35" t="str">
        <f>HYPERLINK("https://miland.ru/api/getInfo/item/fe5bb633-edb8-11ef-a274-00155d82e908")</f>
        <v>https://miland.ru/api/getInfo/item/fe5bb633-edb8-11ef-a274-00155d82e908</v>
      </c>
      <c r="AB3687" s="35" t="s">
        <v>42</v>
      </c>
      <c r="AC3687" s="35"/>
      <c r="AD3687" s="35"/>
      <c r="AE3687" s="52" t="s">
        <v>1251</v>
      </c>
    </row>
    <row r="3688" spans="2:31" s="1" customFormat="1" ht="96.3" customHeight="1" outlineLevel="6">
      <c r="B3688" s="59">
        <v>2890</v>
      </c>
      <c r="C3688" s="35" t="s">
        <v>12948</v>
      </c>
      <c r="D3688" s="73" t="s">
        <v>12949</v>
      </c>
      <c r="E3688" s="73"/>
      <c r="F3688" s="73"/>
      <c r="G3688" s="73"/>
      <c r="H3688" s="36" t="s">
        <v>12950</v>
      </c>
      <c r="I3688" s="56" t="s">
        <v>36</v>
      </c>
      <c r="J3688" s="36"/>
      <c r="K3688" s="34">
        <v>24</v>
      </c>
      <c r="L3688" s="41">
        <v>25.346666666666668</v>
      </c>
      <c r="M3688" s="11"/>
      <c r="N3688" s="36">
        <f t="shared" si="177"/>
        <v>0</v>
      </c>
      <c r="O3688" s="42">
        <f>0.018*M3688</f>
        <v>0</v>
      </c>
      <c r="P3688" s="55">
        <f>0.0001*M3688</f>
        <v>0</v>
      </c>
      <c r="Q3688" s="50"/>
      <c r="R3688" s="36" t="s">
        <v>12951</v>
      </c>
      <c r="S3688" s="36"/>
      <c r="T3688" s="35" t="str">
        <f>HYPERLINK("https://miland.ru/api/getInfo/image/9fc9d961-edb8-11ef-a274-00155d82e908")</f>
        <v>https://miland.ru/api/getInfo/image/9fc9d961-edb8-11ef-a274-00155d82e908</v>
      </c>
      <c r="U3688" s="35"/>
      <c r="V3688" s="35" t="s">
        <v>6525</v>
      </c>
      <c r="W3688" s="35" t="s">
        <v>378</v>
      </c>
      <c r="X3688" s="35"/>
      <c r="Y3688" s="35" t="s">
        <v>41</v>
      </c>
      <c r="Z3688" s="35"/>
      <c r="AA3688" s="35" t="str">
        <f>HYPERLINK("https://miland.ru/api/getInfo/item/9fc9d961-edb8-11ef-a274-00155d82e908")</f>
        <v>https://miland.ru/api/getInfo/item/9fc9d961-edb8-11ef-a274-00155d82e908</v>
      </c>
      <c r="AB3688" s="35" t="s">
        <v>42</v>
      </c>
      <c r="AC3688" s="35"/>
      <c r="AD3688" s="35"/>
      <c r="AE3688" s="52" t="s">
        <v>1251</v>
      </c>
    </row>
    <row r="3689" spans="2:31" s="1" customFormat="1" ht="96.3" customHeight="1" outlineLevel="6">
      <c r="B3689" s="59">
        <v>2891</v>
      </c>
      <c r="C3689" s="35" t="s">
        <v>12952</v>
      </c>
      <c r="D3689" s="73" t="s">
        <v>12953</v>
      </c>
      <c r="E3689" s="73"/>
      <c r="F3689" s="73"/>
      <c r="G3689" s="73"/>
      <c r="H3689" s="36" t="s">
        <v>12954</v>
      </c>
      <c r="I3689" s="56" t="s">
        <v>36</v>
      </c>
      <c r="J3689" s="36"/>
      <c r="K3689" s="34">
        <v>24</v>
      </c>
      <c r="L3689" s="41">
        <v>25.346666666666668</v>
      </c>
      <c r="M3689" s="11"/>
      <c r="N3689" s="36">
        <f t="shared" si="177"/>
        <v>0</v>
      </c>
      <c r="O3689" s="42">
        <f>0.033*M3689</f>
        <v>0</v>
      </c>
      <c r="P3689" s="43">
        <f>0.00007*M3689</f>
        <v>0</v>
      </c>
      <c r="Q3689" s="50"/>
      <c r="R3689" s="36" t="s">
        <v>12955</v>
      </c>
      <c r="S3689" s="36"/>
      <c r="T3689" s="35" t="str">
        <f>HYPERLINK("https://miland.ru/api/getInfo/image/cf280bb8-edb8-11ef-a274-00155d82e908")</f>
        <v>https://miland.ru/api/getInfo/image/cf280bb8-edb8-11ef-a274-00155d82e908</v>
      </c>
      <c r="U3689" s="35"/>
      <c r="V3689" s="35" t="s">
        <v>6525</v>
      </c>
      <c r="W3689" s="35" t="s">
        <v>378</v>
      </c>
      <c r="X3689" s="35"/>
      <c r="Y3689" s="35" t="s">
        <v>41</v>
      </c>
      <c r="Z3689" s="35"/>
      <c r="AA3689" s="35" t="str">
        <f>HYPERLINK("https://miland.ru/api/getInfo/item/cf280bb8-edb8-11ef-a274-00155d82e908")</f>
        <v>https://miland.ru/api/getInfo/item/cf280bb8-edb8-11ef-a274-00155d82e908</v>
      </c>
      <c r="AB3689" s="35" t="s">
        <v>42</v>
      </c>
      <c r="AC3689" s="35"/>
      <c r="AD3689" s="35"/>
      <c r="AE3689" s="52" t="s">
        <v>1251</v>
      </c>
    </row>
    <row r="3690" spans="2:31" s="1" customFormat="1" ht="96.3" customHeight="1" outlineLevel="6">
      <c r="B3690" s="59">
        <v>2892</v>
      </c>
      <c r="C3690" s="35" t="s">
        <v>12956</v>
      </c>
      <c r="D3690" s="73" t="s">
        <v>12957</v>
      </c>
      <c r="E3690" s="73"/>
      <c r="F3690" s="73"/>
      <c r="G3690" s="73"/>
      <c r="H3690" s="36" t="s">
        <v>12958</v>
      </c>
      <c r="I3690" s="56" t="s">
        <v>36</v>
      </c>
      <c r="J3690" s="36"/>
      <c r="K3690" s="34">
        <v>24</v>
      </c>
      <c r="L3690" s="41">
        <v>25.346666666666668</v>
      </c>
      <c r="M3690" s="11"/>
      <c r="N3690" s="36">
        <f t="shared" si="177"/>
        <v>0</v>
      </c>
      <c r="O3690" s="42">
        <f>0.035*M3690</f>
        <v>0</v>
      </c>
      <c r="P3690" s="43">
        <f>0.00012*M3690</f>
        <v>0</v>
      </c>
      <c r="Q3690" s="50"/>
      <c r="R3690" s="36" t="s">
        <v>12959</v>
      </c>
      <c r="S3690" s="36"/>
      <c r="T3690" s="35" t="str">
        <f>HYPERLINK("https://miland.ru/api/getInfo/image/5865c930-edb9-11ef-a274-00155d82e908")</f>
        <v>https://miland.ru/api/getInfo/image/5865c930-edb9-11ef-a274-00155d82e908</v>
      </c>
      <c r="U3690" s="35"/>
      <c r="V3690" s="35" t="s">
        <v>6525</v>
      </c>
      <c r="W3690" s="35" t="s">
        <v>378</v>
      </c>
      <c r="X3690" s="35"/>
      <c r="Y3690" s="35" t="s">
        <v>41</v>
      </c>
      <c r="Z3690" s="35"/>
      <c r="AA3690" s="35" t="str">
        <f>HYPERLINK("https://miland.ru/api/getInfo/item/5865c930-edb9-11ef-a274-00155d82e908")</f>
        <v>https://miland.ru/api/getInfo/item/5865c930-edb9-11ef-a274-00155d82e908</v>
      </c>
      <c r="AB3690" s="35" t="s">
        <v>42</v>
      </c>
      <c r="AC3690" s="35"/>
      <c r="AD3690" s="35"/>
      <c r="AE3690" s="52" t="s">
        <v>1251</v>
      </c>
    </row>
    <row r="3691" spans="2:31" s="1" customFormat="1" ht="96.3" customHeight="1" outlineLevel="6">
      <c r="B3691" s="59">
        <v>2893</v>
      </c>
      <c r="C3691" s="35" t="s">
        <v>12960</v>
      </c>
      <c r="D3691" s="73" t="s">
        <v>12961</v>
      </c>
      <c r="E3691" s="73"/>
      <c r="F3691" s="73"/>
      <c r="G3691" s="73"/>
      <c r="H3691" s="36" t="s">
        <v>12962</v>
      </c>
      <c r="I3691" s="56" t="s">
        <v>36</v>
      </c>
      <c r="J3691" s="36"/>
      <c r="K3691" s="34">
        <v>24</v>
      </c>
      <c r="L3691" s="41">
        <v>25.346666666666668</v>
      </c>
      <c r="M3691" s="11"/>
      <c r="N3691" s="36">
        <f t="shared" si="177"/>
        <v>0</v>
      </c>
      <c r="O3691" s="42">
        <f>0.017*M3691</f>
        <v>0</v>
      </c>
      <c r="P3691" s="43">
        <f>0.00005*M3691</f>
        <v>0</v>
      </c>
      <c r="Q3691" s="50"/>
      <c r="R3691" s="36" t="s">
        <v>12963</v>
      </c>
      <c r="S3691" s="36" t="s">
        <v>435</v>
      </c>
      <c r="T3691" s="35" t="str">
        <f>HYPERLINK("https://miland.ru/api/getInfo/image/151446e1-cefc-11ee-a25a-00155d82e908")</f>
        <v>https://miland.ru/api/getInfo/image/151446e1-cefc-11ee-a25a-00155d82e908</v>
      </c>
      <c r="U3691" s="35"/>
      <c r="V3691" s="35" t="s">
        <v>6525</v>
      </c>
      <c r="W3691" s="35" t="s">
        <v>378</v>
      </c>
      <c r="X3691" s="35"/>
      <c r="Y3691" s="35" t="s">
        <v>41</v>
      </c>
      <c r="Z3691" s="35"/>
      <c r="AA3691" s="35" t="str">
        <f>HYPERLINK("https://miland.ru/api/getInfo/item/151446e1-cefc-11ee-a25a-00155d82e908")</f>
        <v>https://miland.ru/api/getInfo/item/151446e1-cefc-11ee-a25a-00155d82e908</v>
      </c>
      <c r="AB3691" s="35" t="s">
        <v>42</v>
      </c>
      <c r="AC3691" s="35" t="s">
        <v>12964</v>
      </c>
      <c r="AD3691" s="35"/>
      <c r="AE3691" s="52" t="s">
        <v>1251</v>
      </c>
    </row>
    <row r="3692" spans="2:31" s="1" customFormat="1" ht="96.3" customHeight="1" outlineLevel="6">
      <c r="B3692" s="59">
        <v>2894</v>
      </c>
      <c r="C3692" s="35" t="s">
        <v>12965</v>
      </c>
      <c r="D3692" s="73" t="s">
        <v>12966</v>
      </c>
      <c r="E3692" s="73"/>
      <c r="F3692" s="73"/>
      <c r="G3692" s="73"/>
      <c r="H3692" s="36" t="s">
        <v>12967</v>
      </c>
      <c r="I3692" s="56" t="s">
        <v>36</v>
      </c>
      <c r="J3692" s="36"/>
      <c r="K3692" s="34">
        <v>24</v>
      </c>
      <c r="L3692" s="41">
        <v>25.346666666666668</v>
      </c>
      <c r="M3692" s="11"/>
      <c r="N3692" s="36">
        <f t="shared" si="177"/>
        <v>0</v>
      </c>
      <c r="O3692" s="42">
        <f>0.017*M3692</f>
        <v>0</v>
      </c>
      <c r="P3692" s="43">
        <f>0.00005*M3692</f>
        <v>0</v>
      </c>
      <c r="Q3692" s="50"/>
      <c r="R3692" s="36" t="s">
        <v>12968</v>
      </c>
      <c r="S3692" s="36" t="s">
        <v>435</v>
      </c>
      <c r="T3692" s="35" t="str">
        <f>HYPERLINK("https://miland.ru/api/getInfo/image/b84aa970-f282-11ee-a25b-00155d82e908")</f>
        <v>https://miland.ru/api/getInfo/image/b84aa970-f282-11ee-a25b-00155d82e908</v>
      </c>
      <c r="U3692" s="35"/>
      <c r="V3692" s="35" t="s">
        <v>6525</v>
      </c>
      <c r="W3692" s="35" t="s">
        <v>378</v>
      </c>
      <c r="X3692" s="35"/>
      <c r="Y3692" s="35" t="s">
        <v>41</v>
      </c>
      <c r="Z3692" s="35"/>
      <c r="AA3692" s="35" t="str">
        <f>HYPERLINK("https://miland.ru/api/getInfo/item/b84aa970-f282-11ee-a25b-00155d82e908")</f>
        <v>https://miland.ru/api/getInfo/item/b84aa970-f282-11ee-a25b-00155d82e908</v>
      </c>
      <c r="AB3692" s="35" t="s">
        <v>42</v>
      </c>
      <c r="AC3692" s="35" t="s">
        <v>12855</v>
      </c>
      <c r="AD3692" s="35"/>
      <c r="AE3692" s="52" t="s">
        <v>1251</v>
      </c>
    </row>
    <row r="3693" spans="2:31" s="1" customFormat="1" ht="96.3" customHeight="1" outlineLevel="6">
      <c r="B3693" s="59">
        <v>2895</v>
      </c>
      <c r="C3693" s="35" t="s">
        <v>12969</v>
      </c>
      <c r="D3693" s="73" t="s">
        <v>12970</v>
      </c>
      <c r="E3693" s="73"/>
      <c r="F3693" s="73"/>
      <c r="G3693" s="73"/>
      <c r="H3693" s="36" t="s">
        <v>12971</v>
      </c>
      <c r="I3693" s="40">
        <v>144</v>
      </c>
      <c r="J3693" s="36"/>
      <c r="K3693" s="34">
        <v>12</v>
      </c>
      <c r="L3693" s="41">
        <v>25.346666666666668</v>
      </c>
      <c r="M3693" s="11"/>
      <c r="N3693" s="36">
        <f t="shared" si="177"/>
        <v>0</v>
      </c>
      <c r="O3693" s="61">
        <f>0.2*M3693</f>
        <v>0</v>
      </c>
      <c r="P3693" s="43">
        <f>0.00077*M3693</f>
        <v>0</v>
      </c>
      <c r="Q3693" s="50"/>
      <c r="R3693" s="36" t="s">
        <v>12972</v>
      </c>
      <c r="S3693" s="36" t="s">
        <v>435</v>
      </c>
      <c r="T3693" s="35" t="str">
        <f>HYPERLINK("https://miland.ru/api/getInfo/image/0e03a3ba-cefd-11ee-a25a-00155d82e908")</f>
        <v>https://miland.ru/api/getInfo/image/0e03a3ba-cefd-11ee-a25a-00155d82e908</v>
      </c>
      <c r="U3693" s="35"/>
      <c r="V3693" s="35" t="s">
        <v>6525</v>
      </c>
      <c r="W3693" s="35" t="s">
        <v>378</v>
      </c>
      <c r="X3693" s="35"/>
      <c r="Y3693" s="35" t="s">
        <v>41</v>
      </c>
      <c r="Z3693" s="35"/>
      <c r="AA3693" s="35" t="str">
        <f>HYPERLINK("https://miland.ru/api/getInfo/item/0e03a3ba-cefd-11ee-a25a-00155d82e908")</f>
        <v>https://miland.ru/api/getInfo/item/0e03a3ba-cefd-11ee-a25a-00155d82e908</v>
      </c>
      <c r="AB3693" s="35" t="s">
        <v>42</v>
      </c>
      <c r="AC3693" s="35" t="s">
        <v>12964</v>
      </c>
      <c r="AD3693" s="35"/>
      <c r="AE3693" s="52" t="s">
        <v>1251</v>
      </c>
    </row>
    <row r="3694" spans="2:31" ht="12" customHeight="1" outlineLevel="5">
      <c r="B3694" s="70" t="s">
        <v>12973</v>
      </c>
      <c r="C3694" s="70"/>
      <c r="D3694" s="70"/>
      <c r="E3694" s="70"/>
      <c r="F3694" s="70"/>
      <c r="G3694" s="70"/>
    </row>
    <row r="3695" spans="2:31" s="1" customFormat="1" ht="96.3" customHeight="1" outlineLevel="6">
      <c r="B3695" s="58">
        <v>2896</v>
      </c>
      <c r="C3695" s="7" t="s">
        <v>12974</v>
      </c>
      <c r="D3695" s="71" t="s">
        <v>12975</v>
      </c>
      <c r="E3695" s="71"/>
      <c r="F3695" s="71"/>
      <c r="G3695" s="71"/>
      <c r="H3695" s="8" t="s">
        <v>12976</v>
      </c>
      <c r="I3695" s="9" t="s">
        <v>36</v>
      </c>
      <c r="J3695" s="8"/>
      <c r="K3695" s="6">
        <v>12</v>
      </c>
      <c r="L3695" s="10">
        <v>23.54</v>
      </c>
      <c r="M3695" s="11"/>
      <c r="N3695" s="8">
        <f>L3695*M3695</f>
        <v>0</v>
      </c>
      <c r="O3695" s="12">
        <f>0.043*M3695</f>
        <v>0</v>
      </c>
      <c r="P3695" s="13">
        <f>0.00021*M3695</f>
        <v>0</v>
      </c>
      <c r="Q3695" s="17" t="s">
        <v>37</v>
      </c>
      <c r="R3695" s="8" t="s">
        <v>12977</v>
      </c>
      <c r="S3695" s="8"/>
      <c r="T3695" s="7"/>
      <c r="U3695" s="7"/>
      <c r="V3695" s="7"/>
      <c r="W3695" s="7" t="s">
        <v>378</v>
      </c>
      <c r="X3695" s="7"/>
      <c r="Y3695" s="7" t="s">
        <v>41</v>
      </c>
      <c r="Z3695" s="7"/>
      <c r="AA3695" s="7"/>
      <c r="AB3695" s="7" t="s">
        <v>42</v>
      </c>
      <c r="AC3695" s="7"/>
      <c r="AD3695" s="7"/>
      <c r="AE3695" s="54"/>
    </row>
    <row r="3696" spans="2:31" s="1" customFormat="1" ht="96.3" customHeight="1" outlineLevel="6">
      <c r="B3696" s="58">
        <v>2897</v>
      </c>
      <c r="C3696" s="7" t="s">
        <v>12978</v>
      </c>
      <c r="D3696" s="71" t="s">
        <v>12979</v>
      </c>
      <c r="E3696" s="71"/>
      <c r="F3696" s="71"/>
      <c r="G3696" s="71"/>
      <c r="H3696" s="8" t="s">
        <v>12980</v>
      </c>
      <c r="I3696" s="14">
        <v>264</v>
      </c>
      <c r="J3696" s="8"/>
      <c r="K3696" s="6">
        <v>12</v>
      </c>
      <c r="L3696" s="10">
        <v>23.54</v>
      </c>
      <c r="M3696" s="11"/>
      <c r="N3696" s="8">
        <f>L3696*M3696</f>
        <v>0</v>
      </c>
      <c r="O3696" s="12">
        <f>0.274*M3696</f>
        <v>0</v>
      </c>
      <c r="P3696" s="13">
        <f>0.00149*M3696</f>
        <v>0</v>
      </c>
      <c r="Q3696" s="17" t="s">
        <v>37</v>
      </c>
      <c r="R3696" s="8" t="s">
        <v>12981</v>
      </c>
      <c r="S3696" s="8"/>
      <c r="T3696" s="7"/>
      <c r="U3696" s="7"/>
      <c r="V3696" s="7"/>
      <c r="W3696" s="7" t="s">
        <v>378</v>
      </c>
      <c r="X3696" s="7"/>
      <c r="Y3696" s="7" t="s">
        <v>41</v>
      </c>
      <c r="Z3696" s="7"/>
      <c r="AA3696" s="7"/>
      <c r="AB3696" s="7" t="s">
        <v>42</v>
      </c>
      <c r="AC3696" s="7"/>
      <c r="AD3696" s="7"/>
      <c r="AE3696" s="54"/>
    </row>
    <row r="3697" spans="2:31" s="1" customFormat="1" ht="96.3" customHeight="1" outlineLevel="6">
      <c r="B3697" s="58">
        <v>2898</v>
      </c>
      <c r="C3697" s="7" t="s">
        <v>12982</v>
      </c>
      <c r="D3697" s="71" t="s">
        <v>12983</v>
      </c>
      <c r="E3697" s="71"/>
      <c r="F3697" s="71"/>
      <c r="G3697" s="71"/>
      <c r="H3697" s="8" t="s">
        <v>12984</v>
      </c>
      <c r="I3697" s="9" t="s">
        <v>36</v>
      </c>
      <c r="J3697" s="8"/>
      <c r="K3697" s="6">
        <v>12</v>
      </c>
      <c r="L3697" s="10">
        <v>23.54</v>
      </c>
      <c r="M3697" s="11"/>
      <c r="N3697" s="8">
        <f>L3697*M3697</f>
        <v>0</v>
      </c>
      <c r="O3697" s="12">
        <f>0.043*M3697</f>
        <v>0</v>
      </c>
      <c r="P3697" s="13">
        <f>0.00021*M3697</f>
        <v>0</v>
      </c>
      <c r="Q3697" s="17" t="s">
        <v>37</v>
      </c>
      <c r="R3697" s="8" t="s">
        <v>12985</v>
      </c>
      <c r="S3697" s="8"/>
      <c r="T3697" s="7"/>
      <c r="U3697" s="7"/>
      <c r="V3697" s="7"/>
      <c r="W3697" s="7" t="s">
        <v>378</v>
      </c>
      <c r="X3697" s="7"/>
      <c r="Y3697" s="7" t="s">
        <v>41</v>
      </c>
      <c r="Z3697" s="7"/>
      <c r="AA3697" s="7"/>
      <c r="AB3697" s="7" t="s">
        <v>42</v>
      </c>
      <c r="AC3697" s="7"/>
      <c r="AD3697" s="7"/>
      <c r="AE3697" s="54"/>
    </row>
    <row r="3698" spans="2:31" ht="12" customHeight="1" outlineLevel="5">
      <c r="B3698" s="70" t="s">
        <v>6685</v>
      </c>
      <c r="C3698" s="70"/>
      <c r="D3698" s="70"/>
      <c r="E3698" s="70"/>
      <c r="F3698" s="70"/>
      <c r="G3698" s="70"/>
    </row>
    <row r="3699" spans="2:31" ht="12" customHeight="1" outlineLevel="6">
      <c r="B3699" s="70" t="s">
        <v>6686</v>
      </c>
      <c r="C3699" s="70"/>
      <c r="D3699" s="70"/>
      <c r="E3699" s="70"/>
      <c r="F3699" s="70"/>
      <c r="G3699" s="70"/>
    </row>
    <row r="3700" spans="2:31" s="1" customFormat="1" ht="96.3" customHeight="1" outlineLevel="7">
      <c r="B3700" s="57">
        <v>2899</v>
      </c>
      <c r="C3700" s="21" t="s">
        <v>12986</v>
      </c>
      <c r="D3700" s="72" t="s">
        <v>12987</v>
      </c>
      <c r="E3700" s="72"/>
      <c r="F3700" s="72"/>
      <c r="G3700" s="72"/>
      <c r="H3700" s="22" t="s">
        <v>12988</v>
      </c>
      <c r="I3700" s="23" t="s">
        <v>36</v>
      </c>
      <c r="J3700" s="22"/>
      <c r="K3700" s="20">
        <v>24</v>
      </c>
      <c r="L3700" s="24">
        <v>23.53</v>
      </c>
      <c r="M3700" s="11"/>
      <c r="N3700" s="22">
        <f>L3700*M3700</f>
        <v>0</v>
      </c>
      <c r="O3700" s="25">
        <f>0.025*M3700</f>
        <v>0</v>
      </c>
      <c r="P3700" s="26">
        <f>0.00012*M3700</f>
        <v>0</v>
      </c>
      <c r="Q3700" s="30"/>
      <c r="R3700" s="22" t="s">
        <v>12989</v>
      </c>
      <c r="S3700" s="22" t="s">
        <v>435</v>
      </c>
      <c r="T3700" s="21" t="str">
        <f>HYPERLINK("https://miland.ru/api/getInfo/image/2d33f88b-03a3-11ef-a25d-00155d82e908")</f>
        <v>https://miland.ru/api/getInfo/image/2d33f88b-03a3-11ef-a25d-00155d82e908</v>
      </c>
      <c r="U3700" s="21"/>
      <c r="V3700" s="21"/>
      <c r="W3700" s="21" t="s">
        <v>378</v>
      </c>
      <c r="X3700" s="21"/>
      <c r="Y3700" s="21" t="s">
        <v>41</v>
      </c>
      <c r="Z3700" s="21"/>
      <c r="AA3700" s="21" t="str">
        <f>HYPERLINK("https://miland.ru/api/getInfo/item/2d33f88b-03a3-11ef-a25d-00155d82e908")</f>
        <v>https://miland.ru/api/getInfo/item/2d33f88b-03a3-11ef-a25d-00155d82e908</v>
      </c>
      <c r="AB3700" s="21" t="s">
        <v>42</v>
      </c>
      <c r="AC3700" s="21" t="s">
        <v>6612</v>
      </c>
      <c r="AD3700" s="21"/>
    </row>
    <row r="3701" spans="2:31" s="1" customFormat="1" ht="96.3" customHeight="1" outlineLevel="7">
      <c r="B3701" s="57">
        <v>2900</v>
      </c>
      <c r="C3701" s="21" t="s">
        <v>12990</v>
      </c>
      <c r="D3701" s="72" t="s">
        <v>12991</v>
      </c>
      <c r="E3701" s="72"/>
      <c r="F3701" s="72"/>
      <c r="G3701" s="72"/>
      <c r="H3701" s="22" t="s">
        <v>12992</v>
      </c>
      <c r="I3701" s="23" t="s">
        <v>36</v>
      </c>
      <c r="J3701" s="22"/>
      <c r="K3701" s="20">
        <v>24</v>
      </c>
      <c r="L3701" s="24">
        <v>23.53</v>
      </c>
      <c r="M3701" s="11"/>
      <c r="N3701" s="22">
        <f>L3701*M3701</f>
        <v>0</v>
      </c>
      <c r="O3701" s="25">
        <f>0.025*M3701</f>
        <v>0</v>
      </c>
      <c r="P3701" s="26">
        <f>0.00012*M3701</f>
        <v>0</v>
      </c>
      <c r="Q3701" s="30"/>
      <c r="R3701" s="22" t="s">
        <v>12993</v>
      </c>
      <c r="S3701" s="22" t="s">
        <v>435</v>
      </c>
      <c r="T3701" s="21" t="str">
        <f>HYPERLINK("https://miland.ru/api/getInfo/image/4775138e-03a3-11ef-a25d-00155d82e908")</f>
        <v>https://miland.ru/api/getInfo/image/4775138e-03a3-11ef-a25d-00155d82e908</v>
      </c>
      <c r="U3701" s="21"/>
      <c r="V3701" s="21"/>
      <c r="W3701" s="21" t="s">
        <v>378</v>
      </c>
      <c r="X3701" s="21"/>
      <c r="Y3701" s="21" t="s">
        <v>41</v>
      </c>
      <c r="Z3701" s="21"/>
      <c r="AA3701" s="21" t="str">
        <f>HYPERLINK("https://miland.ru/api/getInfo/item/4775138e-03a3-11ef-a25d-00155d82e908")</f>
        <v>https://miland.ru/api/getInfo/item/4775138e-03a3-11ef-a25d-00155d82e908</v>
      </c>
      <c r="AB3701" s="21" t="s">
        <v>42</v>
      </c>
      <c r="AC3701" s="21" t="s">
        <v>6612</v>
      </c>
      <c r="AD3701" s="21"/>
    </row>
    <row r="3702" spans="2:31" ht="12" customHeight="1" outlineLevel="5">
      <c r="B3702" s="70" t="s">
        <v>12994</v>
      </c>
      <c r="C3702" s="70"/>
      <c r="D3702" s="70"/>
      <c r="E3702" s="70"/>
      <c r="F3702" s="70"/>
      <c r="G3702" s="70"/>
    </row>
    <row r="3703" spans="2:31" ht="12" customHeight="1" outlineLevel="6">
      <c r="B3703" s="70" t="s">
        <v>6581</v>
      </c>
      <c r="C3703" s="70"/>
      <c r="D3703" s="70"/>
      <c r="E3703" s="70"/>
      <c r="F3703" s="70"/>
      <c r="G3703" s="70"/>
    </row>
    <row r="3704" spans="2:31" s="1" customFormat="1" ht="96.3" customHeight="1" outlineLevel="7">
      <c r="B3704" s="59">
        <v>2901</v>
      </c>
      <c r="C3704" s="35" t="s">
        <v>12995</v>
      </c>
      <c r="D3704" s="73" t="s">
        <v>12996</v>
      </c>
      <c r="E3704" s="73"/>
      <c r="F3704" s="73"/>
      <c r="G3704" s="73"/>
      <c r="H3704" s="36" t="s">
        <v>12997</v>
      </c>
      <c r="I3704" s="56" t="s">
        <v>36</v>
      </c>
      <c r="J3704" s="36"/>
      <c r="K3704" s="34">
        <v>12</v>
      </c>
      <c r="L3704" s="41">
        <v>20.146666666666665</v>
      </c>
      <c r="M3704" s="11"/>
      <c r="N3704" s="36">
        <f>L3704*M3704</f>
        <v>0</v>
      </c>
      <c r="O3704" s="42">
        <f>0.017*M3704</f>
        <v>0</v>
      </c>
      <c r="P3704" s="55">
        <f>0.0001*M3704</f>
        <v>0</v>
      </c>
      <c r="Q3704" s="50" t="s">
        <v>37</v>
      </c>
      <c r="R3704" s="36" t="s">
        <v>12998</v>
      </c>
      <c r="S3704" s="36"/>
      <c r="T3704" s="35"/>
      <c r="U3704" s="35"/>
      <c r="V3704" s="35"/>
      <c r="W3704" s="35" t="s">
        <v>378</v>
      </c>
      <c r="X3704" s="35"/>
      <c r="Y3704" s="35" t="s">
        <v>41</v>
      </c>
      <c r="Z3704" s="35"/>
      <c r="AA3704" s="35"/>
      <c r="AB3704" s="35" t="s">
        <v>42</v>
      </c>
      <c r="AC3704" s="35"/>
      <c r="AD3704" s="35"/>
      <c r="AE3704" s="52" t="s">
        <v>1251</v>
      </c>
    </row>
    <row r="3705" spans="2:31" ht="12" customHeight="1" outlineLevel="7">
      <c r="B3705" s="70" t="s">
        <v>12999</v>
      </c>
      <c r="C3705" s="70"/>
      <c r="D3705" s="70"/>
      <c r="E3705" s="70"/>
      <c r="F3705" s="70"/>
      <c r="G3705" s="70"/>
    </row>
    <row r="3706" spans="2:31" s="1" customFormat="1" ht="96.3" customHeight="1" outlineLevel="7">
      <c r="B3706" s="57">
        <v>2902</v>
      </c>
      <c r="C3706" s="21" t="s">
        <v>13000</v>
      </c>
      <c r="D3706" s="72" t="s">
        <v>13001</v>
      </c>
      <c r="E3706" s="72"/>
      <c r="F3706" s="72"/>
      <c r="G3706" s="72"/>
      <c r="H3706" s="22" t="s">
        <v>13002</v>
      </c>
      <c r="I3706" s="23" t="s">
        <v>36</v>
      </c>
      <c r="J3706" s="22"/>
      <c r="K3706" s="20">
        <v>24</v>
      </c>
      <c r="L3706" s="24">
        <v>28.7</v>
      </c>
      <c r="M3706" s="11"/>
      <c r="N3706" s="22">
        <f t="shared" ref="N3706:N3713" si="181">L3706*M3706</f>
        <v>0</v>
      </c>
      <c r="O3706" s="25">
        <f>0.017*M3706</f>
        <v>0</v>
      </c>
      <c r="P3706" s="26">
        <f>0.00004*M3706</f>
        <v>0</v>
      </c>
      <c r="Q3706" s="30"/>
      <c r="R3706" s="22" t="s">
        <v>13003</v>
      </c>
      <c r="S3706" s="22" t="s">
        <v>435</v>
      </c>
      <c r="T3706" s="21" t="str">
        <f>HYPERLINK("https://miland.ru/api/getInfo/image/75646c55-19ae-11ef-a25d-00155d82e908")</f>
        <v>https://miland.ru/api/getInfo/image/75646c55-19ae-11ef-a25d-00155d82e908</v>
      </c>
      <c r="U3706" s="21"/>
      <c r="V3706" s="21" t="s">
        <v>6525</v>
      </c>
      <c r="W3706" s="21" t="s">
        <v>378</v>
      </c>
      <c r="X3706" s="21"/>
      <c r="Y3706" s="21" t="s">
        <v>41</v>
      </c>
      <c r="Z3706" s="21"/>
      <c r="AA3706" s="21" t="str">
        <f>HYPERLINK("https://miland.ru/api/getInfo/item/75646c55-19ae-11ef-a25d-00155d82e908")</f>
        <v>https://miland.ru/api/getInfo/item/75646c55-19ae-11ef-a25d-00155d82e908</v>
      </c>
      <c r="AB3706" s="21" t="s">
        <v>42</v>
      </c>
      <c r="AC3706" s="21" t="s">
        <v>13004</v>
      </c>
      <c r="AD3706" s="21"/>
    </row>
    <row r="3707" spans="2:31" s="1" customFormat="1" ht="96.3" customHeight="1" outlineLevel="7">
      <c r="B3707" s="57">
        <v>2903</v>
      </c>
      <c r="C3707" s="21" t="s">
        <v>13005</v>
      </c>
      <c r="D3707" s="72" t="s">
        <v>13006</v>
      </c>
      <c r="E3707" s="72"/>
      <c r="F3707" s="72"/>
      <c r="G3707" s="72"/>
      <c r="H3707" s="22" t="s">
        <v>13007</v>
      </c>
      <c r="I3707" s="27">
        <v>168</v>
      </c>
      <c r="J3707" s="22"/>
      <c r="K3707" s="20">
        <v>24</v>
      </c>
      <c r="L3707" s="24">
        <v>28.7</v>
      </c>
      <c r="M3707" s="11"/>
      <c r="N3707" s="22">
        <f t="shared" si="181"/>
        <v>0</v>
      </c>
      <c r="O3707" s="25">
        <f>0.017*M3707</f>
        <v>0</v>
      </c>
      <c r="P3707" s="26">
        <f>0.00007*M3707</f>
        <v>0</v>
      </c>
      <c r="Q3707" s="30"/>
      <c r="R3707" s="22" t="s">
        <v>13008</v>
      </c>
      <c r="S3707" s="22" t="s">
        <v>435</v>
      </c>
      <c r="T3707" s="21" t="str">
        <f>HYPERLINK("https://miland.ru/api/getInfo/image/ce4e8819-19ae-11ef-a25d-00155d82e908")</f>
        <v>https://miland.ru/api/getInfo/image/ce4e8819-19ae-11ef-a25d-00155d82e908</v>
      </c>
      <c r="U3707" s="21"/>
      <c r="V3707" s="21" t="s">
        <v>6525</v>
      </c>
      <c r="W3707" s="21" t="s">
        <v>378</v>
      </c>
      <c r="X3707" s="21"/>
      <c r="Y3707" s="21" t="s">
        <v>41</v>
      </c>
      <c r="Z3707" s="21"/>
      <c r="AA3707" s="21" t="str">
        <f>HYPERLINK("https://miland.ru/api/getInfo/item/ce4e8819-19ae-11ef-a25d-00155d82e908")</f>
        <v>https://miland.ru/api/getInfo/item/ce4e8819-19ae-11ef-a25d-00155d82e908</v>
      </c>
      <c r="AB3707" s="21" t="s">
        <v>42</v>
      </c>
      <c r="AC3707" s="21" t="s">
        <v>13004</v>
      </c>
      <c r="AD3707" s="21"/>
    </row>
    <row r="3708" spans="2:31" s="1" customFormat="1" ht="96.3" customHeight="1" outlineLevel="7">
      <c r="B3708" s="57">
        <v>2904</v>
      </c>
      <c r="C3708" s="21" t="s">
        <v>13009</v>
      </c>
      <c r="D3708" s="72" t="s">
        <v>13010</v>
      </c>
      <c r="E3708" s="72"/>
      <c r="F3708" s="72"/>
      <c r="G3708" s="72"/>
      <c r="H3708" s="22" t="s">
        <v>13011</v>
      </c>
      <c r="I3708" s="23" t="s">
        <v>36</v>
      </c>
      <c r="J3708" s="22"/>
      <c r="K3708" s="20">
        <v>24</v>
      </c>
      <c r="L3708" s="24">
        <v>28.7</v>
      </c>
      <c r="M3708" s="11"/>
      <c r="N3708" s="22">
        <f t="shared" si="181"/>
        <v>0</v>
      </c>
      <c r="O3708" s="25">
        <f>0.017*M3708</f>
        <v>0</v>
      </c>
      <c r="P3708" s="26">
        <f>0.00021*M3708</f>
        <v>0</v>
      </c>
      <c r="Q3708" s="30"/>
      <c r="R3708" s="22" t="s">
        <v>13012</v>
      </c>
      <c r="S3708" s="22" t="s">
        <v>435</v>
      </c>
      <c r="T3708" s="21" t="str">
        <f>HYPERLINK("https://miland.ru/api/getInfo/image/a51d2507-19ae-11ef-a25d-00155d82e908")</f>
        <v>https://miland.ru/api/getInfo/image/a51d2507-19ae-11ef-a25d-00155d82e908</v>
      </c>
      <c r="U3708" s="21"/>
      <c r="V3708" s="21" t="s">
        <v>6525</v>
      </c>
      <c r="W3708" s="21" t="s">
        <v>378</v>
      </c>
      <c r="X3708" s="21"/>
      <c r="Y3708" s="21" t="s">
        <v>41</v>
      </c>
      <c r="Z3708" s="21"/>
      <c r="AA3708" s="21" t="str">
        <f>HYPERLINK("https://miland.ru/api/getInfo/item/a51d2507-19ae-11ef-a25d-00155d82e908")</f>
        <v>https://miland.ru/api/getInfo/item/a51d2507-19ae-11ef-a25d-00155d82e908</v>
      </c>
      <c r="AB3708" s="21" t="s">
        <v>42</v>
      </c>
      <c r="AC3708" s="21" t="s">
        <v>13004</v>
      </c>
      <c r="AD3708" s="21"/>
    </row>
    <row r="3709" spans="2:31" s="1" customFormat="1" ht="96.3" customHeight="1" outlineLevel="7">
      <c r="B3709" s="59">
        <v>2905</v>
      </c>
      <c r="C3709" s="35" t="s">
        <v>13013</v>
      </c>
      <c r="D3709" s="73" t="s">
        <v>13014</v>
      </c>
      <c r="E3709" s="73"/>
      <c r="F3709" s="73"/>
      <c r="G3709" s="73"/>
      <c r="H3709" s="36" t="s">
        <v>13015</v>
      </c>
      <c r="I3709" s="56" t="s">
        <v>36</v>
      </c>
      <c r="J3709" s="36"/>
      <c r="K3709" s="34">
        <v>12</v>
      </c>
      <c r="L3709" s="41">
        <v>20.146666666666665</v>
      </c>
      <c r="M3709" s="11"/>
      <c r="N3709" s="36">
        <f t="shared" si="181"/>
        <v>0</v>
      </c>
      <c r="O3709" s="42">
        <f>0.017*M3709</f>
        <v>0</v>
      </c>
      <c r="P3709" s="55">
        <f>0.0001*M3709</f>
        <v>0</v>
      </c>
      <c r="Q3709" s="50" t="s">
        <v>37</v>
      </c>
      <c r="R3709" s="36" t="s">
        <v>13016</v>
      </c>
      <c r="S3709" s="36"/>
      <c r="T3709" s="35" t="str">
        <f>HYPERLINK("https://miland.ru/api/getInfo/image/df3b139b-58ae-11f0-a27f-00155d82e908")</f>
        <v>https://miland.ru/api/getInfo/image/df3b139b-58ae-11f0-a27f-00155d82e908</v>
      </c>
      <c r="U3709" s="35"/>
      <c r="V3709" s="35"/>
      <c r="W3709" s="35" t="s">
        <v>378</v>
      </c>
      <c r="X3709" s="35"/>
      <c r="Y3709" s="35" t="s">
        <v>41</v>
      </c>
      <c r="Z3709" s="35"/>
      <c r="AA3709" s="35" t="str">
        <f>HYPERLINK("https://miland.ru/api/getInfo/item/df3b139b-58ae-11f0-a27f-00155d82e908")</f>
        <v>https://miland.ru/api/getInfo/item/df3b139b-58ae-11f0-a27f-00155d82e908</v>
      </c>
      <c r="AB3709" s="35" t="s">
        <v>42</v>
      </c>
      <c r="AC3709" s="35"/>
      <c r="AD3709" s="35"/>
      <c r="AE3709" s="52" t="s">
        <v>1251</v>
      </c>
    </row>
    <row r="3710" spans="2:31" s="1" customFormat="1" ht="96.3" customHeight="1" outlineLevel="7">
      <c r="B3710" s="57">
        <v>2906</v>
      </c>
      <c r="C3710" s="21" t="s">
        <v>13017</v>
      </c>
      <c r="D3710" s="72" t="s">
        <v>13018</v>
      </c>
      <c r="E3710" s="72"/>
      <c r="F3710" s="72"/>
      <c r="G3710" s="72"/>
      <c r="H3710" s="22" t="s">
        <v>13019</v>
      </c>
      <c r="I3710" s="27">
        <v>72</v>
      </c>
      <c r="J3710" s="22"/>
      <c r="K3710" s="20">
        <v>24</v>
      </c>
      <c r="L3710" s="24">
        <v>28.7</v>
      </c>
      <c r="M3710" s="11"/>
      <c r="N3710" s="22">
        <f t="shared" si="181"/>
        <v>0</v>
      </c>
      <c r="O3710" s="28">
        <f>0.02*M3710</f>
        <v>0</v>
      </c>
      <c r="P3710" s="26">
        <f>0.00008*M3710</f>
        <v>0</v>
      </c>
      <c r="Q3710" s="30"/>
      <c r="R3710" s="22" t="s">
        <v>13020</v>
      </c>
      <c r="S3710" s="22" t="s">
        <v>435</v>
      </c>
      <c r="T3710" s="21" t="str">
        <f>HYPERLINK("https://miland.ru/api/getInfo/image/ce9438fe-cf00-11ee-a25a-00155d82e908")</f>
        <v>https://miland.ru/api/getInfo/image/ce9438fe-cf00-11ee-a25a-00155d82e908</v>
      </c>
      <c r="U3710" s="21"/>
      <c r="V3710" s="21" t="s">
        <v>6525</v>
      </c>
      <c r="W3710" s="21" t="s">
        <v>378</v>
      </c>
      <c r="X3710" s="21"/>
      <c r="Y3710" s="21" t="s">
        <v>41</v>
      </c>
      <c r="Z3710" s="21"/>
      <c r="AA3710" s="21" t="str">
        <f>HYPERLINK("https://miland.ru/api/getInfo/item/ce9438fe-cf00-11ee-a25a-00155d82e908")</f>
        <v>https://miland.ru/api/getInfo/item/ce9438fe-cf00-11ee-a25a-00155d82e908</v>
      </c>
      <c r="AB3710" s="21" t="s">
        <v>42</v>
      </c>
      <c r="AC3710" s="21" t="s">
        <v>13004</v>
      </c>
      <c r="AD3710" s="21"/>
    </row>
    <row r="3711" spans="2:31" s="1" customFormat="1" ht="96.3" customHeight="1" outlineLevel="7">
      <c r="B3711" s="57">
        <v>2907</v>
      </c>
      <c r="C3711" s="21" t="s">
        <v>13021</v>
      </c>
      <c r="D3711" s="72" t="s">
        <v>13022</v>
      </c>
      <c r="E3711" s="72"/>
      <c r="F3711" s="72"/>
      <c r="G3711" s="72"/>
      <c r="H3711" s="22" t="s">
        <v>13023</v>
      </c>
      <c r="I3711" s="27">
        <v>12</v>
      </c>
      <c r="J3711" s="22"/>
      <c r="K3711" s="20">
        <v>12</v>
      </c>
      <c r="L3711" s="24">
        <v>28.7</v>
      </c>
      <c r="M3711" s="11"/>
      <c r="N3711" s="22">
        <f t="shared" si="181"/>
        <v>0</v>
      </c>
      <c r="O3711" s="25">
        <f>0.015*M3711</f>
        <v>0</v>
      </c>
      <c r="P3711" s="26">
        <f>0.00007*M3711</f>
        <v>0</v>
      </c>
      <c r="Q3711" s="30"/>
      <c r="R3711" s="22" t="s">
        <v>13024</v>
      </c>
      <c r="S3711" s="22" t="s">
        <v>435</v>
      </c>
      <c r="T3711" s="21" t="str">
        <f>HYPERLINK("https://miland.ru/api/getInfo/image/f0844011-cf00-11ee-a25a-00155d82e908")</f>
        <v>https://miland.ru/api/getInfo/image/f0844011-cf00-11ee-a25a-00155d82e908</v>
      </c>
      <c r="U3711" s="21"/>
      <c r="V3711" s="21" t="s">
        <v>6525</v>
      </c>
      <c r="W3711" s="21" t="s">
        <v>378</v>
      </c>
      <c r="X3711" s="21"/>
      <c r="Y3711" s="21" t="s">
        <v>41</v>
      </c>
      <c r="Z3711" s="21"/>
      <c r="AA3711" s="21" t="str">
        <f>HYPERLINK("https://miland.ru/api/getInfo/item/f0844011-cf00-11ee-a25a-00155d82e908")</f>
        <v>https://miland.ru/api/getInfo/item/f0844011-cf00-11ee-a25a-00155d82e908</v>
      </c>
      <c r="AB3711" s="21" t="s">
        <v>42</v>
      </c>
      <c r="AC3711" s="21" t="s">
        <v>13004</v>
      </c>
      <c r="AD3711" s="21"/>
    </row>
    <row r="3712" spans="2:31" s="1" customFormat="1" ht="96.3" customHeight="1" outlineLevel="7">
      <c r="B3712" s="59">
        <v>2908</v>
      </c>
      <c r="C3712" s="35" t="s">
        <v>13025</v>
      </c>
      <c r="D3712" s="73" t="s">
        <v>13026</v>
      </c>
      <c r="E3712" s="73"/>
      <c r="F3712" s="73"/>
      <c r="G3712" s="73"/>
      <c r="H3712" s="36" t="s">
        <v>13027</v>
      </c>
      <c r="I3712" s="56" t="s">
        <v>36</v>
      </c>
      <c r="J3712" s="36"/>
      <c r="K3712" s="34">
        <v>24</v>
      </c>
      <c r="L3712" s="41">
        <v>14.733333333333334</v>
      </c>
      <c r="M3712" s="11"/>
      <c r="N3712" s="36">
        <f t="shared" si="181"/>
        <v>0</v>
      </c>
      <c r="O3712" s="47">
        <f>0.02*M3712</f>
        <v>0</v>
      </c>
      <c r="P3712" s="43">
        <f>0.00008*M3712</f>
        <v>0</v>
      </c>
      <c r="Q3712" s="50"/>
      <c r="R3712" s="36" t="s">
        <v>13028</v>
      </c>
      <c r="S3712" s="36" t="s">
        <v>435</v>
      </c>
      <c r="T3712" s="35" t="str">
        <f>HYPERLINK("https://miland.ru/api/getInfo/image/4c008318-ceff-11ee-a25a-00155d82e908")</f>
        <v>https://miland.ru/api/getInfo/image/4c008318-ceff-11ee-a25a-00155d82e908</v>
      </c>
      <c r="U3712" s="35"/>
      <c r="V3712" s="35" t="s">
        <v>6525</v>
      </c>
      <c r="W3712" s="35" t="s">
        <v>378</v>
      </c>
      <c r="X3712" s="35"/>
      <c r="Y3712" s="35" t="s">
        <v>41</v>
      </c>
      <c r="Z3712" s="35"/>
      <c r="AA3712" s="35" t="str">
        <f>HYPERLINK("https://miland.ru/api/getInfo/item/4c008318-ceff-11ee-a25a-00155d82e908")</f>
        <v>https://miland.ru/api/getInfo/item/4c008318-ceff-11ee-a25a-00155d82e908</v>
      </c>
      <c r="AB3712" s="35" t="s">
        <v>42</v>
      </c>
      <c r="AC3712" s="35" t="s">
        <v>13004</v>
      </c>
      <c r="AD3712" s="35"/>
      <c r="AE3712" s="52" t="s">
        <v>1251</v>
      </c>
    </row>
    <row r="3713" spans="2:31" s="1" customFormat="1" ht="96.3" customHeight="1" outlineLevel="7">
      <c r="B3713" s="57">
        <v>2909</v>
      </c>
      <c r="C3713" s="21" t="s">
        <v>13029</v>
      </c>
      <c r="D3713" s="72" t="s">
        <v>13030</v>
      </c>
      <c r="E3713" s="72"/>
      <c r="F3713" s="72"/>
      <c r="G3713" s="72"/>
      <c r="H3713" s="22" t="s">
        <v>13031</v>
      </c>
      <c r="I3713" s="23" t="s">
        <v>36</v>
      </c>
      <c r="J3713" s="22"/>
      <c r="K3713" s="20">
        <v>24</v>
      </c>
      <c r="L3713" s="24">
        <v>28.7</v>
      </c>
      <c r="M3713" s="11"/>
      <c r="N3713" s="22">
        <f t="shared" si="181"/>
        <v>0</v>
      </c>
      <c r="O3713" s="25">
        <f>0.017*M3713</f>
        <v>0</v>
      </c>
      <c r="P3713" s="26">
        <f>0.00023*M3713</f>
        <v>0</v>
      </c>
      <c r="Q3713" s="30"/>
      <c r="R3713" s="22" t="s">
        <v>13032</v>
      </c>
      <c r="S3713" s="22" t="s">
        <v>435</v>
      </c>
      <c r="T3713" s="21" t="str">
        <f>HYPERLINK("https://miland.ru/api/getInfo/image/4b84b03e-19ae-11ef-a25d-00155d82e908")</f>
        <v>https://miland.ru/api/getInfo/image/4b84b03e-19ae-11ef-a25d-00155d82e908</v>
      </c>
      <c r="U3713" s="21"/>
      <c r="V3713" s="21" t="s">
        <v>6525</v>
      </c>
      <c r="W3713" s="21" t="s">
        <v>378</v>
      </c>
      <c r="X3713" s="21"/>
      <c r="Y3713" s="21" t="s">
        <v>41</v>
      </c>
      <c r="Z3713" s="21"/>
      <c r="AA3713" s="21" t="str">
        <f>HYPERLINK("https://miland.ru/api/getInfo/item/4b84b03e-19ae-11ef-a25d-00155d82e908")</f>
        <v>https://miland.ru/api/getInfo/item/4b84b03e-19ae-11ef-a25d-00155d82e908</v>
      </c>
      <c r="AB3713" s="21" t="s">
        <v>42</v>
      </c>
      <c r="AC3713" s="21" t="s">
        <v>13004</v>
      </c>
      <c r="AD3713" s="21"/>
    </row>
    <row r="3714" spans="2:31" ht="12" customHeight="1" outlineLevel="4">
      <c r="B3714" s="70" t="s">
        <v>13033</v>
      </c>
      <c r="C3714" s="70"/>
      <c r="D3714" s="70"/>
      <c r="E3714" s="70"/>
      <c r="F3714" s="70"/>
      <c r="G3714" s="70"/>
    </row>
    <row r="3715" spans="2:31" ht="12" customHeight="1" outlineLevel="5">
      <c r="B3715" s="70" t="s">
        <v>13034</v>
      </c>
      <c r="C3715" s="70"/>
      <c r="D3715" s="70"/>
      <c r="E3715" s="70"/>
      <c r="F3715" s="70"/>
      <c r="G3715" s="70"/>
    </row>
    <row r="3716" spans="2:31" ht="12" customHeight="1" outlineLevel="6">
      <c r="B3716" s="70" t="s">
        <v>6731</v>
      </c>
      <c r="C3716" s="70"/>
      <c r="D3716" s="70"/>
      <c r="E3716" s="70"/>
      <c r="F3716" s="70"/>
      <c r="G3716" s="70"/>
    </row>
    <row r="3717" spans="2:31" s="1" customFormat="1" ht="96.3" customHeight="1" outlineLevel="7">
      <c r="B3717" s="58">
        <v>2910</v>
      </c>
      <c r="C3717" s="7" t="s">
        <v>13035</v>
      </c>
      <c r="D3717" s="71" t="s">
        <v>13036</v>
      </c>
      <c r="E3717" s="71"/>
      <c r="F3717" s="71"/>
      <c r="G3717" s="71"/>
      <c r="H3717" s="8" t="s">
        <v>13037</v>
      </c>
      <c r="I3717" s="14">
        <v>420</v>
      </c>
      <c r="J3717" s="8"/>
      <c r="K3717" s="6">
        <v>12</v>
      </c>
      <c r="L3717" s="10">
        <v>31.54</v>
      </c>
      <c r="M3717" s="11"/>
      <c r="N3717" s="8">
        <f>L3717*M3717</f>
        <v>0</v>
      </c>
      <c r="O3717" s="12">
        <f>0.043*M3717</f>
        <v>0</v>
      </c>
      <c r="P3717" s="13">
        <f>0.00021*M3717</f>
        <v>0</v>
      </c>
      <c r="Q3717" s="17" t="s">
        <v>37</v>
      </c>
      <c r="R3717" s="8" t="s">
        <v>13038</v>
      </c>
      <c r="S3717" s="8"/>
      <c r="T3717" s="7" t="str">
        <f>HYPERLINK("https://miland.ru/api/getInfo/image/628edfaf-58a7-11f0-a27f-00155d82e908")</f>
        <v>https://miland.ru/api/getInfo/image/628edfaf-58a7-11f0-a27f-00155d82e908</v>
      </c>
      <c r="U3717" s="7"/>
      <c r="V3717" s="7"/>
      <c r="W3717" s="7" t="s">
        <v>378</v>
      </c>
      <c r="X3717" s="7"/>
      <c r="Y3717" s="7" t="s">
        <v>41</v>
      </c>
      <c r="Z3717" s="7"/>
      <c r="AA3717" s="7" t="str">
        <f>HYPERLINK("https://miland.ru/api/getInfo/item/628edfaf-58a7-11f0-a27f-00155d82e908")</f>
        <v>https://miland.ru/api/getInfo/item/628edfaf-58a7-11f0-a27f-00155d82e908</v>
      </c>
      <c r="AB3717" s="7" t="s">
        <v>42</v>
      </c>
      <c r="AC3717" s="7"/>
      <c r="AD3717" s="7"/>
      <c r="AE3717" s="54"/>
    </row>
    <row r="3718" spans="2:31" s="1" customFormat="1" ht="96.3" customHeight="1" outlineLevel="7">
      <c r="B3718" s="58">
        <v>2911</v>
      </c>
      <c r="C3718" s="7" t="s">
        <v>13039</v>
      </c>
      <c r="D3718" s="71" t="s">
        <v>13040</v>
      </c>
      <c r="E3718" s="71"/>
      <c r="F3718" s="71"/>
      <c r="G3718" s="71"/>
      <c r="H3718" s="8" t="s">
        <v>13041</v>
      </c>
      <c r="I3718" s="14">
        <v>252</v>
      </c>
      <c r="J3718" s="8"/>
      <c r="K3718" s="6">
        <v>12</v>
      </c>
      <c r="L3718" s="10">
        <v>31.54</v>
      </c>
      <c r="M3718" s="11"/>
      <c r="N3718" s="8">
        <f>L3718*M3718</f>
        <v>0</v>
      </c>
      <c r="O3718" s="12">
        <f>0.043*M3718</f>
        <v>0</v>
      </c>
      <c r="P3718" s="13">
        <f>0.00021*M3718</f>
        <v>0</v>
      </c>
      <c r="Q3718" s="17" t="s">
        <v>37</v>
      </c>
      <c r="R3718" s="8" t="s">
        <v>13042</v>
      </c>
      <c r="S3718" s="8"/>
      <c r="T3718" s="7" t="str">
        <f>HYPERLINK("https://miland.ru/api/getInfo/image/a032637c-58a7-11f0-a27f-00155d82e908")</f>
        <v>https://miland.ru/api/getInfo/image/a032637c-58a7-11f0-a27f-00155d82e908</v>
      </c>
      <c r="U3718" s="7"/>
      <c r="V3718" s="7"/>
      <c r="W3718" s="7" t="s">
        <v>378</v>
      </c>
      <c r="X3718" s="7"/>
      <c r="Y3718" s="7" t="s">
        <v>41</v>
      </c>
      <c r="Z3718" s="7"/>
      <c r="AA3718" s="7" t="str">
        <f>HYPERLINK("https://miland.ru/api/getInfo/item/a032637c-58a7-11f0-a27f-00155d82e908")</f>
        <v>https://miland.ru/api/getInfo/item/a032637c-58a7-11f0-a27f-00155d82e908</v>
      </c>
      <c r="AB3718" s="7" t="s">
        <v>42</v>
      </c>
      <c r="AC3718" s="7"/>
      <c r="AD3718" s="7"/>
      <c r="AE3718" s="54"/>
    </row>
    <row r="3719" spans="2:31" s="1" customFormat="1" ht="96.3" customHeight="1" outlineLevel="7">
      <c r="B3719" s="58">
        <v>2912</v>
      </c>
      <c r="C3719" s="7" t="s">
        <v>13043</v>
      </c>
      <c r="D3719" s="71" t="s">
        <v>13044</v>
      </c>
      <c r="E3719" s="71"/>
      <c r="F3719" s="71"/>
      <c r="G3719" s="71"/>
      <c r="H3719" s="8" t="s">
        <v>13045</v>
      </c>
      <c r="I3719" s="14">
        <v>252</v>
      </c>
      <c r="J3719" s="8"/>
      <c r="K3719" s="6">
        <v>12</v>
      </c>
      <c r="L3719" s="10">
        <v>31.54</v>
      </c>
      <c r="M3719" s="11"/>
      <c r="N3719" s="8">
        <f>L3719*M3719</f>
        <v>0</v>
      </c>
      <c r="O3719" s="12">
        <f>0.043*M3719</f>
        <v>0</v>
      </c>
      <c r="P3719" s="13">
        <f>0.00021*M3719</f>
        <v>0</v>
      </c>
      <c r="Q3719" s="17" t="s">
        <v>37</v>
      </c>
      <c r="R3719" s="8" t="s">
        <v>13046</v>
      </c>
      <c r="S3719" s="8"/>
      <c r="T3719" s="7" t="str">
        <f>HYPERLINK("https://miland.ru/api/getInfo/image/e9ba8319-58a7-11f0-a27f-00155d82e908")</f>
        <v>https://miland.ru/api/getInfo/image/e9ba8319-58a7-11f0-a27f-00155d82e908</v>
      </c>
      <c r="U3719" s="7"/>
      <c r="V3719" s="7"/>
      <c r="W3719" s="7" t="s">
        <v>378</v>
      </c>
      <c r="X3719" s="7"/>
      <c r="Y3719" s="7" t="s">
        <v>41</v>
      </c>
      <c r="Z3719" s="7"/>
      <c r="AA3719" s="7" t="str">
        <f>HYPERLINK("https://miland.ru/api/getInfo/item/e9ba8319-58a7-11f0-a27f-00155d82e908")</f>
        <v>https://miland.ru/api/getInfo/item/e9ba8319-58a7-11f0-a27f-00155d82e908</v>
      </c>
      <c r="AB3719" s="7" t="s">
        <v>42</v>
      </c>
      <c r="AC3719" s="7"/>
      <c r="AD3719" s="7"/>
      <c r="AE3719" s="54"/>
    </row>
    <row r="3720" spans="2:31" ht="12" customHeight="1" outlineLevel="5">
      <c r="B3720" s="70" t="s">
        <v>6556</v>
      </c>
      <c r="C3720" s="70"/>
      <c r="D3720" s="70"/>
      <c r="E3720" s="70"/>
      <c r="F3720" s="70"/>
      <c r="G3720" s="70"/>
    </row>
    <row r="3721" spans="2:31" s="1" customFormat="1" ht="96.3" customHeight="1" outlineLevel="6">
      <c r="B3721" s="59">
        <v>2913</v>
      </c>
      <c r="C3721" s="35" t="s">
        <v>13047</v>
      </c>
      <c r="D3721" s="73" t="s">
        <v>13048</v>
      </c>
      <c r="E3721" s="73"/>
      <c r="F3721" s="73"/>
      <c r="G3721" s="73"/>
      <c r="H3721" s="36" t="s">
        <v>13049</v>
      </c>
      <c r="I3721" s="56" t="s">
        <v>36</v>
      </c>
      <c r="J3721" s="36"/>
      <c r="K3721" s="34">
        <v>24</v>
      </c>
      <c r="L3721" s="41">
        <v>29.653333333333332</v>
      </c>
      <c r="M3721" s="11"/>
      <c r="N3721" s="36">
        <f t="shared" ref="N3721:N3740" si="182">L3721*M3721</f>
        <v>0</v>
      </c>
      <c r="O3721" s="42">
        <f>0.025*M3721</f>
        <v>0</v>
      </c>
      <c r="P3721" s="43">
        <f>0.00012*M3721</f>
        <v>0</v>
      </c>
      <c r="Q3721" s="50"/>
      <c r="R3721" s="36" t="s">
        <v>13050</v>
      </c>
      <c r="S3721" s="36" t="s">
        <v>435</v>
      </c>
      <c r="T3721" s="35" t="str">
        <f>HYPERLINK("https://miland.ru/api/getInfo/image/d871c0c0-0311-11ef-a25d-00155d82e908")</f>
        <v>https://miland.ru/api/getInfo/image/d871c0c0-0311-11ef-a25d-00155d82e908</v>
      </c>
      <c r="U3721" s="35"/>
      <c r="V3721" s="35" t="s">
        <v>6525</v>
      </c>
      <c r="W3721" s="35" t="s">
        <v>378</v>
      </c>
      <c r="X3721" s="35"/>
      <c r="Y3721" s="35" t="s">
        <v>41</v>
      </c>
      <c r="Z3721" s="35"/>
      <c r="AA3721" s="35" t="str">
        <f>HYPERLINK("https://miland.ru/api/getInfo/item/d871c0c0-0311-11ef-a25d-00155d82e908")</f>
        <v>https://miland.ru/api/getInfo/item/d871c0c0-0311-11ef-a25d-00155d82e908</v>
      </c>
      <c r="AB3721" s="35" t="s">
        <v>42</v>
      </c>
      <c r="AC3721" s="35" t="s">
        <v>13051</v>
      </c>
      <c r="AD3721" s="35"/>
      <c r="AE3721" s="52" t="s">
        <v>1251</v>
      </c>
    </row>
    <row r="3722" spans="2:31" s="1" customFormat="1" ht="96.3" customHeight="1" outlineLevel="6">
      <c r="B3722" s="59">
        <v>2914</v>
      </c>
      <c r="C3722" s="35" t="s">
        <v>13052</v>
      </c>
      <c r="D3722" s="73" t="s">
        <v>13053</v>
      </c>
      <c r="E3722" s="73"/>
      <c r="F3722" s="73"/>
      <c r="G3722" s="73"/>
      <c r="H3722" s="36" t="s">
        <v>13054</v>
      </c>
      <c r="I3722" s="56" t="s">
        <v>36</v>
      </c>
      <c r="J3722" s="36"/>
      <c r="K3722" s="34">
        <v>24</v>
      </c>
      <c r="L3722" s="41">
        <v>29.653333333333332</v>
      </c>
      <c r="M3722" s="11"/>
      <c r="N3722" s="36">
        <f t="shared" si="182"/>
        <v>0</v>
      </c>
      <c r="O3722" s="42">
        <f>0.025*M3722</f>
        <v>0</v>
      </c>
      <c r="P3722" s="43">
        <f>0.00182*M3722</f>
        <v>0</v>
      </c>
      <c r="Q3722" s="50" t="s">
        <v>37</v>
      </c>
      <c r="R3722" s="36" t="s">
        <v>13055</v>
      </c>
      <c r="S3722" s="36"/>
      <c r="T3722" s="35" t="str">
        <f>HYPERLINK("https://miland.ru/api/getInfo/image/b9e1e9e9-692b-11f0-a283-00155d82e908")</f>
        <v>https://miland.ru/api/getInfo/image/b9e1e9e9-692b-11f0-a283-00155d82e908</v>
      </c>
      <c r="U3722" s="35"/>
      <c r="V3722" s="35" t="s">
        <v>6525</v>
      </c>
      <c r="W3722" s="35" t="s">
        <v>378</v>
      </c>
      <c r="X3722" s="35"/>
      <c r="Y3722" s="35" t="s">
        <v>41</v>
      </c>
      <c r="Z3722" s="35"/>
      <c r="AA3722" s="35" t="str">
        <f>HYPERLINK("https://miland.ru/api/getInfo/item/b9e1e9e9-692b-11f0-a283-00155d82e908")</f>
        <v>https://miland.ru/api/getInfo/item/b9e1e9e9-692b-11f0-a283-00155d82e908</v>
      </c>
      <c r="AB3722" s="35" t="s">
        <v>42</v>
      </c>
      <c r="AC3722" s="35"/>
      <c r="AD3722" s="35"/>
      <c r="AE3722" s="52" t="s">
        <v>1251</v>
      </c>
    </row>
    <row r="3723" spans="2:31" s="1" customFormat="1" ht="96.3" customHeight="1" outlineLevel="6">
      <c r="B3723" s="59">
        <v>2915</v>
      </c>
      <c r="C3723" s="35" t="s">
        <v>13056</v>
      </c>
      <c r="D3723" s="73" t="s">
        <v>13057</v>
      </c>
      <c r="E3723" s="73"/>
      <c r="F3723" s="73"/>
      <c r="G3723" s="73"/>
      <c r="H3723" s="36" t="s">
        <v>13058</v>
      </c>
      <c r="I3723" s="56" t="s">
        <v>36</v>
      </c>
      <c r="J3723" s="36"/>
      <c r="K3723" s="34">
        <v>24</v>
      </c>
      <c r="L3723" s="41">
        <v>29.653333333333332</v>
      </c>
      <c r="M3723" s="11"/>
      <c r="N3723" s="36">
        <f t="shared" si="182"/>
        <v>0</v>
      </c>
      <c r="O3723" s="42">
        <f>0.026*M3723</f>
        <v>0</v>
      </c>
      <c r="P3723" s="43">
        <f>0.00017*M3723</f>
        <v>0</v>
      </c>
      <c r="Q3723" s="50" t="s">
        <v>37</v>
      </c>
      <c r="R3723" s="36" t="s">
        <v>13059</v>
      </c>
      <c r="S3723" s="36"/>
      <c r="T3723" s="35" t="str">
        <f>HYPERLINK("https://miland.ru/api/getInfo/image/791d9bee-692c-11f0-a283-00155d82e908")</f>
        <v>https://miland.ru/api/getInfo/image/791d9bee-692c-11f0-a283-00155d82e908</v>
      </c>
      <c r="U3723" s="35"/>
      <c r="V3723" s="35" t="s">
        <v>6525</v>
      </c>
      <c r="W3723" s="35" t="s">
        <v>378</v>
      </c>
      <c r="X3723" s="35"/>
      <c r="Y3723" s="35" t="s">
        <v>41</v>
      </c>
      <c r="Z3723" s="35"/>
      <c r="AA3723" s="35" t="str">
        <f>HYPERLINK("https://miland.ru/api/getInfo/item/791d9bee-692c-11f0-a283-00155d82e908")</f>
        <v>https://miland.ru/api/getInfo/item/791d9bee-692c-11f0-a283-00155d82e908</v>
      </c>
      <c r="AB3723" s="35" t="s">
        <v>42</v>
      </c>
      <c r="AC3723" s="35"/>
      <c r="AD3723" s="35"/>
      <c r="AE3723" s="52" t="s">
        <v>1251</v>
      </c>
    </row>
    <row r="3724" spans="2:31" s="1" customFormat="1" ht="96.3" customHeight="1" outlineLevel="6">
      <c r="B3724" s="59">
        <v>2916</v>
      </c>
      <c r="C3724" s="35" t="s">
        <v>13060</v>
      </c>
      <c r="D3724" s="73" t="s">
        <v>13061</v>
      </c>
      <c r="E3724" s="73"/>
      <c r="F3724" s="73"/>
      <c r="G3724" s="73"/>
      <c r="H3724" s="36" t="s">
        <v>13062</v>
      </c>
      <c r="I3724" s="40">
        <v>48</v>
      </c>
      <c r="J3724" s="36"/>
      <c r="K3724" s="34">
        <v>24</v>
      </c>
      <c r="L3724" s="41">
        <v>29.653333333333332</v>
      </c>
      <c r="M3724" s="11"/>
      <c r="N3724" s="36">
        <f t="shared" si="182"/>
        <v>0</v>
      </c>
      <c r="O3724" s="42">
        <f>0.025*M3724</f>
        <v>0</v>
      </c>
      <c r="P3724" s="43">
        <f>0.00012*M3724</f>
        <v>0</v>
      </c>
      <c r="Q3724" s="50"/>
      <c r="R3724" s="36" t="s">
        <v>13063</v>
      </c>
      <c r="S3724" s="36" t="s">
        <v>435</v>
      </c>
      <c r="T3724" s="35" t="str">
        <f>HYPERLINK("https://miland.ru/api/getInfo/image/4010b8f1-0312-11ef-a25d-00155d82e908")</f>
        <v>https://miland.ru/api/getInfo/image/4010b8f1-0312-11ef-a25d-00155d82e908</v>
      </c>
      <c r="U3724" s="35"/>
      <c r="V3724" s="35" t="s">
        <v>6525</v>
      </c>
      <c r="W3724" s="35" t="s">
        <v>378</v>
      </c>
      <c r="X3724" s="35"/>
      <c r="Y3724" s="35" t="s">
        <v>41</v>
      </c>
      <c r="Z3724" s="35"/>
      <c r="AA3724" s="35" t="str">
        <f>HYPERLINK("https://miland.ru/api/getInfo/item/4010b8f1-0312-11ef-a25d-00155d82e908")</f>
        <v>https://miland.ru/api/getInfo/item/4010b8f1-0312-11ef-a25d-00155d82e908</v>
      </c>
      <c r="AB3724" s="35" t="s">
        <v>42</v>
      </c>
      <c r="AC3724" s="35" t="s">
        <v>13051</v>
      </c>
      <c r="AD3724" s="35"/>
      <c r="AE3724" s="52" t="s">
        <v>1251</v>
      </c>
    </row>
    <row r="3725" spans="2:31" s="1" customFormat="1" ht="96.3" customHeight="1" outlineLevel="6">
      <c r="B3725" s="59">
        <v>2917</v>
      </c>
      <c r="C3725" s="35" t="s">
        <v>13064</v>
      </c>
      <c r="D3725" s="73" t="s">
        <v>13065</v>
      </c>
      <c r="E3725" s="73"/>
      <c r="F3725" s="73"/>
      <c r="G3725" s="73"/>
      <c r="H3725" s="36" t="s">
        <v>13066</v>
      </c>
      <c r="I3725" s="40">
        <v>372</v>
      </c>
      <c r="J3725" s="36"/>
      <c r="K3725" s="34">
        <v>24</v>
      </c>
      <c r="L3725" s="41">
        <v>29.653333333333332</v>
      </c>
      <c r="M3725" s="11"/>
      <c r="N3725" s="36">
        <f t="shared" si="182"/>
        <v>0</v>
      </c>
      <c r="O3725" s="42">
        <f>0.025*M3725</f>
        <v>0</v>
      </c>
      <c r="P3725" s="43">
        <f>0.00012*M3725</f>
        <v>0</v>
      </c>
      <c r="Q3725" s="50"/>
      <c r="R3725" s="36" t="s">
        <v>13067</v>
      </c>
      <c r="S3725" s="36" t="s">
        <v>435</v>
      </c>
      <c r="T3725" s="35" t="str">
        <f>HYPERLINK("https://miland.ru/api/getInfo/image/92493035-0311-11ef-a25d-00155d82e908")</f>
        <v>https://miland.ru/api/getInfo/image/92493035-0311-11ef-a25d-00155d82e908</v>
      </c>
      <c r="U3725" s="35"/>
      <c r="V3725" s="35" t="s">
        <v>6525</v>
      </c>
      <c r="W3725" s="35" t="s">
        <v>378</v>
      </c>
      <c r="X3725" s="35"/>
      <c r="Y3725" s="35" t="s">
        <v>41</v>
      </c>
      <c r="Z3725" s="35"/>
      <c r="AA3725" s="35" t="str">
        <f>HYPERLINK("https://miland.ru/api/getInfo/item/92493035-0311-11ef-a25d-00155d82e908")</f>
        <v>https://miland.ru/api/getInfo/item/92493035-0311-11ef-a25d-00155d82e908</v>
      </c>
      <c r="AB3725" s="35" t="s">
        <v>42</v>
      </c>
      <c r="AC3725" s="35" t="s">
        <v>13051</v>
      </c>
      <c r="AD3725" s="35"/>
      <c r="AE3725" s="52" t="s">
        <v>1251</v>
      </c>
    </row>
    <row r="3726" spans="2:31" s="1" customFormat="1" ht="96.3" customHeight="1" outlineLevel="6">
      <c r="B3726" s="59">
        <v>2918</v>
      </c>
      <c r="C3726" s="35" t="s">
        <v>13068</v>
      </c>
      <c r="D3726" s="73" t="s">
        <v>13069</v>
      </c>
      <c r="E3726" s="73"/>
      <c r="F3726" s="73"/>
      <c r="G3726" s="73"/>
      <c r="H3726" s="36" t="s">
        <v>13070</v>
      </c>
      <c r="I3726" s="40">
        <v>492</v>
      </c>
      <c r="J3726" s="36"/>
      <c r="K3726" s="34">
        <v>24</v>
      </c>
      <c r="L3726" s="41">
        <v>29.653333333333332</v>
      </c>
      <c r="M3726" s="11"/>
      <c r="N3726" s="36">
        <f t="shared" si="182"/>
        <v>0</v>
      </c>
      <c r="O3726" s="42">
        <f>0.025*M3726</f>
        <v>0</v>
      </c>
      <c r="P3726" s="43">
        <f>0.00014*M3726</f>
        <v>0</v>
      </c>
      <c r="Q3726" s="50" t="s">
        <v>37</v>
      </c>
      <c r="R3726" s="36" t="s">
        <v>13071</v>
      </c>
      <c r="S3726" s="36"/>
      <c r="T3726" s="35" t="str">
        <f>HYPERLINK("https://miland.ru/api/getInfo/image/aff2b516-692a-11f0-a283-00155d82e908")</f>
        <v>https://miland.ru/api/getInfo/image/aff2b516-692a-11f0-a283-00155d82e908</v>
      </c>
      <c r="U3726" s="35"/>
      <c r="V3726" s="35" t="s">
        <v>6525</v>
      </c>
      <c r="W3726" s="35" t="s">
        <v>378</v>
      </c>
      <c r="X3726" s="35"/>
      <c r="Y3726" s="35" t="s">
        <v>41</v>
      </c>
      <c r="Z3726" s="35"/>
      <c r="AA3726" s="35" t="str">
        <f>HYPERLINK("https://miland.ru/api/getInfo/item/aff2b516-692a-11f0-a283-00155d82e908")</f>
        <v>https://miland.ru/api/getInfo/item/aff2b516-692a-11f0-a283-00155d82e908</v>
      </c>
      <c r="AB3726" s="35" t="s">
        <v>42</v>
      </c>
      <c r="AC3726" s="35"/>
      <c r="AD3726" s="35"/>
      <c r="AE3726" s="52" t="s">
        <v>1251</v>
      </c>
    </row>
    <row r="3727" spans="2:31" s="1" customFormat="1" ht="96.3" customHeight="1" outlineLevel="6">
      <c r="B3727" s="59">
        <v>2919</v>
      </c>
      <c r="C3727" s="35" t="s">
        <v>13072</v>
      </c>
      <c r="D3727" s="73" t="s">
        <v>13073</v>
      </c>
      <c r="E3727" s="73"/>
      <c r="F3727" s="73"/>
      <c r="G3727" s="73"/>
      <c r="H3727" s="36" t="s">
        <v>13074</v>
      </c>
      <c r="I3727" s="56" t="s">
        <v>36</v>
      </c>
      <c r="J3727" s="36"/>
      <c r="K3727" s="34">
        <v>24</v>
      </c>
      <c r="L3727" s="41">
        <v>29.653333333333332</v>
      </c>
      <c r="M3727" s="11"/>
      <c r="N3727" s="36">
        <f t="shared" si="182"/>
        <v>0</v>
      </c>
      <c r="O3727" s="42">
        <f>0.025*M3727</f>
        <v>0</v>
      </c>
      <c r="P3727" s="43">
        <f>0.00012*M3727</f>
        <v>0</v>
      </c>
      <c r="Q3727" s="50"/>
      <c r="R3727" s="36" t="s">
        <v>13075</v>
      </c>
      <c r="S3727" s="36" t="s">
        <v>435</v>
      </c>
      <c r="T3727" s="35" t="str">
        <f>HYPERLINK("https://miland.ru/api/getInfo/image/be0ccc3b-0311-11ef-a25d-00155d82e908")</f>
        <v>https://miland.ru/api/getInfo/image/be0ccc3b-0311-11ef-a25d-00155d82e908</v>
      </c>
      <c r="U3727" s="35"/>
      <c r="V3727" s="35" t="s">
        <v>6525</v>
      </c>
      <c r="W3727" s="35" t="s">
        <v>378</v>
      </c>
      <c r="X3727" s="35"/>
      <c r="Y3727" s="35" t="s">
        <v>41</v>
      </c>
      <c r="Z3727" s="35"/>
      <c r="AA3727" s="35" t="str">
        <f>HYPERLINK("https://miland.ru/api/getInfo/item/be0ccc3b-0311-11ef-a25d-00155d82e908")</f>
        <v>https://miland.ru/api/getInfo/item/be0ccc3b-0311-11ef-a25d-00155d82e908</v>
      </c>
      <c r="AB3727" s="35" t="s">
        <v>42</v>
      </c>
      <c r="AC3727" s="35" t="s">
        <v>13051</v>
      </c>
      <c r="AD3727" s="35"/>
      <c r="AE3727" s="52" t="s">
        <v>1251</v>
      </c>
    </row>
    <row r="3728" spans="2:31" s="1" customFormat="1" ht="96.3" customHeight="1" outlineLevel="6">
      <c r="B3728" s="59">
        <v>2920</v>
      </c>
      <c r="C3728" s="35" t="s">
        <v>13076</v>
      </c>
      <c r="D3728" s="73" t="s">
        <v>13077</v>
      </c>
      <c r="E3728" s="73"/>
      <c r="F3728" s="73"/>
      <c r="G3728" s="73"/>
      <c r="H3728" s="36" t="s">
        <v>13078</v>
      </c>
      <c r="I3728" s="40">
        <v>192</v>
      </c>
      <c r="J3728" s="36"/>
      <c r="K3728" s="34">
        <v>24</v>
      </c>
      <c r="L3728" s="41">
        <v>29.653333333333332</v>
      </c>
      <c r="M3728" s="11"/>
      <c r="N3728" s="36">
        <f t="shared" si="182"/>
        <v>0</v>
      </c>
      <c r="O3728" s="42">
        <f>0.025*M3728</f>
        <v>0</v>
      </c>
      <c r="P3728" s="43">
        <f>0.00182*M3728</f>
        <v>0</v>
      </c>
      <c r="Q3728" s="50" t="s">
        <v>37</v>
      </c>
      <c r="R3728" s="36" t="s">
        <v>13079</v>
      </c>
      <c r="S3728" s="36"/>
      <c r="T3728" s="35" t="str">
        <f>HYPERLINK("https://miland.ru/api/getInfo/image/a1b7b585-692c-11f0-a283-00155d82e908")</f>
        <v>https://miland.ru/api/getInfo/image/a1b7b585-692c-11f0-a283-00155d82e908</v>
      </c>
      <c r="U3728" s="35"/>
      <c r="V3728" s="35" t="s">
        <v>6525</v>
      </c>
      <c r="W3728" s="35" t="s">
        <v>378</v>
      </c>
      <c r="X3728" s="35"/>
      <c r="Y3728" s="35" t="s">
        <v>41</v>
      </c>
      <c r="Z3728" s="35"/>
      <c r="AA3728" s="35" t="str">
        <f>HYPERLINK("https://miland.ru/api/getInfo/item/a1b7b585-692c-11f0-a283-00155d82e908")</f>
        <v>https://miland.ru/api/getInfo/item/a1b7b585-692c-11f0-a283-00155d82e908</v>
      </c>
      <c r="AB3728" s="35" t="s">
        <v>42</v>
      </c>
      <c r="AC3728" s="35"/>
      <c r="AD3728" s="35"/>
      <c r="AE3728" s="52" t="s">
        <v>1251</v>
      </c>
    </row>
    <row r="3729" spans="2:31" s="1" customFormat="1" ht="96.3" customHeight="1" outlineLevel="6">
      <c r="B3729" s="59">
        <v>2921</v>
      </c>
      <c r="C3729" s="35" t="s">
        <v>13080</v>
      </c>
      <c r="D3729" s="73" t="s">
        <v>13081</v>
      </c>
      <c r="E3729" s="73"/>
      <c r="F3729" s="73"/>
      <c r="G3729" s="73"/>
      <c r="H3729" s="36" t="s">
        <v>13082</v>
      </c>
      <c r="I3729" s="56" t="s">
        <v>36</v>
      </c>
      <c r="J3729" s="36"/>
      <c r="K3729" s="34">
        <v>24</v>
      </c>
      <c r="L3729" s="41">
        <v>29.653333333333332</v>
      </c>
      <c r="M3729" s="11"/>
      <c r="N3729" s="36">
        <f t="shared" si="182"/>
        <v>0</v>
      </c>
      <c r="O3729" s="42">
        <f t="shared" ref="O3729:O3735" si="183">0.026*M3729</f>
        <v>0</v>
      </c>
      <c r="P3729" s="43">
        <f>0.00017*M3729</f>
        <v>0</v>
      </c>
      <c r="Q3729" s="50" t="s">
        <v>37</v>
      </c>
      <c r="R3729" s="36" t="s">
        <v>13083</v>
      </c>
      <c r="S3729" s="36"/>
      <c r="T3729" s="35" t="str">
        <f>HYPERLINK("https://miland.ru/api/getInfo/image/20fbd1b6-692c-11f0-a283-00155d82e908")</f>
        <v>https://miland.ru/api/getInfo/image/20fbd1b6-692c-11f0-a283-00155d82e908</v>
      </c>
      <c r="U3729" s="35"/>
      <c r="V3729" s="35" t="s">
        <v>6525</v>
      </c>
      <c r="W3729" s="35" t="s">
        <v>378</v>
      </c>
      <c r="X3729" s="35"/>
      <c r="Y3729" s="35" t="s">
        <v>41</v>
      </c>
      <c r="Z3729" s="35"/>
      <c r="AA3729" s="35" t="str">
        <f>HYPERLINK("https://miland.ru/api/getInfo/item/20fbd1b6-692c-11f0-a283-00155d82e908")</f>
        <v>https://miland.ru/api/getInfo/item/20fbd1b6-692c-11f0-a283-00155d82e908</v>
      </c>
      <c r="AB3729" s="35" t="s">
        <v>42</v>
      </c>
      <c r="AC3729" s="35"/>
      <c r="AD3729" s="35"/>
      <c r="AE3729" s="52" t="s">
        <v>1251</v>
      </c>
    </row>
    <row r="3730" spans="2:31" s="1" customFormat="1" ht="96.3" customHeight="1" outlineLevel="6">
      <c r="B3730" s="59">
        <v>2922</v>
      </c>
      <c r="C3730" s="35" t="s">
        <v>13084</v>
      </c>
      <c r="D3730" s="73" t="s">
        <v>13085</v>
      </c>
      <c r="E3730" s="73"/>
      <c r="F3730" s="73"/>
      <c r="G3730" s="73"/>
      <c r="H3730" s="36" t="s">
        <v>13086</v>
      </c>
      <c r="I3730" s="56" t="s">
        <v>36</v>
      </c>
      <c r="J3730" s="36"/>
      <c r="K3730" s="34">
        <v>24</v>
      </c>
      <c r="L3730" s="41">
        <v>29.653333333333332</v>
      </c>
      <c r="M3730" s="11"/>
      <c r="N3730" s="36">
        <f t="shared" si="182"/>
        <v>0</v>
      </c>
      <c r="O3730" s="42">
        <f t="shared" si="183"/>
        <v>0</v>
      </c>
      <c r="P3730" s="43">
        <f>0.00014*M3730</f>
        <v>0</v>
      </c>
      <c r="Q3730" s="50" t="s">
        <v>37</v>
      </c>
      <c r="R3730" s="36" t="s">
        <v>13087</v>
      </c>
      <c r="S3730" s="36"/>
      <c r="T3730" s="35" t="str">
        <f>HYPERLINK("https://miland.ru/api/getInfo/image/b4407d6f-692c-11f0-a283-00155d82e908")</f>
        <v>https://miland.ru/api/getInfo/image/b4407d6f-692c-11f0-a283-00155d82e908</v>
      </c>
      <c r="U3730" s="35"/>
      <c r="V3730" s="35" t="s">
        <v>6525</v>
      </c>
      <c r="W3730" s="35" t="s">
        <v>378</v>
      </c>
      <c r="X3730" s="35"/>
      <c r="Y3730" s="35" t="s">
        <v>41</v>
      </c>
      <c r="Z3730" s="35"/>
      <c r="AA3730" s="35" t="str">
        <f>HYPERLINK("https://miland.ru/api/getInfo/item/b4407d6f-692c-11f0-a283-00155d82e908")</f>
        <v>https://miland.ru/api/getInfo/item/b4407d6f-692c-11f0-a283-00155d82e908</v>
      </c>
      <c r="AB3730" s="35" t="s">
        <v>42</v>
      </c>
      <c r="AC3730" s="35"/>
      <c r="AD3730" s="35"/>
      <c r="AE3730" s="52" t="s">
        <v>1251</v>
      </c>
    </row>
    <row r="3731" spans="2:31" s="1" customFormat="1" ht="96.3" customHeight="1" outlineLevel="6">
      <c r="B3731" s="59">
        <v>2923</v>
      </c>
      <c r="C3731" s="35" t="s">
        <v>13088</v>
      </c>
      <c r="D3731" s="73" t="s">
        <v>13089</v>
      </c>
      <c r="E3731" s="73"/>
      <c r="F3731" s="73"/>
      <c r="G3731" s="73"/>
      <c r="H3731" s="36" t="s">
        <v>13090</v>
      </c>
      <c r="I3731" s="56" t="s">
        <v>36</v>
      </c>
      <c r="J3731" s="36"/>
      <c r="K3731" s="34">
        <v>24</v>
      </c>
      <c r="L3731" s="41">
        <v>29.653333333333332</v>
      </c>
      <c r="M3731" s="11"/>
      <c r="N3731" s="36">
        <f t="shared" si="182"/>
        <v>0</v>
      </c>
      <c r="O3731" s="42">
        <f t="shared" si="183"/>
        <v>0</v>
      </c>
      <c r="P3731" s="43">
        <f>0.00018*M3731</f>
        <v>0</v>
      </c>
      <c r="Q3731" s="50" t="s">
        <v>37</v>
      </c>
      <c r="R3731" s="36" t="s">
        <v>13091</v>
      </c>
      <c r="S3731" s="36"/>
      <c r="T3731" s="35" t="str">
        <f>HYPERLINK("https://miland.ru/api/getInfo/image/daa1c15f-692b-11f0-a283-00155d82e908")</f>
        <v>https://miland.ru/api/getInfo/image/daa1c15f-692b-11f0-a283-00155d82e908</v>
      </c>
      <c r="U3731" s="35"/>
      <c r="V3731" s="35" t="s">
        <v>6525</v>
      </c>
      <c r="W3731" s="35" t="s">
        <v>378</v>
      </c>
      <c r="X3731" s="35"/>
      <c r="Y3731" s="35" t="s">
        <v>41</v>
      </c>
      <c r="Z3731" s="35"/>
      <c r="AA3731" s="35" t="str">
        <f>HYPERLINK("https://miland.ru/api/getInfo/item/daa1c15f-692b-11f0-a283-00155d82e908")</f>
        <v>https://miland.ru/api/getInfo/item/daa1c15f-692b-11f0-a283-00155d82e908</v>
      </c>
      <c r="AB3731" s="35" t="s">
        <v>42</v>
      </c>
      <c r="AC3731" s="35"/>
      <c r="AD3731" s="35"/>
      <c r="AE3731" s="52" t="s">
        <v>1251</v>
      </c>
    </row>
    <row r="3732" spans="2:31" s="1" customFormat="1" ht="96.3" customHeight="1" outlineLevel="6">
      <c r="B3732" s="59">
        <v>2924</v>
      </c>
      <c r="C3732" s="35" t="s">
        <v>13092</v>
      </c>
      <c r="D3732" s="73" t="s">
        <v>13093</v>
      </c>
      <c r="E3732" s="73"/>
      <c r="F3732" s="73"/>
      <c r="G3732" s="73"/>
      <c r="H3732" s="36" t="s">
        <v>13094</v>
      </c>
      <c r="I3732" s="56" t="s">
        <v>36</v>
      </c>
      <c r="J3732" s="36"/>
      <c r="K3732" s="34">
        <v>24</v>
      </c>
      <c r="L3732" s="41">
        <v>29.653333333333332</v>
      </c>
      <c r="M3732" s="11"/>
      <c r="N3732" s="36">
        <f t="shared" si="182"/>
        <v>0</v>
      </c>
      <c r="O3732" s="42">
        <f t="shared" si="183"/>
        <v>0</v>
      </c>
      <c r="P3732" s="43">
        <f>0.00014*M3732</f>
        <v>0</v>
      </c>
      <c r="Q3732" s="50" t="s">
        <v>37</v>
      </c>
      <c r="R3732" s="36" t="s">
        <v>13095</v>
      </c>
      <c r="S3732" s="36"/>
      <c r="T3732" s="35" t="str">
        <f>HYPERLINK("https://miland.ru/api/getInfo/image/4ff977d3-692c-11f0-a283-00155d82e908")</f>
        <v>https://miland.ru/api/getInfo/image/4ff977d3-692c-11f0-a283-00155d82e908</v>
      </c>
      <c r="U3732" s="35"/>
      <c r="V3732" s="35" t="s">
        <v>6525</v>
      </c>
      <c r="W3732" s="35" t="s">
        <v>378</v>
      </c>
      <c r="X3732" s="35"/>
      <c r="Y3732" s="35" t="s">
        <v>41</v>
      </c>
      <c r="Z3732" s="35"/>
      <c r="AA3732" s="35" t="str">
        <f>HYPERLINK("https://miland.ru/api/getInfo/item/4ff977d3-692c-11f0-a283-00155d82e908")</f>
        <v>https://miland.ru/api/getInfo/item/4ff977d3-692c-11f0-a283-00155d82e908</v>
      </c>
      <c r="AB3732" s="35" t="s">
        <v>42</v>
      </c>
      <c r="AC3732" s="35"/>
      <c r="AD3732" s="35"/>
      <c r="AE3732" s="52" t="s">
        <v>1251</v>
      </c>
    </row>
    <row r="3733" spans="2:31" s="1" customFormat="1" ht="96.3" customHeight="1" outlineLevel="6">
      <c r="B3733" s="59">
        <v>2925</v>
      </c>
      <c r="C3733" s="35" t="s">
        <v>13096</v>
      </c>
      <c r="D3733" s="73" t="s">
        <v>13097</v>
      </c>
      <c r="E3733" s="73"/>
      <c r="F3733" s="73"/>
      <c r="G3733" s="73"/>
      <c r="H3733" s="36" t="s">
        <v>13098</v>
      </c>
      <c r="I3733" s="56" t="s">
        <v>36</v>
      </c>
      <c r="J3733" s="36"/>
      <c r="K3733" s="34">
        <v>24</v>
      </c>
      <c r="L3733" s="41">
        <v>29.653333333333332</v>
      </c>
      <c r="M3733" s="11"/>
      <c r="N3733" s="36">
        <f t="shared" si="182"/>
        <v>0</v>
      </c>
      <c r="O3733" s="42">
        <f t="shared" si="183"/>
        <v>0</v>
      </c>
      <c r="P3733" s="43">
        <f>0.00014*M3733</f>
        <v>0</v>
      </c>
      <c r="Q3733" s="50" t="s">
        <v>37</v>
      </c>
      <c r="R3733" s="36" t="s">
        <v>13099</v>
      </c>
      <c r="S3733" s="36"/>
      <c r="T3733" s="35" t="str">
        <f>HYPERLINK("https://miland.ru/api/getInfo/image/65a96a37-692c-11f0-a283-00155d82e908")</f>
        <v>https://miland.ru/api/getInfo/image/65a96a37-692c-11f0-a283-00155d82e908</v>
      </c>
      <c r="U3733" s="35"/>
      <c r="V3733" s="35" t="s">
        <v>6525</v>
      </c>
      <c r="W3733" s="35" t="s">
        <v>378</v>
      </c>
      <c r="X3733" s="35"/>
      <c r="Y3733" s="35" t="s">
        <v>41</v>
      </c>
      <c r="Z3733" s="35"/>
      <c r="AA3733" s="35" t="str">
        <f>HYPERLINK("https://miland.ru/api/getInfo/item/65a96a37-692c-11f0-a283-00155d82e908")</f>
        <v>https://miland.ru/api/getInfo/item/65a96a37-692c-11f0-a283-00155d82e908</v>
      </c>
      <c r="AB3733" s="35" t="s">
        <v>42</v>
      </c>
      <c r="AC3733" s="35"/>
      <c r="AD3733" s="35"/>
      <c r="AE3733" s="52" t="s">
        <v>1251</v>
      </c>
    </row>
    <row r="3734" spans="2:31" s="1" customFormat="1" ht="96.3" customHeight="1" outlineLevel="6">
      <c r="B3734" s="59">
        <v>2926</v>
      </c>
      <c r="C3734" s="35" t="s">
        <v>13100</v>
      </c>
      <c r="D3734" s="73" t="s">
        <v>13101</v>
      </c>
      <c r="E3734" s="73"/>
      <c r="F3734" s="73"/>
      <c r="G3734" s="73"/>
      <c r="H3734" s="36" t="s">
        <v>13102</v>
      </c>
      <c r="I3734" s="56" t="s">
        <v>36</v>
      </c>
      <c r="J3734" s="36"/>
      <c r="K3734" s="34">
        <v>24</v>
      </c>
      <c r="L3734" s="41">
        <v>29.653333333333332</v>
      </c>
      <c r="M3734" s="11"/>
      <c r="N3734" s="36">
        <f t="shared" si="182"/>
        <v>0</v>
      </c>
      <c r="O3734" s="42">
        <f t="shared" si="183"/>
        <v>0</v>
      </c>
      <c r="P3734" s="43">
        <f>0.00017*M3734</f>
        <v>0</v>
      </c>
      <c r="Q3734" s="50" t="s">
        <v>37</v>
      </c>
      <c r="R3734" s="36" t="s">
        <v>13103</v>
      </c>
      <c r="S3734" s="36"/>
      <c r="T3734" s="35" t="str">
        <f>HYPERLINK("https://miland.ru/api/getInfo/image/7cf14a21-692d-11f0-a283-00155d82e908")</f>
        <v>https://miland.ru/api/getInfo/image/7cf14a21-692d-11f0-a283-00155d82e908</v>
      </c>
      <c r="U3734" s="35"/>
      <c r="V3734" s="35" t="s">
        <v>6525</v>
      </c>
      <c r="W3734" s="35" t="s">
        <v>378</v>
      </c>
      <c r="X3734" s="35"/>
      <c r="Y3734" s="35" t="s">
        <v>41</v>
      </c>
      <c r="Z3734" s="35"/>
      <c r="AA3734" s="35" t="str">
        <f>HYPERLINK("https://miland.ru/api/getInfo/item/7cf14a21-692d-11f0-a283-00155d82e908")</f>
        <v>https://miland.ru/api/getInfo/item/7cf14a21-692d-11f0-a283-00155d82e908</v>
      </c>
      <c r="AB3734" s="35" t="s">
        <v>42</v>
      </c>
      <c r="AC3734" s="35"/>
      <c r="AD3734" s="35"/>
      <c r="AE3734" s="52" t="s">
        <v>1251</v>
      </c>
    </row>
    <row r="3735" spans="2:31" s="1" customFormat="1" ht="96.3" customHeight="1" outlineLevel="6">
      <c r="B3735" s="59">
        <v>2927</v>
      </c>
      <c r="C3735" s="35" t="s">
        <v>13104</v>
      </c>
      <c r="D3735" s="73" t="s">
        <v>13105</v>
      </c>
      <c r="E3735" s="73"/>
      <c r="F3735" s="73"/>
      <c r="G3735" s="73"/>
      <c r="H3735" s="36" t="s">
        <v>13106</v>
      </c>
      <c r="I3735" s="56" t="s">
        <v>36</v>
      </c>
      <c r="J3735" s="36"/>
      <c r="K3735" s="34">
        <v>24</v>
      </c>
      <c r="L3735" s="41">
        <v>14.746666666666668</v>
      </c>
      <c r="M3735" s="11"/>
      <c r="N3735" s="36">
        <f t="shared" si="182"/>
        <v>0</v>
      </c>
      <c r="O3735" s="42">
        <f t="shared" si="183"/>
        <v>0</v>
      </c>
      <c r="P3735" s="43">
        <f>0.00017*M3735</f>
        <v>0</v>
      </c>
      <c r="Q3735" s="50" t="s">
        <v>37</v>
      </c>
      <c r="R3735" s="36" t="s">
        <v>13107</v>
      </c>
      <c r="S3735" s="36"/>
      <c r="T3735" s="35" t="str">
        <f>HYPERLINK("https://miland.ru/api/getInfo/image/9a7f589b-692b-11f0-a283-00155d82e908")</f>
        <v>https://miland.ru/api/getInfo/image/9a7f589b-692b-11f0-a283-00155d82e908</v>
      </c>
      <c r="U3735" s="35"/>
      <c r="V3735" s="35" t="s">
        <v>6525</v>
      </c>
      <c r="W3735" s="35" t="s">
        <v>378</v>
      </c>
      <c r="X3735" s="35"/>
      <c r="Y3735" s="35" t="s">
        <v>41</v>
      </c>
      <c r="Z3735" s="35"/>
      <c r="AA3735" s="35" t="str">
        <f>HYPERLINK("https://miland.ru/api/getInfo/item/9a7f589b-692b-11f0-a283-00155d82e908")</f>
        <v>https://miland.ru/api/getInfo/item/9a7f589b-692b-11f0-a283-00155d82e908</v>
      </c>
      <c r="AB3735" s="35" t="s">
        <v>42</v>
      </c>
      <c r="AC3735" s="35"/>
      <c r="AD3735" s="35"/>
      <c r="AE3735" s="52" t="s">
        <v>1251</v>
      </c>
    </row>
    <row r="3736" spans="2:31" s="1" customFormat="1" ht="96.3" customHeight="1" outlineLevel="6">
      <c r="B3736" s="59">
        <v>2928</v>
      </c>
      <c r="C3736" s="35" t="s">
        <v>13108</v>
      </c>
      <c r="D3736" s="73" t="s">
        <v>13109</v>
      </c>
      <c r="E3736" s="73"/>
      <c r="F3736" s="73"/>
      <c r="G3736" s="73"/>
      <c r="H3736" s="36" t="s">
        <v>13110</v>
      </c>
      <c r="I3736" s="56" t="s">
        <v>36</v>
      </c>
      <c r="J3736" s="36"/>
      <c r="K3736" s="34">
        <v>24</v>
      </c>
      <c r="L3736" s="41">
        <v>29.653333333333332</v>
      </c>
      <c r="M3736" s="11"/>
      <c r="N3736" s="36">
        <f t="shared" si="182"/>
        <v>0</v>
      </c>
      <c r="O3736" s="42">
        <f>0.027*M3736</f>
        <v>0</v>
      </c>
      <c r="P3736" s="43">
        <f>0.00014*M3736</f>
        <v>0</v>
      </c>
      <c r="Q3736" s="50" t="s">
        <v>37</v>
      </c>
      <c r="R3736" s="36" t="s">
        <v>13111</v>
      </c>
      <c r="S3736" s="36"/>
      <c r="T3736" s="35" t="str">
        <f>HYPERLINK("https://miland.ru/api/getInfo/image/61c30a13-692d-11f0-a283-00155d82e908")</f>
        <v>https://miland.ru/api/getInfo/image/61c30a13-692d-11f0-a283-00155d82e908</v>
      </c>
      <c r="U3736" s="35"/>
      <c r="V3736" s="35" t="s">
        <v>6525</v>
      </c>
      <c r="W3736" s="35" t="s">
        <v>378</v>
      </c>
      <c r="X3736" s="35"/>
      <c r="Y3736" s="35" t="s">
        <v>41</v>
      </c>
      <c r="Z3736" s="35"/>
      <c r="AA3736" s="35" t="str">
        <f>HYPERLINK("https://miland.ru/api/getInfo/item/61c30a13-692d-11f0-a283-00155d82e908")</f>
        <v>https://miland.ru/api/getInfo/item/61c30a13-692d-11f0-a283-00155d82e908</v>
      </c>
      <c r="AB3736" s="35" t="s">
        <v>42</v>
      </c>
      <c r="AC3736" s="35"/>
      <c r="AD3736" s="35"/>
      <c r="AE3736" s="52" t="s">
        <v>1251</v>
      </c>
    </row>
    <row r="3737" spans="2:31" s="1" customFormat="1" ht="96.3" customHeight="1" outlineLevel="6">
      <c r="B3737" s="59">
        <v>2929</v>
      </c>
      <c r="C3737" s="35" t="s">
        <v>13112</v>
      </c>
      <c r="D3737" s="73" t="s">
        <v>13113</v>
      </c>
      <c r="E3737" s="73"/>
      <c r="F3737" s="73"/>
      <c r="G3737" s="73"/>
      <c r="H3737" s="36" t="s">
        <v>13114</v>
      </c>
      <c r="I3737" s="56" t="s">
        <v>36</v>
      </c>
      <c r="J3737" s="36"/>
      <c r="K3737" s="34">
        <v>24</v>
      </c>
      <c r="L3737" s="41">
        <v>29.653333333333332</v>
      </c>
      <c r="M3737" s="11"/>
      <c r="N3737" s="36">
        <f t="shared" si="182"/>
        <v>0</v>
      </c>
      <c r="O3737" s="42">
        <f>0.025*M3737</f>
        <v>0</v>
      </c>
      <c r="P3737" s="43">
        <f>0.00017*M3737</f>
        <v>0</v>
      </c>
      <c r="Q3737" s="50"/>
      <c r="R3737" s="36" t="s">
        <v>13115</v>
      </c>
      <c r="S3737" s="36"/>
      <c r="T3737" s="35" t="str">
        <f>HYPERLINK("https://miland.ru/api/getInfo/image/1adb14a5-edbd-11ef-a274-00155d82e908")</f>
        <v>https://miland.ru/api/getInfo/image/1adb14a5-edbd-11ef-a274-00155d82e908</v>
      </c>
      <c r="U3737" s="35"/>
      <c r="V3737" s="35" t="s">
        <v>6525</v>
      </c>
      <c r="W3737" s="35" t="s">
        <v>378</v>
      </c>
      <c r="X3737" s="35"/>
      <c r="Y3737" s="35" t="s">
        <v>41</v>
      </c>
      <c r="Z3737" s="35"/>
      <c r="AA3737" s="35" t="str">
        <f>HYPERLINK("https://miland.ru/api/getInfo/item/1adb14a5-edbd-11ef-a274-00155d82e908")</f>
        <v>https://miland.ru/api/getInfo/item/1adb14a5-edbd-11ef-a274-00155d82e908</v>
      </c>
      <c r="AB3737" s="35" t="s">
        <v>42</v>
      </c>
      <c r="AC3737" s="35"/>
      <c r="AD3737" s="35"/>
      <c r="AE3737" s="52" t="s">
        <v>1251</v>
      </c>
    </row>
    <row r="3738" spans="2:31" s="1" customFormat="1" ht="96.3" customHeight="1" outlineLevel="6">
      <c r="B3738" s="59">
        <v>2930</v>
      </c>
      <c r="C3738" s="35" t="s">
        <v>13116</v>
      </c>
      <c r="D3738" s="73" t="s">
        <v>13117</v>
      </c>
      <c r="E3738" s="73"/>
      <c r="F3738" s="73"/>
      <c r="G3738" s="73"/>
      <c r="H3738" s="36" t="s">
        <v>13118</v>
      </c>
      <c r="I3738" s="56" t="s">
        <v>36</v>
      </c>
      <c r="J3738" s="36"/>
      <c r="K3738" s="34">
        <v>24</v>
      </c>
      <c r="L3738" s="41">
        <v>29.653333333333332</v>
      </c>
      <c r="M3738" s="11"/>
      <c r="N3738" s="36">
        <f t="shared" si="182"/>
        <v>0</v>
      </c>
      <c r="O3738" s="42">
        <f>0.022*M3738</f>
        <v>0</v>
      </c>
      <c r="P3738" s="43">
        <f>0.00012*M3738</f>
        <v>0</v>
      </c>
      <c r="Q3738" s="50"/>
      <c r="R3738" s="36" t="s">
        <v>13119</v>
      </c>
      <c r="S3738" s="36"/>
      <c r="T3738" s="35" t="str">
        <f>HYPERLINK("https://miland.ru/api/getInfo/image/607e08ee-edbd-11ef-a274-00155d82e908")</f>
        <v>https://miland.ru/api/getInfo/image/607e08ee-edbd-11ef-a274-00155d82e908</v>
      </c>
      <c r="U3738" s="35"/>
      <c r="V3738" s="35" t="s">
        <v>6525</v>
      </c>
      <c r="W3738" s="35" t="s">
        <v>378</v>
      </c>
      <c r="X3738" s="35"/>
      <c r="Y3738" s="35" t="s">
        <v>41</v>
      </c>
      <c r="Z3738" s="35"/>
      <c r="AA3738" s="35" t="str">
        <f>HYPERLINK("https://miland.ru/api/getInfo/item/607e08ee-edbd-11ef-a274-00155d82e908")</f>
        <v>https://miland.ru/api/getInfo/item/607e08ee-edbd-11ef-a274-00155d82e908</v>
      </c>
      <c r="AB3738" s="35" t="s">
        <v>42</v>
      </c>
      <c r="AC3738" s="35"/>
      <c r="AD3738" s="35"/>
      <c r="AE3738" s="52" t="s">
        <v>1251</v>
      </c>
    </row>
    <row r="3739" spans="2:31" s="1" customFormat="1" ht="96.3" customHeight="1" outlineLevel="6">
      <c r="B3739" s="59">
        <v>2931</v>
      </c>
      <c r="C3739" s="35" t="s">
        <v>13120</v>
      </c>
      <c r="D3739" s="73" t="s">
        <v>13121</v>
      </c>
      <c r="E3739" s="73"/>
      <c r="F3739" s="73"/>
      <c r="G3739" s="73"/>
      <c r="H3739" s="36" t="s">
        <v>13122</v>
      </c>
      <c r="I3739" s="56" t="s">
        <v>36</v>
      </c>
      <c r="J3739" s="36"/>
      <c r="K3739" s="34">
        <v>24</v>
      </c>
      <c r="L3739" s="41">
        <v>29.653333333333332</v>
      </c>
      <c r="M3739" s="11"/>
      <c r="N3739" s="36">
        <f t="shared" si="182"/>
        <v>0</v>
      </c>
      <c r="O3739" s="42">
        <f>0.022*M3739</f>
        <v>0</v>
      </c>
      <c r="P3739" s="43">
        <f>0.00017*M3739</f>
        <v>0</v>
      </c>
      <c r="Q3739" s="50"/>
      <c r="R3739" s="36" t="s">
        <v>13123</v>
      </c>
      <c r="S3739" s="36"/>
      <c r="T3739" s="35" t="str">
        <f>HYPERLINK("https://miland.ru/api/getInfo/image/47754db4-edbd-11ef-a274-00155d82e908")</f>
        <v>https://miland.ru/api/getInfo/image/47754db4-edbd-11ef-a274-00155d82e908</v>
      </c>
      <c r="U3739" s="35"/>
      <c r="V3739" s="35" t="s">
        <v>6525</v>
      </c>
      <c r="W3739" s="35" t="s">
        <v>378</v>
      </c>
      <c r="X3739" s="35"/>
      <c r="Y3739" s="35" t="s">
        <v>41</v>
      </c>
      <c r="Z3739" s="35"/>
      <c r="AA3739" s="35" t="str">
        <f>HYPERLINK("https://miland.ru/api/getInfo/item/47754db4-edbd-11ef-a274-00155d82e908")</f>
        <v>https://miland.ru/api/getInfo/item/47754db4-edbd-11ef-a274-00155d82e908</v>
      </c>
      <c r="AB3739" s="35" t="s">
        <v>42</v>
      </c>
      <c r="AC3739" s="35"/>
      <c r="AD3739" s="35"/>
      <c r="AE3739" s="52" t="s">
        <v>1251</v>
      </c>
    </row>
    <row r="3740" spans="2:31" s="1" customFormat="1" ht="96.3" customHeight="1" outlineLevel="6">
      <c r="B3740" s="59">
        <v>2932</v>
      </c>
      <c r="C3740" s="35" t="s">
        <v>13124</v>
      </c>
      <c r="D3740" s="73" t="s">
        <v>13125</v>
      </c>
      <c r="E3740" s="73"/>
      <c r="F3740" s="73"/>
      <c r="G3740" s="73"/>
      <c r="H3740" s="36" t="s">
        <v>13126</v>
      </c>
      <c r="I3740" s="40">
        <v>48</v>
      </c>
      <c r="J3740" s="36"/>
      <c r="K3740" s="34">
        <v>24</v>
      </c>
      <c r="L3740" s="41">
        <v>29.653333333333332</v>
      </c>
      <c r="M3740" s="11"/>
      <c r="N3740" s="36">
        <f t="shared" si="182"/>
        <v>0</v>
      </c>
      <c r="O3740" s="42">
        <f>0.026*M3740</f>
        <v>0</v>
      </c>
      <c r="P3740" s="43">
        <f>0.00017*M3740</f>
        <v>0</v>
      </c>
      <c r="Q3740" s="50" t="s">
        <v>37</v>
      </c>
      <c r="R3740" s="36" t="s">
        <v>13127</v>
      </c>
      <c r="S3740" s="36"/>
      <c r="T3740" s="35" t="str">
        <f>HYPERLINK("https://miland.ru/api/getInfo/image/8d715377-6930-11f0-a283-00155d82e908")</f>
        <v>https://miland.ru/api/getInfo/image/8d715377-6930-11f0-a283-00155d82e908</v>
      </c>
      <c r="U3740" s="35"/>
      <c r="V3740" s="35" t="s">
        <v>6525</v>
      </c>
      <c r="W3740" s="35" t="s">
        <v>378</v>
      </c>
      <c r="X3740" s="35"/>
      <c r="Y3740" s="35" t="s">
        <v>41</v>
      </c>
      <c r="Z3740" s="35"/>
      <c r="AA3740" s="35" t="str">
        <f>HYPERLINK("https://miland.ru/api/getInfo/item/8d715377-6930-11f0-a283-00155d82e908")</f>
        <v>https://miland.ru/api/getInfo/item/8d715377-6930-11f0-a283-00155d82e908</v>
      </c>
      <c r="AB3740" s="35" t="s">
        <v>42</v>
      </c>
      <c r="AC3740" s="35"/>
      <c r="AD3740" s="35"/>
      <c r="AE3740" s="52" t="s">
        <v>1251</v>
      </c>
    </row>
    <row r="3741" spans="2:31" ht="12" customHeight="1" outlineLevel="5">
      <c r="B3741" s="70" t="s">
        <v>12716</v>
      </c>
      <c r="C3741" s="70"/>
      <c r="D3741" s="70"/>
      <c r="E3741" s="70"/>
      <c r="F3741" s="70"/>
      <c r="G3741" s="70"/>
    </row>
    <row r="3742" spans="2:31" ht="12" customHeight="1" outlineLevel="6">
      <c r="B3742" s="70" t="s">
        <v>384</v>
      </c>
      <c r="C3742" s="70"/>
      <c r="D3742" s="70"/>
      <c r="E3742" s="70"/>
      <c r="F3742" s="70"/>
      <c r="G3742" s="70"/>
    </row>
    <row r="3743" spans="2:31" s="1" customFormat="1" ht="96.3" customHeight="1" outlineLevel="7">
      <c r="B3743" s="57">
        <v>2933</v>
      </c>
      <c r="C3743" s="21" t="s">
        <v>13128</v>
      </c>
      <c r="D3743" s="72" t="s">
        <v>13129</v>
      </c>
      <c r="E3743" s="72"/>
      <c r="F3743" s="72"/>
      <c r="G3743" s="72"/>
      <c r="H3743" s="22" t="s">
        <v>13130</v>
      </c>
      <c r="I3743" s="23" t="s">
        <v>36</v>
      </c>
      <c r="J3743" s="22"/>
      <c r="K3743" s="20">
        <v>24</v>
      </c>
      <c r="L3743" s="24">
        <v>32.19</v>
      </c>
      <c r="M3743" s="11"/>
      <c r="N3743" s="22">
        <f>L3743*M3743</f>
        <v>0</v>
      </c>
      <c r="O3743" s="25">
        <f>0.028*M3743</f>
        <v>0</v>
      </c>
      <c r="P3743" s="26">
        <f>0.00053*M3743</f>
        <v>0</v>
      </c>
      <c r="Q3743" s="30"/>
      <c r="R3743" s="22" t="s">
        <v>13131</v>
      </c>
      <c r="S3743" s="22" t="s">
        <v>435</v>
      </c>
      <c r="T3743" s="21" t="str">
        <f>HYPERLINK("https://miland.ru/api/getInfo/image/9677be9e-19b8-11ef-a25d-00155d82e908")</f>
        <v>https://miland.ru/api/getInfo/image/9677be9e-19b8-11ef-a25d-00155d82e908</v>
      </c>
      <c r="U3743" s="21"/>
      <c r="V3743" s="21" t="s">
        <v>6525</v>
      </c>
      <c r="W3743" s="21" t="s">
        <v>378</v>
      </c>
      <c r="X3743" s="21"/>
      <c r="Y3743" s="21" t="s">
        <v>41</v>
      </c>
      <c r="Z3743" s="21"/>
      <c r="AA3743" s="21" t="str">
        <f>HYPERLINK("https://miland.ru/api/getInfo/item/9677be9e-19b8-11ef-a25d-00155d82e908")</f>
        <v>https://miland.ru/api/getInfo/item/9677be9e-19b8-11ef-a25d-00155d82e908</v>
      </c>
      <c r="AB3743" s="21" t="s">
        <v>42</v>
      </c>
      <c r="AC3743" s="21" t="s">
        <v>13132</v>
      </c>
      <c r="AD3743" s="21"/>
    </row>
    <row r="3744" spans="2:31" s="1" customFormat="1" ht="96.3" customHeight="1" outlineLevel="7">
      <c r="B3744" s="57">
        <v>2934</v>
      </c>
      <c r="C3744" s="21" t="s">
        <v>13133</v>
      </c>
      <c r="D3744" s="72" t="s">
        <v>13134</v>
      </c>
      <c r="E3744" s="72"/>
      <c r="F3744" s="72"/>
      <c r="G3744" s="72"/>
      <c r="H3744" s="22" t="s">
        <v>13135</v>
      </c>
      <c r="I3744" s="23" t="s">
        <v>36</v>
      </c>
      <c r="J3744" s="22"/>
      <c r="K3744" s="20">
        <v>24</v>
      </c>
      <c r="L3744" s="24">
        <v>32.19</v>
      </c>
      <c r="M3744" s="11"/>
      <c r="N3744" s="22">
        <f>L3744*M3744</f>
        <v>0</v>
      </c>
      <c r="O3744" s="25">
        <f>0.028*M3744</f>
        <v>0</v>
      </c>
      <c r="P3744" s="26">
        <f>0.00015*M3744</f>
        <v>0</v>
      </c>
      <c r="Q3744" s="30"/>
      <c r="R3744" s="22" t="s">
        <v>13136</v>
      </c>
      <c r="S3744" s="22" t="s">
        <v>435</v>
      </c>
      <c r="T3744" s="21" t="str">
        <f>HYPERLINK("https://miland.ru/api/getInfo/image/0c7b5736-19b8-11ef-a25d-00155d82e908")</f>
        <v>https://miland.ru/api/getInfo/image/0c7b5736-19b8-11ef-a25d-00155d82e908</v>
      </c>
      <c r="U3744" s="21"/>
      <c r="V3744" s="21" t="s">
        <v>6525</v>
      </c>
      <c r="W3744" s="21" t="s">
        <v>378</v>
      </c>
      <c r="X3744" s="21"/>
      <c r="Y3744" s="21" t="s">
        <v>41</v>
      </c>
      <c r="Z3744" s="21"/>
      <c r="AA3744" s="21" t="str">
        <f>HYPERLINK("https://miland.ru/api/getInfo/item/0c7b5736-19b8-11ef-a25d-00155d82e908")</f>
        <v>https://miland.ru/api/getInfo/item/0c7b5736-19b8-11ef-a25d-00155d82e908</v>
      </c>
      <c r="AB3744" s="21" t="s">
        <v>42</v>
      </c>
      <c r="AC3744" s="21" t="s">
        <v>13132</v>
      </c>
      <c r="AD3744" s="21"/>
    </row>
    <row r="3745" spans="2:31" ht="12" customHeight="1" outlineLevel="4">
      <c r="B3745" s="70" t="s">
        <v>6778</v>
      </c>
      <c r="C3745" s="70"/>
      <c r="D3745" s="70"/>
      <c r="E3745" s="70"/>
      <c r="F3745" s="70"/>
      <c r="G3745" s="70"/>
    </row>
    <row r="3746" spans="2:31" ht="12" customHeight="1" outlineLevel="5">
      <c r="B3746" s="70" t="s">
        <v>13137</v>
      </c>
      <c r="C3746" s="70"/>
      <c r="D3746" s="70"/>
      <c r="E3746" s="70"/>
      <c r="F3746" s="70"/>
      <c r="G3746" s="70"/>
    </row>
    <row r="3747" spans="2:31" ht="12" customHeight="1" outlineLevel="6">
      <c r="B3747" s="70" t="s">
        <v>6797</v>
      </c>
      <c r="C3747" s="70"/>
      <c r="D3747" s="70"/>
      <c r="E3747" s="70"/>
      <c r="F3747" s="70"/>
      <c r="G3747" s="70"/>
    </row>
    <row r="3748" spans="2:31" s="1" customFormat="1" ht="96.3" customHeight="1" outlineLevel="7">
      <c r="B3748" s="57">
        <v>2935</v>
      </c>
      <c r="C3748" s="21" t="s">
        <v>13138</v>
      </c>
      <c r="D3748" s="72" t="s">
        <v>13139</v>
      </c>
      <c r="E3748" s="72"/>
      <c r="F3748" s="72"/>
      <c r="G3748" s="72"/>
      <c r="H3748" s="22" t="s">
        <v>13140</v>
      </c>
      <c r="I3748" s="23" t="s">
        <v>36</v>
      </c>
      <c r="J3748" s="22"/>
      <c r="K3748" s="20">
        <v>12</v>
      </c>
      <c r="L3748" s="24">
        <v>62.39</v>
      </c>
      <c r="M3748" s="11"/>
      <c r="N3748" s="22">
        <f t="shared" ref="N3748:N3761" si="184">L3748*M3748</f>
        <v>0</v>
      </c>
      <c r="O3748" s="25">
        <f>0.048*M3748</f>
        <v>0</v>
      </c>
      <c r="P3748" s="26">
        <f>0.00054*M3748</f>
        <v>0</v>
      </c>
      <c r="Q3748" s="30"/>
      <c r="R3748" s="22" t="s">
        <v>13141</v>
      </c>
      <c r="S3748" s="22"/>
      <c r="T3748" s="21" t="str">
        <f>HYPERLINK("https://miland.ru/api/getInfo/image/4177eb4f-61d9-11ee-a245-00155d82e902")</f>
        <v>https://miland.ru/api/getInfo/image/4177eb4f-61d9-11ee-a245-00155d82e902</v>
      </c>
      <c r="U3748" s="21"/>
      <c r="V3748" s="21" t="s">
        <v>6525</v>
      </c>
      <c r="W3748" s="21" t="s">
        <v>378</v>
      </c>
      <c r="X3748" s="21"/>
      <c r="Y3748" s="21" t="s">
        <v>41</v>
      </c>
      <c r="Z3748" s="21"/>
      <c r="AA3748" s="21" t="str">
        <f>HYPERLINK("https://miland.ru/api/getInfo/item/4177eb4f-61d9-11ee-a245-00155d82e902")</f>
        <v>https://miland.ru/api/getInfo/item/4177eb4f-61d9-11ee-a245-00155d82e902</v>
      </c>
      <c r="AB3748" s="21" t="s">
        <v>42</v>
      </c>
      <c r="AC3748" s="21" t="s">
        <v>13142</v>
      </c>
      <c r="AD3748" s="21"/>
    </row>
    <row r="3749" spans="2:31" s="1" customFormat="1" ht="96.3" customHeight="1" outlineLevel="7">
      <c r="B3749" s="57">
        <v>2936</v>
      </c>
      <c r="C3749" s="21" t="s">
        <v>13143</v>
      </c>
      <c r="D3749" s="72" t="s">
        <v>13144</v>
      </c>
      <c r="E3749" s="72"/>
      <c r="F3749" s="72"/>
      <c r="G3749" s="72"/>
      <c r="H3749" s="22" t="s">
        <v>13145</v>
      </c>
      <c r="I3749" s="23" t="s">
        <v>36</v>
      </c>
      <c r="J3749" s="22"/>
      <c r="K3749" s="20">
        <v>12</v>
      </c>
      <c r="L3749" s="24">
        <v>62.39</v>
      </c>
      <c r="M3749" s="11"/>
      <c r="N3749" s="22">
        <f t="shared" si="184"/>
        <v>0</v>
      </c>
      <c r="O3749" s="25">
        <f>0.052*M3749</f>
        <v>0</v>
      </c>
      <c r="P3749" s="26">
        <f>0.00027*M3749</f>
        <v>0</v>
      </c>
      <c r="Q3749" s="30"/>
      <c r="R3749" s="22" t="s">
        <v>13146</v>
      </c>
      <c r="S3749" s="22"/>
      <c r="T3749" s="21" t="str">
        <f>HYPERLINK("https://miland.ru/api/getInfo/image/07a9b52b-24c3-11f0-a279-00155d82e908")</f>
        <v>https://miland.ru/api/getInfo/image/07a9b52b-24c3-11f0-a279-00155d82e908</v>
      </c>
      <c r="U3749" s="21"/>
      <c r="V3749" s="21" t="s">
        <v>6525</v>
      </c>
      <c r="W3749" s="21" t="s">
        <v>378</v>
      </c>
      <c r="X3749" s="21"/>
      <c r="Y3749" s="21" t="s">
        <v>41</v>
      </c>
      <c r="Z3749" s="21"/>
      <c r="AA3749" s="21" t="str">
        <f>HYPERLINK("https://miland.ru/api/getInfo/item/07a9b52b-24c3-11f0-a279-00155d82e908")</f>
        <v>https://miland.ru/api/getInfo/item/07a9b52b-24c3-11f0-a279-00155d82e908</v>
      </c>
      <c r="AB3749" s="21" t="s">
        <v>42</v>
      </c>
      <c r="AC3749" s="21"/>
      <c r="AD3749" s="21"/>
    </row>
    <row r="3750" spans="2:31" s="1" customFormat="1" ht="96.3" customHeight="1" outlineLevel="7">
      <c r="B3750" s="57">
        <v>2937</v>
      </c>
      <c r="C3750" s="21" t="s">
        <v>13147</v>
      </c>
      <c r="D3750" s="72" t="s">
        <v>13148</v>
      </c>
      <c r="E3750" s="72"/>
      <c r="F3750" s="72"/>
      <c r="G3750" s="72"/>
      <c r="H3750" s="22" t="s">
        <v>13149</v>
      </c>
      <c r="I3750" s="27">
        <v>24</v>
      </c>
      <c r="J3750" s="22"/>
      <c r="K3750" s="20">
        <v>12</v>
      </c>
      <c r="L3750" s="24">
        <v>62.39</v>
      </c>
      <c r="M3750" s="11"/>
      <c r="N3750" s="22">
        <f t="shared" si="184"/>
        <v>0</v>
      </c>
      <c r="O3750" s="25">
        <f>0.049*M3750</f>
        <v>0</v>
      </c>
      <c r="P3750" s="26">
        <f>0.00021*M3750</f>
        <v>0</v>
      </c>
      <c r="Q3750" s="30"/>
      <c r="R3750" s="22" t="s">
        <v>13150</v>
      </c>
      <c r="S3750" s="22"/>
      <c r="T3750" s="21" t="str">
        <f>HYPERLINK("https://miland.ru/api/getInfo/image/8021e526-24c2-11f0-a279-00155d82e908")</f>
        <v>https://miland.ru/api/getInfo/image/8021e526-24c2-11f0-a279-00155d82e908</v>
      </c>
      <c r="U3750" s="21"/>
      <c r="V3750" s="21" t="s">
        <v>6525</v>
      </c>
      <c r="W3750" s="21" t="s">
        <v>378</v>
      </c>
      <c r="X3750" s="21"/>
      <c r="Y3750" s="21" t="s">
        <v>41</v>
      </c>
      <c r="Z3750" s="21"/>
      <c r="AA3750" s="21" t="str">
        <f>HYPERLINK("https://miland.ru/api/getInfo/item/8021e526-24c2-11f0-a279-00155d82e908")</f>
        <v>https://miland.ru/api/getInfo/item/8021e526-24c2-11f0-a279-00155d82e908</v>
      </c>
      <c r="AB3750" s="21" t="s">
        <v>42</v>
      </c>
      <c r="AC3750" s="21"/>
      <c r="AD3750" s="21"/>
    </row>
    <row r="3751" spans="2:31" s="1" customFormat="1" ht="96.3" customHeight="1" outlineLevel="7">
      <c r="B3751" s="57">
        <v>2938</v>
      </c>
      <c r="C3751" s="21" t="s">
        <v>13151</v>
      </c>
      <c r="D3751" s="72" t="s">
        <v>13152</v>
      </c>
      <c r="E3751" s="72"/>
      <c r="F3751" s="72"/>
      <c r="G3751" s="72"/>
      <c r="H3751" s="22" t="s">
        <v>13153</v>
      </c>
      <c r="I3751" s="27">
        <v>240</v>
      </c>
      <c r="J3751" s="22"/>
      <c r="K3751" s="20">
        <v>12</v>
      </c>
      <c r="L3751" s="24">
        <v>62.39</v>
      </c>
      <c r="M3751" s="11"/>
      <c r="N3751" s="22">
        <f t="shared" si="184"/>
        <v>0</v>
      </c>
      <c r="O3751" s="25">
        <f>0.051*M3751</f>
        <v>0</v>
      </c>
      <c r="P3751" s="26">
        <f>0.00005*M3751</f>
        <v>0</v>
      </c>
      <c r="Q3751" s="30"/>
      <c r="R3751" s="22" t="s">
        <v>13154</v>
      </c>
      <c r="S3751" s="22"/>
      <c r="T3751" s="21" t="str">
        <f>HYPERLINK("https://miland.ru/api/getInfo/image/c9056121-24c2-11f0-a279-00155d82e908")</f>
        <v>https://miland.ru/api/getInfo/image/c9056121-24c2-11f0-a279-00155d82e908</v>
      </c>
      <c r="U3751" s="21"/>
      <c r="V3751" s="21" t="s">
        <v>6525</v>
      </c>
      <c r="W3751" s="21" t="s">
        <v>378</v>
      </c>
      <c r="X3751" s="21"/>
      <c r="Y3751" s="21" t="s">
        <v>41</v>
      </c>
      <c r="Z3751" s="21"/>
      <c r="AA3751" s="21" t="str">
        <f>HYPERLINK("https://miland.ru/api/getInfo/item/c9056121-24c2-11f0-a279-00155d82e908")</f>
        <v>https://miland.ru/api/getInfo/item/c9056121-24c2-11f0-a279-00155d82e908</v>
      </c>
      <c r="AB3751" s="21" t="s">
        <v>42</v>
      </c>
      <c r="AC3751" s="21"/>
      <c r="AD3751" s="21"/>
    </row>
    <row r="3752" spans="2:31" s="1" customFormat="1" ht="96.3" customHeight="1" outlineLevel="7">
      <c r="B3752" s="57">
        <v>2939</v>
      </c>
      <c r="C3752" s="21" t="s">
        <v>13155</v>
      </c>
      <c r="D3752" s="72" t="s">
        <v>13156</v>
      </c>
      <c r="E3752" s="72"/>
      <c r="F3752" s="72"/>
      <c r="G3752" s="72"/>
      <c r="H3752" s="22" t="s">
        <v>13157</v>
      </c>
      <c r="I3752" s="27">
        <v>396</v>
      </c>
      <c r="J3752" s="22"/>
      <c r="K3752" s="20">
        <v>12</v>
      </c>
      <c r="L3752" s="24">
        <v>62.39</v>
      </c>
      <c r="M3752" s="11"/>
      <c r="N3752" s="22">
        <f t="shared" si="184"/>
        <v>0</v>
      </c>
      <c r="O3752" s="25">
        <f>0.048*M3752</f>
        <v>0</v>
      </c>
      <c r="P3752" s="26">
        <f>0.00083*M3752</f>
        <v>0</v>
      </c>
      <c r="Q3752" s="30"/>
      <c r="R3752" s="22" t="s">
        <v>13158</v>
      </c>
      <c r="S3752" s="22"/>
      <c r="T3752" s="21" t="str">
        <f>HYPERLINK("https://miland.ru/api/getInfo/image/0df11367-24c2-11f0-a279-00155d82e908")</f>
        <v>https://miland.ru/api/getInfo/image/0df11367-24c2-11f0-a279-00155d82e908</v>
      </c>
      <c r="U3752" s="21"/>
      <c r="V3752" s="21" t="s">
        <v>6525</v>
      </c>
      <c r="W3752" s="21" t="s">
        <v>378</v>
      </c>
      <c r="X3752" s="21"/>
      <c r="Y3752" s="21" t="s">
        <v>41</v>
      </c>
      <c r="Z3752" s="21"/>
      <c r="AA3752" s="21" t="str">
        <f>HYPERLINK("https://miland.ru/api/getInfo/item/0df11367-24c2-11f0-a279-00155d82e908")</f>
        <v>https://miland.ru/api/getInfo/item/0df11367-24c2-11f0-a279-00155d82e908</v>
      </c>
      <c r="AB3752" s="21" t="s">
        <v>42</v>
      </c>
      <c r="AC3752" s="21"/>
      <c r="AD3752" s="21"/>
    </row>
    <row r="3753" spans="2:31" s="1" customFormat="1" ht="96.3" customHeight="1" outlineLevel="7">
      <c r="B3753" s="57">
        <v>2940</v>
      </c>
      <c r="C3753" s="21" t="s">
        <v>13159</v>
      </c>
      <c r="D3753" s="72" t="s">
        <v>13160</v>
      </c>
      <c r="E3753" s="72"/>
      <c r="F3753" s="72"/>
      <c r="G3753" s="72"/>
      <c r="H3753" s="22" t="s">
        <v>13161</v>
      </c>
      <c r="I3753" s="23" t="s">
        <v>36</v>
      </c>
      <c r="J3753" s="22"/>
      <c r="K3753" s="20">
        <v>12</v>
      </c>
      <c r="L3753" s="24">
        <v>62.39</v>
      </c>
      <c r="M3753" s="11"/>
      <c r="N3753" s="22">
        <f t="shared" si="184"/>
        <v>0</v>
      </c>
      <c r="O3753" s="25">
        <f>0.048*M3753</f>
        <v>0</v>
      </c>
      <c r="P3753" s="26">
        <f>0.00022*M3753</f>
        <v>0</v>
      </c>
      <c r="Q3753" s="30"/>
      <c r="R3753" s="22" t="s">
        <v>13162</v>
      </c>
      <c r="S3753" s="22"/>
      <c r="T3753" s="21" t="str">
        <f>HYPERLINK("https://miland.ru/api/getInfo/image/b8d1e074-edbf-11ef-a274-00155d82e908")</f>
        <v>https://miland.ru/api/getInfo/image/b8d1e074-edbf-11ef-a274-00155d82e908</v>
      </c>
      <c r="U3753" s="21"/>
      <c r="V3753" s="21" t="s">
        <v>6525</v>
      </c>
      <c r="W3753" s="21" t="s">
        <v>378</v>
      </c>
      <c r="X3753" s="21"/>
      <c r="Y3753" s="21" t="s">
        <v>41</v>
      </c>
      <c r="Z3753" s="21"/>
      <c r="AA3753" s="21" t="str">
        <f>HYPERLINK("https://miland.ru/api/getInfo/item/b8d1e074-edbf-11ef-a274-00155d82e908")</f>
        <v>https://miland.ru/api/getInfo/item/b8d1e074-edbf-11ef-a274-00155d82e908</v>
      </c>
      <c r="AB3753" s="21" t="s">
        <v>42</v>
      </c>
      <c r="AC3753" s="21"/>
      <c r="AD3753" s="21"/>
    </row>
    <row r="3754" spans="2:31" s="1" customFormat="1" ht="96.3" customHeight="1" outlineLevel="7">
      <c r="B3754" s="57">
        <v>2941</v>
      </c>
      <c r="C3754" s="21" t="s">
        <v>13163</v>
      </c>
      <c r="D3754" s="72" t="s">
        <v>13164</v>
      </c>
      <c r="E3754" s="72"/>
      <c r="F3754" s="72"/>
      <c r="G3754" s="72"/>
      <c r="H3754" s="22" t="s">
        <v>13165</v>
      </c>
      <c r="I3754" s="23" t="s">
        <v>36</v>
      </c>
      <c r="J3754" s="22"/>
      <c r="K3754" s="20">
        <v>12</v>
      </c>
      <c r="L3754" s="24">
        <v>62.39</v>
      </c>
      <c r="M3754" s="11"/>
      <c r="N3754" s="22">
        <f t="shared" si="184"/>
        <v>0</v>
      </c>
      <c r="O3754" s="25">
        <f>0.048*M3754</f>
        <v>0</v>
      </c>
      <c r="P3754" s="26">
        <f>0.00011*M3754</f>
        <v>0</v>
      </c>
      <c r="Q3754" s="30"/>
      <c r="R3754" s="22" t="s">
        <v>13166</v>
      </c>
      <c r="S3754" s="22"/>
      <c r="T3754" s="21" t="str">
        <f>HYPERLINK("https://miland.ru/api/getInfo/image/e524feda-edbf-11ef-a274-00155d82e908")</f>
        <v>https://miland.ru/api/getInfo/image/e524feda-edbf-11ef-a274-00155d82e908</v>
      </c>
      <c r="U3754" s="21"/>
      <c r="V3754" s="21" t="s">
        <v>6525</v>
      </c>
      <c r="W3754" s="21" t="s">
        <v>378</v>
      </c>
      <c r="X3754" s="21"/>
      <c r="Y3754" s="21" t="s">
        <v>41</v>
      </c>
      <c r="Z3754" s="21"/>
      <c r="AA3754" s="21" t="str">
        <f>HYPERLINK("https://miland.ru/api/getInfo/item/e524feda-edbf-11ef-a274-00155d82e908")</f>
        <v>https://miland.ru/api/getInfo/item/e524feda-edbf-11ef-a274-00155d82e908</v>
      </c>
      <c r="AB3754" s="21" t="s">
        <v>42</v>
      </c>
      <c r="AC3754" s="21"/>
      <c r="AD3754" s="21"/>
    </row>
    <row r="3755" spans="2:31" s="1" customFormat="1" ht="96.3" customHeight="1" outlineLevel="7">
      <c r="B3755" s="57">
        <v>2942</v>
      </c>
      <c r="C3755" s="21" t="s">
        <v>13167</v>
      </c>
      <c r="D3755" s="72" t="s">
        <v>13168</v>
      </c>
      <c r="E3755" s="72"/>
      <c r="F3755" s="72"/>
      <c r="G3755" s="72"/>
      <c r="H3755" s="22" t="s">
        <v>13169</v>
      </c>
      <c r="I3755" s="23" t="s">
        <v>36</v>
      </c>
      <c r="J3755" s="22"/>
      <c r="K3755" s="20">
        <v>12</v>
      </c>
      <c r="L3755" s="24">
        <v>62.39</v>
      </c>
      <c r="M3755" s="11"/>
      <c r="N3755" s="22">
        <f t="shared" si="184"/>
        <v>0</v>
      </c>
      <c r="O3755" s="25">
        <f>0.056*M3755</f>
        <v>0</v>
      </c>
      <c r="P3755" s="26">
        <f>0.00035*M3755</f>
        <v>0</v>
      </c>
      <c r="Q3755" s="30"/>
      <c r="R3755" s="22" t="s">
        <v>13170</v>
      </c>
      <c r="S3755" s="22"/>
      <c r="T3755" s="21" t="str">
        <f>HYPERLINK("https://miland.ru/api/getInfo/image/b35c5ff9-edd3-11ef-a274-00155d82e908")</f>
        <v>https://miland.ru/api/getInfo/image/b35c5ff9-edd3-11ef-a274-00155d82e908</v>
      </c>
      <c r="U3755" s="21"/>
      <c r="V3755" s="21" t="s">
        <v>6525</v>
      </c>
      <c r="W3755" s="21" t="s">
        <v>378</v>
      </c>
      <c r="X3755" s="21"/>
      <c r="Y3755" s="21" t="s">
        <v>41</v>
      </c>
      <c r="Z3755" s="21"/>
      <c r="AA3755" s="21" t="str">
        <f>HYPERLINK("https://miland.ru/api/getInfo/item/b35c5ff9-edd3-11ef-a274-00155d82e908")</f>
        <v>https://miland.ru/api/getInfo/item/b35c5ff9-edd3-11ef-a274-00155d82e908</v>
      </c>
      <c r="AB3755" s="21" t="s">
        <v>42</v>
      </c>
      <c r="AC3755" s="21"/>
      <c r="AD3755" s="21"/>
    </row>
    <row r="3756" spans="2:31" s="1" customFormat="1" ht="96.3" customHeight="1" outlineLevel="7">
      <c r="B3756" s="57">
        <v>2943</v>
      </c>
      <c r="C3756" s="21" t="s">
        <v>13171</v>
      </c>
      <c r="D3756" s="72" t="s">
        <v>13172</v>
      </c>
      <c r="E3756" s="72"/>
      <c r="F3756" s="72"/>
      <c r="G3756" s="72"/>
      <c r="H3756" s="22" t="s">
        <v>13173</v>
      </c>
      <c r="I3756" s="27">
        <v>48</v>
      </c>
      <c r="J3756" s="22"/>
      <c r="K3756" s="20">
        <v>12</v>
      </c>
      <c r="L3756" s="24">
        <v>62.39</v>
      </c>
      <c r="M3756" s="11"/>
      <c r="N3756" s="22">
        <f t="shared" si="184"/>
        <v>0</v>
      </c>
      <c r="O3756" s="25">
        <f>0.054*M3756</f>
        <v>0</v>
      </c>
      <c r="P3756" s="26">
        <f>0.00046*M3756</f>
        <v>0</v>
      </c>
      <c r="Q3756" s="30"/>
      <c r="R3756" s="22" t="s">
        <v>13174</v>
      </c>
      <c r="S3756" s="22"/>
      <c r="T3756" s="21" t="str">
        <f>HYPERLINK("https://miland.ru/api/getInfo/image/85c93834-61cf-11ee-a245-00155d82e902")</f>
        <v>https://miland.ru/api/getInfo/image/85c93834-61cf-11ee-a245-00155d82e902</v>
      </c>
      <c r="U3756" s="21"/>
      <c r="V3756" s="21" t="s">
        <v>6525</v>
      </c>
      <c r="W3756" s="21" t="s">
        <v>378</v>
      </c>
      <c r="X3756" s="21"/>
      <c r="Y3756" s="21" t="s">
        <v>41</v>
      </c>
      <c r="Z3756" s="21"/>
      <c r="AA3756" s="21" t="str">
        <f>HYPERLINK("https://miland.ru/api/getInfo/item/85c93834-61cf-11ee-a245-00155d82e902")</f>
        <v>https://miland.ru/api/getInfo/item/85c93834-61cf-11ee-a245-00155d82e902</v>
      </c>
      <c r="AB3756" s="21" t="s">
        <v>42</v>
      </c>
      <c r="AC3756" s="21" t="s">
        <v>13142</v>
      </c>
      <c r="AD3756" s="21"/>
    </row>
    <row r="3757" spans="2:31" s="1" customFormat="1" ht="96.3" customHeight="1" outlineLevel="7">
      <c r="B3757" s="57">
        <v>2944</v>
      </c>
      <c r="C3757" s="21" t="s">
        <v>13175</v>
      </c>
      <c r="D3757" s="72" t="s">
        <v>13176</v>
      </c>
      <c r="E3757" s="72"/>
      <c r="F3757" s="72"/>
      <c r="G3757" s="72"/>
      <c r="H3757" s="22" t="s">
        <v>13177</v>
      </c>
      <c r="I3757" s="27">
        <v>432</v>
      </c>
      <c r="J3757" s="22"/>
      <c r="K3757" s="20">
        <v>12</v>
      </c>
      <c r="L3757" s="24">
        <v>62.39</v>
      </c>
      <c r="M3757" s="11"/>
      <c r="N3757" s="22">
        <f t="shared" si="184"/>
        <v>0</v>
      </c>
      <c r="O3757" s="25">
        <f>0.043*M3757</f>
        <v>0</v>
      </c>
      <c r="P3757" s="26">
        <f>0.00016*M3757</f>
        <v>0</v>
      </c>
      <c r="Q3757" s="30"/>
      <c r="R3757" s="22" t="s">
        <v>13178</v>
      </c>
      <c r="S3757" s="22" t="s">
        <v>435</v>
      </c>
      <c r="T3757" s="21" t="str">
        <f>HYPERLINK("https://miland.ru/api/getInfo/image/e180a692-7d45-11ee-a248-00155d82e902")</f>
        <v>https://miland.ru/api/getInfo/image/e180a692-7d45-11ee-a248-00155d82e902</v>
      </c>
      <c r="U3757" s="21"/>
      <c r="V3757" s="21" t="s">
        <v>6525</v>
      </c>
      <c r="W3757" s="21" t="s">
        <v>378</v>
      </c>
      <c r="X3757" s="21"/>
      <c r="Y3757" s="21" t="s">
        <v>41</v>
      </c>
      <c r="Z3757" s="21"/>
      <c r="AA3757" s="21" t="str">
        <f>HYPERLINK("https://miland.ru/api/getInfo/item/e180a692-7d45-11ee-a248-00155d82e902")</f>
        <v>https://miland.ru/api/getInfo/item/e180a692-7d45-11ee-a248-00155d82e902</v>
      </c>
      <c r="AB3757" s="21" t="s">
        <v>42</v>
      </c>
      <c r="AC3757" s="21" t="s">
        <v>13179</v>
      </c>
      <c r="AD3757" s="21"/>
    </row>
    <row r="3758" spans="2:31" s="1" customFormat="1" ht="96.3" customHeight="1" outlineLevel="7">
      <c r="B3758" s="59">
        <v>2945</v>
      </c>
      <c r="C3758" s="35" t="s">
        <v>13180</v>
      </c>
      <c r="D3758" s="73" t="s">
        <v>13181</v>
      </c>
      <c r="E3758" s="73"/>
      <c r="F3758" s="73"/>
      <c r="G3758" s="73"/>
      <c r="H3758" s="36" t="s">
        <v>13182</v>
      </c>
      <c r="I3758" s="40">
        <v>228</v>
      </c>
      <c r="J3758" s="36"/>
      <c r="K3758" s="34">
        <v>12</v>
      </c>
      <c r="L3758" s="41">
        <v>33.839999999999996</v>
      </c>
      <c r="M3758" s="11"/>
      <c r="N3758" s="36">
        <f t="shared" si="184"/>
        <v>0</v>
      </c>
      <c r="O3758" s="42">
        <f>0.039*M3758</f>
        <v>0</v>
      </c>
      <c r="P3758" s="43">
        <f>0.00013*M3758</f>
        <v>0</v>
      </c>
      <c r="Q3758" s="50"/>
      <c r="R3758" s="36" t="s">
        <v>13183</v>
      </c>
      <c r="S3758" s="36" t="s">
        <v>435</v>
      </c>
      <c r="T3758" s="35" t="str">
        <f>HYPERLINK("https://miland.ru/api/getInfo/image/3b0479f7-77b9-11ee-a248-00155d82e902")</f>
        <v>https://miland.ru/api/getInfo/image/3b0479f7-77b9-11ee-a248-00155d82e902</v>
      </c>
      <c r="U3758" s="35"/>
      <c r="V3758" s="35" t="s">
        <v>6525</v>
      </c>
      <c r="W3758" s="35" t="s">
        <v>378</v>
      </c>
      <c r="X3758" s="35"/>
      <c r="Y3758" s="35" t="s">
        <v>41</v>
      </c>
      <c r="Z3758" s="35"/>
      <c r="AA3758" s="35" t="str">
        <f>HYPERLINK("https://miland.ru/api/getInfo/item/3b0479f7-77b9-11ee-a248-00155d82e902")</f>
        <v>https://miland.ru/api/getInfo/item/3b0479f7-77b9-11ee-a248-00155d82e902</v>
      </c>
      <c r="AB3758" s="35" t="s">
        <v>42</v>
      </c>
      <c r="AC3758" s="35" t="s">
        <v>13184</v>
      </c>
      <c r="AD3758" s="35"/>
      <c r="AE3758" s="52" t="s">
        <v>1251</v>
      </c>
    </row>
    <row r="3759" spans="2:31" s="1" customFormat="1" ht="96.3" customHeight="1" outlineLevel="7">
      <c r="B3759" s="57">
        <v>2946</v>
      </c>
      <c r="C3759" s="21" t="s">
        <v>13185</v>
      </c>
      <c r="D3759" s="72" t="s">
        <v>13186</v>
      </c>
      <c r="E3759" s="72"/>
      <c r="F3759" s="72"/>
      <c r="G3759" s="72"/>
      <c r="H3759" s="22" t="s">
        <v>13187</v>
      </c>
      <c r="I3759" s="27">
        <v>84</v>
      </c>
      <c r="J3759" s="22"/>
      <c r="K3759" s="20">
        <v>12</v>
      </c>
      <c r="L3759" s="24">
        <v>62.39</v>
      </c>
      <c r="M3759" s="11"/>
      <c r="N3759" s="22">
        <f t="shared" si="184"/>
        <v>0</v>
      </c>
      <c r="O3759" s="25">
        <f>0.039*M3759</f>
        <v>0</v>
      </c>
      <c r="P3759" s="26">
        <f>0.00013*M3759</f>
        <v>0</v>
      </c>
      <c r="Q3759" s="30"/>
      <c r="R3759" s="22" t="s">
        <v>13188</v>
      </c>
      <c r="S3759" s="22" t="s">
        <v>435</v>
      </c>
      <c r="T3759" s="21" t="str">
        <f>HYPERLINK("https://miland.ru/api/getInfo/image/d128406b-77b9-11ee-a248-00155d82e902")</f>
        <v>https://miland.ru/api/getInfo/image/d128406b-77b9-11ee-a248-00155d82e902</v>
      </c>
      <c r="U3759" s="21"/>
      <c r="V3759" s="21" t="s">
        <v>6525</v>
      </c>
      <c r="W3759" s="21" t="s">
        <v>378</v>
      </c>
      <c r="X3759" s="21"/>
      <c r="Y3759" s="21" t="s">
        <v>41</v>
      </c>
      <c r="Z3759" s="21"/>
      <c r="AA3759" s="21" t="str">
        <f>HYPERLINK("https://miland.ru/api/getInfo/item/d128406b-77b9-11ee-a248-00155d82e902")</f>
        <v>https://miland.ru/api/getInfo/item/d128406b-77b9-11ee-a248-00155d82e902</v>
      </c>
      <c r="AB3759" s="21" t="s">
        <v>42</v>
      </c>
      <c r="AC3759" s="21" t="s">
        <v>13184</v>
      </c>
      <c r="AD3759" s="21"/>
    </row>
    <row r="3760" spans="2:31" s="1" customFormat="1" ht="96.3" customHeight="1" outlineLevel="7">
      <c r="B3760" s="59">
        <v>2947</v>
      </c>
      <c r="C3760" s="35" t="s">
        <v>13189</v>
      </c>
      <c r="D3760" s="73" t="s">
        <v>13190</v>
      </c>
      <c r="E3760" s="73"/>
      <c r="F3760" s="73"/>
      <c r="G3760" s="73"/>
      <c r="H3760" s="36" t="s">
        <v>13191</v>
      </c>
      <c r="I3760" s="56" t="s">
        <v>36</v>
      </c>
      <c r="J3760" s="36"/>
      <c r="K3760" s="34">
        <v>12</v>
      </c>
      <c r="L3760" s="41">
        <v>33.839999999999996</v>
      </c>
      <c r="M3760" s="11"/>
      <c r="N3760" s="36">
        <f t="shared" si="184"/>
        <v>0</v>
      </c>
      <c r="O3760" s="42">
        <f>0.039*M3760</f>
        <v>0</v>
      </c>
      <c r="P3760" s="43">
        <f>0.00013*M3760</f>
        <v>0</v>
      </c>
      <c r="Q3760" s="50"/>
      <c r="R3760" s="36" t="s">
        <v>13192</v>
      </c>
      <c r="S3760" s="36" t="s">
        <v>435</v>
      </c>
      <c r="T3760" s="35" t="str">
        <f>HYPERLINK("https://miland.ru/api/getInfo/image/530bb71f-77b9-11ee-a248-00155d82e902")</f>
        <v>https://miland.ru/api/getInfo/image/530bb71f-77b9-11ee-a248-00155d82e902</v>
      </c>
      <c r="U3760" s="35"/>
      <c r="V3760" s="35" t="s">
        <v>6525</v>
      </c>
      <c r="W3760" s="35" t="s">
        <v>378</v>
      </c>
      <c r="X3760" s="35"/>
      <c r="Y3760" s="35" t="s">
        <v>41</v>
      </c>
      <c r="Z3760" s="35"/>
      <c r="AA3760" s="35" t="str">
        <f>HYPERLINK("https://miland.ru/api/getInfo/item/530bb71f-77b9-11ee-a248-00155d82e902")</f>
        <v>https://miland.ru/api/getInfo/item/530bb71f-77b9-11ee-a248-00155d82e902</v>
      </c>
      <c r="AB3760" s="35" t="s">
        <v>42</v>
      </c>
      <c r="AC3760" s="35" t="s">
        <v>13184</v>
      </c>
      <c r="AD3760" s="35"/>
      <c r="AE3760" s="52" t="s">
        <v>1251</v>
      </c>
    </row>
    <row r="3761" spans="2:31" s="1" customFormat="1" ht="96.3" customHeight="1" outlineLevel="7">
      <c r="B3761" s="57">
        <v>2948</v>
      </c>
      <c r="C3761" s="21" t="s">
        <v>13193</v>
      </c>
      <c r="D3761" s="72" t="s">
        <v>13194</v>
      </c>
      <c r="E3761" s="72"/>
      <c r="F3761" s="72"/>
      <c r="G3761" s="72"/>
      <c r="H3761" s="22" t="s">
        <v>13195</v>
      </c>
      <c r="I3761" s="27">
        <v>312</v>
      </c>
      <c r="J3761" s="22"/>
      <c r="K3761" s="20">
        <v>12</v>
      </c>
      <c r="L3761" s="24">
        <v>62.39</v>
      </c>
      <c r="M3761" s="11"/>
      <c r="N3761" s="22">
        <f t="shared" si="184"/>
        <v>0</v>
      </c>
      <c r="O3761" s="25">
        <f>0.058*M3761</f>
        <v>0</v>
      </c>
      <c r="P3761" s="26">
        <f>0.00015*M3761</f>
        <v>0</v>
      </c>
      <c r="Q3761" s="30"/>
      <c r="R3761" s="22" t="s">
        <v>13196</v>
      </c>
      <c r="S3761" s="22" t="s">
        <v>435</v>
      </c>
      <c r="T3761" s="21" t="str">
        <f>HYPERLINK("https://miland.ru/api/getInfo/image/ee4a5078-f57c-11ee-a25b-00155d82e908")</f>
        <v>https://miland.ru/api/getInfo/image/ee4a5078-f57c-11ee-a25b-00155d82e908</v>
      </c>
      <c r="U3761" s="21"/>
      <c r="V3761" s="21" t="s">
        <v>6525</v>
      </c>
      <c r="W3761" s="21" t="s">
        <v>378</v>
      </c>
      <c r="X3761" s="21"/>
      <c r="Y3761" s="21" t="s">
        <v>41</v>
      </c>
      <c r="Z3761" s="21"/>
      <c r="AA3761" s="21" t="str">
        <f>HYPERLINK("https://miland.ru/api/getInfo/item/ee4a5078-f57c-11ee-a25b-00155d82e908")</f>
        <v>https://miland.ru/api/getInfo/item/ee4a5078-f57c-11ee-a25b-00155d82e908</v>
      </c>
      <c r="AB3761" s="21" t="s">
        <v>42</v>
      </c>
      <c r="AC3761" s="21"/>
      <c r="AD3761" s="21"/>
    </row>
    <row r="3762" spans="2:31" ht="12" customHeight="1" outlineLevel="6">
      <c r="B3762" s="70" t="s">
        <v>13197</v>
      </c>
      <c r="C3762" s="70"/>
      <c r="D3762" s="70"/>
      <c r="E3762" s="70"/>
      <c r="F3762" s="70"/>
      <c r="G3762" s="70"/>
    </row>
    <row r="3763" spans="2:31" s="1" customFormat="1" ht="96.3" customHeight="1" outlineLevel="7">
      <c r="B3763" s="57">
        <v>2949</v>
      </c>
      <c r="C3763" s="21" t="s">
        <v>13198</v>
      </c>
      <c r="D3763" s="72" t="s">
        <v>13199</v>
      </c>
      <c r="E3763" s="72"/>
      <c r="F3763" s="72"/>
      <c r="G3763" s="72"/>
      <c r="H3763" s="22" t="s">
        <v>13200</v>
      </c>
      <c r="I3763" s="23" t="s">
        <v>36</v>
      </c>
      <c r="J3763" s="22"/>
      <c r="K3763" s="20">
        <v>12</v>
      </c>
      <c r="L3763" s="24">
        <v>51.17</v>
      </c>
      <c r="M3763" s="11"/>
      <c r="N3763" s="22">
        <f t="shared" ref="N3763:N3774" si="185">L3763*M3763</f>
        <v>0</v>
      </c>
      <c r="O3763" s="25">
        <f>0.046*M3763</f>
        <v>0</v>
      </c>
      <c r="P3763" s="26">
        <f>0.00054*M3763</f>
        <v>0</v>
      </c>
      <c r="Q3763" s="30"/>
      <c r="R3763" s="22" t="s">
        <v>13201</v>
      </c>
      <c r="S3763" s="22"/>
      <c r="T3763" s="21" t="str">
        <f>HYPERLINK("https://miland.ru/api/getInfo/image/d1622ffa-edc2-11ef-a274-00155d82e908")</f>
        <v>https://miland.ru/api/getInfo/image/d1622ffa-edc2-11ef-a274-00155d82e908</v>
      </c>
      <c r="U3763" s="21"/>
      <c r="V3763" s="21" t="s">
        <v>6525</v>
      </c>
      <c r="W3763" s="21" t="s">
        <v>378</v>
      </c>
      <c r="X3763" s="21"/>
      <c r="Y3763" s="21" t="s">
        <v>41</v>
      </c>
      <c r="Z3763" s="21"/>
      <c r="AA3763" s="21" t="str">
        <f>HYPERLINK("https://miland.ru/api/getInfo/item/d1622ffa-edc2-11ef-a274-00155d82e908")</f>
        <v>https://miland.ru/api/getInfo/item/d1622ffa-edc2-11ef-a274-00155d82e908</v>
      </c>
      <c r="AB3763" s="21" t="s">
        <v>42</v>
      </c>
      <c r="AC3763" s="21"/>
      <c r="AD3763" s="21"/>
    </row>
    <row r="3764" spans="2:31" s="1" customFormat="1" ht="96.3" customHeight="1" outlineLevel="7">
      <c r="B3764" s="57">
        <v>2950</v>
      </c>
      <c r="C3764" s="21" t="s">
        <v>13202</v>
      </c>
      <c r="D3764" s="72" t="s">
        <v>13203</v>
      </c>
      <c r="E3764" s="72"/>
      <c r="F3764" s="72"/>
      <c r="G3764" s="72"/>
      <c r="H3764" s="22" t="s">
        <v>13204</v>
      </c>
      <c r="I3764" s="23" t="s">
        <v>36</v>
      </c>
      <c r="J3764" s="22"/>
      <c r="K3764" s="20">
        <v>12</v>
      </c>
      <c r="L3764" s="24">
        <v>51.17</v>
      </c>
      <c r="M3764" s="11"/>
      <c r="N3764" s="22">
        <f t="shared" si="185"/>
        <v>0</v>
      </c>
      <c r="O3764" s="25">
        <f>0.046*M3764</f>
        <v>0</v>
      </c>
      <c r="P3764" s="26">
        <f>0.00054*M3764</f>
        <v>0</v>
      </c>
      <c r="Q3764" s="30"/>
      <c r="R3764" s="22" t="s">
        <v>13205</v>
      </c>
      <c r="S3764" s="22"/>
      <c r="T3764" s="21" t="str">
        <f>HYPERLINK("https://miland.ru/api/getInfo/image/b947f6bb-edc2-11ef-a274-00155d82e908")</f>
        <v>https://miland.ru/api/getInfo/image/b947f6bb-edc2-11ef-a274-00155d82e908</v>
      </c>
      <c r="U3764" s="21"/>
      <c r="V3764" s="21" t="s">
        <v>6525</v>
      </c>
      <c r="W3764" s="21" t="s">
        <v>378</v>
      </c>
      <c r="X3764" s="21"/>
      <c r="Y3764" s="21" t="s">
        <v>41</v>
      </c>
      <c r="Z3764" s="21"/>
      <c r="AA3764" s="21" t="str">
        <f>HYPERLINK("https://miland.ru/api/getInfo/item/b947f6bb-edc2-11ef-a274-00155d82e908")</f>
        <v>https://miland.ru/api/getInfo/item/b947f6bb-edc2-11ef-a274-00155d82e908</v>
      </c>
      <c r="AB3764" s="21" t="s">
        <v>42</v>
      </c>
      <c r="AC3764" s="21"/>
      <c r="AD3764" s="21"/>
    </row>
    <row r="3765" spans="2:31" s="1" customFormat="1" ht="96.3" customHeight="1" outlineLevel="7">
      <c r="B3765" s="57">
        <v>2951</v>
      </c>
      <c r="C3765" s="21" t="s">
        <v>13206</v>
      </c>
      <c r="D3765" s="72" t="s">
        <v>13207</v>
      </c>
      <c r="E3765" s="72"/>
      <c r="F3765" s="72"/>
      <c r="G3765" s="72"/>
      <c r="H3765" s="22" t="s">
        <v>13208</v>
      </c>
      <c r="I3765" s="23" t="s">
        <v>36</v>
      </c>
      <c r="J3765" s="22"/>
      <c r="K3765" s="20">
        <v>12</v>
      </c>
      <c r="L3765" s="24">
        <v>51.17</v>
      </c>
      <c r="M3765" s="11"/>
      <c r="N3765" s="22">
        <f t="shared" si="185"/>
        <v>0</v>
      </c>
      <c r="O3765" s="25">
        <f>0.051*M3765</f>
        <v>0</v>
      </c>
      <c r="P3765" s="26">
        <f>0.00022*M3765</f>
        <v>0</v>
      </c>
      <c r="Q3765" s="30"/>
      <c r="R3765" s="22" t="s">
        <v>13209</v>
      </c>
      <c r="S3765" s="22"/>
      <c r="T3765" s="21" t="str">
        <f>HYPERLINK("https://miland.ru/api/getInfo/image/16333f95-2432-11f0-a279-00155d82e908")</f>
        <v>https://miland.ru/api/getInfo/image/16333f95-2432-11f0-a279-00155d82e908</v>
      </c>
      <c r="U3765" s="21"/>
      <c r="V3765" s="21" t="s">
        <v>6525</v>
      </c>
      <c r="W3765" s="21" t="s">
        <v>378</v>
      </c>
      <c r="X3765" s="21"/>
      <c r="Y3765" s="21" t="s">
        <v>41</v>
      </c>
      <c r="Z3765" s="21"/>
      <c r="AA3765" s="21" t="str">
        <f>HYPERLINK("https://miland.ru/api/getInfo/item/16333f95-2432-11f0-a279-00155d82e908")</f>
        <v>https://miland.ru/api/getInfo/item/16333f95-2432-11f0-a279-00155d82e908</v>
      </c>
      <c r="AB3765" s="21" t="s">
        <v>42</v>
      </c>
      <c r="AC3765" s="21"/>
      <c r="AD3765" s="21"/>
    </row>
    <row r="3766" spans="2:31" s="1" customFormat="1" ht="96.3" customHeight="1" outlineLevel="7">
      <c r="B3766" s="57">
        <v>2952</v>
      </c>
      <c r="C3766" s="21" t="s">
        <v>13210</v>
      </c>
      <c r="D3766" s="72" t="s">
        <v>13211</v>
      </c>
      <c r="E3766" s="72"/>
      <c r="F3766" s="72"/>
      <c r="G3766" s="72"/>
      <c r="H3766" s="22" t="s">
        <v>13212</v>
      </c>
      <c r="I3766" s="23" t="s">
        <v>36</v>
      </c>
      <c r="J3766" s="22"/>
      <c r="K3766" s="20">
        <v>12</v>
      </c>
      <c r="L3766" s="24">
        <v>51.17</v>
      </c>
      <c r="M3766" s="11"/>
      <c r="N3766" s="22">
        <f t="shared" si="185"/>
        <v>0</v>
      </c>
      <c r="O3766" s="25">
        <f>0.051*M3766</f>
        <v>0</v>
      </c>
      <c r="P3766" s="26">
        <f>0.00005*M3766</f>
        <v>0</v>
      </c>
      <c r="Q3766" s="30"/>
      <c r="R3766" s="22" t="s">
        <v>13213</v>
      </c>
      <c r="S3766" s="22"/>
      <c r="T3766" s="21" t="str">
        <f>HYPERLINK("https://miland.ru/api/getInfo/image/9edbc159-2431-11f0-a279-00155d82e908")</f>
        <v>https://miland.ru/api/getInfo/image/9edbc159-2431-11f0-a279-00155d82e908</v>
      </c>
      <c r="U3766" s="21"/>
      <c r="V3766" s="21" t="s">
        <v>6525</v>
      </c>
      <c r="W3766" s="21" t="s">
        <v>378</v>
      </c>
      <c r="X3766" s="21"/>
      <c r="Y3766" s="21" t="s">
        <v>41</v>
      </c>
      <c r="Z3766" s="21"/>
      <c r="AA3766" s="21" t="str">
        <f>HYPERLINK("https://miland.ru/api/getInfo/item/9edbc159-2431-11f0-a279-00155d82e908")</f>
        <v>https://miland.ru/api/getInfo/item/9edbc159-2431-11f0-a279-00155d82e908</v>
      </c>
      <c r="AB3766" s="21" t="s">
        <v>42</v>
      </c>
      <c r="AC3766" s="21"/>
      <c r="AD3766" s="21"/>
    </row>
    <row r="3767" spans="2:31" s="1" customFormat="1" ht="96.3" customHeight="1" outlineLevel="7">
      <c r="B3767" s="57">
        <v>2953</v>
      </c>
      <c r="C3767" s="21" t="s">
        <v>13214</v>
      </c>
      <c r="D3767" s="72" t="s">
        <v>13215</v>
      </c>
      <c r="E3767" s="72"/>
      <c r="F3767" s="72"/>
      <c r="G3767" s="72"/>
      <c r="H3767" s="22" t="s">
        <v>13216</v>
      </c>
      <c r="I3767" s="23" t="s">
        <v>36</v>
      </c>
      <c r="J3767" s="22"/>
      <c r="K3767" s="20">
        <v>12</v>
      </c>
      <c r="L3767" s="24">
        <v>51.17</v>
      </c>
      <c r="M3767" s="11"/>
      <c r="N3767" s="22">
        <f t="shared" si="185"/>
        <v>0</v>
      </c>
      <c r="O3767" s="25">
        <f>0.005*M3767</f>
        <v>0</v>
      </c>
      <c r="P3767" s="26">
        <f>0.00004*M3767</f>
        <v>0</v>
      </c>
      <c r="Q3767" s="30"/>
      <c r="R3767" s="22" t="s">
        <v>13217</v>
      </c>
      <c r="S3767" s="22"/>
      <c r="T3767" s="21" t="str">
        <f>HYPERLINK("https://miland.ru/api/getInfo/image/9d637ab0-2430-11f0-a279-00155d82e908")</f>
        <v>https://miland.ru/api/getInfo/image/9d637ab0-2430-11f0-a279-00155d82e908</v>
      </c>
      <c r="U3767" s="21"/>
      <c r="V3767" s="21" t="s">
        <v>6525</v>
      </c>
      <c r="W3767" s="21" t="s">
        <v>378</v>
      </c>
      <c r="X3767" s="21"/>
      <c r="Y3767" s="21" t="s">
        <v>41</v>
      </c>
      <c r="Z3767" s="21"/>
      <c r="AA3767" s="21" t="str">
        <f>HYPERLINK("https://miland.ru/api/getInfo/item/9d637ab0-2430-11f0-a279-00155d82e908")</f>
        <v>https://miland.ru/api/getInfo/item/9d637ab0-2430-11f0-a279-00155d82e908</v>
      </c>
      <c r="AB3767" s="21" t="s">
        <v>42</v>
      </c>
      <c r="AC3767" s="21"/>
      <c r="AD3767" s="21"/>
    </row>
    <row r="3768" spans="2:31" s="1" customFormat="1" ht="96.3" customHeight="1" outlineLevel="7">
      <c r="B3768" s="57">
        <v>2954</v>
      </c>
      <c r="C3768" s="21" t="s">
        <v>13218</v>
      </c>
      <c r="D3768" s="72" t="s">
        <v>13219</v>
      </c>
      <c r="E3768" s="72"/>
      <c r="F3768" s="72"/>
      <c r="G3768" s="72"/>
      <c r="H3768" s="22" t="s">
        <v>13220</v>
      </c>
      <c r="I3768" s="23" t="s">
        <v>36</v>
      </c>
      <c r="J3768" s="22"/>
      <c r="K3768" s="20">
        <v>12</v>
      </c>
      <c r="L3768" s="24">
        <v>51.17</v>
      </c>
      <c r="M3768" s="11"/>
      <c r="N3768" s="22">
        <f t="shared" si="185"/>
        <v>0</v>
      </c>
      <c r="O3768" s="25">
        <f>0.054*M3768</f>
        <v>0</v>
      </c>
      <c r="P3768" s="26">
        <f>0.00018*M3768</f>
        <v>0</v>
      </c>
      <c r="Q3768" s="30"/>
      <c r="R3768" s="22" t="s">
        <v>13221</v>
      </c>
      <c r="S3768" s="22"/>
      <c r="T3768" s="21" t="str">
        <f>HYPERLINK("https://miland.ru/api/getInfo/image/28dddfe0-2431-11f0-a279-00155d82e908")</f>
        <v>https://miland.ru/api/getInfo/image/28dddfe0-2431-11f0-a279-00155d82e908</v>
      </c>
      <c r="U3768" s="21"/>
      <c r="V3768" s="21" t="s">
        <v>6525</v>
      </c>
      <c r="W3768" s="21" t="s">
        <v>378</v>
      </c>
      <c r="X3768" s="21"/>
      <c r="Y3768" s="21" t="s">
        <v>41</v>
      </c>
      <c r="Z3768" s="21"/>
      <c r="AA3768" s="21" t="str">
        <f>HYPERLINK("https://miland.ru/api/getInfo/item/28dddfe0-2431-11f0-a279-00155d82e908")</f>
        <v>https://miland.ru/api/getInfo/item/28dddfe0-2431-11f0-a279-00155d82e908</v>
      </c>
      <c r="AB3768" s="21" t="s">
        <v>42</v>
      </c>
      <c r="AC3768" s="21"/>
      <c r="AD3768" s="21"/>
    </row>
    <row r="3769" spans="2:31" s="1" customFormat="1" ht="96.3" customHeight="1" outlineLevel="7">
      <c r="B3769" s="57">
        <v>2955</v>
      </c>
      <c r="C3769" s="21" t="s">
        <v>13222</v>
      </c>
      <c r="D3769" s="72" t="s">
        <v>13223</v>
      </c>
      <c r="E3769" s="72"/>
      <c r="F3769" s="72"/>
      <c r="G3769" s="72"/>
      <c r="H3769" s="22" t="s">
        <v>13224</v>
      </c>
      <c r="I3769" s="23" t="s">
        <v>36</v>
      </c>
      <c r="J3769" s="22"/>
      <c r="K3769" s="20">
        <v>12</v>
      </c>
      <c r="L3769" s="24">
        <v>51.17</v>
      </c>
      <c r="M3769" s="11"/>
      <c r="N3769" s="22">
        <f t="shared" si="185"/>
        <v>0</v>
      </c>
      <c r="O3769" s="25">
        <f>0.046*M3769</f>
        <v>0</v>
      </c>
      <c r="P3769" s="26">
        <f>0.00013*M3769</f>
        <v>0</v>
      </c>
      <c r="Q3769" s="30"/>
      <c r="R3769" s="22" t="s">
        <v>13225</v>
      </c>
      <c r="S3769" s="22" t="s">
        <v>435</v>
      </c>
      <c r="T3769" s="21" t="str">
        <f>HYPERLINK("https://miland.ru/api/getInfo/image/c8e36c8e-f57c-11ee-a25b-00155d82e908")</f>
        <v>https://miland.ru/api/getInfo/image/c8e36c8e-f57c-11ee-a25b-00155d82e908</v>
      </c>
      <c r="U3769" s="21"/>
      <c r="V3769" s="21" t="s">
        <v>6525</v>
      </c>
      <c r="W3769" s="21" t="s">
        <v>378</v>
      </c>
      <c r="X3769" s="21"/>
      <c r="Y3769" s="21" t="s">
        <v>41</v>
      </c>
      <c r="Z3769" s="21"/>
      <c r="AA3769" s="21" t="str">
        <f>HYPERLINK("https://miland.ru/api/getInfo/item/c8e36c8e-f57c-11ee-a25b-00155d82e908")</f>
        <v>https://miland.ru/api/getInfo/item/c8e36c8e-f57c-11ee-a25b-00155d82e908</v>
      </c>
      <c r="AB3769" s="21" t="s">
        <v>42</v>
      </c>
      <c r="AC3769" s="21"/>
      <c r="AD3769" s="21"/>
    </row>
    <row r="3770" spans="2:31" s="1" customFormat="1" ht="96.3" customHeight="1" outlineLevel="7">
      <c r="B3770" s="57">
        <v>2956</v>
      </c>
      <c r="C3770" s="21" t="s">
        <v>13226</v>
      </c>
      <c r="D3770" s="72" t="s">
        <v>13227</v>
      </c>
      <c r="E3770" s="72"/>
      <c r="F3770" s="72"/>
      <c r="G3770" s="72"/>
      <c r="H3770" s="22" t="s">
        <v>13228</v>
      </c>
      <c r="I3770" s="27">
        <v>180</v>
      </c>
      <c r="J3770" s="22"/>
      <c r="K3770" s="20">
        <v>12</v>
      </c>
      <c r="L3770" s="24">
        <v>51.17</v>
      </c>
      <c r="M3770" s="11"/>
      <c r="N3770" s="22">
        <f t="shared" si="185"/>
        <v>0</v>
      </c>
      <c r="O3770" s="25">
        <f>0.046*M3770</f>
        <v>0</v>
      </c>
      <c r="P3770" s="26">
        <f>0.00013*M3770</f>
        <v>0</v>
      </c>
      <c r="Q3770" s="30"/>
      <c r="R3770" s="22" t="s">
        <v>13229</v>
      </c>
      <c r="S3770" s="22" t="s">
        <v>435</v>
      </c>
      <c r="T3770" s="21" t="str">
        <f>HYPERLINK("https://miland.ru/api/getInfo/image/1599f653-f57d-11ee-a25b-00155d82e908")</f>
        <v>https://miland.ru/api/getInfo/image/1599f653-f57d-11ee-a25b-00155d82e908</v>
      </c>
      <c r="U3770" s="21"/>
      <c r="V3770" s="21" t="s">
        <v>6525</v>
      </c>
      <c r="W3770" s="21" t="s">
        <v>378</v>
      </c>
      <c r="X3770" s="21"/>
      <c r="Y3770" s="21" t="s">
        <v>41</v>
      </c>
      <c r="Z3770" s="21"/>
      <c r="AA3770" s="21" t="str">
        <f>HYPERLINK("https://miland.ru/api/getInfo/item/1599f653-f57d-11ee-a25b-00155d82e908")</f>
        <v>https://miland.ru/api/getInfo/item/1599f653-f57d-11ee-a25b-00155d82e908</v>
      </c>
      <c r="AB3770" s="21" t="s">
        <v>42</v>
      </c>
      <c r="AC3770" s="21"/>
      <c r="AD3770" s="21"/>
    </row>
    <row r="3771" spans="2:31" s="1" customFormat="1" ht="96.3" customHeight="1" outlineLevel="7">
      <c r="B3771" s="58">
        <v>2957</v>
      </c>
      <c r="C3771" s="7" t="s">
        <v>13230</v>
      </c>
      <c r="D3771" s="71" t="s">
        <v>13231</v>
      </c>
      <c r="E3771" s="71"/>
      <c r="F3771" s="71"/>
      <c r="G3771" s="71"/>
      <c r="H3771" s="8" t="s">
        <v>13232</v>
      </c>
      <c r="I3771" s="9" t="s">
        <v>36</v>
      </c>
      <c r="J3771" s="8"/>
      <c r="K3771" s="6">
        <v>12</v>
      </c>
      <c r="L3771" s="10">
        <v>38.94</v>
      </c>
      <c r="M3771" s="11"/>
      <c r="N3771" s="8">
        <f t="shared" si="185"/>
        <v>0</v>
      </c>
      <c r="O3771" s="12">
        <f>0.028*M3771</f>
        <v>0</v>
      </c>
      <c r="P3771" s="13">
        <f>0.00023*M3771</f>
        <v>0</v>
      </c>
      <c r="Q3771" s="17" t="s">
        <v>37</v>
      </c>
      <c r="R3771" s="8" t="s">
        <v>13233</v>
      </c>
      <c r="S3771" s="8"/>
      <c r="T3771" s="7" t="str">
        <f>HYPERLINK("https://miland.ru/api/getInfo/image/d3fcaee9-58a8-11f0-a27f-00155d82e908")</f>
        <v>https://miland.ru/api/getInfo/image/d3fcaee9-58a8-11f0-a27f-00155d82e908</v>
      </c>
      <c r="U3771" s="7"/>
      <c r="V3771" s="7"/>
      <c r="W3771" s="7" t="s">
        <v>378</v>
      </c>
      <c r="X3771" s="7"/>
      <c r="Y3771" s="7" t="s">
        <v>41</v>
      </c>
      <c r="Z3771" s="7"/>
      <c r="AA3771" s="7" t="str">
        <f>HYPERLINK("https://miland.ru/api/getInfo/item/d3fcaee9-58a8-11f0-a27f-00155d82e908")</f>
        <v>https://miland.ru/api/getInfo/item/d3fcaee9-58a8-11f0-a27f-00155d82e908</v>
      </c>
      <c r="AB3771" s="7" t="s">
        <v>42</v>
      </c>
      <c r="AC3771" s="7"/>
      <c r="AD3771" s="7"/>
      <c r="AE3771" s="54"/>
    </row>
    <row r="3772" spans="2:31" s="1" customFormat="1" ht="96.3" customHeight="1" outlineLevel="7">
      <c r="B3772" s="58">
        <v>2958</v>
      </c>
      <c r="C3772" s="7" t="s">
        <v>13234</v>
      </c>
      <c r="D3772" s="71" t="s">
        <v>13235</v>
      </c>
      <c r="E3772" s="71"/>
      <c r="F3772" s="71"/>
      <c r="G3772" s="71"/>
      <c r="H3772" s="8" t="s">
        <v>13236</v>
      </c>
      <c r="I3772" s="14">
        <v>456</v>
      </c>
      <c r="J3772" s="8"/>
      <c r="K3772" s="6">
        <v>12</v>
      </c>
      <c r="L3772" s="10">
        <v>38.94</v>
      </c>
      <c r="M3772" s="11"/>
      <c r="N3772" s="8">
        <f t="shared" si="185"/>
        <v>0</v>
      </c>
      <c r="O3772" s="12">
        <f>0.028*M3772</f>
        <v>0</v>
      </c>
      <c r="P3772" s="13">
        <f>0.00023*M3772</f>
        <v>0</v>
      </c>
      <c r="Q3772" s="17" t="s">
        <v>37</v>
      </c>
      <c r="R3772" s="8" t="s">
        <v>13237</v>
      </c>
      <c r="S3772" s="8"/>
      <c r="T3772" s="7" t="str">
        <f>HYPERLINK("https://miland.ru/api/getInfo/image/2923fc91-58a9-11f0-a27f-00155d82e908")</f>
        <v>https://miland.ru/api/getInfo/image/2923fc91-58a9-11f0-a27f-00155d82e908</v>
      </c>
      <c r="U3772" s="7"/>
      <c r="V3772" s="7"/>
      <c r="W3772" s="7" t="s">
        <v>378</v>
      </c>
      <c r="X3772" s="7"/>
      <c r="Y3772" s="7" t="s">
        <v>41</v>
      </c>
      <c r="Z3772" s="7"/>
      <c r="AA3772" s="7" t="str">
        <f>HYPERLINK("https://miland.ru/api/getInfo/item/2923fc91-58a9-11f0-a27f-00155d82e908")</f>
        <v>https://miland.ru/api/getInfo/item/2923fc91-58a9-11f0-a27f-00155d82e908</v>
      </c>
      <c r="AB3772" s="7" t="s">
        <v>42</v>
      </c>
      <c r="AC3772" s="7"/>
      <c r="AD3772" s="7"/>
      <c r="AE3772" s="54"/>
    </row>
    <row r="3773" spans="2:31" s="1" customFormat="1" ht="96.3" customHeight="1" outlineLevel="7">
      <c r="B3773" s="58">
        <v>2959</v>
      </c>
      <c r="C3773" s="7" t="s">
        <v>13238</v>
      </c>
      <c r="D3773" s="71" t="s">
        <v>13239</v>
      </c>
      <c r="E3773" s="71"/>
      <c r="F3773" s="71"/>
      <c r="G3773" s="71"/>
      <c r="H3773" s="8" t="s">
        <v>13240</v>
      </c>
      <c r="I3773" s="9" t="s">
        <v>36</v>
      </c>
      <c r="J3773" s="8"/>
      <c r="K3773" s="6">
        <v>12</v>
      </c>
      <c r="L3773" s="10">
        <v>38.96</v>
      </c>
      <c r="M3773" s="11"/>
      <c r="N3773" s="8">
        <f t="shared" si="185"/>
        <v>0</v>
      </c>
      <c r="O3773" s="12">
        <f>0.028*M3773</f>
        <v>0</v>
      </c>
      <c r="P3773" s="13">
        <f>0.00023*M3773</f>
        <v>0</v>
      </c>
      <c r="Q3773" s="17" t="s">
        <v>37</v>
      </c>
      <c r="R3773" s="8" t="s">
        <v>13241</v>
      </c>
      <c r="S3773" s="8"/>
      <c r="T3773" s="7" t="str">
        <f>HYPERLINK("https://miland.ru/api/getInfo/image/a41f309d-58a9-11f0-a27f-00155d82e908")</f>
        <v>https://miland.ru/api/getInfo/image/a41f309d-58a9-11f0-a27f-00155d82e908</v>
      </c>
      <c r="U3773" s="7"/>
      <c r="V3773" s="7"/>
      <c r="W3773" s="7" t="s">
        <v>378</v>
      </c>
      <c r="X3773" s="7"/>
      <c r="Y3773" s="7" t="s">
        <v>41</v>
      </c>
      <c r="Z3773" s="7"/>
      <c r="AA3773" s="7" t="str">
        <f>HYPERLINK("https://miland.ru/api/getInfo/item/a41f309d-58a9-11f0-a27f-00155d82e908")</f>
        <v>https://miland.ru/api/getInfo/item/a41f309d-58a9-11f0-a27f-00155d82e908</v>
      </c>
      <c r="AB3773" s="7" t="s">
        <v>42</v>
      </c>
      <c r="AC3773" s="7"/>
      <c r="AD3773" s="7"/>
      <c r="AE3773" s="54"/>
    </row>
    <row r="3774" spans="2:31" s="1" customFormat="1" ht="96.3" customHeight="1" outlineLevel="7">
      <c r="B3774" s="58">
        <v>2960</v>
      </c>
      <c r="C3774" s="7" t="s">
        <v>13242</v>
      </c>
      <c r="D3774" s="71" t="s">
        <v>13243</v>
      </c>
      <c r="E3774" s="71"/>
      <c r="F3774" s="71"/>
      <c r="G3774" s="71"/>
      <c r="H3774" s="8" t="s">
        <v>13244</v>
      </c>
      <c r="I3774" s="9" t="s">
        <v>36</v>
      </c>
      <c r="J3774" s="8"/>
      <c r="K3774" s="6">
        <v>12</v>
      </c>
      <c r="L3774" s="10">
        <v>38.94</v>
      </c>
      <c r="M3774" s="11"/>
      <c r="N3774" s="8">
        <f t="shared" si="185"/>
        <v>0</v>
      </c>
      <c r="O3774" s="12">
        <f>0.028*M3774</f>
        <v>0</v>
      </c>
      <c r="P3774" s="13">
        <f>0.00023*M3774</f>
        <v>0</v>
      </c>
      <c r="Q3774" s="17" t="s">
        <v>37</v>
      </c>
      <c r="R3774" s="8" t="s">
        <v>13245</v>
      </c>
      <c r="S3774" s="8"/>
      <c r="T3774" s="7" t="str">
        <f>HYPERLINK("https://miland.ru/api/getInfo/image/6640ec30-58a9-11f0-a27f-00155d82e908")</f>
        <v>https://miland.ru/api/getInfo/image/6640ec30-58a9-11f0-a27f-00155d82e908</v>
      </c>
      <c r="U3774" s="7"/>
      <c r="V3774" s="7"/>
      <c r="W3774" s="7" t="s">
        <v>378</v>
      </c>
      <c r="X3774" s="7"/>
      <c r="Y3774" s="7" t="s">
        <v>41</v>
      </c>
      <c r="Z3774" s="7"/>
      <c r="AA3774" s="7" t="str">
        <f>HYPERLINK("https://miland.ru/api/getInfo/item/6640ec30-58a9-11f0-a27f-00155d82e908")</f>
        <v>https://miland.ru/api/getInfo/item/6640ec30-58a9-11f0-a27f-00155d82e908</v>
      </c>
      <c r="AB3774" s="7" t="s">
        <v>42</v>
      </c>
      <c r="AC3774" s="7"/>
      <c r="AD3774" s="7"/>
      <c r="AE3774" s="54"/>
    </row>
    <row r="3775" spans="2:31" ht="12" customHeight="1" outlineLevel="6">
      <c r="B3775" s="70" t="s">
        <v>6879</v>
      </c>
      <c r="C3775" s="70"/>
      <c r="D3775" s="70"/>
      <c r="E3775" s="70"/>
      <c r="F3775" s="70"/>
      <c r="G3775" s="70"/>
    </row>
    <row r="3776" spans="2:31" s="1" customFormat="1" ht="96.3" customHeight="1" outlineLevel="7">
      <c r="B3776" s="57">
        <v>2961</v>
      </c>
      <c r="C3776" s="21" t="s">
        <v>13246</v>
      </c>
      <c r="D3776" s="72" t="s">
        <v>13247</v>
      </c>
      <c r="E3776" s="72"/>
      <c r="F3776" s="72"/>
      <c r="G3776" s="72"/>
      <c r="H3776" s="22" t="s">
        <v>13248</v>
      </c>
      <c r="I3776" s="23" t="s">
        <v>36</v>
      </c>
      <c r="J3776" s="22"/>
      <c r="K3776" s="20">
        <v>12</v>
      </c>
      <c r="L3776" s="24">
        <v>62.39</v>
      </c>
      <c r="M3776" s="11"/>
      <c r="N3776" s="22">
        <f t="shared" ref="N3776:N3785" si="186">L3776*M3776</f>
        <v>0</v>
      </c>
      <c r="O3776" s="33">
        <f>0.6*M3776</f>
        <v>0</v>
      </c>
      <c r="P3776" s="26">
        <f>0.00014*M3776</f>
        <v>0</v>
      </c>
      <c r="Q3776" s="30"/>
      <c r="R3776" s="22" t="s">
        <v>13249</v>
      </c>
      <c r="S3776" s="22"/>
      <c r="T3776" s="21" t="str">
        <f>HYPERLINK("https://miland.ru/api/getInfo/image/cf9a7f2d-96ba-11ef-a267-00155d82e908")</f>
        <v>https://miland.ru/api/getInfo/image/cf9a7f2d-96ba-11ef-a267-00155d82e908</v>
      </c>
      <c r="U3776" s="21"/>
      <c r="V3776" s="21" t="s">
        <v>6525</v>
      </c>
      <c r="W3776" s="21" t="s">
        <v>378</v>
      </c>
      <c r="X3776" s="21"/>
      <c r="Y3776" s="21" t="s">
        <v>41</v>
      </c>
      <c r="Z3776" s="21"/>
      <c r="AA3776" s="21" t="str">
        <f>HYPERLINK("https://miland.ru/api/getInfo/item/cf9a7f2d-96ba-11ef-a267-00155d82e908")</f>
        <v>https://miland.ru/api/getInfo/item/cf9a7f2d-96ba-11ef-a267-00155d82e908</v>
      </c>
      <c r="AB3776" s="21" t="s">
        <v>42</v>
      </c>
      <c r="AC3776" s="21" t="s">
        <v>13179</v>
      </c>
      <c r="AD3776" s="21"/>
    </row>
    <row r="3777" spans="2:31" s="1" customFormat="1" ht="96.3" customHeight="1" outlineLevel="7">
      <c r="B3777" s="57">
        <v>2962</v>
      </c>
      <c r="C3777" s="21" t="s">
        <v>13250</v>
      </c>
      <c r="D3777" s="72" t="s">
        <v>13251</v>
      </c>
      <c r="E3777" s="72"/>
      <c r="F3777" s="72"/>
      <c r="G3777" s="72"/>
      <c r="H3777" s="22" t="s">
        <v>13252</v>
      </c>
      <c r="I3777" s="23" t="s">
        <v>36</v>
      </c>
      <c r="J3777" s="22"/>
      <c r="K3777" s="20">
        <v>12</v>
      </c>
      <c r="L3777" s="24">
        <v>62.39</v>
      </c>
      <c r="M3777" s="11"/>
      <c r="N3777" s="22">
        <f t="shared" si="186"/>
        <v>0</v>
      </c>
      <c r="O3777" s="25">
        <f>0.048*M3777</f>
        <v>0</v>
      </c>
      <c r="P3777" s="26">
        <f>0.00018*M3777</f>
        <v>0</v>
      </c>
      <c r="Q3777" s="30"/>
      <c r="R3777" s="22" t="s">
        <v>13253</v>
      </c>
      <c r="S3777" s="22"/>
      <c r="T3777" s="21" t="str">
        <f>HYPERLINK("https://miland.ru/api/getInfo/image/31587f07-96ba-11ef-a267-00155d82e908")</f>
        <v>https://miland.ru/api/getInfo/image/31587f07-96ba-11ef-a267-00155d82e908</v>
      </c>
      <c r="U3777" s="21"/>
      <c r="V3777" s="21" t="s">
        <v>6525</v>
      </c>
      <c r="W3777" s="21" t="s">
        <v>378</v>
      </c>
      <c r="X3777" s="21"/>
      <c r="Y3777" s="21" t="s">
        <v>41</v>
      </c>
      <c r="Z3777" s="21"/>
      <c r="AA3777" s="21" t="str">
        <f>HYPERLINK("https://miland.ru/api/getInfo/item/31587f07-96ba-11ef-a267-00155d82e908")</f>
        <v>https://miland.ru/api/getInfo/item/31587f07-96ba-11ef-a267-00155d82e908</v>
      </c>
      <c r="AB3777" s="21" t="s">
        <v>42</v>
      </c>
      <c r="AC3777" s="21" t="s">
        <v>13179</v>
      </c>
      <c r="AD3777" s="21"/>
    </row>
    <row r="3778" spans="2:31" s="1" customFormat="1" ht="96.3" customHeight="1" outlineLevel="7">
      <c r="B3778" s="57">
        <v>2963</v>
      </c>
      <c r="C3778" s="21" t="s">
        <v>13254</v>
      </c>
      <c r="D3778" s="72" t="s">
        <v>13255</v>
      </c>
      <c r="E3778" s="72"/>
      <c r="F3778" s="72"/>
      <c r="G3778" s="72"/>
      <c r="H3778" s="22" t="s">
        <v>13256</v>
      </c>
      <c r="I3778" s="23" t="s">
        <v>36</v>
      </c>
      <c r="J3778" s="22"/>
      <c r="K3778" s="20">
        <v>12</v>
      </c>
      <c r="L3778" s="24">
        <v>62.39</v>
      </c>
      <c r="M3778" s="11"/>
      <c r="N3778" s="22">
        <f t="shared" si="186"/>
        <v>0</v>
      </c>
      <c r="O3778" s="25">
        <f>0.048*M3778</f>
        <v>0</v>
      </c>
      <c r="P3778" s="26">
        <f>0.00018*M3778</f>
        <v>0</v>
      </c>
      <c r="Q3778" s="30"/>
      <c r="R3778" s="22" t="s">
        <v>13257</v>
      </c>
      <c r="S3778" s="22"/>
      <c r="T3778" s="21" t="str">
        <f>HYPERLINK("https://miland.ru/api/getInfo/image/eea6ccff-96ba-11ef-a267-00155d82e908")</f>
        <v>https://miland.ru/api/getInfo/image/eea6ccff-96ba-11ef-a267-00155d82e908</v>
      </c>
      <c r="U3778" s="21"/>
      <c r="V3778" s="21" t="s">
        <v>6525</v>
      </c>
      <c r="W3778" s="21" t="s">
        <v>378</v>
      </c>
      <c r="X3778" s="21"/>
      <c r="Y3778" s="21" t="s">
        <v>41</v>
      </c>
      <c r="Z3778" s="21"/>
      <c r="AA3778" s="21" t="str">
        <f>HYPERLINK("https://miland.ru/api/getInfo/item/eea6ccff-96ba-11ef-a267-00155d82e908")</f>
        <v>https://miland.ru/api/getInfo/item/eea6ccff-96ba-11ef-a267-00155d82e908</v>
      </c>
      <c r="AB3778" s="21" t="s">
        <v>42</v>
      </c>
      <c r="AC3778" s="21" t="s">
        <v>13179</v>
      </c>
      <c r="AD3778" s="21"/>
    </row>
    <row r="3779" spans="2:31" s="1" customFormat="1" ht="96.3" customHeight="1" outlineLevel="7">
      <c r="B3779" s="57">
        <v>2964</v>
      </c>
      <c r="C3779" s="21" t="s">
        <v>13258</v>
      </c>
      <c r="D3779" s="72" t="s">
        <v>13259</v>
      </c>
      <c r="E3779" s="72"/>
      <c r="F3779" s="72"/>
      <c r="G3779" s="72"/>
      <c r="H3779" s="22" t="s">
        <v>13260</v>
      </c>
      <c r="I3779" s="23" t="s">
        <v>36</v>
      </c>
      <c r="J3779" s="22"/>
      <c r="K3779" s="20">
        <v>12</v>
      </c>
      <c r="L3779" s="24">
        <v>62.39</v>
      </c>
      <c r="M3779" s="11"/>
      <c r="N3779" s="22">
        <f t="shared" si="186"/>
        <v>0</v>
      </c>
      <c r="O3779" s="25">
        <f>0.043*M3779</f>
        <v>0</v>
      </c>
      <c r="P3779" s="26">
        <f>0.00017*M3779</f>
        <v>0</v>
      </c>
      <c r="Q3779" s="30"/>
      <c r="R3779" s="22" t="s">
        <v>13261</v>
      </c>
      <c r="S3779" s="22" t="s">
        <v>435</v>
      </c>
      <c r="T3779" s="21" t="str">
        <f>HYPERLINK("https://miland.ru/api/getInfo/image/e1d7c682-7d5b-11ee-a248-00155d82e902")</f>
        <v>https://miland.ru/api/getInfo/image/e1d7c682-7d5b-11ee-a248-00155d82e902</v>
      </c>
      <c r="U3779" s="21"/>
      <c r="V3779" s="21" t="s">
        <v>6525</v>
      </c>
      <c r="W3779" s="21" t="s">
        <v>378</v>
      </c>
      <c r="X3779" s="21"/>
      <c r="Y3779" s="21" t="s">
        <v>41</v>
      </c>
      <c r="Z3779" s="21"/>
      <c r="AA3779" s="21" t="str">
        <f>HYPERLINK("https://miland.ru/api/getInfo/item/e1d7c682-7d5b-11ee-a248-00155d82e902")</f>
        <v>https://miland.ru/api/getInfo/item/e1d7c682-7d5b-11ee-a248-00155d82e902</v>
      </c>
      <c r="AB3779" s="21" t="s">
        <v>42</v>
      </c>
      <c r="AC3779" s="21" t="s">
        <v>13179</v>
      </c>
      <c r="AD3779" s="21"/>
    </row>
    <row r="3780" spans="2:31" s="1" customFormat="1" ht="96.3" customHeight="1" outlineLevel="7">
      <c r="B3780" s="57">
        <v>2965</v>
      </c>
      <c r="C3780" s="21" t="s">
        <v>13262</v>
      </c>
      <c r="D3780" s="72" t="s">
        <v>13263</v>
      </c>
      <c r="E3780" s="72"/>
      <c r="F3780" s="72"/>
      <c r="G3780" s="72"/>
      <c r="H3780" s="22" t="s">
        <v>13264</v>
      </c>
      <c r="I3780" s="27">
        <v>96</v>
      </c>
      <c r="J3780" s="22"/>
      <c r="K3780" s="20">
        <v>12</v>
      </c>
      <c r="L3780" s="24">
        <v>62.39</v>
      </c>
      <c r="M3780" s="11"/>
      <c r="N3780" s="22">
        <f t="shared" si="186"/>
        <v>0</v>
      </c>
      <c r="O3780" s="25">
        <f>0.041*M3780</f>
        <v>0</v>
      </c>
      <c r="P3780" s="26">
        <f>0.00061*M3780</f>
        <v>0</v>
      </c>
      <c r="Q3780" s="30"/>
      <c r="R3780" s="22" t="s">
        <v>13265</v>
      </c>
      <c r="S3780" s="22"/>
      <c r="T3780" s="21" t="str">
        <f>HYPERLINK("https://miland.ru/api/getInfo/image/c0a28d64-edc1-11ef-a274-00155d82e908")</f>
        <v>https://miland.ru/api/getInfo/image/c0a28d64-edc1-11ef-a274-00155d82e908</v>
      </c>
      <c r="U3780" s="21"/>
      <c r="V3780" s="21" t="s">
        <v>6525</v>
      </c>
      <c r="W3780" s="21" t="s">
        <v>378</v>
      </c>
      <c r="X3780" s="21"/>
      <c r="Y3780" s="21" t="s">
        <v>41</v>
      </c>
      <c r="Z3780" s="21"/>
      <c r="AA3780" s="21" t="str">
        <f>HYPERLINK("https://miland.ru/api/getInfo/item/c0a28d64-edc1-11ef-a274-00155d82e908")</f>
        <v>https://miland.ru/api/getInfo/item/c0a28d64-edc1-11ef-a274-00155d82e908</v>
      </c>
      <c r="AB3780" s="21" t="s">
        <v>42</v>
      </c>
      <c r="AC3780" s="21"/>
      <c r="AD3780" s="21"/>
    </row>
    <row r="3781" spans="2:31" s="1" customFormat="1" ht="96.3" customHeight="1" outlineLevel="7">
      <c r="B3781" s="57">
        <v>2966</v>
      </c>
      <c r="C3781" s="21" t="s">
        <v>13266</v>
      </c>
      <c r="D3781" s="72" t="s">
        <v>13267</v>
      </c>
      <c r="E3781" s="72"/>
      <c r="F3781" s="72"/>
      <c r="G3781" s="72"/>
      <c r="H3781" s="22" t="s">
        <v>13268</v>
      </c>
      <c r="I3781" s="23" t="s">
        <v>36</v>
      </c>
      <c r="J3781" s="22"/>
      <c r="K3781" s="20">
        <v>12</v>
      </c>
      <c r="L3781" s="24">
        <v>62.39</v>
      </c>
      <c r="M3781" s="11"/>
      <c r="N3781" s="22">
        <f t="shared" si="186"/>
        <v>0</v>
      </c>
      <c r="O3781" s="25">
        <f>0.044*M3781</f>
        <v>0</v>
      </c>
      <c r="P3781" s="26">
        <f>0.00017*M3781</f>
        <v>0</v>
      </c>
      <c r="Q3781" s="30"/>
      <c r="R3781" s="22" t="s">
        <v>13269</v>
      </c>
      <c r="S3781" s="22"/>
      <c r="T3781" s="21" t="str">
        <f>HYPERLINK("https://miland.ru/api/getInfo/image/8be9cdf3-edc1-11ef-a274-00155d82e908")</f>
        <v>https://miland.ru/api/getInfo/image/8be9cdf3-edc1-11ef-a274-00155d82e908</v>
      </c>
      <c r="U3781" s="21"/>
      <c r="V3781" s="21" t="s">
        <v>6525</v>
      </c>
      <c r="W3781" s="21" t="s">
        <v>378</v>
      </c>
      <c r="X3781" s="21"/>
      <c r="Y3781" s="21" t="s">
        <v>41</v>
      </c>
      <c r="Z3781" s="21"/>
      <c r="AA3781" s="21" t="str">
        <f>HYPERLINK("https://miland.ru/api/getInfo/item/8be9cdf3-edc1-11ef-a274-00155d82e908")</f>
        <v>https://miland.ru/api/getInfo/item/8be9cdf3-edc1-11ef-a274-00155d82e908</v>
      </c>
      <c r="AB3781" s="21" t="s">
        <v>42</v>
      </c>
      <c r="AC3781" s="21"/>
      <c r="AD3781" s="21"/>
    </row>
    <row r="3782" spans="2:31" s="1" customFormat="1" ht="96.3" customHeight="1" outlineLevel="7">
      <c r="B3782" s="57">
        <v>2967</v>
      </c>
      <c r="C3782" s="21" t="s">
        <v>13270</v>
      </c>
      <c r="D3782" s="72" t="s">
        <v>13271</v>
      </c>
      <c r="E3782" s="72"/>
      <c r="F3782" s="72"/>
      <c r="G3782" s="72"/>
      <c r="H3782" s="22" t="s">
        <v>13272</v>
      </c>
      <c r="I3782" s="23" t="s">
        <v>36</v>
      </c>
      <c r="J3782" s="22"/>
      <c r="K3782" s="20">
        <v>12</v>
      </c>
      <c r="L3782" s="24">
        <v>62.39</v>
      </c>
      <c r="M3782" s="11"/>
      <c r="N3782" s="22">
        <f t="shared" si="186"/>
        <v>0</v>
      </c>
      <c r="O3782" s="28">
        <f>0.05*M3782</f>
        <v>0</v>
      </c>
      <c r="P3782" s="26">
        <f>0.00008*M3782</f>
        <v>0</v>
      </c>
      <c r="Q3782" s="30"/>
      <c r="R3782" s="22" t="s">
        <v>13273</v>
      </c>
      <c r="S3782" s="22" t="s">
        <v>435</v>
      </c>
      <c r="T3782" s="21" t="str">
        <f>HYPERLINK("https://miland.ru/api/getInfo/image/1d4636d1-f587-11ee-a25b-00155d82e908")</f>
        <v>https://miland.ru/api/getInfo/image/1d4636d1-f587-11ee-a25b-00155d82e908</v>
      </c>
      <c r="U3782" s="21"/>
      <c r="V3782" s="21" t="s">
        <v>6525</v>
      </c>
      <c r="W3782" s="21" t="s">
        <v>378</v>
      </c>
      <c r="X3782" s="21"/>
      <c r="Y3782" s="21" t="s">
        <v>41</v>
      </c>
      <c r="Z3782" s="21"/>
      <c r="AA3782" s="21" t="str">
        <f>HYPERLINK("https://miland.ru/api/getInfo/item/1d4636d1-f587-11ee-a25b-00155d82e908")</f>
        <v>https://miland.ru/api/getInfo/item/1d4636d1-f587-11ee-a25b-00155d82e908</v>
      </c>
      <c r="AB3782" s="21" t="s">
        <v>42</v>
      </c>
      <c r="AC3782" s="21" t="s">
        <v>13179</v>
      </c>
      <c r="AD3782" s="21"/>
    </row>
    <row r="3783" spans="2:31" s="1" customFormat="1" ht="96.3" customHeight="1" outlineLevel="7">
      <c r="B3783" s="57">
        <v>2968</v>
      </c>
      <c r="C3783" s="21" t="s">
        <v>13274</v>
      </c>
      <c r="D3783" s="72" t="s">
        <v>13275</v>
      </c>
      <c r="E3783" s="72"/>
      <c r="F3783" s="72"/>
      <c r="G3783" s="72"/>
      <c r="H3783" s="22" t="s">
        <v>13276</v>
      </c>
      <c r="I3783" s="23" t="s">
        <v>36</v>
      </c>
      <c r="J3783" s="22"/>
      <c r="K3783" s="20">
        <v>12</v>
      </c>
      <c r="L3783" s="24">
        <v>62.39</v>
      </c>
      <c r="M3783" s="11"/>
      <c r="N3783" s="22">
        <f t="shared" si="186"/>
        <v>0</v>
      </c>
      <c r="O3783" s="25">
        <f>0.056*M3783</f>
        <v>0</v>
      </c>
      <c r="P3783" s="26">
        <f>0.00017*M3783</f>
        <v>0</v>
      </c>
      <c r="Q3783" s="30"/>
      <c r="R3783" s="22" t="s">
        <v>13277</v>
      </c>
      <c r="S3783" s="22" t="s">
        <v>435</v>
      </c>
      <c r="T3783" s="21" t="str">
        <f>HYPERLINK("https://miland.ru/api/getInfo/image/546dc883-f587-11ee-a25b-00155d82e908")</f>
        <v>https://miland.ru/api/getInfo/image/546dc883-f587-11ee-a25b-00155d82e908</v>
      </c>
      <c r="U3783" s="21"/>
      <c r="V3783" s="21" t="s">
        <v>6525</v>
      </c>
      <c r="W3783" s="21" t="s">
        <v>378</v>
      </c>
      <c r="X3783" s="21"/>
      <c r="Y3783" s="21" t="s">
        <v>41</v>
      </c>
      <c r="Z3783" s="21"/>
      <c r="AA3783" s="21" t="str">
        <f>HYPERLINK("https://miland.ru/api/getInfo/item/546dc883-f587-11ee-a25b-00155d82e908")</f>
        <v>https://miland.ru/api/getInfo/item/546dc883-f587-11ee-a25b-00155d82e908</v>
      </c>
      <c r="AB3783" s="21" t="s">
        <v>42</v>
      </c>
      <c r="AC3783" s="21" t="s">
        <v>13179</v>
      </c>
      <c r="AD3783" s="21"/>
    </row>
    <row r="3784" spans="2:31" s="1" customFormat="1" ht="96.3" customHeight="1" outlineLevel="7">
      <c r="B3784" s="57">
        <v>2969</v>
      </c>
      <c r="C3784" s="21" t="s">
        <v>13278</v>
      </c>
      <c r="D3784" s="72" t="s">
        <v>13279</v>
      </c>
      <c r="E3784" s="72"/>
      <c r="F3784" s="72"/>
      <c r="G3784" s="72"/>
      <c r="H3784" s="22" t="s">
        <v>13280</v>
      </c>
      <c r="I3784" s="23" t="s">
        <v>36</v>
      </c>
      <c r="J3784" s="22"/>
      <c r="K3784" s="20">
        <v>12</v>
      </c>
      <c r="L3784" s="24">
        <v>62.39</v>
      </c>
      <c r="M3784" s="11"/>
      <c r="N3784" s="22">
        <f t="shared" si="186"/>
        <v>0</v>
      </c>
      <c r="O3784" s="25">
        <f>0.065*M3784</f>
        <v>0</v>
      </c>
      <c r="P3784" s="26">
        <f>0.00013*M3784</f>
        <v>0</v>
      </c>
      <c r="Q3784" s="30"/>
      <c r="R3784" s="22" t="s">
        <v>13281</v>
      </c>
      <c r="S3784" s="22" t="s">
        <v>435</v>
      </c>
      <c r="T3784" s="21" t="str">
        <f>HYPERLINK("https://miland.ru/api/getInfo/image/06f803dc-f587-11ee-a25b-00155d82e908")</f>
        <v>https://miland.ru/api/getInfo/image/06f803dc-f587-11ee-a25b-00155d82e908</v>
      </c>
      <c r="U3784" s="21"/>
      <c r="V3784" s="21" t="s">
        <v>6525</v>
      </c>
      <c r="W3784" s="21" t="s">
        <v>378</v>
      </c>
      <c r="X3784" s="21"/>
      <c r="Y3784" s="21" t="s">
        <v>41</v>
      </c>
      <c r="Z3784" s="21"/>
      <c r="AA3784" s="21" t="str">
        <f>HYPERLINK("https://miland.ru/api/getInfo/item/06f803dc-f587-11ee-a25b-00155d82e908")</f>
        <v>https://miland.ru/api/getInfo/item/06f803dc-f587-11ee-a25b-00155d82e908</v>
      </c>
      <c r="AB3784" s="21" t="s">
        <v>42</v>
      </c>
      <c r="AC3784" s="21" t="s">
        <v>13179</v>
      </c>
      <c r="AD3784" s="21"/>
    </row>
    <row r="3785" spans="2:31" s="1" customFormat="1" ht="96.3" customHeight="1" outlineLevel="7">
      <c r="B3785" s="59">
        <v>2970</v>
      </c>
      <c r="C3785" s="35" t="s">
        <v>13282</v>
      </c>
      <c r="D3785" s="73" t="s">
        <v>13283</v>
      </c>
      <c r="E3785" s="73"/>
      <c r="F3785" s="73"/>
      <c r="G3785" s="73"/>
      <c r="H3785" s="36" t="s">
        <v>13284</v>
      </c>
      <c r="I3785" s="56" t="s">
        <v>36</v>
      </c>
      <c r="J3785" s="36"/>
      <c r="K3785" s="34">
        <v>12</v>
      </c>
      <c r="L3785" s="41">
        <v>79.373333333333335</v>
      </c>
      <c r="M3785" s="11"/>
      <c r="N3785" s="36">
        <f t="shared" si="186"/>
        <v>0</v>
      </c>
      <c r="O3785" s="42">
        <f>0.053*M3785</f>
        <v>0</v>
      </c>
      <c r="P3785" s="43">
        <f>0.00017*M3785</f>
        <v>0</v>
      </c>
      <c r="Q3785" s="50"/>
      <c r="R3785" s="36" t="s">
        <v>13285</v>
      </c>
      <c r="S3785" s="36" t="s">
        <v>435</v>
      </c>
      <c r="T3785" s="35" t="str">
        <f>HYPERLINK("https://miland.ru/api/getInfo/image/25555198-e8bd-11ed-a233-00155d82e902")</f>
        <v>https://miland.ru/api/getInfo/image/25555198-e8bd-11ed-a233-00155d82e902</v>
      </c>
      <c r="U3785" s="35"/>
      <c r="V3785" s="35" t="s">
        <v>6525</v>
      </c>
      <c r="W3785" s="35" t="s">
        <v>378</v>
      </c>
      <c r="X3785" s="35"/>
      <c r="Y3785" s="35" t="s">
        <v>41</v>
      </c>
      <c r="Z3785" s="35"/>
      <c r="AA3785" s="35" t="str">
        <f>HYPERLINK("https://miland.ru/api/getInfo/item/25555198-e8bd-11ed-a233-00155d82e902")</f>
        <v>https://miland.ru/api/getInfo/item/25555198-e8bd-11ed-a233-00155d82e902</v>
      </c>
      <c r="AB3785" s="35" t="s">
        <v>42</v>
      </c>
      <c r="AC3785" s="35"/>
      <c r="AD3785" s="35"/>
      <c r="AE3785" s="52" t="s">
        <v>1251</v>
      </c>
    </row>
    <row r="3786" spans="2:31" ht="12" customHeight="1" outlineLevel="6">
      <c r="B3786" s="70" t="s">
        <v>13286</v>
      </c>
      <c r="C3786" s="70"/>
      <c r="D3786" s="70"/>
      <c r="E3786" s="70"/>
      <c r="F3786" s="70"/>
      <c r="G3786" s="70"/>
    </row>
    <row r="3787" spans="2:31" s="1" customFormat="1" ht="96.3" customHeight="1" outlineLevel="7">
      <c r="B3787" s="59">
        <v>2971</v>
      </c>
      <c r="C3787" s="35" t="s">
        <v>13287</v>
      </c>
      <c r="D3787" s="73" t="s">
        <v>13288</v>
      </c>
      <c r="E3787" s="73"/>
      <c r="F3787" s="73"/>
      <c r="G3787" s="73"/>
      <c r="H3787" s="36" t="s">
        <v>13289</v>
      </c>
      <c r="I3787" s="40">
        <v>312</v>
      </c>
      <c r="J3787" s="36"/>
      <c r="K3787" s="34">
        <v>12</v>
      </c>
      <c r="L3787" s="41">
        <v>43.28</v>
      </c>
      <c r="M3787" s="11"/>
      <c r="N3787" s="36">
        <f t="shared" ref="N3787:N3813" si="187">L3787*M3787</f>
        <v>0</v>
      </c>
      <c r="O3787" s="42">
        <f>0.027*M3787</f>
        <v>0</v>
      </c>
      <c r="P3787" s="55">
        <f>0.0001*M3787</f>
        <v>0</v>
      </c>
      <c r="Q3787" s="50"/>
      <c r="R3787" s="36" t="s">
        <v>13290</v>
      </c>
      <c r="S3787" s="36" t="s">
        <v>435</v>
      </c>
      <c r="T3787" s="35" t="str">
        <f>HYPERLINK("https://miland.ru/api/getInfo/image/a7254dc3-61c6-11ee-a245-00155d82e902")</f>
        <v>https://miland.ru/api/getInfo/image/a7254dc3-61c6-11ee-a245-00155d82e902</v>
      </c>
      <c r="U3787" s="35"/>
      <c r="V3787" s="35" t="s">
        <v>6525</v>
      </c>
      <c r="W3787" s="35" t="s">
        <v>378</v>
      </c>
      <c r="X3787" s="35"/>
      <c r="Y3787" s="35" t="s">
        <v>41</v>
      </c>
      <c r="Z3787" s="35"/>
      <c r="AA3787" s="35" t="str">
        <f>HYPERLINK("https://miland.ru/api/getInfo/item/a7254dc3-61c6-11ee-a245-00155d82e902")</f>
        <v>https://miland.ru/api/getInfo/item/a7254dc3-61c6-11ee-a245-00155d82e902</v>
      </c>
      <c r="AB3787" s="35" t="s">
        <v>42</v>
      </c>
      <c r="AC3787" s="35" t="s">
        <v>13179</v>
      </c>
      <c r="AD3787" s="35"/>
      <c r="AE3787" s="52" t="s">
        <v>1251</v>
      </c>
    </row>
    <row r="3788" spans="2:31" s="1" customFormat="1" ht="96.3" customHeight="1" outlineLevel="7">
      <c r="B3788" s="57">
        <v>2972</v>
      </c>
      <c r="C3788" s="21" t="s">
        <v>13291</v>
      </c>
      <c r="D3788" s="72" t="s">
        <v>13292</v>
      </c>
      <c r="E3788" s="72"/>
      <c r="F3788" s="72"/>
      <c r="G3788" s="72"/>
      <c r="H3788" s="22" t="s">
        <v>13293</v>
      </c>
      <c r="I3788" s="23" t="s">
        <v>36</v>
      </c>
      <c r="J3788" s="22"/>
      <c r="K3788" s="20">
        <v>12</v>
      </c>
      <c r="L3788" s="24">
        <v>69.569999999999993</v>
      </c>
      <c r="M3788" s="11"/>
      <c r="N3788" s="22">
        <f t="shared" si="187"/>
        <v>0</v>
      </c>
      <c r="O3788" s="25">
        <f>0.021*M3788</f>
        <v>0</v>
      </c>
      <c r="P3788" s="26">
        <f>0.00011*M3788</f>
        <v>0</v>
      </c>
      <c r="Q3788" s="30"/>
      <c r="R3788" s="22" t="s">
        <v>13294</v>
      </c>
      <c r="S3788" s="22" t="s">
        <v>435</v>
      </c>
      <c r="T3788" s="21" t="str">
        <f>HYPERLINK("https://miland.ru/api/getInfo/image/0bf64990-61c7-11ee-a245-00155d82e902")</f>
        <v>https://miland.ru/api/getInfo/image/0bf64990-61c7-11ee-a245-00155d82e902</v>
      </c>
      <c r="U3788" s="21"/>
      <c r="V3788" s="21" t="s">
        <v>6525</v>
      </c>
      <c r="W3788" s="21" t="s">
        <v>378</v>
      </c>
      <c r="X3788" s="21"/>
      <c r="Y3788" s="21" t="s">
        <v>41</v>
      </c>
      <c r="Z3788" s="21"/>
      <c r="AA3788" s="21" t="str">
        <f>HYPERLINK("https://miland.ru/api/getInfo/item/0bf64990-61c7-11ee-a245-00155d82e902")</f>
        <v>https://miland.ru/api/getInfo/item/0bf64990-61c7-11ee-a245-00155d82e902</v>
      </c>
      <c r="AB3788" s="21" t="s">
        <v>42</v>
      </c>
      <c r="AC3788" s="21" t="s">
        <v>13179</v>
      </c>
      <c r="AD3788" s="21"/>
    </row>
    <row r="3789" spans="2:31" s="1" customFormat="1" ht="96.3" customHeight="1" outlineLevel="7">
      <c r="B3789" s="59">
        <v>2973</v>
      </c>
      <c r="C3789" s="35" t="s">
        <v>13295</v>
      </c>
      <c r="D3789" s="73" t="s">
        <v>13296</v>
      </c>
      <c r="E3789" s="73"/>
      <c r="F3789" s="73"/>
      <c r="G3789" s="73"/>
      <c r="H3789" s="36" t="s">
        <v>13297</v>
      </c>
      <c r="I3789" s="56" t="s">
        <v>36</v>
      </c>
      <c r="J3789" s="36"/>
      <c r="K3789" s="34">
        <v>12</v>
      </c>
      <c r="L3789" s="41">
        <v>35.413333333333334</v>
      </c>
      <c r="M3789" s="11"/>
      <c r="N3789" s="36">
        <f t="shared" si="187"/>
        <v>0</v>
      </c>
      <c r="O3789" s="42">
        <f>0.039*M3789</f>
        <v>0</v>
      </c>
      <c r="P3789" s="43">
        <f>0.00013*M3789</f>
        <v>0</v>
      </c>
      <c r="Q3789" s="50"/>
      <c r="R3789" s="36" t="s">
        <v>13298</v>
      </c>
      <c r="S3789" s="36" t="s">
        <v>435</v>
      </c>
      <c r="T3789" s="35" t="str">
        <f>HYPERLINK("https://miland.ru/api/getInfo/image/67152e21-77ba-11ee-a248-00155d82e902")</f>
        <v>https://miland.ru/api/getInfo/image/67152e21-77ba-11ee-a248-00155d82e902</v>
      </c>
      <c r="U3789" s="35"/>
      <c r="V3789" s="35" t="s">
        <v>6525</v>
      </c>
      <c r="W3789" s="35" t="s">
        <v>378</v>
      </c>
      <c r="X3789" s="35"/>
      <c r="Y3789" s="35" t="s">
        <v>41</v>
      </c>
      <c r="Z3789" s="35"/>
      <c r="AA3789" s="35" t="str">
        <f>HYPERLINK("https://miland.ru/api/getInfo/item/67152e21-77ba-11ee-a248-00155d82e902")</f>
        <v>https://miland.ru/api/getInfo/item/67152e21-77ba-11ee-a248-00155d82e902</v>
      </c>
      <c r="AB3789" s="35" t="s">
        <v>42</v>
      </c>
      <c r="AC3789" s="35" t="s">
        <v>13184</v>
      </c>
      <c r="AD3789" s="35"/>
      <c r="AE3789" s="52" t="s">
        <v>1251</v>
      </c>
    </row>
    <row r="3790" spans="2:31" s="1" customFormat="1" ht="96.3" customHeight="1" outlineLevel="7">
      <c r="B3790" s="57">
        <v>2974</v>
      </c>
      <c r="C3790" s="21" t="s">
        <v>13299</v>
      </c>
      <c r="D3790" s="72" t="s">
        <v>13300</v>
      </c>
      <c r="E3790" s="72"/>
      <c r="F3790" s="72"/>
      <c r="G3790" s="72"/>
      <c r="H3790" s="22" t="s">
        <v>13301</v>
      </c>
      <c r="I3790" s="23" t="s">
        <v>36</v>
      </c>
      <c r="J3790" s="22"/>
      <c r="K3790" s="20">
        <v>12</v>
      </c>
      <c r="L3790" s="24">
        <v>69.569999999999993</v>
      </c>
      <c r="M3790" s="11"/>
      <c r="N3790" s="22">
        <f t="shared" si="187"/>
        <v>0</v>
      </c>
      <c r="O3790" s="25">
        <f>0.039*M3790</f>
        <v>0</v>
      </c>
      <c r="P3790" s="26">
        <f>0.00013*M3790</f>
        <v>0</v>
      </c>
      <c r="Q3790" s="30"/>
      <c r="R3790" s="22" t="s">
        <v>13302</v>
      </c>
      <c r="S3790" s="22" t="s">
        <v>435</v>
      </c>
      <c r="T3790" s="21" t="str">
        <f>HYPERLINK("https://miland.ru/api/getInfo/image/40419188-77ba-11ee-a248-00155d82e902")</f>
        <v>https://miland.ru/api/getInfo/image/40419188-77ba-11ee-a248-00155d82e902</v>
      </c>
      <c r="U3790" s="21"/>
      <c r="V3790" s="21" t="s">
        <v>6525</v>
      </c>
      <c r="W3790" s="21" t="s">
        <v>378</v>
      </c>
      <c r="X3790" s="21"/>
      <c r="Y3790" s="21" t="s">
        <v>41</v>
      </c>
      <c r="Z3790" s="21"/>
      <c r="AA3790" s="21" t="str">
        <f>HYPERLINK("https://miland.ru/api/getInfo/item/40419188-77ba-11ee-a248-00155d82e902")</f>
        <v>https://miland.ru/api/getInfo/item/40419188-77ba-11ee-a248-00155d82e902</v>
      </c>
      <c r="AB3790" s="21" t="s">
        <v>42</v>
      </c>
      <c r="AC3790" s="21" t="s">
        <v>13184</v>
      </c>
      <c r="AD3790" s="21"/>
    </row>
    <row r="3791" spans="2:31" s="1" customFormat="1" ht="96.3" customHeight="1" outlineLevel="7">
      <c r="B3791" s="57">
        <v>2975</v>
      </c>
      <c r="C3791" s="21" t="s">
        <v>13303</v>
      </c>
      <c r="D3791" s="72" t="s">
        <v>13304</v>
      </c>
      <c r="E3791" s="72"/>
      <c r="F3791" s="72"/>
      <c r="G3791" s="72"/>
      <c r="H3791" s="22" t="s">
        <v>13305</v>
      </c>
      <c r="I3791" s="27">
        <v>252</v>
      </c>
      <c r="J3791" s="22"/>
      <c r="K3791" s="20">
        <v>12</v>
      </c>
      <c r="L3791" s="24">
        <v>69.569999999999993</v>
      </c>
      <c r="M3791" s="11"/>
      <c r="N3791" s="22">
        <f t="shared" si="187"/>
        <v>0</v>
      </c>
      <c r="O3791" s="25">
        <f>0.039*M3791</f>
        <v>0</v>
      </c>
      <c r="P3791" s="26">
        <f>0.00013*M3791</f>
        <v>0</v>
      </c>
      <c r="Q3791" s="30"/>
      <c r="R3791" s="22" t="s">
        <v>13306</v>
      </c>
      <c r="S3791" s="22" t="s">
        <v>435</v>
      </c>
      <c r="T3791" s="21" t="str">
        <f>HYPERLINK("https://miland.ru/api/getInfo/image/571a04d9-77ba-11ee-a248-00155d82e902")</f>
        <v>https://miland.ru/api/getInfo/image/571a04d9-77ba-11ee-a248-00155d82e902</v>
      </c>
      <c r="U3791" s="21"/>
      <c r="V3791" s="21" t="s">
        <v>6525</v>
      </c>
      <c r="W3791" s="21" t="s">
        <v>378</v>
      </c>
      <c r="X3791" s="21"/>
      <c r="Y3791" s="21" t="s">
        <v>41</v>
      </c>
      <c r="Z3791" s="21"/>
      <c r="AA3791" s="21" t="str">
        <f>HYPERLINK("https://miland.ru/api/getInfo/item/571a04d9-77ba-11ee-a248-00155d82e902")</f>
        <v>https://miland.ru/api/getInfo/item/571a04d9-77ba-11ee-a248-00155d82e902</v>
      </c>
      <c r="AB3791" s="21" t="s">
        <v>42</v>
      </c>
      <c r="AC3791" s="21" t="s">
        <v>13184</v>
      </c>
      <c r="AD3791" s="21"/>
    </row>
    <row r="3792" spans="2:31" s="1" customFormat="1" ht="96.3" customHeight="1" outlineLevel="7">
      <c r="B3792" s="57">
        <v>2976</v>
      </c>
      <c r="C3792" s="21" t="s">
        <v>13307</v>
      </c>
      <c r="D3792" s="72" t="s">
        <v>13308</v>
      </c>
      <c r="E3792" s="72"/>
      <c r="F3792" s="72"/>
      <c r="G3792" s="72"/>
      <c r="H3792" s="22" t="s">
        <v>13309</v>
      </c>
      <c r="I3792" s="27">
        <v>156</v>
      </c>
      <c r="J3792" s="22"/>
      <c r="K3792" s="20">
        <v>12</v>
      </c>
      <c r="L3792" s="24">
        <v>69.569999999999993</v>
      </c>
      <c r="M3792" s="11"/>
      <c r="N3792" s="22">
        <f t="shared" si="187"/>
        <v>0</v>
      </c>
      <c r="O3792" s="25">
        <f>0.039*M3792</f>
        <v>0</v>
      </c>
      <c r="P3792" s="26">
        <f>0.00013*M3792</f>
        <v>0</v>
      </c>
      <c r="Q3792" s="30"/>
      <c r="R3792" s="22" t="s">
        <v>13310</v>
      </c>
      <c r="S3792" s="22" t="s">
        <v>435</v>
      </c>
      <c r="T3792" s="21" t="str">
        <f>HYPERLINK("https://miland.ru/api/getInfo/image/fc662ac4-77b9-11ee-a248-00155d82e902")</f>
        <v>https://miland.ru/api/getInfo/image/fc662ac4-77b9-11ee-a248-00155d82e902</v>
      </c>
      <c r="U3792" s="21"/>
      <c r="V3792" s="21" t="s">
        <v>6525</v>
      </c>
      <c r="W3792" s="21" t="s">
        <v>378</v>
      </c>
      <c r="X3792" s="21"/>
      <c r="Y3792" s="21" t="s">
        <v>41</v>
      </c>
      <c r="Z3792" s="21"/>
      <c r="AA3792" s="21" t="str">
        <f>HYPERLINK("https://miland.ru/api/getInfo/item/fc662ac4-77b9-11ee-a248-00155d82e902")</f>
        <v>https://miland.ru/api/getInfo/item/fc662ac4-77b9-11ee-a248-00155d82e902</v>
      </c>
      <c r="AB3792" s="21" t="s">
        <v>42</v>
      </c>
      <c r="AC3792" s="21" t="s">
        <v>13184</v>
      </c>
      <c r="AD3792" s="21"/>
    </row>
    <row r="3793" spans="2:30" s="1" customFormat="1" ht="96.3" customHeight="1" outlineLevel="7">
      <c r="B3793" s="57">
        <v>2977</v>
      </c>
      <c r="C3793" s="21" t="s">
        <v>13311</v>
      </c>
      <c r="D3793" s="72" t="s">
        <v>13312</v>
      </c>
      <c r="E3793" s="72"/>
      <c r="F3793" s="72"/>
      <c r="G3793" s="72"/>
      <c r="H3793" s="22" t="s">
        <v>13313</v>
      </c>
      <c r="I3793" s="23" t="s">
        <v>36</v>
      </c>
      <c r="J3793" s="22"/>
      <c r="K3793" s="20">
        <v>12</v>
      </c>
      <c r="L3793" s="24">
        <v>69.569999999999993</v>
      </c>
      <c r="M3793" s="11"/>
      <c r="N3793" s="22">
        <f t="shared" si="187"/>
        <v>0</v>
      </c>
      <c r="O3793" s="25">
        <f>0.056*M3793</f>
        <v>0</v>
      </c>
      <c r="P3793" s="26">
        <f>0.00013*M3793</f>
        <v>0</v>
      </c>
      <c r="Q3793" s="30"/>
      <c r="R3793" s="22" t="s">
        <v>13314</v>
      </c>
      <c r="S3793" s="22" t="s">
        <v>435</v>
      </c>
      <c r="T3793" s="21" t="str">
        <f>HYPERLINK("https://miland.ru/api/getInfo/image/74aa2073-f584-11ee-a25b-00155d82e908")</f>
        <v>https://miland.ru/api/getInfo/image/74aa2073-f584-11ee-a25b-00155d82e908</v>
      </c>
      <c r="U3793" s="21"/>
      <c r="V3793" s="21" t="s">
        <v>6525</v>
      </c>
      <c r="W3793" s="21" t="s">
        <v>378</v>
      </c>
      <c r="X3793" s="21"/>
      <c r="Y3793" s="21" t="s">
        <v>41</v>
      </c>
      <c r="Z3793" s="21"/>
      <c r="AA3793" s="21" t="str">
        <f>HYPERLINK("https://miland.ru/api/getInfo/item/74aa2073-f584-11ee-a25b-00155d82e908")</f>
        <v>https://miland.ru/api/getInfo/item/74aa2073-f584-11ee-a25b-00155d82e908</v>
      </c>
      <c r="AB3793" s="21" t="s">
        <v>42</v>
      </c>
      <c r="AC3793" s="21" t="s">
        <v>13179</v>
      </c>
      <c r="AD3793" s="21"/>
    </row>
    <row r="3794" spans="2:30" s="1" customFormat="1" ht="96.3" customHeight="1" outlineLevel="7">
      <c r="B3794" s="57">
        <v>2978</v>
      </c>
      <c r="C3794" s="21" t="s">
        <v>13315</v>
      </c>
      <c r="D3794" s="72" t="s">
        <v>13316</v>
      </c>
      <c r="E3794" s="72"/>
      <c r="F3794" s="72"/>
      <c r="G3794" s="72"/>
      <c r="H3794" s="22" t="s">
        <v>13317</v>
      </c>
      <c r="I3794" s="27">
        <v>456</v>
      </c>
      <c r="J3794" s="22"/>
      <c r="K3794" s="20">
        <v>12</v>
      </c>
      <c r="L3794" s="24">
        <v>69.569999999999993</v>
      </c>
      <c r="M3794" s="11"/>
      <c r="N3794" s="22">
        <f t="shared" si="187"/>
        <v>0</v>
      </c>
      <c r="O3794" s="28">
        <f>0.05*M3794</f>
        <v>0</v>
      </c>
      <c r="P3794" s="22">
        <v>0</v>
      </c>
      <c r="Q3794" s="30"/>
      <c r="R3794" s="22" t="s">
        <v>13318</v>
      </c>
      <c r="S3794" s="22" t="s">
        <v>435</v>
      </c>
      <c r="T3794" s="21" t="str">
        <f>HYPERLINK("https://miland.ru/api/getInfo/image/1b5fa0cb-f585-11ee-a25b-00155d82e908")</f>
        <v>https://miland.ru/api/getInfo/image/1b5fa0cb-f585-11ee-a25b-00155d82e908</v>
      </c>
      <c r="U3794" s="21"/>
      <c r="V3794" s="21" t="s">
        <v>6525</v>
      </c>
      <c r="W3794" s="21" t="s">
        <v>378</v>
      </c>
      <c r="X3794" s="21"/>
      <c r="Y3794" s="21" t="s">
        <v>41</v>
      </c>
      <c r="Z3794" s="21"/>
      <c r="AA3794" s="21" t="str">
        <f>HYPERLINK("https://miland.ru/api/getInfo/item/1b5fa0cb-f585-11ee-a25b-00155d82e908")</f>
        <v>https://miland.ru/api/getInfo/item/1b5fa0cb-f585-11ee-a25b-00155d82e908</v>
      </c>
      <c r="AB3794" s="21" t="s">
        <v>42</v>
      </c>
      <c r="AC3794" s="21" t="s">
        <v>13179</v>
      </c>
      <c r="AD3794" s="21"/>
    </row>
    <row r="3795" spans="2:30" s="1" customFormat="1" ht="96.3" customHeight="1" outlineLevel="7">
      <c r="B3795" s="57">
        <v>2979</v>
      </c>
      <c r="C3795" s="21" t="s">
        <v>13319</v>
      </c>
      <c r="D3795" s="72" t="s">
        <v>13320</v>
      </c>
      <c r="E3795" s="72"/>
      <c r="F3795" s="72"/>
      <c r="G3795" s="72"/>
      <c r="H3795" s="22" t="s">
        <v>13321</v>
      </c>
      <c r="I3795" s="23" t="s">
        <v>36</v>
      </c>
      <c r="J3795" s="22"/>
      <c r="K3795" s="20">
        <v>12</v>
      </c>
      <c r="L3795" s="24">
        <v>69.569999999999993</v>
      </c>
      <c r="M3795" s="11"/>
      <c r="N3795" s="22">
        <f t="shared" si="187"/>
        <v>0</v>
      </c>
      <c r="O3795" s="25">
        <f>0.065*M3795</f>
        <v>0</v>
      </c>
      <c r="P3795" s="26">
        <f>0.00013*M3795</f>
        <v>0</v>
      </c>
      <c r="Q3795" s="30"/>
      <c r="R3795" s="22" t="s">
        <v>13322</v>
      </c>
      <c r="S3795" s="22" t="s">
        <v>435</v>
      </c>
      <c r="T3795" s="21" t="str">
        <f>HYPERLINK("https://miland.ru/api/getInfo/image/383b0a08-f586-11ee-a25b-00155d82e908")</f>
        <v>https://miland.ru/api/getInfo/image/383b0a08-f586-11ee-a25b-00155d82e908</v>
      </c>
      <c r="U3795" s="21"/>
      <c r="V3795" s="21" t="s">
        <v>6525</v>
      </c>
      <c r="W3795" s="21" t="s">
        <v>378</v>
      </c>
      <c r="X3795" s="21"/>
      <c r="Y3795" s="21" t="s">
        <v>41</v>
      </c>
      <c r="Z3795" s="21"/>
      <c r="AA3795" s="21" t="str">
        <f>HYPERLINK("https://miland.ru/api/getInfo/item/383b0a08-f586-11ee-a25b-00155d82e908")</f>
        <v>https://miland.ru/api/getInfo/item/383b0a08-f586-11ee-a25b-00155d82e908</v>
      </c>
      <c r="AB3795" s="21" t="s">
        <v>42</v>
      </c>
      <c r="AC3795" s="21" t="s">
        <v>13179</v>
      </c>
      <c r="AD3795" s="21"/>
    </row>
    <row r="3796" spans="2:30" s="1" customFormat="1" ht="96.3" customHeight="1" outlineLevel="7">
      <c r="B3796" s="57">
        <v>2980</v>
      </c>
      <c r="C3796" s="21" t="s">
        <v>13323</v>
      </c>
      <c r="D3796" s="72" t="s">
        <v>13324</v>
      </c>
      <c r="E3796" s="72"/>
      <c r="F3796" s="72"/>
      <c r="G3796" s="72"/>
      <c r="H3796" s="22" t="s">
        <v>13325</v>
      </c>
      <c r="I3796" s="23" t="s">
        <v>36</v>
      </c>
      <c r="J3796" s="22"/>
      <c r="K3796" s="20">
        <v>12</v>
      </c>
      <c r="L3796" s="24">
        <v>69.569999999999993</v>
      </c>
      <c r="M3796" s="11"/>
      <c r="N3796" s="22">
        <f t="shared" si="187"/>
        <v>0</v>
      </c>
      <c r="O3796" s="28">
        <f>0.05*M3796</f>
        <v>0</v>
      </c>
      <c r="P3796" s="26">
        <f>0.00013*M3796</f>
        <v>0</v>
      </c>
      <c r="Q3796" s="30"/>
      <c r="R3796" s="22" t="s">
        <v>13326</v>
      </c>
      <c r="S3796" s="22" t="s">
        <v>435</v>
      </c>
      <c r="T3796" s="21" t="str">
        <f>HYPERLINK("https://miland.ru/api/getInfo/image/1169b0d3-f586-11ee-a25b-00155d82e908")</f>
        <v>https://miland.ru/api/getInfo/image/1169b0d3-f586-11ee-a25b-00155d82e908</v>
      </c>
      <c r="U3796" s="21"/>
      <c r="V3796" s="21" t="s">
        <v>6525</v>
      </c>
      <c r="W3796" s="21" t="s">
        <v>378</v>
      </c>
      <c r="X3796" s="21"/>
      <c r="Y3796" s="21" t="s">
        <v>41</v>
      </c>
      <c r="Z3796" s="21"/>
      <c r="AA3796" s="21" t="str">
        <f>HYPERLINK("https://miland.ru/api/getInfo/item/1169b0d3-f586-11ee-a25b-00155d82e908")</f>
        <v>https://miland.ru/api/getInfo/item/1169b0d3-f586-11ee-a25b-00155d82e908</v>
      </c>
      <c r="AB3796" s="21" t="s">
        <v>42</v>
      </c>
      <c r="AC3796" s="21" t="s">
        <v>13179</v>
      </c>
      <c r="AD3796" s="21"/>
    </row>
    <row r="3797" spans="2:30" s="1" customFormat="1" ht="96.3" customHeight="1" outlineLevel="7">
      <c r="B3797" s="57">
        <v>2981</v>
      </c>
      <c r="C3797" s="21" t="s">
        <v>13327</v>
      </c>
      <c r="D3797" s="72" t="s">
        <v>13328</v>
      </c>
      <c r="E3797" s="72"/>
      <c r="F3797" s="72"/>
      <c r="G3797" s="72"/>
      <c r="H3797" s="22" t="s">
        <v>13329</v>
      </c>
      <c r="I3797" s="27">
        <v>336</v>
      </c>
      <c r="J3797" s="22"/>
      <c r="K3797" s="20">
        <v>12</v>
      </c>
      <c r="L3797" s="24">
        <v>69.569999999999993</v>
      </c>
      <c r="M3797" s="11"/>
      <c r="N3797" s="22">
        <f t="shared" si="187"/>
        <v>0</v>
      </c>
      <c r="O3797" s="28">
        <f>0.06*M3797</f>
        <v>0</v>
      </c>
      <c r="P3797" s="26">
        <f>0.00017*M3797</f>
        <v>0</v>
      </c>
      <c r="Q3797" s="30"/>
      <c r="R3797" s="22" t="s">
        <v>13330</v>
      </c>
      <c r="S3797" s="22" t="s">
        <v>435</v>
      </c>
      <c r="T3797" s="21" t="str">
        <f>HYPERLINK("https://miland.ru/api/getInfo/image/a9ceb337-f586-11ee-a25b-00155d82e908")</f>
        <v>https://miland.ru/api/getInfo/image/a9ceb337-f586-11ee-a25b-00155d82e908</v>
      </c>
      <c r="U3797" s="21"/>
      <c r="V3797" s="21" t="s">
        <v>6525</v>
      </c>
      <c r="W3797" s="21" t="s">
        <v>378</v>
      </c>
      <c r="X3797" s="21"/>
      <c r="Y3797" s="21" t="s">
        <v>41</v>
      </c>
      <c r="Z3797" s="21"/>
      <c r="AA3797" s="21" t="str">
        <f>HYPERLINK("https://miland.ru/api/getInfo/item/a9ceb337-f586-11ee-a25b-00155d82e908")</f>
        <v>https://miland.ru/api/getInfo/item/a9ceb337-f586-11ee-a25b-00155d82e908</v>
      </c>
      <c r="AB3797" s="21" t="s">
        <v>42</v>
      </c>
      <c r="AC3797" s="21" t="s">
        <v>13179</v>
      </c>
      <c r="AD3797" s="21"/>
    </row>
    <row r="3798" spans="2:30" s="1" customFormat="1" ht="96.3" customHeight="1" outlineLevel="7">
      <c r="B3798" s="57">
        <v>2982</v>
      </c>
      <c r="C3798" s="21" t="s">
        <v>13331</v>
      </c>
      <c r="D3798" s="72" t="s">
        <v>13332</v>
      </c>
      <c r="E3798" s="72"/>
      <c r="F3798" s="72"/>
      <c r="G3798" s="72"/>
      <c r="H3798" s="22" t="s">
        <v>13333</v>
      </c>
      <c r="I3798" s="27">
        <v>276</v>
      </c>
      <c r="J3798" s="22"/>
      <c r="K3798" s="20">
        <v>12</v>
      </c>
      <c r="L3798" s="24">
        <v>69.569999999999993</v>
      </c>
      <c r="M3798" s="11"/>
      <c r="N3798" s="22">
        <f t="shared" si="187"/>
        <v>0</v>
      </c>
      <c r="O3798" s="28">
        <f>0.05*M3798</f>
        <v>0</v>
      </c>
      <c r="P3798" s="22">
        <v>0</v>
      </c>
      <c r="Q3798" s="30"/>
      <c r="R3798" s="22" t="s">
        <v>13334</v>
      </c>
      <c r="S3798" s="22" t="s">
        <v>435</v>
      </c>
      <c r="T3798" s="21" t="str">
        <f>HYPERLINK("https://miland.ru/api/getInfo/image/f2b9bf5d-f585-11ee-a25b-00155d82e908")</f>
        <v>https://miland.ru/api/getInfo/image/f2b9bf5d-f585-11ee-a25b-00155d82e908</v>
      </c>
      <c r="U3798" s="21"/>
      <c r="V3798" s="21" t="s">
        <v>6525</v>
      </c>
      <c r="W3798" s="21" t="s">
        <v>378</v>
      </c>
      <c r="X3798" s="21"/>
      <c r="Y3798" s="21" t="s">
        <v>41</v>
      </c>
      <c r="Z3798" s="21"/>
      <c r="AA3798" s="21" t="str">
        <f>HYPERLINK("https://miland.ru/api/getInfo/item/f2b9bf5d-f585-11ee-a25b-00155d82e908")</f>
        <v>https://miland.ru/api/getInfo/item/f2b9bf5d-f585-11ee-a25b-00155d82e908</v>
      </c>
      <c r="AB3798" s="21" t="s">
        <v>42</v>
      </c>
      <c r="AC3798" s="21" t="s">
        <v>13179</v>
      </c>
      <c r="AD3798" s="21"/>
    </row>
    <row r="3799" spans="2:30" s="1" customFormat="1" ht="96.3" customHeight="1" outlineLevel="7">
      <c r="B3799" s="57">
        <v>2983</v>
      </c>
      <c r="C3799" s="21" t="s">
        <v>13335</v>
      </c>
      <c r="D3799" s="72" t="s">
        <v>13336</v>
      </c>
      <c r="E3799" s="72"/>
      <c r="F3799" s="72"/>
      <c r="G3799" s="72"/>
      <c r="H3799" s="22" t="s">
        <v>13337</v>
      </c>
      <c r="I3799" s="23" t="s">
        <v>36</v>
      </c>
      <c r="J3799" s="22"/>
      <c r="K3799" s="20">
        <v>12</v>
      </c>
      <c r="L3799" s="24">
        <v>69.569999999999993</v>
      </c>
      <c r="M3799" s="11"/>
      <c r="N3799" s="22">
        <f t="shared" si="187"/>
        <v>0</v>
      </c>
      <c r="O3799" s="28">
        <f>0.06*M3799</f>
        <v>0</v>
      </c>
      <c r="P3799" s="26">
        <f>0.00022*M3799</f>
        <v>0</v>
      </c>
      <c r="Q3799" s="30"/>
      <c r="R3799" s="22" t="s">
        <v>13338</v>
      </c>
      <c r="S3799" s="22" t="s">
        <v>435</v>
      </c>
      <c r="T3799" s="21" t="str">
        <f>HYPERLINK("https://miland.ru/api/getInfo/image/bf65500f-f586-11ee-a25b-00155d82e908")</f>
        <v>https://miland.ru/api/getInfo/image/bf65500f-f586-11ee-a25b-00155d82e908</v>
      </c>
      <c r="U3799" s="21"/>
      <c r="V3799" s="21" t="s">
        <v>6525</v>
      </c>
      <c r="W3799" s="21" t="s">
        <v>378</v>
      </c>
      <c r="X3799" s="21"/>
      <c r="Y3799" s="21" t="s">
        <v>41</v>
      </c>
      <c r="Z3799" s="21"/>
      <c r="AA3799" s="21" t="str">
        <f>HYPERLINK("https://miland.ru/api/getInfo/item/bf65500f-f586-11ee-a25b-00155d82e908")</f>
        <v>https://miland.ru/api/getInfo/item/bf65500f-f586-11ee-a25b-00155d82e908</v>
      </c>
      <c r="AB3799" s="21" t="s">
        <v>42</v>
      </c>
      <c r="AC3799" s="21" t="s">
        <v>13179</v>
      </c>
      <c r="AD3799" s="21"/>
    </row>
    <row r="3800" spans="2:30" s="1" customFormat="1" ht="96.3" customHeight="1" outlineLevel="7">
      <c r="B3800" s="57">
        <v>2984</v>
      </c>
      <c r="C3800" s="21" t="s">
        <v>13339</v>
      </c>
      <c r="D3800" s="72" t="s">
        <v>13340</v>
      </c>
      <c r="E3800" s="72"/>
      <c r="F3800" s="72"/>
      <c r="G3800" s="72"/>
      <c r="H3800" s="22" t="s">
        <v>13341</v>
      </c>
      <c r="I3800" s="23" t="s">
        <v>36</v>
      </c>
      <c r="J3800" s="22"/>
      <c r="K3800" s="20">
        <v>12</v>
      </c>
      <c r="L3800" s="24">
        <v>69.569999999999993</v>
      </c>
      <c r="M3800" s="11"/>
      <c r="N3800" s="22">
        <f t="shared" si="187"/>
        <v>0</v>
      </c>
      <c r="O3800" s="28">
        <f>0.06*M3800</f>
        <v>0</v>
      </c>
      <c r="P3800" s="26">
        <f>0.00013*M3800</f>
        <v>0</v>
      </c>
      <c r="Q3800" s="30"/>
      <c r="R3800" s="22" t="s">
        <v>13342</v>
      </c>
      <c r="S3800" s="22" t="s">
        <v>435</v>
      </c>
      <c r="T3800" s="21" t="str">
        <f>HYPERLINK("https://miland.ru/api/getInfo/image/d211aac3-f586-11ee-a25b-00155d82e908")</f>
        <v>https://miland.ru/api/getInfo/image/d211aac3-f586-11ee-a25b-00155d82e908</v>
      </c>
      <c r="U3800" s="21"/>
      <c r="V3800" s="21" t="s">
        <v>6525</v>
      </c>
      <c r="W3800" s="21" t="s">
        <v>378</v>
      </c>
      <c r="X3800" s="21"/>
      <c r="Y3800" s="21" t="s">
        <v>41</v>
      </c>
      <c r="Z3800" s="21"/>
      <c r="AA3800" s="21" t="str">
        <f>HYPERLINK("https://miland.ru/api/getInfo/item/d211aac3-f586-11ee-a25b-00155d82e908")</f>
        <v>https://miland.ru/api/getInfo/item/d211aac3-f586-11ee-a25b-00155d82e908</v>
      </c>
      <c r="AB3800" s="21" t="s">
        <v>42</v>
      </c>
      <c r="AC3800" s="21" t="s">
        <v>13179</v>
      </c>
      <c r="AD3800" s="21"/>
    </row>
    <row r="3801" spans="2:30" s="1" customFormat="1" ht="96.3" customHeight="1" outlineLevel="7">
      <c r="B3801" s="57">
        <v>2985</v>
      </c>
      <c r="C3801" s="21" t="s">
        <v>13343</v>
      </c>
      <c r="D3801" s="72" t="s">
        <v>13344</v>
      </c>
      <c r="E3801" s="72"/>
      <c r="F3801" s="72"/>
      <c r="G3801" s="72"/>
      <c r="H3801" s="22" t="s">
        <v>13345</v>
      </c>
      <c r="I3801" s="23" t="s">
        <v>36</v>
      </c>
      <c r="J3801" s="22"/>
      <c r="K3801" s="20">
        <v>12</v>
      </c>
      <c r="L3801" s="24">
        <v>69.569999999999993</v>
      </c>
      <c r="M3801" s="11"/>
      <c r="N3801" s="22">
        <f t="shared" si="187"/>
        <v>0</v>
      </c>
      <c r="O3801" s="25">
        <f>0.056*M3801</f>
        <v>0</v>
      </c>
      <c r="P3801" s="26">
        <f>0.00013*M3801</f>
        <v>0</v>
      </c>
      <c r="Q3801" s="30"/>
      <c r="R3801" s="22" t="s">
        <v>13346</v>
      </c>
      <c r="S3801" s="22" t="s">
        <v>435</v>
      </c>
      <c r="T3801" s="21" t="str">
        <f>HYPERLINK("https://miland.ru/api/getInfo/image/e5ea6f04-f586-11ee-a25b-00155d82e908")</f>
        <v>https://miland.ru/api/getInfo/image/e5ea6f04-f586-11ee-a25b-00155d82e908</v>
      </c>
      <c r="U3801" s="21"/>
      <c r="V3801" s="21" t="s">
        <v>6525</v>
      </c>
      <c r="W3801" s="21" t="s">
        <v>378</v>
      </c>
      <c r="X3801" s="21"/>
      <c r="Y3801" s="21" t="s">
        <v>41</v>
      </c>
      <c r="Z3801" s="21"/>
      <c r="AA3801" s="21" t="str">
        <f>HYPERLINK("https://miland.ru/api/getInfo/item/e5ea6f04-f586-11ee-a25b-00155d82e908")</f>
        <v>https://miland.ru/api/getInfo/item/e5ea6f04-f586-11ee-a25b-00155d82e908</v>
      </c>
      <c r="AB3801" s="21" t="s">
        <v>42</v>
      </c>
      <c r="AC3801" s="21" t="s">
        <v>13179</v>
      </c>
      <c r="AD3801" s="21"/>
    </row>
    <row r="3802" spans="2:30" s="1" customFormat="1" ht="96.3" customHeight="1" outlineLevel="7">
      <c r="B3802" s="57">
        <v>2986</v>
      </c>
      <c r="C3802" s="21" t="s">
        <v>13347</v>
      </c>
      <c r="D3802" s="72" t="s">
        <v>13348</v>
      </c>
      <c r="E3802" s="72"/>
      <c r="F3802" s="72"/>
      <c r="G3802" s="72"/>
      <c r="H3802" s="22" t="s">
        <v>13349</v>
      </c>
      <c r="I3802" s="23" t="s">
        <v>36</v>
      </c>
      <c r="J3802" s="22"/>
      <c r="K3802" s="20">
        <v>12</v>
      </c>
      <c r="L3802" s="24">
        <v>69.569999999999993</v>
      </c>
      <c r="M3802" s="11"/>
      <c r="N3802" s="22">
        <f t="shared" si="187"/>
        <v>0</v>
      </c>
      <c r="O3802" s="28">
        <f>0.06*M3802</f>
        <v>0</v>
      </c>
      <c r="P3802" s="26">
        <f>0.00012*M3802</f>
        <v>0</v>
      </c>
      <c r="Q3802" s="30"/>
      <c r="R3802" s="22" t="s">
        <v>13350</v>
      </c>
      <c r="S3802" s="22" t="s">
        <v>435</v>
      </c>
      <c r="T3802" s="21" t="str">
        <f>HYPERLINK("https://miland.ru/api/getInfo/image/946ee519-f586-11ee-a25b-00155d82e908")</f>
        <v>https://miland.ru/api/getInfo/image/946ee519-f586-11ee-a25b-00155d82e908</v>
      </c>
      <c r="U3802" s="21"/>
      <c r="V3802" s="21" t="s">
        <v>6525</v>
      </c>
      <c r="W3802" s="21" t="s">
        <v>378</v>
      </c>
      <c r="X3802" s="21"/>
      <c r="Y3802" s="21" t="s">
        <v>41</v>
      </c>
      <c r="Z3802" s="21"/>
      <c r="AA3802" s="21" t="str">
        <f>HYPERLINK("https://miland.ru/api/getInfo/item/946ee519-f586-11ee-a25b-00155d82e908")</f>
        <v>https://miland.ru/api/getInfo/item/946ee519-f586-11ee-a25b-00155d82e908</v>
      </c>
      <c r="AB3802" s="21" t="s">
        <v>42</v>
      </c>
      <c r="AC3802" s="21" t="s">
        <v>13179</v>
      </c>
      <c r="AD3802" s="21"/>
    </row>
    <row r="3803" spans="2:30" s="1" customFormat="1" ht="96.3" customHeight="1" outlineLevel="7">
      <c r="B3803" s="57">
        <v>2987</v>
      </c>
      <c r="C3803" s="21" t="s">
        <v>13351</v>
      </c>
      <c r="D3803" s="72" t="s">
        <v>13352</v>
      </c>
      <c r="E3803" s="72"/>
      <c r="F3803" s="72"/>
      <c r="G3803" s="72"/>
      <c r="H3803" s="22" t="s">
        <v>13353</v>
      </c>
      <c r="I3803" s="23" t="s">
        <v>36</v>
      </c>
      <c r="J3803" s="22"/>
      <c r="K3803" s="20">
        <v>12</v>
      </c>
      <c r="L3803" s="24">
        <v>69.569999999999993</v>
      </c>
      <c r="M3803" s="11"/>
      <c r="N3803" s="22">
        <f t="shared" si="187"/>
        <v>0</v>
      </c>
      <c r="O3803" s="25">
        <f>0.053*M3803</f>
        <v>0</v>
      </c>
      <c r="P3803" s="26">
        <f>0.00022*M3803</f>
        <v>0</v>
      </c>
      <c r="Q3803" s="30"/>
      <c r="R3803" s="22" t="s">
        <v>13354</v>
      </c>
      <c r="S3803" s="22" t="s">
        <v>435</v>
      </c>
      <c r="T3803" s="21" t="str">
        <f>HYPERLINK("https://miland.ru/api/getInfo/image/009dc660-f585-11ee-a25b-00155d82e908")</f>
        <v>https://miland.ru/api/getInfo/image/009dc660-f585-11ee-a25b-00155d82e908</v>
      </c>
      <c r="U3803" s="21"/>
      <c r="V3803" s="21" t="s">
        <v>6525</v>
      </c>
      <c r="W3803" s="21" t="s">
        <v>378</v>
      </c>
      <c r="X3803" s="21"/>
      <c r="Y3803" s="21" t="s">
        <v>41</v>
      </c>
      <c r="Z3803" s="21"/>
      <c r="AA3803" s="21" t="str">
        <f>HYPERLINK("https://miland.ru/api/getInfo/item/009dc660-f585-11ee-a25b-00155d82e908")</f>
        <v>https://miland.ru/api/getInfo/item/009dc660-f585-11ee-a25b-00155d82e908</v>
      </c>
      <c r="AB3803" s="21" t="s">
        <v>42</v>
      </c>
      <c r="AC3803" s="21" t="s">
        <v>13179</v>
      </c>
      <c r="AD3803" s="21"/>
    </row>
    <row r="3804" spans="2:30" s="1" customFormat="1" ht="96.3" customHeight="1" outlineLevel="7">
      <c r="B3804" s="57">
        <v>2988</v>
      </c>
      <c r="C3804" s="21" t="s">
        <v>13355</v>
      </c>
      <c r="D3804" s="72" t="s">
        <v>13356</v>
      </c>
      <c r="E3804" s="72"/>
      <c r="F3804" s="72"/>
      <c r="G3804" s="72"/>
      <c r="H3804" s="22" t="s">
        <v>13357</v>
      </c>
      <c r="I3804" s="23" t="s">
        <v>36</v>
      </c>
      <c r="J3804" s="22"/>
      <c r="K3804" s="20">
        <v>12</v>
      </c>
      <c r="L3804" s="24">
        <v>69.569999999999993</v>
      </c>
      <c r="M3804" s="11"/>
      <c r="N3804" s="22">
        <f t="shared" si="187"/>
        <v>0</v>
      </c>
      <c r="O3804" s="25">
        <f>0.056*M3804</f>
        <v>0</v>
      </c>
      <c r="P3804" s="26">
        <f>0.00017*M3804</f>
        <v>0</v>
      </c>
      <c r="Q3804" s="30"/>
      <c r="R3804" s="22" t="s">
        <v>13358</v>
      </c>
      <c r="S3804" s="22" t="s">
        <v>435</v>
      </c>
      <c r="T3804" s="21" t="str">
        <f>HYPERLINK("https://miland.ru/api/getInfo/image/4857b972-f586-11ee-a25b-00155d82e908")</f>
        <v>https://miland.ru/api/getInfo/image/4857b972-f586-11ee-a25b-00155d82e908</v>
      </c>
      <c r="U3804" s="21"/>
      <c r="V3804" s="21" t="s">
        <v>6525</v>
      </c>
      <c r="W3804" s="21" t="s">
        <v>378</v>
      </c>
      <c r="X3804" s="21"/>
      <c r="Y3804" s="21" t="s">
        <v>41</v>
      </c>
      <c r="Z3804" s="21"/>
      <c r="AA3804" s="21" t="str">
        <f>HYPERLINK("https://miland.ru/api/getInfo/item/4857b972-f586-11ee-a25b-00155d82e908")</f>
        <v>https://miland.ru/api/getInfo/item/4857b972-f586-11ee-a25b-00155d82e908</v>
      </c>
      <c r="AB3804" s="21" t="s">
        <v>42</v>
      </c>
      <c r="AC3804" s="21" t="s">
        <v>13179</v>
      </c>
      <c r="AD3804" s="21"/>
    </row>
    <row r="3805" spans="2:30" s="1" customFormat="1" ht="96.3" customHeight="1" outlineLevel="7">
      <c r="B3805" s="57">
        <v>2989</v>
      </c>
      <c r="C3805" s="21" t="s">
        <v>13359</v>
      </c>
      <c r="D3805" s="72" t="s">
        <v>13360</v>
      </c>
      <c r="E3805" s="72"/>
      <c r="F3805" s="72"/>
      <c r="G3805" s="72"/>
      <c r="H3805" s="22" t="s">
        <v>13361</v>
      </c>
      <c r="I3805" s="23" t="s">
        <v>36</v>
      </c>
      <c r="J3805" s="22"/>
      <c r="K3805" s="20">
        <v>12</v>
      </c>
      <c r="L3805" s="24">
        <v>69.569999999999993</v>
      </c>
      <c r="M3805" s="11"/>
      <c r="N3805" s="22">
        <f t="shared" si="187"/>
        <v>0</v>
      </c>
      <c r="O3805" s="25">
        <f>0.056*M3805</f>
        <v>0</v>
      </c>
      <c r="P3805" s="26">
        <f>0.00017*M3805</f>
        <v>0</v>
      </c>
      <c r="Q3805" s="30"/>
      <c r="R3805" s="22" t="s">
        <v>13362</v>
      </c>
      <c r="S3805" s="22" t="s">
        <v>435</v>
      </c>
      <c r="T3805" s="21" t="str">
        <f>HYPERLINK("https://miland.ru/api/getInfo/image/c4bef33a-f585-11ee-a25b-00155d82e908")</f>
        <v>https://miland.ru/api/getInfo/image/c4bef33a-f585-11ee-a25b-00155d82e908</v>
      </c>
      <c r="U3805" s="21"/>
      <c r="V3805" s="21" t="s">
        <v>6525</v>
      </c>
      <c r="W3805" s="21" t="s">
        <v>378</v>
      </c>
      <c r="X3805" s="21"/>
      <c r="Y3805" s="21" t="s">
        <v>41</v>
      </c>
      <c r="Z3805" s="21"/>
      <c r="AA3805" s="21" t="str">
        <f>HYPERLINK("https://miland.ru/api/getInfo/item/c4bef33a-f585-11ee-a25b-00155d82e908")</f>
        <v>https://miland.ru/api/getInfo/item/c4bef33a-f585-11ee-a25b-00155d82e908</v>
      </c>
      <c r="AB3805" s="21" t="s">
        <v>42</v>
      </c>
      <c r="AC3805" s="21" t="s">
        <v>13179</v>
      </c>
      <c r="AD3805" s="21"/>
    </row>
    <row r="3806" spans="2:30" s="1" customFormat="1" ht="96.3" customHeight="1" outlineLevel="7">
      <c r="B3806" s="57">
        <v>2990</v>
      </c>
      <c r="C3806" s="21" t="s">
        <v>13363</v>
      </c>
      <c r="D3806" s="72" t="s">
        <v>13364</v>
      </c>
      <c r="E3806" s="72"/>
      <c r="F3806" s="72"/>
      <c r="G3806" s="72"/>
      <c r="H3806" s="22" t="s">
        <v>13365</v>
      </c>
      <c r="I3806" s="23" t="s">
        <v>36</v>
      </c>
      <c r="J3806" s="22"/>
      <c r="K3806" s="20">
        <v>12</v>
      </c>
      <c r="L3806" s="24">
        <v>69.569999999999993</v>
      </c>
      <c r="M3806" s="11"/>
      <c r="N3806" s="22">
        <f t="shared" si="187"/>
        <v>0</v>
      </c>
      <c r="O3806" s="28">
        <f>0.06*M3806</f>
        <v>0</v>
      </c>
      <c r="P3806" s="26">
        <f>0.00009*M3806</f>
        <v>0</v>
      </c>
      <c r="Q3806" s="30"/>
      <c r="R3806" s="22" t="s">
        <v>13366</v>
      </c>
      <c r="S3806" s="22" t="s">
        <v>435</v>
      </c>
      <c r="T3806" s="21" t="str">
        <f>HYPERLINK("https://miland.ru/api/getInfo/image/62777e2e-f586-11ee-a25b-00155d82e908")</f>
        <v>https://miland.ru/api/getInfo/image/62777e2e-f586-11ee-a25b-00155d82e908</v>
      </c>
      <c r="U3806" s="21"/>
      <c r="V3806" s="21" t="s">
        <v>6525</v>
      </c>
      <c r="W3806" s="21" t="s">
        <v>378</v>
      </c>
      <c r="X3806" s="21"/>
      <c r="Y3806" s="21" t="s">
        <v>41</v>
      </c>
      <c r="Z3806" s="21"/>
      <c r="AA3806" s="21" t="str">
        <f>HYPERLINK("https://miland.ru/api/getInfo/item/62777e2e-f586-11ee-a25b-00155d82e908")</f>
        <v>https://miland.ru/api/getInfo/item/62777e2e-f586-11ee-a25b-00155d82e908</v>
      </c>
      <c r="AB3806" s="21" t="s">
        <v>42</v>
      </c>
      <c r="AC3806" s="21" t="s">
        <v>13179</v>
      </c>
      <c r="AD3806" s="21"/>
    </row>
    <row r="3807" spans="2:30" s="1" customFormat="1" ht="96.3" customHeight="1" outlineLevel="7">
      <c r="B3807" s="57">
        <v>2991</v>
      </c>
      <c r="C3807" s="21" t="s">
        <v>13367</v>
      </c>
      <c r="D3807" s="72" t="s">
        <v>13368</v>
      </c>
      <c r="E3807" s="72"/>
      <c r="F3807" s="72"/>
      <c r="G3807" s="72"/>
      <c r="H3807" s="22" t="s">
        <v>13369</v>
      </c>
      <c r="I3807" s="23" t="s">
        <v>36</v>
      </c>
      <c r="J3807" s="22"/>
      <c r="K3807" s="20">
        <v>12</v>
      </c>
      <c r="L3807" s="24">
        <v>69.569999999999993</v>
      </c>
      <c r="M3807" s="11"/>
      <c r="N3807" s="22">
        <f t="shared" si="187"/>
        <v>0</v>
      </c>
      <c r="O3807" s="28">
        <f>0.06*M3807</f>
        <v>0</v>
      </c>
      <c r="P3807" s="26">
        <f>0.00017*M3807</f>
        <v>0</v>
      </c>
      <c r="Q3807" s="30"/>
      <c r="R3807" s="22" t="s">
        <v>13370</v>
      </c>
      <c r="S3807" s="22" t="s">
        <v>435</v>
      </c>
      <c r="T3807" s="21" t="str">
        <f>HYPERLINK("https://miland.ru/api/getInfo/image/76c51f40-f586-11ee-a25b-00155d82e908")</f>
        <v>https://miland.ru/api/getInfo/image/76c51f40-f586-11ee-a25b-00155d82e908</v>
      </c>
      <c r="U3807" s="21"/>
      <c r="V3807" s="21" t="s">
        <v>6525</v>
      </c>
      <c r="W3807" s="21" t="s">
        <v>378</v>
      </c>
      <c r="X3807" s="21"/>
      <c r="Y3807" s="21" t="s">
        <v>41</v>
      </c>
      <c r="Z3807" s="21"/>
      <c r="AA3807" s="21" t="str">
        <f>HYPERLINK("https://miland.ru/api/getInfo/item/76c51f40-f586-11ee-a25b-00155d82e908")</f>
        <v>https://miland.ru/api/getInfo/item/76c51f40-f586-11ee-a25b-00155d82e908</v>
      </c>
      <c r="AB3807" s="21" t="s">
        <v>42</v>
      </c>
      <c r="AC3807" s="21" t="s">
        <v>13179</v>
      </c>
      <c r="AD3807" s="21"/>
    </row>
    <row r="3808" spans="2:30" s="1" customFormat="1" ht="96.3" customHeight="1" outlineLevel="7">
      <c r="B3808" s="57">
        <v>2992</v>
      </c>
      <c r="C3808" s="21" t="s">
        <v>13371</v>
      </c>
      <c r="D3808" s="72" t="s">
        <v>13372</v>
      </c>
      <c r="E3808" s="72"/>
      <c r="F3808" s="72"/>
      <c r="G3808" s="72"/>
      <c r="H3808" s="22" t="s">
        <v>13373</v>
      </c>
      <c r="I3808" s="23" t="s">
        <v>36</v>
      </c>
      <c r="J3808" s="22"/>
      <c r="K3808" s="20">
        <v>12</v>
      </c>
      <c r="L3808" s="24">
        <v>69.569999999999993</v>
      </c>
      <c r="M3808" s="11"/>
      <c r="N3808" s="22">
        <f t="shared" si="187"/>
        <v>0</v>
      </c>
      <c r="O3808" s="28">
        <f>0.06*M3808</f>
        <v>0</v>
      </c>
      <c r="P3808" s="26">
        <f>0.00017*M3808</f>
        <v>0</v>
      </c>
      <c r="Q3808" s="30"/>
      <c r="R3808" s="22" t="s">
        <v>13374</v>
      </c>
      <c r="S3808" s="22" t="s">
        <v>435</v>
      </c>
      <c r="T3808" s="21" t="str">
        <f>HYPERLINK("https://miland.ru/api/getInfo/image/b673331c-f585-11ee-a25b-00155d82e908")</f>
        <v>https://miland.ru/api/getInfo/image/b673331c-f585-11ee-a25b-00155d82e908</v>
      </c>
      <c r="U3808" s="21"/>
      <c r="V3808" s="21" t="s">
        <v>6525</v>
      </c>
      <c r="W3808" s="21" t="s">
        <v>378</v>
      </c>
      <c r="X3808" s="21"/>
      <c r="Y3808" s="21" t="s">
        <v>41</v>
      </c>
      <c r="Z3808" s="21"/>
      <c r="AA3808" s="21" t="str">
        <f>HYPERLINK("https://miland.ru/api/getInfo/item/b673331c-f585-11ee-a25b-00155d82e908")</f>
        <v>https://miland.ru/api/getInfo/item/b673331c-f585-11ee-a25b-00155d82e908</v>
      </c>
      <c r="AB3808" s="21" t="s">
        <v>42</v>
      </c>
      <c r="AC3808" s="21" t="s">
        <v>13179</v>
      </c>
      <c r="AD3808" s="21"/>
    </row>
    <row r="3809" spans="2:31" s="1" customFormat="1" ht="96.3" customHeight="1" outlineLevel="7">
      <c r="B3809" s="57">
        <v>2993</v>
      </c>
      <c r="C3809" s="21" t="s">
        <v>13375</v>
      </c>
      <c r="D3809" s="72" t="s">
        <v>13376</v>
      </c>
      <c r="E3809" s="72"/>
      <c r="F3809" s="72"/>
      <c r="G3809" s="72"/>
      <c r="H3809" s="22" t="s">
        <v>13377</v>
      </c>
      <c r="I3809" s="23" t="s">
        <v>36</v>
      </c>
      <c r="J3809" s="22"/>
      <c r="K3809" s="20">
        <v>12</v>
      </c>
      <c r="L3809" s="24">
        <v>69.569999999999993</v>
      </c>
      <c r="M3809" s="11"/>
      <c r="N3809" s="22">
        <f t="shared" si="187"/>
        <v>0</v>
      </c>
      <c r="O3809" s="28">
        <f>0.06*M3809</f>
        <v>0</v>
      </c>
      <c r="P3809" s="26">
        <f>0.00017*M3809</f>
        <v>0</v>
      </c>
      <c r="Q3809" s="30"/>
      <c r="R3809" s="22" t="s">
        <v>13378</v>
      </c>
      <c r="S3809" s="22" t="s">
        <v>435</v>
      </c>
      <c r="T3809" s="21" t="str">
        <f>HYPERLINK("https://miland.ru/api/getInfo/image/d8a85ecd-f585-11ee-a25b-00155d82e908")</f>
        <v>https://miland.ru/api/getInfo/image/d8a85ecd-f585-11ee-a25b-00155d82e908</v>
      </c>
      <c r="U3809" s="21"/>
      <c r="V3809" s="21" t="s">
        <v>6525</v>
      </c>
      <c r="W3809" s="21" t="s">
        <v>378</v>
      </c>
      <c r="X3809" s="21"/>
      <c r="Y3809" s="21" t="s">
        <v>41</v>
      </c>
      <c r="Z3809" s="21"/>
      <c r="AA3809" s="21" t="str">
        <f>HYPERLINK("https://miland.ru/api/getInfo/item/d8a85ecd-f585-11ee-a25b-00155d82e908")</f>
        <v>https://miland.ru/api/getInfo/item/d8a85ecd-f585-11ee-a25b-00155d82e908</v>
      </c>
      <c r="AB3809" s="21" t="s">
        <v>42</v>
      </c>
      <c r="AC3809" s="21" t="s">
        <v>13179</v>
      </c>
      <c r="AD3809" s="21"/>
    </row>
    <row r="3810" spans="2:31" s="1" customFormat="1" ht="96.3" customHeight="1" outlineLevel="7">
      <c r="B3810" s="57">
        <v>2994</v>
      </c>
      <c r="C3810" s="21" t="s">
        <v>13379</v>
      </c>
      <c r="D3810" s="72" t="s">
        <v>13380</v>
      </c>
      <c r="E3810" s="72"/>
      <c r="F3810" s="72"/>
      <c r="G3810" s="72"/>
      <c r="H3810" s="22" t="s">
        <v>13381</v>
      </c>
      <c r="I3810" s="23" t="s">
        <v>36</v>
      </c>
      <c r="J3810" s="22"/>
      <c r="K3810" s="20">
        <v>12</v>
      </c>
      <c r="L3810" s="24">
        <v>69.569999999999993</v>
      </c>
      <c r="M3810" s="11"/>
      <c r="N3810" s="22">
        <f t="shared" si="187"/>
        <v>0</v>
      </c>
      <c r="O3810" s="25">
        <f>0.056*M3810</f>
        <v>0</v>
      </c>
      <c r="P3810" s="26">
        <f>0.00009*M3810</f>
        <v>0</v>
      </c>
      <c r="Q3810" s="30"/>
      <c r="R3810" s="22" t="s">
        <v>13382</v>
      </c>
      <c r="S3810" s="22" t="s">
        <v>435</v>
      </c>
      <c r="T3810" s="21" t="str">
        <f>HYPERLINK("https://miland.ru/api/getInfo/image/856b5bd2-f584-11ee-a25b-00155d82e908")</f>
        <v>https://miland.ru/api/getInfo/image/856b5bd2-f584-11ee-a25b-00155d82e908</v>
      </c>
      <c r="U3810" s="21"/>
      <c r="V3810" s="21" t="s">
        <v>6525</v>
      </c>
      <c r="W3810" s="21" t="s">
        <v>378</v>
      </c>
      <c r="X3810" s="21"/>
      <c r="Y3810" s="21" t="s">
        <v>41</v>
      </c>
      <c r="Z3810" s="21"/>
      <c r="AA3810" s="21" t="str">
        <f>HYPERLINK("https://miland.ru/api/getInfo/item/856b5bd2-f584-11ee-a25b-00155d82e908")</f>
        <v>https://miland.ru/api/getInfo/item/856b5bd2-f584-11ee-a25b-00155d82e908</v>
      </c>
      <c r="AB3810" s="21" t="s">
        <v>42</v>
      </c>
      <c r="AC3810" s="21" t="s">
        <v>13179</v>
      </c>
      <c r="AD3810" s="21"/>
    </row>
    <row r="3811" spans="2:31" s="1" customFormat="1" ht="96.3" customHeight="1" outlineLevel="7">
      <c r="B3811" s="57">
        <v>2995</v>
      </c>
      <c r="C3811" s="21" t="s">
        <v>13383</v>
      </c>
      <c r="D3811" s="72" t="s">
        <v>13384</v>
      </c>
      <c r="E3811" s="72"/>
      <c r="F3811" s="72"/>
      <c r="G3811" s="72"/>
      <c r="H3811" s="22" t="s">
        <v>13385</v>
      </c>
      <c r="I3811" s="23" t="s">
        <v>36</v>
      </c>
      <c r="J3811" s="22"/>
      <c r="K3811" s="20">
        <v>12</v>
      </c>
      <c r="L3811" s="24">
        <v>69.569999999999993</v>
      </c>
      <c r="M3811" s="11"/>
      <c r="N3811" s="22">
        <f t="shared" si="187"/>
        <v>0</v>
      </c>
      <c r="O3811" s="25">
        <f>0.054*M3811</f>
        <v>0</v>
      </c>
      <c r="P3811" s="26">
        <f>0.00013*M3811</f>
        <v>0</v>
      </c>
      <c r="Q3811" s="30"/>
      <c r="R3811" s="22" t="s">
        <v>13386</v>
      </c>
      <c r="S3811" s="22"/>
      <c r="T3811" s="21" t="str">
        <f>HYPERLINK("https://miland.ru/api/getInfo/image/02de3957-a034-11ef-a267-00155d82e908")</f>
        <v>https://miland.ru/api/getInfo/image/02de3957-a034-11ef-a267-00155d82e908</v>
      </c>
      <c r="U3811" s="21"/>
      <c r="V3811" s="21" t="s">
        <v>6525</v>
      </c>
      <c r="W3811" s="21" t="s">
        <v>378</v>
      </c>
      <c r="X3811" s="21"/>
      <c r="Y3811" s="21" t="s">
        <v>41</v>
      </c>
      <c r="Z3811" s="21"/>
      <c r="AA3811" s="21" t="str">
        <f>HYPERLINK("https://miland.ru/api/getInfo/item/02de3957-a034-11ef-a267-00155d82e908")</f>
        <v>https://miland.ru/api/getInfo/item/02de3957-a034-11ef-a267-00155d82e908</v>
      </c>
      <c r="AB3811" s="21" t="s">
        <v>42</v>
      </c>
      <c r="AC3811" s="21" t="s">
        <v>13179</v>
      </c>
      <c r="AD3811" s="21"/>
    </row>
    <row r="3812" spans="2:31" s="1" customFormat="1" ht="96.3" customHeight="1" outlineLevel="7">
      <c r="B3812" s="57">
        <v>2996</v>
      </c>
      <c r="C3812" s="21" t="s">
        <v>13387</v>
      </c>
      <c r="D3812" s="72" t="s">
        <v>13388</v>
      </c>
      <c r="E3812" s="72"/>
      <c r="F3812" s="72"/>
      <c r="G3812" s="72"/>
      <c r="H3812" s="22" t="s">
        <v>13389</v>
      </c>
      <c r="I3812" s="27">
        <v>492</v>
      </c>
      <c r="J3812" s="22"/>
      <c r="K3812" s="20">
        <v>12</v>
      </c>
      <c r="L3812" s="24">
        <v>69.569999999999993</v>
      </c>
      <c r="M3812" s="11"/>
      <c r="N3812" s="22">
        <f t="shared" si="187"/>
        <v>0</v>
      </c>
      <c r="O3812" s="25">
        <f>0.047*M3812</f>
        <v>0</v>
      </c>
      <c r="P3812" s="26">
        <f>0.00013*M3812</f>
        <v>0</v>
      </c>
      <c r="Q3812" s="30"/>
      <c r="R3812" s="22" t="s">
        <v>13390</v>
      </c>
      <c r="S3812" s="22"/>
      <c r="T3812" s="21" t="str">
        <f>HYPERLINK("https://miland.ru/api/getInfo/image/2fdd289d-a034-11ef-a267-00155d82e908")</f>
        <v>https://miland.ru/api/getInfo/image/2fdd289d-a034-11ef-a267-00155d82e908</v>
      </c>
      <c r="U3812" s="21"/>
      <c r="V3812" s="21" t="s">
        <v>6525</v>
      </c>
      <c r="W3812" s="21" t="s">
        <v>378</v>
      </c>
      <c r="X3812" s="21"/>
      <c r="Y3812" s="21" t="s">
        <v>41</v>
      </c>
      <c r="Z3812" s="21"/>
      <c r="AA3812" s="21" t="str">
        <f>HYPERLINK("https://miland.ru/api/getInfo/item/2fdd289d-a034-11ef-a267-00155d82e908")</f>
        <v>https://miland.ru/api/getInfo/item/2fdd289d-a034-11ef-a267-00155d82e908</v>
      </c>
      <c r="AB3812" s="21" t="s">
        <v>42</v>
      </c>
      <c r="AC3812" s="21" t="s">
        <v>13179</v>
      </c>
      <c r="AD3812" s="21"/>
    </row>
    <row r="3813" spans="2:31" s="1" customFormat="1" ht="96.3" customHeight="1" outlineLevel="7">
      <c r="B3813" s="57">
        <v>2997</v>
      </c>
      <c r="C3813" s="21" t="s">
        <v>13391</v>
      </c>
      <c r="D3813" s="72" t="s">
        <v>13392</v>
      </c>
      <c r="E3813" s="72"/>
      <c r="F3813" s="72"/>
      <c r="G3813" s="72"/>
      <c r="H3813" s="22" t="s">
        <v>13393</v>
      </c>
      <c r="I3813" s="23" t="s">
        <v>36</v>
      </c>
      <c r="J3813" s="22"/>
      <c r="K3813" s="20">
        <v>12</v>
      </c>
      <c r="L3813" s="24">
        <v>69.569999999999993</v>
      </c>
      <c r="M3813" s="11"/>
      <c r="N3813" s="22">
        <f t="shared" si="187"/>
        <v>0</v>
      </c>
      <c r="O3813" s="25">
        <f>0.052*M3813</f>
        <v>0</v>
      </c>
      <c r="P3813" s="26">
        <f>0.00056*M3813</f>
        <v>0</v>
      </c>
      <c r="Q3813" s="30"/>
      <c r="R3813" s="22" t="s">
        <v>13394</v>
      </c>
      <c r="S3813" s="22"/>
      <c r="T3813" s="21" t="str">
        <f>HYPERLINK("https://miland.ru/api/getInfo/image/d19dce3a-a033-11ef-a267-00155d82e908")</f>
        <v>https://miland.ru/api/getInfo/image/d19dce3a-a033-11ef-a267-00155d82e908</v>
      </c>
      <c r="U3813" s="21"/>
      <c r="V3813" s="21" t="s">
        <v>6525</v>
      </c>
      <c r="W3813" s="21" t="s">
        <v>378</v>
      </c>
      <c r="X3813" s="21"/>
      <c r="Y3813" s="21" t="s">
        <v>41</v>
      </c>
      <c r="Z3813" s="21"/>
      <c r="AA3813" s="21" t="str">
        <f>HYPERLINK("https://miland.ru/api/getInfo/item/d19dce3a-a033-11ef-a267-00155d82e908")</f>
        <v>https://miland.ru/api/getInfo/item/d19dce3a-a033-11ef-a267-00155d82e908</v>
      </c>
      <c r="AB3813" s="21" t="s">
        <v>42</v>
      </c>
      <c r="AC3813" s="21" t="s">
        <v>13179</v>
      </c>
      <c r="AD3813" s="21"/>
    </row>
    <row r="3814" spans="2:31" ht="12" customHeight="1" outlineLevel="5">
      <c r="B3814" s="70" t="s">
        <v>6556</v>
      </c>
      <c r="C3814" s="70"/>
      <c r="D3814" s="70"/>
      <c r="E3814" s="70"/>
      <c r="F3814" s="70"/>
      <c r="G3814" s="70"/>
    </row>
    <row r="3815" spans="2:31" ht="12" customHeight="1" outlineLevel="6">
      <c r="B3815" s="70" t="s">
        <v>384</v>
      </c>
      <c r="C3815" s="70"/>
      <c r="D3815" s="70"/>
      <c r="E3815" s="70"/>
      <c r="F3815" s="70"/>
      <c r="G3815" s="70"/>
    </row>
    <row r="3816" spans="2:31" s="1" customFormat="1" ht="96.3" customHeight="1" outlineLevel="7">
      <c r="B3816" s="59">
        <v>2998</v>
      </c>
      <c r="C3816" s="35" t="s">
        <v>13395</v>
      </c>
      <c r="D3816" s="73" t="s">
        <v>13396</v>
      </c>
      <c r="E3816" s="73"/>
      <c r="F3816" s="73"/>
      <c r="G3816" s="73"/>
      <c r="H3816" s="36" t="s">
        <v>13397</v>
      </c>
      <c r="I3816" s="56" t="s">
        <v>36</v>
      </c>
      <c r="J3816" s="36"/>
      <c r="K3816" s="34">
        <v>12</v>
      </c>
      <c r="L3816" s="41">
        <v>34.533333333333331</v>
      </c>
      <c r="M3816" s="11"/>
      <c r="N3816" s="36">
        <f t="shared" ref="N3816:N3879" si="188">L3816*M3816</f>
        <v>0</v>
      </c>
      <c r="O3816" s="42">
        <f>0.034*M3816</f>
        <v>0</v>
      </c>
      <c r="P3816" s="43">
        <f>0.00017*M3816</f>
        <v>0</v>
      </c>
      <c r="Q3816" s="50" t="s">
        <v>37</v>
      </c>
      <c r="R3816" s="36" t="s">
        <v>13398</v>
      </c>
      <c r="S3816" s="36"/>
      <c r="T3816" s="35" t="str">
        <f>HYPERLINK("https://miland.ru/api/getInfo/image/67baac01-7d93-11f0-a284-00155d82e908")</f>
        <v>https://miland.ru/api/getInfo/image/67baac01-7d93-11f0-a284-00155d82e908</v>
      </c>
      <c r="U3816" s="35"/>
      <c r="V3816" s="35" t="s">
        <v>6525</v>
      </c>
      <c r="W3816" s="35" t="s">
        <v>378</v>
      </c>
      <c r="X3816" s="35"/>
      <c r="Y3816" s="35" t="s">
        <v>41</v>
      </c>
      <c r="Z3816" s="35"/>
      <c r="AA3816" s="35" t="str">
        <f>HYPERLINK("https://miland.ru/api/getInfo/item/67baac01-7d93-11f0-a284-00155d82e908")</f>
        <v>https://miland.ru/api/getInfo/item/67baac01-7d93-11f0-a284-00155d82e908</v>
      </c>
      <c r="AB3816" s="35" t="s">
        <v>42</v>
      </c>
      <c r="AC3816" s="35"/>
      <c r="AD3816" s="35"/>
      <c r="AE3816" s="52" t="s">
        <v>1251</v>
      </c>
    </row>
    <row r="3817" spans="2:31" s="1" customFormat="1" ht="96.3" customHeight="1" outlineLevel="7">
      <c r="B3817" s="59">
        <v>2999</v>
      </c>
      <c r="C3817" s="35" t="s">
        <v>13399</v>
      </c>
      <c r="D3817" s="73" t="s">
        <v>13400</v>
      </c>
      <c r="E3817" s="73"/>
      <c r="F3817" s="73"/>
      <c r="G3817" s="73"/>
      <c r="H3817" s="36" t="s">
        <v>13401</v>
      </c>
      <c r="I3817" s="40">
        <v>204</v>
      </c>
      <c r="J3817" s="36"/>
      <c r="K3817" s="34">
        <v>12</v>
      </c>
      <c r="L3817" s="41">
        <v>29.213333333333335</v>
      </c>
      <c r="M3817" s="11"/>
      <c r="N3817" s="36">
        <f t="shared" si="188"/>
        <v>0</v>
      </c>
      <c r="O3817" s="42">
        <f t="shared" ref="O3817:O3830" si="189">0.024*M3817</f>
        <v>0</v>
      </c>
      <c r="P3817" s="43">
        <f t="shared" ref="P3817:P3830" si="190">0.00023*M3817</f>
        <v>0</v>
      </c>
      <c r="Q3817" s="50" t="s">
        <v>37</v>
      </c>
      <c r="R3817" s="36" t="s">
        <v>13402</v>
      </c>
      <c r="S3817" s="36"/>
      <c r="T3817" s="35" t="str">
        <f>HYPERLINK("https://miland.ru/api/getInfo/image/2081cdf2-58a5-11f0-a27f-00155d82e908")</f>
        <v>https://miland.ru/api/getInfo/image/2081cdf2-58a5-11f0-a27f-00155d82e908</v>
      </c>
      <c r="U3817" s="35"/>
      <c r="V3817" s="35"/>
      <c r="W3817" s="35" t="s">
        <v>378</v>
      </c>
      <c r="X3817" s="35"/>
      <c r="Y3817" s="35" t="s">
        <v>41</v>
      </c>
      <c r="Z3817" s="35"/>
      <c r="AA3817" s="35" t="str">
        <f>HYPERLINK("https://miland.ru/api/getInfo/item/2081cdf2-58a5-11f0-a27f-00155d82e908")</f>
        <v>https://miland.ru/api/getInfo/item/2081cdf2-58a5-11f0-a27f-00155d82e908</v>
      </c>
      <c r="AB3817" s="35" t="s">
        <v>42</v>
      </c>
      <c r="AC3817" s="35"/>
      <c r="AD3817" s="35"/>
      <c r="AE3817" s="52" t="s">
        <v>1251</v>
      </c>
    </row>
    <row r="3818" spans="2:31" s="1" customFormat="1" ht="96.3" customHeight="1" outlineLevel="7">
      <c r="B3818" s="59">
        <v>3000</v>
      </c>
      <c r="C3818" s="35" t="s">
        <v>13403</v>
      </c>
      <c r="D3818" s="73" t="s">
        <v>13404</v>
      </c>
      <c r="E3818" s="73"/>
      <c r="F3818" s="73"/>
      <c r="G3818" s="73"/>
      <c r="H3818" s="36" t="s">
        <v>13405</v>
      </c>
      <c r="I3818" s="56" t="s">
        <v>36</v>
      </c>
      <c r="J3818" s="36"/>
      <c r="K3818" s="34">
        <v>12</v>
      </c>
      <c r="L3818" s="41">
        <v>29.213333333333335</v>
      </c>
      <c r="M3818" s="11"/>
      <c r="N3818" s="36">
        <f t="shared" si="188"/>
        <v>0</v>
      </c>
      <c r="O3818" s="42">
        <f t="shared" si="189"/>
        <v>0</v>
      </c>
      <c r="P3818" s="43">
        <f t="shared" si="190"/>
        <v>0</v>
      </c>
      <c r="Q3818" s="50" t="s">
        <v>37</v>
      </c>
      <c r="R3818" s="36" t="s">
        <v>13406</v>
      </c>
      <c r="S3818" s="36"/>
      <c r="T3818" s="35" t="str">
        <f>HYPERLINK("https://miland.ru/api/getInfo/image/c4171fb0-58b2-11f0-a27f-00155d82e908")</f>
        <v>https://miland.ru/api/getInfo/image/c4171fb0-58b2-11f0-a27f-00155d82e908</v>
      </c>
      <c r="U3818" s="35"/>
      <c r="V3818" s="35"/>
      <c r="W3818" s="35" t="s">
        <v>378</v>
      </c>
      <c r="X3818" s="35"/>
      <c r="Y3818" s="35" t="s">
        <v>41</v>
      </c>
      <c r="Z3818" s="35"/>
      <c r="AA3818" s="35" t="str">
        <f>HYPERLINK("https://miland.ru/api/getInfo/item/c4171fb0-58b2-11f0-a27f-00155d82e908")</f>
        <v>https://miland.ru/api/getInfo/item/c4171fb0-58b2-11f0-a27f-00155d82e908</v>
      </c>
      <c r="AB3818" s="35" t="s">
        <v>42</v>
      </c>
      <c r="AC3818" s="35"/>
      <c r="AD3818" s="35"/>
      <c r="AE3818" s="52" t="s">
        <v>1251</v>
      </c>
    </row>
    <row r="3819" spans="2:31" s="1" customFormat="1" ht="96.3" customHeight="1" outlineLevel="7">
      <c r="B3819" s="59">
        <v>3001</v>
      </c>
      <c r="C3819" s="35" t="s">
        <v>13407</v>
      </c>
      <c r="D3819" s="73" t="s">
        <v>13408</v>
      </c>
      <c r="E3819" s="73"/>
      <c r="F3819" s="73"/>
      <c r="G3819" s="73"/>
      <c r="H3819" s="36" t="s">
        <v>13409</v>
      </c>
      <c r="I3819" s="40">
        <v>336</v>
      </c>
      <c r="J3819" s="36"/>
      <c r="K3819" s="34">
        <v>12</v>
      </c>
      <c r="L3819" s="41">
        <v>29.213333333333335</v>
      </c>
      <c r="M3819" s="11"/>
      <c r="N3819" s="36">
        <f t="shared" si="188"/>
        <v>0</v>
      </c>
      <c r="O3819" s="42">
        <f t="shared" si="189"/>
        <v>0</v>
      </c>
      <c r="P3819" s="43">
        <f t="shared" si="190"/>
        <v>0</v>
      </c>
      <c r="Q3819" s="50" t="s">
        <v>37</v>
      </c>
      <c r="R3819" s="36" t="s">
        <v>13410</v>
      </c>
      <c r="S3819" s="36"/>
      <c r="T3819" s="35" t="str">
        <f>HYPERLINK("https://miland.ru/api/getInfo/image/454956d2-58af-11f0-a27f-00155d82e908")</f>
        <v>https://miland.ru/api/getInfo/image/454956d2-58af-11f0-a27f-00155d82e908</v>
      </c>
      <c r="U3819" s="35"/>
      <c r="V3819" s="35"/>
      <c r="W3819" s="35" t="s">
        <v>378</v>
      </c>
      <c r="X3819" s="35"/>
      <c r="Y3819" s="35" t="s">
        <v>41</v>
      </c>
      <c r="Z3819" s="35"/>
      <c r="AA3819" s="35" t="str">
        <f>HYPERLINK("https://miland.ru/api/getInfo/item/454956d2-58af-11f0-a27f-00155d82e908")</f>
        <v>https://miland.ru/api/getInfo/item/454956d2-58af-11f0-a27f-00155d82e908</v>
      </c>
      <c r="AB3819" s="35" t="s">
        <v>42</v>
      </c>
      <c r="AC3819" s="35"/>
      <c r="AD3819" s="35"/>
      <c r="AE3819" s="52" t="s">
        <v>1251</v>
      </c>
    </row>
    <row r="3820" spans="2:31" s="1" customFormat="1" ht="96.3" customHeight="1" outlineLevel="7">
      <c r="B3820" s="59">
        <v>3002</v>
      </c>
      <c r="C3820" s="35" t="s">
        <v>13411</v>
      </c>
      <c r="D3820" s="73" t="s">
        <v>13412</v>
      </c>
      <c r="E3820" s="73"/>
      <c r="F3820" s="73"/>
      <c r="G3820" s="73"/>
      <c r="H3820" s="36" t="s">
        <v>13413</v>
      </c>
      <c r="I3820" s="56" t="s">
        <v>36</v>
      </c>
      <c r="J3820" s="36"/>
      <c r="K3820" s="34">
        <v>12</v>
      </c>
      <c r="L3820" s="41">
        <v>29.213333333333335</v>
      </c>
      <c r="M3820" s="11"/>
      <c r="N3820" s="36">
        <f t="shared" si="188"/>
        <v>0</v>
      </c>
      <c r="O3820" s="42">
        <f t="shared" si="189"/>
        <v>0</v>
      </c>
      <c r="P3820" s="43">
        <f t="shared" si="190"/>
        <v>0</v>
      </c>
      <c r="Q3820" s="50" t="s">
        <v>37</v>
      </c>
      <c r="R3820" s="36" t="s">
        <v>13414</v>
      </c>
      <c r="S3820" s="36"/>
      <c r="T3820" s="35" t="str">
        <f>HYPERLINK("https://miland.ru/api/getInfo/image/70149e52-58b0-11f0-a27f-00155d82e908")</f>
        <v>https://miland.ru/api/getInfo/image/70149e52-58b0-11f0-a27f-00155d82e908</v>
      </c>
      <c r="U3820" s="35"/>
      <c r="V3820" s="35"/>
      <c r="W3820" s="35" t="s">
        <v>378</v>
      </c>
      <c r="X3820" s="35"/>
      <c r="Y3820" s="35" t="s">
        <v>41</v>
      </c>
      <c r="Z3820" s="35"/>
      <c r="AA3820" s="35" t="str">
        <f>HYPERLINK("https://miland.ru/api/getInfo/item/70149e52-58b0-11f0-a27f-00155d82e908")</f>
        <v>https://miland.ru/api/getInfo/item/70149e52-58b0-11f0-a27f-00155d82e908</v>
      </c>
      <c r="AB3820" s="35" t="s">
        <v>42</v>
      </c>
      <c r="AC3820" s="35"/>
      <c r="AD3820" s="35"/>
      <c r="AE3820" s="52" t="s">
        <v>1251</v>
      </c>
    </row>
    <row r="3821" spans="2:31" s="1" customFormat="1" ht="96.3" customHeight="1" outlineLevel="7">
      <c r="B3821" s="59">
        <v>3003</v>
      </c>
      <c r="C3821" s="35" t="s">
        <v>13415</v>
      </c>
      <c r="D3821" s="73" t="s">
        <v>13416</v>
      </c>
      <c r="E3821" s="73"/>
      <c r="F3821" s="73"/>
      <c r="G3821" s="73"/>
      <c r="H3821" s="36" t="s">
        <v>13417</v>
      </c>
      <c r="I3821" s="56" t="s">
        <v>36</v>
      </c>
      <c r="J3821" s="36"/>
      <c r="K3821" s="34">
        <v>12</v>
      </c>
      <c r="L3821" s="41">
        <v>29.213333333333335</v>
      </c>
      <c r="M3821" s="11"/>
      <c r="N3821" s="36">
        <f t="shared" si="188"/>
        <v>0</v>
      </c>
      <c r="O3821" s="42">
        <f t="shared" si="189"/>
        <v>0</v>
      </c>
      <c r="P3821" s="43">
        <f t="shared" si="190"/>
        <v>0</v>
      </c>
      <c r="Q3821" s="50" t="s">
        <v>37</v>
      </c>
      <c r="R3821" s="36" t="s">
        <v>13418</v>
      </c>
      <c r="S3821" s="36"/>
      <c r="T3821" s="35" t="str">
        <f>HYPERLINK("https://miland.ru/api/getInfo/image/51eb5778-58b3-11f0-a27f-00155d82e908")</f>
        <v>https://miland.ru/api/getInfo/image/51eb5778-58b3-11f0-a27f-00155d82e908</v>
      </c>
      <c r="U3821" s="35"/>
      <c r="V3821" s="35"/>
      <c r="W3821" s="35" t="s">
        <v>378</v>
      </c>
      <c r="X3821" s="35"/>
      <c r="Y3821" s="35" t="s">
        <v>41</v>
      </c>
      <c r="Z3821" s="35"/>
      <c r="AA3821" s="35" t="str">
        <f>HYPERLINK("https://miland.ru/api/getInfo/item/51eb5778-58b3-11f0-a27f-00155d82e908")</f>
        <v>https://miland.ru/api/getInfo/item/51eb5778-58b3-11f0-a27f-00155d82e908</v>
      </c>
      <c r="AB3821" s="35" t="s">
        <v>42</v>
      </c>
      <c r="AC3821" s="35"/>
      <c r="AD3821" s="35"/>
      <c r="AE3821" s="52" t="s">
        <v>1251</v>
      </c>
    </row>
    <row r="3822" spans="2:31" s="1" customFormat="1" ht="96.3" customHeight="1" outlineLevel="7">
      <c r="B3822" s="59">
        <v>3004</v>
      </c>
      <c r="C3822" s="35" t="s">
        <v>13419</v>
      </c>
      <c r="D3822" s="73" t="s">
        <v>13420</v>
      </c>
      <c r="E3822" s="73"/>
      <c r="F3822" s="73"/>
      <c r="G3822" s="73"/>
      <c r="H3822" s="36" t="s">
        <v>13421</v>
      </c>
      <c r="I3822" s="56" t="s">
        <v>36</v>
      </c>
      <c r="J3822" s="36"/>
      <c r="K3822" s="34">
        <v>12</v>
      </c>
      <c r="L3822" s="41">
        <v>28</v>
      </c>
      <c r="M3822" s="11"/>
      <c r="N3822" s="36">
        <f t="shared" si="188"/>
        <v>0</v>
      </c>
      <c r="O3822" s="42">
        <f t="shared" si="189"/>
        <v>0</v>
      </c>
      <c r="P3822" s="43">
        <f t="shared" si="190"/>
        <v>0</v>
      </c>
      <c r="Q3822" s="50" t="s">
        <v>37</v>
      </c>
      <c r="R3822" s="36" t="s">
        <v>13422</v>
      </c>
      <c r="S3822" s="36"/>
      <c r="T3822" s="35" t="str">
        <f>HYPERLINK("https://miland.ru/api/getInfo/image/3602bd31-58a3-11f0-a27f-00155d82e908")</f>
        <v>https://miland.ru/api/getInfo/image/3602bd31-58a3-11f0-a27f-00155d82e908</v>
      </c>
      <c r="U3822" s="35"/>
      <c r="V3822" s="35"/>
      <c r="W3822" s="35" t="s">
        <v>378</v>
      </c>
      <c r="X3822" s="35"/>
      <c r="Y3822" s="35" t="s">
        <v>41</v>
      </c>
      <c r="Z3822" s="35"/>
      <c r="AA3822" s="35" t="str">
        <f>HYPERLINK("https://miland.ru/api/getInfo/item/3602bd31-58a3-11f0-a27f-00155d82e908")</f>
        <v>https://miland.ru/api/getInfo/item/3602bd31-58a3-11f0-a27f-00155d82e908</v>
      </c>
      <c r="AB3822" s="35" t="s">
        <v>42</v>
      </c>
      <c r="AC3822" s="35"/>
      <c r="AD3822" s="35"/>
      <c r="AE3822" s="52" t="s">
        <v>1251</v>
      </c>
    </row>
    <row r="3823" spans="2:31" s="1" customFormat="1" ht="96.3" customHeight="1" outlineLevel="7">
      <c r="B3823" s="59">
        <v>3005</v>
      </c>
      <c r="C3823" s="35" t="s">
        <v>13423</v>
      </c>
      <c r="D3823" s="73" t="s">
        <v>13424</v>
      </c>
      <c r="E3823" s="73"/>
      <c r="F3823" s="73"/>
      <c r="G3823" s="73"/>
      <c r="H3823" s="36" t="s">
        <v>13425</v>
      </c>
      <c r="I3823" s="40">
        <v>360</v>
      </c>
      <c r="J3823" s="36"/>
      <c r="K3823" s="34">
        <v>12</v>
      </c>
      <c r="L3823" s="41">
        <v>29.213333333333335</v>
      </c>
      <c r="M3823" s="11"/>
      <c r="N3823" s="36">
        <f t="shared" si="188"/>
        <v>0</v>
      </c>
      <c r="O3823" s="42">
        <f t="shared" si="189"/>
        <v>0</v>
      </c>
      <c r="P3823" s="43">
        <f t="shared" si="190"/>
        <v>0</v>
      </c>
      <c r="Q3823" s="50" t="s">
        <v>37</v>
      </c>
      <c r="R3823" s="36" t="s">
        <v>13426</v>
      </c>
      <c r="S3823" s="36"/>
      <c r="T3823" s="35" t="str">
        <f>HYPERLINK("https://miland.ru/api/getInfo/image/6a1104ed-58b2-11f0-a27f-00155d82e908")</f>
        <v>https://miland.ru/api/getInfo/image/6a1104ed-58b2-11f0-a27f-00155d82e908</v>
      </c>
      <c r="U3823" s="35"/>
      <c r="V3823" s="35"/>
      <c r="W3823" s="35" t="s">
        <v>378</v>
      </c>
      <c r="X3823" s="35"/>
      <c r="Y3823" s="35" t="s">
        <v>41</v>
      </c>
      <c r="Z3823" s="35"/>
      <c r="AA3823" s="35" t="str">
        <f>HYPERLINK("https://miland.ru/api/getInfo/item/6a1104ed-58b2-11f0-a27f-00155d82e908")</f>
        <v>https://miland.ru/api/getInfo/item/6a1104ed-58b2-11f0-a27f-00155d82e908</v>
      </c>
      <c r="AB3823" s="35" t="s">
        <v>42</v>
      </c>
      <c r="AC3823" s="35"/>
      <c r="AD3823" s="35"/>
      <c r="AE3823" s="52" t="s">
        <v>1251</v>
      </c>
    </row>
    <row r="3824" spans="2:31" s="1" customFormat="1" ht="96.3" customHeight="1" outlineLevel="7">
      <c r="B3824" s="59">
        <v>3006</v>
      </c>
      <c r="C3824" s="35" t="s">
        <v>13427</v>
      </c>
      <c r="D3824" s="73" t="s">
        <v>13428</v>
      </c>
      <c r="E3824" s="73"/>
      <c r="F3824" s="73"/>
      <c r="G3824" s="73"/>
      <c r="H3824" s="36" t="s">
        <v>13429</v>
      </c>
      <c r="I3824" s="40">
        <v>456</v>
      </c>
      <c r="J3824" s="36"/>
      <c r="K3824" s="34">
        <v>12</v>
      </c>
      <c r="L3824" s="41">
        <v>29.213333333333335</v>
      </c>
      <c r="M3824" s="11"/>
      <c r="N3824" s="36">
        <f t="shared" si="188"/>
        <v>0</v>
      </c>
      <c r="O3824" s="42">
        <f t="shared" si="189"/>
        <v>0</v>
      </c>
      <c r="P3824" s="43">
        <f t="shared" si="190"/>
        <v>0</v>
      </c>
      <c r="Q3824" s="50" t="s">
        <v>37</v>
      </c>
      <c r="R3824" s="36" t="s">
        <v>13430</v>
      </c>
      <c r="S3824" s="36"/>
      <c r="T3824" s="35" t="str">
        <f>HYPERLINK("https://miland.ru/api/getInfo/image/ac16cefa-58b0-11f0-a27f-00155d82e908")</f>
        <v>https://miland.ru/api/getInfo/image/ac16cefa-58b0-11f0-a27f-00155d82e908</v>
      </c>
      <c r="U3824" s="35"/>
      <c r="V3824" s="35"/>
      <c r="W3824" s="35" t="s">
        <v>378</v>
      </c>
      <c r="X3824" s="35"/>
      <c r="Y3824" s="35" t="s">
        <v>41</v>
      </c>
      <c r="Z3824" s="35"/>
      <c r="AA3824" s="35" t="str">
        <f>HYPERLINK("https://miland.ru/api/getInfo/item/ac16cefa-58b0-11f0-a27f-00155d82e908")</f>
        <v>https://miland.ru/api/getInfo/item/ac16cefa-58b0-11f0-a27f-00155d82e908</v>
      </c>
      <c r="AB3824" s="35" t="s">
        <v>42</v>
      </c>
      <c r="AC3824" s="35"/>
      <c r="AD3824" s="35"/>
      <c r="AE3824" s="52" t="s">
        <v>1251</v>
      </c>
    </row>
    <row r="3825" spans="2:31" s="1" customFormat="1" ht="96.3" customHeight="1" outlineLevel="7">
      <c r="B3825" s="59">
        <v>3007</v>
      </c>
      <c r="C3825" s="35" t="s">
        <v>13431</v>
      </c>
      <c r="D3825" s="73" t="s">
        <v>13432</v>
      </c>
      <c r="E3825" s="73"/>
      <c r="F3825" s="73"/>
      <c r="G3825" s="73"/>
      <c r="H3825" s="36" t="s">
        <v>13433</v>
      </c>
      <c r="I3825" s="40">
        <v>360</v>
      </c>
      <c r="J3825" s="36"/>
      <c r="K3825" s="34">
        <v>12</v>
      </c>
      <c r="L3825" s="41">
        <v>29.213333333333335</v>
      </c>
      <c r="M3825" s="11"/>
      <c r="N3825" s="36">
        <f t="shared" si="188"/>
        <v>0</v>
      </c>
      <c r="O3825" s="42">
        <f t="shared" si="189"/>
        <v>0</v>
      </c>
      <c r="P3825" s="43">
        <f t="shared" si="190"/>
        <v>0</v>
      </c>
      <c r="Q3825" s="50" t="s">
        <v>37</v>
      </c>
      <c r="R3825" s="36" t="s">
        <v>13434</v>
      </c>
      <c r="S3825" s="36"/>
      <c r="T3825" s="35" t="str">
        <f>HYPERLINK("https://miland.ru/api/getInfo/image/4d5d0800-58a5-11f0-a27f-00155d82e908")</f>
        <v>https://miland.ru/api/getInfo/image/4d5d0800-58a5-11f0-a27f-00155d82e908</v>
      </c>
      <c r="U3825" s="35"/>
      <c r="V3825" s="35"/>
      <c r="W3825" s="35" t="s">
        <v>378</v>
      </c>
      <c r="X3825" s="35"/>
      <c r="Y3825" s="35" t="s">
        <v>41</v>
      </c>
      <c r="Z3825" s="35"/>
      <c r="AA3825" s="35" t="str">
        <f>HYPERLINK("https://miland.ru/api/getInfo/item/4d5d0800-58a5-11f0-a27f-00155d82e908")</f>
        <v>https://miland.ru/api/getInfo/item/4d5d0800-58a5-11f0-a27f-00155d82e908</v>
      </c>
      <c r="AB3825" s="35" t="s">
        <v>42</v>
      </c>
      <c r="AC3825" s="35"/>
      <c r="AD3825" s="35"/>
      <c r="AE3825" s="52" t="s">
        <v>1251</v>
      </c>
    </row>
    <row r="3826" spans="2:31" s="1" customFormat="1" ht="96.3" customHeight="1" outlineLevel="7">
      <c r="B3826" s="59">
        <v>3008</v>
      </c>
      <c r="C3826" s="35" t="s">
        <v>13435</v>
      </c>
      <c r="D3826" s="73" t="s">
        <v>13436</v>
      </c>
      <c r="E3826" s="73"/>
      <c r="F3826" s="73"/>
      <c r="G3826" s="73"/>
      <c r="H3826" s="36" t="s">
        <v>13437</v>
      </c>
      <c r="I3826" s="40">
        <v>180</v>
      </c>
      <c r="J3826" s="36"/>
      <c r="K3826" s="34">
        <v>12</v>
      </c>
      <c r="L3826" s="41">
        <v>28</v>
      </c>
      <c r="M3826" s="11"/>
      <c r="N3826" s="36">
        <f t="shared" si="188"/>
        <v>0</v>
      </c>
      <c r="O3826" s="42">
        <f t="shared" si="189"/>
        <v>0</v>
      </c>
      <c r="P3826" s="43">
        <f t="shared" si="190"/>
        <v>0</v>
      </c>
      <c r="Q3826" s="50" t="s">
        <v>37</v>
      </c>
      <c r="R3826" s="36" t="s">
        <v>13438</v>
      </c>
      <c r="S3826" s="36"/>
      <c r="T3826" s="35" t="str">
        <f>HYPERLINK("https://miland.ru/api/getInfo/image/ea03a84a-58a3-11f0-a27f-00155d82e908")</f>
        <v>https://miland.ru/api/getInfo/image/ea03a84a-58a3-11f0-a27f-00155d82e908</v>
      </c>
      <c r="U3826" s="35"/>
      <c r="V3826" s="35"/>
      <c r="W3826" s="35" t="s">
        <v>378</v>
      </c>
      <c r="X3826" s="35"/>
      <c r="Y3826" s="35" t="s">
        <v>41</v>
      </c>
      <c r="Z3826" s="35"/>
      <c r="AA3826" s="35" t="str">
        <f>HYPERLINK("https://miland.ru/api/getInfo/item/ea03a84a-58a3-11f0-a27f-00155d82e908")</f>
        <v>https://miland.ru/api/getInfo/item/ea03a84a-58a3-11f0-a27f-00155d82e908</v>
      </c>
      <c r="AB3826" s="35" t="s">
        <v>42</v>
      </c>
      <c r="AC3826" s="35"/>
      <c r="AD3826" s="35"/>
      <c r="AE3826" s="52" t="s">
        <v>1251</v>
      </c>
    </row>
    <row r="3827" spans="2:31" s="1" customFormat="1" ht="96.3" customHeight="1" outlineLevel="7">
      <c r="B3827" s="59">
        <v>3009</v>
      </c>
      <c r="C3827" s="35" t="s">
        <v>13439</v>
      </c>
      <c r="D3827" s="73" t="s">
        <v>13440</v>
      </c>
      <c r="E3827" s="73"/>
      <c r="F3827" s="73"/>
      <c r="G3827" s="73"/>
      <c r="H3827" s="36" t="s">
        <v>13441</v>
      </c>
      <c r="I3827" s="56" t="s">
        <v>36</v>
      </c>
      <c r="J3827" s="36"/>
      <c r="K3827" s="34">
        <v>12</v>
      </c>
      <c r="L3827" s="41">
        <v>28</v>
      </c>
      <c r="M3827" s="11"/>
      <c r="N3827" s="36">
        <f t="shared" si="188"/>
        <v>0</v>
      </c>
      <c r="O3827" s="42">
        <f t="shared" si="189"/>
        <v>0</v>
      </c>
      <c r="P3827" s="43">
        <f t="shared" si="190"/>
        <v>0</v>
      </c>
      <c r="Q3827" s="50" t="s">
        <v>37</v>
      </c>
      <c r="R3827" s="36" t="s">
        <v>13442</v>
      </c>
      <c r="S3827" s="36"/>
      <c r="T3827" s="35" t="str">
        <f>HYPERLINK("https://miland.ru/api/getInfo/image/ef8aeafe-58a1-11f0-a27f-00155d82e908")</f>
        <v>https://miland.ru/api/getInfo/image/ef8aeafe-58a1-11f0-a27f-00155d82e908</v>
      </c>
      <c r="U3827" s="35"/>
      <c r="V3827" s="35"/>
      <c r="W3827" s="35" t="s">
        <v>378</v>
      </c>
      <c r="X3827" s="35"/>
      <c r="Y3827" s="35" t="s">
        <v>41</v>
      </c>
      <c r="Z3827" s="35"/>
      <c r="AA3827" s="35" t="str">
        <f>HYPERLINK("https://miland.ru/api/getInfo/item/ef8aeafe-58a1-11f0-a27f-00155d82e908")</f>
        <v>https://miland.ru/api/getInfo/item/ef8aeafe-58a1-11f0-a27f-00155d82e908</v>
      </c>
      <c r="AB3827" s="35" t="s">
        <v>42</v>
      </c>
      <c r="AC3827" s="35"/>
      <c r="AD3827" s="35"/>
      <c r="AE3827" s="52" t="s">
        <v>1251</v>
      </c>
    </row>
    <row r="3828" spans="2:31" s="1" customFormat="1" ht="96.3" customHeight="1" outlineLevel="7">
      <c r="B3828" s="59">
        <v>3010</v>
      </c>
      <c r="C3828" s="35" t="s">
        <v>13443</v>
      </c>
      <c r="D3828" s="73" t="s">
        <v>13444</v>
      </c>
      <c r="E3828" s="73"/>
      <c r="F3828" s="73"/>
      <c r="G3828" s="73"/>
      <c r="H3828" s="36" t="s">
        <v>13445</v>
      </c>
      <c r="I3828" s="40">
        <v>264</v>
      </c>
      <c r="J3828" s="36"/>
      <c r="K3828" s="34">
        <v>12</v>
      </c>
      <c r="L3828" s="41">
        <v>28</v>
      </c>
      <c r="M3828" s="11"/>
      <c r="N3828" s="36">
        <f t="shared" si="188"/>
        <v>0</v>
      </c>
      <c r="O3828" s="42">
        <f t="shared" si="189"/>
        <v>0</v>
      </c>
      <c r="P3828" s="43">
        <f t="shared" si="190"/>
        <v>0</v>
      </c>
      <c r="Q3828" s="50" t="s">
        <v>37</v>
      </c>
      <c r="R3828" s="36" t="s">
        <v>13446</v>
      </c>
      <c r="S3828" s="36"/>
      <c r="T3828" s="35" t="str">
        <f>HYPERLINK("https://miland.ru/api/getInfo/image/0d4a5319-58a3-11f0-a27f-00155d82e908")</f>
        <v>https://miland.ru/api/getInfo/image/0d4a5319-58a3-11f0-a27f-00155d82e908</v>
      </c>
      <c r="U3828" s="35"/>
      <c r="V3828" s="35"/>
      <c r="W3828" s="35" t="s">
        <v>378</v>
      </c>
      <c r="X3828" s="35"/>
      <c r="Y3828" s="35" t="s">
        <v>41</v>
      </c>
      <c r="Z3828" s="35"/>
      <c r="AA3828" s="35" t="str">
        <f>HYPERLINK("https://miland.ru/api/getInfo/item/0d4a5319-58a3-11f0-a27f-00155d82e908")</f>
        <v>https://miland.ru/api/getInfo/item/0d4a5319-58a3-11f0-a27f-00155d82e908</v>
      </c>
      <c r="AB3828" s="35" t="s">
        <v>42</v>
      </c>
      <c r="AC3828" s="35"/>
      <c r="AD3828" s="35"/>
      <c r="AE3828" s="52" t="s">
        <v>1251</v>
      </c>
    </row>
    <row r="3829" spans="2:31" s="1" customFormat="1" ht="96.3" customHeight="1" outlineLevel="7">
      <c r="B3829" s="59">
        <v>3011</v>
      </c>
      <c r="C3829" s="35" t="s">
        <v>13447</v>
      </c>
      <c r="D3829" s="73" t="s">
        <v>13448</v>
      </c>
      <c r="E3829" s="73"/>
      <c r="F3829" s="73"/>
      <c r="G3829" s="73"/>
      <c r="H3829" s="36" t="s">
        <v>13449</v>
      </c>
      <c r="I3829" s="40">
        <v>276</v>
      </c>
      <c r="J3829" s="36"/>
      <c r="K3829" s="34">
        <v>12</v>
      </c>
      <c r="L3829" s="41">
        <v>29.213333333333335</v>
      </c>
      <c r="M3829" s="11"/>
      <c r="N3829" s="36">
        <f t="shared" si="188"/>
        <v>0</v>
      </c>
      <c r="O3829" s="42">
        <f t="shared" si="189"/>
        <v>0</v>
      </c>
      <c r="P3829" s="43">
        <f t="shared" si="190"/>
        <v>0</v>
      </c>
      <c r="Q3829" s="50" t="s">
        <v>37</v>
      </c>
      <c r="R3829" s="36" t="s">
        <v>13450</v>
      </c>
      <c r="S3829" s="36"/>
      <c r="T3829" s="35" t="str">
        <f>HYPERLINK("https://miland.ru/api/getInfo/image/0e92e1e3-58b2-11f0-a27f-00155d82e908")</f>
        <v>https://miland.ru/api/getInfo/image/0e92e1e3-58b2-11f0-a27f-00155d82e908</v>
      </c>
      <c r="U3829" s="35"/>
      <c r="V3829" s="35"/>
      <c r="W3829" s="35" t="s">
        <v>378</v>
      </c>
      <c r="X3829" s="35"/>
      <c r="Y3829" s="35" t="s">
        <v>41</v>
      </c>
      <c r="Z3829" s="35"/>
      <c r="AA3829" s="35" t="str">
        <f>HYPERLINK("https://miland.ru/api/getInfo/item/0e92e1e3-58b2-11f0-a27f-00155d82e908")</f>
        <v>https://miland.ru/api/getInfo/item/0e92e1e3-58b2-11f0-a27f-00155d82e908</v>
      </c>
      <c r="AB3829" s="35" t="s">
        <v>42</v>
      </c>
      <c r="AC3829" s="35"/>
      <c r="AD3829" s="35"/>
      <c r="AE3829" s="52" t="s">
        <v>1251</v>
      </c>
    </row>
    <row r="3830" spans="2:31" s="1" customFormat="1" ht="96.3" customHeight="1" outlineLevel="7">
      <c r="B3830" s="59">
        <v>3012</v>
      </c>
      <c r="C3830" s="35" t="s">
        <v>13451</v>
      </c>
      <c r="D3830" s="73" t="s">
        <v>13452</v>
      </c>
      <c r="E3830" s="73"/>
      <c r="F3830" s="73"/>
      <c r="G3830" s="73"/>
      <c r="H3830" s="36" t="s">
        <v>13453</v>
      </c>
      <c r="I3830" s="56" t="s">
        <v>36</v>
      </c>
      <c r="J3830" s="36"/>
      <c r="K3830" s="34">
        <v>12</v>
      </c>
      <c r="L3830" s="41">
        <v>28</v>
      </c>
      <c r="M3830" s="11"/>
      <c r="N3830" s="36">
        <f t="shared" si="188"/>
        <v>0</v>
      </c>
      <c r="O3830" s="42">
        <f t="shared" si="189"/>
        <v>0</v>
      </c>
      <c r="P3830" s="43">
        <f t="shared" si="190"/>
        <v>0</v>
      </c>
      <c r="Q3830" s="50" t="s">
        <v>37</v>
      </c>
      <c r="R3830" s="36" t="s">
        <v>13454</v>
      </c>
      <c r="S3830" s="36"/>
      <c r="T3830" s="35" t="str">
        <f>HYPERLINK("https://miland.ru/api/getInfo/image/c1f8953b-58a1-11f0-a27f-00155d82e908")</f>
        <v>https://miland.ru/api/getInfo/image/c1f8953b-58a1-11f0-a27f-00155d82e908</v>
      </c>
      <c r="U3830" s="35"/>
      <c r="V3830" s="35"/>
      <c r="W3830" s="35" t="s">
        <v>378</v>
      </c>
      <c r="X3830" s="35"/>
      <c r="Y3830" s="35" t="s">
        <v>41</v>
      </c>
      <c r="Z3830" s="35"/>
      <c r="AA3830" s="35" t="str">
        <f>HYPERLINK("https://miland.ru/api/getInfo/item/c1f8953b-58a1-11f0-a27f-00155d82e908")</f>
        <v>https://miland.ru/api/getInfo/item/c1f8953b-58a1-11f0-a27f-00155d82e908</v>
      </c>
      <c r="AB3830" s="35" t="s">
        <v>42</v>
      </c>
      <c r="AC3830" s="35"/>
      <c r="AD3830" s="35"/>
      <c r="AE3830" s="52" t="s">
        <v>1251</v>
      </c>
    </row>
    <row r="3831" spans="2:31" s="1" customFormat="1" ht="96.3" customHeight="1" outlineLevel="7">
      <c r="B3831" s="59">
        <v>3013</v>
      </c>
      <c r="C3831" s="35" t="s">
        <v>13455</v>
      </c>
      <c r="D3831" s="73" t="s">
        <v>13456</v>
      </c>
      <c r="E3831" s="73"/>
      <c r="F3831" s="73"/>
      <c r="G3831" s="73"/>
      <c r="H3831" s="36" t="s">
        <v>13457</v>
      </c>
      <c r="I3831" s="40">
        <v>216</v>
      </c>
      <c r="J3831" s="36"/>
      <c r="K3831" s="34">
        <v>12</v>
      </c>
      <c r="L3831" s="41">
        <v>34.533333333333331</v>
      </c>
      <c r="M3831" s="11"/>
      <c r="N3831" s="36">
        <f t="shared" si="188"/>
        <v>0</v>
      </c>
      <c r="O3831" s="47">
        <f>0.03*M3831</f>
        <v>0</v>
      </c>
      <c r="P3831" s="43">
        <f>0.00008*M3831</f>
        <v>0</v>
      </c>
      <c r="Q3831" s="50"/>
      <c r="R3831" s="36" t="s">
        <v>13458</v>
      </c>
      <c r="S3831" s="36" t="s">
        <v>435</v>
      </c>
      <c r="T3831" s="35" t="str">
        <f>HYPERLINK("https://miland.ru/api/getInfo/image/b5be7a9a-0313-11ef-a25d-00155d82e908")</f>
        <v>https://miland.ru/api/getInfo/image/b5be7a9a-0313-11ef-a25d-00155d82e908</v>
      </c>
      <c r="U3831" s="35"/>
      <c r="V3831" s="35" t="s">
        <v>6525</v>
      </c>
      <c r="W3831" s="35" t="s">
        <v>378</v>
      </c>
      <c r="X3831" s="35"/>
      <c r="Y3831" s="35" t="s">
        <v>41</v>
      </c>
      <c r="Z3831" s="35"/>
      <c r="AA3831" s="35" t="str">
        <f>HYPERLINK("https://miland.ru/api/getInfo/item/b5be7a9a-0313-11ef-a25d-00155d82e908")</f>
        <v>https://miland.ru/api/getInfo/item/b5be7a9a-0313-11ef-a25d-00155d82e908</v>
      </c>
      <c r="AB3831" s="35" t="s">
        <v>42</v>
      </c>
      <c r="AC3831" s="35" t="s">
        <v>7162</v>
      </c>
      <c r="AD3831" s="35"/>
      <c r="AE3831" s="52" t="s">
        <v>1251</v>
      </c>
    </row>
    <row r="3832" spans="2:31" s="1" customFormat="1" ht="96.3" customHeight="1" outlineLevel="7">
      <c r="B3832" s="59">
        <v>3014</v>
      </c>
      <c r="C3832" s="35" t="s">
        <v>13459</v>
      </c>
      <c r="D3832" s="73" t="s">
        <v>13460</v>
      </c>
      <c r="E3832" s="73"/>
      <c r="F3832" s="73"/>
      <c r="G3832" s="73"/>
      <c r="H3832" s="36" t="s">
        <v>13461</v>
      </c>
      <c r="I3832" s="56" t="s">
        <v>36</v>
      </c>
      <c r="J3832" s="36"/>
      <c r="K3832" s="34">
        <v>12</v>
      </c>
      <c r="L3832" s="41">
        <v>34.533333333333331</v>
      </c>
      <c r="M3832" s="11"/>
      <c r="N3832" s="36">
        <f t="shared" si="188"/>
        <v>0</v>
      </c>
      <c r="O3832" s="42">
        <f>0.034*M3832</f>
        <v>0</v>
      </c>
      <c r="P3832" s="43">
        <f>0.00014*M3832</f>
        <v>0</v>
      </c>
      <c r="Q3832" s="50"/>
      <c r="R3832" s="36" t="s">
        <v>13462</v>
      </c>
      <c r="S3832" s="36" t="s">
        <v>435</v>
      </c>
      <c r="T3832" s="35" t="str">
        <f>HYPERLINK("https://miland.ru/api/getInfo/image/472df9d1-0394-11ef-a25d-00155d82e908")</f>
        <v>https://miland.ru/api/getInfo/image/472df9d1-0394-11ef-a25d-00155d82e908</v>
      </c>
      <c r="U3832" s="35"/>
      <c r="V3832" s="35" t="s">
        <v>6525</v>
      </c>
      <c r="W3832" s="35" t="s">
        <v>378</v>
      </c>
      <c r="X3832" s="35"/>
      <c r="Y3832" s="35" t="s">
        <v>41</v>
      </c>
      <c r="Z3832" s="35"/>
      <c r="AA3832" s="35" t="str">
        <f>HYPERLINK("https://miland.ru/api/getInfo/item/472df9d1-0394-11ef-a25d-00155d82e908")</f>
        <v>https://miland.ru/api/getInfo/item/472df9d1-0394-11ef-a25d-00155d82e908</v>
      </c>
      <c r="AB3832" s="35" t="s">
        <v>42</v>
      </c>
      <c r="AC3832" s="35" t="s">
        <v>7162</v>
      </c>
      <c r="AD3832" s="35"/>
      <c r="AE3832" s="52" t="s">
        <v>1251</v>
      </c>
    </row>
    <row r="3833" spans="2:31" s="1" customFormat="1" ht="96.3" customHeight="1" outlineLevel="7">
      <c r="B3833" s="59">
        <v>3015</v>
      </c>
      <c r="C3833" s="35" t="s">
        <v>13463</v>
      </c>
      <c r="D3833" s="73" t="s">
        <v>13464</v>
      </c>
      <c r="E3833" s="73"/>
      <c r="F3833" s="73"/>
      <c r="G3833" s="73"/>
      <c r="H3833" s="36" t="s">
        <v>13465</v>
      </c>
      <c r="I3833" s="56" t="s">
        <v>36</v>
      </c>
      <c r="J3833" s="36"/>
      <c r="K3833" s="34">
        <v>12</v>
      </c>
      <c r="L3833" s="41">
        <v>34.533333333333331</v>
      </c>
      <c r="M3833" s="11"/>
      <c r="N3833" s="36">
        <f t="shared" si="188"/>
        <v>0</v>
      </c>
      <c r="O3833" s="42">
        <f>0.034*M3833</f>
        <v>0</v>
      </c>
      <c r="P3833" s="43">
        <f>0.00017*M3833</f>
        <v>0</v>
      </c>
      <c r="Q3833" s="50" t="s">
        <v>37</v>
      </c>
      <c r="R3833" s="36" t="s">
        <v>13466</v>
      </c>
      <c r="S3833" s="36"/>
      <c r="T3833" s="35" t="str">
        <f>HYPERLINK("https://miland.ru/api/getInfo/image/e5ea104e-9de0-11f0-a285-00155d82e908")</f>
        <v>https://miland.ru/api/getInfo/image/e5ea104e-9de0-11f0-a285-00155d82e908</v>
      </c>
      <c r="U3833" s="35"/>
      <c r="V3833" s="35" t="s">
        <v>6525</v>
      </c>
      <c r="W3833" s="35" t="s">
        <v>378</v>
      </c>
      <c r="X3833" s="35"/>
      <c r="Y3833" s="35" t="s">
        <v>41</v>
      </c>
      <c r="Z3833" s="35"/>
      <c r="AA3833" s="35" t="str">
        <f>HYPERLINK("https://miland.ru/api/getInfo/item/e5ea104e-9de0-11f0-a285-00155d82e908")</f>
        <v>https://miland.ru/api/getInfo/item/e5ea104e-9de0-11f0-a285-00155d82e908</v>
      </c>
      <c r="AB3833" s="35" t="s">
        <v>42</v>
      </c>
      <c r="AC3833" s="35"/>
      <c r="AD3833" s="35"/>
      <c r="AE3833" s="52" t="s">
        <v>1251</v>
      </c>
    </row>
    <row r="3834" spans="2:31" s="1" customFormat="1" ht="96.3" customHeight="1" outlineLevel="7">
      <c r="B3834" s="59">
        <v>3016</v>
      </c>
      <c r="C3834" s="35" t="s">
        <v>13467</v>
      </c>
      <c r="D3834" s="73" t="s">
        <v>13468</v>
      </c>
      <c r="E3834" s="73"/>
      <c r="F3834" s="73"/>
      <c r="G3834" s="73"/>
      <c r="H3834" s="36" t="s">
        <v>13469</v>
      </c>
      <c r="I3834" s="56" t="s">
        <v>36</v>
      </c>
      <c r="J3834" s="36"/>
      <c r="K3834" s="34">
        <v>12</v>
      </c>
      <c r="L3834" s="41">
        <v>34.533333333333331</v>
      </c>
      <c r="M3834" s="11"/>
      <c r="N3834" s="36">
        <f t="shared" si="188"/>
        <v>0</v>
      </c>
      <c r="O3834" s="47">
        <f>0.03*M3834</f>
        <v>0</v>
      </c>
      <c r="P3834" s="43">
        <f>0.00008*M3834</f>
        <v>0</v>
      </c>
      <c r="Q3834" s="50"/>
      <c r="R3834" s="36" t="s">
        <v>13470</v>
      </c>
      <c r="S3834" s="36" t="s">
        <v>435</v>
      </c>
      <c r="T3834" s="35" t="str">
        <f>HYPERLINK("https://miland.ru/api/getInfo/image/13f27c55-0394-11ef-a25d-00155d82e908")</f>
        <v>https://miland.ru/api/getInfo/image/13f27c55-0394-11ef-a25d-00155d82e908</v>
      </c>
      <c r="U3834" s="35"/>
      <c r="V3834" s="35" t="s">
        <v>6525</v>
      </c>
      <c r="W3834" s="35" t="s">
        <v>378</v>
      </c>
      <c r="X3834" s="35"/>
      <c r="Y3834" s="35" t="s">
        <v>41</v>
      </c>
      <c r="Z3834" s="35"/>
      <c r="AA3834" s="35" t="str">
        <f>HYPERLINK("https://miland.ru/api/getInfo/item/13f27c55-0394-11ef-a25d-00155d82e908")</f>
        <v>https://miland.ru/api/getInfo/item/13f27c55-0394-11ef-a25d-00155d82e908</v>
      </c>
      <c r="AB3834" s="35" t="s">
        <v>42</v>
      </c>
      <c r="AC3834" s="35" t="s">
        <v>7162</v>
      </c>
      <c r="AD3834" s="35"/>
      <c r="AE3834" s="52" t="s">
        <v>1251</v>
      </c>
    </row>
    <row r="3835" spans="2:31" s="1" customFormat="1" ht="96.3" customHeight="1" outlineLevel="7">
      <c r="B3835" s="59">
        <v>3017</v>
      </c>
      <c r="C3835" s="35" t="s">
        <v>13471</v>
      </c>
      <c r="D3835" s="73" t="s">
        <v>13472</v>
      </c>
      <c r="E3835" s="73"/>
      <c r="F3835" s="73"/>
      <c r="G3835" s="73"/>
      <c r="H3835" s="36" t="s">
        <v>13473</v>
      </c>
      <c r="I3835" s="56" t="s">
        <v>36</v>
      </c>
      <c r="J3835" s="36"/>
      <c r="K3835" s="34">
        <v>12</v>
      </c>
      <c r="L3835" s="41">
        <v>34.533333333333331</v>
      </c>
      <c r="M3835" s="11"/>
      <c r="N3835" s="36">
        <f t="shared" si="188"/>
        <v>0</v>
      </c>
      <c r="O3835" s="61">
        <f>9.1*M3835</f>
        <v>0</v>
      </c>
      <c r="P3835" s="43">
        <f>0.00017*M3835</f>
        <v>0</v>
      </c>
      <c r="Q3835" s="50" t="s">
        <v>37</v>
      </c>
      <c r="R3835" s="36" t="s">
        <v>13474</v>
      </c>
      <c r="S3835" s="36"/>
      <c r="T3835" s="35" t="str">
        <f>HYPERLINK("https://miland.ru/api/getInfo/image/76973a2e-9dde-11f0-a285-00155d82e908")</f>
        <v>https://miland.ru/api/getInfo/image/76973a2e-9dde-11f0-a285-00155d82e908</v>
      </c>
      <c r="U3835" s="35"/>
      <c r="V3835" s="35" t="s">
        <v>6525</v>
      </c>
      <c r="W3835" s="35" t="s">
        <v>378</v>
      </c>
      <c r="X3835" s="35"/>
      <c r="Y3835" s="35" t="s">
        <v>41</v>
      </c>
      <c r="Z3835" s="35"/>
      <c r="AA3835" s="35" t="str">
        <f>HYPERLINK("https://miland.ru/api/getInfo/item/76973a2e-9dde-11f0-a285-00155d82e908")</f>
        <v>https://miland.ru/api/getInfo/item/76973a2e-9dde-11f0-a285-00155d82e908</v>
      </c>
      <c r="AB3835" s="35" t="s">
        <v>42</v>
      </c>
      <c r="AC3835" s="35"/>
      <c r="AD3835" s="35"/>
      <c r="AE3835" s="52" t="s">
        <v>1251</v>
      </c>
    </row>
    <row r="3836" spans="2:31" s="1" customFormat="1" ht="96.3" customHeight="1" outlineLevel="7">
      <c r="B3836" s="59">
        <v>3018</v>
      </c>
      <c r="C3836" s="35" t="s">
        <v>13475</v>
      </c>
      <c r="D3836" s="73" t="s">
        <v>13476</v>
      </c>
      <c r="E3836" s="73"/>
      <c r="F3836" s="73"/>
      <c r="G3836" s="73"/>
      <c r="H3836" s="36" t="s">
        <v>13477</v>
      </c>
      <c r="I3836" s="56" t="s">
        <v>36</v>
      </c>
      <c r="J3836" s="36"/>
      <c r="K3836" s="34">
        <v>12</v>
      </c>
      <c r="L3836" s="41">
        <v>34.533333333333331</v>
      </c>
      <c r="M3836" s="11"/>
      <c r="N3836" s="36">
        <f t="shared" si="188"/>
        <v>0</v>
      </c>
      <c r="O3836" s="42">
        <f>0.032*M3836</f>
        <v>0</v>
      </c>
      <c r="P3836" s="43">
        <f>0.00017*M3836</f>
        <v>0</v>
      </c>
      <c r="Q3836" s="50" t="s">
        <v>37</v>
      </c>
      <c r="R3836" s="36" t="s">
        <v>13478</v>
      </c>
      <c r="S3836" s="36"/>
      <c r="T3836" s="35" t="str">
        <f>HYPERLINK("https://miland.ru/api/getInfo/image/c11d49f5-9de0-11f0-a285-00155d82e908")</f>
        <v>https://miland.ru/api/getInfo/image/c11d49f5-9de0-11f0-a285-00155d82e908</v>
      </c>
      <c r="U3836" s="35"/>
      <c r="V3836" s="35" t="s">
        <v>6525</v>
      </c>
      <c r="W3836" s="35" t="s">
        <v>378</v>
      </c>
      <c r="X3836" s="35"/>
      <c r="Y3836" s="35" t="s">
        <v>41</v>
      </c>
      <c r="Z3836" s="35"/>
      <c r="AA3836" s="35" t="str">
        <f>HYPERLINK("https://miland.ru/api/getInfo/item/c11d49f5-9de0-11f0-a285-00155d82e908")</f>
        <v>https://miland.ru/api/getInfo/item/c11d49f5-9de0-11f0-a285-00155d82e908</v>
      </c>
      <c r="AB3836" s="35" t="s">
        <v>42</v>
      </c>
      <c r="AC3836" s="35"/>
      <c r="AD3836" s="35"/>
      <c r="AE3836" s="52" t="s">
        <v>1251</v>
      </c>
    </row>
    <row r="3837" spans="2:31" s="1" customFormat="1" ht="96.3" customHeight="1" outlineLevel="7">
      <c r="B3837" s="59">
        <v>3019</v>
      </c>
      <c r="C3837" s="35" t="s">
        <v>13479</v>
      </c>
      <c r="D3837" s="73" t="s">
        <v>13480</v>
      </c>
      <c r="E3837" s="73"/>
      <c r="F3837" s="73"/>
      <c r="G3837" s="73"/>
      <c r="H3837" s="36" t="s">
        <v>13481</v>
      </c>
      <c r="I3837" s="56" t="s">
        <v>36</v>
      </c>
      <c r="J3837" s="36"/>
      <c r="K3837" s="34">
        <v>12</v>
      </c>
      <c r="L3837" s="41">
        <v>34.533333333333331</v>
      </c>
      <c r="M3837" s="11"/>
      <c r="N3837" s="36">
        <f t="shared" si="188"/>
        <v>0</v>
      </c>
      <c r="O3837" s="47">
        <f>0.03*M3837</f>
        <v>0</v>
      </c>
      <c r="P3837" s="43">
        <f>0.00008*M3837</f>
        <v>0</v>
      </c>
      <c r="Q3837" s="50"/>
      <c r="R3837" s="36" t="s">
        <v>13482</v>
      </c>
      <c r="S3837" s="36" t="s">
        <v>435</v>
      </c>
      <c r="T3837" s="35" t="str">
        <f>HYPERLINK("https://miland.ru/api/getInfo/image/2d80bbd4-0394-11ef-a25d-00155d82e908")</f>
        <v>https://miland.ru/api/getInfo/image/2d80bbd4-0394-11ef-a25d-00155d82e908</v>
      </c>
      <c r="U3837" s="35"/>
      <c r="V3837" s="35" t="s">
        <v>6525</v>
      </c>
      <c r="W3837" s="35" t="s">
        <v>378</v>
      </c>
      <c r="X3837" s="35"/>
      <c r="Y3837" s="35" t="s">
        <v>41</v>
      </c>
      <c r="Z3837" s="35"/>
      <c r="AA3837" s="35" t="str">
        <f>HYPERLINK("https://miland.ru/api/getInfo/item/2d80bbd4-0394-11ef-a25d-00155d82e908")</f>
        <v>https://miland.ru/api/getInfo/item/2d80bbd4-0394-11ef-a25d-00155d82e908</v>
      </c>
      <c r="AB3837" s="35" t="s">
        <v>42</v>
      </c>
      <c r="AC3837" s="35" t="s">
        <v>7162</v>
      </c>
      <c r="AD3837" s="35"/>
      <c r="AE3837" s="52" t="s">
        <v>1251</v>
      </c>
    </row>
    <row r="3838" spans="2:31" s="1" customFormat="1" ht="96.3" customHeight="1" outlineLevel="7">
      <c r="B3838" s="59">
        <v>3020</v>
      </c>
      <c r="C3838" s="35" t="s">
        <v>13483</v>
      </c>
      <c r="D3838" s="73" t="s">
        <v>13484</v>
      </c>
      <c r="E3838" s="73"/>
      <c r="F3838" s="73"/>
      <c r="G3838" s="73"/>
      <c r="H3838" s="36" t="s">
        <v>13485</v>
      </c>
      <c r="I3838" s="56" t="s">
        <v>36</v>
      </c>
      <c r="J3838" s="36"/>
      <c r="K3838" s="34">
        <v>12</v>
      </c>
      <c r="L3838" s="41">
        <v>34.533333333333331</v>
      </c>
      <c r="M3838" s="11"/>
      <c r="N3838" s="36">
        <f t="shared" si="188"/>
        <v>0</v>
      </c>
      <c r="O3838" s="42">
        <f>0.032*M3838</f>
        <v>0</v>
      </c>
      <c r="P3838" s="43">
        <f>0.00012*M3838</f>
        <v>0</v>
      </c>
      <c r="Q3838" s="50" t="s">
        <v>37</v>
      </c>
      <c r="R3838" s="36" t="s">
        <v>13486</v>
      </c>
      <c r="S3838" s="36"/>
      <c r="T3838" s="35" t="str">
        <f>HYPERLINK("https://miland.ru/api/getInfo/image/d6a5c79e-9ddf-11f0-a285-00155d82e908")</f>
        <v>https://miland.ru/api/getInfo/image/d6a5c79e-9ddf-11f0-a285-00155d82e908</v>
      </c>
      <c r="U3838" s="35"/>
      <c r="V3838" s="35" t="s">
        <v>6525</v>
      </c>
      <c r="W3838" s="35" t="s">
        <v>378</v>
      </c>
      <c r="X3838" s="35"/>
      <c r="Y3838" s="35" t="s">
        <v>41</v>
      </c>
      <c r="Z3838" s="35"/>
      <c r="AA3838" s="35" t="str">
        <f>HYPERLINK("https://miland.ru/api/getInfo/item/d6a5c79e-9ddf-11f0-a285-00155d82e908")</f>
        <v>https://miland.ru/api/getInfo/item/d6a5c79e-9ddf-11f0-a285-00155d82e908</v>
      </c>
      <c r="AB3838" s="35" t="s">
        <v>42</v>
      </c>
      <c r="AC3838" s="35"/>
      <c r="AD3838" s="35"/>
      <c r="AE3838" s="52" t="s">
        <v>1251</v>
      </c>
    </row>
    <row r="3839" spans="2:31" s="1" customFormat="1" ht="96.3" customHeight="1" outlineLevel="7">
      <c r="B3839" s="59">
        <v>3021</v>
      </c>
      <c r="C3839" s="35" t="s">
        <v>13487</v>
      </c>
      <c r="D3839" s="73" t="s">
        <v>13488</v>
      </c>
      <c r="E3839" s="73"/>
      <c r="F3839" s="73"/>
      <c r="G3839" s="73"/>
      <c r="H3839" s="36" t="s">
        <v>13489</v>
      </c>
      <c r="I3839" s="40">
        <v>180</v>
      </c>
      <c r="J3839" s="36"/>
      <c r="K3839" s="34">
        <v>12</v>
      </c>
      <c r="L3839" s="41">
        <v>34.533333333333331</v>
      </c>
      <c r="M3839" s="11"/>
      <c r="N3839" s="36">
        <f t="shared" si="188"/>
        <v>0</v>
      </c>
      <c r="O3839" s="47">
        <f>0.03*M3839</f>
        <v>0</v>
      </c>
      <c r="P3839" s="43">
        <f>0.00008*M3839</f>
        <v>0</v>
      </c>
      <c r="Q3839" s="50"/>
      <c r="R3839" s="36" t="s">
        <v>13490</v>
      </c>
      <c r="S3839" s="36" t="s">
        <v>435</v>
      </c>
      <c r="T3839" s="35" t="str">
        <f>HYPERLINK("https://miland.ru/api/getInfo/image/5825429b-0313-11ef-a25d-00155d82e908")</f>
        <v>https://miland.ru/api/getInfo/image/5825429b-0313-11ef-a25d-00155d82e908</v>
      </c>
      <c r="U3839" s="35"/>
      <c r="V3839" s="35" t="s">
        <v>6525</v>
      </c>
      <c r="W3839" s="35" t="s">
        <v>378</v>
      </c>
      <c r="X3839" s="35"/>
      <c r="Y3839" s="35" t="s">
        <v>41</v>
      </c>
      <c r="Z3839" s="35"/>
      <c r="AA3839" s="35" t="str">
        <f>HYPERLINK("https://miland.ru/api/getInfo/item/5825429b-0313-11ef-a25d-00155d82e908")</f>
        <v>https://miland.ru/api/getInfo/item/5825429b-0313-11ef-a25d-00155d82e908</v>
      </c>
      <c r="AB3839" s="35" t="s">
        <v>42</v>
      </c>
      <c r="AC3839" s="35" t="s">
        <v>7162</v>
      </c>
      <c r="AD3839" s="35"/>
      <c r="AE3839" s="52" t="s">
        <v>1251</v>
      </c>
    </row>
    <row r="3840" spans="2:31" s="1" customFormat="1" ht="96.3" customHeight="1" outlineLevel="7">
      <c r="B3840" s="59">
        <v>3022</v>
      </c>
      <c r="C3840" s="35" t="s">
        <v>13491</v>
      </c>
      <c r="D3840" s="73" t="s">
        <v>13492</v>
      </c>
      <c r="E3840" s="73"/>
      <c r="F3840" s="73"/>
      <c r="G3840" s="73"/>
      <c r="H3840" s="36" t="s">
        <v>13493</v>
      </c>
      <c r="I3840" s="56" t="s">
        <v>36</v>
      </c>
      <c r="J3840" s="36"/>
      <c r="K3840" s="34">
        <v>12</v>
      </c>
      <c r="L3840" s="41">
        <v>34.533333333333331</v>
      </c>
      <c r="M3840" s="11"/>
      <c r="N3840" s="36">
        <f t="shared" si="188"/>
        <v>0</v>
      </c>
      <c r="O3840" s="42">
        <f>0.032*M3840</f>
        <v>0</v>
      </c>
      <c r="P3840" s="43">
        <f>0.00012*M3840</f>
        <v>0</v>
      </c>
      <c r="Q3840" s="50" t="s">
        <v>37</v>
      </c>
      <c r="R3840" s="36" t="s">
        <v>13494</v>
      </c>
      <c r="S3840" s="36"/>
      <c r="T3840" s="35" t="str">
        <f>HYPERLINK("https://miland.ru/api/getInfo/image/f2fcec04-9ddf-11f0-a285-00155d82e908")</f>
        <v>https://miland.ru/api/getInfo/image/f2fcec04-9ddf-11f0-a285-00155d82e908</v>
      </c>
      <c r="U3840" s="35"/>
      <c r="V3840" s="35" t="s">
        <v>6525</v>
      </c>
      <c r="W3840" s="35" t="s">
        <v>378</v>
      </c>
      <c r="X3840" s="35"/>
      <c r="Y3840" s="35" t="s">
        <v>41</v>
      </c>
      <c r="Z3840" s="35"/>
      <c r="AA3840" s="35" t="str">
        <f>HYPERLINK("https://miland.ru/api/getInfo/item/f2fcec04-9ddf-11f0-a285-00155d82e908")</f>
        <v>https://miland.ru/api/getInfo/item/f2fcec04-9ddf-11f0-a285-00155d82e908</v>
      </c>
      <c r="AB3840" s="35" t="s">
        <v>42</v>
      </c>
      <c r="AC3840" s="35"/>
      <c r="AD3840" s="35"/>
      <c r="AE3840" s="52" t="s">
        <v>1251</v>
      </c>
    </row>
    <row r="3841" spans="2:31" s="1" customFormat="1" ht="96.3" customHeight="1" outlineLevel="7">
      <c r="B3841" s="59">
        <v>3023</v>
      </c>
      <c r="C3841" s="35" t="s">
        <v>13495</v>
      </c>
      <c r="D3841" s="73" t="s">
        <v>13496</v>
      </c>
      <c r="E3841" s="73"/>
      <c r="F3841" s="73"/>
      <c r="G3841" s="73"/>
      <c r="H3841" s="36" t="s">
        <v>13497</v>
      </c>
      <c r="I3841" s="56" t="s">
        <v>36</v>
      </c>
      <c r="J3841" s="36"/>
      <c r="K3841" s="34">
        <v>12</v>
      </c>
      <c r="L3841" s="41">
        <v>34.533333333333331</v>
      </c>
      <c r="M3841" s="11"/>
      <c r="N3841" s="36">
        <f t="shared" si="188"/>
        <v>0</v>
      </c>
      <c r="O3841" s="42">
        <f>0.032*M3841</f>
        <v>0</v>
      </c>
      <c r="P3841" s="43">
        <f>0.00017*M3841</f>
        <v>0</v>
      </c>
      <c r="Q3841" s="50" t="s">
        <v>37</v>
      </c>
      <c r="R3841" s="36" t="s">
        <v>13498</v>
      </c>
      <c r="S3841" s="36"/>
      <c r="T3841" s="35" t="str">
        <f>HYPERLINK("https://miland.ru/api/getInfo/image/5f2522d9-9ddf-11f0-a285-00155d82e908")</f>
        <v>https://miland.ru/api/getInfo/image/5f2522d9-9ddf-11f0-a285-00155d82e908</v>
      </c>
      <c r="U3841" s="35"/>
      <c r="V3841" s="35" t="s">
        <v>6525</v>
      </c>
      <c r="W3841" s="35" t="s">
        <v>378</v>
      </c>
      <c r="X3841" s="35"/>
      <c r="Y3841" s="35" t="s">
        <v>41</v>
      </c>
      <c r="Z3841" s="35"/>
      <c r="AA3841" s="35" t="str">
        <f>HYPERLINK("https://miland.ru/api/getInfo/item/5f2522d9-9ddf-11f0-a285-00155d82e908")</f>
        <v>https://miland.ru/api/getInfo/item/5f2522d9-9ddf-11f0-a285-00155d82e908</v>
      </c>
      <c r="AB3841" s="35" t="s">
        <v>42</v>
      </c>
      <c r="AC3841" s="35"/>
      <c r="AD3841" s="35"/>
      <c r="AE3841" s="52" t="s">
        <v>1251</v>
      </c>
    </row>
    <row r="3842" spans="2:31" s="1" customFormat="1" ht="96.3" customHeight="1" outlineLevel="7">
      <c r="B3842" s="59">
        <v>3024</v>
      </c>
      <c r="C3842" s="35" t="s">
        <v>13499</v>
      </c>
      <c r="D3842" s="73" t="s">
        <v>13500</v>
      </c>
      <c r="E3842" s="73"/>
      <c r="F3842" s="73"/>
      <c r="G3842" s="73"/>
      <c r="H3842" s="36" t="s">
        <v>13501</v>
      </c>
      <c r="I3842" s="56" t="s">
        <v>36</v>
      </c>
      <c r="J3842" s="36"/>
      <c r="K3842" s="34">
        <v>12</v>
      </c>
      <c r="L3842" s="41">
        <v>34.533333333333331</v>
      </c>
      <c r="M3842" s="11"/>
      <c r="N3842" s="36">
        <f t="shared" si="188"/>
        <v>0</v>
      </c>
      <c r="O3842" s="47">
        <f>0.03*M3842</f>
        <v>0</v>
      </c>
      <c r="P3842" s="43">
        <f>0.00008*M3842</f>
        <v>0</v>
      </c>
      <c r="Q3842" s="50"/>
      <c r="R3842" s="36" t="s">
        <v>13502</v>
      </c>
      <c r="S3842" s="36" t="s">
        <v>435</v>
      </c>
      <c r="T3842" s="35" t="str">
        <f>HYPERLINK("https://miland.ru/api/getInfo/image/247aa112-0314-11ef-a25d-00155d82e908")</f>
        <v>https://miland.ru/api/getInfo/image/247aa112-0314-11ef-a25d-00155d82e908</v>
      </c>
      <c r="U3842" s="35"/>
      <c r="V3842" s="35" t="s">
        <v>6525</v>
      </c>
      <c r="W3842" s="35" t="s">
        <v>378</v>
      </c>
      <c r="X3842" s="35"/>
      <c r="Y3842" s="35" t="s">
        <v>41</v>
      </c>
      <c r="Z3842" s="35"/>
      <c r="AA3842" s="35" t="str">
        <f>HYPERLINK("https://miland.ru/api/getInfo/item/247aa112-0314-11ef-a25d-00155d82e908")</f>
        <v>https://miland.ru/api/getInfo/item/247aa112-0314-11ef-a25d-00155d82e908</v>
      </c>
      <c r="AB3842" s="35" t="s">
        <v>42</v>
      </c>
      <c r="AC3842" s="35" t="s">
        <v>7162</v>
      </c>
      <c r="AD3842" s="35"/>
      <c r="AE3842" s="52" t="s">
        <v>1251</v>
      </c>
    </row>
    <row r="3843" spans="2:31" s="1" customFormat="1" ht="96.3" customHeight="1" outlineLevel="7">
      <c r="B3843" s="59">
        <v>3025</v>
      </c>
      <c r="C3843" s="35" t="s">
        <v>13503</v>
      </c>
      <c r="D3843" s="73" t="s">
        <v>13504</v>
      </c>
      <c r="E3843" s="73"/>
      <c r="F3843" s="73"/>
      <c r="G3843" s="73"/>
      <c r="H3843" s="36" t="s">
        <v>13505</v>
      </c>
      <c r="I3843" s="40">
        <v>216</v>
      </c>
      <c r="J3843" s="36"/>
      <c r="K3843" s="34">
        <v>12</v>
      </c>
      <c r="L3843" s="41">
        <v>34.533333333333331</v>
      </c>
      <c r="M3843" s="11"/>
      <c r="N3843" s="36">
        <f t="shared" si="188"/>
        <v>0</v>
      </c>
      <c r="O3843" s="47">
        <f>0.03*M3843</f>
        <v>0</v>
      </c>
      <c r="P3843" s="43">
        <f>0.00008*M3843</f>
        <v>0</v>
      </c>
      <c r="Q3843" s="50"/>
      <c r="R3843" s="36" t="s">
        <v>13506</v>
      </c>
      <c r="S3843" s="36" t="s">
        <v>435</v>
      </c>
      <c r="T3843" s="35" t="str">
        <f>HYPERLINK("https://miland.ru/api/getInfo/image/e156bcbe-0393-11ef-a25d-00155d82e908")</f>
        <v>https://miland.ru/api/getInfo/image/e156bcbe-0393-11ef-a25d-00155d82e908</v>
      </c>
      <c r="U3843" s="35"/>
      <c r="V3843" s="35" t="s">
        <v>6525</v>
      </c>
      <c r="W3843" s="35" t="s">
        <v>378</v>
      </c>
      <c r="X3843" s="35"/>
      <c r="Y3843" s="35" t="s">
        <v>41</v>
      </c>
      <c r="Z3843" s="35"/>
      <c r="AA3843" s="35" t="str">
        <f>HYPERLINK("https://miland.ru/api/getInfo/item/e156bcbe-0393-11ef-a25d-00155d82e908")</f>
        <v>https://miland.ru/api/getInfo/item/e156bcbe-0393-11ef-a25d-00155d82e908</v>
      </c>
      <c r="AB3843" s="35" t="s">
        <v>42</v>
      </c>
      <c r="AC3843" s="35" t="s">
        <v>7162</v>
      </c>
      <c r="AD3843" s="35"/>
      <c r="AE3843" s="52" t="s">
        <v>1251</v>
      </c>
    </row>
    <row r="3844" spans="2:31" s="1" customFormat="1" ht="96.3" customHeight="1" outlineLevel="7">
      <c r="B3844" s="59">
        <v>3026</v>
      </c>
      <c r="C3844" s="35" t="s">
        <v>13507</v>
      </c>
      <c r="D3844" s="73" t="s">
        <v>13508</v>
      </c>
      <c r="E3844" s="73"/>
      <c r="F3844" s="73"/>
      <c r="G3844" s="73"/>
      <c r="H3844" s="36" t="s">
        <v>13509</v>
      </c>
      <c r="I3844" s="56" t="s">
        <v>36</v>
      </c>
      <c r="J3844" s="36"/>
      <c r="K3844" s="34">
        <v>12</v>
      </c>
      <c r="L3844" s="41">
        <v>34.533333333333331</v>
      </c>
      <c r="M3844" s="11"/>
      <c r="N3844" s="36">
        <f t="shared" si="188"/>
        <v>0</v>
      </c>
      <c r="O3844" s="42">
        <f>0.032*M3844</f>
        <v>0</v>
      </c>
      <c r="P3844" s="43">
        <f>0.00017*M3844</f>
        <v>0</v>
      </c>
      <c r="Q3844" s="50" t="s">
        <v>37</v>
      </c>
      <c r="R3844" s="36" t="s">
        <v>13510</v>
      </c>
      <c r="S3844" s="36"/>
      <c r="T3844" s="35" t="str">
        <f>HYPERLINK("https://miland.ru/api/getInfo/image/5a251fb6-9dde-11f0-a285-00155d82e908")</f>
        <v>https://miland.ru/api/getInfo/image/5a251fb6-9dde-11f0-a285-00155d82e908</v>
      </c>
      <c r="U3844" s="35"/>
      <c r="V3844" s="35" t="s">
        <v>6525</v>
      </c>
      <c r="W3844" s="35" t="s">
        <v>378</v>
      </c>
      <c r="X3844" s="35"/>
      <c r="Y3844" s="35" t="s">
        <v>41</v>
      </c>
      <c r="Z3844" s="35"/>
      <c r="AA3844" s="35" t="str">
        <f>HYPERLINK("https://miland.ru/api/getInfo/item/5a251fb6-9dde-11f0-a285-00155d82e908")</f>
        <v>https://miland.ru/api/getInfo/item/5a251fb6-9dde-11f0-a285-00155d82e908</v>
      </c>
      <c r="AB3844" s="35" t="s">
        <v>42</v>
      </c>
      <c r="AC3844" s="35"/>
      <c r="AD3844" s="35"/>
      <c r="AE3844" s="52" t="s">
        <v>1251</v>
      </c>
    </row>
    <row r="3845" spans="2:31" s="1" customFormat="1" ht="96.3" customHeight="1" outlineLevel="7">
      <c r="B3845" s="59">
        <v>3027</v>
      </c>
      <c r="C3845" s="35" t="s">
        <v>13511</v>
      </c>
      <c r="D3845" s="73" t="s">
        <v>13512</v>
      </c>
      <c r="E3845" s="73"/>
      <c r="F3845" s="73"/>
      <c r="G3845" s="73"/>
      <c r="H3845" s="36" t="s">
        <v>13513</v>
      </c>
      <c r="I3845" s="56" t="s">
        <v>36</v>
      </c>
      <c r="J3845" s="36"/>
      <c r="K3845" s="34">
        <v>12</v>
      </c>
      <c r="L3845" s="41">
        <v>34.533333333333331</v>
      </c>
      <c r="M3845" s="11"/>
      <c r="N3845" s="36">
        <f t="shared" si="188"/>
        <v>0</v>
      </c>
      <c r="O3845" s="42">
        <f>0.033*M3845</f>
        <v>0</v>
      </c>
      <c r="P3845" s="43">
        <f>0.00017*M3845</f>
        <v>0</v>
      </c>
      <c r="Q3845" s="50" t="s">
        <v>37</v>
      </c>
      <c r="R3845" s="36" t="s">
        <v>13514</v>
      </c>
      <c r="S3845" s="36"/>
      <c r="T3845" s="35" t="str">
        <f>HYPERLINK("https://miland.ru/api/getInfo/image/b84de6bb-9ddc-11f0-a285-00155d82e908")</f>
        <v>https://miland.ru/api/getInfo/image/b84de6bb-9ddc-11f0-a285-00155d82e908</v>
      </c>
      <c r="U3845" s="35"/>
      <c r="V3845" s="35" t="s">
        <v>6525</v>
      </c>
      <c r="W3845" s="35" t="s">
        <v>378</v>
      </c>
      <c r="X3845" s="35"/>
      <c r="Y3845" s="35" t="s">
        <v>41</v>
      </c>
      <c r="Z3845" s="35"/>
      <c r="AA3845" s="35" t="str">
        <f>HYPERLINK("https://miland.ru/api/getInfo/item/b84de6bb-9ddc-11f0-a285-00155d82e908")</f>
        <v>https://miland.ru/api/getInfo/item/b84de6bb-9ddc-11f0-a285-00155d82e908</v>
      </c>
      <c r="AB3845" s="35" t="s">
        <v>42</v>
      </c>
      <c r="AC3845" s="35"/>
      <c r="AD3845" s="35"/>
      <c r="AE3845" s="52" t="s">
        <v>1251</v>
      </c>
    </row>
    <row r="3846" spans="2:31" s="1" customFormat="1" ht="96.3" customHeight="1" outlineLevel="7">
      <c r="B3846" s="59">
        <v>3028</v>
      </c>
      <c r="C3846" s="35" t="s">
        <v>13515</v>
      </c>
      <c r="D3846" s="73" t="s">
        <v>13516</v>
      </c>
      <c r="E3846" s="73"/>
      <c r="F3846" s="73"/>
      <c r="G3846" s="73"/>
      <c r="H3846" s="36" t="s">
        <v>13517</v>
      </c>
      <c r="I3846" s="56" t="s">
        <v>36</v>
      </c>
      <c r="J3846" s="36"/>
      <c r="K3846" s="34">
        <v>12</v>
      </c>
      <c r="L3846" s="41">
        <v>34.533333333333331</v>
      </c>
      <c r="M3846" s="11"/>
      <c r="N3846" s="36">
        <f t="shared" si="188"/>
        <v>0</v>
      </c>
      <c r="O3846" s="42">
        <f>0.032*M3846</f>
        <v>0</v>
      </c>
      <c r="P3846" s="43">
        <f>0.00012*M3846</f>
        <v>0</v>
      </c>
      <c r="Q3846" s="50" t="s">
        <v>37</v>
      </c>
      <c r="R3846" s="36" t="s">
        <v>13518</v>
      </c>
      <c r="S3846" s="36"/>
      <c r="T3846" s="35" t="str">
        <f>HYPERLINK("https://miland.ru/api/getInfo/image/672204ed-9de0-11f0-a285-00155d82e908")</f>
        <v>https://miland.ru/api/getInfo/image/672204ed-9de0-11f0-a285-00155d82e908</v>
      </c>
      <c r="U3846" s="35"/>
      <c r="V3846" s="35" t="s">
        <v>6525</v>
      </c>
      <c r="W3846" s="35" t="s">
        <v>378</v>
      </c>
      <c r="X3846" s="35"/>
      <c r="Y3846" s="35" t="s">
        <v>41</v>
      </c>
      <c r="Z3846" s="35"/>
      <c r="AA3846" s="35" t="str">
        <f>HYPERLINK("https://miland.ru/api/getInfo/item/672204ed-9de0-11f0-a285-00155d82e908")</f>
        <v>https://miland.ru/api/getInfo/item/672204ed-9de0-11f0-a285-00155d82e908</v>
      </c>
      <c r="AB3846" s="35" t="s">
        <v>42</v>
      </c>
      <c r="AC3846" s="35"/>
      <c r="AD3846" s="35"/>
      <c r="AE3846" s="52" t="s">
        <v>1251</v>
      </c>
    </row>
    <row r="3847" spans="2:31" s="1" customFormat="1" ht="96.3" customHeight="1" outlineLevel="7">
      <c r="B3847" s="59">
        <v>3029</v>
      </c>
      <c r="C3847" s="35" t="s">
        <v>13519</v>
      </c>
      <c r="D3847" s="73" t="s">
        <v>13520</v>
      </c>
      <c r="E3847" s="73"/>
      <c r="F3847" s="73"/>
      <c r="G3847" s="73"/>
      <c r="H3847" s="36" t="s">
        <v>13521</v>
      </c>
      <c r="I3847" s="56" t="s">
        <v>36</v>
      </c>
      <c r="J3847" s="36"/>
      <c r="K3847" s="34">
        <v>12</v>
      </c>
      <c r="L3847" s="41">
        <v>34.533333333333331</v>
      </c>
      <c r="M3847" s="11"/>
      <c r="N3847" s="36">
        <f t="shared" si="188"/>
        <v>0</v>
      </c>
      <c r="O3847" s="47">
        <f>0.03*M3847</f>
        <v>0</v>
      </c>
      <c r="P3847" s="43">
        <f>0.00008*M3847</f>
        <v>0</v>
      </c>
      <c r="Q3847" s="50"/>
      <c r="R3847" s="36" t="s">
        <v>13522</v>
      </c>
      <c r="S3847" s="36" t="s">
        <v>435</v>
      </c>
      <c r="T3847" s="35" t="str">
        <f>HYPERLINK("https://miland.ru/api/getInfo/image/c18fd879-0393-11ef-a25d-00155d82e908")</f>
        <v>https://miland.ru/api/getInfo/image/c18fd879-0393-11ef-a25d-00155d82e908</v>
      </c>
      <c r="U3847" s="35"/>
      <c r="V3847" s="35" t="s">
        <v>6525</v>
      </c>
      <c r="W3847" s="35" t="s">
        <v>378</v>
      </c>
      <c r="X3847" s="35"/>
      <c r="Y3847" s="35" t="s">
        <v>41</v>
      </c>
      <c r="Z3847" s="35"/>
      <c r="AA3847" s="35" t="str">
        <f>HYPERLINK("https://miland.ru/api/getInfo/item/c18fd879-0393-11ef-a25d-00155d82e908")</f>
        <v>https://miland.ru/api/getInfo/item/c18fd879-0393-11ef-a25d-00155d82e908</v>
      </c>
      <c r="AB3847" s="35" t="s">
        <v>42</v>
      </c>
      <c r="AC3847" s="35" t="s">
        <v>7162</v>
      </c>
      <c r="AD3847" s="35"/>
      <c r="AE3847" s="52" t="s">
        <v>1251</v>
      </c>
    </row>
    <row r="3848" spans="2:31" s="1" customFormat="1" ht="96.3" customHeight="1" outlineLevel="7">
      <c r="B3848" s="59">
        <v>3030</v>
      </c>
      <c r="C3848" s="35" t="s">
        <v>13523</v>
      </c>
      <c r="D3848" s="73" t="s">
        <v>13524</v>
      </c>
      <c r="E3848" s="73"/>
      <c r="F3848" s="73"/>
      <c r="G3848" s="73"/>
      <c r="H3848" s="36" t="s">
        <v>13525</v>
      </c>
      <c r="I3848" s="56" t="s">
        <v>36</v>
      </c>
      <c r="J3848" s="36"/>
      <c r="K3848" s="34">
        <v>12</v>
      </c>
      <c r="L3848" s="41">
        <v>34.533333333333331</v>
      </c>
      <c r="M3848" s="11"/>
      <c r="N3848" s="36">
        <f t="shared" si="188"/>
        <v>0</v>
      </c>
      <c r="O3848" s="42">
        <f>0.032*M3848</f>
        <v>0</v>
      </c>
      <c r="P3848" s="43">
        <f>0.00017*M3848</f>
        <v>0</v>
      </c>
      <c r="Q3848" s="50" t="s">
        <v>37</v>
      </c>
      <c r="R3848" s="36" t="s">
        <v>13526</v>
      </c>
      <c r="S3848" s="36"/>
      <c r="T3848" s="35" t="str">
        <f>HYPERLINK("https://miland.ru/api/getInfo/image/11aec69d-9dd3-11f0-a285-00155d82e908")</f>
        <v>https://miland.ru/api/getInfo/image/11aec69d-9dd3-11f0-a285-00155d82e908</v>
      </c>
      <c r="U3848" s="35"/>
      <c r="V3848" s="35" t="s">
        <v>6525</v>
      </c>
      <c r="W3848" s="35" t="s">
        <v>378</v>
      </c>
      <c r="X3848" s="35"/>
      <c r="Y3848" s="35" t="s">
        <v>41</v>
      </c>
      <c r="Z3848" s="35"/>
      <c r="AA3848" s="35" t="str">
        <f>HYPERLINK("https://miland.ru/api/getInfo/item/11aec69d-9dd3-11f0-a285-00155d82e908")</f>
        <v>https://miland.ru/api/getInfo/item/11aec69d-9dd3-11f0-a285-00155d82e908</v>
      </c>
      <c r="AB3848" s="35" t="s">
        <v>42</v>
      </c>
      <c r="AC3848" s="35"/>
      <c r="AD3848" s="35"/>
      <c r="AE3848" s="52" t="s">
        <v>1251</v>
      </c>
    </row>
    <row r="3849" spans="2:31" s="1" customFormat="1" ht="96.3" customHeight="1" outlineLevel="7">
      <c r="B3849" s="59">
        <v>3031</v>
      </c>
      <c r="C3849" s="35" t="s">
        <v>13527</v>
      </c>
      <c r="D3849" s="73" t="s">
        <v>13528</v>
      </c>
      <c r="E3849" s="73"/>
      <c r="F3849" s="73"/>
      <c r="G3849" s="73"/>
      <c r="H3849" s="36" t="s">
        <v>13529</v>
      </c>
      <c r="I3849" s="40">
        <v>276</v>
      </c>
      <c r="J3849" s="36"/>
      <c r="K3849" s="34">
        <v>12</v>
      </c>
      <c r="L3849" s="41">
        <v>34.533333333333331</v>
      </c>
      <c r="M3849" s="11"/>
      <c r="N3849" s="36">
        <f t="shared" si="188"/>
        <v>0</v>
      </c>
      <c r="O3849" s="47">
        <f>0.03*M3849</f>
        <v>0</v>
      </c>
      <c r="P3849" s="43">
        <f>0.00008*M3849</f>
        <v>0</v>
      </c>
      <c r="Q3849" s="50"/>
      <c r="R3849" s="36" t="s">
        <v>13530</v>
      </c>
      <c r="S3849" s="36" t="s">
        <v>435</v>
      </c>
      <c r="T3849" s="35" t="str">
        <f>HYPERLINK("https://miland.ru/api/getInfo/image/08f550fd-0314-11ef-a25d-00155d82e908")</f>
        <v>https://miland.ru/api/getInfo/image/08f550fd-0314-11ef-a25d-00155d82e908</v>
      </c>
      <c r="U3849" s="35"/>
      <c r="V3849" s="35" t="s">
        <v>6525</v>
      </c>
      <c r="W3849" s="35" t="s">
        <v>378</v>
      </c>
      <c r="X3849" s="35"/>
      <c r="Y3849" s="35" t="s">
        <v>41</v>
      </c>
      <c r="Z3849" s="35"/>
      <c r="AA3849" s="35" t="str">
        <f>HYPERLINK("https://miland.ru/api/getInfo/item/08f550fd-0314-11ef-a25d-00155d82e908")</f>
        <v>https://miland.ru/api/getInfo/item/08f550fd-0314-11ef-a25d-00155d82e908</v>
      </c>
      <c r="AB3849" s="35" t="s">
        <v>42</v>
      </c>
      <c r="AC3849" s="35" t="s">
        <v>7162</v>
      </c>
      <c r="AD3849" s="35"/>
      <c r="AE3849" s="52" t="s">
        <v>1251</v>
      </c>
    </row>
    <row r="3850" spans="2:31" s="1" customFormat="1" ht="96.3" customHeight="1" outlineLevel="7">
      <c r="B3850" s="59">
        <v>3032</v>
      </c>
      <c r="C3850" s="35" t="s">
        <v>13531</v>
      </c>
      <c r="D3850" s="73" t="s">
        <v>13532</v>
      </c>
      <c r="E3850" s="73"/>
      <c r="F3850" s="73"/>
      <c r="G3850" s="73"/>
      <c r="H3850" s="36" t="s">
        <v>13533</v>
      </c>
      <c r="I3850" s="56" t="s">
        <v>36</v>
      </c>
      <c r="J3850" s="36"/>
      <c r="K3850" s="34">
        <v>12</v>
      </c>
      <c r="L3850" s="41">
        <v>34.533333333333331</v>
      </c>
      <c r="M3850" s="11"/>
      <c r="N3850" s="36">
        <f t="shared" si="188"/>
        <v>0</v>
      </c>
      <c r="O3850" s="42">
        <f>0.032*M3850</f>
        <v>0</v>
      </c>
      <c r="P3850" s="43">
        <f>0.00017*M3850</f>
        <v>0</v>
      </c>
      <c r="Q3850" s="50" t="s">
        <v>37</v>
      </c>
      <c r="R3850" s="36" t="s">
        <v>13534</v>
      </c>
      <c r="S3850" s="36"/>
      <c r="T3850" s="35" t="str">
        <f>HYPERLINK("https://miland.ru/api/getInfo/image/9307cee2-9de0-11f0-a285-00155d82e908")</f>
        <v>https://miland.ru/api/getInfo/image/9307cee2-9de0-11f0-a285-00155d82e908</v>
      </c>
      <c r="U3850" s="35"/>
      <c r="V3850" s="35" t="s">
        <v>6525</v>
      </c>
      <c r="W3850" s="35" t="s">
        <v>378</v>
      </c>
      <c r="X3850" s="35"/>
      <c r="Y3850" s="35" t="s">
        <v>41</v>
      </c>
      <c r="Z3850" s="35"/>
      <c r="AA3850" s="35" t="str">
        <f>HYPERLINK("https://miland.ru/api/getInfo/item/9307cee2-9de0-11f0-a285-00155d82e908")</f>
        <v>https://miland.ru/api/getInfo/item/9307cee2-9de0-11f0-a285-00155d82e908</v>
      </c>
      <c r="AB3850" s="35" t="s">
        <v>42</v>
      </c>
      <c r="AC3850" s="35"/>
      <c r="AD3850" s="35"/>
      <c r="AE3850" s="52" t="s">
        <v>1251</v>
      </c>
    </row>
    <row r="3851" spans="2:31" s="1" customFormat="1" ht="96.3" customHeight="1" outlineLevel="7">
      <c r="B3851" s="59">
        <v>3033</v>
      </c>
      <c r="C3851" s="35" t="s">
        <v>13535</v>
      </c>
      <c r="D3851" s="73" t="s">
        <v>13536</v>
      </c>
      <c r="E3851" s="73"/>
      <c r="F3851" s="73"/>
      <c r="G3851" s="73"/>
      <c r="H3851" s="36" t="s">
        <v>13537</v>
      </c>
      <c r="I3851" s="56" t="s">
        <v>36</v>
      </c>
      <c r="J3851" s="36"/>
      <c r="K3851" s="34">
        <v>12</v>
      </c>
      <c r="L3851" s="41">
        <v>34.533333333333331</v>
      </c>
      <c r="M3851" s="11"/>
      <c r="N3851" s="36">
        <f t="shared" si="188"/>
        <v>0</v>
      </c>
      <c r="O3851" s="42">
        <f>0.033*M3851</f>
        <v>0</v>
      </c>
      <c r="P3851" s="43">
        <f>0.00017*M3851</f>
        <v>0</v>
      </c>
      <c r="Q3851" s="50" t="s">
        <v>37</v>
      </c>
      <c r="R3851" s="36" t="s">
        <v>13538</v>
      </c>
      <c r="S3851" s="36"/>
      <c r="T3851" s="35" t="str">
        <f>HYPERLINK("https://miland.ru/api/getInfo/image/b956a1f5-9ddf-11f0-a285-00155d82e908")</f>
        <v>https://miland.ru/api/getInfo/image/b956a1f5-9ddf-11f0-a285-00155d82e908</v>
      </c>
      <c r="U3851" s="35"/>
      <c r="V3851" s="35" t="s">
        <v>6525</v>
      </c>
      <c r="W3851" s="35" t="s">
        <v>378</v>
      </c>
      <c r="X3851" s="35"/>
      <c r="Y3851" s="35" t="s">
        <v>41</v>
      </c>
      <c r="Z3851" s="35"/>
      <c r="AA3851" s="35" t="str">
        <f>HYPERLINK("https://miland.ru/api/getInfo/item/b956a1f5-9ddf-11f0-a285-00155d82e908")</f>
        <v>https://miland.ru/api/getInfo/item/b956a1f5-9ddf-11f0-a285-00155d82e908</v>
      </c>
      <c r="AB3851" s="35" t="s">
        <v>42</v>
      </c>
      <c r="AC3851" s="35"/>
      <c r="AD3851" s="35"/>
      <c r="AE3851" s="52" t="s">
        <v>1251</v>
      </c>
    </row>
    <row r="3852" spans="2:31" s="1" customFormat="1" ht="96.3" customHeight="1" outlineLevel="7">
      <c r="B3852" s="59">
        <v>3034</v>
      </c>
      <c r="C3852" s="35" t="s">
        <v>13539</v>
      </c>
      <c r="D3852" s="73" t="s">
        <v>13540</v>
      </c>
      <c r="E3852" s="73"/>
      <c r="F3852" s="73"/>
      <c r="G3852" s="73"/>
      <c r="H3852" s="36" t="s">
        <v>13541</v>
      </c>
      <c r="I3852" s="56" t="s">
        <v>36</v>
      </c>
      <c r="J3852" s="36"/>
      <c r="K3852" s="34">
        <v>12</v>
      </c>
      <c r="L3852" s="41">
        <v>34.533333333333331</v>
      </c>
      <c r="M3852" s="11"/>
      <c r="N3852" s="36">
        <f t="shared" si="188"/>
        <v>0</v>
      </c>
      <c r="O3852" s="42">
        <f>0.032*M3852</f>
        <v>0</v>
      </c>
      <c r="P3852" s="43">
        <f>0.00017*M3852</f>
        <v>0</v>
      </c>
      <c r="Q3852" s="50" t="s">
        <v>37</v>
      </c>
      <c r="R3852" s="36" t="s">
        <v>13542</v>
      </c>
      <c r="S3852" s="36"/>
      <c r="T3852" s="35" t="str">
        <f>HYPERLINK("https://miland.ru/api/getInfo/image/9cca60f2-7d8d-11f0-a284-00155d82e908")</f>
        <v>https://miland.ru/api/getInfo/image/9cca60f2-7d8d-11f0-a284-00155d82e908</v>
      </c>
      <c r="U3852" s="35"/>
      <c r="V3852" s="35" t="s">
        <v>6525</v>
      </c>
      <c r="W3852" s="35" t="s">
        <v>378</v>
      </c>
      <c r="X3852" s="35"/>
      <c r="Y3852" s="35" t="s">
        <v>41</v>
      </c>
      <c r="Z3852" s="35"/>
      <c r="AA3852" s="35" t="str">
        <f>HYPERLINK("https://miland.ru/api/getInfo/item/9cca60f2-7d8d-11f0-a284-00155d82e908")</f>
        <v>https://miland.ru/api/getInfo/item/9cca60f2-7d8d-11f0-a284-00155d82e908</v>
      </c>
      <c r="AB3852" s="35" t="s">
        <v>42</v>
      </c>
      <c r="AC3852" s="35"/>
      <c r="AD3852" s="35"/>
      <c r="AE3852" s="52" t="s">
        <v>1251</v>
      </c>
    </row>
    <row r="3853" spans="2:31" s="1" customFormat="1" ht="96.3" customHeight="1" outlineLevel="7">
      <c r="B3853" s="59">
        <v>3035</v>
      </c>
      <c r="C3853" s="35" t="s">
        <v>13543</v>
      </c>
      <c r="D3853" s="73" t="s">
        <v>13544</v>
      </c>
      <c r="E3853" s="73"/>
      <c r="F3853" s="73"/>
      <c r="G3853" s="73"/>
      <c r="H3853" s="36" t="s">
        <v>13545</v>
      </c>
      <c r="I3853" s="56" t="s">
        <v>36</v>
      </c>
      <c r="J3853" s="36"/>
      <c r="K3853" s="34">
        <v>12</v>
      </c>
      <c r="L3853" s="41">
        <v>34.533333333333331</v>
      </c>
      <c r="M3853" s="11"/>
      <c r="N3853" s="36">
        <f t="shared" si="188"/>
        <v>0</v>
      </c>
      <c r="O3853" s="42">
        <f>0.034*M3853</f>
        <v>0</v>
      </c>
      <c r="P3853" s="43">
        <f>0.00017*M3853</f>
        <v>0</v>
      </c>
      <c r="Q3853" s="50" t="s">
        <v>37</v>
      </c>
      <c r="R3853" s="36" t="s">
        <v>13546</v>
      </c>
      <c r="S3853" s="36"/>
      <c r="T3853" s="35" t="str">
        <f>HYPERLINK("https://miland.ru/api/getInfo/image/617cdd0b-7d92-11f0-a284-00155d82e908")</f>
        <v>https://miland.ru/api/getInfo/image/617cdd0b-7d92-11f0-a284-00155d82e908</v>
      </c>
      <c r="U3853" s="35"/>
      <c r="V3853" s="35" t="s">
        <v>6525</v>
      </c>
      <c r="W3853" s="35" t="s">
        <v>378</v>
      </c>
      <c r="X3853" s="35"/>
      <c r="Y3853" s="35" t="s">
        <v>41</v>
      </c>
      <c r="Z3853" s="35"/>
      <c r="AA3853" s="35" t="str">
        <f>HYPERLINK("https://miland.ru/api/getInfo/item/617cdd0b-7d92-11f0-a284-00155d82e908")</f>
        <v>https://miland.ru/api/getInfo/item/617cdd0b-7d92-11f0-a284-00155d82e908</v>
      </c>
      <c r="AB3853" s="35" t="s">
        <v>42</v>
      </c>
      <c r="AC3853" s="35"/>
      <c r="AD3853" s="35"/>
      <c r="AE3853" s="52" t="s">
        <v>1251</v>
      </c>
    </row>
    <row r="3854" spans="2:31" s="1" customFormat="1" ht="96.3" customHeight="1" outlineLevel="7">
      <c r="B3854" s="59">
        <v>3036</v>
      </c>
      <c r="C3854" s="35" t="s">
        <v>13547</v>
      </c>
      <c r="D3854" s="73" t="s">
        <v>13548</v>
      </c>
      <c r="E3854" s="73"/>
      <c r="F3854" s="73"/>
      <c r="G3854" s="73"/>
      <c r="H3854" s="36" t="s">
        <v>13549</v>
      </c>
      <c r="I3854" s="56" t="s">
        <v>36</v>
      </c>
      <c r="J3854" s="36"/>
      <c r="K3854" s="34">
        <v>12</v>
      </c>
      <c r="L3854" s="41">
        <v>34.533333333333331</v>
      </c>
      <c r="M3854" s="11"/>
      <c r="N3854" s="36">
        <f t="shared" si="188"/>
        <v>0</v>
      </c>
      <c r="O3854" s="42">
        <f>0.032*M3854</f>
        <v>0</v>
      </c>
      <c r="P3854" s="43">
        <f>0.00134*M3854</f>
        <v>0</v>
      </c>
      <c r="Q3854" s="50" t="s">
        <v>37</v>
      </c>
      <c r="R3854" s="36" t="s">
        <v>13550</v>
      </c>
      <c r="S3854" s="36"/>
      <c r="T3854" s="35" t="str">
        <f>HYPERLINK("https://miland.ru/api/getInfo/image/0dfb6dd1-7d8d-11f0-a284-00155d82e908")</f>
        <v>https://miland.ru/api/getInfo/image/0dfb6dd1-7d8d-11f0-a284-00155d82e908</v>
      </c>
      <c r="U3854" s="35"/>
      <c r="V3854" s="35" t="s">
        <v>6525</v>
      </c>
      <c r="W3854" s="35" t="s">
        <v>378</v>
      </c>
      <c r="X3854" s="35"/>
      <c r="Y3854" s="35" t="s">
        <v>41</v>
      </c>
      <c r="Z3854" s="35"/>
      <c r="AA3854" s="35" t="str">
        <f>HYPERLINK("https://miland.ru/api/getInfo/item/0dfb6dd1-7d8d-11f0-a284-00155d82e908")</f>
        <v>https://miland.ru/api/getInfo/item/0dfb6dd1-7d8d-11f0-a284-00155d82e908</v>
      </c>
      <c r="AB3854" s="35" t="s">
        <v>42</v>
      </c>
      <c r="AC3854" s="35"/>
      <c r="AD3854" s="35"/>
      <c r="AE3854" s="52" t="s">
        <v>1251</v>
      </c>
    </row>
    <row r="3855" spans="2:31" s="1" customFormat="1" ht="96.3" customHeight="1" outlineLevel="7">
      <c r="B3855" s="59">
        <v>3037</v>
      </c>
      <c r="C3855" s="35" t="s">
        <v>13551</v>
      </c>
      <c r="D3855" s="73" t="s">
        <v>13552</v>
      </c>
      <c r="E3855" s="73"/>
      <c r="F3855" s="73"/>
      <c r="G3855" s="73"/>
      <c r="H3855" s="36" t="s">
        <v>13553</v>
      </c>
      <c r="I3855" s="56" t="s">
        <v>36</v>
      </c>
      <c r="J3855" s="36"/>
      <c r="K3855" s="34">
        <v>12</v>
      </c>
      <c r="L3855" s="41">
        <v>34.533333333333331</v>
      </c>
      <c r="M3855" s="11"/>
      <c r="N3855" s="36">
        <f t="shared" si="188"/>
        <v>0</v>
      </c>
      <c r="O3855" s="42">
        <f>0.034*M3855</f>
        <v>0</v>
      </c>
      <c r="P3855" s="43">
        <f t="shared" ref="P3855:P3879" si="191">0.00017*M3855</f>
        <v>0</v>
      </c>
      <c r="Q3855" s="50" t="s">
        <v>37</v>
      </c>
      <c r="R3855" s="36" t="s">
        <v>13554</v>
      </c>
      <c r="S3855" s="36"/>
      <c r="T3855" s="35" t="str">
        <f>HYPERLINK("https://miland.ru/api/getInfo/image/07d93ec0-7d93-11f0-a284-00155d82e908")</f>
        <v>https://miland.ru/api/getInfo/image/07d93ec0-7d93-11f0-a284-00155d82e908</v>
      </c>
      <c r="U3855" s="35"/>
      <c r="V3855" s="35" t="s">
        <v>6525</v>
      </c>
      <c r="W3855" s="35" t="s">
        <v>378</v>
      </c>
      <c r="X3855" s="35"/>
      <c r="Y3855" s="35" t="s">
        <v>41</v>
      </c>
      <c r="Z3855" s="35"/>
      <c r="AA3855" s="35" t="str">
        <f>HYPERLINK("https://miland.ru/api/getInfo/item/07d93ec0-7d93-11f0-a284-00155d82e908")</f>
        <v>https://miland.ru/api/getInfo/item/07d93ec0-7d93-11f0-a284-00155d82e908</v>
      </c>
      <c r="AB3855" s="35" t="s">
        <v>42</v>
      </c>
      <c r="AC3855" s="35"/>
      <c r="AD3855" s="35"/>
      <c r="AE3855" s="52" t="s">
        <v>1251</v>
      </c>
    </row>
    <row r="3856" spans="2:31" s="1" customFormat="1" ht="96.3" customHeight="1" outlineLevel="7">
      <c r="B3856" s="59">
        <v>3038</v>
      </c>
      <c r="C3856" s="35" t="s">
        <v>13555</v>
      </c>
      <c r="D3856" s="73" t="s">
        <v>13556</v>
      </c>
      <c r="E3856" s="73"/>
      <c r="F3856" s="73"/>
      <c r="G3856" s="73"/>
      <c r="H3856" s="36" t="s">
        <v>13557</v>
      </c>
      <c r="I3856" s="56" t="s">
        <v>36</v>
      </c>
      <c r="J3856" s="36"/>
      <c r="K3856" s="34">
        <v>12</v>
      </c>
      <c r="L3856" s="41">
        <v>34.533333333333331</v>
      </c>
      <c r="M3856" s="11"/>
      <c r="N3856" s="36">
        <f t="shared" si="188"/>
        <v>0</v>
      </c>
      <c r="O3856" s="42">
        <f>0.034*M3856</f>
        <v>0</v>
      </c>
      <c r="P3856" s="43">
        <f t="shared" si="191"/>
        <v>0</v>
      </c>
      <c r="Q3856" s="50" t="s">
        <v>37</v>
      </c>
      <c r="R3856" s="36" t="s">
        <v>13558</v>
      </c>
      <c r="S3856" s="36"/>
      <c r="T3856" s="35" t="str">
        <f>HYPERLINK("https://miland.ru/api/getInfo/image/f4f09636-7d8d-11f0-a284-00155d82e908")</f>
        <v>https://miland.ru/api/getInfo/image/f4f09636-7d8d-11f0-a284-00155d82e908</v>
      </c>
      <c r="U3856" s="35"/>
      <c r="V3856" s="35" t="s">
        <v>6525</v>
      </c>
      <c r="W3856" s="35" t="s">
        <v>378</v>
      </c>
      <c r="X3856" s="35"/>
      <c r="Y3856" s="35" t="s">
        <v>41</v>
      </c>
      <c r="Z3856" s="35"/>
      <c r="AA3856" s="35" t="str">
        <f>HYPERLINK("https://miland.ru/api/getInfo/item/f4f09636-7d8d-11f0-a284-00155d82e908")</f>
        <v>https://miland.ru/api/getInfo/item/f4f09636-7d8d-11f0-a284-00155d82e908</v>
      </c>
      <c r="AB3856" s="35" t="s">
        <v>42</v>
      </c>
      <c r="AC3856" s="35"/>
      <c r="AD3856" s="35"/>
      <c r="AE3856" s="52" t="s">
        <v>1251</v>
      </c>
    </row>
    <row r="3857" spans="2:31" s="1" customFormat="1" ht="96.3" customHeight="1" outlineLevel="7">
      <c r="B3857" s="59">
        <v>3039</v>
      </c>
      <c r="C3857" s="35" t="s">
        <v>13559</v>
      </c>
      <c r="D3857" s="73" t="s">
        <v>13560</v>
      </c>
      <c r="E3857" s="73"/>
      <c r="F3857" s="73"/>
      <c r="G3857" s="73"/>
      <c r="H3857" s="36" t="s">
        <v>13561</v>
      </c>
      <c r="I3857" s="56" t="s">
        <v>36</v>
      </c>
      <c r="J3857" s="36"/>
      <c r="K3857" s="34">
        <v>12</v>
      </c>
      <c r="L3857" s="41">
        <v>34.533333333333331</v>
      </c>
      <c r="M3857" s="11"/>
      <c r="N3857" s="36">
        <f t="shared" si="188"/>
        <v>0</v>
      </c>
      <c r="O3857" s="42">
        <f>0.034*M3857</f>
        <v>0</v>
      </c>
      <c r="P3857" s="43">
        <f t="shared" si="191"/>
        <v>0</v>
      </c>
      <c r="Q3857" s="50" t="s">
        <v>37</v>
      </c>
      <c r="R3857" s="36" t="s">
        <v>13562</v>
      </c>
      <c r="S3857" s="36"/>
      <c r="T3857" s="35" t="str">
        <f>HYPERLINK("https://miland.ru/api/getInfo/image/8388626c-7d8d-11f0-a284-00155d82e908")</f>
        <v>https://miland.ru/api/getInfo/image/8388626c-7d8d-11f0-a284-00155d82e908</v>
      </c>
      <c r="U3857" s="35"/>
      <c r="V3857" s="35" t="s">
        <v>6525</v>
      </c>
      <c r="W3857" s="35" t="s">
        <v>378</v>
      </c>
      <c r="X3857" s="35"/>
      <c r="Y3857" s="35" t="s">
        <v>41</v>
      </c>
      <c r="Z3857" s="35"/>
      <c r="AA3857" s="35" t="str">
        <f>HYPERLINK("https://miland.ru/api/getInfo/item/8388626c-7d8d-11f0-a284-00155d82e908")</f>
        <v>https://miland.ru/api/getInfo/item/8388626c-7d8d-11f0-a284-00155d82e908</v>
      </c>
      <c r="AB3857" s="35" t="s">
        <v>42</v>
      </c>
      <c r="AC3857" s="35"/>
      <c r="AD3857" s="35"/>
      <c r="AE3857" s="52" t="s">
        <v>1251</v>
      </c>
    </row>
    <row r="3858" spans="2:31" s="1" customFormat="1" ht="96.3" customHeight="1" outlineLevel="7">
      <c r="B3858" s="59">
        <v>3040</v>
      </c>
      <c r="C3858" s="35" t="s">
        <v>13563</v>
      </c>
      <c r="D3858" s="73" t="s">
        <v>13564</v>
      </c>
      <c r="E3858" s="73"/>
      <c r="F3858" s="73"/>
      <c r="G3858" s="73"/>
      <c r="H3858" s="36" t="s">
        <v>13565</v>
      </c>
      <c r="I3858" s="56" t="s">
        <v>36</v>
      </c>
      <c r="J3858" s="36"/>
      <c r="K3858" s="34">
        <v>12</v>
      </c>
      <c r="L3858" s="41">
        <v>34.533333333333331</v>
      </c>
      <c r="M3858" s="11"/>
      <c r="N3858" s="36">
        <f t="shared" si="188"/>
        <v>0</v>
      </c>
      <c r="O3858" s="42">
        <f>0.034*M3858</f>
        <v>0</v>
      </c>
      <c r="P3858" s="43">
        <f t="shared" si="191"/>
        <v>0</v>
      </c>
      <c r="Q3858" s="50" t="s">
        <v>37</v>
      </c>
      <c r="R3858" s="36" t="s">
        <v>13566</v>
      </c>
      <c r="S3858" s="36"/>
      <c r="T3858" s="35" t="str">
        <f>HYPERLINK("https://miland.ru/api/getInfo/image/230bd47b-7d93-11f0-a284-00155d82e908")</f>
        <v>https://miland.ru/api/getInfo/image/230bd47b-7d93-11f0-a284-00155d82e908</v>
      </c>
      <c r="U3858" s="35"/>
      <c r="V3858" s="35" t="s">
        <v>6525</v>
      </c>
      <c r="W3858" s="35" t="s">
        <v>378</v>
      </c>
      <c r="X3858" s="35"/>
      <c r="Y3858" s="35" t="s">
        <v>41</v>
      </c>
      <c r="Z3858" s="35"/>
      <c r="AA3858" s="35" t="str">
        <f>HYPERLINK("https://miland.ru/api/getInfo/item/230bd47b-7d93-11f0-a284-00155d82e908")</f>
        <v>https://miland.ru/api/getInfo/item/230bd47b-7d93-11f0-a284-00155d82e908</v>
      </c>
      <c r="AB3858" s="35" t="s">
        <v>42</v>
      </c>
      <c r="AC3858" s="35"/>
      <c r="AD3858" s="35"/>
      <c r="AE3858" s="52" t="s">
        <v>1251</v>
      </c>
    </row>
    <row r="3859" spans="2:31" s="1" customFormat="1" ht="96.3" customHeight="1" outlineLevel="7">
      <c r="B3859" s="59">
        <v>3041</v>
      </c>
      <c r="C3859" s="35" t="s">
        <v>13567</v>
      </c>
      <c r="D3859" s="73" t="s">
        <v>13568</v>
      </c>
      <c r="E3859" s="73"/>
      <c r="F3859" s="73"/>
      <c r="G3859" s="73"/>
      <c r="H3859" s="36" t="s">
        <v>13569</v>
      </c>
      <c r="I3859" s="56" t="s">
        <v>36</v>
      </c>
      <c r="J3859" s="36"/>
      <c r="K3859" s="34">
        <v>12</v>
      </c>
      <c r="L3859" s="41">
        <v>34.533333333333331</v>
      </c>
      <c r="M3859" s="11"/>
      <c r="N3859" s="36">
        <f t="shared" si="188"/>
        <v>0</v>
      </c>
      <c r="O3859" s="42">
        <f>0.033*M3859</f>
        <v>0</v>
      </c>
      <c r="P3859" s="43">
        <f t="shared" si="191"/>
        <v>0</v>
      </c>
      <c r="Q3859" s="50" t="s">
        <v>37</v>
      </c>
      <c r="R3859" s="36" t="s">
        <v>13570</v>
      </c>
      <c r="S3859" s="36"/>
      <c r="T3859" s="35" t="str">
        <f>HYPERLINK("https://miland.ru/api/getInfo/image/12710509-7d8e-11f0-a284-00155d82e908")</f>
        <v>https://miland.ru/api/getInfo/image/12710509-7d8e-11f0-a284-00155d82e908</v>
      </c>
      <c r="U3859" s="35"/>
      <c r="V3859" s="35" t="s">
        <v>6525</v>
      </c>
      <c r="W3859" s="35" t="s">
        <v>378</v>
      </c>
      <c r="X3859" s="35"/>
      <c r="Y3859" s="35" t="s">
        <v>41</v>
      </c>
      <c r="Z3859" s="35"/>
      <c r="AA3859" s="35" t="str">
        <f>HYPERLINK("https://miland.ru/api/getInfo/item/12710509-7d8e-11f0-a284-00155d82e908")</f>
        <v>https://miland.ru/api/getInfo/item/12710509-7d8e-11f0-a284-00155d82e908</v>
      </c>
      <c r="AB3859" s="35" t="s">
        <v>42</v>
      </c>
      <c r="AC3859" s="35"/>
      <c r="AD3859" s="35"/>
      <c r="AE3859" s="52" t="s">
        <v>1251</v>
      </c>
    </row>
    <row r="3860" spans="2:31" s="1" customFormat="1" ht="96.3" customHeight="1" outlineLevel="7">
      <c r="B3860" s="59">
        <v>3042</v>
      </c>
      <c r="C3860" s="35" t="s">
        <v>13571</v>
      </c>
      <c r="D3860" s="73" t="s">
        <v>13572</v>
      </c>
      <c r="E3860" s="73"/>
      <c r="F3860" s="73"/>
      <c r="G3860" s="73"/>
      <c r="H3860" s="36" t="s">
        <v>13573</v>
      </c>
      <c r="I3860" s="56" t="s">
        <v>36</v>
      </c>
      <c r="J3860" s="36"/>
      <c r="K3860" s="34">
        <v>12</v>
      </c>
      <c r="L3860" s="41">
        <v>34.533333333333331</v>
      </c>
      <c r="M3860" s="11"/>
      <c r="N3860" s="36">
        <f t="shared" si="188"/>
        <v>0</v>
      </c>
      <c r="O3860" s="42">
        <f>0.034*M3860</f>
        <v>0</v>
      </c>
      <c r="P3860" s="43">
        <f t="shared" si="191"/>
        <v>0</v>
      </c>
      <c r="Q3860" s="50" t="s">
        <v>37</v>
      </c>
      <c r="R3860" s="36" t="s">
        <v>13574</v>
      </c>
      <c r="S3860" s="36"/>
      <c r="T3860" s="35" t="str">
        <f>HYPERLINK("https://miland.ru/api/getInfo/image/493f2fb9-7d92-11f0-a284-00155d82e908")</f>
        <v>https://miland.ru/api/getInfo/image/493f2fb9-7d92-11f0-a284-00155d82e908</v>
      </c>
      <c r="U3860" s="35"/>
      <c r="V3860" s="35" t="s">
        <v>6525</v>
      </c>
      <c r="W3860" s="35" t="s">
        <v>378</v>
      </c>
      <c r="X3860" s="35"/>
      <c r="Y3860" s="35" t="s">
        <v>41</v>
      </c>
      <c r="Z3860" s="35"/>
      <c r="AA3860" s="35" t="str">
        <f>HYPERLINK("https://miland.ru/api/getInfo/item/493f2fb9-7d92-11f0-a284-00155d82e908")</f>
        <v>https://miland.ru/api/getInfo/item/493f2fb9-7d92-11f0-a284-00155d82e908</v>
      </c>
      <c r="AB3860" s="35" t="s">
        <v>42</v>
      </c>
      <c r="AC3860" s="35"/>
      <c r="AD3860" s="35"/>
      <c r="AE3860" s="52" t="s">
        <v>1251</v>
      </c>
    </row>
    <row r="3861" spans="2:31" s="1" customFormat="1" ht="96.3" customHeight="1" outlineLevel="7">
      <c r="B3861" s="59">
        <v>3043</v>
      </c>
      <c r="C3861" s="35" t="s">
        <v>13575</v>
      </c>
      <c r="D3861" s="73" t="s">
        <v>13576</v>
      </c>
      <c r="E3861" s="73"/>
      <c r="F3861" s="73"/>
      <c r="G3861" s="73"/>
      <c r="H3861" s="36" t="s">
        <v>13577</v>
      </c>
      <c r="I3861" s="56" t="s">
        <v>36</v>
      </c>
      <c r="J3861" s="36"/>
      <c r="K3861" s="34">
        <v>12</v>
      </c>
      <c r="L3861" s="41">
        <v>34.533333333333331</v>
      </c>
      <c r="M3861" s="11"/>
      <c r="N3861" s="36">
        <f t="shared" si="188"/>
        <v>0</v>
      </c>
      <c r="O3861" s="42">
        <f>0.032*M3861</f>
        <v>0</v>
      </c>
      <c r="P3861" s="43">
        <f t="shared" si="191"/>
        <v>0</v>
      </c>
      <c r="Q3861" s="50" t="s">
        <v>37</v>
      </c>
      <c r="R3861" s="36" t="s">
        <v>13578</v>
      </c>
      <c r="S3861" s="36"/>
      <c r="T3861" s="35" t="str">
        <f>HYPERLINK("https://miland.ru/api/getInfo/image/d84cebf2-7d91-11f0-a284-00155d82e908")</f>
        <v>https://miland.ru/api/getInfo/image/d84cebf2-7d91-11f0-a284-00155d82e908</v>
      </c>
      <c r="U3861" s="35"/>
      <c r="V3861" s="35" t="s">
        <v>6525</v>
      </c>
      <c r="W3861" s="35" t="s">
        <v>378</v>
      </c>
      <c r="X3861" s="35"/>
      <c r="Y3861" s="35" t="s">
        <v>41</v>
      </c>
      <c r="Z3861" s="35"/>
      <c r="AA3861" s="35" t="str">
        <f>HYPERLINK("https://miland.ru/api/getInfo/item/d84cebf2-7d91-11f0-a284-00155d82e908")</f>
        <v>https://miland.ru/api/getInfo/item/d84cebf2-7d91-11f0-a284-00155d82e908</v>
      </c>
      <c r="AB3861" s="35" t="s">
        <v>42</v>
      </c>
      <c r="AC3861" s="35"/>
      <c r="AD3861" s="35"/>
      <c r="AE3861" s="52" t="s">
        <v>1251</v>
      </c>
    </row>
    <row r="3862" spans="2:31" s="1" customFormat="1" ht="96.3" customHeight="1" outlineLevel="7">
      <c r="B3862" s="59">
        <v>3044</v>
      </c>
      <c r="C3862" s="35" t="s">
        <v>13579</v>
      </c>
      <c r="D3862" s="73" t="s">
        <v>13580</v>
      </c>
      <c r="E3862" s="73"/>
      <c r="F3862" s="73"/>
      <c r="G3862" s="73"/>
      <c r="H3862" s="36" t="s">
        <v>13581</v>
      </c>
      <c r="I3862" s="56" t="s">
        <v>36</v>
      </c>
      <c r="J3862" s="36"/>
      <c r="K3862" s="34">
        <v>12</v>
      </c>
      <c r="L3862" s="41">
        <v>34.533333333333331</v>
      </c>
      <c r="M3862" s="11"/>
      <c r="N3862" s="36">
        <f t="shared" si="188"/>
        <v>0</v>
      </c>
      <c r="O3862" s="42">
        <f>0.033*M3862</f>
        <v>0</v>
      </c>
      <c r="P3862" s="43">
        <f t="shared" si="191"/>
        <v>0</v>
      </c>
      <c r="Q3862" s="50" t="s">
        <v>37</v>
      </c>
      <c r="R3862" s="36" t="s">
        <v>13582</v>
      </c>
      <c r="S3862" s="36"/>
      <c r="T3862" s="35" t="str">
        <f>HYPERLINK("https://miland.ru/api/getInfo/image/31249976-7d8a-11f0-a284-00155d82e908")</f>
        <v>https://miland.ru/api/getInfo/image/31249976-7d8a-11f0-a284-00155d82e908</v>
      </c>
      <c r="U3862" s="35"/>
      <c r="V3862" s="35" t="s">
        <v>6525</v>
      </c>
      <c r="W3862" s="35" t="s">
        <v>378</v>
      </c>
      <c r="X3862" s="35"/>
      <c r="Y3862" s="35" t="s">
        <v>41</v>
      </c>
      <c r="Z3862" s="35"/>
      <c r="AA3862" s="35" t="str">
        <f>HYPERLINK("https://miland.ru/api/getInfo/item/31249976-7d8a-11f0-a284-00155d82e908")</f>
        <v>https://miland.ru/api/getInfo/item/31249976-7d8a-11f0-a284-00155d82e908</v>
      </c>
      <c r="AB3862" s="35" t="s">
        <v>42</v>
      </c>
      <c r="AC3862" s="35"/>
      <c r="AD3862" s="35"/>
      <c r="AE3862" s="52" t="s">
        <v>1251</v>
      </c>
    </row>
    <row r="3863" spans="2:31" s="1" customFormat="1" ht="96.3" customHeight="1" outlineLevel="7">
      <c r="B3863" s="59">
        <v>3045</v>
      </c>
      <c r="C3863" s="35" t="s">
        <v>13583</v>
      </c>
      <c r="D3863" s="73" t="s">
        <v>13584</v>
      </c>
      <c r="E3863" s="73"/>
      <c r="F3863" s="73"/>
      <c r="G3863" s="73"/>
      <c r="H3863" s="36" t="s">
        <v>13585</v>
      </c>
      <c r="I3863" s="56" t="s">
        <v>36</v>
      </c>
      <c r="J3863" s="36"/>
      <c r="K3863" s="34">
        <v>12</v>
      </c>
      <c r="L3863" s="41">
        <v>34.533333333333331</v>
      </c>
      <c r="M3863" s="11"/>
      <c r="N3863" s="36">
        <f t="shared" si="188"/>
        <v>0</v>
      </c>
      <c r="O3863" s="42">
        <f>0.032*M3863</f>
        <v>0</v>
      </c>
      <c r="P3863" s="43">
        <f t="shared" si="191"/>
        <v>0</v>
      </c>
      <c r="Q3863" s="50" t="s">
        <v>37</v>
      </c>
      <c r="R3863" s="36" t="s">
        <v>13586</v>
      </c>
      <c r="S3863" s="36"/>
      <c r="T3863" s="35" t="str">
        <f>HYPERLINK("https://miland.ru/api/getInfo/image/b96fa61b-7d92-11f0-a284-00155d82e908")</f>
        <v>https://miland.ru/api/getInfo/image/b96fa61b-7d92-11f0-a284-00155d82e908</v>
      </c>
      <c r="U3863" s="35"/>
      <c r="V3863" s="35" t="s">
        <v>6525</v>
      </c>
      <c r="W3863" s="35" t="s">
        <v>378</v>
      </c>
      <c r="X3863" s="35"/>
      <c r="Y3863" s="35" t="s">
        <v>41</v>
      </c>
      <c r="Z3863" s="35"/>
      <c r="AA3863" s="35" t="str">
        <f>HYPERLINK("https://miland.ru/api/getInfo/item/b96fa61b-7d92-11f0-a284-00155d82e908")</f>
        <v>https://miland.ru/api/getInfo/item/b96fa61b-7d92-11f0-a284-00155d82e908</v>
      </c>
      <c r="AB3863" s="35" t="s">
        <v>42</v>
      </c>
      <c r="AC3863" s="35"/>
      <c r="AD3863" s="35"/>
      <c r="AE3863" s="52" t="s">
        <v>1251</v>
      </c>
    </row>
    <row r="3864" spans="2:31" s="1" customFormat="1" ht="96.3" customHeight="1" outlineLevel="7">
      <c r="B3864" s="59">
        <v>3046</v>
      </c>
      <c r="C3864" s="35" t="s">
        <v>13587</v>
      </c>
      <c r="D3864" s="73" t="s">
        <v>13588</v>
      </c>
      <c r="E3864" s="73"/>
      <c r="F3864" s="73"/>
      <c r="G3864" s="73"/>
      <c r="H3864" s="36" t="s">
        <v>13589</v>
      </c>
      <c r="I3864" s="56" t="s">
        <v>36</v>
      </c>
      <c r="J3864" s="36"/>
      <c r="K3864" s="34">
        <v>12</v>
      </c>
      <c r="L3864" s="41">
        <v>34.533333333333331</v>
      </c>
      <c r="M3864" s="11"/>
      <c r="N3864" s="36">
        <f t="shared" si="188"/>
        <v>0</v>
      </c>
      <c r="O3864" s="42">
        <f>0.033*M3864</f>
        <v>0</v>
      </c>
      <c r="P3864" s="43">
        <f t="shared" si="191"/>
        <v>0</v>
      </c>
      <c r="Q3864" s="50" t="s">
        <v>37</v>
      </c>
      <c r="R3864" s="36" t="s">
        <v>13590</v>
      </c>
      <c r="S3864" s="36"/>
      <c r="T3864" s="35" t="str">
        <f>HYPERLINK("https://miland.ru/api/getInfo/image/3443df1a-7d92-11f0-a284-00155d82e908")</f>
        <v>https://miland.ru/api/getInfo/image/3443df1a-7d92-11f0-a284-00155d82e908</v>
      </c>
      <c r="U3864" s="35"/>
      <c r="V3864" s="35" t="s">
        <v>6525</v>
      </c>
      <c r="W3864" s="35" t="s">
        <v>378</v>
      </c>
      <c r="X3864" s="35"/>
      <c r="Y3864" s="35" t="s">
        <v>41</v>
      </c>
      <c r="Z3864" s="35"/>
      <c r="AA3864" s="35" t="str">
        <f>HYPERLINK("https://miland.ru/api/getInfo/item/3443df1a-7d92-11f0-a284-00155d82e908")</f>
        <v>https://miland.ru/api/getInfo/item/3443df1a-7d92-11f0-a284-00155d82e908</v>
      </c>
      <c r="AB3864" s="35" t="s">
        <v>42</v>
      </c>
      <c r="AC3864" s="35"/>
      <c r="AD3864" s="35"/>
      <c r="AE3864" s="52" t="s">
        <v>1251</v>
      </c>
    </row>
    <row r="3865" spans="2:31" s="1" customFormat="1" ht="96.3" customHeight="1" outlineLevel="7">
      <c r="B3865" s="59">
        <v>3047</v>
      </c>
      <c r="C3865" s="35" t="s">
        <v>13591</v>
      </c>
      <c r="D3865" s="73" t="s">
        <v>13592</v>
      </c>
      <c r="E3865" s="73"/>
      <c r="F3865" s="73"/>
      <c r="G3865" s="73"/>
      <c r="H3865" s="36" t="s">
        <v>13593</v>
      </c>
      <c r="I3865" s="56" t="s">
        <v>36</v>
      </c>
      <c r="J3865" s="36"/>
      <c r="K3865" s="34">
        <v>12</v>
      </c>
      <c r="L3865" s="41">
        <v>34.533333333333331</v>
      </c>
      <c r="M3865" s="11"/>
      <c r="N3865" s="36">
        <f t="shared" si="188"/>
        <v>0</v>
      </c>
      <c r="O3865" s="42">
        <f>0.032*M3865</f>
        <v>0</v>
      </c>
      <c r="P3865" s="43">
        <f t="shared" si="191"/>
        <v>0</v>
      </c>
      <c r="Q3865" s="50" t="s">
        <v>37</v>
      </c>
      <c r="R3865" s="36" t="s">
        <v>13594</v>
      </c>
      <c r="S3865" s="36"/>
      <c r="T3865" s="35" t="str">
        <f>HYPERLINK("https://miland.ru/api/getInfo/image/b2d52bc0-7d8d-11f0-a284-00155d82e908")</f>
        <v>https://miland.ru/api/getInfo/image/b2d52bc0-7d8d-11f0-a284-00155d82e908</v>
      </c>
      <c r="U3865" s="35"/>
      <c r="V3865" s="35" t="s">
        <v>6525</v>
      </c>
      <c r="W3865" s="35" t="s">
        <v>378</v>
      </c>
      <c r="X3865" s="35"/>
      <c r="Y3865" s="35" t="s">
        <v>41</v>
      </c>
      <c r="Z3865" s="35"/>
      <c r="AA3865" s="35" t="str">
        <f>HYPERLINK("https://miland.ru/api/getInfo/item/b2d52bc0-7d8d-11f0-a284-00155d82e908")</f>
        <v>https://miland.ru/api/getInfo/item/b2d52bc0-7d8d-11f0-a284-00155d82e908</v>
      </c>
      <c r="AB3865" s="35" t="s">
        <v>42</v>
      </c>
      <c r="AC3865" s="35"/>
      <c r="AD3865" s="35"/>
      <c r="AE3865" s="52" t="s">
        <v>1251</v>
      </c>
    </row>
    <row r="3866" spans="2:31" s="1" customFormat="1" ht="96.3" customHeight="1" outlineLevel="7">
      <c r="B3866" s="59">
        <v>3048</v>
      </c>
      <c r="C3866" s="35" t="s">
        <v>13595</v>
      </c>
      <c r="D3866" s="73" t="s">
        <v>13596</v>
      </c>
      <c r="E3866" s="73"/>
      <c r="F3866" s="73"/>
      <c r="G3866" s="73"/>
      <c r="H3866" s="36" t="s">
        <v>13597</v>
      </c>
      <c r="I3866" s="56" t="s">
        <v>36</v>
      </c>
      <c r="J3866" s="36"/>
      <c r="K3866" s="34">
        <v>12</v>
      </c>
      <c r="L3866" s="41">
        <v>34.533333333333331</v>
      </c>
      <c r="M3866" s="11"/>
      <c r="N3866" s="36">
        <f t="shared" si="188"/>
        <v>0</v>
      </c>
      <c r="O3866" s="42">
        <f>0.034*M3866</f>
        <v>0</v>
      </c>
      <c r="P3866" s="43">
        <f t="shared" si="191"/>
        <v>0</v>
      </c>
      <c r="Q3866" s="50" t="s">
        <v>37</v>
      </c>
      <c r="R3866" s="36" t="s">
        <v>13598</v>
      </c>
      <c r="S3866" s="36"/>
      <c r="T3866" s="35" t="str">
        <f>HYPERLINK("https://miland.ru/api/getInfo/image/93b3c8a6-7d93-11f0-a284-00155d82e908")</f>
        <v>https://miland.ru/api/getInfo/image/93b3c8a6-7d93-11f0-a284-00155d82e908</v>
      </c>
      <c r="U3866" s="35"/>
      <c r="V3866" s="35" t="s">
        <v>6525</v>
      </c>
      <c r="W3866" s="35" t="s">
        <v>378</v>
      </c>
      <c r="X3866" s="35"/>
      <c r="Y3866" s="35" t="s">
        <v>41</v>
      </c>
      <c r="Z3866" s="35"/>
      <c r="AA3866" s="35" t="str">
        <f>HYPERLINK("https://miland.ru/api/getInfo/item/93b3c8a6-7d93-11f0-a284-00155d82e908")</f>
        <v>https://miland.ru/api/getInfo/item/93b3c8a6-7d93-11f0-a284-00155d82e908</v>
      </c>
      <c r="AB3866" s="35" t="s">
        <v>42</v>
      </c>
      <c r="AC3866" s="35"/>
      <c r="AD3866" s="35"/>
      <c r="AE3866" s="52" t="s">
        <v>1251</v>
      </c>
    </row>
    <row r="3867" spans="2:31" s="1" customFormat="1" ht="96.3" customHeight="1" outlineLevel="7">
      <c r="B3867" s="59">
        <v>3049</v>
      </c>
      <c r="C3867" s="35" t="s">
        <v>13599</v>
      </c>
      <c r="D3867" s="73" t="s">
        <v>13600</v>
      </c>
      <c r="E3867" s="73"/>
      <c r="F3867" s="73"/>
      <c r="G3867" s="73"/>
      <c r="H3867" s="36" t="s">
        <v>13601</v>
      </c>
      <c r="I3867" s="56" t="s">
        <v>36</v>
      </c>
      <c r="J3867" s="36"/>
      <c r="K3867" s="34">
        <v>12</v>
      </c>
      <c r="L3867" s="41">
        <v>34.533333333333331</v>
      </c>
      <c r="M3867" s="11"/>
      <c r="N3867" s="36">
        <f t="shared" si="188"/>
        <v>0</v>
      </c>
      <c r="O3867" s="42">
        <f>0.034*M3867</f>
        <v>0</v>
      </c>
      <c r="P3867" s="43">
        <f t="shared" si="191"/>
        <v>0</v>
      </c>
      <c r="Q3867" s="50" t="s">
        <v>37</v>
      </c>
      <c r="R3867" s="36" t="s">
        <v>13602</v>
      </c>
      <c r="S3867" s="36"/>
      <c r="T3867" s="35" t="str">
        <f>HYPERLINK("https://miland.ru/api/getInfo/image/4986455f-7d93-11f0-a284-00155d82e908")</f>
        <v>https://miland.ru/api/getInfo/image/4986455f-7d93-11f0-a284-00155d82e908</v>
      </c>
      <c r="U3867" s="35"/>
      <c r="V3867" s="35" t="s">
        <v>6525</v>
      </c>
      <c r="W3867" s="35" t="s">
        <v>378</v>
      </c>
      <c r="X3867" s="35"/>
      <c r="Y3867" s="35" t="s">
        <v>41</v>
      </c>
      <c r="Z3867" s="35"/>
      <c r="AA3867" s="35" t="str">
        <f>HYPERLINK("https://miland.ru/api/getInfo/item/4986455f-7d93-11f0-a284-00155d82e908")</f>
        <v>https://miland.ru/api/getInfo/item/4986455f-7d93-11f0-a284-00155d82e908</v>
      </c>
      <c r="AB3867" s="35" t="s">
        <v>42</v>
      </c>
      <c r="AC3867" s="35"/>
      <c r="AD3867" s="35"/>
      <c r="AE3867" s="52" t="s">
        <v>1251</v>
      </c>
    </row>
    <row r="3868" spans="2:31" s="1" customFormat="1" ht="96.3" customHeight="1" outlineLevel="7">
      <c r="B3868" s="59">
        <v>3050</v>
      </c>
      <c r="C3868" s="35" t="s">
        <v>13603</v>
      </c>
      <c r="D3868" s="73" t="s">
        <v>13604</v>
      </c>
      <c r="E3868" s="73"/>
      <c r="F3868" s="73"/>
      <c r="G3868" s="73"/>
      <c r="H3868" s="36" t="s">
        <v>13605</v>
      </c>
      <c r="I3868" s="56" t="s">
        <v>36</v>
      </c>
      <c r="J3868" s="36"/>
      <c r="K3868" s="34">
        <v>12</v>
      </c>
      <c r="L3868" s="41">
        <v>34.533333333333331</v>
      </c>
      <c r="M3868" s="11"/>
      <c r="N3868" s="36">
        <f t="shared" si="188"/>
        <v>0</v>
      </c>
      <c r="O3868" s="42">
        <f>0.033*M3868</f>
        <v>0</v>
      </c>
      <c r="P3868" s="43">
        <f t="shared" si="191"/>
        <v>0</v>
      </c>
      <c r="Q3868" s="50" t="s">
        <v>37</v>
      </c>
      <c r="R3868" s="36" t="s">
        <v>13606</v>
      </c>
      <c r="S3868" s="36"/>
      <c r="T3868" s="35" t="str">
        <f>HYPERLINK("https://miland.ru/api/getInfo/image/49f8e6b2-7d8e-11f0-a284-00155d82e908")</f>
        <v>https://miland.ru/api/getInfo/image/49f8e6b2-7d8e-11f0-a284-00155d82e908</v>
      </c>
      <c r="U3868" s="35"/>
      <c r="V3868" s="35" t="s">
        <v>6525</v>
      </c>
      <c r="W3868" s="35" t="s">
        <v>378</v>
      </c>
      <c r="X3868" s="35"/>
      <c r="Y3868" s="35" t="s">
        <v>41</v>
      </c>
      <c r="Z3868" s="35"/>
      <c r="AA3868" s="35" t="str">
        <f>HYPERLINK("https://miland.ru/api/getInfo/item/49f8e6b2-7d8e-11f0-a284-00155d82e908")</f>
        <v>https://miland.ru/api/getInfo/item/49f8e6b2-7d8e-11f0-a284-00155d82e908</v>
      </c>
      <c r="AB3868" s="35" t="s">
        <v>42</v>
      </c>
      <c r="AC3868" s="35"/>
      <c r="AD3868" s="35"/>
      <c r="AE3868" s="52" t="s">
        <v>1251</v>
      </c>
    </row>
    <row r="3869" spans="2:31" s="1" customFormat="1" ht="96.3" customHeight="1" outlineLevel="7">
      <c r="B3869" s="59">
        <v>3051</v>
      </c>
      <c r="C3869" s="35" t="s">
        <v>13607</v>
      </c>
      <c r="D3869" s="73" t="s">
        <v>13608</v>
      </c>
      <c r="E3869" s="73"/>
      <c r="F3869" s="73"/>
      <c r="G3869" s="73"/>
      <c r="H3869" s="36" t="s">
        <v>13609</v>
      </c>
      <c r="I3869" s="56" t="s">
        <v>36</v>
      </c>
      <c r="J3869" s="36"/>
      <c r="K3869" s="34">
        <v>12</v>
      </c>
      <c r="L3869" s="41">
        <v>34.533333333333331</v>
      </c>
      <c r="M3869" s="11"/>
      <c r="N3869" s="36">
        <f t="shared" si="188"/>
        <v>0</v>
      </c>
      <c r="O3869" s="42">
        <f>0.033*M3869</f>
        <v>0</v>
      </c>
      <c r="P3869" s="43">
        <f t="shared" si="191"/>
        <v>0</v>
      </c>
      <c r="Q3869" s="50" t="s">
        <v>37</v>
      </c>
      <c r="R3869" s="36" t="s">
        <v>13610</v>
      </c>
      <c r="S3869" s="36"/>
      <c r="T3869" s="35" t="str">
        <f>HYPERLINK("https://miland.ru/api/getInfo/image/e42d9f29-7d92-11f0-a284-00155d82e908")</f>
        <v>https://miland.ru/api/getInfo/image/e42d9f29-7d92-11f0-a284-00155d82e908</v>
      </c>
      <c r="U3869" s="35"/>
      <c r="V3869" s="35" t="s">
        <v>6525</v>
      </c>
      <c r="W3869" s="35" t="s">
        <v>378</v>
      </c>
      <c r="X3869" s="35"/>
      <c r="Y3869" s="35" t="s">
        <v>41</v>
      </c>
      <c r="Z3869" s="35"/>
      <c r="AA3869" s="35" t="str">
        <f>HYPERLINK("https://miland.ru/api/getInfo/item/e42d9f29-7d92-11f0-a284-00155d82e908")</f>
        <v>https://miland.ru/api/getInfo/item/e42d9f29-7d92-11f0-a284-00155d82e908</v>
      </c>
      <c r="AB3869" s="35" t="s">
        <v>42</v>
      </c>
      <c r="AC3869" s="35"/>
      <c r="AD3869" s="35"/>
      <c r="AE3869" s="52" t="s">
        <v>1251</v>
      </c>
    </row>
    <row r="3870" spans="2:31" s="1" customFormat="1" ht="96.3" customHeight="1" outlineLevel="7">
      <c r="B3870" s="59">
        <v>3052</v>
      </c>
      <c r="C3870" s="35" t="s">
        <v>13611</v>
      </c>
      <c r="D3870" s="73" t="s">
        <v>13612</v>
      </c>
      <c r="E3870" s="73"/>
      <c r="F3870" s="73"/>
      <c r="G3870" s="73"/>
      <c r="H3870" s="36" t="s">
        <v>13613</v>
      </c>
      <c r="I3870" s="56" t="s">
        <v>36</v>
      </c>
      <c r="J3870" s="36"/>
      <c r="K3870" s="34">
        <v>12</v>
      </c>
      <c r="L3870" s="41">
        <v>34.533333333333331</v>
      </c>
      <c r="M3870" s="11"/>
      <c r="N3870" s="36">
        <f t="shared" si="188"/>
        <v>0</v>
      </c>
      <c r="O3870" s="42">
        <f>0.385*M3870</f>
        <v>0</v>
      </c>
      <c r="P3870" s="43">
        <f t="shared" si="191"/>
        <v>0</v>
      </c>
      <c r="Q3870" s="50" t="s">
        <v>37</v>
      </c>
      <c r="R3870" s="36" t="s">
        <v>13614</v>
      </c>
      <c r="S3870" s="36"/>
      <c r="T3870" s="35" t="str">
        <f>HYPERLINK("https://miland.ru/api/getInfo/image/6bbc646d-7d8d-11f0-a284-00155d82e908")</f>
        <v>https://miland.ru/api/getInfo/image/6bbc646d-7d8d-11f0-a284-00155d82e908</v>
      </c>
      <c r="U3870" s="35"/>
      <c r="V3870" s="35" t="s">
        <v>6525</v>
      </c>
      <c r="W3870" s="35" t="s">
        <v>378</v>
      </c>
      <c r="X3870" s="35"/>
      <c r="Y3870" s="35" t="s">
        <v>41</v>
      </c>
      <c r="Z3870" s="35"/>
      <c r="AA3870" s="35" t="str">
        <f>HYPERLINK("https://miland.ru/api/getInfo/item/6bbc646d-7d8d-11f0-a284-00155d82e908")</f>
        <v>https://miland.ru/api/getInfo/item/6bbc646d-7d8d-11f0-a284-00155d82e908</v>
      </c>
      <c r="AB3870" s="35" t="s">
        <v>42</v>
      </c>
      <c r="AC3870" s="35"/>
      <c r="AD3870" s="35"/>
      <c r="AE3870" s="52" t="s">
        <v>1251</v>
      </c>
    </row>
    <row r="3871" spans="2:31" s="1" customFormat="1" ht="96.3" customHeight="1" outlineLevel="7">
      <c r="B3871" s="59">
        <v>3053</v>
      </c>
      <c r="C3871" s="35" t="s">
        <v>13615</v>
      </c>
      <c r="D3871" s="73" t="s">
        <v>13616</v>
      </c>
      <c r="E3871" s="73"/>
      <c r="F3871" s="73"/>
      <c r="G3871" s="73"/>
      <c r="H3871" s="36" t="s">
        <v>13617</v>
      </c>
      <c r="I3871" s="56" t="s">
        <v>36</v>
      </c>
      <c r="J3871" s="36"/>
      <c r="K3871" s="34">
        <v>12</v>
      </c>
      <c r="L3871" s="41">
        <v>34.533333333333331</v>
      </c>
      <c r="M3871" s="11"/>
      <c r="N3871" s="36">
        <f t="shared" si="188"/>
        <v>0</v>
      </c>
      <c r="O3871" s="42">
        <f>0.034*M3871</f>
        <v>0</v>
      </c>
      <c r="P3871" s="43">
        <f t="shared" si="191"/>
        <v>0</v>
      </c>
      <c r="Q3871" s="50" t="s">
        <v>37</v>
      </c>
      <c r="R3871" s="36" t="s">
        <v>13618</v>
      </c>
      <c r="S3871" s="36"/>
      <c r="T3871" s="35" t="str">
        <f>HYPERLINK("https://miland.ru/api/getInfo/image/7e7f90f6-7d93-11f0-a284-00155d82e908")</f>
        <v>https://miland.ru/api/getInfo/image/7e7f90f6-7d93-11f0-a284-00155d82e908</v>
      </c>
      <c r="U3871" s="35"/>
      <c r="V3871" s="35" t="s">
        <v>6525</v>
      </c>
      <c r="W3871" s="35" t="s">
        <v>378</v>
      </c>
      <c r="X3871" s="35"/>
      <c r="Y3871" s="35" t="s">
        <v>41</v>
      </c>
      <c r="Z3871" s="35"/>
      <c r="AA3871" s="35" t="str">
        <f>HYPERLINK("https://miland.ru/api/getInfo/item/7e7f90f6-7d93-11f0-a284-00155d82e908")</f>
        <v>https://miland.ru/api/getInfo/item/7e7f90f6-7d93-11f0-a284-00155d82e908</v>
      </c>
      <c r="AB3871" s="35" t="s">
        <v>42</v>
      </c>
      <c r="AC3871" s="35"/>
      <c r="AD3871" s="35"/>
      <c r="AE3871" s="52" t="s">
        <v>1251</v>
      </c>
    </row>
    <row r="3872" spans="2:31" s="1" customFormat="1" ht="96.3" customHeight="1" outlineLevel="7">
      <c r="B3872" s="59">
        <v>3054</v>
      </c>
      <c r="C3872" s="35" t="s">
        <v>13619</v>
      </c>
      <c r="D3872" s="73" t="s">
        <v>13620</v>
      </c>
      <c r="E3872" s="73"/>
      <c r="F3872" s="73"/>
      <c r="G3872" s="73"/>
      <c r="H3872" s="36" t="s">
        <v>13621</v>
      </c>
      <c r="I3872" s="56" t="s">
        <v>36</v>
      </c>
      <c r="J3872" s="36"/>
      <c r="K3872" s="34">
        <v>12</v>
      </c>
      <c r="L3872" s="41">
        <v>34.533333333333331</v>
      </c>
      <c r="M3872" s="11"/>
      <c r="N3872" s="36">
        <f t="shared" si="188"/>
        <v>0</v>
      </c>
      <c r="O3872" s="42">
        <f>0.034*M3872</f>
        <v>0</v>
      </c>
      <c r="P3872" s="43">
        <f t="shared" si="191"/>
        <v>0</v>
      </c>
      <c r="Q3872" s="50" t="s">
        <v>37</v>
      </c>
      <c r="R3872" s="36" t="s">
        <v>13622</v>
      </c>
      <c r="S3872" s="36"/>
      <c r="T3872" s="35" t="str">
        <f>HYPERLINK("https://miland.ru/api/getInfo/image/c96f2912-7d92-11f0-a284-00155d82e908")</f>
        <v>https://miland.ru/api/getInfo/image/c96f2912-7d92-11f0-a284-00155d82e908</v>
      </c>
      <c r="U3872" s="35"/>
      <c r="V3872" s="35" t="s">
        <v>6525</v>
      </c>
      <c r="W3872" s="35" t="s">
        <v>378</v>
      </c>
      <c r="X3872" s="35"/>
      <c r="Y3872" s="35" t="s">
        <v>41</v>
      </c>
      <c r="Z3872" s="35"/>
      <c r="AA3872" s="35" t="str">
        <f>HYPERLINK("https://miland.ru/api/getInfo/item/c96f2912-7d92-11f0-a284-00155d82e908")</f>
        <v>https://miland.ru/api/getInfo/item/c96f2912-7d92-11f0-a284-00155d82e908</v>
      </c>
      <c r="AB3872" s="35" t="s">
        <v>42</v>
      </c>
      <c r="AC3872" s="35"/>
      <c r="AD3872" s="35"/>
      <c r="AE3872" s="52" t="s">
        <v>1251</v>
      </c>
    </row>
    <row r="3873" spans="2:31" s="1" customFormat="1" ht="96.3" customHeight="1" outlineLevel="7">
      <c r="B3873" s="59">
        <v>3055</v>
      </c>
      <c r="C3873" s="35" t="s">
        <v>13623</v>
      </c>
      <c r="D3873" s="73" t="s">
        <v>13624</v>
      </c>
      <c r="E3873" s="73"/>
      <c r="F3873" s="73"/>
      <c r="G3873" s="73"/>
      <c r="H3873" s="36" t="s">
        <v>13625</v>
      </c>
      <c r="I3873" s="40">
        <v>192</v>
      </c>
      <c r="J3873" s="36"/>
      <c r="K3873" s="34">
        <v>12</v>
      </c>
      <c r="L3873" s="41">
        <v>34.533333333333331</v>
      </c>
      <c r="M3873" s="11"/>
      <c r="N3873" s="36">
        <f t="shared" si="188"/>
        <v>0</v>
      </c>
      <c r="O3873" s="42">
        <f>0.033*M3873</f>
        <v>0</v>
      </c>
      <c r="P3873" s="43">
        <f t="shared" si="191"/>
        <v>0</v>
      </c>
      <c r="Q3873" s="50" t="s">
        <v>37</v>
      </c>
      <c r="R3873" s="36" t="s">
        <v>13626</v>
      </c>
      <c r="S3873" s="36"/>
      <c r="T3873" s="35" t="str">
        <f>HYPERLINK("https://miland.ru/api/getInfo/image/8c522b3e-7d92-11f0-a284-00155d82e908")</f>
        <v>https://miland.ru/api/getInfo/image/8c522b3e-7d92-11f0-a284-00155d82e908</v>
      </c>
      <c r="U3873" s="35"/>
      <c r="V3873" s="35" t="s">
        <v>6525</v>
      </c>
      <c r="W3873" s="35" t="s">
        <v>378</v>
      </c>
      <c r="X3873" s="35"/>
      <c r="Y3873" s="35" t="s">
        <v>41</v>
      </c>
      <c r="Z3873" s="35"/>
      <c r="AA3873" s="35" t="str">
        <f>HYPERLINK("https://miland.ru/api/getInfo/item/8c522b3e-7d92-11f0-a284-00155d82e908")</f>
        <v>https://miland.ru/api/getInfo/item/8c522b3e-7d92-11f0-a284-00155d82e908</v>
      </c>
      <c r="AB3873" s="35" t="s">
        <v>42</v>
      </c>
      <c r="AC3873" s="35"/>
      <c r="AD3873" s="35"/>
      <c r="AE3873" s="52" t="s">
        <v>1251</v>
      </c>
    </row>
    <row r="3874" spans="2:31" s="1" customFormat="1" ht="96.3" customHeight="1" outlineLevel="7">
      <c r="B3874" s="59">
        <v>3056</v>
      </c>
      <c r="C3874" s="35" t="s">
        <v>13627</v>
      </c>
      <c r="D3874" s="73" t="s">
        <v>13628</v>
      </c>
      <c r="E3874" s="73"/>
      <c r="F3874" s="73"/>
      <c r="G3874" s="73"/>
      <c r="H3874" s="36" t="s">
        <v>13629</v>
      </c>
      <c r="I3874" s="56" t="s">
        <v>36</v>
      </c>
      <c r="J3874" s="36"/>
      <c r="K3874" s="34">
        <v>12</v>
      </c>
      <c r="L3874" s="41">
        <v>34.533333333333331</v>
      </c>
      <c r="M3874" s="11"/>
      <c r="N3874" s="36">
        <f t="shared" si="188"/>
        <v>0</v>
      </c>
      <c r="O3874" s="42">
        <f>0.034*M3874</f>
        <v>0</v>
      </c>
      <c r="P3874" s="43">
        <f t="shared" si="191"/>
        <v>0</v>
      </c>
      <c r="Q3874" s="50" t="s">
        <v>37</v>
      </c>
      <c r="R3874" s="36" t="s">
        <v>13630</v>
      </c>
      <c r="S3874" s="36"/>
      <c r="T3874" s="35" t="str">
        <f>HYPERLINK("https://miland.ru/api/getInfo/image/a2c98a25-7d92-11f0-a284-00155d82e908")</f>
        <v>https://miland.ru/api/getInfo/image/a2c98a25-7d92-11f0-a284-00155d82e908</v>
      </c>
      <c r="U3874" s="35"/>
      <c r="V3874" s="35" t="s">
        <v>6525</v>
      </c>
      <c r="W3874" s="35" t="s">
        <v>378</v>
      </c>
      <c r="X3874" s="35"/>
      <c r="Y3874" s="35" t="s">
        <v>41</v>
      </c>
      <c r="Z3874" s="35"/>
      <c r="AA3874" s="35" t="str">
        <f>HYPERLINK("https://miland.ru/api/getInfo/item/a2c98a25-7d92-11f0-a284-00155d82e908")</f>
        <v>https://miland.ru/api/getInfo/item/a2c98a25-7d92-11f0-a284-00155d82e908</v>
      </c>
      <c r="AB3874" s="35" t="s">
        <v>42</v>
      </c>
      <c r="AC3874" s="35"/>
      <c r="AD3874" s="35"/>
      <c r="AE3874" s="52" t="s">
        <v>1251</v>
      </c>
    </row>
    <row r="3875" spans="2:31" s="1" customFormat="1" ht="96.3" customHeight="1" outlineLevel="7">
      <c r="B3875" s="59">
        <v>3057</v>
      </c>
      <c r="C3875" s="35" t="s">
        <v>13631</v>
      </c>
      <c r="D3875" s="73" t="s">
        <v>13632</v>
      </c>
      <c r="E3875" s="73"/>
      <c r="F3875" s="73"/>
      <c r="G3875" s="73"/>
      <c r="H3875" s="36" t="s">
        <v>13633</v>
      </c>
      <c r="I3875" s="56" t="s">
        <v>36</v>
      </c>
      <c r="J3875" s="36"/>
      <c r="K3875" s="34">
        <v>12</v>
      </c>
      <c r="L3875" s="41">
        <v>34.533333333333331</v>
      </c>
      <c r="M3875" s="11"/>
      <c r="N3875" s="36">
        <f t="shared" si="188"/>
        <v>0</v>
      </c>
      <c r="O3875" s="42">
        <f>0.032*M3875</f>
        <v>0</v>
      </c>
      <c r="P3875" s="43">
        <f t="shared" si="191"/>
        <v>0</v>
      </c>
      <c r="Q3875" s="50" t="s">
        <v>37</v>
      </c>
      <c r="R3875" s="36" t="s">
        <v>13634</v>
      </c>
      <c r="S3875" s="36"/>
      <c r="T3875" s="35" t="str">
        <f>HYPERLINK("https://miland.ru/api/getInfo/image/a914b08a-7d8c-11f0-a284-00155d82e908")</f>
        <v>https://miland.ru/api/getInfo/image/a914b08a-7d8c-11f0-a284-00155d82e908</v>
      </c>
      <c r="U3875" s="35"/>
      <c r="V3875" s="35" t="s">
        <v>6525</v>
      </c>
      <c r="W3875" s="35" t="s">
        <v>378</v>
      </c>
      <c r="X3875" s="35"/>
      <c r="Y3875" s="35" t="s">
        <v>41</v>
      </c>
      <c r="Z3875" s="35"/>
      <c r="AA3875" s="35" t="str">
        <f>HYPERLINK("https://miland.ru/api/getInfo/item/a914b08a-7d8c-11f0-a284-00155d82e908")</f>
        <v>https://miland.ru/api/getInfo/item/a914b08a-7d8c-11f0-a284-00155d82e908</v>
      </c>
      <c r="AB3875" s="35" t="s">
        <v>42</v>
      </c>
      <c r="AC3875" s="35"/>
      <c r="AD3875" s="35"/>
      <c r="AE3875" s="52" t="s">
        <v>1251</v>
      </c>
    </row>
    <row r="3876" spans="2:31" s="1" customFormat="1" ht="96.3" customHeight="1" outlineLevel="7">
      <c r="B3876" s="59">
        <v>3058</v>
      </c>
      <c r="C3876" s="35" t="s">
        <v>13635</v>
      </c>
      <c r="D3876" s="73" t="s">
        <v>13636</v>
      </c>
      <c r="E3876" s="73"/>
      <c r="F3876" s="73"/>
      <c r="G3876" s="73"/>
      <c r="H3876" s="36" t="s">
        <v>13637</v>
      </c>
      <c r="I3876" s="56" t="s">
        <v>36</v>
      </c>
      <c r="J3876" s="36"/>
      <c r="K3876" s="34">
        <v>12</v>
      </c>
      <c r="L3876" s="41">
        <v>34.533333333333331</v>
      </c>
      <c r="M3876" s="11"/>
      <c r="N3876" s="36">
        <f t="shared" si="188"/>
        <v>0</v>
      </c>
      <c r="O3876" s="42">
        <f>0.033*M3876</f>
        <v>0</v>
      </c>
      <c r="P3876" s="43">
        <f t="shared" si="191"/>
        <v>0</v>
      </c>
      <c r="Q3876" s="50" t="s">
        <v>37</v>
      </c>
      <c r="R3876" s="36" t="s">
        <v>13638</v>
      </c>
      <c r="S3876" s="36"/>
      <c r="T3876" s="35" t="str">
        <f>HYPERLINK("https://miland.ru/api/getInfo/image/fb9b861e-7d91-11f0-a284-00155d82e908")</f>
        <v>https://miland.ru/api/getInfo/image/fb9b861e-7d91-11f0-a284-00155d82e908</v>
      </c>
      <c r="U3876" s="35"/>
      <c r="V3876" s="35" t="s">
        <v>6525</v>
      </c>
      <c r="W3876" s="35" t="s">
        <v>378</v>
      </c>
      <c r="X3876" s="35"/>
      <c r="Y3876" s="35" t="s">
        <v>41</v>
      </c>
      <c r="Z3876" s="35"/>
      <c r="AA3876" s="35" t="str">
        <f>HYPERLINK("https://miland.ru/api/getInfo/item/fb9b861e-7d91-11f0-a284-00155d82e908")</f>
        <v>https://miland.ru/api/getInfo/item/fb9b861e-7d91-11f0-a284-00155d82e908</v>
      </c>
      <c r="AB3876" s="35" t="s">
        <v>42</v>
      </c>
      <c r="AC3876" s="35"/>
      <c r="AD3876" s="35"/>
      <c r="AE3876" s="52" t="s">
        <v>1251</v>
      </c>
    </row>
    <row r="3877" spans="2:31" s="1" customFormat="1" ht="96.3" customHeight="1" outlineLevel="7">
      <c r="B3877" s="59">
        <v>3059</v>
      </c>
      <c r="C3877" s="35" t="s">
        <v>13639</v>
      </c>
      <c r="D3877" s="73" t="s">
        <v>13640</v>
      </c>
      <c r="E3877" s="73"/>
      <c r="F3877" s="73"/>
      <c r="G3877" s="73"/>
      <c r="H3877" s="36" t="s">
        <v>13641</v>
      </c>
      <c r="I3877" s="56" t="s">
        <v>36</v>
      </c>
      <c r="J3877" s="36"/>
      <c r="K3877" s="34">
        <v>12</v>
      </c>
      <c r="L3877" s="41">
        <v>34.533333333333331</v>
      </c>
      <c r="M3877" s="11"/>
      <c r="N3877" s="36">
        <f t="shared" si="188"/>
        <v>0</v>
      </c>
      <c r="O3877" s="42">
        <f>0.034*M3877</f>
        <v>0</v>
      </c>
      <c r="P3877" s="43">
        <f t="shared" si="191"/>
        <v>0</v>
      </c>
      <c r="Q3877" s="50" t="s">
        <v>37</v>
      </c>
      <c r="R3877" s="36" t="s">
        <v>13642</v>
      </c>
      <c r="S3877" s="36"/>
      <c r="T3877" s="35" t="str">
        <f>HYPERLINK("https://miland.ru/api/getInfo/image/8ae98eee-7d8c-11f0-a284-00155d82e908")</f>
        <v>https://miland.ru/api/getInfo/image/8ae98eee-7d8c-11f0-a284-00155d82e908</v>
      </c>
      <c r="U3877" s="35"/>
      <c r="V3877" s="35" t="s">
        <v>6525</v>
      </c>
      <c r="W3877" s="35" t="s">
        <v>378</v>
      </c>
      <c r="X3877" s="35"/>
      <c r="Y3877" s="35" t="s">
        <v>41</v>
      </c>
      <c r="Z3877" s="35"/>
      <c r="AA3877" s="35" t="str">
        <f>HYPERLINK("https://miland.ru/api/getInfo/item/8ae98eee-7d8c-11f0-a284-00155d82e908")</f>
        <v>https://miland.ru/api/getInfo/item/8ae98eee-7d8c-11f0-a284-00155d82e908</v>
      </c>
      <c r="AB3877" s="35" t="s">
        <v>42</v>
      </c>
      <c r="AC3877" s="35"/>
      <c r="AD3877" s="35"/>
      <c r="AE3877" s="52" t="s">
        <v>1251</v>
      </c>
    </row>
    <row r="3878" spans="2:31" s="1" customFormat="1" ht="96.3" customHeight="1" outlineLevel="7">
      <c r="B3878" s="59">
        <v>3060</v>
      </c>
      <c r="C3878" s="35" t="s">
        <v>13643</v>
      </c>
      <c r="D3878" s="73" t="s">
        <v>13644</v>
      </c>
      <c r="E3878" s="73"/>
      <c r="F3878" s="73"/>
      <c r="G3878" s="73"/>
      <c r="H3878" s="36" t="s">
        <v>13645</v>
      </c>
      <c r="I3878" s="56" t="s">
        <v>36</v>
      </c>
      <c r="J3878" s="36"/>
      <c r="K3878" s="34">
        <v>12</v>
      </c>
      <c r="L3878" s="41">
        <v>34.533333333333331</v>
      </c>
      <c r="M3878" s="11"/>
      <c r="N3878" s="36">
        <f t="shared" si="188"/>
        <v>0</v>
      </c>
      <c r="O3878" s="42">
        <f>0.032*M3878</f>
        <v>0</v>
      </c>
      <c r="P3878" s="43">
        <f t="shared" si="191"/>
        <v>0</v>
      </c>
      <c r="Q3878" s="50" t="s">
        <v>37</v>
      </c>
      <c r="R3878" s="36" t="s">
        <v>13646</v>
      </c>
      <c r="S3878" s="36"/>
      <c r="T3878" s="35" t="str">
        <f>HYPERLINK("https://miland.ru/api/getInfo/image/e11cfd32-7d8d-11f0-a284-00155d82e908")</f>
        <v>https://miland.ru/api/getInfo/image/e11cfd32-7d8d-11f0-a284-00155d82e908</v>
      </c>
      <c r="U3878" s="35"/>
      <c r="V3878" s="35" t="s">
        <v>6525</v>
      </c>
      <c r="W3878" s="35" t="s">
        <v>378</v>
      </c>
      <c r="X3878" s="35"/>
      <c r="Y3878" s="35" t="s">
        <v>41</v>
      </c>
      <c r="Z3878" s="35"/>
      <c r="AA3878" s="35" t="str">
        <f>HYPERLINK("https://miland.ru/api/getInfo/item/e11cfd32-7d8d-11f0-a284-00155d82e908")</f>
        <v>https://miland.ru/api/getInfo/item/e11cfd32-7d8d-11f0-a284-00155d82e908</v>
      </c>
      <c r="AB3878" s="35" t="s">
        <v>42</v>
      </c>
      <c r="AC3878" s="35"/>
      <c r="AD3878" s="35"/>
      <c r="AE3878" s="52" t="s">
        <v>1251</v>
      </c>
    </row>
    <row r="3879" spans="2:31" s="1" customFormat="1" ht="96.3" customHeight="1" outlineLevel="7">
      <c r="B3879" s="59">
        <v>3061</v>
      </c>
      <c r="C3879" s="35" t="s">
        <v>13647</v>
      </c>
      <c r="D3879" s="73" t="s">
        <v>13648</v>
      </c>
      <c r="E3879" s="73"/>
      <c r="F3879" s="73"/>
      <c r="G3879" s="73"/>
      <c r="H3879" s="36" t="s">
        <v>13649</v>
      </c>
      <c r="I3879" s="56" t="s">
        <v>36</v>
      </c>
      <c r="J3879" s="36"/>
      <c r="K3879" s="34">
        <v>12</v>
      </c>
      <c r="L3879" s="41">
        <v>34.533333333333331</v>
      </c>
      <c r="M3879" s="11"/>
      <c r="N3879" s="36">
        <f t="shared" si="188"/>
        <v>0</v>
      </c>
      <c r="O3879" s="42">
        <f>0.033*M3879</f>
        <v>0</v>
      </c>
      <c r="P3879" s="43">
        <f t="shared" si="191"/>
        <v>0</v>
      </c>
      <c r="Q3879" s="50" t="s">
        <v>37</v>
      </c>
      <c r="R3879" s="36" t="s">
        <v>13650</v>
      </c>
      <c r="S3879" s="36"/>
      <c r="T3879" s="35" t="str">
        <f>HYPERLINK("https://miland.ru/api/getInfo/image/6a7533b3-7d8e-11f0-a284-00155d82e908")</f>
        <v>https://miland.ru/api/getInfo/image/6a7533b3-7d8e-11f0-a284-00155d82e908</v>
      </c>
      <c r="U3879" s="35"/>
      <c r="V3879" s="35" t="s">
        <v>6525</v>
      </c>
      <c r="W3879" s="35" t="s">
        <v>378</v>
      </c>
      <c r="X3879" s="35"/>
      <c r="Y3879" s="35" t="s">
        <v>41</v>
      </c>
      <c r="Z3879" s="35"/>
      <c r="AA3879" s="35" t="str">
        <f>HYPERLINK("https://miland.ru/api/getInfo/item/6a7533b3-7d8e-11f0-a284-00155d82e908")</f>
        <v>https://miland.ru/api/getInfo/item/6a7533b3-7d8e-11f0-a284-00155d82e908</v>
      </c>
      <c r="AB3879" s="35" t="s">
        <v>42</v>
      </c>
      <c r="AC3879" s="35"/>
      <c r="AD3879" s="35"/>
      <c r="AE3879" s="52" t="s">
        <v>1251</v>
      </c>
    </row>
    <row r="3880" spans="2:31" s="1" customFormat="1" ht="96.3" customHeight="1" outlineLevel="7">
      <c r="B3880" s="59">
        <v>3062</v>
      </c>
      <c r="C3880" s="35" t="s">
        <v>13651</v>
      </c>
      <c r="D3880" s="73" t="s">
        <v>13652</v>
      </c>
      <c r="E3880" s="73"/>
      <c r="F3880" s="73"/>
      <c r="G3880" s="73"/>
      <c r="H3880" s="36" t="s">
        <v>13653</v>
      </c>
      <c r="I3880" s="56" t="s">
        <v>36</v>
      </c>
      <c r="J3880" s="36"/>
      <c r="K3880" s="34">
        <v>12</v>
      </c>
      <c r="L3880" s="41">
        <v>34.533333333333331</v>
      </c>
      <c r="M3880" s="11"/>
      <c r="N3880" s="36">
        <f t="shared" ref="N3880:N3897" si="192">L3880*M3880</f>
        <v>0</v>
      </c>
      <c r="O3880" s="42">
        <f>0.032*M3880</f>
        <v>0</v>
      </c>
      <c r="P3880" s="43">
        <f>0.00012*M3880</f>
        <v>0</v>
      </c>
      <c r="Q3880" s="50" t="s">
        <v>37</v>
      </c>
      <c r="R3880" s="36" t="s">
        <v>13654</v>
      </c>
      <c r="S3880" s="36"/>
      <c r="T3880" s="35" t="str">
        <f>HYPERLINK("https://miland.ru/api/getInfo/image/c108ff14-9dde-11f0-a285-00155d82e908")</f>
        <v>https://miland.ru/api/getInfo/image/c108ff14-9dde-11f0-a285-00155d82e908</v>
      </c>
      <c r="U3880" s="35"/>
      <c r="V3880" s="35" t="s">
        <v>6525</v>
      </c>
      <c r="W3880" s="35" t="s">
        <v>378</v>
      </c>
      <c r="X3880" s="35"/>
      <c r="Y3880" s="35" t="s">
        <v>41</v>
      </c>
      <c r="Z3880" s="35"/>
      <c r="AA3880" s="35" t="str">
        <f>HYPERLINK("https://miland.ru/api/getInfo/item/c108ff14-9dde-11f0-a285-00155d82e908")</f>
        <v>https://miland.ru/api/getInfo/item/c108ff14-9dde-11f0-a285-00155d82e908</v>
      </c>
      <c r="AB3880" s="35" t="s">
        <v>42</v>
      </c>
      <c r="AC3880" s="35"/>
      <c r="AD3880" s="35"/>
      <c r="AE3880" s="52" t="s">
        <v>1251</v>
      </c>
    </row>
    <row r="3881" spans="2:31" s="1" customFormat="1" ht="96.3" customHeight="1" outlineLevel="7">
      <c r="B3881" s="59">
        <v>3063</v>
      </c>
      <c r="C3881" s="35" t="s">
        <v>13655</v>
      </c>
      <c r="D3881" s="73" t="s">
        <v>13656</v>
      </c>
      <c r="E3881" s="73"/>
      <c r="F3881" s="73"/>
      <c r="G3881" s="73"/>
      <c r="H3881" s="36" t="s">
        <v>13657</v>
      </c>
      <c r="I3881" s="56" t="s">
        <v>36</v>
      </c>
      <c r="J3881" s="36"/>
      <c r="K3881" s="34">
        <v>12</v>
      </c>
      <c r="L3881" s="41">
        <v>34.533333333333331</v>
      </c>
      <c r="M3881" s="11"/>
      <c r="N3881" s="36">
        <f t="shared" si="192"/>
        <v>0</v>
      </c>
      <c r="O3881" s="42">
        <f>0.035*M3881</f>
        <v>0</v>
      </c>
      <c r="P3881" s="43">
        <f>0.00012*M3881</f>
        <v>0</v>
      </c>
      <c r="Q3881" s="50" t="s">
        <v>37</v>
      </c>
      <c r="R3881" s="36" t="s">
        <v>13658</v>
      </c>
      <c r="S3881" s="36"/>
      <c r="T3881" s="35" t="str">
        <f>HYPERLINK("https://miland.ru/api/getInfo/image/488f02ce-9ddf-11f0-a285-00155d82e908")</f>
        <v>https://miland.ru/api/getInfo/image/488f02ce-9ddf-11f0-a285-00155d82e908</v>
      </c>
      <c r="U3881" s="35"/>
      <c r="V3881" s="35" t="s">
        <v>6525</v>
      </c>
      <c r="W3881" s="35" t="s">
        <v>378</v>
      </c>
      <c r="X3881" s="35"/>
      <c r="Y3881" s="35" t="s">
        <v>41</v>
      </c>
      <c r="Z3881" s="35"/>
      <c r="AA3881" s="35" t="str">
        <f>HYPERLINK("https://miland.ru/api/getInfo/item/488f02ce-9ddf-11f0-a285-00155d82e908")</f>
        <v>https://miland.ru/api/getInfo/item/488f02ce-9ddf-11f0-a285-00155d82e908</v>
      </c>
      <c r="AB3881" s="35" t="s">
        <v>42</v>
      </c>
      <c r="AC3881" s="35"/>
      <c r="AD3881" s="35"/>
      <c r="AE3881" s="52" t="s">
        <v>1251</v>
      </c>
    </row>
    <row r="3882" spans="2:31" s="1" customFormat="1" ht="96.3" customHeight="1" outlineLevel="7">
      <c r="B3882" s="59">
        <v>3064</v>
      </c>
      <c r="C3882" s="35" t="s">
        <v>13659</v>
      </c>
      <c r="D3882" s="73" t="s">
        <v>13660</v>
      </c>
      <c r="E3882" s="73"/>
      <c r="F3882" s="73"/>
      <c r="G3882" s="73"/>
      <c r="H3882" s="36" t="s">
        <v>13661</v>
      </c>
      <c r="I3882" s="56" t="s">
        <v>36</v>
      </c>
      <c r="J3882" s="36"/>
      <c r="K3882" s="34">
        <v>12</v>
      </c>
      <c r="L3882" s="41">
        <v>34.533333333333331</v>
      </c>
      <c r="M3882" s="11"/>
      <c r="N3882" s="36">
        <f t="shared" si="192"/>
        <v>0</v>
      </c>
      <c r="O3882" s="42">
        <f>0.032*M3882</f>
        <v>0</v>
      </c>
      <c r="P3882" s="43">
        <f>0.00012*M3882</f>
        <v>0</v>
      </c>
      <c r="Q3882" s="50" t="s">
        <v>37</v>
      </c>
      <c r="R3882" s="36" t="s">
        <v>13662</v>
      </c>
      <c r="S3882" s="36"/>
      <c r="T3882" s="35" t="str">
        <f>HYPERLINK("https://miland.ru/api/getInfo/image/f0d13480-9dde-11f0-a285-00155d82e908")</f>
        <v>https://miland.ru/api/getInfo/image/f0d13480-9dde-11f0-a285-00155d82e908</v>
      </c>
      <c r="U3882" s="35"/>
      <c r="V3882" s="35" t="s">
        <v>6525</v>
      </c>
      <c r="W3882" s="35" t="s">
        <v>378</v>
      </c>
      <c r="X3882" s="35"/>
      <c r="Y3882" s="35" t="s">
        <v>41</v>
      </c>
      <c r="Z3882" s="35"/>
      <c r="AA3882" s="35" t="str">
        <f>HYPERLINK("https://miland.ru/api/getInfo/item/f0d13480-9dde-11f0-a285-00155d82e908")</f>
        <v>https://miland.ru/api/getInfo/item/f0d13480-9dde-11f0-a285-00155d82e908</v>
      </c>
      <c r="AB3882" s="35" t="s">
        <v>42</v>
      </c>
      <c r="AC3882" s="35"/>
      <c r="AD3882" s="35"/>
      <c r="AE3882" s="52" t="s">
        <v>1251</v>
      </c>
    </row>
    <row r="3883" spans="2:31" s="1" customFormat="1" ht="96.3" customHeight="1" outlineLevel="7">
      <c r="B3883" s="59">
        <v>3065</v>
      </c>
      <c r="C3883" s="35" t="s">
        <v>13663</v>
      </c>
      <c r="D3883" s="73" t="s">
        <v>13664</v>
      </c>
      <c r="E3883" s="73"/>
      <c r="F3883" s="73"/>
      <c r="G3883" s="73"/>
      <c r="H3883" s="36" t="s">
        <v>13665</v>
      </c>
      <c r="I3883" s="56" t="s">
        <v>36</v>
      </c>
      <c r="J3883" s="36"/>
      <c r="K3883" s="34">
        <v>12</v>
      </c>
      <c r="L3883" s="41">
        <v>34.533333333333331</v>
      </c>
      <c r="M3883" s="11"/>
      <c r="N3883" s="36">
        <f t="shared" si="192"/>
        <v>0</v>
      </c>
      <c r="O3883" s="42">
        <f>0.032*M3883</f>
        <v>0</v>
      </c>
      <c r="P3883" s="43">
        <f>0.00017*M3883</f>
        <v>0</v>
      </c>
      <c r="Q3883" s="50" t="s">
        <v>37</v>
      </c>
      <c r="R3883" s="36" t="s">
        <v>13666</v>
      </c>
      <c r="S3883" s="36"/>
      <c r="T3883" s="35" t="str">
        <f>HYPERLINK("https://miland.ru/api/getInfo/image/7d33871c-9ddf-11f0-a285-00155d82e908")</f>
        <v>https://miland.ru/api/getInfo/image/7d33871c-9ddf-11f0-a285-00155d82e908</v>
      </c>
      <c r="U3883" s="35"/>
      <c r="V3883" s="35" t="s">
        <v>6525</v>
      </c>
      <c r="W3883" s="35" t="s">
        <v>378</v>
      </c>
      <c r="X3883" s="35"/>
      <c r="Y3883" s="35" t="s">
        <v>41</v>
      </c>
      <c r="Z3883" s="35"/>
      <c r="AA3883" s="35" t="str">
        <f>HYPERLINK("https://miland.ru/api/getInfo/item/7d33871c-9ddf-11f0-a285-00155d82e908")</f>
        <v>https://miland.ru/api/getInfo/item/7d33871c-9ddf-11f0-a285-00155d82e908</v>
      </c>
      <c r="AB3883" s="35" t="s">
        <v>42</v>
      </c>
      <c r="AC3883" s="35"/>
      <c r="AD3883" s="35"/>
      <c r="AE3883" s="52" t="s">
        <v>1251</v>
      </c>
    </row>
    <row r="3884" spans="2:31" s="1" customFormat="1" ht="96.3" customHeight="1" outlineLevel="7">
      <c r="B3884" s="59">
        <v>3066</v>
      </c>
      <c r="C3884" s="35" t="s">
        <v>13667</v>
      </c>
      <c r="D3884" s="73" t="s">
        <v>13668</v>
      </c>
      <c r="E3884" s="73"/>
      <c r="F3884" s="73"/>
      <c r="G3884" s="73"/>
      <c r="H3884" s="36" t="s">
        <v>13669</v>
      </c>
      <c r="I3884" s="56" t="s">
        <v>36</v>
      </c>
      <c r="J3884" s="36"/>
      <c r="K3884" s="34">
        <v>12</v>
      </c>
      <c r="L3884" s="41">
        <v>34.533333333333331</v>
      </c>
      <c r="M3884" s="11"/>
      <c r="N3884" s="36">
        <f t="shared" si="192"/>
        <v>0</v>
      </c>
      <c r="O3884" s="42">
        <f>0.033*M3884</f>
        <v>0</v>
      </c>
      <c r="P3884" s="43">
        <f>0.00017*M3884</f>
        <v>0</v>
      </c>
      <c r="Q3884" s="50" t="s">
        <v>37</v>
      </c>
      <c r="R3884" s="36" t="s">
        <v>13670</v>
      </c>
      <c r="S3884" s="36"/>
      <c r="T3884" s="35" t="str">
        <f>HYPERLINK("https://miland.ru/api/getInfo/image/2b559703-9ddf-11f0-a285-00155d82e908")</f>
        <v>https://miland.ru/api/getInfo/image/2b559703-9ddf-11f0-a285-00155d82e908</v>
      </c>
      <c r="U3884" s="35"/>
      <c r="V3884" s="35" t="s">
        <v>6525</v>
      </c>
      <c r="W3884" s="35" t="s">
        <v>378</v>
      </c>
      <c r="X3884" s="35"/>
      <c r="Y3884" s="35" t="s">
        <v>41</v>
      </c>
      <c r="Z3884" s="35"/>
      <c r="AA3884" s="35" t="str">
        <f>HYPERLINK("https://miland.ru/api/getInfo/item/2b559703-9ddf-11f0-a285-00155d82e908")</f>
        <v>https://miland.ru/api/getInfo/item/2b559703-9ddf-11f0-a285-00155d82e908</v>
      </c>
      <c r="AB3884" s="35" t="s">
        <v>42</v>
      </c>
      <c r="AC3884" s="35"/>
      <c r="AD3884" s="35"/>
      <c r="AE3884" s="52" t="s">
        <v>1251</v>
      </c>
    </row>
    <row r="3885" spans="2:31" s="1" customFormat="1" ht="96.3" customHeight="1" outlineLevel="7">
      <c r="B3885" s="59">
        <v>3067</v>
      </c>
      <c r="C3885" s="35" t="s">
        <v>13671</v>
      </c>
      <c r="D3885" s="73" t="s">
        <v>13672</v>
      </c>
      <c r="E3885" s="73"/>
      <c r="F3885" s="73"/>
      <c r="G3885" s="73"/>
      <c r="H3885" s="36" t="s">
        <v>13673</v>
      </c>
      <c r="I3885" s="56" t="s">
        <v>36</v>
      </c>
      <c r="J3885" s="36"/>
      <c r="K3885" s="34">
        <v>12</v>
      </c>
      <c r="L3885" s="41">
        <v>34.533333333333331</v>
      </c>
      <c r="M3885" s="11"/>
      <c r="N3885" s="36">
        <f t="shared" si="192"/>
        <v>0</v>
      </c>
      <c r="O3885" s="42">
        <f>0.032*M3885</f>
        <v>0</v>
      </c>
      <c r="P3885" s="43">
        <f>0.00012*M3885</f>
        <v>0</v>
      </c>
      <c r="Q3885" s="50" t="s">
        <v>37</v>
      </c>
      <c r="R3885" s="36" t="s">
        <v>13674</v>
      </c>
      <c r="S3885" s="36"/>
      <c r="T3885" s="35" t="str">
        <f>HYPERLINK("https://miland.ru/api/getInfo/image/9d117b2c-9de1-11f0-a285-00155d82e908")</f>
        <v>https://miland.ru/api/getInfo/image/9d117b2c-9de1-11f0-a285-00155d82e908</v>
      </c>
      <c r="U3885" s="35"/>
      <c r="V3885" s="35" t="s">
        <v>6525</v>
      </c>
      <c r="W3885" s="35" t="s">
        <v>378</v>
      </c>
      <c r="X3885" s="35"/>
      <c r="Y3885" s="35" t="s">
        <v>41</v>
      </c>
      <c r="Z3885" s="35"/>
      <c r="AA3885" s="35" t="str">
        <f>HYPERLINK("https://miland.ru/api/getInfo/item/9d117b2c-9de1-11f0-a285-00155d82e908")</f>
        <v>https://miland.ru/api/getInfo/item/9d117b2c-9de1-11f0-a285-00155d82e908</v>
      </c>
      <c r="AB3885" s="35" t="s">
        <v>42</v>
      </c>
      <c r="AC3885" s="35"/>
      <c r="AD3885" s="35"/>
      <c r="AE3885" s="52" t="s">
        <v>1251</v>
      </c>
    </row>
    <row r="3886" spans="2:31" s="1" customFormat="1" ht="96.3" customHeight="1" outlineLevel="7">
      <c r="B3886" s="59">
        <v>3068</v>
      </c>
      <c r="C3886" s="35" t="s">
        <v>13675</v>
      </c>
      <c r="D3886" s="73" t="s">
        <v>13676</v>
      </c>
      <c r="E3886" s="73"/>
      <c r="F3886" s="73"/>
      <c r="G3886" s="73"/>
      <c r="H3886" s="36" t="s">
        <v>13677</v>
      </c>
      <c r="I3886" s="56" t="s">
        <v>36</v>
      </c>
      <c r="J3886" s="36"/>
      <c r="K3886" s="34">
        <v>12</v>
      </c>
      <c r="L3886" s="41">
        <v>34.533333333333331</v>
      </c>
      <c r="M3886" s="11"/>
      <c r="N3886" s="36">
        <f t="shared" si="192"/>
        <v>0</v>
      </c>
      <c r="O3886" s="42">
        <f>0.032*M3886</f>
        <v>0</v>
      </c>
      <c r="P3886" s="43">
        <f>0.00012*M3886</f>
        <v>0</v>
      </c>
      <c r="Q3886" s="50" t="s">
        <v>37</v>
      </c>
      <c r="R3886" s="36" t="s">
        <v>13678</v>
      </c>
      <c r="S3886" s="36"/>
      <c r="T3886" s="35" t="str">
        <f>HYPERLINK("https://miland.ru/api/getInfo/image/756233ae-9de1-11f0-a285-00155d82e908")</f>
        <v>https://miland.ru/api/getInfo/image/756233ae-9de1-11f0-a285-00155d82e908</v>
      </c>
      <c r="U3886" s="35"/>
      <c r="V3886" s="35" t="s">
        <v>6525</v>
      </c>
      <c r="W3886" s="35" t="s">
        <v>378</v>
      </c>
      <c r="X3886" s="35"/>
      <c r="Y3886" s="35" t="s">
        <v>41</v>
      </c>
      <c r="Z3886" s="35"/>
      <c r="AA3886" s="35" t="str">
        <f>HYPERLINK("https://miland.ru/api/getInfo/item/756233ae-9de1-11f0-a285-00155d82e908")</f>
        <v>https://miland.ru/api/getInfo/item/756233ae-9de1-11f0-a285-00155d82e908</v>
      </c>
      <c r="AB3886" s="35" t="s">
        <v>42</v>
      </c>
      <c r="AC3886" s="35"/>
      <c r="AD3886" s="35"/>
      <c r="AE3886" s="52" t="s">
        <v>1251</v>
      </c>
    </row>
    <row r="3887" spans="2:31" s="1" customFormat="1" ht="96.3" customHeight="1" outlineLevel="7">
      <c r="B3887" s="59">
        <v>3069</v>
      </c>
      <c r="C3887" s="35" t="s">
        <v>13679</v>
      </c>
      <c r="D3887" s="73" t="s">
        <v>13680</v>
      </c>
      <c r="E3887" s="73"/>
      <c r="F3887" s="73"/>
      <c r="G3887" s="73"/>
      <c r="H3887" s="36" t="s">
        <v>13681</v>
      </c>
      <c r="I3887" s="56" t="s">
        <v>36</v>
      </c>
      <c r="J3887" s="36"/>
      <c r="K3887" s="34">
        <v>12</v>
      </c>
      <c r="L3887" s="41">
        <v>34.533333333333331</v>
      </c>
      <c r="M3887" s="11"/>
      <c r="N3887" s="36">
        <f t="shared" si="192"/>
        <v>0</v>
      </c>
      <c r="O3887" s="42">
        <f>0.033*M3887</f>
        <v>0</v>
      </c>
      <c r="P3887" s="43">
        <f>0.00017*M3887</f>
        <v>0</v>
      </c>
      <c r="Q3887" s="50" t="s">
        <v>37</v>
      </c>
      <c r="R3887" s="36" t="s">
        <v>13682</v>
      </c>
      <c r="S3887" s="36"/>
      <c r="T3887" s="35" t="str">
        <f>HYPERLINK("https://miland.ru/api/getInfo/image/2b09d559-9de1-11f0-a285-00155d82e908")</f>
        <v>https://miland.ru/api/getInfo/image/2b09d559-9de1-11f0-a285-00155d82e908</v>
      </c>
      <c r="U3887" s="35"/>
      <c r="V3887" s="35" t="s">
        <v>6525</v>
      </c>
      <c r="W3887" s="35" t="s">
        <v>378</v>
      </c>
      <c r="X3887" s="35"/>
      <c r="Y3887" s="35" t="s">
        <v>41</v>
      </c>
      <c r="Z3887" s="35"/>
      <c r="AA3887" s="35" t="str">
        <f>HYPERLINK("https://miland.ru/api/getInfo/item/2b09d559-9de1-11f0-a285-00155d82e908")</f>
        <v>https://miland.ru/api/getInfo/item/2b09d559-9de1-11f0-a285-00155d82e908</v>
      </c>
      <c r="AB3887" s="35" t="s">
        <v>42</v>
      </c>
      <c r="AC3887" s="35"/>
      <c r="AD3887" s="35"/>
      <c r="AE3887" s="52" t="s">
        <v>1251</v>
      </c>
    </row>
    <row r="3888" spans="2:31" s="1" customFormat="1" ht="96.3" customHeight="1" outlineLevel="7">
      <c r="B3888" s="59">
        <v>3070</v>
      </c>
      <c r="C3888" s="35" t="s">
        <v>13683</v>
      </c>
      <c r="D3888" s="73" t="s">
        <v>13684</v>
      </c>
      <c r="E3888" s="73"/>
      <c r="F3888" s="73"/>
      <c r="G3888" s="73"/>
      <c r="H3888" s="36" t="s">
        <v>13685</v>
      </c>
      <c r="I3888" s="40">
        <v>192</v>
      </c>
      <c r="J3888" s="36"/>
      <c r="K3888" s="34">
        <v>12</v>
      </c>
      <c r="L3888" s="41">
        <v>34.533333333333331</v>
      </c>
      <c r="M3888" s="11"/>
      <c r="N3888" s="36">
        <f t="shared" si="192"/>
        <v>0</v>
      </c>
      <c r="O3888" s="42">
        <f>0.033*M3888</f>
        <v>0</v>
      </c>
      <c r="P3888" s="43">
        <f>0.00013*M3888</f>
        <v>0</v>
      </c>
      <c r="Q3888" s="50"/>
      <c r="R3888" s="36" t="s">
        <v>13686</v>
      </c>
      <c r="S3888" s="36" t="s">
        <v>435</v>
      </c>
      <c r="T3888" s="35" t="str">
        <f>HYPERLINK("https://miland.ru/api/getInfo/image/cd9ee1cc-f3f0-11ed-a237-00155d82e902")</f>
        <v>https://miland.ru/api/getInfo/image/cd9ee1cc-f3f0-11ed-a237-00155d82e902</v>
      </c>
      <c r="U3888" s="35"/>
      <c r="V3888" s="35" t="s">
        <v>6525</v>
      </c>
      <c r="W3888" s="35" t="s">
        <v>378</v>
      </c>
      <c r="X3888" s="35"/>
      <c r="Y3888" s="35" t="s">
        <v>41</v>
      </c>
      <c r="Z3888" s="35"/>
      <c r="AA3888" s="35" t="str">
        <f>HYPERLINK("https://miland.ru/api/getInfo/item/cd9ee1cc-f3f0-11ed-a237-00155d82e902")</f>
        <v>https://miland.ru/api/getInfo/item/cd9ee1cc-f3f0-11ed-a237-00155d82e902</v>
      </c>
      <c r="AB3888" s="35" t="s">
        <v>42</v>
      </c>
      <c r="AC3888" s="35" t="s">
        <v>13687</v>
      </c>
      <c r="AD3888" s="35"/>
      <c r="AE3888" s="52" t="s">
        <v>1251</v>
      </c>
    </row>
    <row r="3889" spans="2:31" s="1" customFormat="1" ht="96.3" customHeight="1" outlineLevel="7">
      <c r="B3889" s="59">
        <v>3071</v>
      </c>
      <c r="C3889" s="35" t="s">
        <v>13688</v>
      </c>
      <c r="D3889" s="73" t="s">
        <v>13689</v>
      </c>
      <c r="E3889" s="73"/>
      <c r="F3889" s="73"/>
      <c r="G3889" s="73"/>
      <c r="H3889" s="36" t="s">
        <v>13690</v>
      </c>
      <c r="I3889" s="40">
        <v>84</v>
      </c>
      <c r="J3889" s="36"/>
      <c r="K3889" s="34">
        <v>12</v>
      </c>
      <c r="L3889" s="41">
        <v>34.533333333333331</v>
      </c>
      <c r="M3889" s="11"/>
      <c r="N3889" s="36">
        <f t="shared" si="192"/>
        <v>0</v>
      </c>
      <c r="O3889" s="42">
        <f>0.033*M3889</f>
        <v>0</v>
      </c>
      <c r="P3889" s="43">
        <f>0.00017*M3889</f>
        <v>0</v>
      </c>
      <c r="Q3889" s="50"/>
      <c r="R3889" s="36" t="s">
        <v>13691</v>
      </c>
      <c r="S3889" s="36" t="s">
        <v>435</v>
      </c>
      <c r="T3889" s="35" t="str">
        <f>HYPERLINK("https://miland.ru/api/getInfo/image/0a963029-039a-11ee-a23b-00155d82e902")</f>
        <v>https://miland.ru/api/getInfo/image/0a963029-039a-11ee-a23b-00155d82e902</v>
      </c>
      <c r="U3889" s="35"/>
      <c r="V3889" s="35" t="s">
        <v>6525</v>
      </c>
      <c r="W3889" s="35" t="s">
        <v>378</v>
      </c>
      <c r="X3889" s="35"/>
      <c r="Y3889" s="35" t="s">
        <v>41</v>
      </c>
      <c r="Z3889" s="35"/>
      <c r="AA3889" s="35" t="str">
        <f>HYPERLINK("https://miland.ru/api/getInfo/item/0a963029-039a-11ee-a23b-00155d82e902")</f>
        <v>https://miland.ru/api/getInfo/item/0a963029-039a-11ee-a23b-00155d82e902</v>
      </c>
      <c r="AB3889" s="35" t="s">
        <v>42</v>
      </c>
      <c r="AC3889" s="35"/>
      <c r="AD3889" s="35"/>
      <c r="AE3889" s="52" t="s">
        <v>1251</v>
      </c>
    </row>
    <row r="3890" spans="2:31" s="1" customFormat="1" ht="96.3" customHeight="1" outlineLevel="7">
      <c r="B3890" s="59">
        <v>3072</v>
      </c>
      <c r="C3890" s="35" t="s">
        <v>13692</v>
      </c>
      <c r="D3890" s="73" t="s">
        <v>13693</v>
      </c>
      <c r="E3890" s="73"/>
      <c r="F3890" s="73"/>
      <c r="G3890" s="73"/>
      <c r="H3890" s="36" t="s">
        <v>13694</v>
      </c>
      <c r="I3890" s="40">
        <v>12</v>
      </c>
      <c r="J3890" s="36"/>
      <c r="K3890" s="34">
        <v>12</v>
      </c>
      <c r="L3890" s="41">
        <v>34.533333333333331</v>
      </c>
      <c r="M3890" s="11"/>
      <c r="N3890" s="36">
        <f t="shared" si="192"/>
        <v>0</v>
      </c>
      <c r="O3890" s="47">
        <f>0.42*M3890</f>
        <v>0</v>
      </c>
      <c r="P3890" s="43">
        <f>0.00182*M3890</f>
        <v>0</v>
      </c>
      <c r="Q3890" s="50"/>
      <c r="R3890" s="36" t="s">
        <v>13695</v>
      </c>
      <c r="S3890" s="36" t="s">
        <v>435</v>
      </c>
      <c r="T3890" s="35" t="str">
        <f>HYPERLINK("https://miland.ru/api/getInfo/image/618fa1ee-cf08-11ee-a25a-00155d82e908")</f>
        <v>https://miland.ru/api/getInfo/image/618fa1ee-cf08-11ee-a25a-00155d82e908</v>
      </c>
      <c r="U3890" s="35"/>
      <c r="V3890" s="35" t="s">
        <v>6525</v>
      </c>
      <c r="W3890" s="35" t="s">
        <v>378</v>
      </c>
      <c r="X3890" s="35"/>
      <c r="Y3890" s="35" t="s">
        <v>41</v>
      </c>
      <c r="Z3890" s="35"/>
      <c r="AA3890" s="35" t="str">
        <f>HYPERLINK("https://miland.ru/api/getInfo/item/618fa1ee-cf08-11ee-a25a-00155d82e908")</f>
        <v>https://miland.ru/api/getInfo/item/618fa1ee-cf08-11ee-a25a-00155d82e908</v>
      </c>
      <c r="AB3890" s="35" t="s">
        <v>42</v>
      </c>
      <c r="AC3890" s="35" t="s">
        <v>13696</v>
      </c>
      <c r="AD3890" s="35"/>
      <c r="AE3890" s="52" t="s">
        <v>1251</v>
      </c>
    </row>
    <row r="3891" spans="2:31" s="1" customFormat="1" ht="96.3" customHeight="1" outlineLevel="7">
      <c r="B3891" s="59">
        <v>3073</v>
      </c>
      <c r="C3891" s="35" t="s">
        <v>13697</v>
      </c>
      <c r="D3891" s="73" t="s">
        <v>13698</v>
      </c>
      <c r="E3891" s="73"/>
      <c r="F3891" s="73"/>
      <c r="G3891" s="73"/>
      <c r="H3891" s="36" t="s">
        <v>13699</v>
      </c>
      <c r="I3891" s="40">
        <v>156</v>
      </c>
      <c r="J3891" s="36"/>
      <c r="K3891" s="34">
        <v>12</v>
      </c>
      <c r="L3891" s="41">
        <v>34.533333333333331</v>
      </c>
      <c r="M3891" s="11"/>
      <c r="N3891" s="36">
        <f t="shared" si="192"/>
        <v>0</v>
      </c>
      <c r="O3891" s="42">
        <f>0.031*M3891</f>
        <v>0</v>
      </c>
      <c r="P3891" s="43">
        <f>0.00048*M3891</f>
        <v>0</v>
      </c>
      <c r="Q3891" s="50"/>
      <c r="R3891" s="36" t="s">
        <v>13700</v>
      </c>
      <c r="S3891" s="36" t="s">
        <v>435</v>
      </c>
      <c r="T3891" s="35" t="str">
        <f>HYPERLINK("https://miland.ru/api/getInfo/image/4c6c2123-cf0d-11ee-a25a-00155d82e908")</f>
        <v>https://miland.ru/api/getInfo/image/4c6c2123-cf0d-11ee-a25a-00155d82e908</v>
      </c>
      <c r="U3891" s="35"/>
      <c r="V3891" s="35" t="s">
        <v>6525</v>
      </c>
      <c r="W3891" s="35" t="s">
        <v>378</v>
      </c>
      <c r="X3891" s="35"/>
      <c r="Y3891" s="35" t="s">
        <v>41</v>
      </c>
      <c r="Z3891" s="35"/>
      <c r="AA3891" s="35" t="str">
        <f>HYPERLINK("https://miland.ru/api/getInfo/item/4c6c2123-cf0d-11ee-a25a-00155d82e908")</f>
        <v>https://miland.ru/api/getInfo/item/4c6c2123-cf0d-11ee-a25a-00155d82e908</v>
      </c>
      <c r="AB3891" s="35" t="s">
        <v>42</v>
      </c>
      <c r="AC3891" s="35" t="s">
        <v>13696</v>
      </c>
      <c r="AD3891" s="35"/>
      <c r="AE3891" s="52" t="s">
        <v>1251</v>
      </c>
    </row>
    <row r="3892" spans="2:31" s="1" customFormat="1" ht="96.3" customHeight="1" outlineLevel="7">
      <c r="B3892" s="59">
        <v>3074</v>
      </c>
      <c r="C3892" s="35" t="s">
        <v>13701</v>
      </c>
      <c r="D3892" s="73" t="s">
        <v>13702</v>
      </c>
      <c r="E3892" s="73"/>
      <c r="F3892" s="73"/>
      <c r="G3892" s="73"/>
      <c r="H3892" s="36" t="s">
        <v>13703</v>
      </c>
      <c r="I3892" s="56" t="s">
        <v>36</v>
      </c>
      <c r="J3892" s="36"/>
      <c r="K3892" s="34">
        <v>12</v>
      </c>
      <c r="L3892" s="41">
        <v>34.533333333333331</v>
      </c>
      <c r="M3892" s="11"/>
      <c r="N3892" s="36">
        <f t="shared" si="192"/>
        <v>0</v>
      </c>
      <c r="O3892" s="42">
        <f>0.032*M3892</f>
        <v>0</v>
      </c>
      <c r="P3892" s="43">
        <f>0.00219*M3892</f>
        <v>0</v>
      </c>
      <c r="Q3892" s="50"/>
      <c r="R3892" s="36" t="s">
        <v>13704</v>
      </c>
      <c r="S3892" s="36" t="s">
        <v>435</v>
      </c>
      <c r="T3892" s="35" t="str">
        <f>HYPERLINK("https://miland.ru/api/getInfo/image/db73bcec-cf0c-11ee-a25a-00155d82e908")</f>
        <v>https://miland.ru/api/getInfo/image/db73bcec-cf0c-11ee-a25a-00155d82e908</v>
      </c>
      <c r="U3892" s="35"/>
      <c r="V3892" s="35" t="s">
        <v>6525</v>
      </c>
      <c r="W3892" s="35" t="s">
        <v>378</v>
      </c>
      <c r="X3892" s="35"/>
      <c r="Y3892" s="35" t="s">
        <v>41</v>
      </c>
      <c r="Z3892" s="35"/>
      <c r="AA3892" s="35" t="str">
        <f>HYPERLINK("https://miland.ru/api/getInfo/item/db73bcec-cf0c-11ee-a25a-00155d82e908")</f>
        <v>https://miland.ru/api/getInfo/item/db73bcec-cf0c-11ee-a25a-00155d82e908</v>
      </c>
      <c r="AB3892" s="35" t="s">
        <v>42</v>
      </c>
      <c r="AC3892" s="35" t="s">
        <v>13696</v>
      </c>
      <c r="AD3892" s="35"/>
      <c r="AE3892" s="52" t="s">
        <v>1251</v>
      </c>
    </row>
    <row r="3893" spans="2:31" s="1" customFormat="1" ht="96.3" customHeight="1" outlineLevel="7">
      <c r="B3893" s="59">
        <v>3075</v>
      </c>
      <c r="C3893" s="35" t="s">
        <v>13705</v>
      </c>
      <c r="D3893" s="73" t="s">
        <v>13706</v>
      </c>
      <c r="E3893" s="73"/>
      <c r="F3893" s="73"/>
      <c r="G3893" s="73"/>
      <c r="H3893" s="36" t="s">
        <v>13707</v>
      </c>
      <c r="I3893" s="40">
        <v>312</v>
      </c>
      <c r="J3893" s="36"/>
      <c r="K3893" s="34">
        <v>12</v>
      </c>
      <c r="L3893" s="41">
        <v>34.533333333333331</v>
      </c>
      <c r="M3893" s="11"/>
      <c r="N3893" s="36">
        <f t="shared" si="192"/>
        <v>0</v>
      </c>
      <c r="O3893" s="47">
        <f>0.42*M3893</f>
        <v>0</v>
      </c>
      <c r="P3893" s="43">
        <f>0.00182*M3893</f>
        <v>0</v>
      </c>
      <c r="Q3893" s="50"/>
      <c r="R3893" s="36" t="s">
        <v>13708</v>
      </c>
      <c r="S3893" s="36" t="s">
        <v>435</v>
      </c>
      <c r="T3893" s="35" t="str">
        <f>HYPERLINK("https://miland.ru/api/getInfo/image/e4d2fe36-cf08-11ee-a25a-00155d82e908")</f>
        <v>https://miland.ru/api/getInfo/image/e4d2fe36-cf08-11ee-a25a-00155d82e908</v>
      </c>
      <c r="U3893" s="35"/>
      <c r="V3893" s="35" t="s">
        <v>6525</v>
      </c>
      <c r="W3893" s="35" t="s">
        <v>378</v>
      </c>
      <c r="X3893" s="35"/>
      <c r="Y3893" s="35" t="s">
        <v>41</v>
      </c>
      <c r="Z3893" s="35"/>
      <c r="AA3893" s="35" t="str">
        <f>HYPERLINK("https://miland.ru/api/getInfo/item/e4d2fe36-cf08-11ee-a25a-00155d82e908")</f>
        <v>https://miland.ru/api/getInfo/item/e4d2fe36-cf08-11ee-a25a-00155d82e908</v>
      </c>
      <c r="AB3893" s="35" t="s">
        <v>42</v>
      </c>
      <c r="AC3893" s="35" t="s">
        <v>13696</v>
      </c>
      <c r="AD3893" s="35"/>
      <c r="AE3893" s="52" t="s">
        <v>1251</v>
      </c>
    </row>
    <row r="3894" spans="2:31" s="1" customFormat="1" ht="96.3" customHeight="1" outlineLevel="7">
      <c r="B3894" s="59">
        <v>3076</v>
      </c>
      <c r="C3894" s="35" t="s">
        <v>13709</v>
      </c>
      <c r="D3894" s="73" t="s">
        <v>13710</v>
      </c>
      <c r="E3894" s="73"/>
      <c r="F3894" s="73"/>
      <c r="G3894" s="73"/>
      <c r="H3894" s="36" t="s">
        <v>13711</v>
      </c>
      <c r="I3894" s="40">
        <v>264</v>
      </c>
      <c r="J3894" s="36"/>
      <c r="K3894" s="34">
        <v>12</v>
      </c>
      <c r="L3894" s="41">
        <v>34.533333333333331</v>
      </c>
      <c r="M3894" s="11"/>
      <c r="N3894" s="36">
        <f t="shared" si="192"/>
        <v>0</v>
      </c>
      <c r="O3894" s="42">
        <f>0.041*M3894</f>
        <v>0</v>
      </c>
      <c r="P3894" s="43">
        <f>0.00018*M3894</f>
        <v>0</v>
      </c>
      <c r="Q3894" s="50"/>
      <c r="R3894" s="36" t="s">
        <v>13712</v>
      </c>
      <c r="S3894" s="36" t="s">
        <v>435</v>
      </c>
      <c r="T3894" s="35" t="str">
        <f>HYPERLINK("https://miland.ru/api/getInfo/image/b2236c3a-cf0c-11ee-a25a-00155d82e908")</f>
        <v>https://miland.ru/api/getInfo/image/b2236c3a-cf0c-11ee-a25a-00155d82e908</v>
      </c>
      <c r="U3894" s="35"/>
      <c r="V3894" s="35" t="s">
        <v>6525</v>
      </c>
      <c r="W3894" s="35" t="s">
        <v>378</v>
      </c>
      <c r="X3894" s="35"/>
      <c r="Y3894" s="35" t="s">
        <v>41</v>
      </c>
      <c r="Z3894" s="35"/>
      <c r="AA3894" s="35" t="str">
        <f>HYPERLINK("https://miland.ru/api/getInfo/item/b2236c3a-cf0c-11ee-a25a-00155d82e908")</f>
        <v>https://miland.ru/api/getInfo/item/b2236c3a-cf0c-11ee-a25a-00155d82e908</v>
      </c>
      <c r="AB3894" s="35" t="s">
        <v>42</v>
      </c>
      <c r="AC3894" s="35" t="s">
        <v>13696</v>
      </c>
      <c r="AD3894" s="35"/>
      <c r="AE3894" s="52" t="s">
        <v>1251</v>
      </c>
    </row>
    <row r="3895" spans="2:31" s="1" customFormat="1" ht="96.3" customHeight="1" outlineLevel="7">
      <c r="B3895" s="59">
        <v>3077</v>
      </c>
      <c r="C3895" s="35" t="s">
        <v>13713</v>
      </c>
      <c r="D3895" s="73" t="s">
        <v>13714</v>
      </c>
      <c r="E3895" s="73"/>
      <c r="F3895" s="73"/>
      <c r="G3895" s="73"/>
      <c r="H3895" s="36" t="s">
        <v>13715</v>
      </c>
      <c r="I3895" s="56" t="s">
        <v>36</v>
      </c>
      <c r="J3895" s="36"/>
      <c r="K3895" s="34">
        <v>12</v>
      </c>
      <c r="L3895" s="41">
        <v>34.533333333333331</v>
      </c>
      <c r="M3895" s="11"/>
      <c r="N3895" s="36">
        <f t="shared" si="192"/>
        <v>0</v>
      </c>
      <c r="O3895" s="47">
        <f>0.42*M3895</f>
        <v>0</v>
      </c>
      <c r="P3895" s="43">
        <f>0.00232*M3895</f>
        <v>0</v>
      </c>
      <c r="Q3895" s="50"/>
      <c r="R3895" s="36" t="s">
        <v>13716</v>
      </c>
      <c r="S3895" s="36" t="s">
        <v>435</v>
      </c>
      <c r="T3895" s="35" t="str">
        <f>HYPERLINK("https://miland.ru/api/getInfo/image/8d233145-cf0a-11ee-a25a-00155d82e908")</f>
        <v>https://miland.ru/api/getInfo/image/8d233145-cf0a-11ee-a25a-00155d82e908</v>
      </c>
      <c r="U3895" s="35"/>
      <c r="V3895" s="35" t="s">
        <v>6525</v>
      </c>
      <c r="W3895" s="35" t="s">
        <v>378</v>
      </c>
      <c r="X3895" s="35"/>
      <c r="Y3895" s="35" t="s">
        <v>41</v>
      </c>
      <c r="Z3895" s="35"/>
      <c r="AA3895" s="35" t="str">
        <f>HYPERLINK("https://miland.ru/api/getInfo/item/8d233145-cf0a-11ee-a25a-00155d82e908")</f>
        <v>https://miland.ru/api/getInfo/item/8d233145-cf0a-11ee-a25a-00155d82e908</v>
      </c>
      <c r="AB3895" s="35" t="s">
        <v>42</v>
      </c>
      <c r="AC3895" s="35" t="s">
        <v>13696</v>
      </c>
      <c r="AD3895" s="35"/>
      <c r="AE3895" s="52" t="s">
        <v>1251</v>
      </c>
    </row>
    <row r="3896" spans="2:31" s="1" customFormat="1" ht="96.3" customHeight="1" outlineLevel="7">
      <c r="B3896" s="59">
        <v>3078</v>
      </c>
      <c r="C3896" s="35" t="s">
        <v>13717</v>
      </c>
      <c r="D3896" s="73" t="s">
        <v>13718</v>
      </c>
      <c r="E3896" s="73"/>
      <c r="F3896" s="73"/>
      <c r="G3896" s="73"/>
      <c r="H3896" s="36" t="s">
        <v>13719</v>
      </c>
      <c r="I3896" s="40">
        <v>336</v>
      </c>
      <c r="J3896" s="36"/>
      <c r="K3896" s="34">
        <v>12</v>
      </c>
      <c r="L3896" s="41">
        <v>34.533333333333331</v>
      </c>
      <c r="M3896" s="11"/>
      <c r="N3896" s="36">
        <f t="shared" si="192"/>
        <v>0</v>
      </c>
      <c r="O3896" s="42">
        <f>0.033*M3896</f>
        <v>0</v>
      </c>
      <c r="P3896" s="43">
        <f>0.00017*M3896</f>
        <v>0</v>
      </c>
      <c r="Q3896" s="50"/>
      <c r="R3896" s="36" t="s">
        <v>13720</v>
      </c>
      <c r="S3896" s="36" t="s">
        <v>435</v>
      </c>
      <c r="T3896" s="35" t="str">
        <f>HYPERLINK("https://miland.ru/api/getInfo/image/1f618004-cf08-11ee-a25a-00155d82e908")</f>
        <v>https://miland.ru/api/getInfo/image/1f618004-cf08-11ee-a25a-00155d82e908</v>
      </c>
      <c r="U3896" s="35"/>
      <c r="V3896" s="35" t="s">
        <v>6525</v>
      </c>
      <c r="W3896" s="35" t="s">
        <v>378</v>
      </c>
      <c r="X3896" s="35"/>
      <c r="Y3896" s="35" t="s">
        <v>41</v>
      </c>
      <c r="Z3896" s="35"/>
      <c r="AA3896" s="35" t="str">
        <f>HYPERLINK("https://miland.ru/api/getInfo/item/1f618004-cf08-11ee-a25a-00155d82e908")</f>
        <v>https://miland.ru/api/getInfo/item/1f618004-cf08-11ee-a25a-00155d82e908</v>
      </c>
      <c r="AB3896" s="35" t="s">
        <v>42</v>
      </c>
      <c r="AC3896" s="35" t="s">
        <v>13696</v>
      </c>
      <c r="AD3896" s="35"/>
      <c r="AE3896" s="52" t="s">
        <v>1251</v>
      </c>
    </row>
    <row r="3897" spans="2:31" s="1" customFormat="1" ht="96.3" customHeight="1" outlineLevel="7">
      <c r="B3897" s="59">
        <v>3079</v>
      </c>
      <c r="C3897" s="35" t="s">
        <v>13721</v>
      </c>
      <c r="D3897" s="73" t="s">
        <v>13722</v>
      </c>
      <c r="E3897" s="73"/>
      <c r="F3897" s="73"/>
      <c r="G3897" s="73"/>
      <c r="H3897" s="36" t="s">
        <v>13723</v>
      </c>
      <c r="I3897" s="40">
        <v>252</v>
      </c>
      <c r="J3897" s="36"/>
      <c r="K3897" s="34">
        <v>12</v>
      </c>
      <c r="L3897" s="41">
        <v>34.533333333333331</v>
      </c>
      <c r="M3897" s="11"/>
      <c r="N3897" s="36">
        <f t="shared" si="192"/>
        <v>0</v>
      </c>
      <c r="O3897" s="47">
        <f>0.03*M3897</f>
        <v>0</v>
      </c>
      <c r="P3897" s="43">
        <f>0.00013*M3897</f>
        <v>0</v>
      </c>
      <c r="Q3897" s="50"/>
      <c r="R3897" s="36" t="s">
        <v>13724</v>
      </c>
      <c r="S3897" s="36" t="s">
        <v>435</v>
      </c>
      <c r="T3897" s="35" t="str">
        <f>HYPERLINK("https://miland.ru/api/getInfo/image/5ec2f0fe-039a-11ee-a23b-00155d82e902")</f>
        <v>https://miland.ru/api/getInfo/image/5ec2f0fe-039a-11ee-a23b-00155d82e902</v>
      </c>
      <c r="U3897" s="35"/>
      <c r="V3897" s="35" t="s">
        <v>6525</v>
      </c>
      <c r="W3897" s="35" t="s">
        <v>378</v>
      </c>
      <c r="X3897" s="35"/>
      <c r="Y3897" s="35" t="s">
        <v>41</v>
      </c>
      <c r="Z3897" s="35"/>
      <c r="AA3897" s="35" t="str">
        <f>HYPERLINK("https://miland.ru/api/getInfo/item/5ec2f0fe-039a-11ee-a23b-00155d82e902")</f>
        <v>https://miland.ru/api/getInfo/item/5ec2f0fe-039a-11ee-a23b-00155d82e902</v>
      </c>
      <c r="AB3897" s="35" t="s">
        <v>42</v>
      </c>
      <c r="AC3897" s="35"/>
      <c r="AD3897" s="35"/>
      <c r="AE3897" s="52" t="s">
        <v>1251</v>
      </c>
    </row>
    <row r="3898" spans="2:31" ht="12" customHeight="1" outlineLevel="6">
      <c r="B3898" s="70" t="s">
        <v>13725</v>
      </c>
      <c r="C3898" s="70"/>
      <c r="D3898" s="70"/>
      <c r="E3898" s="70"/>
      <c r="F3898" s="70"/>
      <c r="G3898" s="70"/>
    </row>
    <row r="3899" spans="2:31" s="1" customFormat="1" ht="96.3" customHeight="1" outlineLevel="7">
      <c r="B3899" s="58">
        <v>3080</v>
      </c>
      <c r="C3899" s="7" t="s">
        <v>13726</v>
      </c>
      <c r="D3899" s="71" t="s">
        <v>13727</v>
      </c>
      <c r="E3899" s="71"/>
      <c r="F3899" s="71"/>
      <c r="G3899" s="71"/>
      <c r="H3899" s="8" t="s">
        <v>13728</v>
      </c>
      <c r="I3899" s="9" t="s">
        <v>36</v>
      </c>
      <c r="J3899" s="8"/>
      <c r="K3899" s="6">
        <v>24</v>
      </c>
      <c r="L3899" s="10">
        <v>29.08</v>
      </c>
      <c r="M3899" s="11"/>
      <c r="N3899" s="8">
        <f>L3899*M3899</f>
        <v>0</v>
      </c>
      <c r="O3899" s="12">
        <f>0.036*M3899</f>
        <v>0</v>
      </c>
      <c r="P3899" s="13">
        <f>0.00071*M3899</f>
        <v>0</v>
      </c>
      <c r="Q3899" s="17" t="s">
        <v>37</v>
      </c>
      <c r="R3899" s="8" t="s">
        <v>13729</v>
      </c>
      <c r="S3899" s="8"/>
      <c r="T3899" s="7" t="str">
        <f>HYPERLINK("https://miland.ru/api/getInfo/image/7c83965c-05b5-11f1-a28f-00155d82e908")</f>
        <v>https://miland.ru/api/getInfo/image/7c83965c-05b5-11f1-a28f-00155d82e908</v>
      </c>
      <c r="U3899" s="7"/>
      <c r="V3899" s="7"/>
      <c r="W3899" s="7" t="s">
        <v>378</v>
      </c>
      <c r="X3899" s="7"/>
      <c r="Y3899" s="7" t="s">
        <v>41</v>
      </c>
      <c r="Z3899" s="7"/>
      <c r="AA3899" s="7" t="str">
        <f>HYPERLINK("https://miland.ru/api/getInfo/item/7c83965c-05b5-11f1-a28f-00155d82e908")</f>
        <v>https://miland.ru/api/getInfo/item/7c83965c-05b5-11f1-a28f-00155d82e908</v>
      </c>
      <c r="AB3899" s="7" t="s">
        <v>42</v>
      </c>
      <c r="AC3899" s="7"/>
      <c r="AD3899" s="7"/>
      <c r="AE3899" s="54"/>
    </row>
    <row r="3900" spans="2:31" s="1" customFormat="1" ht="96.3" customHeight="1" outlineLevel="7">
      <c r="B3900" s="58">
        <v>3081</v>
      </c>
      <c r="C3900" s="7" t="s">
        <v>13730</v>
      </c>
      <c r="D3900" s="71" t="s">
        <v>13731</v>
      </c>
      <c r="E3900" s="71"/>
      <c r="F3900" s="71"/>
      <c r="G3900" s="71"/>
      <c r="H3900" s="8" t="s">
        <v>13732</v>
      </c>
      <c r="I3900" s="9" t="s">
        <v>36</v>
      </c>
      <c r="J3900" s="8"/>
      <c r="K3900" s="6">
        <v>24</v>
      </c>
      <c r="L3900" s="10">
        <v>29.08</v>
      </c>
      <c r="M3900" s="11"/>
      <c r="N3900" s="8">
        <f>L3900*M3900</f>
        <v>0</v>
      </c>
      <c r="O3900" s="12">
        <f>0.034*M3900</f>
        <v>0</v>
      </c>
      <c r="P3900" s="16">
        <f>0.0004*M3900</f>
        <v>0</v>
      </c>
      <c r="Q3900" s="17" t="s">
        <v>37</v>
      </c>
      <c r="R3900" s="8" t="s">
        <v>13733</v>
      </c>
      <c r="S3900" s="8"/>
      <c r="T3900" s="7" t="str">
        <f>HYPERLINK("https://miland.ru/api/getInfo/image/9f1556e8-05b5-11f1-a28f-00155d82e908")</f>
        <v>https://miland.ru/api/getInfo/image/9f1556e8-05b5-11f1-a28f-00155d82e908</v>
      </c>
      <c r="U3900" s="7"/>
      <c r="V3900" s="7"/>
      <c r="W3900" s="7" t="s">
        <v>378</v>
      </c>
      <c r="X3900" s="7"/>
      <c r="Y3900" s="7" t="s">
        <v>41</v>
      </c>
      <c r="Z3900" s="7"/>
      <c r="AA3900" s="7" t="str">
        <f>HYPERLINK("https://miland.ru/api/getInfo/item/9f1556e8-05b5-11f1-a28f-00155d82e908")</f>
        <v>https://miland.ru/api/getInfo/item/9f1556e8-05b5-11f1-a28f-00155d82e908</v>
      </c>
      <c r="AB3900" s="7" t="s">
        <v>42</v>
      </c>
      <c r="AC3900" s="7"/>
      <c r="AD3900" s="7"/>
      <c r="AE3900" s="54"/>
    </row>
    <row r="3901" spans="2:31" s="1" customFormat="1" ht="96.3" customHeight="1" outlineLevel="7">
      <c r="B3901" s="58">
        <v>3082</v>
      </c>
      <c r="C3901" s="7" t="s">
        <v>13734</v>
      </c>
      <c r="D3901" s="71" t="s">
        <v>13735</v>
      </c>
      <c r="E3901" s="71"/>
      <c r="F3901" s="71"/>
      <c r="G3901" s="71"/>
      <c r="H3901" s="8" t="s">
        <v>13736</v>
      </c>
      <c r="I3901" s="9" t="s">
        <v>36</v>
      </c>
      <c r="J3901" s="8"/>
      <c r="K3901" s="6">
        <v>24</v>
      </c>
      <c r="L3901" s="10">
        <v>29.08</v>
      </c>
      <c r="M3901" s="11"/>
      <c r="N3901" s="8">
        <f>L3901*M3901</f>
        <v>0</v>
      </c>
      <c r="O3901" s="12">
        <f>0.035*M3901</f>
        <v>0</v>
      </c>
      <c r="P3901" s="13">
        <f>0.00051*M3901</f>
        <v>0</v>
      </c>
      <c r="Q3901" s="17" t="s">
        <v>37</v>
      </c>
      <c r="R3901" s="8" t="s">
        <v>13737</v>
      </c>
      <c r="S3901" s="8"/>
      <c r="T3901" s="7" t="str">
        <f>HYPERLINK("https://miland.ru/api/getInfo/image/334e7215-05b5-11f1-a28f-00155d82e908")</f>
        <v>https://miland.ru/api/getInfo/image/334e7215-05b5-11f1-a28f-00155d82e908</v>
      </c>
      <c r="U3901" s="7"/>
      <c r="V3901" s="7"/>
      <c r="W3901" s="7" t="s">
        <v>378</v>
      </c>
      <c r="X3901" s="7"/>
      <c r="Y3901" s="7" t="s">
        <v>41</v>
      </c>
      <c r="Z3901" s="7"/>
      <c r="AA3901" s="7" t="str">
        <f>HYPERLINK("https://miland.ru/api/getInfo/item/334e7215-05b5-11f1-a28f-00155d82e908")</f>
        <v>https://miland.ru/api/getInfo/item/334e7215-05b5-11f1-a28f-00155d82e908</v>
      </c>
      <c r="AB3901" s="7" t="s">
        <v>42</v>
      </c>
      <c r="AC3901" s="7"/>
      <c r="AD3901" s="7"/>
      <c r="AE3901" s="54"/>
    </row>
    <row r="3902" spans="2:31" s="1" customFormat="1" ht="96.3" customHeight="1" outlineLevel="7">
      <c r="B3902" s="58">
        <v>3083</v>
      </c>
      <c r="C3902" s="7" t="s">
        <v>13738</v>
      </c>
      <c r="D3902" s="71" t="s">
        <v>13739</v>
      </c>
      <c r="E3902" s="71"/>
      <c r="F3902" s="71"/>
      <c r="G3902" s="71"/>
      <c r="H3902" s="8" t="s">
        <v>13740</v>
      </c>
      <c r="I3902" s="9" t="s">
        <v>36</v>
      </c>
      <c r="J3902" s="8"/>
      <c r="K3902" s="6">
        <v>24</v>
      </c>
      <c r="L3902" s="10">
        <v>29.08</v>
      </c>
      <c r="M3902" s="11"/>
      <c r="N3902" s="8">
        <f>L3902*M3902</f>
        <v>0</v>
      </c>
      <c r="O3902" s="12">
        <f>0.051*M3902</f>
        <v>0</v>
      </c>
      <c r="P3902" s="13">
        <f>0.00016*M3902</f>
        <v>0</v>
      </c>
      <c r="Q3902" s="17" t="s">
        <v>37</v>
      </c>
      <c r="R3902" s="8" t="s">
        <v>13741</v>
      </c>
      <c r="S3902" s="8"/>
      <c r="T3902" s="7" t="str">
        <f>HYPERLINK("https://miland.ru/api/getInfo/image/6810890d-05b5-11f1-a28f-00155d82e908")</f>
        <v>https://miland.ru/api/getInfo/image/6810890d-05b5-11f1-a28f-00155d82e908</v>
      </c>
      <c r="U3902" s="7"/>
      <c r="V3902" s="7"/>
      <c r="W3902" s="7" t="s">
        <v>378</v>
      </c>
      <c r="X3902" s="7"/>
      <c r="Y3902" s="7" t="s">
        <v>41</v>
      </c>
      <c r="Z3902" s="7"/>
      <c r="AA3902" s="7" t="str">
        <f>HYPERLINK("https://miland.ru/api/getInfo/item/6810890d-05b5-11f1-a28f-00155d82e908")</f>
        <v>https://miland.ru/api/getInfo/item/6810890d-05b5-11f1-a28f-00155d82e908</v>
      </c>
      <c r="AB3902" s="7" t="s">
        <v>42</v>
      </c>
      <c r="AC3902" s="7"/>
      <c r="AD3902" s="7"/>
      <c r="AE3902" s="54"/>
    </row>
    <row r="3903" spans="2:31" ht="12" customHeight="1" outlineLevel="5">
      <c r="B3903" s="70" t="s">
        <v>13742</v>
      </c>
      <c r="C3903" s="70"/>
      <c r="D3903" s="70"/>
      <c r="E3903" s="70"/>
      <c r="F3903" s="70"/>
      <c r="G3903" s="70"/>
    </row>
    <row r="3904" spans="2:31" ht="12" customHeight="1" outlineLevel="6">
      <c r="B3904" s="70" t="s">
        <v>7114</v>
      </c>
      <c r="C3904" s="70"/>
      <c r="D3904" s="70"/>
      <c r="E3904" s="70"/>
      <c r="F3904" s="70"/>
      <c r="G3904" s="70"/>
    </row>
    <row r="3905" spans="2:31" s="1" customFormat="1" ht="96.3" customHeight="1" outlineLevel="7">
      <c r="B3905" s="58">
        <v>3084</v>
      </c>
      <c r="C3905" s="7" t="s">
        <v>13743</v>
      </c>
      <c r="D3905" s="71" t="s">
        <v>13744</v>
      </c>
      <c r="E3905" s="71"/>
      <c r="F3905" s="71"/>
      <c r="G3905" s="71"/>
      <c r="H3905" s="8" t="s">
        <v>13745</v>
      </c>
      <c r="I3905" s="9" t="s">
        <v>36</v>
      </c>
      <c r="J3905" s="8"/>
      <c r="K3905" s="6">
        <v>12</v>
      </c>
      <c r="L3905" s="10">
        <v>30.3</v>
      </c>
      <c r="M3905" s="11"/>
      <c r="N3905" s="8">
        <f t="shared" ref="N3905:N3915" si="193">L3905*M3905</f>
        <v>0</v>
      </c>
      <c r="O3905" s="12">
        <f>0.028*M3905</f>
        <v>0</v>
      </c>
      <c r="P3905" s="13">
        <f>0.00023*M3905</f>
        <v>0</v>
      </c>
      <c r="Q3905" s="17" t="s">
        <v>37</v>
      </c>
      <c r="R3905" s="8" t="s">
        <v>13746</v>
      </c>
      <c r="S3905" s="8"/>
      <c r="T3905" s="7" t="str">
        <f>HYPERLINK("https://miland.ru/api/getInfo/image/00aaf03f-58ad-11f0-a27f-00155d82e908")</f>
        <v>https://miland.ru/api/getInfo/image/00aaf03f-58ad-11f0-a27f-00155d82e908</v>
      </c>
      <c r="U3905" s="7"/>
      <c r="V3905" s="7"/>
      <c r="W3905" s="7" t="s">
        <v>378</v>
      </c>
      <c r="X3905" s="7"/>
      <c r="Y3905" s="7" t="s">
        <v>41</v>
      </c>
      <c r="Z3905" s="7"/>
      <c r="AA3905" s="7" t="str">
        <f>HYPERLINK("https://miland.ru/api/getInfo/item/00aaf03f-58ad-11f0-a27f-00155d82e908")</f>
        <v>https://miland.ru/api/getInfo/item/00aaf03f-58ad-11f0-a27f-00155d82e908</v>
      </c>
      <c r="AB3905" s="7" t="s">
        <v>42</v>
      </c>
      <c r="AC3905" s="7"/>
      <c r="AD3905" s="7"/>
      <c r="AE3905" s="54"/>
    </row>
    <row r="3906" spans="2:31" s="1" customFormat="1" ht="96.3" customHeight="1" outlineLevel="7">
      <c r="B3906" s="58">
        <v>3085</v>
      </c>
      <c r="C3906" s="7" t="s">
        <v>13747</v>
      </c>
      <c r="D3906" s="71" t="s">
        <v>13748</v>
      </c>
      <c r="E3906" s="71"/>
      <c r="F3906" s="71"/>
      <c r="G3906" s="71"/>
      <c r="H3906" s="8" t="s">
        <v>13749</v>
      </c>
      <c r="I3906" s="9" t="s">
        <v>36</v>
      </c>
      <c r="J3906" s="8"/>
      <c r="K3906" s="6">
        <v>12</v>
      </c>
      <c r="L3906" s="10">
        <v>30.3</v>
      </c>
      <c r="M3906" s="11"/>
      <c r="N3906" s="8">
        <f t="shared" si="193"/>
        <v>0</v>
      </c>
      <c r="O3906" s="12">
        <f>0.028*M3906</f>
        <v>0</v>
      </c>
      <c r="P3906" s="13">
        <f>0.00023*M3906</f>
        <v>0</v>
      </c>
      <c r="Q3906" s="17" t="s">
        <v>37</v>
      </c>
      <c r="R3906" s="8" t="s">
        <v>13750</v>
      </c>
      <c r="S3906" s="8"/>
      <c r="T3906" s="7" t="str">
        <f>HYPERLINK("https://miland.ru/api/getInfo/image/5d25c741-58ad-11f0-a27f-00155d82e908")</f>
        <v>https://miland.ru/api/getInfo/image/5d25c741-58ad-11f0-a27f-00155d82e908</v>
      </c>
      <c r="U3906" s="7"/>
      <c r="V3906" s="7"/>
      <c r="W3906" s="7" t="s">
        <v>378</v>
      </c>
      <c r="X3906" s="7"/>
      <c r="Y3906" s="7" t="s">
        <v>41</v>
      </c>
      <c r="Z3906" s="7"/>
      <c r="AA3906" s="7" t="str">
        <f>HYPERLINK("https://miland.ru/api/getInfo/item/5d25c741-58ad-11f0-a27f-00155d82e908")</f>
        <v>https://miland.ru/api/getInfo/item/5d25c741-58ad-11f0-a27f-00155d82e908</v>
      </c>
      <c r="AB3906" s="7" t="s">
        <v>42</v>
      </c>
      <c r="AC3906" s="7"/>
      <c r="AD3906" s="7"/>
      <c r="AE3906" s="54"/>
    </row>
    <row r="3907" spans="2:31" s="1" customFormat="1" ht="96.3" customHeight="1" outlineLevel="7">
      <c r="B3907" s="58">
        <v>3086</v>
      </c>
      <c r="C3907" s="7" t="s">
        <v>13751</v>
      </c>
      <c r="D3907" s="71" t="s">
        <v>13752</v>
      </c>
      <c r="E3907" s="71"/>
      <c r="F3907" s="71"/>
      <c r="G3907" s="71"/>
      <c r="H3907" s="8" t="s">
        <v>13753</v>
      </c>
      <c r="I3907" s="9" t="s">
        <v>36</v>
      </c>
      <c r="J3907" s="8"/>
      <c r="K3907" s="6">
        <v>12</v>
      </c>
      <c r="L3907" s="10">
        <v>30.3</v>
      </c>
      <c r="M3907" s="11"/>
      <c r="N3907" s="8">
        <f t="shared" si="193"/>
        <v>0</v>
      </c>
      <c r="O3907" s="12">
        <f>0.028*M3907</f>
        <v>0</v>
      </c>
      <c r="P3907" s="13">
        <f>0.00023*M3907</f>
        <v>0</v>
      </c>
      <c r="Q3907" s="17" t="s">
        <v>37</v>
      </c>
      <c r="R3907" s="8" t="s">
        <v>13754</v>
      </c>
      <c r="S3907" s="8"/>
      <c r="T3907" s="7" t="str">
        <f>HYPERLINK("https://miland.ru/api/getInfo/image/c0a301aa-58ad-11f0-a27f-00155d82e908")</f>
        <v>https://miland.ru/api/getInfo/image/c0a301aa-58ad-11f0-a27f-00155d82e908</v>
      </c>
      <c r="U3907" s="7"/>
      <c r="V3907" s="7"/>
      <c r="W3907" s="7" t="s">
        <v>378</v>
      </c>
      <c r="X3907" s="7"/>
      <c r="Y3907" s="7" t="s">
        <v>41</v>
      </c>
      <c r="Z3907" s="7"/>
      <c r="AA3907" s="7" t="str">
        <f>HYPERLINK("https://miland.ru/api/getInfo/item/c0a301aa-58ad-11f0-a27f-00155d82e908")</f>
        <v>https://miland.ru/api/getInfo/item/c0a301aa-58ad-11f0-a27f-00155d82e908</v>
      </c>
      <c r="AB3907" s="7" t="s">
        <v>42</v>
      </c>
      <c r="AC3907" s="7"/>
      <c r="AD3907" s="7"/>
      <c r="AE3907" s="54"/>
    </row>
    <row r="3908" spans="2:31" s="1" customFormat="1" ht="96.3" customHeight="1" outlineLevel="7">
      <c r="B3908" s="58">
        <v>3087</v>
      </c>
      <c r="C3908" s="7" t="s">
        <v>13755</v>
      </c>
      <c r="D3908" s="71" t="s">
        <v>13756</v>
      </c>
      <c r="E3908" s="71"/>
      <c r="F3908" s="71"/>
      <c r="G3908" s="71"/>
      <c r="H3908" s="8" t="s">
        <v>13757</v>
      </c>
      <c r="I3908" s="9" t="s">
        <v>36</v>
      </c>
      <c r="J3908" s="8"/>
      <c r="K3908" s="6">
        <v>12</v>
      </c>
      <c r="L3908" s="10">
        <v>38.46</v>
      </c>
      <c r="M3908" s="11"/>
      <c r="N3908" s="8">
        <f t="shared" si="193"/>
        <v>0</v>
      </c>
      <c r="O3908" s="12">
        <f>0.031*M3908</f>
        <v>0</v>
      </c>
      <c r="P3908" s="13">
        <f>0.00012*M3908</f>
        <v>0</v>
      </c>
      <c r="Q3908" s="17" t="s">
        <v>37</v>
      </c>
      <c r="R3908" s="8" t="s">
        <v>13758</v>
      </c>
      <c r="S3908" s="8"/>
      <c r="T3908" s="7" t="str">
        <f>HYPERLINK("https://miland.ru/api/getInfo/image/7af49dcc-728e-11f0-a284-00155d82e908")</f>
        <v>https://miland.ru/api/getInfo/image/7af49dcc-728e-11f0-a284-00155d82e908</v>
      </c>
      <c r="U3908" s="7"/>
      <c r="V3908" s="7" t="s">
        <v>6525</v>
      </c>
      <c r="W3908" s="7" t="s">
        <v>378</v>
      </c>
      <c r="X3908" s="7"/>
      <c r="Y3908" s="7" t="s">
        <v>41</v>
      </c>
      <c r="Z3908" s="7"/>
      <c r="AA3908" s="7" t="str">
        <f>HYPERLINK("https://miland.ru/api/getInfo/item/7af49dcc-728e-11f0-a284-00155d82e908")</f>
        <v>https://miland.ru/api/getInfo/item/7af49dcc-728e-11f0-a284-00155d82e908</v>
      </c>
      <c r="AB3908" s="7" t="s">
        <v>42</v>
      </c>
      <c r="AC3908" s="7"/>
      <c r="AD3908" s="7"/>
      <c r="AE3908" s="54"/>
    </row>
    <row r="3909" spans="2:31" s="1" customFormat="1" ht="96.3" customHeight="1" outlineLevel="7">
      <c r="B3909" s="58">
        <v>3088</v>
      </c>
      <c r="C3909" s="7" t="s">
        <v>13759</v>
      </c>
      <c r="D3909" s="71" t="s">
        <v>13760</v>
      </c>
      <c r="E3909" s="71"/>
      <c r="F3909" s="71"/>
      <c r="G3909" s="71"/>
      <c r="H3909" s="8" t="s">
        <v>13761</v>
      </c>
      <c r="I3909" s="9" t="s">
        <v>36</v>
      </c>
      <c r="J3909" s="8"/>
      <c r="K3909" s="6">
        <v>12</v>
      </c>
      <c r="L3909" s="10">
        <v>38.46</v>
      </c>
      <c r="M3909" s="11"/>
      <c r="N3909" s="8">
        <f t="shared" si="193"/>
        <v>0</v>
      </c>
      <c r="O3909" s="12">
        <f>0.031*M3909</f>
        <v>0</v>
      </c>
      <c r="P3909" s="13">
        <f>0.00017*M3909</f>
        <v>0</v>
      </c>
      <c r="Q3909" s="17" t="s">
        <v>37</v>
      </c>
      <c r="R3909" s="8" t="s">
        <v>13762</v>
      </c>
      <c r="S3909" s="8"/>
      <c r="T3909" s="7" t="str">
        <f>HYPERLINK("https://miland.ru/api/getInfo/image/c1f0e095-728e-11f0-a284-00155d82e908")</f>
        <v>https://miland.ru/api/getInfo/image/c1f0e095-728e-11f0-a284-00155d82e908</v>
      </c>
      <c r="U3909" s="7"/>
      <c r="V3909" s="7" t="s">
        <v>6525</v>
      </c>
      <c r="W3909" s="7" t="s">
        <v>378</v>
      </c>
      <c r="X3909" s="7"/>
      <c r="Y3909" s="7" t="s">
        <v>41</v>
      </c>
      <c r="Z3909" s="7"/>
      <c r="AA3909" s="7" t="str">
        <f>HYPERLINK("https://miland.ru/api/getInfo/item/c1f0e095-728e-11f0-a284-00155d82e908")</f>
        <v>https://miland.ru/api/getInfo/item/c1f0e095-728e-11f0-a284-00155d82e908</v>
      </c>
      <c r="AB3909" s="7" t="s">
        <v>42</v>
      </c>
      <c r="AC3909" s="7"/>
      <c r="AD3909" s="7"/>
      <c r="AE3909" s="54"/>
    </row>
    <row r="3910" spans="2:31" s="1" customFormat="1" ht="96.3" customHeight="1" outlineLevel="7">
      <c r="B3910" s="58">
        <v>3089</v>
      </c>
      <c r="C3910" s="7" t="s">
        <v>13763</v>
      </c>
      <c r="D3910" s="71" t="s">
        <v>13764</v>
      </c>
      <c r="E3910" s="71"/>
      <c r="F3910" s="71"/>
      <c r="G3910" s="71"/>
      <c r="H3910" s="8" t="s">
        <v>13765</v>
      </c>
      <c r="I3910" s="9" t="s">
        <v>36</v>
      </c>
      <c r="J3910" s="8"/>
      <c r="K3910" s="6">
        <v>12</v>
      </c>
      <c r="L3910" s="10">
        <v>38.46</v>
      </c>
      <c r="M3910" s="11"/>
      <c r="N3910" s="8">
        <f t="shared" si="193"/>
        <v>0</v>
      </c>
      <c r="O3910" s="12">
        <f>0.031*M3910</f>
        <v>0</v>
      </c>
      <c r="P3910" s="13">
        <f>0.00017*M3910</f>
        <v>0</v>
      </c>
      <c r="Q3910" s="17" t="s">
        <v>37</v>
      </c>
      <c r="R3910" s="8" t="s">
        <v>13766</v>
      </c>
      <c r="S3910" s="8"/>
      <c r="T3910" s="7" t="str">
        <f>HYPERLINK("https://miland.ru/api/getInfo/image/3a9cce73-728e-11f0-a284-00155d82e908")</f>
        <v>https://miland.ru/api/getInfo/image/3a9cce73-728e-11f0-a284-00155d82e908</v>
      </c>
      <c r="U3910" s="7"/>
      <c r="V3910" s="7" t="s">
        <v>6525</v>
      </c>
      <c r="W3910" s="7" t="s">
        <v>378</v>
      </c>
      <c r="X3910" s="7"/>
      <c r="Y3910" s="7" t="s">
        <v>41</v>
      </c>
      <c r="Z3910" s="7"/>
      <c r="AA3910" s="7" t="str">
        <f>HYPERLINK("https://miland.ru/api/getInfo/item/3a9cce73-728e-11f0-a284-00155d82e908")</f>
        <v>https://miland.ru/api/getInfo/item/3a9cce73-728e-11f0-a284-00155d82e908</v>
      </c>
      <c r="AB3910" s="7" t="s">
        <v>42</v>
      </c>
      <c r="AC3910" s="7"/>
      <c r="AD3910" s="7"/>
      <c r="AE3910" s="54"/>
    </row>
    <row r="3911" spans="2:31" s="1" customFormat="1" ht="96.3" customHeight="1" outlineLevel="7">
      <c r="B3911" s="58">
        <v>3090</v>
      </c>
      <c r="C3911" s="7" t="s">
        <v>13767</v>
      </c>
      <c r="D3911" s="71" t="s">
        <v>13768</v>
      </c>
      <c r="E3911" s="71"/>
      <c r="F3911" s="71"/>
      <c r="G3911" s="71"/>
      <c r="H3911" s="8" t="s">
        <v>13769</v>
      </c>
      <c r="I3911" s="9" t="s">
        <v>36</v>
      </c>
      <c r="J3911" s="8"/>
      <c r="K3911" s="6">
        <v>12</v>
      </c>
      <c r="L3911" s="10">
        <v>38.46</v>
      </c>
      <c r="M3911" s="11"/>
      <c r="N3911" s="8">
        <f t="shared" si="193"/>
        <v>0</v>
      </c>
      <c r="O3911" s="12">
        <f>0.031*M3911</f>
        <v>0</v>
      </c>
      <c r="P3911" s="13">
        <f>0.00012*M3911</f>
        <v>0</v>
      </c>
      <c r="Q3911" s="17" t="s">
        <v>37</v>
      </c>
      <c r="R3911" s="8" t="s">
        <v>13770</v>
      </c>
      <c r="S3911" s="8"/>
      <c r="T3911" s="7" t="str">
        <f>HYPERLINK("https://miland.ru/api/getInfo/image/54cfd91d-728e-11f0-a284-00155d82e908")</f>
        <v>https://miland.ru/api/getInfo/image/54cfd91d-728e-11f0-a284-00155d82e908</v>
      </c>
      <c r="U3911" s="7"/>
      <c r="V3911" s="7" t="s">
        <v>6525</v>
      </c>
      <c r="W3911" s="7" t="s">
        <v>378</v>
      </c>
      <c r="X3911" s="7"/>
      <c r="Y3911" s="7" t="s">
        <v>41</v>
      </c>
      <c r="Z3911" s="7"/>
      <c r="AA3911" s="7" t="str">
        <f>HYPERLINK("https://miland.ru/api/getInfo/item/54cfd91d-728e-11f0-a284-00155d82e908")</f>
        <v>https://miland.ru/api/getInfo/item/54cfd91d-728e-11f0-a284-00155d82e908</v>
      </c>
      <c r="AB3911" s="7" t="s">
        <v>42</v>
      </c>
      <c r="AC3911" s="7"/>
      <c r="AD3911" s="7"/>
      <c r="AE3911" s="54"/>
    </row>
    <row r="3912" spans="2:31" s="1" customFormat="1" ht="96.3" customHeight="1" outlineLevel="7">
      <c r="B3912" s="58">
        <v>3091</v>
      </c>
      <c r="C3912" s="7" t="s">
        <v>13771</v>
      </c>
      <c r="D3912" s="71" t="s">
        <v>13772</v>
      </c>
      <c r="E3912" s="71"/>
      <c r="F3912" s="71"/>
      <c r="G3912" s="71"/>
      <c r="H3912" s="8" t="s">
        <v>13773</v>
      </c>
      <c r="I3912" s="9" t="s">
        <v>36</v>
      </c>
      <c r="J3912" s="8"/>
      <c r="K3912" s="6">
        <v>12</v>
      </c>
      <c r="L3912" s="10">
        <v>38.46</v>
      </c>
      <c r="M3912" s="11"/>
      <c r="N3912" s="8">
        <f t="shared" si="193"/>
        <v>0</v>
      </c>
      <c r="O3912" s="12">
        <f>0.031*M3912</f>
        <v>0</v>
      </c>
      <c r="P3912" s="13">
        <f>0.00017*M3912</f>
        <v>0</v>
      </c>
      <c r="Q3912" s="17" t="s">
        <v>37</v>
      </c>
      <c r="R3912" s="8" t="s">
        <v>13774</v>
      </c>
      <c r="S3912" s="8"/>
      <c r="T3912" s="7" t="str">
        <f>HYPERLINK("https://miland.ru/api/getInfo/image/66c53205-728e-11f0-a284-00155d82e908")</f>
        <v>https://miland.ru/api/getInfo/image/66c53205-728e-11f0-a284-00155d82e908</v>
      </c>
      <c r="U3912" s="7"/>
      <c r="V3912" s="7" t="s">
        <v>6525</v>
      </c>
      <c r="W3912" s="7" t="s">
        <v>378</v>
      </c>
      <c r="X3912" s="7"/>
      <c r="Y3912" s="7" t="s">
        <v>41</v>
      </c>
      <c r="Z3912" s="7"/>
      <c r="AA3912" s="7" t="str">
        <f>HYPERLINK("https://miland.ru/api/getInfo/item/66c53205-728e-11f0-a284-00155d82e908")</f>
        <v>https://miland.ru/api/getInfo/item/66c53205-728e-11f0-a284-00155d82e908</v>
      </c>
      <c r="AB3912" s="7" t="s">
        <v>42</v>
      </c>
      <c r="AC3912" s="7"/>
      <c r="AD3912" s="7"/>
      <c r="AE3912" s="54"/>
    </row>
    <row r="3913" spans="2:31" s="1" customFormat="1" ht="96.3" customHeight="1" outlineLevel="7">
      <c r="B3913" s="58">
        <v>3092</v>
      </c>
      <c r="C3913" s="7" t="s">
        <v>13775</v>
      </c>
      <c r="D3913" s="71" t="s">
        <v>13776</v>
      </c>
      <c r="E3913" s="71"/>
      <c r="F3913" s="71"/>
      <c r="G3913" s="71"/>
      <c r="H3913" s="8" t="s">
        <v>13777</v>
      </c>
      <c r="I3913" s="9" t="s">
        <v>36</v>
      </c>
      <c r="J3913" s="8"/>
      <c r="K3913" s="6">
        <v>12</v>
      </c>
      <c r="L3913" s="10">
        <v>38.46</v>
      </c>
      <c r="M3913" s="11"/>
      <c r="N3913" s="8">
        <f t="shared" si="193"/>
        <v>0</v>
      </c>
      <c r="O3913" s="12">
        <f>0.032*M3913</f>
        <v>0</v>
      </c>
      <c r="P3913" s="13">
        <f>0.00012*M3913</f>
        <v>0</v>
      </c>
      <c r="Q3913" s="17" t="s">
        <v>37</v>
      </c>
      <c r="R3913" s="8" t="s">
        <v>13778</v>
      </c>
      <c r="S3913" s="8"/>
      <c r="T3913" s="7" t="str">
        <f>HYPERLINK("https://miland.ru/api/getInfo/image/946b35b5-728e-11f0-a284-00155d82e908")</f>
        <v>https://miland.ru/api/getInfo/image/946b35b5-728e-11f0-a284-00155d82e908</v>
      </c>
      <c r="U3913" s="7"/>
      <c r="V3913" s="7" t="s">
        <v>6525</v>
      </c>
      <c r="W3913" s="7" t="s">
        <v>378</v>
      </c>
      <c r="X3913" s="7"/>
      <c r="Y3913" s="7" t="s">
        <v>41</v>
      </c>
      <c r="Z3913" s="7"/>
      <c r="AA3913" s="7" t="str">
        <f>HYPERLINK("https://miland.ru/api/getInfo/item/946b35b5-728e-11f0-a284-00155d82e908")</f>
        <v>https://miland.ru/api/getInfo/item/946b35b5-728e-11f0-a284-00155d82e908</v>
      </c>
      <c r="AB3913" s="7" t="s">
        <v>42</v>
      </c>
      <c r="AC3913" s="7"/>
      <c r="AD3913" s="7"/>
      <c r="AE3913" s="54"/>
    </row>
    <row r="3914" spans="2:31" s="1" customFormat="1" ht="96.3" customHeight="1" outlineLevel="7">
      <c r="B3914" s="57">
        <v>3093</v>
      </c>
      <c r="C3914" s="21" t="s">
        <v>13779</v>
      </c>
      <c r="D3914" s="72" t="s">
        <v>13780</v>
      </c>
      <c r="E3914" s="72"/>
      <c r="F3914" s="72"/>
      <c r="G3914" s="72"/>
      <c r="H3914" s="22" t="s">
        <v>13781</v>
      </c>
      <c r="I3914" s="23" t="s">
        <v>36</v>
      </c>
      <c r="J3914" s="22"/>
      <c r="K3914" s="20">
        <v>12</v>
      </c>
      <c r="L3914" s="24">
        <v>38.46</v>
      </c>
      <c r="M3914" s="11"/>
      <c r="N3914" s="22">
        <f t="shared" si="193"/>
        <v>0</v>
      </c>
      <c r="O3914" s="25">
        <f>0.038*M3914</f>
        <v>0</v>
      </c>
      <c r="P3914" s="26">
        <f>0.00073*M3914</f>
        <v>0</v>
      </c>
      <c r="Q3914" s="30"/>
      <c r="R3914" s="22" t="s">
        <v>13782</v>
      </c>
      <c r="S3914" s="22" t="s">
        <v>435</v>
      </c>
      <c r="T3914" s="21" t="str">
        <f>HYPERLINK("https://miland.ru/api/getInfo/image/1f1e90fe-19be-11ef-a25d-00155d82e908")</f>
        <v>https://miland.ru/api/getInfo/image/1f1e90fe-19be-11ef-a25d-00155d82e908</v>
      </c>
      <c r="U3914" s="21"/>
      <c r="V3914" s="21" t="s">
        <v>6525</v>
      </c>
      <c r="W3914" s="21" t="s">
        <v>378</v>
      </c>
      <c r="X3914" s="21"/>
      <c r="Y3914" s="21" t="s">
        <v>41</v>
      </c>
      <c r="Z3914" s="21"/>
      <c r="AA3914" s="21" t="str">
        <f>HYPERLINK("https://miland.ru/api/getInfo/item/1f1e90fe-19be-11ef-a25d-00155d82e908")</f>
        <v>https://miland.ru/api/getInfo/item/1f1e90fe-19be-11ef-a25d-00155d82e908</v>
      </c>
      <c r="AB3914" s="21" t="s">
        <v>42</v>
      </c>
      <c r="AC3914" s="21" t="s">
        <v>13783</v>
      </c>
      <c r="AD3914" s="21"/>
    </row>
    <row r="3915" spans="2:31" s="1" customFormat="1" ht="96.3" customHeight="1" outlineLevel="7">
      <c r="B3915" s="57">
        <v>3094</v>
      </c>
      <c r="C3915" s="21" t="s">
        <v>13784</v>
      </c>
      <c r="D3915" s="72" t="s">
        <v>13785</v>
      </c>
      <c r="E3915" s="72"/>
      <c r="F3915" s="72"/>
      <c r="G3915" s="72"/>
      <c r="H3915" s="22" t="s">
        <v>13786</v>
      </c>
      <c r="I3915" s="23" t="s">
        <v>36</v>
      </c>
      <c r="J3915" s="22"/>
      <c r="K3915" s="20">
        <v>12</v>
      </c>
      <c r="L3915" s="24">
        <v>38.46</v>
      </c>
      <c r="M3915" s="11"/>
      <c r="N3915" s="22">
        <f t="shared" si="193"/>
        <v>0</v>
      </c>
      <c r="O3915" s="25">
        <f>0.035*M3915</f>
        <v>0</v>
      </c>
      <c r="P3915" s="26">
        <f>0.00017*M3915</f>
        <v>0</v>
      </c>
      <c r="Q3915" s="30"/>
      <c r="R3915" s="22" t="s">
        <v>13787</v>
      </c>
      <c r="S3915" s="22" t="s">
        <v>435</v>
      </c>
      <c r="T3915" s="21" t="str">
        <f>HYPERLINK("https://miland.ru/api/getInfo/image/d91719a8-cf13-11ee-a25a-00155d82e908")</f>
        <v>https://miland.ru/api/getInfo/image/d91719a8-cf13-11ee-a25a-00155d82e908</v>
      </c>
      <c r="U3915" s="21"/>
      <c r="V3915" s="21" t="s">
        <v>6525</v>
      </c>
      <c r="W3915" s="21" t="s">
        <v>378</v>
      </c>
      <c r="X3915" s="21"/>
      <c r="Y3915" s="21" t="s">
        <v>41</v>
      </c>
      <c r="Z3915" s="21"/>
      <c r="AA3915" s="21" t="str">
        <f>HYPERLINK("https://miland.ru/api/getInfo/item/d91719a8-cf13-11ee-a25a-00155d82e908")</f>
        <v>https://miland.ru/api/getInfo/item/d91719a8-cf13-11ee-a25a-00155d82e908</v>
      </c>
      <c r="AB3915" s="21" t="s">
        <v>42</v>
      </c>
      <c r="AC3915" s="21" t="s">
        <v>13788</v>
      </c>
      <c r="AD3915" s="21"/>
    </row>
    <row r="3916" spans="2:31" ht="12" customHeight="1" outlineLevel="6">
      <c r="B3916" s="70" t="s">
        <v>13789</v>
      </c>
      <c r="C3916" s="70"/>
      <c r="D3916" s="70"/>
      <c r="E3916" s="70"/>
      <c r="F3916" s="70"/>
      <c r="G3916" s="70"/>
    </row>
    <row r="3917" spans="2:31" s="1" customFormat="1" ht="96.3" customHeight="1" outlineLevel="7">
      <c r="B3917" s="58">
        <v>3095</v>
      </c>
      <c r="C3917" s="7" t="s">
        <v>13790</v>
      </c>
      <c r="D3917" s="71" t="s">
        <v>13791</v>
      </c>
      <c r="E3917" s="71"/>
      <c r="F3917" s="71"/>
      <c r="G3917" s="71"/>
      <c r="H3917" s="8" t="s">
        <v>13792</v>
      </c>
      <c r="I3917" s="9" t="s">
        <v>36</v>
      </c>
      <c r="J3917" s="8"/>
      <c r="K3917" s="6">
        <v>24</v>
      </c>
      <c r="L3917" s="10">
        <v>30.31</v>
      </c>
      <c r="M3917" s="11"/>
      <c r="N3917" s="8">
        <f>L3917*M3917</f>
        <v>0</v>
      </c>
      <c r="O3917" s="12">
        <f>0.032*M3917</f>
        <v>0</v>
      </c>
      <c r="P3917" s="13">
        <f>0.00036*M3917</f>
        <v>0</v>
      </c>
      <c r="Q3917" s="17" t="s">
        <v>37</v>
      </c>
      <c r="R3917" s="8" t="s">
        <v>13793</v>
      </c>
      <c r="S3917" s="8"/>
      <c r="T3917" s="7"/>
      <c r="U3917" s="7"/>
      <c r="V3917" s="7"/>
      <c r="W3917" s="7" t="s">
        <v>378</v>
      </c>
      <c r="X3917" s="7"/>
      <c r="Y3917" s="7" t="s">
        <v>41</v>
      </c>
      <c r="Z3917" s="7"/>
      <c r="AA3917" s="7"/>
      <c r="AB3917" s="7" t="s">
        <v>42</v>
      </c>
      <c r="AC3917" s="7"/>
      <c r="AD3917" s="7"/>
      <c r="AE3917" s="54"/>
    </row>
    <row r="3918" spans="2:31" s="1" customFormat="1" ht="96.3" customHeight="1" outlineLevel="7">
      <c r="B3918" s="58">
        <v>3096</v>
      </c>
      <c r="C3918" s="7" t="s">
        <v>13794</v>
      </c>
      <c r="D3918" s="71" t="s">
        <v>13795</v>
      </c>
      <c r="E3918" s="71"/>
      <c r="F3918" s="71"/>
      <c r="G3918" s="71"/>
      <c r="H3918" s="8" t="s">
        <v>13796</v>
      </c>
      <c r="I3918" s="9" t="s">
        <v>36</v>
      </c>
      <c r="J3918" s="8"/>
      <c r="K3918" s="6">
        <v>24</v>
      </c>
      <c r="L3918" s="10">
        <v>30.88</v>
      </c>
      <c r="M3918" s="11"/>
      <c r="N3918" s="8">
        <f>L3918*M3918</f>
        <v>0</v>
      </c>
      <c r="O3918" s="12">
        <f>0.033*M3918</f>
        <v>0</v>
      </c>
      <c r="P3918" s="13">
        <f>0.00046*M3918</f>
        <v>0</v>
      </c>
      <c r="Q3918" s="17" t="s">
        <v>37</v>
      </c>
      <c r="R3918" s="8" t="s">
        <v>13797</v>
      </c>
      <c r="S3918" s="8"/>
      <c r="T3918" s="7"/>
      <c r="U3918" s="7"/>
      <c r="V3918" s="7"/>
      <c r="W3918" s="7" t="s">
        <v>378</v>
      </c>
      <c r="X3918" s="7"/>
      <c r="Y3918" s="7" t="s">
        <v>41</v>
      </c>
      <c r="Z3918" s="7"/>
      <c r="AA3918" s="7"/>
      <c r="AB3918" s="7" t="s">
        <v>42</v>
      </c>
      <c r="AC3918" s="7"/>
      <c r="AD3918" s="7"/>
      <c r="AE3918" s="54"/>
    </row>
    <row r="3919" spans="2:31" ht="12" customHeight="1" outlineLevel="5">
      <c r="B3919" s="70" t="s">
        <v>6685</v>
      </c>
      <c r="C3919" s="70"/>
      <c r="D3919" s="70"/>
      <c r="E3919" s="70"/>
      <c r="F3919" s="70"/>
      <c r="G3919" s="70"/>
    </row>
    <row r="3920" spans="2:31" ht="12" customHeight="1" outlineLevel="6">
      <c r="B3920" s="70" t="s">
        <v>6686</v>
      </c>
      <c r="C3920" s="70"/>
      <c r="D3920" s="70"/>
      <c r="E3920" s="70"/>
      <c r="F3920" s="70"/>
      <c r="G3920" s="70"/>
    </row>
    <row r="3921" spans="2:31" s="1" customFormat="1" ht="96.3" customHeight="1" outlineLevel="7">
      <c r="B3921" s="57">
        <v>3097</v>
      </c>
      <c r="C3921" s="21" t="s">
        <v>13798</v>
      </c>
      <c r="D3921" s="72" t="s">
        <v>13799</v>
      </c>
      <c r="E3921" s="72"/>
      <c r="F3921" s="72"/>
      <c r="G3921" s="72"/>
      <c r="H3921" s="22" t="s">
        <v>13800</v>
      </c>
      <c r="I3921" s="23" t="s">
        <v>36</v>
      </c>
      <c r="J3921" s="22"/>
      <c r="K3921" s="20">
        <v>12</v>
      </c>
      <c r="L3921" s="24">
        <v>37.409999999999997</v>
      </c>
      <c r="M3921" s="11"/>
      <c r="N3921" s="22">
        <f>L3921*M3921</f>
        <v>0</v>
      </c>
      <c r="O3921" s="28">
        <f>0.65*M3921</f>
        <v>0</v>
      </c>
      <c r="P3921" s="26">
        <f>0.00313*M3921</f>
        <v>0</v>
      </c>
      <c r="Q3921" s="30"/>
      <c r="R3921" s="22" t="s">
        <v>13801</v>
      </c>
      <c r="S3921" s="22" t="s">
        <v>435</v>
      </c>
      <c r="T3921" s="21" t="str">
        <f>HYPERLINK("https://miland.ru/api/getInfo/image/9c55c703-03a4-11ef-a25d-00155d82e908")</f>
        <v>https://miland.ru/api/getInfo/image/9c55c703-03a4-11ef-a25d-00155d82e908</v>
      </c>
      <c r="U3921" s="21"/>
      <c r="V3921" s="21"/>
      <c r="W3921" s="21"/>
      <c r="X3921" s="21"/>
      <c r="Y3921" s="21" t="s">
        <v>41</v>
      </c>
      <c r="Z3921" s="21"/>
      <c r="AA3921" s="21" t="str">
        <f>HYPERLINK("https://miland.ru/api/getInfo/item/9c55c703-03a4-11ef-a25d-00155d82e908")</f>
        <v>https://miland.ru/api/getInfo/item/9c55c703-03a4-11ef-a25d-00155d82e908</v>
      </c>
      <c r="AB3921" s="21" t="s">
        <v>42</v>
      </c>
      <c r="AC3921" s="21" t="s">
        <v>7162</v>
      </c>
      <c r="AD3921" s="21"/>
    </row>
    <row r="3922" spans="2:31" ht="12" customHeight="1" outlineLevel="5">
      <c r="B3922" s="70" t="s">
        <v>12716</v>
      </c>
      <c r="C3922" s="70"/>
      <c r="D3922" s="70"/>
      <c r="E3922" s="70"/>
      <c r="F3922" s="70"/>
      <c r="G3922" s="70"/>
    </row>
    <row r="3923" spans="2:31" ht="12" customHeight="1" outlineLevel="6">
      <c r="B3923" s="70" t="s">
        <v>13802</v>
      </c>
      <c r="C3923" s="70"/>
      <c r="D3923" s="70"/>
      <c r="E3923" s="70"/>
      <c r="F3923" s="70"/>
      <c r="G3923" s="70"/>
    </row>
    <row r="3924" spans="2:31" ht="12" customHeight="1" outlineLevel="7">
      <c r="B3924" s="70" t="s">
        <v>12999</v>
      </c>
      <c r="C3924" s="70"/>
      <c r="D3924" s="70"/>
      <c r="E3924" s="70"/>
      <c r="F3924" s="70"/>
      <c r="G3924" s="70"/>
    </row>
    <row r="3925" spans="2:31" s="1" customFormat="1" ht="96.3" customHeight="1" outlineLevel="7">
      <c r="B3925" s="57">
        <v>3098</v>
      </c>
      <c r="C3925" s="21" t="s">
        <v>13803</v>
      </c>
      <c r="D3925" s="72" t="s">
        <v>13804</v>
      </c>
      <c r="E3925" s="72"/>
      <c r="F3925" s="72"/>
      <c r="G3925" s="72"/>
      <c r="H3925" s="22" t="s">
        <v>13805</v>
      </c>
      <c r="I3925" s="27">
        <v>312</v>
      </c>
      <c r="J3925" s="22"/>
      <c r="K3925" s="20">
        <v>12</v>
      </c>
      <c r="L3925" s="24">
        <v>41.34</v>
      </c>
      <c r="M3925" s="11"/>
      <c r="N3925" s="22">
        <f t="shared" ref="N3925:N3951" si="194">L3925*M3925</f>
        <v>0</v>
      </c>
      <c r="O3925" s="25">
        <f>0.044*M3925</f>
        <v>0</v>
      </c>
      <c r="P3925" s="26">
        <f>0.01277*M3925</f>
        <v>0</v>
      </c>
      <c r="Q3925" s="30"/>
      <c r="R3925" s="22" t="s">
        <v>13806</v>
      </c>
      <c r="S3925" s="22" t="s">
        <v>435</v>
      </c>
      <c r="T3925" s="21" t="str">
        <f>HYPERLINK("https://miland.ru/api/getInfo/image/46e3f7cf-19ba-11ef-a25d-00155d82e908")</f>
        <v>https://miland.ru/api/getInfo/image/46e3f7cf-19ba-11ef-a25d-00155d82e908</v>
      </c>
      <c r="U3925" s="21"/>
      <c r="V3925" s="21" t="s">
        <v>6525</v>
      </c>
      <c r="W3925" s="21" t="s">
        <v>378</v>
      </c>
      <c r="X3925" s="21"/>
      <c r="Y3925" s="21" t="s">
        <v>41</v>
      </c>
      <c r="Z3925" s="21"/>
      <c r="AA3925" s="21" t="str">
        <f>HYPERLINK("https://miland.ru/api/getInfo/item/46e3f7cf-19ba-11ef-a25d-00155d82e908")</f>
        <v>https://miland.ru/api/getInfo/item/46e3f7cf-19ba-11ef-a25d-00155d82e908</v>
      </c>
      <c r="AB3925" s="21" t="s">
        <v>42</v>
      </c>
      <c r="AC3925" s="21" t="s">
        <v>13807</v>
      </c>
      <c r="AD3925" s="21"/>
    </row>
    <row r="3926" spans="2:31" s="1" customFormat="1" ht="96.3" customHeight="1" outlineLevel="7">
      <c r="B3926" s="58">
        <v>3099</v>
      </c>
      <c r="C3926" s="7" t="s">
        <v>13808</v>
      </c>
      <c r="D3926" s="71" t="s">
        <v>13809</v>
      </c>
      <c r="E3926" s="71"/>
      <c r="F3926" s="71"/>
      <c r="G3926" s="71"/>
      <c r="H3926" s="8" t="s">
        <v>13810</v>
      </c>
      <c r="I3926" s="9" t="s">
        <v>36</v>
      </c>
      <c r="J3926" s="8"/>
      <c r="K3926" s="6">
        <v>12</v>
      </c>
      <c r="L3926" s="10">
        <v>41.34</v>
      </c>
      <c r="M3926" s="11"/>
      <c r="N3926" s="8">
        <f t="shared" si="194"/>
        <v>0</v>
      </c>
      <c r="O3926" s="12">
        <f>0.035*M3926</f>
        <v>0</v>
      </c>
      <c r="P3926" s="13">
        <f t="shared" ref="P3926:P3935" si="195">0.00012*M3926</f>
        <v>0</v>
      </c>
      <c r="Q3926" s="17" t="s">
        <v>37</v>
      </c>
      <c r="R3926" s="8" t="s">
        <v>13811</v>
      </c>
      <c r="S3926" s="8"/>
      <c r="T3926" s="7" t="str">
        <f>HYPERLINK("https://miland.ru/api/getInfo/image/8550086b-7293-11f0-a284-00155d82e908")</f>
        <v>https://miland.ru/api/getInfo/image/8550086b-7293-11f0-a284-00155d82e908</v>
      </c>
      <c r="U3926" s="7"/>
      <c r="V3926" s="7" t="s">
        <v>6525</v>
      </c>
      <c r="W3926" s="7" t="s">
        <v>378</v>
      </c>
      <c r="X3926" s="7"/>
      <c r="Y3926" s="7" t="s">
        <v>41</v>
      </c>
      <c r="Z3926" s="7"/>
      <c r="AA3926" s="7" t="str">
        <f>HYPERLINK("https://miland.ru/api/getInfo/item/8550086b-7293-11f0-a284-00155d82e908")</f>
        <v>https://miland.ru/api/getInfo/item/8550086b-7293-11f0-a284-00155d82e908</v>
      </c>
      <c r="AB3926" s="7" t="s">
        <v>42</v>
      </c>
      <c r="AC3926" s="7"/>
      <c r="AD3926" s="7"/>
      <c r="AE3926" s="54"/>
    </row>
    <row r="3927" spans="2:31" s="1" customFormat="1" ht="96.3" customHeight="1" outlineLevel="7">
      <c r="B3927" s="58">
        <v>3100</v>
      </c>
      <c r="C3927" s="7" t="s">
        <v>13812</v>
      </c>
      <c r="D3927" s="71" t="s">
        <v>13813</v>
      </c>
      <c r="E3927" s="71"/>
      <c r="F3927" s="71"/>
      <c r="G3927" s="71"/>
      <c r="H3927" s="8" t="s">
        <v>13814</v>
      </c>
      <c r="I3927" s="9" t="s">
        <v>36</v>
      </c>
      <c r="J3927" s="8"/>
      <c r="K3927" s="6">
        <v>12</v>
      </c>
      <c r="L3927" s="10">
        <v>41.34</v>
      </c>
      <c r="M3927" s="11"/>
      <c r="N3927" s="8">
        <f t="shared" si="194"/>
        <v>0</v>
      </c>
      <c r="O3927" s="12">
        <f>0.036*M3927</f>
        <v>0</v>
      </c>
      <c r="P3927" s="13">
        <f t="shared" si="195"/>
        <v>0</v>
      </c>
      <c r="Q3927" s="17" t="s">
        <v>37</v>
      </c>
      <c r="R3927" s="8" t="s">
        <v>13815</v>
      </c>
      <c r="S3927" s="8"/>
      <c r="T3927" s="7" t="str">
        <f>HYPERLINK("https://miland.ru/api/getInfo/image/5720fd6a-7293-11f0-a284-00155d82e908")</f>
        <v>https://miland.ru/api/getInfo/image/5720fd6a-7293-11f0-a284-00155d82e908</v>
      </c>
      <c r="U3927" s="7"/>
      <c r="V3927" s="7" t="s">
        <v>6525</v>
      </c>
      <c r="W3927" s="7" t="s">
        <v>378</v>
      </c>
      <c r="X3927" s="7"/>
      <c r="Y3927" s="7" t="s">
        <v>41</v>
      </c>
      <c r="Z3927" s="7"/>
      <c r="AA3927" s="7" t="str">
        <f>HYPERLINK("https://miland.ru/api/getInfo/item/5720fd6a-7293-11f0-a284-00155d82e908")</f>
        <v>https://miland.ru/api/getInfo/item/5720fd6a-7293-11f0-a284-00155d82e908</v>
      </c>
      <c r="AB3927" s="7" t="s">
        <v>42</v>
      </c>
      <c r="AC3927" s="7"/>
      <c r="AD3927" s="7"/>
      <c r="AE3927" s="54"/>
    </row>
    <row r="3928" spans="2:31" s="1" customFormat="1" ht="96.3" customHeight="1" outlineLevel="7">
      <c r="B3928" s="58">
        <v>3101</v>
      </c>
      <c r="C3928" s="7" t="s">
        <v>13816</v>
      </c>
      <c r="D3928" s="71" t="s">
        <v>13817</v>
      </c>
      <c r="E3928" s="71"/>
      <c r="F3928" s="71"/>
      <c r="G3928" s="71"/>
      <c r="H3928" s="8" t="s">
        <v>13818</v>
      </c>
      <c r="I3928" s="9" t="s">
        <v>36</v>
      </c>
      <c r="J3928" s="8"/>
      <c r="K3928" s="6">
        <v>12</v>
      </c>
      <c r="L3928" s="10">
        <v>41.34</v>
      </c>
      <c r="M3928" s="11"/>
      <c r="N3928" s="8">
        <f t="shared" si="194"/>
        <v>0</v>
      </c>
      <c r="O3928" s="12">
        <f>0.037*M3928</f>
        <v>0</v>
      </c>
      <c r="P3928" s="13">
        <f t="shared" si="195"/>
        <v>0</v>
      </c>
      <c r="Q3928" s="17" t="s">
        <v>37</v>
      </c>
      <c r="R3928" s="8" t="s">
        <v>13819</v>
      </c>
      <c r="S3928" s="8"/>
      <c r="T3928" s="7" t="str">
        <f>HYPERLINK("https://miland.ru/api/getInfo/image/a1d62b96-7292-11f0-a284-00155d82e908")</f>
        <v>https://miland.ru/api/getInfo/image/a1d62b96-7292-11f0-a284-00155d82e908</v>
      </c>
      <c r="U3928" s="7"/>
      <c r="V3928" s="7" t="s">
        <v>6525</v>
      </c>
      <c r="W3928" s="7" t="s">
        <v>378</v>
      </c>
      <c r="X3928" s="7"/>
      <c r="Y3928" s="7" t="s">
        <v>41</v>
      </c>
      <c r="Z3928" s="7"/>
      <c r="AA3928" s="7" t="str">
        <f>HYPERLINK("https://miland.ru/api/getInfo/item/a1d62b96-7292-11f0-a284-00155d82e908")</f>
        <v>https://miland.ru/api/getInfo/item/a1d62b96-7292-11f0-a284-00155d82e908</v>
      </c>
      <c r="AB3928" s="7" t="s">
        <v>42</v>
      </c>
      <c r="AC3928" s="7"/>
      <c r="AD3928" s="7"/>
      <c r="AE3928" s="54"/>
    </row>
    <row r="3929" spans="2:31" s="1" customFormat="1" ht="96.3" customHeight="1" outlineLevel="7">
      <c r="B3929" s="58">
        <v>3102</v>
      </c>
      <c r="C3929" s="7" t="s">
        <v>13820</v>
      </c>
      <c r="D3929" s="71" t="s">
        <v>13821</v>
      </c>
      <c r="E3929" s="71"/>
      <c r="F3929" s="71"/>
      <c r="G3929" s="71"/>
      <c r="H3929" s="8" t="s">
        <v>13822</v>
      </c>
      <c r="I3929" s="9" t="s">
        <v>36</v>
      </c>
      <c r="J3929" s="8"/>
      <c r="K3929" s="6">
        <v>12</v>
      </c>
      <c r="L3929" s="10">
        <v>41.34</v>
      </c>
      <c r="M3929" s="11"/>
      <c r="N3929" s="8">
        <f t="shared" si="194"/>
        <v>0</v>
      </c>
      <c r="O3929" s="12">
        <f t="shared" ref="O3929:O3935" si="196">0.036*M3929</f>
        <v>0</v>
      </c>
      <c r="P3929" s="13">
        <f t="shared" si="195"/>
        <v>0</v>
      </c>
      <c r="Q3929" s="17" t="s">
        <v>37</v>
      </c>
      <c r="R3929" s="8" t="s">
        <v>13823</v>
      </c>
      <c r="S3929" s="8"/>
      <c r="T3929" s="7" t="str">
        <f>HYPERLINK("https://miland.ru/api/getInfo/image/bf248318-7293-11f0-a284-00155d82e908")</f>
        <v>https://miland.ru/api/getInfo/image/bf248318-7293-11f0-a284-00155d82e908</v>
      </c>
      <c r="U3929" s="7"/>
      <c r="V3929" s="7" t="s">
        <v>6525</v>
      </c>
      <c r="W3929" s="7" t="s">
        <v>378</v>
      </c>
      <c r="X3929" s="7"/>
      <c r="Y3929" s="7" t="s">
        <v>41</v>
      </c>
      <c r="Z3929" s="7"/>
      <c r="AA3929" s="7" t="str">
        <f>HYPERLINK("https://miland.ru/api/getInfo/item/bf248318-7293-11f0-a284-00155d82e908")</f>
        <v>https://miland.ru/api/getInfo/item/bf248318-7293-11f0-a284-00155d82e908</v>
      </c>
      <c r="AB3929" s="7" t="s">
        <v>42</v>
      </c>
      <c r="AC3929" s="7"/>
      <c r="AD3929" s="7"/>
      <c r="AE3929" s="54"/>
    </row>
    <row r="3930" spans="2:31" s="1" customFormat="1" ht="96.3" customHeight="1" outlineLevel="7">
      <c r="B3930" s="58">
        <v>3103</v>
      </c>
      <c r="C3930" s="7" t="s">
        <v>13824</v>
      </c>
      <c r="D3930" s="71" t="s">
        <v>13825</v>
      </c>
      <c r="E3930" s="71"/>
      <c r="F3930" s="71"/>
      <c r="G3930" s="71"/>
      <c r="H3930" s="8" t="s">
        <v>13826</v>
      </c>
      <c r="I3930" s="9" t="s">
        <v>36</v>
      </c>
      <c r="J3930" s="8"/>
      <c r="K3930" s="6">
        <v>12</v>
      </c>
      <c r="L3930" s="10">
        <v>41.34</v>
      </c>
      <c r="M3930" s="11"/>
      <c r="N3930" s="8">
        <f t="shared" si="194"/>
        <v>0</v>
      </c>
      <c r="O3930" s="12">
        <f t="shared" si="196"/>
        <v>0</v>
      </c>
      <c r="P3930" s="13">
        <f t="shared" si="195"/>
        <v>0</v>
      </c>
      <c r="Q3930" s="17" t="s">
        <v>37</v>
      </c>
      <c r="R3930" s="8" t="s">
        <v>13827</v>
      </c>
      <c r="S3930" s="8"/>
      <c r="T3930" s="7" t="str">
        <f>HYPERLINK("https://miland.ru/api/getInfo/image/18d6b0ca-7293-11f0-a284-00155d82e908")</f>
        <v>https://miland.ru/api/getInfo/image/18d6b0ca-7293-11f0-a284-00155d82e908</v>
      </c>
      <c r="U3930" s="7"/>
      <c r="V3930" s="7" t="s">
        <v>6525</v>
      </c>
      <c r="W3930" s="7" t="s">
        <v>378</v>
      </c>
      <c r="X3930" s="7"/>
      <c r="Y3930" s="7" t="s">
        <v>41</v>
      </c>
      <c r="Z3930" s="7"/>
      <c r="AA3930" s="7" t="str">
        <f>HYPERLINK("https://miland.ru/api/getInfo/item/18d6b0ca-7293-11f0-a284-00155d82e908")</f>
        <v>https://miland.ru/api/getInfo/item/18d6b0ca-7293-11f0-a284-00155d82e908</v>
      </c>
      <c r="AB3930" s="7" t="s">
        <v>42</v>
      </c>
      <c r="AC3930" s="7"/>
      <c r="AD3930" s="7"/>
      <c r="AE3930" s="54"/>
    </row>
    <row r="3931" spans="2:31" s="1" customFormat="1" ht="96.3" customHeight="1" outlineLevel="7">
      <c r="B3931" s="58">
        <v>3104</v>
      </c>
      <c r="C3931" s="7" t="s">
        <v>13828</v>
      </c>
      <c r="D3931" s="71" t="s">
        <v>13829</v>
      </c>
      <c r="E3931" s="71"/>
      <c r="F3931" s="71"/>
      <c r="G3931" s="71"/>
      <c r="H3931" s="8" t="s">
        <v>13830</v>
      </c>
      <c r="I3931" s="9" t="s">
        <v>36</v>
      </c>
      <c r="J3931" s="8"/>
      <c r="K3931" s="6">
        <v>12</v>
      </c>
      <c r="L3931" s="10">
        <v>41.34</v>
      </c>
      <c r="M3931" s="11"/>
      <c r="N3931" s="8">
        <f t="shared" si="194"/>
        <v>0</v>
      </c>
      <c r="O3931" s="12">
        <f t="shared" si="196"/>
        <v>0</v>
      </c>
      <c r="P3931" s="13">
        <f t="shared" si="195"/>
        <v>0</v>
      </c>
      <c r="Q3931" s="17" t="s">
        <v>37</v>
      </c>
      <c r="R3931" s="8" t="s">
        <v>13831</v>
      </c>
      <c r="S3931" s="8"/>
      <c r="T3931" s="7" t="str">
        <f>HYPERLINK("https://miland.ru/api/getInfo/image/839cffeb-7292-11f0-a284-00155d82e908")</f>
        <v>https://miland.ru/api/getInfo/image/839cffeb-7292-11f0-a284-00155d82e908</v>
      </c>
      <c r="U3931" s="7"/>
      <c r="V3931" s="7" t="s">
        <v>6525</v>
      </c>
      <c r="W3931" s="7" t="s">
        <v>378</v>
      </c>
      <c r="X3931" s="7"/>
      <c r="Y3931" s="7" t="s">
        <v>41</v>
      </c>
      <c r="Z3931" s="7"/>
      <c r="AA3931" s="7" t="str">
        <f>HYPERLINK("https://miland.ru/api/getInfo/item/839cffeb-7292-11f0-a284-00155d82e908")</f>
        <v>https://miland.ru/api/getInfo/item/839cffeb-7292-11f0-a284-00155d82e908</v>
      </c>
      <c r="AB3931" s="7" t="s">
        <v>42</v>
      </c>
      <c r="AC3931" s="7"/>
      <c r="AD3931" s="7"/>
      <c r="AE3931" s="54"/>
    </row>
    <row r="3932" spans="2:31" s="1" customFormat="1" ht="96.3" customHeight="1" outlineLevel="7">
      <c r="B3932" s="58">
        <v>3105</v>
      </c>
      <c r="C3932" s="7" t="s">
        <v>13832</v>
      </c>
      <c r="D3932" s="71" t="s">
        <v>13833</v>
      </c>
      <c r="E3932" s="71"/>
      <c r="F3932" s="71"/>
      <c r="G3932" s="71"/>
      <c r="H3932" s="8" t="s">
        <v>13834</v>
      </c>
      <c r="I3932" s="9" t="s">
        <v>36</v>
      </c>
      <c r="J3932" s="8"/>
      <c r="K3932" s="6">
        <v>12</v>
      </c>
      <c r="L3932" s="10">
        <v>41.34</v>
      </c>
      <c r="M3932" s="11"/>
      <c r="N3932" s="8">
        <f t="shared" si="194"/>
        <v>0</v>
      </c>
      <c r="O3932" s="12">
        <f t="shared" si="196"/>
        <v>0</v>
      </c>
      <c r="P3932" s="13">
        <f t="shared" si="195"/>
        <v>0</v>
      </c>
      <c r="Q3932" s="17" t="s">
        <v>37</v>
      </c>
      <c r="R3932" s="8" t="s">
        <v>13835</v>
      </c>
      <c r="S3932" s="8"/>
      <c r="T3932" s="7" t="str">
        <f>HYPERLINK("https://miland.ru/api/getInfo/image/fa276a48-7292-11f0-a284-00155d82e908")</f>
        <v>https://miland.ru/api/getInfo/image/fa276a48-7292-11f0-a284-00155d82e908</v>
      </c>
      <c r="U3932" s="7"/>
      <c r="V3932" s="7" t="s">
        <v>6525</v>
      </c>
      <c r="W3932" s="7" t="s">
        <v>378</v>
      </c>
      <c r="X3932" s="7"/>
      <c r="Y3932" s="7" t="s">
        <v>41</v>
      </c>
      <c r="Z3932" s="7"/>
      <c r="AA3932" s="7" t="str">
        <f>HYPERLINK("https://miland.ru/api/getInfo/item/fa276a48-7292-11f0-a284-00155d82e908")</f>
        <v>https://miland.ru/api/getInfo/item/fa276a48-7292-11f0-a284-00155d82e908</v>
      </c>
      <c r="AB3932" s="7" t="s">
        <v>42</v>
      </c>
      <c r="AC3932" s="7"/>
      <c r="AD3932" s="7"/>
      <c r="AE3932" s="54"/>
    </row>
    <row r="3933" spans="2:31" s="1" customFormat="1" ht="96.3" customHeight="1" outlineLevel="7">
      <c r="B3933" s="58">
        <v>3106</v>
      </c>
      <c r="C3933" s="7" t="s">
        <v>13836</v>
      </c>
      <c r="D3933" s="71" t="s">
        <v>13837</v>
      </c>
      <c r="E3933" s="71"/>
      <c r="F3933" s="71"/>
      <c r="G3933" s="71"/>
      <c r="H3933" s="8" t="s">
        <v>13838</v>
      </c>
      <c r="I3933" s="9" t="s">
        <v>36</v>
      </c>
      <c r="J3933" s="8"/>
      <c r="K3933" s="6">
        <v>12</v>
      </c>
      <c r="L3933" s="10">
        <v>41.34</v>
      </c>
      <c r="M3933" s="11"/>
      <c r="N3933" s="8">
        <f t="shared" si="194"/>
        <v>0</v>
      </c>
      <c r="O3933" s="12">
        <f t="shared" si="196"/>
        <v>0</v>
      </c>
      <c r="P3933" s="13">
        <f t="shared" si="195"/>
        <v>0</v>
      </c>
      <c r="Q3933" s="17" t="s">
        <v>37</v>
      </c>
      <c r="R3933" s="8" t="s">
        <v>13839</v>
      </c>
      <c r="S3933" s="8"/>
      <c r="T3933" s="7" t="str">
        <f>HYPERLINK("https://miland.ru/api/getInfo/image/3f2f57a5-7293-11f0-a284-00155d82e908")</f>
        <v>https://miland.ru/api/getInfo/image/3f2f57a5-7293-11f0-a284-00155d82e908</v>
      </c>
      <c r="U3933" s="7"/>
      <c r="V3933" s="7" t="s">
        <v>6525</v>
      </c>
      <c r="W3933" s="7" t="s">
        <v>378</v>
      </c>
      <c r="X3933" s="7"/>
      <c r="Y3933" s="7" t="s">
        <v>41</v>
      </c>
      <c r="Z3933" s="7"/>
      <c r="AA3933" s="7" t="str">
        <f>HYPERLINK("https://miland.ru/api/getInfo/item/3f2f57a5-7293-11f0-a284-00155d82e908")</f>
        <v>https://miland.ru/api/getInfo/item/3f2f57a5-7293-11f0-a284-00155d82e908</v>
      </c>
      <c r="AB3933" s="7" t="s">
        <v>42</v>
      </c>
      <c r="AC3933" s="7"/>
      <c r="AD3933" s="7"/>
      <c r="AE3933" s="54"/>
    </row>
    <row r="3934" spans="2:31" s="1" customFormat="1" ht="96.3" customHeight="1" outlineLevel="7">
      <c r="B3934" s="58">
        <v>3107</v>
      </c>
      <c r="C3934" s="7" t="s">
        <v>13840</v>
      </c>
      <c r="D3934" s="71" t="s">
        <v>13841</v>
      </c>
      <c r="E3934" s="71"/>
      <c r="F3934" s="71"/>
      <c r="G3934" s="71"/>
      <c r="H3934" s="8" t="s">
        <v>13842</v>
      </c>
      <c r="I3934" s="9" t="s">
        <v>36</v>
      </c>
      <c r="J3934" s="8"/>
      <c r="K3934" s="6">
        <v>12</v>
      </c>
      <c r="L3934" s="10">
        <v>41.34</v>
      </c>
      <c r="M3934" s="11"/>
      <c r="N3934" s="8">
        <f t="shared" si="194"/>
        <v>0</v>
      </c>
      <c r="O3934" s="12">
        <f t="shared" si="196"/>
        <v>0</v>
      </c>
      <c r="P3934" s="13">
        <f t="shared" si="195"/>
        <v>0</v>
      </c>
      <c r="Q3934" s="17" t="s">
        <v>37</v>
      </c>
      <c r="R3934" s="8" t="s">
        <v>13843</v>
      </c>
      <c r="S3934" s="8"/>
      <c r="T3934" s="7" t="str">
        <f>HYPERLINK("https://miland.ru/api/getInfo/image/e8f6c0be-7292-11f0-a284-00155d82e908")</f>
        <v>https://miland.ru/api/getInfo/image/e8f6c0be-7292-11f0-a284-00155d82e908</v>
      </c>
      <c r="U3934" s="7"/>
      <c r="V3934" s="7" t="s">
        <v>6525</v>
      </c>
      <c r="W3934" s="7" t="s">
        <v>378</v>
      </c>
      <c r="X3934" s="7"/>
      <c r="Y3934" s="7" t="s">
        <v>41</v>
      </c>
      <c r="Z3934" s="7"/>
      <c r="AA3934" s="7" t="str">
        <f>HYPERLINK("https://miland.ru/api/getInfo/item/e8f6c0be-7292-11f0-a284-00155d82e908")</f>
        <v>https://miland.ru/api/getInfo/item/e8f6c0be-7292-11f0-a284-00155d82e908</v>
      </c>
      <c r="AB3934" s="7" t="s">
        <v>42</v>
      </c>
      <c r="AC3934" s="7"/>
      <c r="AD3934" s="7"/>
      <c r="AE3934" s="54"/>
    </row>
    <row r="3935" spans="2:31" s="1" customFormat="1" ht="96.3" customHeight="1" outlineLevel="7">
      <c r="B3935" s="58">
        <v>3108</v>
      </c>
      <c r="C3935" s="7" t="s">
        <v>13844</v>
      </c>
      <c r="D3935" s="71" t="s">
        <v>13845</v>
      </c>
      <c r="E3935" s="71"/>
      <c r="F3935" s="71"/>
      <c r="G3935" s="71"/>
      <c r="H3935" s="8" t="s">
        <v>13846</v>
      </c>
      <c r="I3935" s="9" t="s">
        <v>36</v>
      </c>
      <c r="J3935" s="8"/>
      <c r="K3935" s="6">
        <v>12</v>
      </c>
      <c r="L3935" s="10">
        <v>41.34</v>
      </c>
      <c r="M3935" s="11"/>
      <c r="N3935" s="8">
        <f t="shared" si="194"/>
        <v>0</v>
      </c>
      <c r="O3935" s="12">
        <f t="shared" si="196"/>
        <v>0</v>
      </c>
      <c r="P3935" s="13">
        <f t="shared" si="195"/>
        <v>0</v>
      </c>
      <c r="Q3935" s="17" t="s">
        <v>37</v>
      </c>
      <c r="R3935" s="8" t="s">
        <v>13847</v>
      </c>
      <c r="S3935" s="8"/>
      <c r="T3935" s="7" t="str">
        <f>HYPERLINK("https://miland.ru/api/getInfo/image/6eea5a95-7293-11f0-a284-00155d82e908")</f>
        <v>https://miland.ru/api/getInfo/image/6eea5a95-7293-11f0-a284-00155d82e908</v>
      </c>
      <c r="U3935" s="7"/>
      <c r="V3935" s="7" t="s">
        <v>6525</v>
      </c>
      <c r="W3935" s="7" t="s">
        <v>378</v>
      </c>
      <c r="X3935" s="7"/>
      <c r="Y3935" s="7" t="s">
        <v>41</v>
      </c>
      <c r="Z3935" s="7"/>
      <c r="AA3935" s="7" t="str">
        <f>HYPERLINK("https://miland.ru/api/getInfo/item/6eea5a95-7293-11f0-a284-00155d82e908")</f>
        <v>https://miland.ru/api/getInfo/item/6eea5a95-7293-11f0-a284-00155d82e908</v>
      </c>
      <c r="AB3935" s="7" t="s">
        <v>42</v>
      </c>
      <c r="AC3935" s="7"/>
      <c r="AD3935" s="7"/>
      <c r="AE3935" s="54"/>
    </row>
    <row r="3936" spans="2:31" s="1" customFormat="1" ht="96.3" customHeight="1" outlineLevel="7">
      <c r="B3936" s="57">
        <v>3109</v>
      </c>
      <c r="C3936" s="21" t="s">
        <v>13848</v>
      </c>
      <c r="D3936" s="72" t="s">
        <v>13849</v>
      </c>
      <c r="E3936" s="72"/>
      <c r="F3936" s="72"/>
      <c r="G3936" s="72"/>
      <c r="H3936" s="22" t="s">
        <v>13850</v>
      </c>
      <c r="I3936" s="27">
        <v>216</v>
      </c>
      <c r="J3936" s="22"/>
      <c r="K3936" s="20">
        <v>12</v>
      </c>
      <c r="L3936" s="24">
        <v>41.34</v>
      </c>
      <c r="M3936" s="11"/>
      <c r="N3936" s="22">
        <f t="shared" si="194"/>
        <v>0</v>
      </c>
      <c r="O3936" s="25">
        <f>0.042*M3936</f>
        <v>0</v>
      </c>
      <c r="P3936" s="26">
        <f>0.00048*M3936</f>
        <v>0</v>
      </c>
      <c r="Q3936" s="30"/>
      <c r="R3936" s="22" t="s">
        <v>13851</v>
      </c>
      <c r="S3936" s="22" t="s">
        <v>435</v>
      </c>
      <c r="T3936" s="21" t="str">
        <f>HYPERLINK("https://miland.ru/api/getInfo/image/8503726d-f47e-11ed-a237-00155d82e902")</f>
        <v>https://miland.ru/api/getInfo/image/8503726d-f47e-11ed-a237-00155d82e902</v>
      </c>
      <c r="U3936" s="21"/>
      <c r="V3936" s="21" t="s">
        <v>6525</v>
      </c>
      <c r="W3936" s="21" t="s">
        <v>378</v>
      </c>
      <c r="X3936" s="21"/>
      <c r="Y3936" s="21" t="s">
        <v>41</v>
      </c>
      <c r="Z3936" s="21"/>
      <c r="AA3936" s="21" t="str">
        <f>HYPERLINK("https://miland.ru/api/getInfo/item/8503726d-f47e-11ed-a237-00155d82e902")</f>
        <v>https://miland.ru/api/getInfo/item/8503726d-f47e-11ed-a237-00155d82e902</v>
      </c>
      <c r="AB3936" s="21" t="s">
        <v>42</v>
      </c>
      <c r="AC3936" s="21"/>
      <c r="AD3936" s="21"/>
    </row>
    <row r="3937" spans="2:31" s="1" customFormat="1" ht="96.3" customHeight="1" outlineLevel="7">
      <c r="B3937" s="59">
        <v>3110</v>
      </c>
      <c r="C3937" s="35" t="s">
        <v>13852</v>
      </c>
      <c r="D3937" s="73" t="s">
        <v>13853</v>
      </c>
      <c r="E3937" s="73"/>
      <c r="F3937" s="73"/>
      <c r="G3937" s="73"/>
      <c r="H3937" s="36" t="s">
        <v>13854</v>
      </c>
      <c r="I3937" s="56" t="s">
        <v>36</v>
      </c>
      <c r="J3937" s="36"/>
      <c r="K3937" s="34">
        <v>12</v>
      </c>
      <c r="L3937" s="41">
        <v>24.16</v>
      </c>
      <c r="M3937" s="11"/>
      <c r="N3937" s="36">
        <f t="shared" si="194"/>
        <v>0</v>
      </c>
      <c r="O3937" s="42">
        <f>0.042*M3937</f>
        <v>0</v>
      </c>
      <c r="P3937" s="43">
        <f>0.00058*M3937</f>
        <v>0</v>
      </c>
      <c r="Q3937" s="50"/>
      <c r="R3937" s="36" t="s">
        <v>13855</v>
      </c>
      <c r="S3937" s="36" t="s">
        <v>435</v>
      </c>
      <c r="T3937" s="35" t="str">
        <f>HYPERLINK("https://miland.ru/api/getInfo/image/63464da2-f47c-11ed-a237-00155d82e902")</f>
        <v>https://miland.ru/api/getInfo/image/63464da2-f47c-11ed-a237-00155d82e902</v>
      </c>
      <c r="U3937" s="35"/>
      <c r="V3937" s="35" t="s">
        <v>6525</v>
      </c>
      <c r="W3937" s="35" t="s">
        <v>378</v>
      </c>
      <c r="X3937" s="35"/>
      <c r="Y3937" s="35" t="s">
        <v>41</v>
      </c>
      <c r="Z3937" s="35"/>
      <c r="AA3937" s="35" t="str">
        <f>HYPERLINK("https://miland.ru/api/getInfo/item/63464da2-f47c-11ed-a237-00155d82e902")</f>
        <v>https://miland.ru/api/getInfo/item/63464da2-f47c-11ed-a237-00155d82e902</v>
      </c>
      <c r="AB3937" s="35" t="s">
        <v>42</v>
      </c>
      <c r="AC3937" s="35"/>
      <c r="AD3937" s="35"/>
      <c r="AE3937" s="52" t="s">
        <v>1251</v>
      </c>
    </row>
    <row r="3938" spans="2:31" s="1" customFormat="1" ht="96.3" customHeight="1" outlineLevel="7">
      <c r="B3938" s="57">
        <v>3111</v>
      </c>
      <c r="C3938" s="21" t="s">
        <v>13856</v>
      </c>
      <c r="D3938" s="72" t="s">
        <v>13857</v>
      </c>
      <c r="E3938" s="72"/>
      <c r="F3938" s="72"/>
      <c r="G3938" s="72"/>
      <c r="H3938" s="22" t="s">
        <v>13858</v>
      </c>
      <c r="I3938" s="27">
        <v>48</v>
      </c>
      <c r="J3938" s="22"/>
      <c r="K3938" s="20">
        <v>12</v>
      </c>
      <c r="L3938" s="24">
        <v>41.34</v>
      </c>
      <c r="M3938" s="11"/>
      <c r="N3938" s="22">
        <f t="shared" si="194"/>
        <v>0</v>
      </c>
      <c r="O3938" s="25">
        <f>0.042*M3938</f>
        <v>0</v>
      </c>
      <c r="P3938" s="26">
        <f>0.00041*M3938</f>
        <v>0</v>
      </c>
      <c r="Q3938" s="30"/>
      <c r="R3938" s="22" t="s">
        <v>13859</v>
      </c>
      <c r="S3938" s="22" t="s">
        <v>435</v>
      </c>
      <c r="T3938" s="21" t="str">
        <f>HYPERLINK("https://miland.ru/api/getInfo/image/b6b65d0e-f47c-11ed-a237-00155d82e902")</f>
        <v>https://miland.ru/api/getInfo/image/b6b65d0e-f47c-11ed-a237-00155d82e902</v>
      </c>
      <c r="U3938" s="21"/>
      <c r="V3938" s="21" t="s">
        <v>6525</v>
      </c>
      <c r="W3938" s="21" t="s">
        <v>378</v>
      </c>
      <c r="X3938" s="21"/>
      <c r="Y3938" s="21" t="s">
        <v>41</v>
      </c>
      <c r="Z3938" s="21"/>
      <c r="AA3938" s="21" t="str">
        <f>HYPERLINK("https://miland.ru/api/getInfo/item/b6b65d0e-f47c-11ed-a237-00155d82e902")</f>
        <v>https://miland.ru/api/getInfo/item/b6b65d0e-f47c-11ed-a237-00155d82e902</v>
      </c>
      <c r="AB3938" s="21" t="s">
        <v>42</v>
      </c>
      <c r="AC3938" s="21"/>
      <c r="AD3938" s="21"/>
    </row>
    <row r="3939" spans="2:31" s="1" customFormat="1" ht="96.3" customHeight="1" outlineLevel="7">
      <c r="B3939" s="59">
        <v>3112</v>
      </c>
      <c r="C3939" s="35" t="s">
        <v>13860</v>
      </c>
      <c r="D3939" s="73" t="s">
        <v>13861</v>
      </c>
      <c r="E3939" s="73"/>
      <c r="F3939" s="73"/>
      <c r="G3939" s="73"/>
      <c r="H3939" s="36" t="s">
        <v>13862</v>
      </c>
      <c r="I3939" s="56" t="s">
        <v>36</v>
      </c>
      <c r="J3939" s="36"/>
      <c r="K3939" s="34">
        <v>12</v>
      </c>
      <c r="L3939" s="41">
        <v>24.16</v>
      </c>
      <c r="M3939" s="11"/>
      <c r="N3939" s="36">
        <f t="shared" si="194"/>
        <v>0</v>
      </c>
      <c r="O3939" s="42">
        <f>0.004*M3939</f>
        <v>0</v>
      </c>
      <c r="P3939" s="43">
        <f>0.00007*M3939</f>
        <v>0</v>
      </c>
      <c r="Q3939" s="50"/>
      <c r="R3939" s="36" t="s">
        <v>13863</v>
      </c>
      <c r="S3939" s="36" t="s">
        <v>435</v>
      </c>
      <c r="T3939" s="35" t="str">
        <f>HYPERLINK("https://miland.ru/api/getInfo/image/0dd5a4e9-f47c-11ed-a237-00155d82e902")</f>
        <v>https://miland.ru/api/getInfo/image/0dd5a4e9-f47c-11ed-a237-00155d82e902</v>
      </c>
      <c r="U3939" s="35"/>
      <c r="V3939" s="35" t="s">
        <v>6525</v>
      </c>
      <c r="W3939" s="35" t="s">
        <v>378</v>
      </c>
      <c r="X3939" s="35"/>
      <c r="Y3939" s="35" t="s">
        <v>41</v>
      </c>
      <c r="Z3939" s="35"/>
      <c r="AA3939" s="35" t="str">
        <f>HYPERLINK("https://miland.ru/api/getInfo/item/0dd5a4e9-f47c-11ed-a237-00155d82e902")</f>
        <v>https://miland.ru/api/getInfo/item/0dd5a4e9-f47c-11ed-a237-00155d82e902</v>
      </c>
      <c r="AB3939" s="35" t="s">
        <v>42</v>
      </c>
      <c r="AC3939" s="35"/>
      <c r="AD3939" s="35"/>
      <c r="AE3939" s="52" t="s">
        <v>1251</v>
      </c>
    </row>
    <row r="3940" spans="2:31" s="1" customFormat="1" ht="96.3" customHeight="1" outlineLevel="7">
      <c r="B3940" s="59">
        <v>3113</v>
      </c>
      <c r="C3940" s="35" t="s">
        <v>13864</v>
      </c>
      <c r="D3940" s="73" t="s">
        <v>13865</v>
      </c>
      <c r="E3940" s="73"/>
      <c r="F3940" s="73"/>
      <c r="G3940" s="73"/>
      <c r="H3940" s="36" t="s">
        <v>13866</v>
      </c>
      <c r="I3940" s="56" t="s">
        <v>36</v>
      </c>
      <c r="J3940" s="36"/>
      <c r="K3940" s="34">
        <v>12</v>
      </c>
      <c r="L3940" s="41">
        <v>23.76</v>
      </c>
      <c r="M3940" s="11"/>
      <c r="N3940" s="36">
        <f t="shared" si="194"/>
        <v>0</v>
      </c>
      <c r="O3940" s="42">
        <f>0.042*M3940</f>
        <v>0</v>
      </c>
      <c r="P3940" s="43">
        <f>0.00041*M3940</f>
        <v>0</v>
      </c>
      <c r="Q3940" s="50"/>
      <c r="R3940" s="36" t="s">
        <v>13867</v>
      </c>
      <c r="S3940" s="36" t="s">
        <v>435</v>
      </c>
      <c r="T3940" s="35" t="str">
        <f>HYPERLINK("https://miland.ru/api/getInfo/image/6395db0f-f3f6-11ed-a237-00155d82e902")</f>
        <v>https://miland.ru/api/getInfo/image/6395db0f-f3f6-11ed-a237-00155d82e902</v>
      </c>
      <c r="U3940" s="35"/>
      <c r="V3940" s="35" t="s">
        <v>6525</v>
      </c>
      <c r="W3940" s="35" t="s">
        <v>378</v>
      </c>
      <c r="X3940" s="35"/>
      <c r="Y3940" s="35" t="s">
        <v>41</v>
      </c>
      <c r="Z3940" s="35"/>
      <c r="AA3940" s="35" t="str">
        <f>HYPERLINK("https://miland.ru/api/getInfo/item/6395db0f-f3f6-11ed-a237-00155d82e902")</f>
        <v>https://miland.ru/api/getInfo/item/6395db0f-f3f6-11ed-a237-00155d82e902</v>
      </c>
      <c r="AB3940" s="35" t="s">
        <v>42</v>
      </c>
      <c r="AC3940" s="35"/>
      <c r="AD3940" s="35"/>
      <c r="AE3940" s="52" t="s">
        <v>1251</v>
      </c>
    </row>
    <row r="3941" spans="2:31" s="1" customFormat="1" ht="96.3" customHeight="1" outlineLevel="7">
      <c r="B3941" s="59">
        <v>3114</v>
      </c>
      <c r="C3941" s="35" t="s">
        <v>13868</v>
      </c>
      <c r="D3941" s="73" t="s">
        <v>13869</v>
      </c>
      <c r="E3941" s="73"/>
      <c r="F3941" s="73"/>
      <c r="G3941" s="73"/>
      <c r="H3941" s="36" t="s">
        <v>13870</v>
      </c>
      <c r="I3941" s="56" t="s">
        <v>36</v>
      </c>
      <c r="J3941" s="36"/>
      <c r="K3941" s="34">
        <v>12</v>
      </c>
      <c r="L3941" s="41">
        <v>24.08</v>
      </c>
      <c r="M3941" s="11"/>
      <c r="N3941" s="36">
        <f t="shared" si="194"/>
        <v>0</v>
      </c>
      <c r="O3941" s="42">
        <f>0.042*M3941</f>
        <v>0</v>
      </c>
      <c r="P3941" s="43">
        <f>0.00026*M3941</f>
        <v>0</v>
      </c>
      <c r="Q3941" s="50"/>
      <c r="R3941" s="36" t="s">
        <v>13871</v>
      </c>
      <c r="S3941" s="36" t="s">
        <v>435</v>
      </c>
      <c r="T3941" s="35" t="str">
        <f>HYPERLINK("https://miland.ru/api/getInfo/image/bb58c6c6-f47b-11ed-a237-00155d82e902")</f>
        <v>https://miland.ru/api/getInfo/image/bb58c6c6-f47b-11ed-a237-00155d82e902</v>
      </c>
      <c r="U3941" s="35"/>
      <c r="V3941" s="35" t="s">
        <v>6525</v>
      </c>
      <c r="W3941" s="35" t="s">
        <v>378</v>
      </c>
      <c r="X3941" s="35"/>
      <c r="Y3941" s="35" t="s">
        <v>41</v>
      </c>
      <c r="Z3941" s="35"/>
      <c r="AA3941" s="35" t="str">
        <f>HYPERLINK("https://miland.ru/api/getInfo/item/bb58c6c6-f47b-11ed-a237-00155d82e902")</f>
        <v>https://miland.ru/api/getInfo/item/bb58c6c6-f47b-11ed-a237-00155d82e902</v>
      </c>
      <c r="AB3941" s="35" t="s">
        <v>42</v>
      </c>
      <c r="AC3941" s="35"/>
      <c r="AD3941" s="35"/>
      <c r="AE3941" s="52" t="s">
        <v>1251</v>
      </c>
    </row>
    <row r="3942" spans="2:31" s="1" customFormat="1" ht="96.3" customHeight="1" outlineLevel="7">
      <c r="B3942" s="57">
        <v>3115</v>
      </c>
      <c r="C3942" s="21" t="s">
        <v>13872</v>
      </c>
      <c r="D3942" s="72" t="s">
        <v>13873</v>
      </c>
      <c r="E3942" s="72"/>
      <c r="F3942" s="72"/>
      <c r="G3942" s="72"/>
      <c r="H3942" s="22" t="s">
        <v>13874</v>
      </c>
      <c r="I3942" s="27">
        <v>168</v>
      </c>
      <c r="J3942" s="22"/>
      <c r="K3942" s="20">
        <v>12</v>
      </c>
      <c r="L3942" s="24">
        <v>41.34</v>
      </c>
      <c r="M3942" s="11"/>
      <c r="N3942" s="22">
        <f t="shared" si="194"/>
        <v>0</v>
      </c>
      <c r="O3942" s="28">
        <f>0.05*M3942</f>
        <v>0</v>
      </c>
      <c r="P3942" s="26">
        <f>0.00128*M3942</f>
        <v>0</v>
      </c>
      <c r="Q3942" s="30"/>
      <c r="R3942" s="22" t="s">
        <v>13875</v>
      </c>
      <c r="S3942" s="22" t="s">
        <v>435</v>
      </c>
      <c r="T3942" s="21" t="str">
        <f>HYPERLINK("https://miland.ru/api/getInfo/image/1bb73c2c-fd63-11ea-a254-ac1f6b442184")</f>
        <v>https://miland.ru/api/getInfo/image/1bb73c2c-fd63-11ea-a254-ac1f6b442184</v>
      </c>
      <c r="U3942" s="21"/>
      <c r="V3942" s="21" t="s">
        <v>6525</v>
      </c>
      <c r="W3942" s="21" t="s">
        <v>378</v>
      </c>
      <c r="X3942" s="21"/>
      <c r="Y3942" s="21" t="s">
        <v>41</v>
      </c>
      <c r="Z3942" s="21"/>
      <c r="AA3942" s="21" t="str">
        <f>HYPERLINK("https://miland.ru/api/getInfo/item/1bb73c2c-fd63-11ea-a254-ac1f6b442184")</f>
        <v>https://miland.ru/api/getInfo/item/1bb73c2c-fd63-11ea-a254-ac1f6b442184</v>
      </c>
      <c r="AB3942" s="21" t="s">
        <v>42</v>
      </c>
      <c r="AC3942" s="21" t="s">
        <v>13876</v>
      </c>
      <c r="AD3942" s="21"/>
    </row>
    <row r="3943" spans="2:31" s="1" customFormat="1" ht="96.3" customHeight="1" outlineLevel="7">
      <c r="B3943" s="59">
        <v>3116</v>
      </c>
      <c r="C3943" s="35" t="s">
        <v>13877</v>
      </c>
      <c r="D3943" s="73" t="s">
        <v>13878</v>
      </c>
      <c r="E3943" s="73"/>
      <c r="F3943" s="73"/>
      <c r="G3943" s="73"/>
      <c r="H3943" s="36" t="s">
        <v>13879</v>
      </c>
      <c r="I3943" s="56" t="s">
        <v>36</v>
      </c>
      <c r="J3943" s="36"/>
      <c r="K3943" s="34">
        <v>12</v>
      </c>
      <c r="L3943" s="41">
        <v>22.986666666666665</v>
      </c>
      <c r="M3943" s="11"/>
      <c r="N3943" s="36">
        <f t="shared" si="194"/>
        <v>0</v>
      </c>
      <c r="O3943" s="42">
        <f>0.041*M3943</f>
        <v>0</v>
      </c>
      <c r="P3943" s="43">
        <f>0.00243*M3943</f>
        <v>0</v>
      </c>
      <c r="Q3943" s="50"/>
      <c r="R3943" s="36" t="s">
        <v>13880</v>
      </c>
      <c r="S3943" s="36" t="s">
        <v>435</v>
      </c>
      <c r="T3943" s="35" t="str">
        <f>HYPERLINK("https://miland.ru/api/getInfo/image/caa0b6c3-cf14-11ee-a25a-00155d82e908")</f>
        <v>https://miland.ru/api/getInfo/image/caa0b6c3-cf14-11ee-a25a-00155d82e908</v>
      </c>
      <c r="U3943" s="35"/>
      <c r="V3943" s="35" t="s">
        <v>6525</v>
      </c>
      <c r="W3943" s="35" t="s">
        <v>378</v>
      </c>
      <c r="X3943" s="35"/>
      <c r="Y3943" s="35" t="s">
        <v>41</v>
      </c>
      <c r="Z3943" s="35"/>
      <c r="AA3943" s="35" t="str">
        <f>HYPERLINK("https://miland.ru/api/getInfo/item/caa0b6c3-cf14-11ee-a25a-00155d82e908")</f>
        <v>https://miland.ru/api/getInfo/item/caa0b6c3-cf14-11ee-a25a-00155d82e908</v>
      </c>
      <c r="AB3943" s="35" t="s">
        <v>42</v>
      </c>
      <c r="AC3943" s="35" t="s">
        <v>13881</v>
      </c>
      <c r="AD3943" s="35"/>
      <c r="AE3943" s="52" t="s">
        <v>1251</v>
      </c>
    </row>
    <row r="3944" spans="2:31" s="1" customFormat="1" ht="96.3" customHeight="1" outlineLevel="7">
      <c r="B3944" s="57">
        <v>3117</v>
      </c>
      <c r="C3944" s="21" t="s">
        <v>13882</v>
      </c>
      <c r="D3944" s="72" t="s">
        <v>13883</v>
      </c>
      <c r="E3944" s="72"/>
      <c r="F3944" s="72"/>
      <c r="G3944" s="72"/>
      <c r="H3944" s="22" t="s">
        <v>13884</v>
      </c>
      <c r="I3944" s="27">
        <v>408</v>
      </c>
      <c r="J3944" s="22"/>
      <c r="K3944" s="20">
        <v>12</v>
      </c>
      <c r="L3944" s="24">
        <v>41.34</v>
      </c>
      <c r="M3944" s="11"/>
      <c r="N3944" s="22">
        <f t="shared" si="194"/>
        <v>0</v>
      </c>
      <c r="O3944" s="28">
        <f>0.05*M3944</f>
        <v>0</v>
      </c>
      <c r="P3944" s="26">
        <f>0.00128*M3944</f>
        <v>0</v>
      </c>
      <c r="Q3944" s="30"/>
      <c r="R3944" s="22" t="s">
        <v>13885</v>
      </c>
      <c r="S3944" s="22" t="s">
        <v>435</v>
      </c>
      <c r="T3944" s="21" t="str">
        <f>HYPERLINK("https://miland.ru/api/getInfo/image/819f7ba4-cf15-11ee-a25a-00155d82e908")</f>
        <v>https://miland.ru/api/getInfo/image/819f7ba4-cf15-11ee-a25a-00155d82e908</v>
      </c>
      <c r="U3944" s="21"/>
      <c r="V3944" s="21" t="s">
        <v>6525</v>
      </c>
      <c r="W3944" s="21" t="s">
        <v>378</v>
      </c>
      <c r="X3944" s="21"/>
      <c r="Y3944" s="21" t="s">
        <v>41</v>
      </c>
      <c r="Z3944" s="21"/>
      <c r="AA3944" s="21" t="str">
        <f>HYPERLINK("https://miland.ru/api/getInfo/item/819f7ba4-cf15-11ee-a25a-00155d82e908")</f>
        <v>https://miland.ru/api/getInfo/item/819f7ba4-cf15-11ee-a25a-00155d82e908</v>
      </c>
      <c r="AB3944" s="21" t="s">
        <v>42</v>
      </c>
      <c r="AC3944" s="21" t="s">
        <v>13881</v>
      </c>
      <c r="AD3944" s="21"/>
    </row>
    <row r="3945" spans="2:31" s="1" customFormat="1" ht="96.3" customHeight="1" outlineLevel="7">
      <c r="B3945" s="57">
        <v>3118</v>
      </c>
      <c r="C3945" s="21" t="s">
        <v>13886</v>
      </c>
      <c r="D3945" s="72" t="s">
        <v>13887</v>
      </c>
      <c r="E3945" s="72"/>
      <c r="F3945" s="72"/>
      <c r="G3945" s="72"/>
      <c r="H3945" s="22" t="s">
        <v>13888</v>
      </c>
      <c r="I3945" s="27">
        <v>384</v>
      </c>
      <c r="J3945" s="22"/>
      <c r="K3945" s="20">
        <v>12</v>
      </c>
      <c r="L3945" s="24">
        <v>41.34</v>
      </c>
      <c r="M3945" s="11"/>
      <c r="N3945" s="22">
        <f t="shared" si="194"/>
        <v>0</v>
      </c>
      <c r="O3945" s="25">
        <f>0.044*M3945</f>
        <v>0</v>
      </c>
      <c r="P3945" s="26">
        <f>0.00013*M3945</f>
        <v>0</v>
      </c>
      <c r="Q3945" s="30"/>
      <c r="R3945" s="22" t="s">
        <v>13889</v>
      </c>
      <c r="S3945" s="22" t="s">
        <v>435</v>
      </c>
      <c r="T3945" s="21" t="str">
        <f>HYPERLINK("https://miland.ru/api/getInfo/image/68b366e5-cf15-11ee-a25a-00155d82e908")</f>
        <v>https://miland.ru/api/getInfo/image/68b366e5-cf15-11ee-a25a-00155d82e908</v>
      </c>
      <c r="U3945" s="21"/>
      <c r="V3945" s="21" t="s">
        <v>6525</v>
      </c>
      <c r="W3945" s="21" t="s">
        <v>378</v>
      </c>
      <c r="X3945" s="21"/>
      <c r="Y3945" s="21" t="s">
        <v>41</v>
      </c>
      <c r="Z3945" s="21"/>
      <c r="AA3945" s="21" t="str">
        <f>HYPERLINK("https://miland.ru/api/getInfo/item/68b366e5-cf15-11ee-a25a-00155d82e908")</f>
        <v>https://miland.ru/api/getInfo/item/68b366e5-cf15-11ee-a25a-00155d82e908</v>
      </c>
      <c r="AB3945" s="21" t="s">
        <v>42</v>
      </c>
      <c r="AC3945" s="21" t="s">
        <v>13881</v>
      </c>
      <c r="AD3945" s="21"/>
    </row>
    <row r="3946" spans="2:31" s="1" customFormat="1" ht="96.3" customHeight="1" outlineLevel="7">
      <c r="B3946" s="57">
        <v>3119</v>
      </c>
      <c r="C3946" s="21" t="s">
        <v>13890</v>
      </c>
      <c r="D3946" s="72" t="s">
        <v>13891</v>
      </c>
      <c r="E3946" s="72"/>
      <c r="F3946" s="72"/>
      <c r="G3946" s="72"/>
      <c r="H3946" s="22" t="s">
        <v>13892</v>
      </c>
      <c r="I3946" s="23" t="s">
        <v>36</v>
      </c>
      <c r="J3946" s="22"/>
      <c r="K3946" s="20">
        <v>12</v>
      </c>
      <c r="L3946" s="24">
        <v>41.34</v>
      </c>
      <c r="M3946" s="11"/>
      <c r="N3946" s="22">
        <f t="shared" si="194"/>
        <v>0</v>
      </c>
      <c r="O3946" s="25">
        <f>0.038*M3946</f>
        <v>0</v>
      </c>
      <c r="P3946" s="26">
        <f>0.00228*M3946</f>
        <v>0</v>
      </c>
      <c r="Q3946" s="30"/>
      <c r="R3946" s="22" t="s">
        <v>13893</v>
      </c>
      <c r="S3946" s="22" t="s">
        <v>435</v>
      </c>
      <c r="T3946" s="21" t="str">
        <f>HYPERLINK("https://miland.ru/api/getInfo/image/a48f4414-cf16-11ee-a25a-00155d82e908")</f>
        <v>https://miland.ru/api/getInfo/image/a48f4414-cf16-11ee-a25a-00155d82e908</v>
      </c>
      <c r="U3946" s="21"/>
      <c r="V3946" s="21" t="s">
        <v>6525</v>
      </c>
      <c r="W3946" s="21" t="s">
        <v>378</v>
      </c>
      <c r="X3946" s="21"/>
      <c r="Y3946" s="21" t="s">
        <v>41</v>
      </c>
      <c r="Z3946" s="21"/>
      <c r="AA3946" s="21" t="str">
        <f>HYPERLINK("https://miland.ru/api/getInfo/item/a48f4414-cf16-11ee-a25a-00155d82e908")</f>
        <v>https://miland.ru/api/getInfo/item/a48f4414-cf16-11ee-a25a-00155d82e908</v>
      </c>
      <c r="AB3946" s="21" t="s">
        <v>42</v>
      </c>
      <c r="AC3946" s="21" t="s">
        <v>13881</v>
      </c>
      <c r="AD3946" s="21"/>
    </row>
    <row r="3947" spans="2:31" s="1" customFormat="1" ht="96.3" customHeight="1" outlineLevel="7">
      <c r="B3947" s="57">
        <v>3120</v>
      </c>
      <c r="C3947" s="21" t="s">
        <v>13894</v>
      </c>
      <c r="D3947" s="72" t="s">
        <v>13895</v>
      </c>
      <c r="E3947" s="72"/>
      <c r="F3947" s="72"/>
      <c r="G3947" s="72"/>
      <c r="H3947" s="22" t="s">
        <v>13896</v>
      </c>
      <c r="I3947" s="27">
        <v>48</v>
      </c>
      <c r="J3947" s="22"/>
      <c r="K3947" s="20">
        <v>12</v>
      </c>
      <c r="L3947" s="24">
        <v>41.34</v>
      </c>
      <c r="M3947" s="11"/>
      <c r="N3947" s="22">
        <f t="shared" si="194"/>
        <v>0</v>
      </c>
      <c r="O3947" s="25">
        <f>0.041*M3947</f>
        <v>0</v>
      </c>
      <c r="P3947" s="29">
        <f>0.0005*M3947</f>
        <v>0</v>
      </c>
      <c r="Q3947" s="30"/>
      <c r="R3947" s="22" t="s">
        <v>13897</v>
      </c>
      <c r="S3947" s="22" t="s">
        <v>435</v>
      </c>
      <c r="T3947" s="21" t="str">
        <f>HYPERLINK("https://miland.ru/api/getInfo/image/d01fc938-cf15-11ee-a25a-00155d82e908")</f>
        <v>https://miland.ru/api/getInfo/image/d01fc938-cf15-11ee-a25a-00155d82e908</v>
      </c>
      <c r="U3947" s="21"/>
      <c r="V3947" s="21" t="s">
        <v>6525</v>
      </c>
      <c r="W3947" s="21" t="s">
        <v>378</v>
      </c>
      <c r="X3947" s="21"/>
      <c r="Y3947" s="21" t="s">
        <v>41</v>
      </c>
      <c r="Z3947" s="21"/>
      <c r="AA3947" s="21" t="str">
        <f>HYPERLINK("https://miland.ru/api/getInfo/item/d01fc938-cf15-11ee-a25a-00155d82e908")</f>
        <v>https://miland.ru/api/getInfo/item/d01fc938-cf15-11ee-a25a-00155d82e908</v>
      </c>
      <c r="AB3947" s="21" t="s">
        <v>42</v>
      </c>
      <c r="AC3947" s="21" t="s">
        <v>13881</v>
      </c>
      <c r="AD3947" s="21"/>
    </row>
    <row r="3948" spans="2:31" s="1" customFormat="1" ht="96.3" customHeight="1" outlineLevel="7">
      <c r="B3948" s="57">
        <v>3121</v>
      </c>
      <c r="C3948" s="21" t="s">
        <v>13898</v>
      </c>
      <c r="D3948" s="72" t="s">
        <v>13899</v>
      </c>
      <c r="E3948" s="72"/>
      <c r="F3948" s="72"/>
      <c r="G3948" s="72"/>
      <c r="H3948" s="22" t="s">
        <v>13900</v>
      </c>
      <c r="I3948" s="23" t="s">
        <v>36</v>
      </c>
      <c r="J3948" s="22"/>
      <c r="K3948" s="20">
        <v>12</v>
      </c>
      <c r="L3948" s="24">
        <v>41.34</v>
      </c>
      <c r="M3948" s="11"/>
      <c r="N3948" s="22">
        <f t="shared" si="194"/>
        <v>0</v>
      </c>
      <c r="O3948" s="28">
        <f>0.05*M3948</f>
        <v>0</v>
      </c>
      <c r="P3948" s="26">
        <f>0.00128*M3948</f>
        <v>0</v>
      </c>
      <c r="Q3948" s="30"/>
      <c r="R3948" s="22" t="s">
        <v>13901</v>
      </c>
      <c r="S3948" s="22" t="s">
        <v>435</v>
      </c>
      <c r="T3948" s="21" t="str">
        <f>HYPERLINK("https://miland.ru/api/getInfo/image/f864874f-cf14-11ee-a25a-00155d82e908")</f>
        <v>https://miland.ru/api/getInfo/image/f864874f-cf14-11ee-a25a-00155d82e908</v>
      </c>
      <c r="U3948" s="21"/>
      <c r="V3948" s="21" t="s">
        <v>6525</v>
      </c>
      <c r="W3948" s="21" t="s">
        <v>378</v>
      </c>
      <c r="X3948" s="21"/>
      <c r="Y3948" s="21" t="s">
        <v>41</v>
      </c>
      <c r="Z3948" s="21"/>
      <c r="AA3948" s="21" t="str">
        <f>HYPERLINK("https://miland.ru/api/getInfo/item/f864874f-cf14-11ee-a25a-00155d82e908")</f>
        <v>https://miland.ru/api/getInfo/item/f864874f-cf14-11ee-a25a-00155d82e908</v>
      </c>
      <c r="AB3948" s="21" t="s">
        <v>42</v>
      </c>
      <c r="AC3948" s="21" t="s">
        <v>13881</v>
      </c>
      <c r="AD3948" s="21"/>
    </row>
    <row r="3949" spans="2:31" s="1" customFormat="1" ht="96.3" customHeight="1" outlineLevel="7">
      <c r="B3949" s="59">
        <v>3122</v>
      </c>
      <c r="C3949" s="35" t="s">
        <v>13902</v>
      </c>
      <c r="D3949" s="73" t="s">
        <v>13903</v>
      </c>
      <c r="E3949" s="73"/>
      <c r="F3949" s="73"/>
      <c r="G3949" s="73"/>
      <c r="H3949" s="36" t="s">
        <v>13904</v>
      </c>
      <c r="I3949" s="56" t="s">
        <v>36</v>
      </c>
      <c r="J3949" s="36"/>
      <c r="K3949" s="34">
        <v>12</v>
      </c>
      <c r="L3949" s="41">
        <v>22.986666666666665</v>
      </c>
      <c r="M3949" s="11"/>
      <c r="N3949" s="36">
        <f t="shared" si="194"/>
        <v>0</v>
      </c>
      <c r="O3949" s="42">
        <f>0.043*M3949</f>
        <v>0</v>
      </c>
      <c r="P3949" s="43">
        <f>0.00063*M3949</f>
        <v>0</v>
      </c>
      <c r="Q3949" s="50"/>
      <c r="R3949" s="36" t="s">
        <v>13905</v>
      </c>
      <c r="S3949" s="36" t="s">
        <v>435</v>
      </c>
      <c r="T3949" s="35" t="str">
        <f>HYPERLINK("https://miland.ru/api/getInfo/image/8da2d62a-cf14-11ee-a25a-00155d82e908")</f>
        <v>https://miland.ru/api/getInfo/image/8da2d62a-cf14-11ee-a25a-00155d82e908</v>
      </c>
      <c r="U3949" s="35"/>
      <c r="V3949" s="35" t="s">
        <v>6525</v>
      </c>
      <c r="W3949" s="35" t="s">
        <v>378</v>
      </c>
      <c r="X3949" s="35"/>
      <c r="Y3949" s="35" t="s">
        <v>41</v>
      </c>
      <c r="Z3949" s="35"/>
      <c r="AA3949" s="35" t="str">
        <f>HYPERLINK("https://miland.ru/api/getInfo/item/8da2d62a-cf14-11ee-a25a-00155d82e908")</f>
        <v>https://miland.ru/api/getInfo/item/8da2d62a-cf14-11ee-a25a-00155d82e908</v>
      </c>
      <c r="AB3949" s="35" t="s">
        <v>42</v>
      </c>
      <c r="AC3949" s="35" t="s">
        <v>13881</v>
      </c>
      <c r="AD3949" s="35"/>
      <c r="AE3949" s="52" t="s">
        <v>1251</v>
      </c>
    </row>
    <row r="3950" spans="2:31" s="1" customFormat="1" ht="96.3" customHeight="1" outlineLevel="7">
      <c r="B3950" s="57">
        <v>3123</v>
      </c>
      <c r="C3950" s="21" t="s">
        <v>13906</v>
      </c>
      <c r="D3950" s="72" t="s">
        <v>13907</v>
      </c>
      <c r="E3950" s="72"/>
      <c r="F3950" s="72"/>
      <c r="G3950" s="72"/>
      <c r="H3950" s="22" t="s">
        <v>13908</v>
      </c>
      <c r="I3950" s="27">
        <v>60</v>
      </c>
      <c r="J3950" s="22"/>
      <c r="K3950" s="20">
        <v>12</v>
      </c>
      <c r="L3950" s="24">
        <v>41.34</v>
      </c>
      <c r="M3950" s="11"/>
      <c r="N3950" s="22">
        <f t="shared" si="194"/>
        <v>0</v>
      </c>
      <c r="O3950" s="28">
        <f>0.05*M3950</f>
        <v>0</v>
      </c>
      <c r="P3950" s="26">
        <f>0.00128*M3950</f>
        <v>0</v>
      </c>
      <c r="Q3950" s="30"/>
      <c r="R3950" s="22" t="s">
        <v>13909</v>
      </c>
      <c r="S3950" s="22" t="s">
        <v>435</v>
      </c>
      <c r="T3950" s="21" t="str">
        <f>HYPERLINK("https://miland.ru/api/getInfo/image/e441f3ec-cf14-11ee-a25a-00155d82e908")</f>
        <v>https://miland.ru/api/getInfo/image/e441f3ec-cf14-11ee-a25a-00155d82e908</v>
      </c>
      <c r="U3950" s="21"/>
      <c r="V3950" s="21" t="s">
        <v>6525</v>
      </c>
      <c r="W3950" s="21" t="s">
        <v>378</v>
      </c>
      <c r="X3950" s="21"/>
      <c r="Y3950" s="21" t="s">
        <v>41</v>
      </c>
      <c r="Z3950" s="21"/>
      <c r="AA3950" s="21" t="str">
        <f>HYPERLINK("https://miland.ru/api/getInfo/item/e441f3ec-cf14-11ee-a25a-00155d82e908")</f>
        <v>https://miland.ru/api/getInfo/item/e441f3ec-cf14-11ee-a25a-00155d82e908</v>
      </c>
      <c r="AB3950" s="21" t="s">
        <v>42</v>
      </c>
      <c r="AC3950" s="21" t="s">
        <v>13881</v>
      </c>
      <c r="AD3950" s="21"/>
    </row>
    <row r="3951" spans="2:31" s="1" customFormat="1" ht="96.3" customHeight="1" outlineLevel="7">
      <c r="B3951" s="57">
        <v>3124</v>
      </c>
      <c r="C3951" s="21" t="s">
        <v>13910</v>
      </c>
      <c r="D3951" s="72" t="s">
        <v>13911</v>
      </c>
      <c r="E3951" s="72"/>
      <c r="F3951" s="72"/>
      <c r="G3951" s="72"/>
      <c r="H3951" s="22" t="s">
        <v>13912</v>
      </c>
      <c r="I3951" s="23" t="s">
        <v>36</v>
      </c>
      <c r="J3951" s="22"/>
      <c r="K3951" s="20">
        <v>12</v>
      </c>
      <c r="L3951" s="24">
        <v>41.34</v>
      </c>
      <c r="M3951" s="11"/>
      <c r="N3951" s="22">
        <f t="shared" si="194"/>
        <v>0</v>
      </c>
      <c r="O3951" s="28">
        <f>0.04*M3951</f>
        <v>0</v>
      </c>
      <c r="P3951" s="26">
        <f>0.00065*M3951</f>
        <v>0</v>
      </c>
      <c r="Q3951" s="30"/>
      <c r="R3951" s="22" t="s">
        <v>13913</v>
      </c>
      <c r="S3951" s="22" t="s">
        <v>435</v>
      </c>
      <c r="T3951" s="21" t="str">
        <f>HYPERLINK("https://miland.ru/api/getInfo/image/92b5bf8e-19ba-11ef-a25d-00155d82e908")</f>
        <v>https://miland.ru/api/getInfo/image/92b5bf8e-19ba-11ef-a25d-00155d82e908</v>
      </c>
      <c r="U3951" s="21"/>
      <c r="V3951" s="21" t="s">
        <v>6525</v>
      </c>
      <c r="W3951" s="21" t="s">
        <v>378</v>
      </c>
      <c r="X3951" s="21"/>
      <c r="Y3951" s="21" t="s">
        <v>41</v>
      </c>
      <c r="Z3951" s="21"/>
      <c r="AA3951" s="21" t="str">
        <f>HYPERLINK("https://miland.ru/api/getInfo/item/92b5bf8e-19ba-11ef-a25d-00155d82e908")</f>
        <v>https://miland.ru/api/getInfo/item/92b5bf8e-19ba-11ef-a25d-00155d82e908</v>
      </c>
      <c r="AB3951" s="21" t="s">
        <v>42</v>
      </c>
      <c r="AC3951" s="21" t="s">
        <v>13807</v>
      </c>
      <c r="AD3951" s="21"/>
    </row>
    <row r="3952" spans="2:31" ht="12" customHeight="1" outlineLevel="7">
      <c r="B3952" s="70" t="s">
        <v>13914</v>
      </c>
      <c r="C3952" s="70"/>
      <c r="D3952" s="70"/>
      <c r="E3952" s="70"/>
      <c r="F3952" s="70"/>
      <c r="G3952" s="70"/>
    </row>
    <row r="3953" spans="2:31" s="1" customFormat="1" ht="96.3" customHeight="1" outlineLevel="7">
      <c r="B3953" s="59">
        <v>3125</v>
      </c>
      <c r="C3953" s="35" t="s">
        <v>13915</v>
      </c>
      <c r="D3953" s="73" t="s">
        <v>13916</v>
      </c>
      <c r="E3953" s="73"/>
      <c r="F3953" s="73"/>
      <c r="G3953" s="73"/>
      <c r="H3953" s="36" t="s">
        <v>13917</v>
      </c>
      <c r="I3953" s="40">
        <v>480</v>
      </c>
      <c r="J3953" s="36"/>
      <c r="K3953" s="34">
        <v>12</v>
      </c>
      <c r="L3953" s="41">
        <v>28</v>
      </c>
      <c r="M3953" s="11"/>
      <c r="N3953" s="36">
        <f>L3953*M3953</f>
        <v>0</v>
      </c>
      <c r="O3953" s="47">
        <f>0.35*M3953</f>
        <v>0</v>
      </c>
      <c r="P3953" s="43">
        <f>0.00113*M3953</f>
        <v>0</v>
      </c>
      <c r="Q3953" s="50"/>
      <c r="R3953" s="36" t="s">
        <v>13918</v>
      </c>
      <c r="S3953" s="36" t="s">
        <v>435</v>
      </c>
      <c r="T3953" s="35" t="str">
        <f>HYPERLINK("https://miland.ru/api/getInfo/image/5987ed3c-c44e-11eb-a206-ac1f6b442185")</f>
        <v>https://miland.ru/api/getInfo/image/5987ed3c-c44e-11eb-a206-ac1f6b442185</v>
      </c>
      <c r="U3953" s="35"/>
      <c r="V3953" s="35" t="s">
        <v>6525</v>
      </c>
      <c r="W3953" s="35" t="s">
        <v>378</v>
      </c>
      <c r="X3953" s="35"/>
      <c r="Y3953" s="35" t="s">
        <v>41</v>
      </c>
      <c r="Z3953" s="35"/>
      <c r="AA3953" s="35" t="str">
        <f>HYPERLINK("https://miland.ru/api/getInfo/item/5987ed3c-c44e-11eb-a206-ac1f6b442185")</f>
        <v>https://miland.ru/api/getInfo/item/5987ed3c-c44e-11eb-a206-ac1f6b442185</v>
      </c>
      <c r="AB3953" s="35" t="s">
        <v>42</v>
      </c>
      <c r="AC3953" s="35" t="s">
        <v>13919</v>
      </c>
      <c r="AD3953" s="35"/>
      <c r="AE3953" s="52" t="s">
        <v>1251</v>
      </c>
    </row>
    <row r="3954" spans="2:31" ht="12" customHeight="1" outlineLevel="4">
      <c r="B3954" s="70" t="s">
        <v>7167</v>
      </c>
      <c r="C3954" s="70"/>
      <c r="D3954" s="70"/>
      <c r="E3954" s="70"/>
      <c r="F3954" s="70"/>
      <c r="G3954" s="70"/>
    </row>
    <row r="3955" spans="2:31" ht="12" customHeight="1" outlineLevel="5">
      <c r="B3955" s="70" t="s">
        <v>6556</v>
      </c>
      <c r="C3955" s="70"/>
      <c r="D3955" s="70"/>
      <c r="E3955" s="70"/>
      <c r="F3955" s="70"/>
      <c r="G3955" s="70"/>
    </row>
    <row r="3956" spans="2:31" s="1" customFormat="1" ht="96.3" customHeight="1" outlineLevel="6">
      <c r="B3956" s="59">
        <v>3126</v>
      </c>
      <c r="C3956" s="35" t="s">
        <v>13920</v>
      </c>
      <c r="D3956" s="73" t="s">
        <v>13921</v>
      </c>
      <c r="E3956" s="73"/>
      <c r="F3956" s="73"/>
      <c r="G3956" s="73"/>
      <c r="H3956" s="36" t="s">
        <v>13922</v>
      </c>
      <c r="I3956" s="56" t="s">
        <v>36</v>
      </c>
      <c r="J3956" s="36"/>
      <c r="K3956" s="34">
        <v>12</v>
      </c>
      <c r="L3956" s="41">
        <v>45.44</v>
      </c>
      <c r="M3956" s="11"/>
      <c r="N3956" s="36">
        <f t="shared" ref="N3956:N4013" si="197">L3956*M3956</f>
        <v>0</v>
      </c>
      <c r="O3956" s="47">
        <f>0.06*M3956</f>
        <v>0</v>
      </c>
      <c r="P3956" s="43">
        <f>0.00041*M3956</f>
        <v>0</v>
      </c>
      <c r="Q3956" s="50" t="s">
        <v>37</v>
      </c>
      <c r="R3956" s="36" t="s">
        <v>13923</v>
      </c>
      <c r="S3956" s="36"/>
      <c r="T3956" s="35" t="str">
        <f>HYPERLINK("https://miland.ru/api/getInfo/image/abe79458-5804-11f0-a27f-00155d82e908")</f>
        <v>https://miland.ru/api/getInfo/image/abe79458-5804-11f0-a27f-00155d82e908</v>
      </c>
      <c r="U3956" s="35"/>
      <c r="V3956" s="35" t="s">
        <v>6525</v>
      </c>
      <c r="W3956" s="35" t="s">
        <v>378</v>
      </c>
      <c r="X3956" s="35"/>
      <c r="Y3956" s="35" t="s">
        <v>41</v>
      </c>
      <c r="Z3956" s="35"/>
      <c r="AA3956" s="35" t="str">
        <f>HYPERLINK("https://miland.ru/api/getInfo/item/abe79458-5804-11f0-a27f-00155d82e908")</f>
        <v>https://miland.ru/api/getInfo/item/abe79458-5804-11f0-a27f-00155d82e908</v>
      </c>
      <c r="AB3956" s="35" t="s">
        <v>42</v>
      </c>
      <c r="AC3956" s="35"/>
      <c r="AD3956" s="35"/>
      <c r="AE3956" s="52" t="s">
        <v>1251</v>
      </c>
    </row>
    <row r="3957" spans="2:31" s="1" customFormat="1" ht="96.3" customHeight="1" outlineLevel="6">
      <c r="B3957" s="59">
        <v>3127</v>
      </c>
      <c r="C3957" s="35" t="s">
        <v>13924</v>
      </c>
      <c r="D3957" s="73" t="s">
        <v>13925</v>
      </c>
      <c r="E3957" s="73"/>
      <c r="F3957" s="73"/>
      <c r="G3957" s="73"/>
      <c r="H3957" s="36" t="s">
        <v>13926</v>
      </c>
      <c r="I3957" s="56" t="s">
        <v>36</v>
      </c>
      <c r="J3957" s="36"/>
      <c r="K3957" s="34">
        <v>12</v>
      </c>
      <c r="L3957" s="41">
        <v>45.44</v>
      </c>
      <c r="M3957" s="11"/>
      <c r="N3957" s="36">
        <f t="shared" si="197"/>
        <v>0</v>
      </c>
      <c r="O3957" s="47">
        <f>0.06*M3957</f>
        <v>0</v>
      </c>
      <c r="P3957" s="43">
        <f>0.00041*M3957</f>
        <v>0</v>
      </c>
      <c r="Q3957" s="50" t="s">
        <v>37</v>
      </c>
      <c r="R3957" s="36" t="s">
        <v>13927</v>
      </c>
      <c r="S3957" s="36"/>
      <c r="T3957" s="35" t="str">
        <f>HYPERLINK("https://miland.ru/api/getInfo/image/57c42783-5804-11f0-a27f-00155d82e908")</f>
        <v>https://miland.ru/api/getInfo/image/57c42783-5804-11f0-a27f-00155d82e908</v>
      </c>
      <c r="U3957" s="35"/>
      <c r="V3957" s="35" t="s">
        <v>6525</v>
      </c>
      <c r="W3957" s="35" t="s">
        <v>378</v>
      </c>
      <c r="X3957" s="35"/>
      <c r="Y3957" s="35" t="s">
        <v>41</v>
      </c>
      <c r="Z3957" s="35"/>
      <c r="AA3957" s="35" t="str">
        <f>HYPERLINK("https://miland.ru/api/getInfo/item/57c42783-5804-11f0-a27f-00155d82e908")</f>
        <v>https://miland.ru/api/getInfo/item/57c42783-5804-11f0-a27f-00155d82e908</v>
      </c>
      <c r="AB3957" s="35" t="s">
        <v>42</v>
      </c>
      <c r="AC3957" s="35"/>
      <c r="AD3957" s="35"/>
      <c r="AE3957" s="52" t="s">
        <v>1251</v>
      </c>
    </row>
    <row r="3958" spans="2:31" s="1" customFormat="1" ht="96.3" customHeight="1" outlineLevel="6">
      <c r="B3958" s="59">
        <v>3128</v>
      </c>
      <c r="C3958" s="35" t="s">
        <v>13928</v>
      </c>
      <c r="D3958" s="73" t="s">
        <v>13929</v>
      </c>
      <c r="E3958" s="73"/>
      <c r="F3958" s="73"/>
      <c r="G3958" s="73"/>
      <c r="H3958" s="36" t="s">
        <v>13930</v>
      </c>
      <c r="I3958" s="56" t="s">
        <v>36</v>
      </c>
      <c r="J3958" s="36"/>
      <c r="K3958" s="34">
        <v>12</v>
      </c>
      <c r="L3958" s="41">
        <v>45.44</v>
      </c>
      <c r="M3958" s="11"/>
      <c r="N3958" s="36">
        <f t="shared" si="197"/>
        <v>0</v>
      </c>
      <c r="O3958" s="47">
        <f>0.05*M3958</f>
        <v>0</v>
      </c>
      <c r="P3958" s="55">
        <f>0.0002*M3958</f>
        <v>0</v>
      </c>
      <c r="Q3958" s="50" t="s">
        <v>37</v>
      </c>
      <c r="R3958" s="36" t="s">
        <v>13931</v>
      </c>
      <c r="S3958" s="36"/>
      <c r="T3958" s="35" t="str">
        <f>HYPERLINK("https://miland.ru/api/getInfo/image/94ffdce4-5801-11f0-a27f-00155d82e908")</f>
        <v>https://miland.ru/api/getInfo/image/94ffdce4-5801-11f0-a27f-00155d82e908</v>
      </c>
      <c r="U3958" s="35"/>
      <c r="V3958" s="35" t="s">
        <v>6525</v>
      </c>
      <c r="W3958" s="35" t="s">
        <v>378</v>
      </c>
      <c r="X3958" s="35"/>
      <c r="Y3958" s="35" t="s">
        <v>41</v>
      </c>
      <c r="Z3958" s="35"/>
      <c r="AA3958" s="35" t="str">
        <f>HYPERLINK("https://miland.ru/api/getInfo/item/94ffdce4-5801-11f0-a27f-00155d82e908")</f>
        <v>https://miland.ru/api/getInfo/item/94ffdce4-5801-11f0-a27f-00155d82e908</v>
      </c>
      <c r="AB3958" s="35" t="s">
        <v>42</v>
      </c>
      <c r="AC3958" s="35"/>
      <c r="AD3958" s="35"/>
      <c r="AE3958" s="52" t="s">
        <v>1251</v>
      </c>
    </row>
    <row r="3959" spans="2:31" s="1" customFormat="1" ht="96.3" customHeight="1" outlineLevel="6">
      <c r="B3959" s="59">
        <v>3129</v>
      </c>
      <c r="C3959" s="35" t="s">
        <v>13932</v>
      </c>
      <c r="D3959" s="73" t="s">
        <v>13933</v>
      </c>
      <c r="E3959" s="73"/>
      <c r="F3959" s="73"/>
      <c r="G3959" s="73"/>
      <c r="H3959" s="36" t="s">
        <v>13934</v>
      </c>
      <c r="I3959" s="56" t="s">
        <v>36</v>
      </c>
      <c r="J3959" s="36"/>
      <c r="K3959" s="34">
        <v>12</v>
      </c>
      <c r="L3959" s="41">
        <v>45.44</v>
      </c>
      <c r="M3959" s="11"/>
      <c r="N3959" s="36">
        <f t="shared" si="197"/>
        <v>0</v>
      </c>
      <c r="O3959" s="42">
        <f>0.056*M3959</f>
        <v>0</v>
      </c>
      <c r="P3959" s="43">
        <f>0.00028*M3959</f>
        <v>0</v>
      </c>
      <c r="Q3959" s="50"/>
      <c r="R3959" s="36" t="s">
        <v>13935</v>
      </c>
      <c r="S3959" s="36"/>
      <c r="T3959" s="35" t="str">
        <f>HYPERLINK("https://miland.ru/api/getInfo/image/223de74d-57f1-11f0-a27f-00155d82e908")</f>
        <v>https://miland.ru/api/getInfo/image/223de74d-57f1-11f0-a27f-00155d82e908</v>
      </c>
      <c r="U3959" s="35"/>
      <c r="V3959" s="35" t="s">
        <v>6525</v>
      </c>
      <c r="W3959" s="35" t="s">
        <v>378</v>
      </c>
      <c r="X3959" s="35"/>
      <c r="Y3959" s="35" t="s">
        <v>41</v>
      </c>
      <c r="Z3959" s="35"/>
      <c r="AA3959" s="35" t="str">
        <f>HYPERLINK("https://miland.ru/api/getInfo/item/223de74d-57f1-11f0-a27f-00155d82e908")</f>
        <v>https://miland.ru/api/getInfo/item/223de74d-57f1-11f0-a27f-00155d82e908</v>
      </c>
      <c r="AB3959" s="35" t="s">
        <v>42</v>
      </c>
      <c r="AC3959" s="35"/>
      <c r="AD3959" s="35"/>
      <c r="AE3959" s="52" t="s">
        <v>1251</v>
      </c>
    </row>
    <row r="3960" spans="2:31" s="1" customFormat="1" ht="96.3" customHeight="1" outlineLevel="6">
      <c r="B3960" s="59">
        <v>3130</v>
      </c>
      <c r="C3960" s="35" t="s">
        <v>13936</v>
      </c>
      <c r="D3960" s="73" t="s">
        <v>13937</v>
      </c>
      <c r="E3960" s="73"/>
      <c r="F3960" s="73"/>
      <c r="G3960" s="73"/>
      <c r="H3960" s="36" t="s">
        <v>13938</v>
      </c>
      <c r="I3960" s="56" t="s">
        <v>36</v>
      </c>
      <c r="J3960" s="36"/>
      <c r="K3960" s="34">
        <v>12</v>
      </c>
      <c r="L3960" s="41">
        <v>45.44</v>
      </c>
      <c r="M3960" s="11"/>
      <c r="N3960" s="36">
        <f t="shared" si="197"/>
        <v>0</v>
      </c>
      <c r="O3960" s="47">
        <f>0.05*M3960</f>
        <v>0</v>
      </c>
      <c r="P3960" s="43">
        <f>0.00027*M3960</f>
        <v>0</v>
      </c>
      <c r="Q3960" s="50" t="s">
        <v>37</v>
      </c>
      <c r="R3960" s="36" t="s">
        <v>13939</v>
      </c>
      <c r="S3960" s="36"/>
      <c r="T3960" s="35" t="str">
        <f>HYPERLINK("https://miland.ru/api/getInfo/image/304ae62c-57f3-11f0-a27f-00155d82e908")</f>
        <v>https://miland.ru/api/getInfo/image/304ae62c-57f3-11f0-a27f-00155d82e908</v>
      </c>
      <c r="U3960" s="35"/>
      <c r="V3960" s="35" t="s">
        <v>6525</v>
      </c>
      <c r="W3960" s="35" t="s">
        <v>378</v>
      </c>
      <c r="X3960" s="35"/>
      <c r="Y3960" s="35" t="s">
        <v>41</v>
      </c>
      <c r="Z3960" s="35"/>
      <c r="AA3960" s="35" t="str">
        <f>HYPERLINK("https://miland.ru/api/getInfo/item/304ae62c-57f3-11f0-a27f-00155d82e908")</f>
        <v>https://miland.ru/api/getInfo/item/304ae62c-57f3-11f0-a27f-00155d82e908</v>
      </c>
      <c r="AB3960" s="35" t="s">
        <v>42</v>
      </c>
      <c r="AC3960" s="35"/>
      <c r="AD3960" s="35"/>
      <c r="AE3960" s="52" t="s">
        <v>1251</v>
      </c>
    </row>
    <row r="3961" spans="2:31" s="1" customFormat="1" ht="96.3" customHeight="1" outlineLevel="6">
      <c r="B3961" s="59">
        <v>3131</v>
      </c>
      <c r="C3961" s="35" t="s">
        <v>13940</v>
      </c>
      <c r="D3961" s="73" t="s">
        <v>13941</v>
      </c>
      <c r="E3961" s="73"/>
      <c r="F3961" s="73"/>
      <c r="G3961" s="73"/>
      <c r="H3961" s="36" t="s">
        <v>13942</v>
      </c>
      <c r="I3961" s="56" t="s">
        <v>36</v>
      </c>
      <c r="J3961" s="36"/>
      <c r="K3961" s="34">
        <v>12</v>
      </c>
      <c r="L3961" s="41">
        <v>45.44</v>
      </c>
      <c r="M3961" s="11"/>
      <c r="N3961" s="36">
        <f t="shared" si="197"/>
        <v>0</v>
      </c>
      <c r="O3961" s="42">
        <f>0.051*M3961</f>
        <v>0</v>
      </c>
      <c r="P3961" s="43">
        <f>0.00027*M3961</f>
        <v>0</v>
      </c>
      <c r="Q3961" s="50"/>
      <c r="R3961" s="36" t="s">
        <v>13943</v>
      </c>
      <c r="S3961" s="36"/>
      <c r="T3961" s="35" t="str">
        <f>HYPERLINK("https://miland.ru/api/getInfo/image/64be645b-580a-11f0-a27f-00155d82e908")</f>
        <v>https://miland.ru/api/getInfo/image/64be645b-580a-11f0-a27f-00155d82e908</v>
      </c>
      <c r="U3961" s="35"/>
      <c r="V3961" s="35" t="s">
        <v>6525</v>
      </c>
      <c r="W3961" s="35" t="s">
        <v>378</v>
      </c>
      <c r="X3961" s="35"/>
      <c r="Y3961" s="35" t="s">
        <v>41</v>
      </c>
      <c r="Z3961" s="35"/>
      <c r="AA3961" s="35" t="str">
        <f>HYPERLINK("https://miland.ru/api/getInfo/item/64be645b-580a-11f0-a27f-00155d82e908")</f>
        <v>https://miland.ru/api/getInfo/item/64be645b-580a-11f0-a27f-00155d82e908</v>
      </c>
      <c r="AB3961" s="35" t="s">
        <v>42</v>
      </c>
      <c r="AC3961" s="35"/>
      <c r="AD3961" s="35"/>
      <c r="AE3961" s="52" t="s">
        <v>1251</v>
      </c>
    </row>
    <row r="3962" spans="2:31" s="1" customFormat="1" ht="96.3" customHeight="1" outlineLevel="6">
      <c r="B3962" s="59">
        <v>3132</v>
      </c>
      <c r="C3962" s="35" t="s">
        <v>13944</v>
      </c>
      <c r="D3962" s="73" t="s">
        <v>13945</v>
      </c>
      <c r="E3962" s="73"/>
      <c r="F3962" s="73"/>
      <c r="G3962" s="73"/>
      <c r="H3962" s="36" t="s">
        <v>13946</v>
      </c>
      <c r="I3962" s="56" t="s">
        <v>36</v>
      </c>
      <c r="J3962" s="36"/>
      <c r="K3962" s="34">
        <v>12</v>
      </c>
      <c r="L3962" s="41">
        <v>45.44</v>
      </c>
      <c r="M3962" s="11"/>
      <c r="N3962" s="36">
        <f t="shared" si="197"/>
        <v>0</v>
      </c>
      <c r="O3962" s="42">
        <f>0.058*M3962</f>
        <v>0</v>
      </c>
      <c r="P3962" s="43">
        <f>0.00027*M3962</f>
        <v>0</v>
      </c>
      <c r="Q3962" s="50"/>
      <c r="R3962" s="36" t="s">
        <v>13947</v>
      </c>
      <c r="S3962" s="36"/>
      <c r="T3962" s="35" t="str">
        <f>HYPERLINK("https://miland.ru/api/getInfo/image/6da378c8-5809-11f0-a27f-00155d82e908")</f>
        <v>https://miland.ru/api/getInfo/image/6da378c8-5809-11f0-a27f-00155d82e908</v>
      </c>
      <c r="U3962" s="35"/>
      <c r="V3962" s="35" t="s">
        <v>6525</v>
      </c>
      <c r="W3962" s="35" t="s">
        <v>378</v>
      </c>
      <c r="X3962" s="35"/>
      <c r="Y3962" s="35" t="s">
        <v>41</v>
      </c>
      <c r="Z3962" s="35"/>
      <c r="AA3962" s="35" t="str">
        <f>HYPERLINK("https://miland.ru/api/getInfo/item/6da378c8-5809-11f0-a27f-00155d82e908")</f>
        <v>https://miland.ru/api/getInfo/item/6da378c8-5809-11f0-a27f-00155d82e908</v>
      </c>
      <c r="AB3962" s="35" t="s">
        <v>42</v>
      </c>
      <c r="AC3962" s="35"/>
      <c r="AD3962" s="35"/>
      <c r="AE3962" s="52" t="s">
        <v>1251</v>
      </c>
    </row>
    <row r="3963" spans="2:31" s="1" customFormat="1" ht="96.3" customHeight="1" outlineLevel="6">
      <c r="B3963" s="59">
        <v>3133</v>
      </c>
      <c r="C3963" s="35" t="s">
        <v>13948</v>
      </c>
      <c r="D3963" s="73" t="s">
        <v>13949</v>
      </c>
      <c r="E3963" s="73"/>
      <c r="F3963" s="73"/>
      <c r="G3963" s="73"/>
      <c r="H3963" s="36" t="s">
        <v>13950</v>
      </c>
      <c r="I3963" s="56" t="s">
        <v>36</v>
      </c>
      <c r="J3963" s="36"/>
      <c r="K3963" s="34">
        <v>12</v>
      </c>
      <c r="L3963" s="41">
        <v>45.44</v>
      </c>
      <c r="M3963" s="11"/>
      <c r="N3963" s="36">
        <f t="shared" si="197"/>
        <v>0</v>
      </c>
      <c r="O3963" s="42">
        <f>0.058*M3963</f>
        <v>0</v>
      </c>
      <c r="P3963" s="43">
        <f>0.00027*M3963</f>
        <v>0</v>
      </c>
      <c r="Q3963" s="50"/>
      <c r="R3963" s="36" t="s">
        <v>13951</v>
      </c>
      <c r="S3963" s="36"/>
      <c r="T3963" s="35" t="str">
        <f>HYPERLINK("https://miland.ru/api/getInfo/image/600109d7-5802-11f0-a27f-00155d82e908")</f>
        <v>https://miland.ru/api/getInfo/image/600109d7-5802-11f0-a27f-00155d82e908</v>
      </c>
      <c r="U3963" s="35"/>
      <c r="V3963" s="35" t="s">
        <v>6525</v>
      </c>
      <c r="W3963" s="35" t="s">
        <v>378</v>
      </c>
      <c r="X3963" s="35"/>
      <c r="Y3963" s="35" t="s">
        <v>41</v>
      </c>
      <c r="Z3963" s="35"/>
      <c r="AA3963" s="35" t="str">
        <f>HYPERLINK("https://miland.ru/api/getInfo/item/600109d7-5802-11f0-a27f-00155d82e908")</f>
        <v>https://miland.ru/api/getInfo/item/600109d7-5802-11f0-a27f-00155d82e908</v>
      </c>
      <c r="AB3963" s="35" t="s">
        <v>42</v>
      </c>
      <c r="AC3963" s="35"/>
      <c r="AD3963" s="35"/>
      <c r="AE3963" s="52" t="s">
        <v>1251</v>
      </c>
    </row>
    <row r="3964" spans="2:31" s="1" customFormat="1" ht="96.3" customHeight="1" outlineLevel="6">
      <c r="B3964" s="59">
        <v>3134</v>
      </c>
      <c r="C3964" s="35" t="s">
        <v>13952</v>
      </c>
      <c r="D3964" s="73" t="s">
        <v>13953</v>
      </c>
      <c r="E3964" s="73"/>
      <c r="F3964" s="73"/>
      <c r="G3964" s="73"/>
      <c r="H3964" s="36" t="s">
        <v>13954</v>
      </c>
      <c r="I3964" s="56" t="s">
        <v>36</v>
      </c>
      <c r="J3964" s="36"/>
      <c r="K3964" s="34">
        <v>12</v>
      </c>
      <c r="L3964" s="41">
        <v>45.44</v>
      </c>
      <c r="M3964" s="11"/>
      <c r="N3964" s="36">
        <f t="shared" si="197"/>
        <v>0</v>
      </c>
      <c r="O3964" s="42">
        <f>0.056*M3964</f>
        <v>0</v>
      </c>
      <c r="P3964" s="43">
        <f>0.00041*M3964</f>
        <v>0</v>
      </c>
      <c r="Q3964" s="50" t="s">
        <v>37</v>
      </c>
      <c r="R3964" s="36" t="s">
        <v>13955</v>
      </c>
      <c r="S3964" s="36"/>
      <c r="T3964" s="35" t="str">
        <f>HYPERLINK("https://miland.ru/api/getInfo/image/4c0329a6-57fe-11f0-a27f-00155d82e908")</f>
        <v>https://miland.ru/api/getInfo/image/4c0329a6-57fe-11f0-a27f-00155d82e908</v>
      </c>
      <c r="U3964" s="35"/>
      <c r="V3964" s="35" t="s">
        <v>6525</v>
      </c>
      <c r="W3964" s="35" t="s">
        <v>378</v>
      </c>
      <c r="X3964" s="35"/>
      <c r="Y3964" s="35" t="s">
        <v>41</v>
      </c>
      <c r="Z3964" s="35"/>
      <c r="AA3964" s="35" t="str">
        <f>HYPERLINK("https://miland.ru/api/getInfo/item/4c0329a6-57fe-11f0-a27f-00155d82e908")</f>
        <v>https://miland.ru/api/getInfo/item/4c0329a6-57fe-11f0-a27f-00155d82e908</v>
      </c>
      <c r="AB3964" s="35" t="s">
        <v>42</v>
      </c>
      <c r="AC3964" s="35"/>
      <c r="AD3964" s="35"/>
      <c r="AE3964" s="52" t="s">
        <v>1251</v>
      </c>
    </row>
    <row r="3965" spans="2:31" s="1" customFormat="1" ht="96.3" customHeight="1" outlineLevel="6">
      <c r="B3965" s="59">
        <v>3135</v>
      </c>
      <c r="C3965" s="35" t="s">
        <v>13956</v>
      </c>
      <c r="D3965" s="73" t="s">
        <v>13957</v>
      </c>
      <c r="E3965" s="73"/>
      <c r="F3965" s="73"/>
      <c r="G3965" s="73"/>
      <c r="H3965" s="36" t="s">
        <v>13958</v>
      </c>
      <c r="I3965" s="56" t="s">
        <v>36</v>
      </c>
      <c r="J3965" s="36"/>
      <c r="K3965" s="34">
        <v>12</v>
      </c>
      <c r="L3965" s="41">
        <v>45.44</v>
      </c>
      <c r="M3965" s="11"/>
      <c r="N3965" s="36">
        <f t="shared" si="197"/>
        <v>0</v>
      </c>
      <c r="O3965" s="47">
        <f>0.05*M3965</f>
        <v>0</v>
      </c>
      <c r="P3965" s="55">
        <f>0.0002*M3965</f>
        <v>0</v>
      </c>
      <c r="Q3965" s="50" t="s">
        <v>37</v>
      </c>
      <c r="R3965" s="36" t="s">
        <v>13959</v>
      </c>
      <c r="S3965" s="36"/>
      <c r="T3965" s="35" t="str">
        <f>HYPERLINK("https://miland.ru/api/getInfo/image/d3fb45f7-57fd-11f0-a27f-00155d82e908")</f>
        <v>https://miland.ru/api/getInfo/image/d3fb45f7-57fd-11f0-a27f-00155d82e908</v>
      </c>
      <c r="U3965" s="35"/>
      <c r="V3965" s="35" t="s">
        <v>6525</v>
      </c>
      <c r="W3965" s="35" t="s">
        <v>378</v>
      </c>
      <c r="X3965" s="35"/>
      <c r="Y3965" s="35" t="s">
        <v>41</v>
      </c>
      <c r="Z3965" s="35"/>
      <c r="AA3965" s="35" t="str">
        <f>HYPERLINK("https://miland.ru/api/getInfo/item/d3fb45f7-57fd-11f0-a27f-00155d82e908")</f>
        <v>https://miland.ru/api/getInfo/item/d3fb45f7-57fd-11f0-a27f-00155d82e908</v>
      </c>
      <c r="AB3965" s="35" t="s">
        <v>42</v>
      </c>
      <c r="AC3965" s="35"/>
      <c r="AD3965" s="35"/>
      <c r="AE3965" s="52" t="s">
        <v>1251</v>
      </c>
    </row>
    <row r="3966" spans="2:31" s="1" customFormat="1" ht="96.3" customHeight="1" outlineLevel="6">
      <c r="B3966" s="59">
        <v>3136</v>
      </c>
      <c r="C3966" s="35" t="s">
        <v>13960</v>
      </c>
      <c r="D3966" s="73" t="s">
        <v>13961</v>
      </c>
      <c r="E3966" s="73"/>
      <c r="F3966" s="73"/>
      <c r="G3966" s="73"/>
      <c r="H3966" s="36" t="s">
        <v>13962</v>
      </c>
      <c r="I3966" s="56" t="s">
        <v>36</v>
      </c>
      <c r="J3966" s="36"/>
      <c r="K3966" s="34">
        <v>12</v>
      </c>
      <c r="L3966" s="41">
        <v>45.44</v>
      </c>
      <c r="M3966" s="11"/>
      <c r="N3966" s="36">
        <f t="shared" si="197"/>
        <v>0</v>
      </c>
      <c r="O3966" s="47">
        <f>0.05*M3966</f>
        <v>0</v>
      </c>
      <c r="P3966" s="55">
        <f>0.0002*M3966</f>
        <v>0</v>
      </c>
      <c r="Q3966" s="50" t="s">
        <v>37</v>
      </c>
      <c r="R3966" s="36" t="s">
        <v>13963</v>
      </c>
      <c r="S3966" s="36"/>
      <c r="T3966" s="35" t="str">
        <f>HYPERLINK("https://miland.ru/api/getInfo/image/c1c52765-57fe-11f0-a27f-00155d82e908")</f>
        <v>https://miland.ru/api/getInfo/image/c1c52765-57fe-11f0-a27f-00155d82e908</v>
      </c>
      <c r="U3966" s="35"/>
      <c r="V3966" s="35" t="s">
        <v>6525</v>
      </c>
      <c r="W3966" s="35" t="s">
        <v>378</v>
      </c>
      <c r="X3966" s="35"/>
      <c r="Y3966" s="35" t="s">
        <v>41</v>
      </c>
      <c r="Z3966" s="35"/>
      <c r="AA3966" s="35" t="str">
        <f>HYPERLINK("https://miland.ru/api/getInfo/item/c1c52765-57fe-11f0-a27f-00155d82e908")</f>
        <v>https://miland.ru/api/getInfo/item/c1c52765-57fe-11f0-a27f-00155d82e908</v>
      </c>
      <c r="AB3966" s="35" t="s">
        <v>42</v>
      </c>
      <c r="AC3966" s="35"/>
      <c r="AD3966" s="35"/>
      <c r="AE3966" s="52" t="s">
        <v>1251</v>
      </c>
    </row>
    <row r="3967" spans="2:31" s="1" customFormat="1" ht="96.3" customHeight="1" outlineLevel="6">
      <c r="B3967" s="59">
        <v>3137</v>
      </c>
      <c r="C3967" s="35" t="s">
        <v>13964</v>
      </c>
      <c r="D3967" s="73" t="s">
        <v>13965</v>
      </c>
      <c r="E3967" s="73"/>
      <c r="F3967" s="73"/>
      <c r="G3967" s="73"/>
      <c r="H3967" s="36" t="s">
        <v>13966</v>
      </c>
      <c r="I3967" s="56" t="s">
        <v>36</v>
      </c>
      <c r="J3967" s="36"/>
      <c r="K3967" s="34">
        <v>12</v>
      </c>
      <c r="L3967" s="41">
        <v>45.44</v>
      </c>
      <c r="M3967" s="11"/>
      <c r="N3967" s="36">
        <f t="shared" si="197"/>
        <v>0</v>
      </c>
      <c r="O3967" s="47">
        <f>0.05*M3967</f>
        <v>0</v>
      </c>
      <c r="P3967" s="55">
        <f>0.0002*M3967</f>
        <v>0</v>
      </c>
      <c r="Q3967" s="50" t="s">
        <v>37</v>
      </c>
      <c r="R3967" s="36" t="s">
        <v>13967</v>
      </c>
      <c r="S3967" s="36"/>
      <c r="T3967" s="35" t="str">
        <f>HYPERLINK("https://miland.ru/api/getInfo/image/7ae5a8f3-57ff-11f0-a27f-00155d82e908")</f>
        <v>https://miland.ru/api/getInfo/image/7ae5a8f3-57ff-11f0-a27f-00155d82e908</v>
      </c>
      <c r="U3967" s="35"/>
      <c r="V3967" s="35" t="s">
        <v>6525</v>
      </c>
      <c r="W3967" s="35" t="s">
        <v>378</v>
      </c>
      <c r="X3967" s="35"/>
      <c r="Y3967" s="35" t="s">
        <v>41</v>
      </c>
      <c r="Z3967" s="35"/>
      <c r="AA3967" s="35" t="str">
        <f>HYPERLINK("https://miland.ru/api/getInfo/item/7ae5a8f3-57ff-11f0-a27f-00155d82e908")</f>
        <v>https://miland.ru/api/getInfo/item/7ae5a8f3-57ff-11f0-a27f-00155d82e908</v>
      </c>
      <c r="AB3967" s="35" t="s">
        <v>42</v>
      </c>
      <c r="AC3967" s="35"/>
      <c r="AD3967" s="35"/>
      <c r="AE3967" s="52" t="s">
        <v>1251</v>
      </c>
    </row>
    <row r="3968" spans="2:31" s="1" customFormat="1" ht="96.3" customHeight="1" outlineLevel="6">
      <c r="B3968" s="59">
        <v>3138</v>
      </c>
      <c r="C3968" s="35" t="s">
        <v>13968</v>
      </c>
      <c r="D3968" s="73" t="s">
        <v>13969</v>
      </c>
      <c r="E3968" s="73"/>
      <c r="F3968" s="73"/>
      <c r="G3968" s="73"/>
      <c r="H3968" s="36" t="s">
        <v>13970</v>
      </c>
      <c r="I3968" s="56" t="s">
        <v>36</v>
      </c>
      <c r="J3968" s="36"/>
      <c r="K3968" s="34">
        <v>12</v>
      </c>
      <c r="L3968" s="41">
        <v>45.44</v>
      </c>
      <c r="M3968" s="11"/>
      <c r="N3968" s="36">
        <f t="shared" si="197"/>
        <v>0</v>
      </c>
      <c r="O3968" s="47">
        <f>0.05*M3968</f>
        <v>0</v>
      </c>
      <c r="P3968" s="55">
        <f>0.0002*M3968</f>
        <v>0</v>
      </c>
      <c r="Q3968" s="50" t="s">
        <v>37</v>
      </c>
      <c r="R3968" s="36" t="s">
        <v>13971</v>
      </c>
      <c r="S3968" s="36"/>
      <c r="T3968" s="35" t="str">
        <f>HYPERLINK("https://miland.ru/api/getInfo/image/0e2b26c4-57fe-11f0-a27f-00155d82e908")</f>
        <v>https://miland.ru/api/getInfo/image/0e2b26c4-57fe-11f0-a27f-00155d82e908</v>
      </c>
      <c r="U3968" s="35"/>
      <c r="V3968" s="35" t="s">
        <v>6525</v>
      </c>
      <c r="W3968" s="35" t="s">
        <v>378</v>
      </c>
      <c r="X3968" s="35"/>
      <c r="Y3968" s="35" t="s">
        <v>41</v>
      </c>
      <c r="Z3968" s="35"/>
      <c r="AA3968" s="35" t="str">
        <f>HYPERLINK("https://miland.ru/api/getInfo/item/0e2b26c4-57fe-11f0-a27f-00155d82e908")</f>
        <v>https://miland.ru/api/getInfo/item/0e2b26c4-57fe-11f0-a27f-00155d82e908</v>
      </c>
      <c r="AB3968" s="35" t="s">
        <v>42</v>
      </c>
      <c r="AC3968" s="35"/>
      <c r="AD3968" s="35"/>
      <c r="AE3968" s="52" t="s">
        <v>1251</v>
      </c>
    </row>
    <row r="3969" spans="2:31" s="1" customFormat="1" ht="96.3" customHeight="1" outlineLevel="6">
      <c r="B3969" s="59">
        <v>3139</v>
      </c>
      <c r="C3969" s="35" t="s">
        <v>13972</v>
      </c>
      <c r="D3969" s="73" t="s">
        <v>13973</v>
      </c>
      <c r="E3969" s="73"/>
      <c r="F3969" s="73"/>
      <c r="G3969" s="73"/>
      <c r="H3969" s="36" t="s">
        <v>13974</v>
      </c>
      <c r="I3969" s="56" t="s">
        <v>36</v>
      </c>
      <c r="J3969" s="36"/>
      <c r="K3969" s="34">
        <v>12</v>
      </c>
      <c r="L3969" s="41">
        <v>45.44</v>
      </c>
      <c r="M3969" s="11"/>
      <c r="N3969" s="36">
        <f t="shared" si="197"/>
        <v>0</v>
      </c>
      <c r="O3969" s="42">
        <f>0.055*M3969</f>
        <v>0</v>
      </c>
      <c r="P3969" s="43">
        <f>0.00041*M3969</f>
        <v>0</v>
      </c>
      <c r="Q3969" s="50" t="s">
        <v>37</v>
      </c>
      <c r="R3969" s="36" t="s">
        <v>13975</v>
      </c>
      <c r="S3969" s="36"/>
      <c r="T3969" s="35" t="str">
        <f>HYPERLINK("https://miland.ru/api/getInfo/image/18aa9ee8-5802-11f0-a27f-00155d82e908")</f>
        <v>https://miland.ru/api/getInfo/image/18aa9ee8-5802-11f0-a27f-00155d82e908</v>
      </c>
      <c r="U3969" s="35"/>
      <c r="V3969" s="35" t="s">
        <v>6525</v>
      </c>
      <c r="W3969" s="35" t="s">
        <v>378</v>
      </c>
      <c r="X3969" s="35"/>
      <c r="Y3969" s="35" t="s">
        <v>41</v>
      </c>
      <c r="Z3969" s="35"/>
      <c r="AA3969" s="35" t="str">
        <f>HYPERLINK("https://miland.ru/api/getInfo/item/18aa9ee8-5802-11f0-a27f-00155d82e908")</f>
        <v>https://miland.ru/api/getInfo/item/18aa9ee8-5802-11f0-a27f-00155d82e908</v>
      </c>
      <c r="AB3969" s="35" t="s">
        <v>42</v>
      </c>
      <c r="AC3969" s="35"/>
      <c r="AD3969" s="35"/>
      <c r="AE3969" s="52" t="s">
        <v>1251</v>
      </c>
    </row>
    <row r="3970" spans="2:31" s="1" customFormat="1" ht="96.3" customHeight="1" outlineLevel="6">
      <c r="B3970" s="59">
        <v>3140</v>
      </c>
      <c r="C3970" s="35" t="s">
        <v>13976</v>
      </c>
      <c r="D3970" s="73" t="s">
        <v>13977</v>
      </c>
      <c r="E3970" s="73"/>
      <c r="F3970" s="73"/>
      <c r="G3970" s="73"/>
      <c r="H3970" s="36" t="s">
        <v>13978</v>
      </c>
      <c r="I3970" s="56" t="s">
        <v>36</v>
      </c>
      <c r="J3970" s="36"/>
      <c r="K3970" s="34">
        <v>12</v>
      </c>
      <c r="L3970" s="41">
        <v>45.44</v>
      </c>
      <c r="M3970" s="11"/>
      <c r="N3970" s="36">
        <f t="shared" si="197"/>
        <v>0</v>
      </c>
      <c r="O3970" s="42">
        <f>0.055*M3970</f>
        <v>0</v>
      </c>
      <c r="P3970" s="43">
        <f>0.00041*M3970</f>
        <v>0</v>
      </c>
      <c r="Q3970" s="50" t="s">
        <v>37</v>
      </c>
      <c r="R3970" s="36" t="s">
        <v>13979</v>
      </c>
      <c r="S3970" s="36"/>
      <c r="T3970" s="35" t="str">
        <f>HYPERLINK("https://miland.ru/api/getInfo/image/38b6a4a2-5808-11f0-a27f-00155d82e908")</f>
        <v>https://miland.ru/api/getInfo/image/38b6a4a2-5808-11f0-a27f-00155d82e908</v>
      </c>
      <c r="U3970" s="35"/>
      <c r="V3970" s="35" t="s">
        <v>6525</v>
      </c>
      <c r="W3970" s="35" t="s">
        <v>378</v>
      </c>
      <c r="X3970" s="35"/>
      <c r="Y3970" s="35" t="s">
        <v>41</v>
      </c>
      <c r="Z3970" s="35"/>
      <c r="AA3970" s="35" t="str">
        <f>HYPERLINK("https://miland.ru/api/getInfo/item/38b6a4a2-5808-11f0-a27f-00155d82e908")</f>
        <v>https://miland.ru/api/getInfo/item/38b6a4a2-5808-11f0-a27f-00155d82e908</v>
      </c>
      <c r="AB3970" s="35" t="s">
        <v>42</v>
      </c>
      <c r="AC3970" s="35"/>
      <c r="AD3970" s="35"/>
      <c r="AE3970" s="52" t="s">
        <v>1251</v>
      </c>
    </row>
    <row r="3971" spans="2:31" s="1" customFormat="1" ht="96.3" customHeight="1" outlineLevel="6">
      <c r="B3971" s="59">
        <v>3141</v>
      </c>
      <c r="C3971" s="35" t="s">
        <v>13980</v>
      </c>
      <c r="D3971" s="73" t="s">
        <v>13981</v>
      </c>
      <c r="E3971" s="73"/>
      <c r="F3971" s="73"/>
      <c r="G3971" s="73"/>
      <c r="H3971" s="36" t="s">
        <v>13982</v>
      </c>
      <c r="I3971" s="56" t="s">
        <v>36</v>
      </c>
      <c r="J3971" s="36"/>
      <c r="K3971" s="34">
        <v>12</v>
      </c>
      <c r="L3971" s="41">
        <v>45.44</v>
      </c>
      <c r="M3971" s="11"/>
      <c r="N3971" s="36">
        <f t="shared" si="197"/>
        <v>0</v>
      </c>
      <c r="O3971" s="47">
        <f>0.05*M3971</f>
        <v>0</v>
      </c>
      <c r="P3971" s="43">
        <f>0.00027*M3971</f>
        <v>0</v>
      </c>
      <c r="Q3971" s="50" t="s">
        <v>37</v>
      </c>
      <c r="R3971" s="36" t="s">
        <v>13983</v>
      </c>
      <c r="S3971" s="36"/>
      <c r="T3971" s="35" t="str">
        <f>HYPERLINK("https://miland.ru/api/getInfo/image/6b193b2a-57f2-11f0-a27f-00155d82e908")</f>
        <v>https://miland.ru/api/getInfo/image/6b193b2a-57f2-11f0-a27f-00155d82e908</v>
      </c>
      <c r="U3971" s="35"/>
      <c r="V3971" s="35" t="s">
        <v>6525</v>
      </c>
      <c r="W3971" s="35" t="s">
        <v>378</v>
      </c>
      <c r="X3971" s="35"/>
      <c r="Y3971" s="35" t="s">
        <v>41</v>
      </c>
      <c r="Z3971" s="35"/>
      <c r="AA3971" s="35" t="str">
        <f>HYPERLINK("https://miland.ru/api/getInfo/item/6b193b2a-57f2-11f0-a27f-00155d82e908")</f>
        <v>https://miland.ru/api/getInfo/item/6b193b2a-57f2-11f0-a27f-00155d82e908</v>
      </c>
      <c r="AB3971" s="35" t="s">
        <v>42</v>
      </c>
      <c r="AC3971" s="35"/>
      <c r="AD3971" s="35"/>
      <c r="AE3971" s="52" t="s">
        <v>1251</v>
      </c>
    </row>
    <row r="3972" spans="2:31" s="1" customFormat="1" ht="96.3" customHeight="1" outlineLevel="6">
      <c r="B3972" s="59">
        <v>3142</v>
      </c>
      <c r="C3972" s="35" t="s">
        <v>13984</v>
      </c>
      <c r="D3972" s="73" t="s">
        <v>13985</v>
      </c>
      <c r="E3972" s="73"/>
      <c r="F3972" s="73"/>
      <c r="G3972" s="73"/>
      <c r="H3972" s="36" t="s">
        <v>13986</v>
      </c>
      <c r="I3972" s="56" t="s">
        <v>36</v>
      </c>
      <c r="J3972" s="36"/>
      <c r="K3972" s="34">
        <v>12</v>
      </c>
      <c r="L3972" s="41">
        <v>45.44</v>
      </c>
      <c r="M3972" s="11"/>
      <c r="N3972" s="36">
        <f t="shared" si="197"/>
        <v>0</v>
      </c>
      <c r="O3972" s="42">
        <f>0.049*M3972</f>
        <v>0</v>
      </c>
      <c r="P3972" s="43">
        <f>0.00027*M3972</f>
        <v>0</v>
      </c>
      <c r="Q3972" s="50" t="s">
        <v>37</v>
      </c>
      <c r="R3972" s="36" t="s">
        <v>13987</v>
      </c>
      <c r="S3972" s="36"/>
      <c r="T3972" s="35" t="str">
        <f>HYPERLINK("https://miland.ru/api/getInfo/image/0bb227fc-57f2-11f0-a27f-00155d82e908")</f>
        <v>https://miland.ru/api/getInfo/image/0bb227fc-57f2-11f0-a27f-00155d82e908</v>
      </c>
      <c r="U3972" s="35"/>
      <c r="V3972" s="35" t="s">
        <v>6525</v>
      </c>
      <c r="W3972" s="35" t="s">
        <v>378</v>
      </c>
      <c r="X3972" s="35"/>
      <c r="Y3972" s="35" t="s">
        <v>41</v>
      </c>
      <c r="Z3972" s="35"/>
      <c r="AA3972" s="35" t="str">
        <f>HYPERLINK("https://miland.ru/api/getInfo/item/0bb227fc-57f2-11f0-a27f-00155d82e908")</f>
        <v>https://miland.ru/api/getInfo/item/0bb227fc-57f2-11f0-a27f-00155d82e908</v>
      </c>
      <c r="AB3972" s="35" t="s">
        <v>42</v>
      </c>
      <c r="AC3972" s="35"/>
      <c r="AD3972" s="35"/>
      <c r="AE3972" s="52" t="s">
        <v>1251</v>
      </c>
    </row>
    <row r="3973" spans="2:31" s="1" customFormat="1" ht="96.3" customHeight="1" outlineLevel="6">
      <c r="B3973" s="59">
        <v>3143</v>
      </c>
      <c r="C3973" s="35" t="s">
        <v>13988</v>
      </c>
      <c r="D3973" s="73" t="s">
        <v>13989</v>
      </c>
      <c r="E3973" s="73"/>
      <c r="F3973" s="73"/>
      <c r="G3973" s="73"/>
      <c r="H3973" s="36" t="s">
        <v>13990</v>
      </c>
      <c r="I3973" s="56" t="s">
        <v>36</v>
      </c>
      <c r="J3973" s="36"/>
      <c r="K3973" s="34">
        <v>12</v>
      </c>
      <c r="L3973" s="41">
        <v>45.44</v>
      </c>
      <c r="M3973" s="11"/>
      <c r="N3973" s="36">
        <f t="shared" si="197"/>
        <v>0</v>
      </c>
      <c r="O3973" s="42">
        <f>0.055*M3973</f>
        <v>0</v>
      </c>
      <c r="P3973" s="43">
        <f>0.00041*M3973</f>
        <v>0</v>
      </c>
      <c r="Q3973" s="50" t="s">
        <v>37</v>
      </c>
      <c r="R3973" s="36" t="s">
        <v>13991</v>
      </c>
      <c r="S3973" s="36"/>
      <c r="T3973" s="35" t="str">
        <f>HYPERLINK("https://miland.ru/api/getInfo/image/880fce93-5805-11f0-a27f-00155d82e908")</f>
        <v>https://miland.ru/api/getInfo/image/880fce93-5805-11f0-a27f-00155d82e908</v>
      </c>
      <c r="U3973" s="35"/>
      <c r="V3973" s="35" t="s">
        <v>6525</v>
      </c>
      <c r="W3973" s="35" t="s">
        <v>378</v>
      </c>
      <c r="X3973" s="35"/>
      <c r="Y3973" s="35" t="s">
        <v>41</v>
      </c>
      <c r="Z3973" s="35"/>
      <c r="AA3973" s="35" t="str">
        <f>HYPERLINK("https://miland.ru/api/getInfo/item/880fce93-5805-11f0-a27f-00155d82e908")</f>
        <v>https://miland.ru/api/getInfo/item/880fce93-5805-11f0-a27f-00155d82e908</v>
      </c>
      <c r="AB3973" s="35" t="s">
        <v>42</v>
      </c>
      <c r="AC3973" s="35"/>
      <c r="AD3973" s="35"/>
      <c r="AE3973" s="52" t="s">
        <v>1251</v>
      </c>
    </row>
    <row r="3974" spans="2:31" s="1" customFormat="1" ht="96.3" customHeight="1" outlineLevel="6">
      <c r="B3974" s="59">
        <v>3144</v>
      </c>
      <c r="C3974" s="35" t="s">
        <v>13992</v>
      </c>
      <c r="D3974" s="73" t="s">
        <v>13993</v>
      </c>
      <c r="E3974" s="73"/>
      <c r="F3974" s="73"/>
      <c r="G3974" s="73"/>
      <c r="H3974" s="36" t="s">
        <v>13994</v>
      </c>
      <c r="I3974" s="56" t="s">
        <v>36</v>
      </c>
      <c r="J3974" s="36"/>
      <c r="K3974" s="34">
        <v>12</v>
      </c>
      <c r="L3974" s="41">
        <v>45.44</v>
      </c>
      <c r="M3974" s="11"/>
      <c r="N3974" s="36">
        <f t="shared" si="197"/>
        <v>0</v>
      </c>
      <c r="O3974" s="47">
        <f>0.05*M3974</f>
        <v>0</v>
      </c>
      <c r="P3974" s="43">
        <f>0.00027*M3974</f>
        <v>0</v>
      </c>
      <c r="Q3974" s="50" t="s">
        <v>37</v>
      </c>
      <c r="R3974" s="36" t="s">
        <v>13995</v>
      </c>
      <c r="S3974" s="36"/>
      <c r="T3974" s="35" t="str">
        <f>HYPERLINK("https://miland.ru/api/getInfo/image/c72659ba-5808-11f0-a27f-00155d82e908")</f>
        <v>https://miland.ru/api/getInfo/image/c72659ba-5808-11f0-a27f-00155d82e908</v>
      </c>
      <c r="U3974" s="35"/>
      <c r="V3974" s="35" t="s">
        <v>6525</v>
      </c>
      <c r="W3974" s="35" t="s">
        <v>378</v>
      </c>
      <c r="X3974" s="35"/>
      <c r="Y3974" s="35" t="s">
        <v>41</v>
      </c>
      <c r="Z3974" s="35"/>
      <c r="AA3974" s="35" t="str">
        <f>HYPERLINK("https://miland.ru/api/getInfo/item/c72659ba-5808-11f0-a27f-00155d82e908")</f>
        <v>https://miland.ru/api/getInfo/item/c72659ba-5808-11f0-a27f-00155d82e908</v>
      </c>
      <c r="AB3974" s="35" t="s">
        <v>42</v>
      </c>
      <c r="AC3974" s="35"/>
      <c r="AD3974" s="35"/>
      <c r="AE3974" s="52" t="s">
        <v>1251</v>
      </c>
    </row>
    <row r="3975" spans="2:31" s="1" customFormat="1" ht="96.3" customHeight="1" outlineLevel="6">
      <c r="B3975" s="59">
        <v>3145</v>
      </c>
      <c r="C3975" s="35" t="s">
        <v>13996</v>
      </c>
      <c r="D3975" s="73" t="s">
        <v>13997</v>
      </c>
      <c r="E3975" s="73"/>
      <c r="F3975" s="73"/>
      <c r="G3975" s="73"/>
      <c r="H3975" s="36" t="s">
        <v>13998</v>
      </c>
      <c r="I3975" s="56" t="s">
        <v>36</v>
      </c>
      <c r="J3975" s="36"/>
      <c r="K3975" s="34">
        <v>12</v>
      </c>
      <c r="L3975" s="41">
        <v>45.44</v>
      </c>
      <c r="M3975" s="11"/>
      <c r="N3975" s="36">
        <f t="shared" si="197"/>
        <v>0</v>
      </c>
      <c r="O3975" s="47">
        <f>0.05*M3975</f>
        <v>0</v>
      </c>
      <c r="P3975" s="43">
        <f>0.00027*M3975</f>
        <v>0</v>
      </c>
      <c r="Q3975" s="50" t="s">
        <v>37</v>
      </c>
      <c r="R3975" s="36" t="s">
        <v>13999</v>
      </c>
      <c r="S3975" s="36"/>
      <c r="T3975" s="35" t="str">
        <f>HYPERLINK("https://miland.ru/api/getInfo/image/b2831d8d-580a-11f0-a27f-00155d82e908")</f>
        <v>https://miland.ru/api/getInfo/image/b2831d8d-580a-11f0-a27f-00155d82e908</v>
      </c>
      <c r="U3975" s="35"/>
      <c r="V3975" s="35" t="s">
        <v>6525</v>
      </c>
      <c r="W3975" s="35" t="s">
        <v>378</v>
      </c>
      <c r="X3975" s="35"/>
      <c r="Y3975" s="35" t="s">
        <v>41</v>
      </c>
      <c r="Z3975" s="35"/>
      <c r="AA3975" s="35" t="str">
        <f>HYPERLINK("https://miland.ru/api/getInfo/item/b2831d8d-580a-11f0-a27f-00155d82e908")</f>
        <v>https://miland.ru/api/getInfo/item/b2831d8d-580a-11f0-a27f-00155d82e908</v>
      </c>
      <c r="AB3975" s="35" t="s">
        <v>42</v>
      </c>
      <c r="AC3975" s="35"/>
      <c r="AD3975" s="35"/>
      <c r="AE3975" s="52" t="s">
        <v>1251</v>
      </c>
    </row>
    <row r="3976" spans="2:31" s="1" customFormat="1" ht="96.3" customHeight="1" outlineLevel="6">
      <c r="B3976" s="59">
        <v>3146</v>
      </c>
      <c r="C3976" s="35" t="s">
        <v>14000</v>
      </c>
      <c r="D3976" s="73" t="s">
        <v>14001</v>
      </c>
      <c r="E3976" s="73"/>
      <c r="F3976" s="73"/>
      <c r="G3976" s="73"/>
      <c r="H3976" s="36" t="s">
        <v>14002</v>
      </c>
      <c r="I3976" s="56" t="s">
        <v>36</v>
      </c>
      <c r="J3976" s="36"/>
      <c r="K3976" s="34">
        <v>12</v>
      </c>
      <c r="L3976" s="41">
        <v>45.44</v>
      </c>
      <c r="M3976" s="11"/>
      <c r="N3976" s="36">
        <f t="shared" si="197"/>
        <v>0</v>
      </c>
      <c r="O3976" s="42">
        <f>0.055*M3976</f>
        <v>0</v>
      </c>
      <c r="P3976" s="43">
        <f>0.00041*M3976</f>
        <v>0</v>
      </c>
      <c r="Q3976" s="50" t="s">
        <v>37</v>
      </c>
      <c r="R3976" s="36" t="s">
        <v>14003</v>
      </c>
      <c r="S3976" s="36"/>
      <c r="T3976" s="35" t="str">
        <f>HYPERLINK("https://miland.ru/api/getInfo/image/3b245ae1-5801-11f0-a27f-00155d82e908")</f>
        <v>https://miland.ru/api/getInfo/image/3b245ae1-5801-11f0-a27f-00155d82e908</v>
      </c>
      <c r="U3976" s="35"/>
      <c r="V3976" s="35" t="s">
        <v>6525</v>
      </c>
      <c r="W3976" s="35" t="s">
        <v>378</v>
      </c>
      <c r="X3976" s="35"/>
      <c r="Y3976" s="35" t="s">
        <v>41</v>
      </c>
      <c r="Z3976" s="35"/>
      <c r="AA3976" s="35" t="str">
        <f>HYPERLINK("https://miland.ru/api/getInfo/item/3b245ae1-5801-11f0-a27f-00155d82e908")</f>
        <v>https://miland.ru/api/getInfo/item/3b245ae1-5801-11f0-a27f-00155d82e908</v>
      </c>
      <c r="AB3976" s="35" t="s">
        <v>42</v>
      </c>
      <c r="AC3976" s="35"/>
      <c r="AD3976" s="35"/>
      <c r="AE3976" s="52" t="s">
        <v>1251</v>
      </c>
    </row>
    <row r="3977" spans="2:31" s="1" customFormat="1" ht="96.3" customHeight="1" outlineLevel="6">
      <c r="B3977" s="59">
        <v>3147</v>
      </c>
      <c r="C3977" s="35" t="s">
        <v>14004</v>
      </c>
      <c r="D3977" s="73" t="s">
        <v>14005</v>
      </c>
      <c r="E3977" s="73"/>
      <c r="F3977" s="73"/>
      <c r="G3977" s="73"/>
      <c r="H3977" s="36" t="s">
        <v>14006</v>
      </c>
      <c r="I3977" s="56" t="s">
        <v>36</v>
      </c>
      <c r="J3977" s="36"/>
      <c r="K3977" s="34">
        <v>12</v>
      </c>
      <c r="L3977" s="41">
        <v>45.44</v>
      </c>
      <c r="M3977" s="11"/>
      <c r="N3977" s="36">
        <f t="shared" si="197"/>
        <v>0</v>
      </c>
      <c r="O3977" s="42">
        <f>0.055*M3977</f>
        <v>0</v>
      </c>
      <c r="P3977" s="43">
        <f>0.00041*M3977</f>
        <v>0</v>
      </c>
      <c r="Q3977" s="50" t="s">
        <v>37</v>
      </c>
      <c r="R3977" s="36" t="s">
        <v>14007</v>
      </c>
      <c r="S3977" s="36"/>
      <c r="T3977" s="35" t="str">
        <f>HYPERLINK("https://miland.ru/api/getInfo/image/ebe7c490-57f3-11f0-a27f-00155d82e908")</f>
        <v>https://miland.ru/api/getInfo/image/ebe7c490-57f3-11f0-a27f-00155d82e908</v>
      </c>
      <c r="U3977" s="35"/>
      <c r="V3977" s="35" t="s">
        <v>6525</v>
      </c>
      <c r="W3977" s="35" t="s">
        <v>378</v>
      </c>
      <c r="X3977" s="35"/>
      <c r="Y3977" s="35" t="s">
        <v>41</v>
      </c>
      <c r="Z3977" s="35"/>
      <c r="AA3977" s="35" t="str">
        <f>HYPERLINK("https://miland.ru/api/getInfo/item/ebe7c490-57f3-11f0-a27f-00155d82e908")</f>
        <v>https://miland.ru/api/getInfo/item/ebe7c490-57f3-11f0-a27f-00155d82e908</v>
      </c>
      <c r="AB3977" s="35" t="s">
        <v>42</v>
      </c>
      <c r="AC3977" s="35"/>
      <c r="AD3977" s="35"/>
      <c r="AE3977" s="52" t="s">
        <v>1251</v>
      </c>
    </row>
    <row r="3978" spans="2:31" s="1" customFormat="1" ht="96.3" customHeight="1" outlineLevel="6">
      <c r="B3978" s="59">
        <v>3148</v>
      </c>
      <c r="C3978" s="35" t="s">
        <v>14008</v>
      </c>
      <c r="D3978" s="73" t="s">
        <v>14009</v>
      </c>
      <c r="E3978" s="73"/>
      <c r="F3978" s="73"/>
      <c r="G3978" s="73"/>
      <c r="H3978" s="36" t="s">
        <v>14010</v>
      </c>
      <c r="I3978" s="56" t="s">
        <v>36</v>
      </c>
      <c r="J3978" s="36"/>
      <c r="K3978" s="34">
        <v>12</v>
      </c>
      <c r="L3978" s="41">
        <v>45.44</v>
      </c>
      <c r="M3978" s="11"/>
      <c r="N3978" s="36">
        <f t="shared" si="197"/>
        <v>0</v>
      </c>
      <c r="O3978" s="47">
        <f>0.06*M3978</f>
        <v>0</v>
      </c>
      <c r="P3978" s="43">
        <f>0.00041*M3978</f>
        <v>0</v>
      </c>
      <c r="Q3978" s="50" t="s">
        <v>37</v>
      </c>
      <c r="R3978" s="36" t="s">
        <v>14011</v>
      </c>
      <c r="S3978" s="36"/>
      <c r="T3978" s="35" t="str">
        <f>HYPERLINK("https://miland.ru/api/getInfo/image/a738629d-5803-11f0-a27f-00155d82e908")</f>
        <v>https://miland.ru/api/getInfo/image/a738629d-5803-11f0-a27f-00155d82e908</v>
      </c>
      <c r="U3978" s="35"/>
      <c r="V3978" s="35" t="s">
        <v>6525</v>
      </c>
      <c r="W3978" s="35" t="s">
        <v>378</v>
      </c>
      <c r="X3978" s="35"/>
      <c r="Y3978" s="35" t="s">
        <v>41</v>
      </c>
      <c r="Z3978" s="35"/>
      <c r="AA3978" s="35" t="str">
        <f>HYPERLINK("https://miland.ru/api/getInfo/item/a738629d-5803-11f0-a27f-00155d82e908")</f>
        <v>https://miland.ru/api/getInfo/item/a738629d-5803-11f0-a27f-00155d82e908</v>
      </c>
      <c r="AB3978" s="35" t="s">
        <v>42</v>
      </c>
      <c r="AC3978" s="35"/>
      <c r="AD3978" s="35"/>
      <c r="AE3978" s="52" t="s">
        <v>1251</v>
      </c>
    </row>
    <row r="3979" spans="2:31" s="1" customFormat="1" ht="96.3" customHeight="1" outlineLevel="6">
      <c r="B3979" s="59">
        <v>3149</v>
      </c>
      <c r="C3979" s="35" t="s">
        <v>14012</v>
      </c>
      <c r="D3979" s="73" t="s">
        <v>14013</v>
      </c>
      <c r="E3979" s="73"/>
      <c r="F3979" s="73"/>
      <c r="G3979" s="73"/>
      <c r="H3979" s="36" t="s">
        <v>14014</v>
      </c>
      <c r="I3979" s="56" t="s">
        <v>36</v>
      </c>
      <c r="J3979" s="36"/>
      <c r="K3979" s="34">
        <v>12</v>
      </c>
      <c r="L3979" s="41">
        <v>45.44</v>
      </c>
      <c r="M3979" s="11"/>
      <c r="N3979" s="36">
        <f t="shared" si="197"/>
        <v>0</v>
      </c>
      <c r="O3979" s="47">
        <f>0.05*M3979</f>
        <v>0</v>
      </c>
      <c r="P3979" s="55">
        <f>0.0002*M3979</f>
        <v>0</v>
      </c>
      <c r="Q3979" s="50" t="s">
        <v>37</v>
      </c>
      <c r="R3979" s="36" t="s">
        <v>14015</v>
      </c>
      <c r="S3979" s="36"/>
      <c r="T3979" s="35" t="str">
        <f>HYPERLINK("https://miland.ru/api/getInfo/image/f439a53c-5804-11f0-a27f-00155d82e908")</f>
        <v>https://miland.ru/api/getInfo/image/f439a53c-5804-11f0-a27f-00155d82e908</v>
      </c>
      <c r="U3979" s="35"/>
      <c r="V3979" s="35" t="s">
        <v>6525</v>
      </c>
      <c r="W3979" s="35" t="s">
        <v>378</v>
      </c>
      <c r="X3979" s="35"/>
      <c r="Y3979" s="35" t="s">
        <v>41</v>
      </c>
      <c r="Z3979" s="35"/>
      <c r="AA3979" s="35" t="str">
        <f>HYPERLINK("https://miland.ru/api/getInfo/item/f439a53c-5804-11f0-a27f-00155d82e908")</f>
        <v>https://miland.ru/api/getInfo/item/f439a53c-5804-11f0-a27f-00155d82e908</v>
      </c>
      <c r="AB3979" s="35" t="s">
        <v>42</v>
      </c>
      <c r="AC3979" s="35"/>
      <c r="AD3979" s="35"/>
      <c r="AE3979" s="52" t="s">
        <v>1251</v>
      </c>
    </row>
    <row r="3980" spans="2:31" s="1" customFormat="1" ht="96.3" customHeight="1" outlineLevel="6">
      <c r="B3980" s="59">
        <v>3150</v>
      </c>
      <c r="C3980" s="35" t="s">
        <v>14016</v>
      </c>
      <c r="D3980" s="73" t="s">
        <v>14017</v>
      </c>
      <c r="E3980" s="73"/>
      <c r="F3980" s="73"/>
      <c r="G3980" s="73"/>
      <c r="H3980" s="36" t="s">
        <v>14018</v>
      </c>
      <c r="I3980" s="56" t="s">
        <v>36</v>
      </c>
      <c r="J3980" s="36"/>
      <c r="K3980" s="34">
        <v>12</v>
      </c>
      <c r="L3980" s="41">
        <v>45.44</v>
      </c>
      <c r="M3980" s="11"/>
      <c r="N3980" s="36">
        <f t="shared" si="197"/>
        <v>0</v>
      </c>
      <c r="O3980" s="47">
        <f>0.05*M3980</f>
        <v>0</v>
      </c>
      <c r="P3980" s="43">
        <f>0.00027*M3980</f>
        <v>0</v>
      </c>
      <c r="Q3980" s="50" t="s">
        <v>37</v>
      </c>
      <c r="R3980" s="36" t="s">
        <v>14019</v>
      </c>
      <c r="S3980" s="36"/>
      <c r="T3980" s="35" t="str">
        <f>HYPERLINK("https://miland.ru/api/getInfo/image/3497b85d-5806-11f0-a27f-00155d82e908")</f>
        <v>https://miland.ru/api/getInfo/image/3497b85d-5806-11f0-a27f-00155d82e908</v>
      </c>
      <c r="U3980" s="35"/>
      <c r="V3980" s="35" t="s">
        <v>6525</v>
      </c>
      <c r="W3980" s="35" t="s">
        <v>378</v>
      </c>
      <c r="X3980" s="35"/>
      <c r="Y3980" s="35" t="s">
        <v>41</v>
      </c>
      <c r="Z3980" s="35"/>
      <c r="AA3980" s="35" t="str">
        <f>HYPERLINK("https://miland.ru/api/getInfo/item/3497b85d-5806-11f0-a27f-00155d82e908")</f>
        <v>https://miland.ru/api/getInfo/item/3497b85d-5806-11f0-a27f-00155d82e908</v>
      </c>
      <c r="AB3980" s="35" t="s">
        <v>42</v>
      </c>
      <c r="AC3980" s="35"/>
      <c r="AD3980" s="35"/>
      <c r="AE3980" s="52" t="s">
        <v>1251</v>
      </c>
    </row>
    <row r="3981" spans="2:31" s="1" customFormat="1" ht="96.3" customHeight="1" outlineLevel="6">
      <c r="B3981" s="59">
        <v>3151</v>
      </c>
      <c r="C3981" s="35" t="s">
        <v>14020</v>
      </c>
      <c r="D3981" s="73" t="s">
        <v>14021</v>
      </c>
      <c r="E3981" s="73"/>
      <c r="F3981" s="73"/>
      <c r="G3981" s="73"/>
      <c r="H3981" s="36" t="s">
        <v>14022</v>
      </c>
      <c r="I3981" s="56" t="s">
        <v>36</v>
      </c>
      <c r="J3981" s="36"/>
      <c r="K3981" s="34">
        <v>12</v>
      </c>
      <c r="L3981" s="41">
        <v>45.44</v>
      </c>
      <c r="M3981" s="11"/>
      <c r="N3981" s="36">
        <f t="shared" si="197"/>
        <v>0</v>
      </c>
      <c r="O3981" s="42">
        <f>0.049*M3981</f>
        <v>0</v>
      </c>
      <c r="P3981" s="43">
        <f>0.00027*M3981</f>
        <v>0</v>
      </c>
      <c r="Q3981" s="50" t="s">
        <v>37</v>
      </c>
      <c r="R3981" s="36" t="s">
        <v>14023</v>
      </c>
      <c r="S3981" s="36"/>
      <c r="T3981" s="35" t="str">
        <f>HYPERLINK("https://miland.ru/api/getInfo/image/d757c0b0-57f1-11f0-a27f-00155d82e908")</f>
        <v>https://miland.ru/api/getInfo/image/d757c0b0-57f1-11f0-a27f-00155d82e908</v>
      </c>
      <c r="U3981" s="35"/>
      <c r="V3981" s="35" t="s">
        <v>6525</v>
      </c>
      <c r="W3981" s="35" t="s">
        <v>378</v>
      </c>
      <c r="X3981" s="35"/>
      <c r="Y3981" s="35" t="s">
        <v>41</v>
      </c>
      <c r="Z3981" s="35"/>
      <c r="AA3981" s="35" t="str">
        <f>HYPERLINK("https://miland.ru/api/getInfo/item/d757c0b0-57f1-11f0-a27f-00155d82e908")</f>
        <v>https://miland.ru/api/getInfo/item/d757c0b0-57f1-11f0-a27f-00155d82e908</v>
      </c>
      <c r="AB3981" s="35" t="s">
        <v>42</v>
      </c>
      <c r="AC3981" s="35"/>
      <c r="AD3981" s="35"/>
      <c r="AE3981" s="52" t="s">
        <v>1251</v>
      </c>
    </row>
    <row r="3982" spans="2:31" s="1" customFormat="1" ht="96.3" customHeight="1" outlineLevel="6">
      <c r="B3982" s="59">
        <v>3152</v>
      </c>
      <c r="C3982" s="35" t="s">
        <v>14024</v>
      </c>
      <c r="D3982" s="73" t="s">
        <v>14025</v>
      </c>
      <c r="E3982" s="73"/>
      <c r="F3982" s="73"/>
      <c r="G3982" s="73"/>
      <c r="H3982" s="36" t="s">
        <v>14026</v>
      </c>
      <c r="I3982" s="56" t="s">
        <v>36</v>
      </c>
      <c r="J3982" s="36"/>
      <c r="K3982" s="34">
        <v>12</v>
      </c>
      <c r="L3982" s="41">
        <v>45.44</v>
      </c>
      <c r="M3982" s="11"/>
      <c r="N3982" s="36">
        <f t="shared" si="197"/>
        <v>0</v>
      </c>
      <c r="O3982" s="47">
        <f>0.05*M3982</f>
        <v>0</v>
      </c>
      <c r="P3982" s="55">
        <f>0.0002*M3982</f>
        <v>0</v>
      </c>
      <c r="Q3982" s="50" t="s">
        <v>37</v>
      </c>
      <c r="R3982" s="36" t="s">
        <v>14027</v>
      </c>
      <c r="S3982" s="36"/>
      <c r="T3982" s="35" t="str">
        <f>HYPERLINK("https://miland.ru/api/getInfo/image/06df5382-5800-11f0-a27f-00155d82e908")</f>
        <v>https://miland.ru/api/getInfo/image/06df5382-5800-11f0-a27f-00155d82e908</v>
      </c>
      <c r="U3982" s="35"/>
      <c r="V3982" s="35" t="s">
        <v>6525</v>
      </c>
      <c r="W3982" s="35" t="s">
        <v>378</v>
      </c>
      <c r="X3982" s="35"/>
      <c r="Y3982" s="35" t="s">
        <v>41</v>
      </c>
      <c r="Z3982" s="35"/>
      <c r="AA3982" s="35" t="str">
        <f>HYPERLINK("https://miland.ru/api/getInfo/item/06df5382-5800-11f0-a27f-00155d82e908")</f>
        <v>https://miland.ru/api/getInfo/item/06df5382-5800-11f0-a27f-00155d82e908</v>
      </c>
      <c r="AB3982" s="35" t="s">
        <v>42</v>
      </c>
      <c r="AC3982" s="35"/>
      <c r="AD3982" s="35"/>
      <c r="AE3982" s="52" t="s">
        <v>1251</v>
      </c>
    </row>
    <row r="3983" spans="2:31" s="1" customFormat="1" ht="96.3" customHeight="1" outlineLevel="6">
      <c r="B3983" s="59">
        <v>3153</v>
      </c>
      <c r="C3983" s="35" t="s">
        <v>14028</v>
      </c>
      <c r="D3983" s="73" t="s">
        <v>14029</v>
      </c>
      <c r="E3983" s="73"/>
      <c r="F3983" s="73"/>
      <c r="G3983" s="73"/>
      <c r="H3983" s="36" t="s">
        <v>14030</v>
      </c>
      <c r="I3983" s="56" t="s">
        <v>36</v>
      </c>
      <c r="J3983" s="36"/>
      <c r="K3983" s="34">
        <v>12</v>
      </c>
      <c r="L3983" s="41">
        <v>45.44</v>
      </c>
      <c r="M3983" s="11"/>
      <c r="N3983" s="36">
        <f t="shared" si="197"/>
        <v>0</v>
      </c>
      <c r="O3983" s="47">
        <f>0.05*M3983</f>
        <v>0</v>
      </c>
      <c r="P3983" s="43">
        <f>0.00027*M3983</f>
        <v>0</v>
      </c>
      <c r="Q3983" s="50" t="s">
        <v>37</v>
      </c>
      <c r="R3983" s="36" t="s">
        <v>14031</v>
      </c>
      <c r="S3983" s="36"/>
      <c r="T3983" s="35" t="str">
        <f>HYPERLINK("https://miland.ru/api/getInfo/image/f440a8fd-5803-11f0-a27f-00155d82e908")</f>
        <v>https://miland.ru/api/getInfo/image/f440a8fd-5803-11f0-a27f-00155d82e908</v>
      </c>
      <c r="U3983" s="35"/>
      <c r="V3983" s="35" t="s">
        <v>6525</v>
      </c>
      <c r="W3983" s="35" t="s">
        <v>378</v>
      </c>
      <c r="X3983" s="35"/>
      <c r="Y3983" s="35" t="s">
        <v>41</v>
      </c>
      <c r="Z3983" s="35"/>
      <c r="AA3983" s="35" t="str">
        <f>HYPERLINK("https://miland.ru/api/getInfo/item/f440a8fd-5803-11f0-a27f-00155d82e908")</f>
        <v>https://miland.ru/api/getInfo/item/f440a8fd-5803-11f0-a27f-00155d82e908</v>
      </c>
      <c r="AB3983" s="35" t="s">
        <v>42</v>
      </c>
      <c r="AC3983" s="35"/>
      <c r="AD3983" s="35"/>
      <c r="AE3983" s="52" t="s">
        <v>1251</v>
      </c>
    </row>
    <row r="3984" spans="2:31" s="1" customFormat="1" ht="96.3" customHeight="1" outlineLevel="6">
      <c r="B3984" s="59">
        <v>3154</v>
      </c>
      <c r="C3984" s="35" t="s">
        <v>14032</v>
      </c>
      <c r="D3984" s="73" t="s">
        <v>14033</v>
      </c>
      <c r="E3984" s="73"/>
      <c r="F3984" s="73"/>
      <c r="G3984" s="73"/>
      <c r="H3984" s="36" t="s">
        <v>14034</v>
      </c>
      <c r="I3984" s="56" t="s">
        <v>36</v>
      </c>
      <c r="J3984" s="36"/>
      <c r="K3984" s="34">
        <v>12</v>
      </c>
      <c r="L3984" s="41">
        <v>45.44</v>
      </c>
      <c r="M3984" s="11"/>
      <c r="N3984" s="36">
        <f t="shared" si="197"/>
        <v>0</v>
      </c>
      <c r="O3984" s="42">
        <f>0.595*M3984</f>
        <v>0</v>
      </c>
      <c r="P3984" s="43">
        <f>0.00363*M3984</f>
        <v>0</v>
      </c>
      <c r="Q3984" s="50" t="s">
        <v>37</v>
      </c>
      <c r="R3984" s="36" t="s">
        <v>14035</v>
      </c>
      <c r="S3984" s="36"/>
      <c r="T3984" s="35" t="str">
        <f>HYPERLINK("https://miland.ru/api/getInfo/image/c0a00018-5802-11f0-a27f-00155d82e908")</f>
        <v>https://miland.ru/api/getInfo/image/c0a00018-5802-11f0-a27f-00155d82e908</v>
      </c>
      <c r="U3984" s="35"/>
      <c r="V3984" s="35" t="s">
        <v>6525</v>
      </c>
      <c r="W3984" s="35" t="s">
        <v>378</v>
      </c>
      <c r="X3984" s="35"/>
      <c r="Y3984" s="35" t="s">
        <v>41</v>
      </c>
      <c r="Z3984" s="35"/>
      <c r="AA3984" s="35" t="str">
        <f>HYPERLINK("https://miland.ru/api/getInfo/item/c0a00018-5802-11f0-a27f-00155d82e908")</f>
        <v>https://miland.ru/api/getInfo/item/c0a00018-5802-11f0-a27f-00155d82e908</v>
      </c>
      <c r="AB3984" s="35" t="s">
        <v>42</v>
      </c>
      <c r="AC3984" s="35"/>
      <c r="AD3984" s="35"/>
      <c r="AE3984" s="52" t="s">
        <v>1251</v>
      </c>
    </row>
    <row r="3985" spans="2:31" s="1" customFormat="1" ht="96.3" customHeight="1" outlineLevel="6">
      <c r="B3985" s="59">
        <v>3155</v>
      </c>
      <c r="C3985" s="35" t="s">
        <v>14036</v>
      </c>
      <c r="D3985" s="73" t="s">
        <v>14037</v>
      </c>
      <c r="E3985" s="73"/>
      <c r="F3985" s="73"/>
      <c r="G3985" s="73"/>
      <c r="H3985" s="36" t="s">
        <v>14038</v>
      </c>
      <c r="I3985" s="56" t="s">
        <v>36</v>
      </c>
      <c r="J3985" s="36"/>
      <c r="K3985" s="34">
        <v>12</v>
      </c>
      <c r="L3985" s="41">
        <v>45.44</v>
      </c>
      <c r="M3985" s="11"/>
      <c r="N3985" s="36">
        <f t="shared" si="197"/>
        <v>0</v>
      </c>
      <c r="O3985" s="47">
        <f>0.05*M3985</f>
        <v>0</v>
      </c>
      <c r="P3985" s="43">
        <f>0.00027*M3985</f>
        <v>0</v>
      </c>
      <c r="Q3985" s="50" t="s">
        <v>37</v>
      </c>
      <c r="R3985" s="36" t="s">
        <v>14039</v>
      </c>
      <c r="S3985" s="36"/>
      <c r="T3985" s="35" t="str">
        <f>HYPERLINK("https://miland.ru/api/getInfo/image/e8c69258-5805-11f0-a27f-00155d82e908")</f>
        <v>https://miland.ru/api/getInfo/image/e8c69258-5805-11f0-a27f-00155d82e908</v>
      </c>
      <c r="U3985" s="35"/>
      <c r="V3985" s="35" t="s">
        <v>6525</v>
      </c>
      <c r="W3985" s="35" t="s">
        <v>378</v>
      </c>
      <c r="X3985" s="35"/>
      <c r="Y3985" s="35" t="s">
        <v>41</v>
      </c>
      <c r="Z3985" s="35"/>
      <c r="AA3985" s="35" t="str">
        <f>HYPERLINK("https://miland.ru/api/getInfo/item/e8c69258-5805-11f0-a27f-00155d82e908")</f>
        <v>https://miland.ru/api/getInfo/item/e8c69258-5805-11f0-a27f-00155d82e908</v>
      </c>
      <c r="AB3985" s="35" t="s">
        <v>42</v>
      </c>
      <c r="AC3985" s="35"/>
      <c r="AD3985" s="35"/>
      <c r="AE3985" s="52" t="s">
        <v>1251</v>
      </c>
    </row>
    <row r="3986" spans="2:31" s="1" customFormat="1" ht="96.3" customHeight="1" outlineLevel="6">
      <c r="B3986" s="59">
        <v>3156</v>
      </c>
      <c r="C3986" s="35" t="s">
        <v>14040</v>
      </c>
      <c r="D3986" s="73" t="s">
        <v>14041</v>
      </c>
      <c r="E3986" s="73"/>
      <c r="F3986" s="73"/>
      <c r="G3986" s="73"/>
      <c r="H3986" s="36" t="s">
        <v>14042</v>
      </c>
      <c r="I3986" s="56" t="s">
        <v>36</v>
      </c>
      <c r="J3986" s="36"/>
      <c r="K3986" s="34">
        <v>12</v>
      </c>
      <c r="L3986" s="41">
        <v>45.44</v>
      </c>
      <c r="M3986" s="11"/>
      <c r="N3986" s="36">
        <f t="shared" si="197"/>
        <v>0</v>
      </c>
      <c r="O3986" s="42">
        <f>0.058*M3986</f>
        <v>0</v>
      </c>
      <c r="P3986" s="43">
        <f>0.00027*M3986</f>
        <v>0</v>
      </c>
      <c r="Q3986" s="50"/>
      <c r="R3986" s="36" t="s">
        <v>14043</v>
      </c>
      <c r="S3986" s="36"/>
      <c r="T3986" s="35" t="str">
        <f>HYPERLINK("https://miland.ru/api/getInfo/image/ef1200cd-5800-11f0-a27f-00155d82e908")</f>
        <v>https://miland.ru/api/getInfo/image/ef1200cd-5800-11f0-a27f-00155d82e908</v>
      </c>
      <c r="U3986" s="35"/>
      <c r="V3986" s="35" t="s">
        <v>6525</v>
      </c>
      <c r="W3986" s="35" t="s">
        <v>378</v>
      </c>
      <c r="X3986" s="35"/>
      <c r="Y3986" s="35" t="s">
        <v>41</v>
      </c>
      <c r="Z3986" s="35"/>
      <c r="AA3986" s="35" t="str">
        <f>HYPERLINK("https://miland.ru/api/getInfo/item/ef1200cd-5800-11f0-a27f-00155d82e908")</f>
        <v>https://miland.ru/api/getInfo/item/ef1200cd-5800-11f0-a27f-00155d82e908</v>
      </c>
      <c r="AB3986" s="35" t="s">
        <v>42</v>
      </c>
      <c r="AC3986" s="35"/>
      <c r="AD3986" s="35"/>
      <c r="AE3986" s="52" t="s">
        <v>1251</v>
      </c>
    </row>
    <row r="3987" spans="2:31" s="1" customFormat="1" ht="96.3" customHeight="1" outlineLevel="6">
      <c r="B3987" s="59">
        <v>3157</v>
      </c>
      <c r="C3987" s="35" t="s">
        <v>14044</v>
      </c>
      <c r="D3987" s="73" t="s">
        <v>14045</v>
      </c>
      <c r="E3987" s="73"/>
      <c r="F3987" s="73"/>
      <c r="G3987" s="73"/>
      <c r="H3987" s="36" t="s">
        <v>14046</v>
      </c>
      <c r="I3987" s="56" t="s">
        <v>36</v>
      </c>
      <c r="J3987" s="36"/>
      <c r="K3987" s="34">
        <v>12</v>
      </c>
      <c r="L3987" s="41">
        <v>45.44</v>
      </c>
      <c r="M3987" s="11"/>
      <c r="N3987" s="36">
        <f t="shared" si="197"/>
        <v>0</v>
      </c>
      <c r="O3987" s="47">
        <f>0.06*M3987</f>
        <v>0</v>
      </c>
      <c r="P3987" s="43">
        <f>0.00041*M3987</f>
        <v>0</v>
      </c>
      <c r="Q3987" s="50" t="s">
        <v>37</v>
      </c>
      <c r="R3987" s="36" t="s">
        <v>14047</v>
      </c>
      <c r="S3987" s="36"/>
      <c r="T3987" s="35" t="str">
        <f>HYPERLINK("https://miland.ru/api/getInfo/image/469eb699-5800-11f0-a27f-00155d82e908")</f>
        <v>https://miland.ru/api/getInfo/image/469eb699-5800-11f0-a27f-00155d82e908</v>
      </c>
      <c r="U3987" s="35"/>
      <c r="V3987" s="35" t="s">
        <v>6525</v>
      </c>
      <c r="W3987" s="35" t="s">
        <v>378</v>
      </c>
      <c r="X3987" s="35"/>
      <c r="Y3987" s="35" t="s">
        <v>41</v>
      </c>
      <c r="Z3987" s="35"/>
      <c r="AA3987" s="35" t="str">
        <f>HYPERLINK("https://miland.ru/api/getInfo/item/469eb699-5800-11f0-a27f-00155d82e908")</f>
        <v>https://miland.ru/api/getInfo/item/469eb699-5800-11f0-a27f-00155d82e908</v>
      </c>
      <c r="AB3987" s="35" t="s">
        <v>42</v>
      </c>
      <c r="AC3987" s="35"/>
      <c r="AD3987" s="35"/>
      <c r="AE3987" s="52" t="s">
        <v>1251</v>
      </c>
    </row>
    <row r="3988" spans="2:31" s="1" customFormat="1" ht="96.3" customHeight="1" outlineLevel="6">
      <c r="B3988" s="59">
        <v>3158</v>
      </c>
      <c r="C3988" s="35" t="s">
        <v>14048</v>
      </c>
      <c r="D3988" s="73" t="s">
        <v>14049</v>
      </c>
      <c r="E3988" s="73"/>
      <c r="F3988" s="73"/>
      <c r="G3988" s="73"/>
      <c r="H3988" s="36" t="s">
        <v>14050</v>
      </c>
      <c r="I3988" s="56" t="s">
        <v>36</v>
      </c>
      <c r="J3988" s="36"/>
      <c r="K3988" s="34">
        <v>12</v>
      </c>
      <c r="L3988" s="41">
        <v>45.44</v>
      </c>
      <c r="M3988" s="11"/>
      <c r="N3988" s="36">
        <f t="shared" si="197"/>
        <v>0</v>
      </c>
      <c r="O3988" s="47">
        <f>0.05*M3988</f>
        <v>0</v>
      </c>
      <c r="P3988" s="55">
        <f>0.0002*M3988</f>
        <v>0</v>
      </c>
      <c r="Q3988" s="50" t="s">
        <v>37</v>
      </c>
      <c r="R3988" s="36" t="s">
        <v>14051</v>
      </c>
      <c r="S3988" s="36"/>
      <c r="T3988" s="35" t="str">
        <f>HYPERLINK("https://miland.ru/api/getInfo/image/6aeeccea-57f3-11f0-a27f-00155d82e908")</f>
        <v>https://miland.ru/api/getInfo/image/6aeeccea-57f3-11f0-a27f-00155d82e908</v>
      </c>
      <c r="U3988" s="35"/>
      <c r="V3988" s="35" t="s">
        <v>6525</v>
      </c>
      <c r="W3988" s="35" t="s">
        <v>378</v>
      </c>
      <c r="X3988" s="35"/>
      <c r="Y3988" s="35" t="s">
        <v>41</v>
      </c>
      <c r="Z3988" s="35"/>
      <c r="AA3988" s="35" t="str">
        <f>HYPERLINK("https://miland.ru/api/getInfo/item/6aeeccea-57f3-11f0-a27f-00155d82e908")</f>
        <v>https://miland.ru/api/getInfo/item/6aeeccea-57f3-11f0-a27f-00155d82e908</v>
      </c>
      <c r="AB3988" s="35" t="s">
        <v>42</v>
      </c>
      <c r="AC3988" s="35"/>
      <c r="AD3988" s="35"/>
      <c r="AE3988" s="52" t="s">
        <v>1251</v>
      </c>
    </row>
    <row r="3989" spans="2:31" s="1" customFormat="1" ht="96.3" customHeight="1" outlineLevel="6">
      <c r="B3989" s="59">
        <v>3159</v>
      </c>
      <c r="C3989" s="35" t="s">
        <v>14052</v>
      </c>
      <c r="D3989" s="73" t="s">
        <v>14053</v>
      </c>
      <c r="E3989" s="73"/>
      <c r="F3989" s="73"/>
      <c r="G3989" s="73"/>
      <c r="H3989" s="36" t="s">
        <v>14054</v>
      </c>
      <c r="I3989" s="56" t="s">
        <v>36</v>
      </c>
      <c r="J3989" s="36"/>
      <c r="K3989" s="34">
        <v>12</v>
      </c>
      <c r="L3989" s="41">
        <v>45.44</v>
      </c>
      <c r="M3989" s="11"/>
      <c r="N3989" s="36">
        <f t="shared" si="197"/>
        <v>0</v>
      </c>
      <c r="O3989" s="42">
        <f>0.055*M3989</f>
        <v>0</v>
      </c>
      <c r="P3989" s="43">
        <f>0.00041*M3989</f>
        <v>0</v>
      </c>
      <c r="Q3989" s="50" t="s">
        <v>37</v>
      </c>
      <c r="R3989" s="36" t="s">
        <v>14055</v>
      </c>
      <c r="S3989" s="36"/>
      <c r="T3989" s="35" t="str">
        <f>HYPERLINK("https://miland.ru/api/getInfo/image/00bceafa-5803-11f0-a27f-00155d82e908")</f>
        <v>https://miland.ru/api/getInfo/image/00bceafa-5803-11f0-a27f-00155d82e908</v>
      </c>
      <c r="U3989" s="35"/>
      <c r="V3989" s="35" t="s">
        <v>6525</v>
      </c>
      <c r="W3989" s="35" t="s">
        <v>378</v>
      </c>
      <c r="X3989" s="35"/>
      <c r="Y3989" s="35" t="s">
        <v>41</v>
      </c>
      <c r="Z3989" s="35"/>
      <c r="AA3989" s="35" t="str">
        <f>HYPERLINK("https://miland.ru/api/getInfo/item/00bceafa-5803-11f0-a27f-00155d82e908")</f>
        <v>https://miland.ru/api/getInfo/item/00bceafa-5803-11f0-a27f-00155d82e908</v>
      </c>
      <c r="AB3989" s="35" t="s">
        <v>42</v>
      </c>
      <c r="AC3989" s="35"/>
      <c r="AD3989" s="35"/>
      <c r="AE3989" s="52" t="s">
        <v>1251</v>
      </c>
    </row>
    <row r="3990" spans="2:31" s="1" customFormat="1" ht="96.3" customHeight="1" outlineLevel="6">
      <c r="B3990" s="59">
        <v>3160</v>
      </c>
      <c r="C3990" s="35" t="s">
        <v>14056</v>
      </c>
      <c r="D3990" s="73" t="s">
        <v>14057</v>
      </c>
      <c r="E3990" s="73"/>
      <c r="F3990" s="73"/>
      <c r="G3990" s="73"/>
      <c r="H3990" s="36" t="s">
        <v>14058</v>
      </c>
      <c r="I3990" s="56" t="s">
        <v>36</v>
      </c>
      <c r="J3990" s="36"/>
      <c r="K3990" s="34">
        <v>12</v>
      </c>
      <c r="L3990" s="41">
        <v>45.44</v>
      </c>
      <c r="M3990" s="11"/>
      <c r="N3990" s="36">
        <f t="shared" si="197"/>
        <v>0</v>
      </c>
      <c r="O3990" s="42">
        <f>0.055*M3990</f>
        <v>0</v>
      </c>
      <c r="P3990" s="55">
        <f>0.0002*M3990</f>
        <v>0</v>
      </c>
      <c r="Q3990" s="50" t="s">
        <v>37</v>
      </c>
      <c r="R3990" s="36" t="s">
        <v>14059</v>
      </c>
      <c r="S3990" s="36"/>
      <c r="T3990" s="35" t="str">
        <f>HYPERLINK("https://miland.ru/api/getInfo/image/d58cee82-5801-11f0-a27f-00155d82e908")</f>
        <v>https://miland.ru/api/getInfo/image/d58cee82-5801-11f0-a27f-00155d82e908</v>
      </c>
      <c r="U3990" s="35"/>
      <c r="V3990" s="35" t="s">
        <v>6525</v>
      </c>
      <c r="W3990" s="35" t="s">
        <v>378</v>
      </c>
      <c r="X3990" s="35"/>
      <c r="Y3990" s="35" t="s">
        <v>41</v>
      </c>
      <c r="Z3990" s="35"/>
      <c r="AA3990" s="35" t="str">
        <f>HYPERLINK("https://miland.ru/api/getInfo/item/d58cee82-5801-11f0-a27f-00155d82e908")</f>
        <v>https://miland.ru/api/getInfo/item/d58cee82-5801-11f0-a27f-00155d82e908</v>
      </c>
      <c r="AB3990" s="35" t="s">
        <v>42</v>
      </c>
      <c r="AC3990" s="35"/>
      <c r="AD3990" s="35"/>
      <c r="AE3990" s="52" t="s">
        <v>1251</v>
      </c>
    </row>
    <row r="3991" spans="2:31" s="1" customFormat="1" ht="96.3" customHeight="1" outlineLevel="6">
      <c r="B3991" s="59">
        <v>3161</v>
      </c>
      <c r="C3991" s="35" t="s">
        <v>14060</v>
      </c>
      <c r="D3991" s="73" t="s">
        <v>14061</v>
      </c>
      <c r="E3991" s="73"/>
      <c r="F3991" s="73"/>
      <c r="G3991" s="73"/>
      <c r="H3991" s="36" t="s">
        <v>14062</v>
      </c>
      <c r="I3991" s="56" t="s">
        <v>36</v>
      </c>
      <c r="J3991" s="36"/>
      <c r="K3991" s="34">
        <v>12</v>
      </c>
      <c r="L3991" s="41">
        <v>45.44</v>
      </c>
      <c r="M3991" s="11"/>
      <c r="N3991" s="36">
        <f t="shared" si="197"/>
        <v>0</v>
      </c>
      <c r="O3991" s="42">
        <f>0.057*M3991</f>
        <v>0</v>
      </c>
      <c r="P3991" s="43">
        <f>0.00021*M3991</f>
        <v>0</v>
      </c>
      <c r="Q3991" s="50"/>
      <c r="R3991" s="36" t="s">
        <v>14063</v>
      </c>
      <c r="S3991" s="36"/>
      <c r="T3991" s="35" t="str">
        <f>HYPERLINK("https://miland.ru/api/getInfo/image/4e6da7de-5803-11f0-a27f-00155d82e908")</f>
        <v>https://miland.ru/api/getInfo/image/4e6da7de-5803-11f0-a27f-00155d82e908</v>
      </c>
      <c r="U3991" s="35"/>
      <c r="V3991" s="35" t="s">
        <v>6525</v>
      </c>
      <c r="W3991" s="35" t="s">
        <v>378</v>
      </c>
      <c r="X3991" s="35"/>
      <c r="Y3991" s="35" t="s">
        <v>41</v>
      </c>
      <c r="Z3991" s="35"/>
      <c r="AA3991" s="35" t="str">
        <f>HYPERLINK("https://miland.ru/api/getInfo/item/4e6da7de-5803-11f0-a27f-00155d82e908")</f>
        <v>https://miland.ru/api/getInfo/item/4e6da7de-5803-11f0-a27f-00155d82e908</v>
      </c>
      <c r="AB3991" s="35" t="s">
        <v>42</v>
      </c>
      <c r="AC3991" s="35"/>
      <c r="AD3991" s="35"/>
      <c r="AE3991" s="52" t="s">
        <v>1251</v>
      </c>
    </row>
    <row r="3992" spans="2:31" s="1" customFormat="1" ht="96.3" customHeight="1" outlineLevel="6">
      <c r="B3992" s="59">
        <v>3162</v>
      </c>
      <c r="C3992" s="35" t="s">
        <v>14064</v>
      </c>
      <c r="D3992" s="73" t="s">
        <v>14065</v>
      </c>
      <c r="E3992" s="73"/>
      <c r="F3992" s="73"/>
      <c r="G3992" s="73"/>
      <c r="H3992" s="36" t="s">
        <v>14066</v>
      </c>
      <c r="I3992" s="56" t="s">
        <v>36</v>
      </c>
      <c r="J3992" s="36"/>
      <c r="K3992" s="34">
        <v>12</v>
      </c>
      <c r="L3992" s="41">
        <v>45.44</v>
      </c>
      <c r="M3992" s="11"/>
      <c r="N3992" s="36">
        <f t="shared" si="197"/>
        <v>0</v>
      </c>
      <c r="O3992" s="42">
        <f>0.055*M3992</f>
        <v>0</v>
      </c>
      <c r="P3992" s="43">
        <f>0.00041*M3992</f>
        <v>0</v>
      </c>
      <c r="Q3992" s="50" t="s">
        <v>37</v>
      </c>
      <c r="R3992" s="36" t="s">
        <v>14067</v>
      </c>
      <c r="S3992" s="36"/>
      <c r="T3992" s="35" t="str">
        <f>HYPERLINK("https://miland.ru/api/getInfo/image/0ae39e85-580a-11f0-a27f-00155d82e908")</f>
        <v>https://miland.ru/api/getInfo/image/0ae39e85-580a-11f0-a27f-00155d82e908</v>
      </c>
      <c r="U3992" s="35"/>
      <c r="V3992" s="35" t="s">
        <v>6525</v>
      </c>
      <c r="W3992" s="35" t="s">
        <v>378</v>
      </c>
      <c r="X3992" s="35"/>
      <c r="Y3992" s="35" t="s">
        <v>41</v>
      </c>
      <c r="Z3992" s="35"/>
      <c r="AA3992" s="35" t="str">
        <f>HYPERLINK("https://miland.ru/api/getInfo/item/0ae39e85-580a-11f0-a27f-00155d82e908")</f>
        <v>https://miland.ru/api/getInfo/item/0ae39e85-580a-11f0-a27f-00155d82e908</v>
      </c>
      <c r="AB3992" s="35" t="s">
        <v>42</v>
      </c>
      <c r="AC3992" s="35"/>
      <c r="AD3992" s="35"/>
      <c r="AE3992" s="52" t="s">
        <v>1251</v>
      </c>
    </row>
    <row r="3993" spans="2:31" s="1" customFormat="1" ht="96.3" customHeight="1" outlineLevel="6">
      <c r="B3993" s="59">
        <v>3163</v>
      </c>
      <c r="C3993" s="35" t="s">
        <v>14068</v>
      </c>
      <c r="D3993" s="73" t="s">
        <v>14069</v>
      </c>
      <c r="E3993" s="73"/>
      <c r="F3993" s="73"/>
      <c r="G3993" s="73"/>
      <c r="H3993" s="36" t="s">
        <v>14070</v>
      </c>
      <c r="I3993" s="56" t="s">
        <v>36</v>
      </c>
      <c r="J3993" s="36"/>
      <c r="K3993" s="34">
        <v>12</v>
      </c>
      <c r="L3993" s="41">
        <v>45.44</v>
      </c>
      <c r="M3993" s="11"/>
      <c r="N3993" s="36">
        <f t="shared" si="197"/>
        <v>0</v>
      </c>
      <c r="O3993" s="47">
        <f>0.06*M3993</f>
        <v>0</v>
      </c>
      <c r="P3993" s="43">
        <f>0.00041*M3993</f>
        <v>0</v>
      </c>
      <c r="Q3993" s="50" t="s">
        <v>37</v>
      </c>
      <c r="R3993" s="36" t="s">
        <v>14071</v>
      </c>
      <c r="S3993" s="36"/>
      <c r="T3993" s="35" t="str">
        <f>HYPERLINK("https://miland.ru/api/getInfo/image/f9f61f0e-57fe-11f0-a27f-00155d82e908")</f>
        <v>https://miland.ru/api/getInfo/image/f9f61f0e-57fe-11f0-a27f-00155d82e908</v>
      </c>
      <c r="U3993" s="35"/>
      <c r="V3993" s="35" t="s">
        <v>6525</v>
      </c>
      <c r="W3993" s="35" t="s">
        <v>378</v>
      </c>
      <c r="X3993" s="35"/>
      <c r="Y3993" s="35" t="s">
        <v>41</v>
      </c>
      <c r="Z3993" s="35"/>
      <c r="AA3993" s="35" t="str">
        <f>HYPERLINK("https://miland.ru/api/getInfo/item/f9f61f0e-57fe-11f0-a27f-00155d82e908")</f>
        <v>https://miland.ru/api/getInfo/item/f9f61f0e-57fe-11f0-a27f-00155d82e908</v>
      </c>
      <c r="AB3993" s="35" t="s">
        <v>42</v>
      </c>
      <c r="AC3993" s="35"/>
      <c r="AD3993" s="35"/>
      <c r="AE3993" s="52" t="s">
        <v>1251</v>
      </c>
    </row>
    <row r="3994" spans="2:31" s="1" customFormat="1" ht="96.3" customHeight="1" outlineLevel="6">
      <c r="B3994" s="59">
        <v>3164</v>
      </c>
      <c r="C3994" s="35" t="s">
        <v>14072</v>
      </c>
      <c r="D3994" s="73" t="s">
        <v>14073</v>
      </c>
      <c r="E3994" s="73"/>
      <c r="F3994" s="73"/>
      <c r="G3994" s="73"/>
      <c r="H3994" s="36" t="s">
        <v>14074</v>
      </c>
      <c r="I3994" s="56" t="s">
        <v>36</v>
      </c>
      <c r="J3994" s="36"/>
      <c r="K3994" s="34">
        <v>12</v>
      </c>
      <c r="L3994" s="41">
        <v>45.44</v>
      </c>
      <c r="M3994" s="11"/>
      <c r="N3994" s="36">
        <f t="shared" si="197"/>
        <v>0</v>
      </c>
      <c r="O3994" s="47">
        <f>0.05*M3994</f>
        <v>0</v>
      </c>
      <c r="P3994" s="55">
        <f>0.0002*M3994</f>
        <v>0</v>
      </c>
      <c r="Q3994" s="50" t="s">
        <v>37</v>
      </c>
      <c r="R3994" s="36" t="s">
        <v>14075</v>
      </c>
      <c r="S3994" s="36"/>
      <c r="T3994" s="35" t="str">
        <f>HYPERLINK("https://miland.ru/api/getInfo/image/ba2f3d96-57ff-11f0-a27f-00155d82e908")</f>
        <v>https://miland.ru/api/getInfo/image/ba2f3d96-57ff-11f0-a27f-00155d82e908</v>
      </c>
      <c r="U3994" s="35"/>
      <c r="V3994" s="35" t="s">
        <v>6525</v>
      </c>
      <c r="W3994" s="35" t="s">
        <v>378</v>
      </c>
      <c r="X3994" s="35"/>
      <c r="Y3994" s="35" t="s">
        <v>41</v>
      </c>
      <c r="Z3994" s="35"/>
      <c r="AA3994" s="35" t="str">
        <f>HYPERLINK("https://miland.ru/api/getInfo/item/ba2f3d96-57ff-11f0-a27f-00155d82e908")</f>
        <v>https://miland.ru/api/getInfo/item/ba2f3d96-57ff-11f0-a27f-00155d82e908</v>
      </c>
      <c r="AB3994" s="35" t="s">
        <v>42</v>
      </c>
      <c r="AC3994" s="35"/>
      <c r="AD3994" s="35"/>
      <c r="AE3994" s="52" t="s">
        <v>1251</v>
      </c>
    </row>
    <row r="3995" spans="2:31" s="1" customFormat="1" ht="96.3" customHeight="1" outlineLevel="6">
      <c r="B3995" s="59">
        <v>3165</v>
      </c>
      <c r="C3995" s="35" t="s">
        <v>14076</v>
      </c>
      <c r="D3995" s="73" t="s">
        <v>14077</v>
      </c>
      <c r="E3995" s="73"/>
      <c r="F3995" s="73"/>
      <c r="G3995" s="73"/>
      <c r="H3995" s="36" t="s">
        <v>14078</v>
      </c>
      <c r="I3995" s="56" t="s">
        <v>36</v>
      </c>
      <c r="J3995" s="36"/>
      <c r="K3995" s="34">
        <v>12</v>
      </c>
      <c r="L3995" s="41">
        <v>45.44</v>
      </c>
      <c r="M3995" s="11"/>
      <c r="N3995" s="36">
        <f t="shared" si="197"/>
        <v>0</v>
      </c>
      <c r="O3995" s="42">
        <f>0.052*M3995</f>
        <v>0</v>
      </c>
      <c r="P3995" s="43">
        <f>0.00027*M3995</f>
        <v>0</v>
      </c>
      <c r="Q3995" s="50"/>
      <c r="R3995" s="36" t="s">
        <v>14079</v>
      </c>
      <c r="S3995" s="36"/>
      <c r="T3995" s="35" t="str">
        <f>HYPERLINK("https://miland.ru/api/getInfo/image/e8482558-57f2-11f0-a27f-00155d82e908")</f>
        <v>https://miland.ru/api/getInfo/image/e8482558-57f2-11f0-a27f-00155d82e908</v>
      </c>
      <c r="U3995" s="35"/>
      <c r="V3995" s="35" t="s">
        <v>6525</v>
      </c>
      <c r="W3995" s="35" t="s">
        <v>378</v>
      </c>
      <c r="X3995" s="35"/>
      <c r="Y3995" s="35" t="s">
        <v>41</v>
      </c>
      <c r="Z3995" s="35"/>
      <c r="AA3995" s="35" t="str">
        <f>HYPERLINK("https://miland.ru/api/getInfo/item/e8482558-57f2-11f0-a27f-00155d82e908")</f>
        <v>https://miland.ru/api/getInfo/item/e8482558-57f2-11f0-a27f-00155d82e908</v>
      </c>
      <c r="AB3995" s="35" t="s">
        <v>42</v>
      </c>
      <c r="AC3995" s="35"/>
      <c r="AD3995" s="35"/>
      <c r="AE3995" s="52" t="s">
        <v>1251</v>
      </c>
    </row>
    <row r="3996" spans="2:31" s="1" customFormat="1" ht="96.3" customHeight="1" outlineLevel="6">
      <c r="B3996" s="59">
        <v>3166</v>
      </c>
      <c r="C3996" s="35" t="s">
        <v>14080</v>
      </c>
      <c r="D3996" s="73" t="s">
        <v>14081</v>
      </c>
      <c r="E3996" s="73"/>
      <c r="F3996" s="73"/>
      <c r="G3996" s="73"/>
      <c r="H3996" s="36" t="s">
        <v>14082</v>
      </c>
      <c r="I3996" s="56" t="s">
        <v>36</v>
      </c>
      <c r="J3996" s="36"/>
      <c r="K3996" s="34">
        <v>12</v>
      </c>
      <c r="L3996" s="41">
        <v>45.44</v>
      </c>
      <c r="M3996" s="11"/>
      <c r="N3996" s="36">
        <f t="shared" si="197"/>
        <v>0</v>
      </c>
      <c r="O3996" s="42">
        <f>0.058*M3996</f>
        <v>0</v>
      </c>
      <c r="P3996" s="43">
        <f>0.00027*M3996</f>
        <v>0</v>
      </c>
      <c r="Q3996" s="50"/>
      <c r="R3996" s="36" t="s">
        <v>14083</v>
      </c>
      <c r="S3996" s="36"/>
      <c r="T3996" s="35" t="str">
        <f>HYPERLINK("https://miland.ru/api/getInfo/image/b85c1430-57f2-11f0-a27f-00155d82e908")</f>
        <v>https://miland.ru/api/getInfo/image/b85c1430-57f2-11f0-a27f-00155d82e908</v>
      </c>
      <c r="U3996" s="35"/>
      <c r="V3996" s="35" t="s">
        <v>6525</v>
      </c>
      <c r="W3996" s="35" t="s">
        <v>378</v>
      </c>
      <c r="X3996" s="35"/>
      <c r="Y3996" s="35" t="s">
        <v>41</v>
      </c>
      <c r="Z3996" s="35"/>
      <c r="AA3996" s="35" t="str">
        <f>HYPERLINK("https://miland.ru/api/getInfo/item/b85c1430-57f2-11f0-a27f-00155d82e908")</f>
        <v>https://miland.ru/api/getInfo/item/b85c1430-57f2-11f0-a27f-00155d82e908</v>
      </c>
      <c r="AB3996" s="35" t="s">
        <v>42</v>
      </c>
      <c r="AC3996" s="35"/>
      <c r="AD3996" s="35"/>
      <c r="AE3996" s="52" t="s">
        <v>1251</v>
      </c>
    </row>
    <row r="3997" spans="2:31" s="1" customFormat="1" ht="96.3" customHeight="1" outlineLevel="6">
      <c r="B3997" s="59">
        <v>3167</v>
      </c>
      <c r="C3997" s="35" t="s">
        <v>14084</v>
      </c>
      <c r="D3997" s="73" t="s">
        <v>14085</v>
      </c>
      <c r="E3997" s="73"/>
      <c r="F3997" s="73"/>
      <c r="G3997" s="73"/>
      <c r="H3997" s="36" t="s">
        <v>14086</v>
      </c>
      <c r="I3997" s="56" t="s">
        <v>36</v>
      </c>
      <c r="J3997" s="36"/>
      <c r="K3997" s="34">
        <v>12</v>
      </c>
      <c r="L3997" s="41">
        <v>45.44</v>
      </c>
      <c r="M3997" s="11"/>
      <c r="N3997" s="36">
        <f t="shared" si="197"/>
        <v>0</v>
      </c>
      <c r="O3997" s="47">
        <f>0.06*M3997</f>
        <v>0</v>
      </c>
      <c r="P3997" s="43">
        <f>0.00041*M3997</f>
        <v>0</v>
      </c>
      <c r="Q3997" s="50" t="s">
        <v>37</v>
      </c>
      <c r="R3997" s="36" t="s">
        <v>14087</v>
      </c>
      <c r="S3997" s="36"/>
      <c r="T3997" s="35" t="str">
        <f>HYPERLINK("https://miland.ru/api/getInfo/image/910e8e92-57f2-11f0-a27f-00155d82e908")</f>
        <v>https://miland.ru/api/getInfo/image/910e8e92-57f2-11f0-a27f-00155d82e908</v>
      </c>
      <c r="U3997" s="35"/>
      <c r="V3997" s="35" t="s">
        <v>6525</v>
      </c>
      <c r="W3997" s="35" t="s">
        <v>378</v>
      </c>
      <c r="X3997" s="35"/>
      <c r="Y3997" s="35" t="s">
        <v>41</v>
      </c>
      <c r="Z3997" s="35"/>
      <c r="AA3997" s="35" t="str">
        <f>HYPERLINK("https://miland.ru/api/getInfo/item/910e8e92-57f2-11f0-a27f-00155d82e908")</f>
        <v>https://miland.ru/api/getInfo/item/910e8e92-57f2-11f0-a27f-00155d82e908</v>
      </c>
      <c r="AB3997" s="35" t="s">
        <v>42</v>
      </c>
      <c r="AC3997" s="35"/>
      <c r="AD3997" s="35"/>
      <c r="AE3997" s="52" t="s">
        <v>1251</v>
      </c>
    </row>
    <row r="3998" spans="2:31" s="1" customFormat="1" ht="96.3" customHeight="1" outlineLevel="6">
      <c r="B3998" s="59">
        <v>3168</v>
      </c>
      <c r="C3998" s="35" t="s">
        <v>14088</v>
      </c>
      <c r="D3998" s="73" t="s">
        <v>14089</v>
      </c>
      <c r="E3998" s="73"/>
      <c r="F3998" s="73"/>
      <c r="G3998" s="73"/>
      <c r="H3998" s="36" t="s">
        <v>14090</v>
      </c>
      <c r="I3998" s="56" t="s">
        <v>36</v>
      </c>
      <c r="J3998" s="36"/>
      <c r="K3998" s="34">
        <v>12</v>
      </c>
      <c r="L3998" s="41">
        <v>45.44</v>
      </c>
      <c r="M3998" s="11"/>
      <c r="N3998" s="36">
        <f t="shared" si="197"/>
        <v>0</v>
      </c>
      <c r="O3998" s="42">
        <f>0.055*M3998</f>
        <v>0</v>
      </c>
      <c r="P3998" s="43">
        <f>0.00294*M3998</f>
        <v>0</v>
      </c>
      <c r="Q3998" s="50"/>
      <c r="R3998" s="36" t="s">
        <v>14091</v>
      </c>
      <c r="S3998" s="36"/>
      <c r="T3998" s="35" t="str">
        <f>HYPERLINK("https://miland.ru/api/getInfo/image/458a3334-57f2-11f0-a27f-00155d82e908")</f>
        <v>https://miland.ru/api/getInfo/image/458a3334-57f2-11f0-a27f-00155d82e908</v>
      </c>
      <c r="U3998" s="35"/>
      <c r="V3998" s="35" t="s">
        <v>6525</v>
      </c>
      <c r="W3998" s="35" t="s">
        <v>378</v>
      </c>
      <c r="X3998" s="35"/>
      <c r="Y3998" s="35" t="s">
        <v>41</v>
      </c>
      <c r="Z3998" s="35"/>
      <c r="AA3998" s="35" t="str">
        <f>HYPERLINK("https://miland.ru/api/getInfo/item/458a3334-57f2-11f0-a27f-00155d82e908")</f>
        <v>https://miland.ru/api/getInfo/item/458a3334-57f2-11f0-a27f-00155d82e908</v>
      </c>
      <c r="AB3998" s="35" t="s">
        <v>42</v>
      </c>
      <c r="AC3998" s="35"/>
      <c r="AD3998" s="35"/>
      <c r="AE3998" s="52" t="s">
        <v>1251</v>
      </c>
    </row>
    <row r="3999" spans="2:31" s="1" customFormat="1" ht="96.3" customHeight="1" outlineLevel="6">
      <c r="B3999" s="59">
        <v>3169</v>
      </c>
      <c r="C3999" s="35" t="s">
        <v>14092</v>
      </c>
      <c r="D3999" s="73" t="s">
        <v>14093</v>
      </c>
      <c r="E3999" s="73"/>
      <c r="F3999" s="73"/>
      <c r="G3999" s="73"/>
      <c r="H3999" s="36" t="s">
        <v>14094</v>
      </c>
      <c r="I3999" s="56" t="s">
        <v>36</v>
      </c>
      <c r="J3999" s="36"/>
      <c r="K3999" s="34">
        <v>12</v>
      </c>
      <c r="L3999" s="41">
        <v>45.44</v>
      </c>
      <c r="M3999" s="11"/>
      <c r="N3999" s="36">
        <f t="shared" si="197"/>
        <v>0</v>
      </c>
      <c r="O3999" s="42">
        <f>0.058*M3999</f>
        <v>0</v>
      </c>
      <c r="P3999" s="43">
        <f>0.00027*M3999</f>
        <v>0</v>
      </c>
      <c r="Q3999" s="50"/>
      <c r="R3999" s="36" t="s">
        <v>14095</v>
      </c>
      <c r="S3999" s="36"/>
      <c r="T3999" s="35" t="str">
        <f>HYPERLINK("https://miland.ru/api/getInfo/image/398b6d0d-5805-11f0-a27f-00155d82e908")</f>
        <v>https://miland.ru/api/getInfo/image/398b6d0d-5805-11f0-a27f-00155d82e908</v>
      </c>
      <c r="U3999" s="35"/>
      <c r="V3999" s="35" t="s">
        <v>6525</v>
      </c>
      <c r="W3999" s="35" t="s">
        <v>378</v>
      </c>
      <c r="X3999" s="35"/>
      <c r="Y3999" s="35" t="s">
        <v>41</v>
      </c>
      <c r="Z3999" s="35"/>
      <c r="AA3999" s="35" t="str">
        <f>HYPERLINK("https://miland.ru/api/getInfo/item/398b6d0d-5805-11f0-a27f-00155d82e908")</f>
        <v>https://miland.ru/api/getInfo/item/398b6d0d-5805-11f0-a27f-00155d82e908</v>
      </c>
      <c r="AB3999" s="35" t="s">
        <v>42</v>
      </c>
      <c r="AC3999" s="35"/>
      <c r="AD3999" s="35"/>
      <c r="AE3999" s="52" t="s">
        <v>1251</v>
      </c>
    </row>
    <row r="4000" spans="2:31" s="1" customFormat="1" ht="96.3" customHeight="1" outlineLevel="6">
      <c r="B4000" s="59">
        <v>3170</v>
      </c>
      <c r="C4000" s="35" t="s">
        <v>14096</v>
      </c>
      <c r="D4000" s="73" t="s">
        <v>14097</v>
      </c>
      <c r="E4000" s="73"/>
      <c r="F4000" s="73"/>
      <c r="G4000" s="73"/>
      <c r="H4000" s="36" t="s">
        <v>14098</v>
      </c>
      <c r="I4000" s="56" t="s">
        <v>36</v>
      </c>
      <c r="J4000" s="36"/>
      <c r="K4000" s="34">
        <v>12</v>
      </c>
      <c r="L4000" s="41">
        <v>45.44</v>
      </c>
      <c r="M4000" s="11"/>
      <c r="N4000" s="36">
        <f t="shared" si="197"/>
        <v>0</v>
      </c>
      <c r="O4000" s="42">
        <f>0.049*M4000</f>
        <v>0</v>
      </c>
      <c r="P4000" s="43">
        <f>0.00027*M4000</f>
        <v>0</v>
      </c>
      <c r="Q4000" s="50" t="s">
        <v>37</v>
      </c>
      <c r="R4000" s="36" t="s">
        <v>14099</v>
      </c>
      <c r="S4000" s="36"/>
      <c r="T4000" s="35" t="str">
        <f>HYPERLINK("https://miland.ru/api/getInfo/image/b9d70b0c-5809-11f0-a27f-00155d82e908")</f>
        <v>https://miland.ru/api/getInfo/image/b9d70b0c-5809-11f0-a27f-00155d82e908</v>
      </c>
      <c r="U4000" s="35"/>
      <c r="V4000" s="35" t="s">
        <v>6525</v>
      </c>
      <c r="W4000" s="35" t="s">
        <v>378</v>
      </c>
      <c r="X4000" s="35"/>
      <c r="Y4000" s="35" t="s">
        <v>41</v>
      </c>
      <c r="Z4000" s="35"/>
      <c r="AA4000" s="35" t="str">
        <f>HYPERLINK("https://miland.ru/api/getInfo/item/b9d70b0c-5809-11f0-a27f-00155d82e908")</f>
        <v>https://miland.ru/api/getInfo/item/b9d70b0c-5809-11f0-a27f-00155d82e908</v>
      </c>
      <c r="AB4000" s="35" t="s">
        <v>42</v>
      </c>
      <c r="AC4000" s="35"/>
      <c r="AD4000" s="35"/>
      <c r="AE4000" s="52" t="s">
        <v>1251</v>
      </c>
    </row>
    <row r="4001" spans="2:31" s="1" customFormat="1" ht="96.3" customHeight="1" outlineLevel="6">
      <c r="B4001" s="59">
        <v>3171</v>
      </c>
      <c r="C4001" s="35" t="s">
        <v>14100</v>
      </c>
      <c r="D4001" s="73" t="s">
        <v>14101</v>
      </c>
      <c r="E4001" s="73"/>
      <c r="F4001" s="73"/>
      <c r="G4001" s="73"/>
      <c r="H4001" s="36" t="s">
        <v>14102</v>
      </c>
      <c r="I4001" s="56" t="s">
        <v>36</v>
      </c>
      <c r="J4001" s="36"/>
      <c r="K4001" s="34">
        <v>12</v>
      </c>
      <c r="L4001" s="41">
        <v>45.44</v>
      </c>
      <c r="M4001" s="11"/>
      <c r="N4001" s="36">
        <f t="shared" si="197"/>
        <v>0</v>
      </c>
      <c r="O4001" s="47">
        <f>0.05*M4001</f>
        <v>0</v>
      </c>
      <c r="P4001" s="43">
        <f>0.00027*M4001</f>
        <v>0</v>
      </c>
      <c r="Q4001" s="50" t="s">
        <v>37</v>
      </c>
      <c r="R4001" s="36" t="s">
        <v>14103</v>
      </c>
      <c r="S4001" s="36"/>
      <c r="T4001" s="35" t="str">
        <f>HYPERLINK("https://miland.ru/api/getInfo/image/9d9eb8d1-57f3-11f0-a27f-00155d82e908")</f>
        <v>https://miland.ru/api/getInfo/image/9d9eb8d1-57f3-11f0-a27f-00155d82e908</v>
      </c>
      <c r="U4001" s="35"/>
      <c r="V4001" s="35" t="s">
        <v>6525</v>
      </c>
      <c r="W4001" s="35" t="s">
        <v>378</v>
      </c>
      <c r="X4001" s="35"/>
      <c r="Y4001" s="35" t="s">
        <v>41</v>
      </c>
      <c r="Z4001" s="35"/>
      <c r="AA4001" s="35" t="str">
        <f>HYPERLINK("https://miland.ru/api/getInfo/item/9d9eb8d1-57f3-11f0-a27f-00155d82e908")</f>
        <v>https://miland.ru/api/getInfo/item/9d9eb8d1-57f3-11f0-a27f-00155d82e908</v>
      </c>
      <c r="AB4001" s="35" t="s">
        <v>42</v>
      </c>
      <c r="AC4001" s="35"/>
      <c r="AD4001" s="35"/>
      <c r="AE4001" s="52" t="s">
        <v>1251</v>
      </c>
    </row>
    <row r="4002" spans="2:31" s="1" customFormat="1" ht="96.3" customHeight="1" outlineLevel="6">
      <c r="B4002" s="59">
        <v>3172</v>
      </c>
      <c r="C4002" s="35" t="s">
        <v>14104</v>
      </c>
      <c r="D4002" s="73" t="s">
        <v>14105</v>
      </c>
      <c r="E4002" s="73"/>
      <c r="F4002" s="73"/>
      <c r="G4002" s="73"/>
      <c r="H4002" s="36" t="s">
        <v>14106</v>
      </c>
      <c r="I4002" s="56" t="s">
        <v>36</v>
      </c>
      <c r="J4002" s="36"/>
      <c r="K4002" s="34">
        <v>12</v>
      </c>
      <c r="L4002" s="41">
        <v>45.44</v>
      </c>
      <c r="M4002" s="11"/>
      <c r="N4002" s="36">
        <f t="shared" si="197"/>
        <v>0</v>
      </c>
      <c r="O4002" s="47">
        <f>0.06*M4002</f>
        <v>0</v>
      </c>
      <c r="P4002" s="43">
        <f>0.00041*M4002</f>
        <v>0</v>
      </c>
      <c r="Q4002" s="50" t="s">
        <v>37</v>
      </c>
      <c r="R4002" s="36" t="s">
        <v>14107</v>
      </c>
      <c r="S4002" s="36"/>
      <c r="T4002" s="35" t="str">
        <f>HYPERLINK("https://miland.ru/api/getInfo/image/8a3a413d-5800-11f0-a27f-00155d82e908")</f>
        <v>https://miland.ru/api/getInfo/image/8a3a413d-5800-11f0-a27f-00155d82e908</v>
      </c>
      <c r="U4002" s="35"/>
      <c r="V4002" s="35" t="s">
        <v>6525</v>
      </c>
      <c r="W4002" s="35" t="s">
        <v>378</v>
      </c>
      <c r="X4002" s="35"/>
      <c r="Y4002" s="35" t="s">
        <v>41</v>
      </c>
      <c r="Z4002" s="35"/>
      <c r="AA4002" s="35" t="str">
        <f>HYPERLINK("https://miland.ru/api/getInfo/item/8a3a413d-5800-11f0-a27f-00155d82e908")</f>
        <v>https://miland.ru/api/getInfo/item/8a3a413d-5800-11f0-a27f-00155d82e908</v>
      </c>
      <c r="AB4002" s="35" t="s">
        <v>42</v>
      </c>
      <c r="AC4002" s="35"/>
      <c r="AD4002" s="35"/>
      <c r="AE4002" s="52" t="s">
        <v>1251</v>
      </c>
    </row>
    <row r="4003" spans="2:31" s="1" customFormat="1" ht="96.3" customHeight="1" outlineLevel="6">
      <c r="B4003" s="59">
        <v>3173</v>
      </c>
      <c r="C4003" s="35" t="s">
        <v>14108</v>
      </c>
      <c r="D4003" s="73" t="s">
        <v>14109</v>
      </c>
      <c r="E4003" s="73"/>
      <c r="F4003" s="73"/>
      <c r="G4003" s="73"/>
      <c r="H4003" s="36" t="s">
        <v>14110</v>
      </c>
      <c r="I4003" s="56" t="s">
        <v>36</v>
      </c>
      <c r="J4003" s="36"/>
      <c r="K4003" s="34">
        <v>12</v>
      </c>
      <c r="L4003" s="41">
        <v>45.44</v>
      </c>
      <c r="M4003" s="11"/>
      <c r="N4003" s="36">
        <f t="shared" si="197"/>
        <v>0</v>
      </c>
      <c r="O4003" s="47">
        <f>0.05*M4003</f>
        <v>0</v>
      </c>
      <c r="P4003" s="55">
        <f>0.0002*M4003</f>
        <v>0</v>
      </c>
      <c r="Q4003" s="50" t="s">
        <v>37</v>
      </c>
      <c r="R4003" s="36" t="s">
        <v>14111</v>
      </c>
      <c r="S4003" s="36"/>
      <c r="T4003" s="35" t="str">
        <f>HYPERLINK("https://miland.ru/api/getInfo/image/3e71558d-57ff-11f0-a27f-00155d82e908")</f>
        <v>https://miland.ru/api/getInfo/image/3e71558d-57ff-11f0-a27f-00155d82e908</v>
      </c>
      <c r="U4003" s="35"/>
      <c r="V4003" s="35" t="s">
        <v>6525</v>
      </c>
      <c r="W4003" s="35" t="s">
        <v>378</v>
      </c>
      <c r="X4003" s="35"/>
      <c r="Y4003" s="35" t="s">
        <v>41</v>
      </c>
      <c r="Z4003" s="35"/>
      <c r="AA4003" s="35" t="str">
        <f>HYPERLINK("https://miland.ru/api/getInfo/item/3e71558d-57ff-11f0-a27f-00155d82e908")</f>
        <v>https://miland.ru/api/getInfo/item/3e71558d-57ff-11f0-a27f-00155d82e908</v>
      </c>
      <c r="AB4003" s="35" t="s">
        <v>42</v>
      </c>
      <c r="AC4003" s="35"/>
      <c r="AD4003" s="35"/>
      <c r="AE4003" s="52" t="s">
        <v>1251</v>
      </c>
    </row>
    <row r="4004" spans="2:31" s="1" customFormat="1" ht="96.3" customHeight="1" outlineLevel="6">
      <c r="B4004" s="59">
        <v>3174</v>
      </c>
      <c r="C4004" s="35" t="s">
        <v>14112</v>
      </c>
      <c r="D4004" s="73" t="s">
        <v>14113</v>
      </c>
      <c r="E4004" s="73"/>
      <c r="F4004" s="73"/>
      <c r="G4004" s="73"/>
      <c r="H4004" s="36" t="s">
        <v>14114</v>
      </c>
      <c r="I4004" s="56" t="s">
        <v>36</v>
      </c>
      <c r="J4004" s="36"/>
      <c r="K4004" s="34">
        <v>12</v>
      </c>
      <c r="L4004" s="41">
        <v>45.44</v>
      </c>
      <c r="M4004" s="11"/>
      <c r="N4004" s="36">
        <f t="shared" si="197"/>
        <v>0</v>
      </c>
      <c r="O4004" s="42">
        <f>0.047*M4004</f>
        <v>0</v>
      </c>
      <c r="P4004" s="43">
        <f>0.00042*M4004</f>
        <v>0</v>
      </c>
      <c r="Q4004" s="50"/>
      <c r="R4004" s="36" t="s">
        <v>14115</v>
      </c>
      <c r="S4004" s="36" t="s">
        <v>435</v>
      </c>
      <c r="T4004" s="35" t="str">
        <f>HYPERLINK("https://miland.ru/api/getInfo/image/7031ac92-0398-11ef-a25d-00155d82e908")</f>
        <v>https://miland.ru/api/getInfo/image/7031ac92-0398-11ef-a25d-00155d82e908</v>
      </c>
      <c r="U4004" s="35"/>
      <c r="V4004" s="35" t="s">
        <v>6525</v>
      </c>
      <c r="W4004" s="35" t="s">
        <v>378</v>
      </c>
      <c r="X4004" s="35"/>
      <c r="Y4004" s="35" t="s">
        <v>41</v>
      </c>
      <c r="Z4004" s="35"/>
      <c r="AA4004" s="35" t="str">
        <f>HYPERLINK("https://miland.ru/api/getInfo/item/7031ac92-0398-11ef-a25d-00155d82e908")</f>
        <v>https://miland.ru/api/getInfo/item/7031ac92-0398-11ef-a25d-00155d82e908</v>
      </c>
      <c r="AB4004" s="35" t="s">
        <v>42</v>
      </c>
      <c r="AC4004" s="35"/>
      <c r="AD4004" s="35"/>
      <c r="AE4004" s="52" t="s">
        <v>1251</v>
      </c>
    </row>
    <row r="4005" spans="2:31" s="1" customFormat="1" ht="96.3" customHeight="1" outlineLevel="6">
      <c r="B4005" s="59">
        <v>3175</v>
      </c>
      <c r="C4005" s="35" t="s">
        <v>14116</v>
      </c>
      <c r="D4005" s="73" t="s">
        <v>14117</v>
      </c>
      <c r="E4005" s="73"/>
      <c r="F4005" s="73"/>
      <c r="G4005" s="73"/>
      <c r="H4005" s="36" t="s">
        <v>14118</v>
      </c>
      <c r="I4005" s="40">
        <v>492</v>
      </c>
      <c r="J4005" s="36"/>
      <c r="K4005" s="34">
        <v>12</v>
      </c>
      <c r="L4005" s="41">
        <v>45.44</v>
      </c>
      <c r="M4005" s="11"/>
      <c r="N4005" s="36">
        <f t="shared" si="197"/>
        <v>0</v>
      </c>
      <c r="O4005" s="42">
        <f>0.048*M4005</f>
        <v>0</v>
      </c>
      <c r="P4005" s="43">
        <f>0.00014*M4005</f>
        <v>0</v>
      </c>
      <c r="Q4005" s="50"/>
      <c r="R4005" s="36" t="s">
        <v>14119</v>
      </c>
      <c r="S4005" s="36" t="s">
        <v>435</v>
      </c>
      <c r="T4005" s="35" t="str">
        <f>HYPERLINK("https://miland.ru/api/getInfo/image/8b65e180-0398-11ef-a25d-00155d82e908")</f>
        <v>https://miland.ru/api/getInfo/image/8b65e180-0398-11ef-a25d-00155d82e908</v>
      </c>
      <c r="U4005" s="35"/>
      <c r="V4005" s="35" t="s">
        <v>6525</v>
      </c>
      <c r="W4005" s="35" t="s">
        <v>378</v>
      </c>
      <c r="X4005" s="35"/>
      <c r="Y4005" s="35" t="s">
        <v>41</v>
      </c>
      <c r="Z4005" s="35"/>
      <c r="AA4005" s="35" t="str">
        <f>HYPERLINK("https://miland.ru/api/getInfo/item/8b65e180-0398-11ef-a25d-00155d82e908")</f>
        <v>https://miland.ru/api/getInfo/item/8b65e180-0398-11ef-a25d-00155d82e908</v>
      </c>
      <c r="AB4005" s="35" t="s">
        <v>42</v>
      </c>
      <c r="AC4005" s="35"/>
      <c r="AD4005" s="35"/>
      <c r="AE4005" s="52" t="s">
        <v>1251</v>
      </c>
    </row>
    <row r="4006" spans="2:31" s="1" customFormat="1" ht="96.3" customHeight="1" outlineLevel="6">
      <c r="B4006" s="59">
        <v>3176</v>
      </c>
      <c r="C4006" s="35" t="s">
        <v>14120</v>
      </c>
      <c r="D4006" s="73" t="s">
        <v>14121</v>
      </c>
      <c r="E4006" s="73"/>
      <c r="F4006" s="73"/>
      <c r="G4006" s="73"/>
      <c r="H4006" s="36" t="s">
        <v>14122</v>
      </c>
      <c r="I4006" s="56" t="s">
        <v>36</v>
      </c>
      <c r="J4006" s="36"/>
      <c r="K4006" s="34">
        <v>12</v>
      </c>
      <c r="L4006" s="41">
        <v>45.44</v>
      </c>
      <c r="M4006" s="11"/>
      <c r="N4006" s="36">
        <f t="shared" si="197"/>
        <v>0</v>
      </c>
      <c r="O4006" s="47">
        <f>0.66*M4006</f>
        <v>0</v>
      </c>
      <c r="P4006" s="43">
        <f>0.00228*M4006</f>
        <v>0</v>
      </c>
      <c r="Q4006" s="50"/>
      <c r="R4006" s="36" t="s">
        <v>14123</v>
      </c>
      <c r="S4006" s="36" t="s">
        <v>435</v>
      </c>
      <c r="T4006" s="35" t="str">
        <f>HYPERLINK("https://miland.ru/api/getInfo/image/95ca21fe-0397-11ef-a25d-00155d82e908")</f>
        <v>https://miland.ru/api/getInfo/image/95ca21fe-0397-11ef-a25d-00155d82e908</v>
      </c>
      <c r="U4006" s="35"/>
      <c r="V4006" s="35" t="s">
        <v>6525</v>
      </c>
      <c r="W4006" s="35" t="s">
        <v>378</v>
      </c>
      <c r="X4006" s="35"/>
      <c r="Y4006" s="35" t="s">
        <v>41</v>
      </c>
      <c r="Z4006" s="35"/>
      <c r="AA4006" s="35" t="str">
        <f>HYPERLINK("https://miland.ru/api/getInfo/item/95ca21fe-0397-11ef-a25d-00155d82e908")</f>
        <v>https://miland.ru/api/getInfo/item/95ca21fe-0397-11ef-a25d-00155d82e908</v>
      </c>
      <c r="AB4006" s="35" t="s">
        <v>42</v>
      </c>
      <c r="AC4006" s="35"/>
      <c r="AD4006" s="35"/>
      <c r="AE4006" s="52" t="s">
        <v>1251</v>
      </c>
    </row>
    <row r="4007" spans="2:31" s="1" customFormat="1" ht="96.3" customHeight="1" outlineLevel="6">
      <c r="B4007" s="59">
        <v>3177</v>
      </c>
      <c r="C4007" s="35" t="s">
        <v>14124</v>
      </c>
      <c r="D4007" s="73" t="s">
        <v>14125</v>
      </c>
      <c r="E4007" s="73"/>
      <c r="F4007" s="73"/>
      <c r="G4007" s="73"/>
      <c r="H4007" s="36" t="s">
        <v>14126</v>
      </c>
      <c r="I4007" s="40">
        <v>24</v>
      </c>
      <c r="J4007" s="36"/>
      <c r="K4007" s="34">
        <v>12</v>
      </c>
      <c r="L4007" s="41">
        <v>45.44</v>
      </c>
      <c r="M4007" s="11"/>
      <c r="N4007" s="36">
        <f t="shared" si="197"/>
        <v>0</v>
      </c>
      <c r="O4007" s="47">
        <f>0.66*M4007</f>
        <v>0</v>
      </c>
      <c r="P4007" s="43">
        <f>0.00228*M4007</f>
        <v>0</v>
      </c>
      <c r="Q4007" s="50"/>
      <c r="R4007" s="36" t="s">
        <v>14127</v>
      </c>
      <c r="S4007" s="36" t="s">
        <v>435</v>
      </c>
      <c r="T4007" s="35" t="str">
        <f>HYPERLINK("https://miland.ru/api/getInfo/image/b413819c-0397-11ef-a25d-00155d82e908")</f>
        <v>https://miland.ru/api/getInfo/image/b413819c-0397-11ef-a25d-00155d82e908</v>
      </c>
      <c r="U4007" s="35"/>
      <c r="V4007" s="35" t="s">
        <v>6525</v>
      </c>
      <c r="W4007" s="35" t="s">
        <v>378</v>
      </c>
      <c r="X4007" s="35"/>
      <c r="Y4007" s="35" t="s">
        <v>41</v>
      </c>
      <c r="Z4007" s="35"/>
      <c r="AA4007" s="35" t="str">
        <f>HYPERLINK("https://miland.ru/api/getInfo/item/b413819c-0397-11ef-a25d-00155d82e908")</f>
        <v>https://miland.ru/api/getInfo/item/b413819c-0397-11ef-a25d-00155d82e908</v>
      </c>
      <c r="AB4007" s="35" t="s">
        <v>42</v>
      </c>
      <c r="AC4007" s="35"/>
      <c r="AD4007" s="35"/>
      <c r="AE4007" s="52" t="s">
        <v>1251</v>
      </c>
    </row>
    <row r="4008" spans="2:31" s="1" customFormat="1" ht="96.3" customHeight="1" outlineLevel="6">
      <c r="B4008" s="59">
        <v>3178</v>
      </c>
      <c r="C4008" s="35" t="s">
        <v>14128</v>
      </c>
      <c r="D4008" s="73" t="s">
        <v>14129</v>
      </c>
      <c r="E4008" s="73"/>
      <c r="F4008" s="73"/>
      <c r="G4008" s="73"/>
      <c r="H4008" s="36" t="s">
        <v>14130</v>
      </c>
      <c r="I4008" s="40">
        <v>156</v>
      </c>
      <c r="J4008" s="36"/>
      <c r="K4008" s="34">
        <v>12</v>
      </c>
      <c r="L4008" s="41">
        <v>45.44</v>
      </c>
      <c r="M4008" s="11"/>
      <c r="N4008" s="36">
        <f t="shared" si="197"/>
        <v>0</v>
      </c>
      <c r="O4008" s="47">
        <f>0.66*M4008</f>
        <v>0</v>
      </c>
      <c r="P4008" s="43">
        <f>0.00228*M4008</f>
        <v>0</v>
      </c>
      <c r="Q4008" s="50"/>
      <c r="R4008" s="36" t="s">
        <v>14131</v>
      </c>
      <c r="S4008" s="36" t="s">
        <v>435</v>
      </c>
      <c r="T4008" s="35" t="str">
        <f>HYPERLINK("https://miland.ru/api/getInfo/image/406d2f4a-0398-11ef-a25d-00155d82e908")</f>
        <v>https://miland.ru/api/getInfo/image/406d2f4a-0398-11ef-a25d-00155d82e908</v>
      </c>
      <c r="U4008" s="35"/>
      <c r="V4008" s="35" t="s">
        <v>6525</v>
      </c>
      <c r="W4008" s="35" t="s">
        <v>378</v>
      </c>
      <c r="X4008" s="35"/>
      <c r="Y4008" s="35" t="s">
        <v>41</v>
      </c>
      <c r="Z4008" s="35"/>
      <c r="AA4008" s="35" t="str">
        <f>HYPERLINK("https://miland.ru/api/getInfo/item/406d2f4a-0398-11ef-a25d-00155d82e908")</f>
        <v>https://miland.ru/api/getInfo/item/406d2f4a-0398-11ef-a25d-00155d82e908</v>
      </c>
      <c r="AB4008" s="35" t="s">
        <v>42</v>
      </c>
      <c r="AC4008" s="35"/>
      <c r="AD4008" s="35"/>
      <c r="AE4008" s="52" t="s">
        <v>1251</v>
      </c>
    </row>
    <row r="4009" spans="2:31" s="1" customFormat="1" ht="96.3" customHeight="1" outlineLevel="6">
      <c r="B4009" s="59">
        <v>3179</v>
      </c>
      <c r="C4009" s="35" t="s">
        <v>14132</v>
      </c>
      <c r="D4009" s="73" t="s">
        <v>14133</v>
      </c>
      <c r="E4009" s="73"/>
      <c r="F4009" s="73"/>
      <c r="G4009" s="73"/>
      <c r="H4009" s="36" t="s">
        <v>14134</v>
      </c>
      <c r="I4009" s="56" t="s">
        <v>36</v>
      </c>
      <c r="J4009" s="36"/>
      <c r="K4009" s="34">
        <v>12</v>
      </c>
      <c r="L4009" s="41">
        <v>45.44</v>
      </c>
      <c r="M4009" s="11"/>
      <c r="N4009" s="36">
        <f t="shared" si="197"/>
        <v>0</v>
      </c>
      <c r="O4009" s="47">
        <f>0.66*M4009</f>
        <v>0</v>
      </c>
      <c r="P4009" s="43">
        <f>0.00228*M4009</f>
        <v>0</v>
      </c>
      <c r="Q4009" s="50"/>
      <c r="R4009" s="36" t="s">
        <v>14135</v>
      </c>
      <c r="S4009" s="36" t="s">
        <v>435</v>
      </c>
      <c r="T4009" s="35" t="str">
        <f>HYPERLINK("https://miland.ru/api/getInfo/image/595ba690-0398-11ef-a25d-00155d82e908")</f>
        <v>https://miland.ru/api/getInfo/image/595ba690-0398-11ef-a25d-00155d82e908</v>
      </c>
      <c r="U4009" s="35"/>
      <c r="V4009" s="35" t="s">
        <v>6525</v>
      </c>
      <c r="W4009" s="35" t="s">
        <v>378</v>
      </c>
      <c r="X4009" s="35"/>
      <c r="Y4009" s="35" t="s">
        <v>41</v>
      </c>
      <c r="Z4009" s="35"/>
      <c r="AA4009" s="35" t="str">
        <f>HYPERLINK("https://miland.ru/api/getInfo/item/595ba690-0398-11ef-a25d-00155d82e908")</f>
        <v>https://miland.ru/api/getInfo/item/595ba690-0398-11ef-a25d-00155d82e908</v>
      </c>
      <c r="AB4009" s="35" t="s">
        <v>42</v>
      </c>
      <c r="AC4009" s="35"/>
      <c r="AD4009" s="35"/>
      <c r="AE4009" s="52" t="s">
        <v>1251</v>
      </c>
    </row>
    <row r="4010" spans="2:31" s="1" customFormat="1" ht="96.3" customHeight="1" outlineLevel="6">
      <c r="B4010" s="59">
        <v>3180</v>
      </c>
      <c r="C4010" s="35" t="s">
        <v>14136</v>
      </c>
      <c r="D4010" s="73" t="s">
        <v>14137</v>
      </c>
      <c r="E4010" s="73"/>
      <c r="F4010" s="73"/>
      <c r="G4010" s="73"/>
      <c r="H4010" s="36" t="s">
        <v>14138</v>
      </c>
      <c r="I4010" s="40">
        <v>216</v>
      </c>
      <c r="J4010" s="36"/>
      <c r="K4010" s="34">
        <v>12</v>
      </c>
      <c r="L4010" s="41">
        <v>45.44</v>
      </c>
      <c r="M4010" s="11"/>
      <c r="N4010" s="36">
        <f t="shared" si="197"/>
        <v>0</v>
      </c>
      <c r="O4010" s="47">
        <f>0.05*M4010</f>
        <v>0</v>
      </c>
      <c r="P4010" s="43">
        <f>0.00068*M4010</f>
        <v>0</v>
      </c>
      <c r="Q4010" s="50"/>
      <c r="R4010" s="36" t="s">
        <v>14139</v>
      </c>
      <c r="S4010" s="36" t="s">
        <v>435</v>
      </c>
      <c r="T4010" s="35" t="str">
        <f>HYPERLINK("https://miland.ru/api/getInfo/image/18ed5627-f483-11ed-a237-00155d82e902")</f>
        <v>https://miland.ru/api/getInfo/image/18ed5627-f483-11ed-a237-00155d82e902</v>
      </c>
      <c r="U4010" s="35"/>
      <c r="V4010" s="35" t="s">
        <v>6525</v>
      </c>
      <c r="W4010" s="35" t="s">
        <v>378</v>
      </c>
      <c r="X4010" s="35"/>
      <c r="Y4010" s="35" t="s">
        <v>41</v>
      </c>
      <c r="Z4010" s="35"/>
      <c r="AA4010" s="35" t="str">
        <f>HYPERLINK("https://miland.ru/api/getInfo/item/18ed5627-f483-11ed-a237-00155d82e902")</f>
        <v>https://miland.ru/api/getInfo/item/18ed5627-f483-11ed-a237-00155d82e902</v>
      </c>
      <c r="AB4010" s="35" t="s">
        <v>42</v>
      </c>
      <c r="AC4010" s="35"/>
      <c r="AD4010" s="35"/>
      <c r="AE4010" s="52" t="s">
        <v>1251</v>
      </c>
    </row>
    <row r="4011" spans="2:31" s="1" customFormat="1" ht="96.3" customHeight="1" outlineLevel="6">
      <c r="B4011" s="59">
        <v>3181</v>
      </c>
      <c r="C4011" s="35" t="s">
        <v>14140</v>
      </c>
      <c r="D4011" s="73" t="s">
        <v>14141</v>
      </c>
      <c r="E4011" s="73"/>
      <c r="F4011" s="73"/>
      <c r="G4011" s="73"/>
      <c r="H4011" s="36" t="s">
        <v>14142</v>
      </c>
      <c r="I4011" s="40">
        <v>156</v>
      </c>
      <c r="J4011" s="36"/>
      <c r="K4011" s="34">
        <v>12</v>
      </c>
      <c r="L4011" s="41">
        <v>45.44</v>
      </c>
      <c r="M4011" s="11"/>
      <c r="N4011" s="36">
        <f t="shared" si="197"/>
        <v>0</v>
      </c>
      <c r="O4011" s="42">
        <f>0.048*M4011</f>
        <v>0</v>
      </c>
      <c r="P4011" s="43">
        <f>0.00291*M4011</f>
        <v>0</v>
      </c>
      <c r="Q4011" s="50"/>
      <c r="R4011" s="36" t="s">
        <v>14143</v>
      </c>
      <c r="S4011" s="36" t="s">
        <v>435</v>
      </c>
      <c r="T4011" s="35" t="str">
        <f>HYPERLINK("https://miland.ru/api/getInfo/image/bdd6bf9a-cf1b-11ee-a25a-00155d82e908")</f>
        <v>https://miland.ru/api/getInfo/image/bdd6bf9a-cf1b-11ee-a25a-00155d82e908</v>
      </c>
      <c r="U4011" s="35"/>
      <c r="V4011" s="35" t="s">
        <v>6525</v>
      </c>
      <c r="W4011" s="35" t="s">
        <v>378</v>
      </c>
      <c r="X4011" s="35"/>
      <c r="Y4011" s="35" t="s">
        <v>41</v>
      </c>
      <c r="Z4011" s="35"/>
      <c r="AA4011" s="35" t="str">
        <f>HYPERLINK("https://miland.ru/api/getInfo/item/bdd6bf9a-cf1b-11ee-a25a-00155d82e908")</f>
        <v>https://miland.ru/api/getInfo/item/bdd6bf9a-cf1b-11ee-a25a-00155d82e908</v>
      </c>
      <c r="AB4011" s="35" t="s">
        <v>42</v>
      </c>
      <c r="AC4011" s="35" t="s">
        <v>14144</v>
      </c>
      <c r="AD4011" s="35"/>
      <c r="AE4011" s="52" t="s">
        <v>1251</v>
      </c>
    </row>
    <row r="4012" spans="2:31" s="1" customFormat="1" ht="96.3" customHeight="1" outlineLevel="6">
      <c r="B4012" s="59">
        <v>3182</v>
      </c>
      <c r="C4012" s="35" t="s">
        <v>14145</v>
      </c>
      <c r="D4012" s="73" t="s">
        <v>14146</v>
      </c>
      <c r="E4012" s="73"/>
      <c r="F4012" s="73"/>
      <c r="G4012" s="73"/>
      <c r="H4012" s="36" t="s">
        <v>14147</v>
      </c>
      <c r="I4012" s="40">
        <v>24</v>
      </c>
      <c r="J4012" s="36"/>
      <c r="K4012" s="34">
        <v>12</v>
      </c>
      <c r="L4012" s="41">
        <v>45.44</v>
      </c>
      <c r="M4012" s="11"/>
      <c r="N4012" s="36">
        <f t="shared" si="197"/>
        <v>0</v>
      </c>
      <c r="O4012" s="42">
        <f>0.051*M4012</f>
        <v>0</v>
      </c>
      <c r="P4012" s="43">
        <f>0.00021*M4012</f>
        <v>0</v>
      </c>
      <c r="Q4012" s="50"/>
      <c r="R4012" s="36" t="s">
        <v>14148</v>
      </c>
      <c r="S4012" s="36" t="s">
        <v>435</v>
      </c>
      <c r="T4012" s="35" t="str">
        <f>HYPERLINK("https://miland.ru/api/getInfo/image/7a3d4dfa-cf1a-11ee-a25a-00155d82e908")</f>
        <v>https://miland.ru/api/getInfo/image/7a3d4dfa-cf1a-11ee-a25a-00155d82e908</v>
      </c>
      <c r="U4012" s="35"/>
      <c r="V4012" s="35" t="s">
        <v>6525</v>
      </c>
      <c r="W4012" s="35" t="s">
        <v>378</v>
      </c>
      <c r="X4012" s="35"/>
      <c r="Y4012" s="35" t="s">
        <v>41</v>
      </c>
      <c r="Z4012" s="35"/>
      <c r="AA4012" s="35" t="str">
        <f>HYPERLINK("https://miland.ru/api/getInfo/item/7a3d4dfa-cf1a-11ee-a25a-00155d82e908")</f>
        <v>https://miland.ru/api/getInfo/item/7a3d4dfa-cf1a-11ee-a25a-00155d82e908</v>
      </c>
      <c r="AB4012" s="35" t="s">
        <v>42</v>
      </c>
      <c r="AC4012" s="35" t="s">
        <v>14144</v>
      </c>
      <c r="AD4012" s="35"/>
      <c r="AE4012" s="52" t="s">
        <v>1251</v>
      </c>
    </row>
    <row r="4013" spans="2:31" s="1" customFormat="1" ht="96.3" customHeight="1" outlineLevel="6">
      <c r="B4013" s="59">
        <v>3183</v>
      </c>
      <c r="C4013" s="35" t="s">
        <v>14149</v>
      </c>
      <c r="D4013" s="73" t="s">
        <v>14150</v>
      </c>
      <c r="E4013" s="73"/>
      <c r="F4013" s="73"/>
      <c r="G4013" s="73"/>
      <c r="H4013" s="36" t="s">
        <v>14151</v>
      </c>
      <c r="I4013" s="56" t="s">
        <v>36</v>
      </c>
      <c r="J4013" s="36"/>
      <c r="K4013" s="34">
        <v>12</v>
      </c>
      <c r="L4013" s="41">
        <v>45.44</v>
      </c>
      <c r="M4013" s="11"/>
      <c r="N4013" s="36">
        <f t="shared" si="197"/>
        <v>0</v>
      </c>
      <c r="O4013" s="42">
        <f>0.051*M4013</f>
        <v>0</v>
      </c>
      <c r="P4013" s="43">
        <f>0.00021*M4013</f>
        <v>0</v>
      </c>
      <c r="Q4013" s="50"/>
      <c r="R4013" s="36" t="s">
        <v>14152</v>
      </c>
      <c r="S4013" s="36" t="s">
        <v>435</v>
      </c>
      <c r="T4013" s="35" t="str">
        <f>HYPERLINK("https://miland.ru/api/getInfo/image/3f85d4a2-cf1b-11ee-a25a-00155d82e908")</f>
        <v>https://miland.ru/api/getInfo/image/3f85d4a2-cf1b-11ee-a25a-00155d82e908</v>
      </c>
      <c r="U4013" s="35"/>
      <c r="V4013" s="35" t="s">
        <v>6525</v>
      </c>
      <c r="W4013" s="35" t="s">
        <v>378</v>
      </c>
      <c r="X4013" s="35"/>
      <c r="Y4013" s="35" t="s">
        <v>41</v>
      </c>
      <c r="Z4013" s="35"/>
      <c r="AA4013" s="35" t="str">
        <f>HYPERLINK("https://miland.ru/api/getInfo/item/3f85d4a2-cf1b-11ee-a25a-00155d82e908")</f>
        <v>https://miland.ru/api/getInfo/item/3f85d4a2-cf1b-11ee-a25a-00155d82e908</v>
      </c>
      <c r="AB4013" s="35" t="s">
        <v>42</v>
      </c>
      <c r="AC4013" s="35" t="s">
        <v>14144</v>
      </c>
      <c r="AD4013" s="35"/>
      <c r="AE4013" s="52" t="s">
        <v>1251</v>
      </c>
    </row>
    <row r="4014" spans="2:31" ht="12" customHeight="1" outlineLevel="5">
      <c r="B4014" s="70" t="s">
        <v>8116</v>
      </c>
      <c r="C4014" s="70"/>
      <c r="D4014" s="70"/>
      <c r="E4014" s="70"/>
      <c r="F4014" s="70"/>
      <c r="G4014" s="70"/>
    </row>
    <row r="4015" spans="2:31" ht="12" customHeight="1" outlineLevel="6">
      <c r="B4015" s="70" t="s">
        <v>384</v>
      </c>
      <c r="C4015" s="70"/>
      <c r="D4015" s="70"/>
      <c r="E4015" s="70"/>
      <c r="F4015" s="70"/>
      <c r="G4015" s="70"/>
    </row>
    <row r="4016" spans="2:31" s="1" customFormat="1" ht="96.3" customHeight="1" outlineLevel="7">
      <c r="B4016" s="58">
        <v>3184</v>
      </c>
      <c r="C4016" s="7" t="s">
        <v>14153</v>
      </c>
      <c r="D4016" s="71" t="s">
        <v>14154</v>
      </c>
      <c r="E4016" s="71"/>
      <c r="F4016" s="71"/>
      <c r="G4016" s="71"/>
      <c r="H4016" s="8" t="s">
        <v>14155</v>
      </c>
      <c r="I4016" s="9" t="s">
        <v>36</v>
      </c>
      <c r="J4016" s="8"/>
      <c r="K4016" s="6">
        <v>12</v>
      </c>
      <c r="L4016" s="10">
        <v>51.64</v>
      </c>
      <c r="M4016" s="11"/>
      <c r="N4016" s="8">
        <f t="shared" ref="N4016:N4023" si="198">L4016*M4016</f>
        <v>0</v>
      </c>
      <c r="O4016" s="12">
        <f>0.065*M4016</f>
        <v>0</v>
      </c>
      <c r="P4016" s="13">
        <f>0.00034*M4016</f>
        <v>0</v>
      </c>
      <c r="Q4016" s="17" t="s">
        <v>37</v>
      </c>
      <c r="R4016" s="8" t="s">
        <v>14156</v>
      </c>
      <c r="S4016" s="8"/>
      <c r="T4016" s="7" t="str">
        <f>HYPERLINK("https://miland.ru/api/getInfo/image/007ddf52-6933-11f0-a283-00155d82e908")</f>
        <v>https://miland.ru/api/getInfo/image/007ddf52-6933-11f0-a283-00155d82e908</v>
      </c>
      <c r="U4016" s="7"/>
      <c r="V4016" s="7" t="s">
        <v>6525</v>
      </c>
      <c r="W4016" s="7" t="s">
        <v>378</v>
      </c>
      <c r="X4016" s="7"/>
      <c r="Y4016" s="7" t="s">
        <v>41</v>
      </c>
      <c r="Z4016" s="7"/>
      <c r="AA4016" s="7" t="str">
        <f>HYPERLINK("https://miland.ru/api/getInfo/item/007ddf52-6933-11f0-a283-00155d82e908")</f>
        <v>https://miland.ru/api/getInfo/item/007ddf52-6933-11f0-a283-00155d82e908</v>
      </c>
      <c r="AB4016" s="7" t="s">
        <v>42</v>
      </c>
      <c r="AC4016" s="7"/>
      <c r="AD4016" s="7"/>
      <c r="AE4016" s="54"/>
    </row>
    <row r="4017" spans="2:31" s="1" customFormat="1" ht="96.3" customHeight="1" outlineLevel="7">
      <c r="B4017" s="58">
        <v>3185</v>
      </c>
      <c r="C4017" s="7" t="s">
        <v>14157</v>
      </c>
      <c r="D4017" s="71" t="s">
        <v>14158</v>
      </c>
      <c r="E4017" s="71"/>
      <c r="F4017" s="71"/>
      <c r="G4017" s="71"/>
      <c r="H4017" s="8" t="s">
        <v>14159</v>
      </c>
      <c r="I4017" s="9" t="s">
        <v>36</v>
      </c>
      <c r="J4017" s="8"/>
      <c r="K4017" s="6">
        <v>12</v>
      </c>
      <c r="L4017" s="10">
        <v>51.64</v>
      </c>
      <c r="M4017" s="11"/>
      <c r="N4017" s="8">
        <f t="shared" si="198"/>
        <v>0</v>
      </c>
      <c r="O4017" s="12">
        <f>0.065*M4017</f>
        <v>0</v>
      </c>
      <c r="P4017" s="13">
        <f>0.00041*M4017</f>
        <v>0</v>
      </c>
      <c r="Q4017" s="17" t="s">
        <v>37</v>
      </c>
      <c r="R4017" s="8" t="s">
        <v>14160</v>
      </c>
      <c r="S4017" s="8"/>
      <c r="T4017" s="7" t="str">
        <f>HYPERLINK("https://miland.ru/api/getInfo/image/8d0b1678-6932-11f0-a283-00155d82e908")</f>
        <v>https://miland.ru/api/getInfo/image/8d0b1678-6932-11f0-a283-00155d82e908</v>
      </c>
      <c r="U4017" s="7"/>
      <c r="V4017" s="7" t="s">
        <v>6525</v>
      </c>
      <c r="W4017" s="7" t="s">
        <v>378</v>
      </c>
      <c r="X4017" s="7"/>
      <c r="Y4017" s="7" t="s">
        <v>41</v>
      </c>
      <c r="Z4017" s="7"/>
      <c r="AA4017" s="7" t="str">
        <f>HYPERLINK("https://miland.ru/api/getInfo/item/8d0b1678-6932-11f0-a283-00155d82e908")</f>
        <v>https://miland.ru/api/getInfo/item/8d0b1678-6932-11f0-a283-00155d82e908</v>
      </c>
      <c r="AB4017" s="7" t="s">
        <v>42</v>
      </c>
      <c r="AC4017" s="7"/>
      <c r="AD4017" s="7"/>
      <c r="AE4017" s="54"/>
    </row>
    <row r="4018" spans="2:31" s="1" customFormat="1" ht="96.3" customHeight="1" outlineLevel="7">
      <c r="B4018" s="58">
        <v>3186</v>
      </c>
      <c r="C4018" s="7" t="s">
        <v>14161</v>
      </c>
      <c r="D4018" s="71" t="s">
        <v>14162</v>
      </c>
      <c r="E4018" s="71"/>
      <c r="F4018" s="71"/>
      <c r="G4018" s="71"/>
      <c r="H4018" s="8" t="s">
        <v>14163</v>
      </c>
      <c r="I4018" s="9" t="s">
        <v>36</v>
      </c>
      <c r="J4018" s="8"/>
      <c r="K4018" s="6">
        <v>12</v>
      </c>
      <c r="L4018" s="10">
        <v>51.64</v>
      </c>
      <c r="M4018" s="11"/>
      <c r="N4018" s="8">
        <f t="shared" si="198"/>
        <v>0</v>
      </c>
      <c r="O4018" s="12">
        <f>0.065*M4018</f>
        <v>0</v>
      </c>
      <c r="P4018" s="13">
        <f>0.00041*M4018</f>
        <v>0</v>
      </c>
      <c r="Q4018" s="17" t="s">
        <v>37</v>
      </c>
      <c r="R4018" s="8" t="s">
        <v>14164</v>
      </c>
      <c r="S4018" s="8"/>
      <c r="T4018" s="7" t="str">
        <f>HYPERLINK("https://miland.ru/api/getInfo/image/5b038a6d-6932-11f0-a283-00155d82e908")</f>
        <v>https://miland.ru/api/getInfo/image/5b038a6d-6932-11f0-a283-00155d82e908</v>
      </c>
      <c r="U4018" s="7"/>
      <c r="V4018" s="7" t="s">
        <v>6525</v>
      </c>
      <c r="W4018" s="7" t="s">
        <v>378</v>
      </c>
      <c r="X4018" s="7"/>
      <c r="Y4018" s="7" t="s">
        <v>41</v>
      </c>
      <c r="Z4018" s="7"/>
      <c r="AA4018" s="7" t="str">
        <f>HYPERLINK("https://miland.ru/api/getInfo/item/5b038a6d-6932-11f0-a283-00155d82e908")</f>
        <v>https://miland.ru/api/getInfo/item/5b038a6d-6932-11f0-a283-00155d82e908</v>
      </c>
      <c r="AB4018" s="7" t="s">
        <v>42</v>
      </c>
      <c r="AC4018" s="7"/>
      <c r="AD4018" s="7"/>
      <c r="AE4018" s="54"/>
    </row>
    <row r="4019" spans="2:31" s="1" customFormat="1" ht="96.3" customHeight="1" outlineLevel="7">
      <c r="B4019" s="58">
        <v>3187</v>
      </c>
      <c r="C4019" s="7" t="s">
        <v>14165</v>
      </c>
      <c r="D4019" s="71" t="s">
        <v>14166</v>
      </c>
      <c r="E4019" s="71"/>
      <c r="F4019" s="71"/>
      <c r="G4019" s="71"/>
      <c r="H4019" s="8" t="s">
        <v>14167</v>
      </c>
      <c r="I4019" s="9" t="s">
        <v>36</v>
      </c>
      <c r="J4019" s="8"/>
      <c r="K4019" s="6">
        <v>12</v>
      </c>
      <c r="L4019" s="10">
        <v>51.64</v>
      </c>
      <c r="M4019" s="11"/>
      <c r="N4019" s="8">
        <f t="shared" si="198"/>
        <v>0</v>
      </c>
      <c r="O4019" s="12">
        <f>0.067*M4019</f>
        <v>0</v>
      </c>
      <c r="P4019" s="13">
        <f>0.00041*M4019</f>
        <v>0</v>
      </c>
      <c r="Q4019" s="17" t="s">
        <v>37</v>
      </c>
      <c r="R4019" s="8" t="s">
        <v>14168</v>
      </c>
      <c r="S4019" s="8"/>
      <c r="T4019" s="7" t="str">
        <f>HYPERLINK("https://miland.ru/api/getInfo/image/42c41418-6932-11f0-a283-00155d82e908")</f>
        <v>https://miland.ru/api/getInfo/image/42c41418-6932-11f0-a283-00155d82e908</v>
      </c>
      <c r="U4019" s="7"/>
      <c r="V4019" s="7" t="s">
        <v>6525</v>
      </c>
      <c r="W4019" s="7" t="s">
        <v>378</v>
      </c>
      <c r="X4019" s="7"/>
      <c r="Y4019" s="7" t="s">
        <v>41</v>
      </c>
      <c r="Z4019" s="7"/>
      <c r="AA4019" s="7" t="str">
        <f>HYPERLINK("https://miland.ru/api/getInfo/item/42c41418-6932-11f0-a283-00155d82e908")</f>
        <v>https://miland.ru/api/getInfo/item/42c41418-6932-11f0-a283-00155d82e908</v>
      </c>
      <c r="AB4019" s="7" t="s">
        <v>42</v>
      </c>
      <c r="AC4019" s="7"/>
      <c r="AD4019" s="7"/>
      <c r="AE4019" s="54"/>
    </row>
    <row r="4020" spans="2:31" s="1" customFormat="1" ht="96.3" customHeight="1" outlineLevel="7">
      <c r="B4020" s="57">
        <v>3188</v>
      </c>
      <c r="C4020" s="21" t="s">
        <v>14169</v>
      </c>
      <c r="D4020" s="72" t="s">
        <v>14170</v>
      </c>
      <c r="E4020" s="72"/>
      <c r="F4020" s="72"/>
      <c r="G4020" s="72"/>
      <c r="H4020" s="22" t="s">
        <v>14171</v>
      </c>
      <c r="I4020" s="27">
        <v>12</v>
      </c>
      <c r="J4020" s="22"/>
      <c r="K4020" s="20">
        <v>12</v>
      </c>
      <c r="L4020" s="24">
        <v>51.64</v>
      </c>
      <c r="M4020" s="11"/>
      <c r="N4020" s="22">
        <f t="shared" si="198"/>
        <v>0</v>
      </c>
      <c r="O4020" s="28">
        <f>0.06*M4020</f>
        <v>0</v>
      </c>
      <c r="P4020" s="26">
        <f>0.00068*M4020</f>
        <v>0</v>
      </c>
      <c r="Q4020" s="30"/>
      <c r="R4020" s="22" t="s">
        <v>14172</v>
      </c>
      <c r="S4020" s="22" t="s">
        <v>435</v>
      </c>
      <c r="T4020" s="21" t="str">
        <f>HYPERLINK("https://miland.ru/api/getInfo/image/06ad90e8-f48e-11ed-a237-00155d82e902")</f>
        <v>https://miland.ru/api/getInfo/image/06ad90e8-f48e-11ed-a237-00155d82e902</v>
      </c>
      <c r="U4020" s="21"/>
      <c r="V4020" s="21" t="s">
        <v>6525</v>
      </c>
      <c r="W4020" s="21" t="s">
        <v>378</v>
      </c>
      <c r="X4020" s="21"/>
      <c r="Y4020" s="21" t="s">
        <v>41</v>
      </c>
      <c r="Z4020" s="21"/>
      <c r="AA4020" s="21" t="str">
        <f>HYPERLINK("https://miland.ru/api/getInfo/item/06ad90e8-f48e-11ed-a237-00155d82e902")</f>
        <v>https://miland.ru/api/getInfo/item/06ad90e8-f48e-11ed-a237-00155d82e902</v>
      </c>
      <c r="AB4020" s="21" t="s">
        <v>42</v>
      </c>
      <c r="AC4020" s="21"/>
      <c r="AD4020" s="21"/>
    </row>
    <row r="4021" spans="2:31" s="1" customFormat="1" ht="96.3" customHeight="1" outlineLevel="7">
      <c r="B4021" s="57">
        <v>3189</v>
      </c>
      <c r="C4021" s="21" t="s">
        <v>14173</v>
      </c>
      <c r="D4021" s="72" t="s">
        <v>14174</v>
      </c>
      <c r="E4021" s="72"/>
      <c r="F4021" s="72"/>
      <c r="G4021" s="72"/>
      <c r="H4021" s="22" t="s">
        <v>14175</v>
      </c>
      <c r="I4021" s="23" t="s">
        <v>36</v>
      </c>
      <c r="J4021" s="22"/>
      <c r="K4021" s="20">
        <v>12</v>
      </c>
      <c r="L4021" s="24">
        <v>51.64</v>
      </c>
      <c r="M4021" s="11"/>
      <c r="N4021" s="22">
        <f t="shared" si="198"/>
        <v>0</v>
      </c>
      <c r="O4021" s="25">
        <f>0.055*M4021</f>
        <v>0</v>
      </c>
      <c r="P4021" s="26">
        <f>0.00085*M4021</f>
        <v>0</v>
      </c>
      <c r="Q4021" s="30"/>
      <c r="R4021" s="22" t="s">
        <v>14176</v>
      </c>
      <c r="S4021" s="22" t="s">
        <v>435</v>
      </c>
      <c r="T4021" s="21" t="str">
        <f>HYPERLINK("https://miland.ru/api/getInfo/image/93bad6f5-5ec4-11ef-a262-00155d82e908")</f>
        <v>https://miland.ru/api/getInfo/image/93bad6f5-5ec4-11ef-a262-00155d82e908</v>
      </c>
      <c r="U4021" s="21"/>
      <c r="V4021" s="21" t="s">
        <v>6525</v>
      </c>
      <c r="W4021" s="21" t="s">
        <v>378</v>
      </c>
      <c r="X4021" s="21"/>
      <c r="Y4021" s="21" t="s">
        <v>41</v>
      </c>
      <c r="Z4021" s="21"/>
      <c r="AA4021" s="21" t="str">
        <f>HYPERLINK("https://miland.ru/api/getInfo/item/93bad6f5-5ec4-11ef-a262-00155d82e908")</f>
        <v>https://miland.ru/api/getInfo/item/93bad6f5-5ec4-11ef-a262-00155d82e908</v>
      </c>
      <c r="AB4021" s="21" t="s">
        <v>42</v>
      </c>
      <c r="AC4021" s="21" t="s">
        <v>14177</v>
      </c>
      <c r="AD4021" s="21"/>
    </row>
    <row r="4022" spans="2:31" s="1" customFormat="1" ht="96.3" customHeight="1" outlineLevel="7">
      <c r="B4022" s="57">
        <v>3190</v>
      </c>
      <c r="C4022" s="21" t="s">
        <v>14178</v>
      </c>
      <c r="D4022" s="72" t="s">
        <v>14179</v>
      </c>
      <c r="E4022" s="72"/>
      <c r="F4022" s="72"/>
      <c r="G4022" s="72"/>
      <c r="H4022" s="22" t="s">
        <v>14180</v>
      </c>
      <c r="I4022" s="23" t="s">
        <v>36</v>
      </c>
      <c r="J4022" s="22"/>
      <c r="K4022" s="20">
        <v>12</v>
      </c>
      <c r="L4022" s="24">
        <v>51.64</v>
      </c>
      <c r="M4022" s="11"/>
      <c r="N4022" s="22">
        <f t="shared" si="198"/>
        <v>0</v>
      </c>
      <c r="O4022" s="25">
        <f>0.056*M4022</f>
        <v>0</v>
      </c>
      <c r="P4022" s="25">
        <f>0.001*M4022</f>
        <v>0</v>
      </c>
      <c r="Q4022" s="30"/>
      <c r="R4022" s="22" t="s">
        <v>14181</v>
      </c>
      <c r="S4022" s="22" t="s">
        <v>435</v>
      </c>
      <c r="T4022" s="21" t="str">
        <f>HYPERLINK("https://miland.ru/api/getInfo/image/3eae2cbe-5ec4-11ef-a262-00155d82e908")</f>
        <v>https://miland.ru/api/getInfo/image/3eae2cbe-5ec4-11ef-a262-00155d82e908</v>
      </c>
      <c r="U4022" s="21"/>
      <c r="V4022" s="21" t="s">
        <v>6525</v>
      </c>
      <c r="W4022" s="21" t="s">
        <v>378</v>
      </c>
      <c r="X4022" s="21"/>
      <c r="Y4022" s="21" t="s">
        <v>41</v>
      </c>
      <c r="Z4022" s="21"/>
      <c r="AA4022" s="21" t="str">
        <f>HYPERLINK("https://miland.ru/api/getInfo/item/3eae2cbe-5ec4-11ef-a262-00155d82e908")</f>
        <v>https://miland.ru/api/getInfo/item/3eae2cbe-5ec4-11ef-a262-00155d82e908</v>
      </c>
      <c r="AB4022" s="21" t="s">
        <v>42</v>
      </c>
      <c r="AC4022" s="21" t="s">
        <v>14177</v>
      </c>
      <c r="AD4022" s="21"/>
    </row>
    <row r="4023" spans="2:31" s="1" customFormat="1" ht="96.3" customHeight="1" outlineLevel="7">
      <c r="B4023" s="57">
        <v>3191</v>
      </c>
      <c r="C4023" s="21" t="s">
        <v>14182</v>
      </c>
      <c r="D4023" s="72" t="s">
        <v>14183</v>
      </c>
      <c r="E4023" s="72"/>
      <c r="F4023" s="72"/>
      <c r="G4023" s="72"/>
      <c r="H4023" s="22" t="s">
        <v>14184</v>
      </c>
      <c r="I4023" s="23" t="s">
        <v>36</v>
      </c>
      <c r="J4023" s="22"/>
      <c r="K4023" s="20">
        <v>12</v>
      </c>
      <c r="L4023" s="24">
        <v>51.64</v>
      </c>
      <c r="M4023" s="11"/>
      <c r="N4023" s="22">
        <f t="shared" si="198"/>
        <v>0</v>
      </c>
      <c r="O4023" s="25">
        <f>0.056*M4023</f>
        <v>0</v>
      </c>
      <c r="P4023" s="26">
        <f>0.00027*M4023</f>
        <v>0</v>
      </c>
      <c r="Q4023" s="30"/>
      <c r="R4023" s="22" t="s">
        <v>14185</v>
      </c>
      <c r="S4023" s="22" t="s">
        <v>435</v>
      </c>
      <c r="T4023" s="21" t="str">
        <f>HYPERLINK("https://miland.ru/api/getInfo/image/ea92509f-5ec3-11ef-a262-00155d82e908")</f>
        <v>https://miland.ru/api/getInfo/image/ea92509f-5ec3-11ef-a262-00155d82e908</v>
      </c>
      <c r="U4023" s="21"/>
      <c r="V4023" s="21" t="s">
        <v>6525</v>
      </c>
      <c r="W4023" s="21" t="s">
        <v>378</v>
      </c>
      <c r="X4023" s="21"/>
      <c r="Y4023" s="21" t="s">
        <v>41</v>
      </c>
      <c r="Z4023" s="21"/>
      <c r="AA4023" s="21" t="str">
        <f>HYPERLINK("https://miland.ru/api/getInfo/item/ea92509f-5ec3-11ef-a262-00155d82e908")</f>
        <v>https://miland.ru/api/getInfo/item/ea92509f-5ec3-11ef-a262-00155d82e908</v>
      </c>
      <c r="AB4023" s="21" t="s">
        <v>42</v>
      </c>
      <c r="AC4023" s="21" t="s">
        <v>14177</v>
      </c>
      <c r="AD4023" s="21"/>
    </row>
    <row r="4024" spans="2:31" ht="12" customHeight="1" outlineLevel="6">
      <c r="B4024" s="70" t="s">
        <v>14186</v>
      </c>
      <c r="C4024" s="70"/>
      <c r="D4024" s="70"/>
      <c r="E4024" s="70"/>
      <c r="F4024" s="70"/>
      <c r="G4024" s="70"/>
    </row>
    <row r="4025" spans="2:31" s="1" customFormat="1" ht="96.3" customHeight="1" outlineLevel="7">
      <c r="B4025" s="58">
        <v>3192</v>
      </c>
      <c r="C4025" s="7" t="s">
        <v>14187</v>
      </c>
      <c r="D4025" s="71" t="s">
        <v>14188</v>
      </c>
      <c r="E4025" s="71"/>
      <c r="F4025" s="71"/>
      <c r="G4025" s="71"/>
      <c r="H4025" s="8" t="s">
        <v>14189</v>
      </c>
      <c r="I4025" s="9" t="s">
        <v>36</v>
      </c>
      <c r="J4025" s="8"/>
      <c r="K4025" s="6">
        <v>12</v>
      </c>
      <c r="L4025" s="10">
        <v>51.64</v>
      </c>
      <c r="M4025" s="11"/>
      <c r="N4025" s="8">
        <f>L4025*M4025</f>
        <v>0</v>
      </c>
      <c r="O4025" s="12">
        <f>0.051*M4025</f>
        <v>0</v>
      </c>
      <c r="P4025" s="16">
        <f>0.0002*M4025</f>
        <v>0</v>
      </c>
      <c r="Q4025" s="17" t="s">
        <v>37</v>
      </c>
      <c r="R4025" s="8" t="s">
        <v>14190</v>
      </c>
      <c r="S4025" s="8"/>
      <c r="T4025" s="7" t="str">
        <f>HYPERLINK("https://miland.ru/api/getInfo/image/e9423f34-728e-11f0-a284-00155d82e908")</f>
        <v>https://miland.ru/api/getInfo/image/e9423f34-728e-11f0-a284-00155d82e908</v>
      </c>
      <c r="U4025" s="7"/>
      <c r="V4025" s="7" t="s">
        <v>6525</v>
      </c>
      <c r="W4025" s="7" t="s">
        <v>378</v>
      </c>
      <c r="X4025" s="7"/>
      <c r="Y4025" s="7" t="s">
        <v>41</v>
      </c>
      <c r="Z4025" s="7"/>
      <c r="AA4025" s="7" t="str">
        <f>HYPERLINK("https://miland.ru/api/getInfo/item/e9423f34-728e-11f0-a284-00155d82e908")</f>
        <v>https://miland.ru/api/getInfo/item/e9423f34-728e-11f0-a284-00155d82e908</v>
      </c>
      <c r="AB4025" s="7" t="s">
        <v>42</v>
      </c>
      <c r="AC4025" s="7"/>
      <c r="AD4025" s="7"/>
      <c r="AE4025" s="54"/>
    </row>
    <row r="4026" spans="2:31" s="1" customFormat="1" ht="96.3" customHeight="1" outlineLevel="7">
      <c r="B4026" s="58">
        <v>3193</v>
      </c>
      <c r="C4026" s="7" t="s">
        <v>14191</v>
      </c>
      <c r="D4026" s="71" t="s">
        <v>14192</v>
      </c>
      <c r="E4026" s="71"/>
      <c r="F4026" s="71"/>
      <c r="G4026" s="71"/>
      <c r="H4026" s="8" t="s">
        <v>14193</v>
      </c>
      <c r="I4026" s="9" t="s">
        <v>36</v>
      </c>
      <c r="J4026" s="8"/>
      <c r="K4026" s="6">
        <v>12</v>
      </c>
      <c r="L4026" s="10">
        <v>51.64</v>
      </c>
      <c r="M4026" s="11"/>
      <c r="N4026" s="8">
        <f>L4026*M4026</f>
        <v>0</v>
      </c>
      <c r="O4026" s="18">
        <f>0.05*M4026</f>
        <v>0</v>
      </c>
      <c r="P4026" s="16">
        <f>0.0002*M4026</f>
        <v>0</v>
      </c>
      <c r="Q4026" s="17" t="s">
        <v>37</v>
      </c>
      <c r="R4026" s="8" t="s">
        <v>14194</v>
      </c>
      <c r="S4026" s="8"/>
      <c r="T4026" s="7" t="str">
        <f>HYPERLINK("https://miland.ru/api/getInfo/image/22a77c76-728f-11f0-a284-00155d82e908")</f>
        <v>https://miland.ru/api/getInfo/image/22a77c76-728f-11f0-a284-00155d82e908</v>
      </c>
      <c r="U4026" s="7"/>
      <c r="V4026" s="7" t="s">
        <v>6525</v>
      </c>
      <c r="W4026" s="7" t="s">
        <v>378</v>
      </c>
      <c r="X4026" s="7"/>
      <c r="Y4026" s="7" t="s">
        <v>41</v>
      </c>
      <c r="Z4026" s="7"/>
      <c r="AA4026" s="7" t="str">
        <f>HYPERLINK("https://miland.ru/api/getInfo/item/22a77c76-728f-11f0-a284-00155d82e908")</f>
        <v>https://miland.ru/api/getInfo/item/22a77c76-728f-11f0-a284-00155d82e908</v>
      </c>
      <c r="AB4026" s="7" t="s">
        <v>42</v>
      </c>
      <c r="AC4026" s="7"/>
      <c r="AD4026" s="7"/>
      <c r="AE4026" s="54"/>
    </row>
    <row r="4027" spans="2:31" s="1" customFormat="1" ht="96.3" customHeight="1" outlineLevel="7">
      <c r="B4027" s="58">
        <v>3194</v>
      </c>
      <c r="C4027" s="7" t="s">
        <v>14195</v>
      </c>
      <c r="D4027" s="71" t="s">
        <v>14196</v>
      </c>
      <c r="E4027" s="71"/>
      <c r="F4027" s="71"/>
      <c r="G4027" s="71"/>
      <c r="H4027" s="8" t="s">
        <v>14197</v>
      </c>
      <c r="I4027" s="9" t="s">
        <v>36</v>
      </c>
      <c r="J4027" s="8"/>
      <c r="K4027" s="6">
        <v>12</v>
      </c>
      <c r="L4027" s="10">
        <v>51.64</v>
      </c>
      <c r="M4027" s="11"/>
      <c r="N4027" s="8">
        <f>L4027*M4027</f>
        <v>0</v>
      </c>
      <c r="O4027" s="12">
        <f>0.051*M4027</f>
        <v>0</v>
      </c>
      <c r="P4027" s="16">
        <f>0.0002*M4027</f>
        <v>0</v>
      </c>
      <c r="Q4027" s="17" t="s">
        <v>37</v>
      </c>
      <c r="R4027" s="8" t="s">
        <v>14198</v>
      </c>
      <c r="S4027" s="8"/>
      <c r="T4027" s="7" t="str">
        <f>HYPERLINK("https://miland.ru/api/getInfo/image/0b7cf7cd-728f-11f0-a284-00155d82e908")</f>
        <v>https://miland.ru/api/getInfo/image/0b7cf7cd-728f-11f0-a284-00155d82e908</v>
      </c>
      <c r="U4027" s="7"/>
      <c r="V4027" s="7" t="s">
        <v>6525</v>
      </c>
      <c r="W4027" s="7" t="s">
        <v>378</v>
      </c>
      <c r="X4027" s="7"/>
      <c r="Y4027" s="7" t="s">
        <v>41</v>
      </c>
      <c r="Z4027" s="7"/>
      <c r="AA4027" s="7" t="str">
        <f>HYPERLINK("https://miland.ru/api/getInfo/item/0b7cf7cd-728f-11f0-a284-00155d82e908")</f>
        <v>https://miland.ru/api/getInfo/item/0b7cf7cd-728f-11f0-a284-00155d82e908</v>
      </c>
      <c r="AB4027" s="7" t="s">
        <v>42</v>
      </c>
      <c r="AC4027" s="7"/>
      <c r="AD4027" s="7"/>
      <c r="AE4027" s="54"/>
    </row>
    <row r="4028" spans="2:31" s="1" customFormat="1" ht="96.3" customHeight="1" outlineLevel="7">
      <c r="B4028" s="58">
        <v>3195</v>
      </c>
      <c r="C4028" s="7" t="s">
        <v>14199</v>
      </c>
      <c r="D4028" s="71" t="s">
        <v>14200</v>
      </c>
      <c r="E4028" s="71"/>
      <c r="F4028" s="71"/>
      <c r="G4028" s="71"/>
      <c r="H4028" s="8" t="s">
        <v>14201</v>
      </c>
      <c r="I4028" s="9" t="s">
        <v>36</v>
      </c>
      <c r="J4028" s="8"/>
      <c r="K4028" s="6">
        <v>12</v>
      </c>
      <c r="L4028" s="10">
        <v>51.64</v>
      </c>
      <c r="M4028" s="11"/>
      <c r="N4028" s="8">
        <f>L4028*M4028</f>
        <v>0</v>
      </c>
      <c r="O4028" s="18">
        <f>0.05*M4028</f>
        <v>0</v>
      </c>
      <c r="P4028" s="16">
        <f>0.0002*M4028</f>
        <v>0</v>
      </c>
      <c r="Q4028" s="17" t="s">
        <v>37</v>
      </c>
      <c r="R4028" s="8" t="s">
        <v>14202</v>
      </c>
      <c r="S4028" s="8"/>
      <c r="T4028" s="7" t="str">
        <f>HYPERLINK("https://miland.ru/api/getInfo/image/d237c64c-728e-11f0-a284-00155d82e908")</f>
        <v>https://miland.ru/api/getInfo/image/d237c64c-728e-11f0-a284-00155d82e908</v>
      </c>
      <c r="U4028" s="7"/>
      <c r="V4028" s="7" t="s">
        <v>6525</v>
      </c>
      <c r="W4028" s="7" t="s">
        <v>378</v>
      </c>
      <c r="X4028" s="7"/>
      <c r="Y4028" s="7" t="s">
        <v>41</v>
      </c>
      <c r="Z4028" s="7"/>
      <c r="AA4028" s="7" t="str">
        <f>HYPERLINK("https://miland.ru/api/getInfo/item/d237c64c-728e-11f0-a284-00155d82e908")</f>
        <v>https://miland.ru/api/getInfo/item/d237c64c-728e-11f0-a284-00155d82e908</v>
      </c>
      <c r="AB4028" s="7" t="s">
        <v>42</v>
      </c>
      <c r="AC4028" s="7"/>
      <c r="AD4028" s="7"/>
      <c r="AE4028" s="54"/>
    </row>
    <row r="4029" spans="2:31" ht="12" customHeight="1" outlineLevel="4">
      <c r="B4029" s="70" t="s">
        <v>7212</v>
      </c>
      <c r="C4029" s="70"/>
      <c r="D4029" s="70"/>
      <c r="E4029" s="70"/>
      <c r="F4029" s="70"/>
      <c r="G4029" s="70"/>
    </row>
    <row r="4030" spans="2:31" ht="12" customHeight="1" outlineLevel="5">
      <c r="B4030" s="70" t="s">
        <v>14203</v>
      </c>
      <c r="C4030" s="70"/>
      <c r="D4030" s="70"/>
      <c r="E4030" s="70"/>
      <c r="F4030" s="70"/>
      <c r="G4030" s="70"/>
    </row>
    <row r="4031" spans="2:31" ht="12" customHeight="1" outlineLevel="6">
      <c r="B4031" s="70" t="s">
        <v>14204</v>
      </c>
      <c r="C4031" s="70"/>
      <c r="D4031" s="70"/>
      <c r="E4031" s="70"/>
      <c r="F4031" s="70"/>
      <c r="G4031" s="70"/>
    </row>
    <row r="4032" spans="2:31" s="1" customFormat="1" ht="96.3" customHeight="1" outlineLevel="7">
      <c r="B4032" s="59">
        <v>3196</v>
      </c>
      <c r="C4032" s="35" t="s">
        <v>14205</v>
      </c>
      <c r="D4032" s="73" t="s">
        <v>14206</v>
      </c>
      <c r="E4032" s="73"/>
      <c r="F4032" s="73"/>
      <c r="G4032" s="73"/>
      <c r="H4032" s="36" t="s">
        <v>14207</v>
      </c>
      <c r="I4032" s="56" t="s">
        <v>36</v>
      </c>
      <c r="J4032" s="36"/>
      <c r="K4032" s="34">
        <v>12</v>
      </c>
      <c r="L4032" s="41">
        <v>51.226666666666667</v>
      </c>
      <c r="M4032" s="11"/>
      <c r="N4032" s="36">
        <f>L4032*M4032</f>
        <v>0</v>
      </c>
      <c r="O4032" s="42">
        <f>0.095*M4032</f>
        <v>0</v>
      </c>
      <c r="P4032" s="43">
        <f>0.00119*M4032</f>
        <v>0</v>
      </c>
      <c r="Q4032" s="50"/>
      <c r="R4032" s="36" t="s">
        <v>14208</v>
      </c>
      <c r="S4032" s="36" t="s">
        <v>435</v>
      </c>
      <c r="T4032" s="35" t="str">
        <f>HYPERLINK("https://miland.ru/api/getInfo/image/063585f9-77bf-11ee-a248-00155d82e902")</f>
        <v>https://miland.ru/api/getInfo/image/063585f9-77bf-11ee-a248-00155d82e902</v>
      </c>
      <c r="U4032" s="35"/>
      <c r="V4032" s="35" t="s">
        <v>6525</v>
      </c>
      <c r="W4032" s="35" t="s">
        <v>378</v>
      </c>
      <c r="X4032" s="35"/>
      <c r="Y4032" s="35" t="s">
        <v>41</v>
      </c>
      <c r="Z4032" s="35"/>
      <c r="AA4032" s="35" t="str">
        <f>HYPERLINK("https://miland.ru/api/getInfo/item/063585f9-77bf-11ee-a248-00155d82e902")</f>
        <v>https://miland.ru/api/getInfo/item/063585f9-77bf-11ee-a248-00155d82e902</v>
      </c>
      <c r="AB4032" s="35" t="s">
        <v>42</v>
      </c>
      <c r="AC4032" s="35" t="s">
        <v>14209</v>
      </c>
      <c r="AD4032" s="35"/>
      <c r="AE4032" s="52" t="s">
        <v>1251</v>
      </c>
    </row>
    <row r="4033" spans="2:31" s="1" customFormat="1" ht="96.3" customHeight="1" outlineLevel="7">
      <c r="B4033" s="57">
        <v>3197</v>
      </c>
      <c r="C4033" s="21" t="s">
        <v>14210</v>
      </c>
      <c r="D4033" s="72" t="s">
        <v>14211</v>
      </c>
      <c r="E4033" s="72"/>
      <c r="F4033" s="72"/>
      <c r="G4033" s="72"/>
      <c r="H4033" s="22" t="s">
        <v>14212</v>
      </c>
      <c r="I4033" s="27">
        <v>192</v>
      </c>
      <c r="J4033" s="22"/>
      <c r="K4033" s="20">
        <v>12</v>
      </c>
      <c r="L4033" s="24">
        <v>86.31</v>
      </c>
      <c r="M4033" s="11"/>
      <c r="N4033" s="22">
        <f>L4033*M4033</f>
        <v>0</v>
      </c>
      <c r="O4033" s="25">
        <f>0.068*M4033</f>
        <v>0</v>
      </c>
      <c r="P4033" s="26">
        <f>0.00034*M4033</f>
        <v>0</v>
      </c>
      <c r="Q4033" s="30"/>
      <c r="R4033" s="22" t="s">
        <v>14213</v>
      </c>
      <c r="S4033" s="22" t="s">
        <v>435</v>
      </c>
      <c r="T4033" s="21" t="str">
        <f>HYPERLINK("https://miland.ru/api/getInfo/image/d029ea3e-77be-11ee-a248-00155d82e902")</f>
        <v>https://miland.ru/api/getInfo/image/d029ea3e-77be-11ee-a248-00155d82e902</v>
      </c>
      <c r="U4033" s="21"/>
      <c r="V4033" s="21" t="s">
        <v>6525</v>
      </c>
      <c r="W4033" s="21" t="s">
        <v>378</v>
      </c>
      <c r="X4033" s="21"/>
      <c r="Y4033" s="21" t="s">
        <v>41</v>
      </c>
      <c r="Z4033" s="21"/>
      <c r="AA4033" s="21" t="str">
        <f>HYPERLINK("https://miland.ru/api/getInfo/item/d029ea3e-77be-11ee-a248-00155d82e902")</f>
        <v>https://miland.ru/api/getInfo/item/d029ea3e-77be-11ee-a248-00155d82e902</v>
      </c>
      <c r="AB4033" s="21" t="s">
        <v>42</v>
      </c>
      <c r="AC4033" s="21" t="s">
        <v>14209</v>
      </c>
      <c r="AD4033" s="21"/>
    </row>
    <row r="4034" spans="2:31" s="1" customFormat="1" ht="96.3" customHeight="1" outlineLevel="7">
      <c r="B4034" s="57">
        <v>3198</v>
      </c>
      <c r="C4034" s="21" t="s">
        <v>14214</v>
      </c>
      <c r="D4034" s="72" t="s">
        <v>14215</v>
      </c>
      <c r="E4034" s="72"/>
      <c r="F4034" s="72"/>
      <c r="G4034" s="72"/>
      <c r="H4034" s="22" t="s">
        <v>14216</v>
      </c>
      <c r="I4034" s="23" t="s">
        <v>36</v>
      </c>
      <c r="J4034" s="22"/>
      <c r="K4034" s="20">
        <v>12</v>
      </c>
      <c r="L4034" s="24">
        <v>86.31</v>
      </c>
      <c r="M4034" s="11"/>
      <c r="N4034" s="22">
        <f>L4034*M4034</f>
        <v>0</v>
      </c>
      <c r="O4034" s="28">
        <f>0.07*M4034</f>
        <v>0</v>
      </c>
      <c r="P4034" s="26">
        <f>0.00034*M4034</f>
        <v>0</v>
      </c>
      <c r="Q4034" s="30"/>
      <c r="R4034" s="22" t="s">
        <v>14217</v>
      </c>
      <c r="S4034" s="22" t="s">
        <v>435</v>
      </c>
      <c r="T4034" s="21" t="str">
        <f>HYPERLINK("https://miland.ru/api/getInfo/image/ec6ba0d1-77be-11ee-a248-00155d82e902")</f>
        <v>https://miland.ru/api/getInfo/image/ec6ba0d1-77be-11ee-a248-00155d82e902</v>
      </c>
      <c r="U4034" s="21"/>
      <c r="V4034" s="21" t="s">
        <v>6525</v>
      </c>
      <c r="W4034" s="21" t="s">
        <v>378</v>
      </c>
      <c r="X4034" s="21"/>
      <c r="Y4034" s="21" t="s">
        <v>41</v>
      </c>
      <c r="Z4034" s="21"/>
      <c r="AA4034" s="21" t="str">
        <f>HYPERLINK("https://miland.ru/api/getInfo/item/ec6ba0d1-77be-11ee-a248-00155d82e902")</f>
        <v>https://miland.ru/api/getInfo/item/ec6ba0d1-77be-11ee-a248-00155d82e902</v>
      </c>
      <c r="AB4034" s="21" t="s">
        <v>42</v>
      </c>
      <c r="AC4034" s="21" t="s">
        <v>14209</v>
      </c>
      <c r="AD4034" s="21"/>
    </row>
    <row r="4035" spans="2:31" ht="12" customHeight="1" outlineLevel="6">
      <c r="B4035" s="70" t="s">
        <v>7214</v>
      </c>
      <c r="C4035" s="70"/>
      <c r="D4035" s="70"/>
      <c r="E4035" s="70"/>
      <c r="F4035" s="70"/>
      <c r="G4035" s="70"/>
    </row>
    <row r="4036" spans="2:31" s="1" customFormat="1" ht="96.3" customHeight="1" outlineLevel="7">
      <c r="B4036" s="59">
        <v>3199</v>
      </c>
      <c r="C4036" s="35" t="s">
        <v>14218</v>
      </c>
      <c r="D4036" s="73" t="s">
        <v>14219</v>
      </c>
      <c r="E4036" s="73"/>
      <c r="F4036" s="73"/>
      <c r="G4036" s="73"/>
      <c r="H4036" s="36" t="s">
        <v>14220</v>
      </c>
      <c r="I4036" s="40">
        <v>228</v>
      </c>
      <c r="J4036" s="36"/>
      <c r="K4036" s="34">
        <v>12</v>
      </c>
      <c r="L4036" s="41">
        <v>51.226666666666667</v>
      </c>
      <c r="M4036" s="11"/>
      <c r="N4036" s="36">
        <f t="shared" ref="N4036:N4056" si="199">L4036*M4036</f>
        <v>0</v>
      </c>
      <c r="O4036" s="42">
        <f>0.075*M4036</f>
        <v>0</v>
      </c>
      <c r="P4036" s="43">
        <f>0.00034*M4036</f>
        <v>0</v>
      </c>
      <c r="Q4036" s="50"/>
      <c r="R4036" s="36" t="s">
        <v>14221</v>
      </c>
      <c r="S4036" s="36" t="s">
        <v>435</v>
      </c>
      <c r="T4036" s="35" t="str">
        <f>HYPERLINK("https://miland.ru/api/getInfo/image/b52a1552-77be-11ee-a248-00155d82e902")</f>
        <v>https://miland.ru/api/getInfo/image/b52a1552-77be-11ee-a248-00155d82e902</v>
      </c>
      <c r="U4036" s="35"/>
      <c r="V4036" s="35" t="s">
        <v>6525</v>
      </c>
      <c r="W4036" s="35" t="s">
        <v>378</v>
      </c>
      <c r="X4036" s="35"/>
      <c r="Y4036" s="35" t="s">
        <v>41</v>
      </c>
      <c r="Z4036" s="35"/>
      <c r="AA4036" s="35" t="str">
        <f>HYPERLINK("https://miland.ru/api/getInfo/item/b52a1552-77be-11ee-a248-00155d82e902")</f>
        <v>https://miland.ru/api/getInfo/item/b52a1552-77be-11ee-a248-00155d82e902</v>
      </c>
      <c r="AB4036" s="35" t="s">
        <v>42</v>
      </c>
      <c r="AC4036" s="35" t="s">
        <v>14209</v>
      </c>
      <c r="AD4036" s="35"/>
      <c r="AE4036" s="52" t="s">
        <v>1251</v>
      </c>
    </row>
    <row r="4037" spans="2:31" s="1" customFormat="1" ht="96.3" customHeight="1" outlineLevel="7">
      <c r="B4037" s="59">
        <v>3200</v>
      </c>
      <c r="C4037" s="35" t="s">
        <v>14222</v>
      </c>
      <c r="D4037" s="73" t="s">
        <v>14223</v>
      </c>
      <c r="E4037" s="73"/>
      <c r="F4037" s="73"/>
      <c r="G4037" s="73"/>
      <c r="H4037" s="36" t="s">
        <v>14224</v>
      </c>
      <c r="I4037" s="56" t="s">
        <v>36</v>
      </c>
      <c r="J4037" s="36"/>
      <c r="K4037" s="34">
        <v>12</v>
      </c>
      <c r="L4037" s="41">
        <v>51.226666666666667</v>
      </c>
      <c r="M4037" s="11"/>
      <c r="N4037" s="36">
        <f t="shared" si="199"/>
        <v>0</v>
      </c>
      <c r="O4037" s="42">
        <f>0.062*M4037</f>
        <v>0</v>
      </c>
      <c r="P4037" s="43">
        <f>0.00034*M4037</f>
        <v>0</v>
      </c>
      <c r="Q4037" s="50"/>
      <c r="R4037" s="36" t="s">
        <v>14225</v>
      </c>
      <c r="S4037" s="36" t="s">
        <v>435</v>
      </c>
      <c r="T4037" s="35" t="str">
        <f>HYPERLINK("https://miland.ru/api/getInfo/image/642aafb3-77be-11ee-a248-00155d82e902")</f>
        <v>https://miland.ru/api/getInfo/image/642aafb3-77be-11ee-a248-00155d82e902</v>
      </c>
      <c r="U4037" s="35"/>
      <c r="V4037" s="35" t="s">
        <v>6525</v>
      </c>
      <c r="W4037" s="35" t="s">
        <v>378</v>
      </c>
      <c r="X4037" s="35"/>
      <c r="Y4037" s="35" t="s">
        <v>41</v>
      </c>
      <c r="Z4037" s="35"/>
      <c r="AA4037" s="35" t="str">
        <f>HYPERLINK("https://miland.ru/api/getInfo/item/642aafb3-77be-11ee-a248-00155d82e902")</f>
        <v>https://miland.ru/api/getInfo/item/642aafb3-77be-11ee-a248-00155d82e902</v>
      </c>
      <c r="AB4037" s="35" t="s">
        <v>42</v>
      </c>
      <c r="AC4037" s="35" t="s">
        <v>14209</v>
      </c>
      <c r="AD4037" s="35"/>
      <c r="AE4037" s="52" t="s">
        <v>1251</v>
      </c>
    </row>
    <row r="4038" spans="2:31" s="1" customFormat="1" ht="96.3" customHeight="1" outlineLevel="7">
      <c r="B4038" s="57">
        <v>3201</v>
      </c>
      <c r="C4038" s="21" t="s">
        <v>14226</v>
      </c>
      <c r="D4038" s="72" t="s">
        <v>14227</v>
      </c>
      <c r="E4038" s="72"/>
      <c r="F4038" s="72"/>
      <c r="G4038" s="72"/>
      <c r="H4038" s="22" t="s">
        <v>14228</v>
      </c>
      <c r="I4038" s="27">
        <v>456</v>
      </c>
      <c r="J4038" s="22"/>
      <c r="K4038" s="20">
        <v>12</v>
      </c>
      <c r="L4038" s="24">
        <v>86.31</v>
      </c>
      <c r="M4038" s="11"/>
      <c r="N4038" s="22">
        <f t="shared" si="199"/>
        <v>0</v>
      </c>
      <c r="O4038" s="25">
        <f>0.065*M4038</f>
        <v>0</v>
      </c>
      <c r="P4038" s="26">
        <f>0.00034*M4038</f>
        <v>0</v>
      </c>
      <c r="Q4038" s="30"/>
      <c r="R4038" s="22" t="s">
        <v>14229</v>
      </c>
      <c r="S4038" s="22" t="s">
        <v>435</v>
      </c>
      <c r="T4038" s="21" t="str">
        <f>HYPERLINK("https://miland.ru/api/getInfo/image/7f497ad2-77be-11ee-a248-00155d82e902")</f>
        <v>https://miland.ru/api/getInfo/image/7f497ad2-77be-11ee-a248-00155d82e902</v>
      </c>
      <c r="U4038" s="21"/>
      <c r="V4038" s="21" t="s">
        <v>6525</v>
      </c>
      <c r="W4038" s="21" t="s">
        <v>378</v>
      </c>
      <c r="X4038" s="21"/>
      <c r="Y4038" s="21" t="s">
        <v>41</v>
      </c>
      <c r="Z4038" s="21"/>
      <c r="AA4038" s="21" t="str">
        <f>HYPERLINK("https://miland.ru/api/getInfo/item/7f497ad2-77be-11ee-a248-00155d82e902")</f>
        <v>https://miland.ru/api/getInfo/item/7f497ad2-77be-11ee-a248-00155d82e902</v>
      </c>
      <c r="AB4038" s="21" t="s">
        <v>42</v>
      </c>
      <c r="AC4038" s="21" t="s">
        <v>14209</v>
      </c>
      <c r="AD4038" s="21"/>
    </row>
    <row r="4039" spans="2:31" s="1" customFormat="1" ht="96.3" customHeight="1" outlineLevel="7">
      <c r="B4039" s="57">
        <v>3202</v>
      </c>
      <c r="C4039" s="21" t="s">
        <v>14230</v>
      </c>
      <c r="D4039" s="72" t="s">
        <v>14231</v>
      </c>
      <c r="E4039" s="72"/>
      <c r="F4039" s="72"/>
      <c r="G4039" s="72"/>
      <c r="H4039" s="22" t="s">
        <v>14232</v>
      </c>
      <c r="I4039" s="27">
        <v>444</v>
      </c>
      <c r="J4039" s="22"/>
      <c r="K4039" s="20">
        <v>12</v>
      </c>
      <c r="L4039" s="24">
        <v>86.31</v>
      </c>
      <c r="M4039" s="11"/>
      <c r="N4039" s="22">
        <f t="shared" si="199"/>
        <v>0</v>
      </c>
      <c r="O4039" s="25">
        <f>0.073*M4039</f>
        <v>0</v>
      </c>
      <c r="P4039" s="26">
        <f>0.00017*M4039</f>
        <v>0</v>
      </c>
      <c r="Q4039" s="30"/>
      <c r="R4039" s="22" t="s">
        <v>14233</v>
      </c>
      <c r="S4039" s="22" t="s">
        <v>435</v>
      </c>
      <c r="T4039" s="21" t="str">
        <f>HYPERLINK("https://miland.ru/api/getInfo/image/a6101494-f58a-11ee-a25b-00155d82e908")</f>
        <v>https://miland.ru/api/getInfo/image/a6101494-f58a-11ee-a25b-00155d82e908</v>
      </c>
      <c r="U4039" s="21"/>
      <c r="V4039" s="21" t="s">
        <v>6525</v>
      </c>
      <c r="W4039" s="21" t="s">
        <v>378</v>
      </c>
      <c r="X4039" s="21"/>
      <c r="Y4039" s="21" t="s">
        <v>41</v>
      </c>
      <c r="Z4039" s="21"/>
      <c r="AA4039" s="21" t="str">
        <f>HYPERLINK("https://miland.ru/api/getInfo/item/a6101494-f58a-11ee-a25b-00155d82e908")</f>
        <v>https://miland.ru/api/getInfo/item/a6101494-f58a-11ee-a25b-00155d82e908</v>
      </c>
      <c r="AB4039" s="21" t="s">
        <v>42</v>
      </c>
      <c r="AC4039" s="21"/>
      <c r="AD4039" s="21"/>
    </row>
    <row r="4040" spans="2:31" s="1" customFormat="1" ht="96.3" customHeight="1" outlineLevel="7">
      <c r="B4040" s="57">
        <v>3203</v>
      </c>
      <c r="C4040" s="21" t="s">
        <v>14234</v>
      </c>
      <c r="D4040" s="72" t="s">
        <v>14235</v>
      </c>
      <c r="E4040" s="72"/>
      <c r="F4040" s="72"/>
      <c r="G4040" s="72"/>
      <c r="H4040" s="22" t="s">
        <v>14236</v>
      </c>
      <c r="I4040" s="27">
        <v>216</v>
      </c>
      <c r="J4040" s="22"/>
      <c r="K4040" s="20">
        <v>12</v>
      </c>
      <c r="L4040" s="24">
        <v>86.31</v>
      </c>
      <c r="M4040" s="11"/>
      <c r="N4040" s="22">
        <f t="shared" si="199"/>
        <v>0</v>
      </c>
      <c r="O4040" s="25">
        <f>0.087*M4040</f>
        <v>0</v>
      </c>
      <c r="P4040" s="26">
        <f>0.00407*M4040</f>
        <v>0</v>
      </c>
      <c r="Q4040" s="30"/>
      <c r="R4040" s="22" t="s">
        <v>14237</v>
      </c>
      <c r="S4040" s="22" t="s">
        <v>435</v>
      </c>
      <c r="T4040" s="21" t="str">
        <f>HYPERLINK("https://miland.ru/api/getInfo/image/5bcb1450-f592-11ee-a25b-00155d82e908")</f>
        <v>https://miland.ru/api/getInfo/image/5bcb1450-f592-11ee-a25b-00155d82e908</v>
      </c>
      <c r="U4040" s="21"/>
      <c r="V4040" s="21" t="s">
        <v>6525</v>
      </c>
      <c r="W4040" s="21" t="s">
        <v>378</v>
      </c>
      <c r="X4040" s="21"/>
      <c r="Y4040" s="21" t="s">
        <v>41</v>
      </c>
      <c r="Z4040" s="21"/>
      <c r="AA4040" s="21" t="str">
        <f>HYPERLINK("https://miland.ru/api/getInfo/item/5bcb1450-f592-11ee-a25b-00155d82e908")</f>
        <v>https://miland.ru/api/getInfo/item/5bcb1450-f592-11ee-a25b-00155d82e908</v>
      </c>
      <c r="AB4040" s="21" t="s">
        <v>42</v>
      </c>
      <c r="AC4040" s="21"/>
      <c r="AD4040" s="21"/>
    </row>
    <row r="4041" spans="2:31" s="1" customFormat="1" ht="96.3" customHeight="1" outlineLevel="7">
      <c r="B4041" s="57">
        <v>3204</v>
      </c>
      <c r="C4041" s="21" t="s">
        <v>14238</v>
      </c>
      <c r="D4041" s="72" t="s">
        <v>14239</v>
      </c>
      <c r="E4041" s="72"/>
      <c r="F4041" s="72"/>
      <c r="G4041" s="72"/>
      <c r="H4041" s="22" t="s">
        <v>14240</v>
      </c>
      <c r="I4041" s="27">
        <v>60</v>
      </c>
      <c r="J4041" s="22"/>
      <c r="K4041" s="20">
        <v>12</v>
      </c>
      <c r="L4041" s="24">
        <v>86.31</v>
      </c>
      <c r="M4041" s="11"/>
      <c r="N4041" s="22">
        <f t="shared" si="199"/>
        <v>0</v>
      </c>
      <c r="O4041" s="28">
        <f>0.09*M4041</f>
        <v>0</v>
      </c>
      <c r="P4041" s="26">
        <f>0.00346*M4041</f>
        <v>0</v>
      </c>
      <c r="Q4041" s="30"/>
      <c r="R4041" s="22" t="s">
        <v>14241</v>
      </c>
      <c r="S4041" s="22" t="s">
        <v>435</v>
      </c>
      <c r="T4041" s="21" t="str">
        <f>HYPERLINK("https://miland.ru/api/getInfo/image/872cc238-f592-11ee-a25b-00155d82e908")</f>
        <v>https://miland.ru/api/getInfo/image/872cc238-f592-11ee-a25b-00155d82e908</v>
      </c>
      <c r="U4041" s="21"/>
      <c r="V4041" s="21" t="s">
        <v>6525</v>
      </c>
      <c r="W4041" s="21" t="s">
        <v>378</v>
      </c>
      <c r="X4041" s="21"/>
      <c r="Y4041" s="21" t="s">
        <v>41</v>
      </c>
      <c r="Z4041" s="21"/>
      <c r="AA4041" s="21" t="str">
        <f>HYPERLINK("https://miland.ru/api/getInfo/item/872cc238-f592-11ee-a25b-00155d82e908")</f>
        <v>https://miland.ru/api/getInfo/item/872cc238-f592-11ee-a25b-00155d82e908</v>
      </c>
      <c r="AB4041" s="21" t="s">
        <v>42</v>
      </c>
      <c r="AC4041" s="21"/>
      <c r="AD4041" s="21"/>
    </row>
    <row r="4042" spans="2:31" s="1" customFormat="1" ht="96.3" customHeight="1" outlineLevel="7">
      <c r="B4042" s="57">
        <v>3205</v>
      </c>
      <c r="C4042" s="21" t="s">
        <v>14242</v>
      </c>
      <c r="D4042" s="72" t="s">
        <v>14243</v>
      </c>
      <c r="E4042" s="72"/>
      <c r="F4042" s="72"/>
      <c r="G4042" s="72"/>
      <c r="H4042" s="22" t="s">
        <v>14244</v>
      </c>
      <c r="I4042" s="23" t="s">
        <v>36</v>
      </c>
      <c r="J4042" s="22"/>
      <c r="K4042" s="20">
        <v>12</v>
      </c>
      <c r="L4042" s="24">
        <v>86.31</v>
      </c>
      <c r="M4042" s="11"/>
      <c r="N4042" s="22">
        <f t="shared" si="199"/>
        <v>0</v>
      </c>
      <c r="O4042" s="25">
        <f t="shared" ref="O4042:O4056" si="200">0.073*M4042</f>
        <v>0</v>
      </c>
      <c r="P4042" s="26">
        <f t="shared" ref="P4042:P4056" si="201">0.00017*M4042</f>
        <v>0</v>
      </c>
      <c r="Q4042" s="30"/>
      <c r="R4042" s="22" t="s">
        <v>14245</v>
      </c>
      <c r="S4042" s="22" t="s">
        <v>435</v>
      </c>
      <c r="T4042" s="21" t="str">
        <f>HYPERLINK("https://miland.ru/api/getInfo/image/42596677-f592-11ee-a25b-00155d82e908")</f>
        <v>https://miland.ru/api/getInfo/image/42596677-f592-11ee-a25b-00155d82e908</v>
      </c>
      <c r="U4042" s="21"/>
      <c r="V4042" s="21" t="s">
        <v>6525</v>
      </c>
      <c r="W4042" s="21" t="s">
        <v>378</v>
      </c>
      <c r="X4042" s="21"/>
      <c r="Y4042" s="21" t="s">
        <v>41</v>
      </c>
      <c r="Z4042" s="21"/>
      <c r="AA4042" s="21" t="str">
        <f>HYPERLINK("https://miland.ru/api/getInfo/item/42596677-f592-11ee-a25b-00155d82e908")</f>
        <v>https://miland.ru/api/getInfo/item/42596677-f592-11ee-a25b-00155d82e908</v>
      </c>
      <c r="AB4042" s="21" t="s">
        <v>42</v>
      </c>
      <c r="AC4042" s="21"/>
      <c r="AD4042" s="21"/>
    </row>
    <row r="4043" spans="2:31" s="1" customFormat="1" ht="96.3" customHeight="1" outlineLevel="7">
      <c r="B4043" s="57">
        <v>3206</v>
      </c>
      <c r="C4043" s="21" t="s">
        <v>14246</v>
      </c>
      <c r="D4043" s="72" t="s">
        <v>14247</v>
      </c>
      <c r="E4043" s="72"/>
      <c r="F4043" s="72"/>
      <c r="G4043" s="72"/>
      <c r="H4043" s="22" t="s">
        <v>14248</v>
      </c>
      <c r="I4043" s="27">
        <v>108</v>
      </c>
      <c r="J4043" s="22"/>
      <c r="K4043" s="20">
        <v>12</v>
      </c>
      <c r="L4043" s="24">
        <v>86.31</v>
      </c>
      <c r="M4043" s="11"/>
      <c r="N4043" s="22">
        <f t="shared" si="199"/>
        <v>0</v>
      </c>
      <c r="O4043" s="25">
        <f t="shared" si="200"/>
        <v>0</v>
      </c>
      <c r="P4043" s="26">
        <f t="shared" si="201"/>
        <v>0</v>
      </c>
      <c r="Q4043" s="30"/>
      <c r="R4043" s="22" t="s">
        <v>14249</v>
      </c>
      <c r="S4043" s="22" t="s">
        <v>435</v>
      </c>
      <c r="T4043" s="21" t="str">
        <f>HYPERLINK("https://miland.ru/api/getInfo/image/23db7fc4-f592-11ee-a25b-00155d82e908")</f>
        <v>https://miland.ru/api/getInfo/image/23db7fc4-f592-11ee-a25b-00155d82e908</v>
      </c>
      <c r="U4043" s="21"/>
      <c r="V4043" s="21" t="s">
        <v>6525</v>
      </c>
      <c r="W4043" s="21" t="s">
        <v>378</v>
      </c>
      <c r="X4043" s="21"/>
      <c r="Y4043" s="21" t="s">
        <v>41</v>
      </c>
      <c r="Z4043" s="21"/>
      <c r="AA4043" s="21" t="str">
        <f>HYPERLINK("https://miland.ru/api/getInfo/item/23db7fc4-f592-11ee-a25b-00155d82e908")</f>
        <v>https://miland.ru/api/getInfo/item/23db7fc4-f592-11ee-a25b-00155d82e908</v>
      </c>
      <c r="AB4043" s="21" t="s">
        <v>42</v>
      </c>
      <c r="AC4043" s="21"/>
      <c r="AD4043" s="21"/>
    </row>
    <row r="4044" spans="2:31" s="1" customFormat="1" ht="96.3" customHeight="1" outlineLevel="7">
      <c r="B4044" s="57">
        <v>3207</v>
      </c>
      <c r="C4044" s="21" t="s">
        <v>14250</v>
      </c>
      <c r="D4044" s="72" t="s">
        <v>14251</v>
      </c>
      <c r="E4044" s="72"/>
      <c r="F4044" s="72"/>
      <c r="G4044" s="72"/>
      <c r="H4044" s="22" t="s">
        <v>14252</v>
      </c>
      <c r="I4044" s="27">
        <v>264</v>
      </c>
      <c r="J4044" s="22"/>
      <c r="K4044" s="20">
        <v>12</v>
      </c>
      <c r="L4044" s="24">
        <v>86.31</v>
      </c>
      <c r="M4044" s="11"/>
      <c r="N4044" s="22">
        <f t="shared" si="199"/>
        <v>0</v>
      </c>
      <c r="O4044" s="25">
        <f t="shared" si="200"/>
        <v>0</v>
      </c>
      <c r="P4044" s="26">
        <f t="shared" si="201"/>
        <v>0</v>
      </c>
      <c r="Q4044" s="30"/>
      <c r="R4044" s="22" t="s">
        <v>14253</v>
      </c>
      <c r="S4044" s="22" t="s">
        <v>435</v>
      </c>
      <c r="T4044" s="21" t="str">
        <f>HYPERLINK("https://miland.ru/api/getInfo/image/24bf5f4c-f593-11ee-a25b-00155d82e908")</f>
        <v>https://miland.ru/api/getInfo/image/24bf5f4c-f593-11ee-a25b-00155d82e908</v>
      </c>
      <c r="U4044" s="21"/>
      <c r="V4044" s="21" t="s">
        <v>6525</v>
      </c>
      <c r="W4044" s="21" t="s">
        <v>378</v>
      </c>
      <c r="X4044" s="21"/>
      <c r="Y4044" s="21" t="s">
        <v>41</v>
      </c>
      <c r="Z4044" s="21"/>
      <c r="AA4044" s="21" t="str">
        <f>HYPERLINK("https://miland.ru/api/getInfo/item/24bf5f4c-f593-11ee-a25b-00155d82e908")</f>
        <v>https://miland.ru/api/getInfo/item/24bf5f4c-f593-11ee-a25b-00155d82e908</v>
      </c>
      <c r="AB4044" s="21" t="s">
        <v>42</v>
      </c>
      <c r="AC4044" s="21"/>
      <c r="AD4044" s="21"/>
    </row>
    <row r="4045" spans="2:31" s="1" customFormat="1" ht="96.3" customHeight="1" outlineLevel="7">
      <c r="B4045" s="57">
        <v>3208</v>
      </c>
      <c r="C4045" s="21" t="s">
        <v>14254</v>
      </c>
      <c r="D4045" s="72" t="s">
        <v>14255</v>
      </c>
      <c r="E4045" s="72"/>
      <c r="F4045" s="72"/>
      <c r="G4045" s="72"/>
      <c r="H4045" s="22" t="s">
        <v>14256</v>
      </c>
      <c r="I4045" s="23" t="s">
        <v>36</v>
      </c>
      <c r="J4045" s="22"/>
      <c r="K4045" s="20">
        <v>12</v>
      </c>
      <c r="L4045" s="24">
        <v>86.31</v>
      </c>
      <c r="M4045" s="11"/>
      <c r="N4045" s="22">
        <f t="shared" si="199"/>
        <v>0</v>
      </c>
      <c r="O4045" s="25">
        <f t="shared" si="200"/>
        <v>0</v>
      </c>
      <c r="P4045" s="26">
        <f t="shared" si="201"/>
        <v>0</v>
      </c>
      <c r="Q4045" s="30"/>
      <c r="R4045" s="22" t="s">
        <v>14257</v>
      </c>
      <c r="S4045" s="22" t="s">
        <v>435</v>
      </c>
      <c r="T4045" s="21" t="str">
        <f>HYPERLINK("https://miland.ru/api/getInfo/image/3e6a3aa0-f593-11ee-a25b-00155d82e908")</f>
        <v>https://miland.ru/api/getInfo/image/3e6a3aa0-f593-11ee-a25b-00155d82e908</v>
      </c>
      <c r="U4045" s="21"/>
      <c r="V4045" s="21" t="s">
        <v>6525</v>
      </c>
      <c r="W4045" s="21" t="s">
        <v>378</v>
      </c>
      <c r="X4045" s="21"/>
      <c r="Y4045" s="21" t="s">
        <v>41</v>
      </c>
      <c r="Z4045" s="21"/>
      <c r="AA4045" s="21" t="str">
        <f>HYPERLINK("https://miland.ru/api/getInfo/item/3e6a3aa0-f593-11ee-a25b-00155d82e908")</f>
        <v>https://miland.ru/api/getInfo/item/3e6a3aa0-f593-11ee-a25b-00155d82e908</v>
      </c>
      <c r="AB4045" s="21" t="s">
        <v>42</v>
      </c>
      <c r="AC4045" s="21"/>
      <c r="AD4045" s="21"/>
    </row>
    <row r="4046" spans="2:31" s="1" customFormat="1" ht="96.3" customHeight="1" outlineLevel="7">
      <c r="B4046" s="57">
        <v>3209</v>
      </c>
      <c r="C4046" s="21" t="s">
        <v>14258</v>
      </c>
      <c r="D4046" s="72" t="s">
        <v>14259</v>
      </c>
      <c r="E4046" s="72"/>
      <c r="F4046" s="72"/>
      <c r="G4046" s="72"/>
      <c r="H4046" s="22" t="s">
        <v>14260</v>
      </c>
      <c r="I4046" s="27">
        <v>216</v>
      </c>
      <c r="J4046" s="22"/>
      <c r="K4046" s="20">
        <v>12</v>
      </c>
      <c r="L4046" s="24">
        <v>86.31</v>
      </c>
      <c r="M4046" s="11"/>
      <c r="N4046" s="22">
        <f t="shared" si="199"/>
        <v>0</v>
      </c>
      <c r="O4046" s="25">
        <f t="shared" si="200"/>
        <v>0</v>
      </c>
      <c r="P4046" s="26">
        <f t="shared" si="201"/>
        <v>0</v>
      </c>
      <c r="Q4046" s="30"/>
      <c r="R4046" s="22" t="s">
        <v>14261</v>
      </c>
      <c r="S4046" s="22" t="s">
        <v>435</v>
      </c>
      <c r="T4046" s="21" t="str">
        <f>HYPERLINK("https://miland.ru/api/getInfo/image/5a9d96a8-f593-11ee-a25b-00155d82e908")</f>
        <v>https://miland.ru/api/getInfo/image/5a9d96a8-f593-11ee-a25b-00155d82e908</v>
      </c>
      <c r="U4046" s="21"/>
      <c r="V4046" s="21" t="s">
        <v>6525</v>
      </c>
      <c r="W4046" s="21" t="s">
        <v>378</v>
      </c>
      <c r="X4046" s="21"/>
      <c r="Y4046" s="21" t="s">
        <v>41</v>
      </c>
      <c r="Z4046" s="21"/>
      <c r="AA4046" s="21" t="str">
        <f>HYPERLINK("https://miland.ru/api/getInfo/item/5a9d96a8-f593-11ee-a25b-00155d82e908")</f>
        <v>https://miland.ru/api/getInfo/item/5a9d96a8-f593-11ee-a25b-00155d82e908</v>
      </c>
      <c r="AB4046" s="21" t="s">
        <v>42</v>
      </c>
      <c r="AC4046" s="21"/>
      <c r="AD4046" s="21"/>
    </row>
    <row r="4047" spans="2:31" s="1" customFormat="1" ht="96.3" customHeight="1" outlineLevel="7">
      <c r="B4047" s="57">
        <v>3210</v>
      </c>
      <c r="C4047" s="21" t="s">
        <v>14262</v>
      </c>
      <c r="D4047" s="72" t="s">
        <v>14263</v>
      </c>
      <c r="E4047" s="72"/>
      <c r="F4047" s="72"/>
      <c r="G4047" s="72"/>
      <c r="H4047" s="22" t="s">
        <v>14264</v>
      </c>
      <c r="I4047" s="27">
        <v>240</v>
      </c>
      <c r="J4047" s="22"/>
      <c r="K4047" s="20">
        <v>12</v>
      </c>
      <c r="L4047" s="24">
        <v>86.31</v>
      </c>
      <c r="M4047" s="11"/>
      <c r="N4047" s="22">
        <f t="shared" si="199"/>
        <v>0</v>
      </c>
      <c r="O4047" s="25">
        <f t="shared" si="200"/>
        <v>0</v>
      </c>
      <c r="P4047" s="26">
        <f t="shared" si="201"/>
        <v>0</v>
      </c>
      <c r="Q4047" s="30"/>
      <c r="R4047" s="22" t="s">
        <v>14265</v>
      </c>
      <c r="S4047" s="22" t="s">
        <v>435</v>
      </c>
      <c r="T4047" s="21" t="str">
        <f>HYPERLINK("https://miland.ru/api/getInfo/image/f9be209f-f58a-11ee-a25b-00155d82e908")</f>
        <v>https://miland.ru/api/getInfo/image/f9be209f-f58a-11ee-a25b-00155d82e908</v>
      </c>
      <c r="U4047" s="21"/>
      <c r="V4047" s="21" t="s">
        <v>6525</v>
      </c>
      <c r="W4047" s="21" t="s">
        <v>378</v>
      </c>
      <c r="X4047" s="21"/>
      <c r="Y4047" s="21" t="s">
        <v>41</v>
      </c>
      <c r="Z4047" s="21"/>
      <c r="AA4047" s="21" t="str">
        <f>HYPERLINK("https://miland.ru/api/getInfo/item/f9be209f-f58a-11ee-a25b-00155d82e908")</f>
        <v>https://miland.ru/api/getInfo/item/f9be209f-f58a-11ee-a25b-00155d82e908</v>
      </c>
      <c r="AB4047" s="21" t="s">
        <v>42</v>
      </c>
      <c r="AC4047" s="21"/>
      <c r="AD4047" s="21"/>
    </row>
    <row r="4048" spans="2:31" s="1" customFormat="1" ht="96.3" customHeight="1" outlineLevel="7">
      <c r="B4048" s="57">
        <v>3211</v>
      </c>
      <c r="C4048" s="21" t="s">
        <v>14266</v>
      </c>
      <c r="D4048" s="72" t="s">
        <v>14267</v>
      </c>
      <c r="E4048" s="72"/>
      <c r="F4048" s="72"/>
      <c r="G4048" s="72"/>
      <c r="H4048" s="22" t="s">
        <v>14268</v>
      </c>
      <c r="I4048" s="23" t="s">
        <v>36</v>
      </c>
      <c r="J4048" s="22"/>
      <c r="K4048" s="20">
        <v>12</v>
      </c>
      <c r="L4048" s="24">
        <v>86.31</v>
      </c>
      <c r="M4048" s="11"/>
      <c r="N4048" s="22">
        <f t="shared" si="199"/>
        <v>0</v>
      </c>
      <c r="O4048" s="25">
        <f t="shared" si="200"/>
        <v>0</v>
      </c>
      <c r="P4048" s="26">
        <f t="shared" si="201"/>
        <v>0</v>
      </c>
      <c r="Q4048" s="30"/>
      <c r="R4048" s="22" t="s">
        <v>14269</v>
      </c>
      <c r="S4048" s="22" t="s">
        <v>435</v>
      </c>
      <c r="T4048" s="21" t="str">
        <f>HYPERLINK("https://miland.ru/api/getInfo/image/a0a7f96c-f592-11ee-a25b-00155d82e908")</f>
        <v>https://miland.ru/api/getInfo/image/a0a7f96c-f592-11ee-a25b-00155d82e908</v>
      </c>
      <c r="U4048" s="21"/>
      <c r="V4048" s="21" t="s">
        <v>6525</v>
      </c>
      <c r="W4048" s="21" t="s">
        <v>378</v>
      </c>
      <c r="X4048" s="21"/>
      <c r="Y4048" s="21" t="s">
        <v>41</v>
      </c>
      <c r="Z4048" s="21"/>
      <c r="AA4048" s="21" t="str">
        <f>HYPERLINK("https://miland.ru/api/getInfo/item/a0a7f96c-f592-11ee-a25b-00155d82e908")</f>
        <v>https://miland.ru/api/getInfo/item/a0a7f96c-f592-11ee-a25b-00155d82e908</v>
      </c>
      <c r="AB4048" s="21" t="s">
        <v>42</v>
      </c>
      <c r="AC4048" s="21"/>
      <c r="AD4048" s="21"/>
    </row>
    <row r="4049" spans="2:31" s="1" customFormat="1" ht="96.3" customHeight="1" outlineLevel="7">
      <c r="B4049" s="57">
        <v>3212</v>
      </c>
      <c r="C4049" s="21" t="s">
        <v>14270</v>
      </c>
      <c r="D4049" s="72" t="s">
        <v>14271</v>
      </c>
      <c r="E4049" s="72"/>
      <c r="F4049" s="72"/>
      <c r="G4049" s="72"/>
      <c r="H4049" s="22" t="s">
        <v>14272</v>
      </c>
      <c r="I4049" s="23" t="s">
        <v>36</v>
      </c>
      <c r="J4049" s="22"/>
      <c r="K4049" s="20">
        <v>12</v>
      </c>
      <c r="L4049" s="24">
        <v>86.31</v>
      </c>
      <c r="M4049" s="11"/>
      <c r="N4049" s="22">
        <f t="shared" si="199"/>
        <v>0</v>
      </c>
      <c r="O4049" s="25">
        <f t="shared" si="200"/>
        <v>0</v>
      </c>
      <c r="P4049" s="26">
        <f t="shared" si="201"/>
        <v>0</v>
      </c>
      <c r="Q4049" s="30"/>
      <c r="R4049" s="22" t="s">
        <v>14273</v>
      </c>
      <c r="S4049" s="22" t="s">
        <v>435</v>
      </c>
      <c r="T4049" s="21" t="str">
        <f>HYPERLINK("https://miland.ru/api/getInfo/image/e2bac7f6-f591-11ee-a25b-00155d82e908")</f>
        <v>https://miland.ru/api/getInfo/image/e2bac7f6-f591-11ee-a25b-00155d82e908</v>
      </c>
      <c r="U4049" s="21"/>
      <c r="V4049" s="21" t="s">
        <v>6525</v>
      </c>
      <c r="W4049" s="21" t="s">
        <v>378</v>
      </c>
      <c r="X4049" s="21"/>
      <c r="Y4049" s="21" t="s">
        <v>41</v>
      </c>
      <c r="Z4049" s="21"/>
      <c r="AA4049" s="21" t="str">
        <f>HYPERLINK("https://miland.ru/api/getInfo/item/e2bac7f6-f591-11ee-a25b-00155d82e908")</f>
        <v>https://miland.ru/api/getInfo/item/e2bac7f6-f591-11ee-a25b-00155d82e908</v>
      </c>
      <c r="AB4049" s="21" t="s">
        <v>42</v>
      </c>
      <c r="AC4049" s="21"/>
      <c r="AD4049" s="21"/>
    </row>
    <row r="4050" spans="2:31" s="1" customFormat="1" ht="96.3" customHeight="1" outlineLevel="7">
      <c r="B4050" s="57">
        <v>3213</v>
      </c>
      <c r="C4050" s="21" t="s">
        <v>14274</v>
      </c>
      <c r="D4050" s="72" t="s">
        <v>14275</v>
      </c>
      <c r="E4050" s="72"/>
      <c r="F4050" s="72"/>
      <c r="G4050" s="72"/>
      <c r="H4050" s="22" t="s">
        <v>14276</v>
      </c>
      <c r="I4050" s="27">
        <v>144</v>
      </c>
      <c r="J4050" s="22"/>
      <c r="K4050" s="20">
        <v>12</v>
      </c>
      <c r="L4050" s="24">
        <v>86.31</v>
      </c>
      <c r="M4050" s="11"/>
      <c r="N4050" s="22">
        <f t="shared" si="199"/>
        <v>0</v>
      </c>
      <c r="O4050" s="25">
        <f t="shared" si="200"/>
        <v>0</v>
      </c>
      <c r="P4050" s="26">
        <f t="shared" si="201"/>
        <v>0</v>
      </c>
      <c r="Q4050" s="30"/>
      <c r="R4050" s="22" t="s">
        <v>14277</v>
      </c>
      <c r="S4050" s="22" t="s">
        <v>435</v>
      </c>
      <c r="T4050" s="21" t="str">
        <f>HYPERLINK("https://miland.ru/api/getInfo/image/ba0b93b6-f592-11ee-a25b-00155d82e908")</f>
        <v>https://miland.ru/api/getInfo/image/ba0b93b6-f592-11ee-a25b-00155d82e908</v>
      </c>
      <c r="U4050" s="21"/>
      <c r="V4050" s="21" t="s">
        <v>6525</v>
      </c>
      <c r="W4050" s="21" t="s">
        <v>378</v>
      </c>
      <c r="X4050" s="21"/>
      <c r="Y4050" s="21" t="s">
        <v>41</v>
      </c>
      <c r="Z4050" s="21"/>
      <c r="AA4050" s="21" t="str">
        <f>HYPERLINK("https://miland.ru/api/getInfo/item/ba0b93b6-f592-11ee-a25b-00155d82e908")</f>
        <v>https://miland.ru/api/getInfo/item/ba0b93b6-f592-11ee-a25b-00155d82e908</v>
      </c>
      <c r="AB4050" s="21" t="s">
        <v>42</v>
      </c>
      <c r="AC4050" s="21"/>
      <c r="AD4050" s="21"/>
    </row>
    <row r="4051" spans="2:31" s="1" customFormat="1" ht="96.3" customHeight="1" outlineLevel="7">
      <c r="B4051" s="57">
        <v>3214</v>
      </c>
      <c r="C4051" s="21" t="s">
        <v>14278</v>
      </c>
      <c r="D4051" s="72" t="s">
        <v>14279</v>
      </c>
      <c r="E4051" s="72"/>
      <c r="F4051" s="72"/>
      <c r="G4051" s="72"/>
      <c r="H4051" s="22" t="s">
        <v>14280</v>
      </c>
      <c r="I4051" s="27">
        <v>480</v>
      </c>
      <c r="J4051" s="22"/>
      <c r="K4051" s="20">
        <v>12</v>
      </c>
      <c r="L4051" s="24">
        <v>86.31</v>
      </c>
      <c r="M4051" s="11"/>
      <c r="N4051" s="22">
        <f t="shared" si="199"/>
        <v>0</v>
      </c>
      <c r="O4051" s="25">
        <f t="shared" si="200"/>
        <v>0</v>
      </c>
      <c r="P4051" s="26">
        <f t="shared" si="201"/>
        <v>0</v>
      </c>
      <c r="Q4051" s="30"/>
      <c r="R4051" s="22" t="s">
        <v>14281</v>
      </c>
      <c r="S4051" s="22" t="s">
        <v>435</v>
      </c>
      <c r="T4051" s="21" t="str">
        <f>HYPERLINK("https://miland.ru/api/getInfo/image/c3808e0b-f591-11ee-a25b-00155d82e908")</f>
        <v>https://miland.ru/api/getInfo/image/c3808e0b-f591-11ee-a25b-00155d82e908</v>
      </c>
      <c r="U4051" s="21"/>
      <c r="V4051" s="21" t="s">
        <v>6525</v>
      </c>
      <c r="W4051" s="21" t="s">
        <v>378</v>
      </c>
      <c r="X4051" s="21"/>
      <c r="Y4051" s="21" t="s">
        <v>41</v>
      </c>
      <c r="Z4051" s="21"/>
      <c r="AA4051" s="21" t="str">
        <f>HYPERLINK("https://miland.ru/api/getInfo/item/c3808e0b-f591-11ee-a25b-00155d82e908")</f>
        <v>https://miland.ru/api/getInfo/item/c3808e0b-f591-11ee-a25b-00155d82e908</v>
      </c>
      <c r="AB4051" s="21" t="s">
        <v>42</v>
      </c>
      <c r="AC4051" s="21"/>
      <c r="AD4051" s="21"/>
    </row>
    <row r="4052" spans="2:31" s="1" customFormat="1" ht="96.3" customHeight="1" outlineLevel="7">
      <c r="B4052" s="57">
        <v>3215</v>
      </c>
      <c r="C4052" s="21" t="s">
        <v>14282</v>
      </c>
      <c r="D4052" s="72" t="s">
        <v>14283</v>
      </c>
      <c r="E4052" s="72"/>
      <c r="F4052" s="72"/>
      <c r="G4052" s="72"/>
      <c r="H4052" s="22" t="s">
        <v>14284</v>
      </c>
      <c r="I4052" s="23" t="s">
        <v>36</v>
      </c>
      <c r="J4052" s="22"/>
      <c r="K4052" s="20">
        <v>12</v>
      </c>
      <c r="L4052" s="24">
        <v>86.31</v>
      </c>
      <c r="M4052" s="11"/>
      <c r="N4052" s="22">
        <f t="shared" si="199"/>
        <v>0</v>
      </c>
      <c r="O4052" s="25">
        <f t="shared" si="200"/>
        <v>0</v>
      </c>
      <c r="P4052" s="26">
        <f t="shared" si="201"/>
        <v>0</v>
      </c>
      <c r="Q4052" s="30"/>
      <c r="R4052" s="22" t="s">
        <v>14285</v>
      </c>
      <c r="S4052" s="22" t="s">
        <v>435</v>
      </c>
      <c r="T4052" s="21" t="str">
        <f>HYPERLINK("https://miland.ru/api/getInfo/image/070d2a58-f592-11ee-a25b-00155d82e908")</f>
        <v>https://miland.ru/api/getInfo/image/070d2a58-f592-11ee-a25b-00155d82e908</v>
      </c>
      <c r="U4052" s="21"/>
      <c r="V4052" s="21" t="s">
        <v>6525</v>
      </c>
      <c r="W4052" s="21" t="s">
        <v>378</v>
      </c>
      <c r="X4052" s="21"/>
      <c r="Y4052" s="21" t="s">
        <v>41</v>
      </c>
      <c r="Z4052" s="21"/>
      <c r="AA4052" s="21" t="str">
        <f>HYPERLINK("https://miland.ru/api/getInfo/item/070d2a58-f592-11ee-a25b-00155d82e908")</f>
        <v>https://miland.ru/api/getInfo/item/070d2a58-f592-11ee-a25b-00155d82e908</v>
      </c>
      <c r="AB4052" s="21" t="s">
        <v>42</v>
      </c>
      <c r="AC4052" s="21"/>
      <c r="AD4052" s="21"/>
    </row>
    <row r="4053" spans="2:31" s="1" customFormat="1" ht="96.3" customHeight="1" outlineLevel="7">
      <c r="B4053" s="57">
        <v>3216</v>
      </c>
      <c r="C4053" s="21" t="s">
        <v>14286</v>
      </c>
      <c r="D4053" s="72" t="s">
        <v>14287</v>
      </c>
      <c r="E4053" s="72"/>
      <c r="F4053" s="72"/>
      <c r="G4053" s="72"/>
      <c r="H4053" s="22" t="s">
        <v>14288</v>
      </c>
      <c r="I4053" s="23" t="s">
        <v>36</v>
      </c>
      <c r="J4053" s="22"/>
      <c r="K4053" s="20">
        <v>12</v>
      </c>
      <c r="L4053" s="24">
        <v>86.31</v>
      </c>
      <c r="M4053" s="11"/>
      <c r="N4053" s="22">
        <f t="shared" si="199"/>
        <v>0</v>
      </c>
      <c r="O4053" s="25">
        <f t="shared" si="200"/>
        <v>0</v>
      </c>
      <c r="P4053" s="26">
        <f t="shared" si="201"/>
        <v>0</v>
      </c>
      <c r="Q4053" s="30"/>
      <c r="R4053" s="22" t="s">
        <v>14289</v>
      </c>
      <c r="S4053" s="22" t="s">
        <v>435</v>
      </c>
      <c r="T4053" s="21" t="str">
        <f>HYPERLINK("https://miland.ru/api/getInfo/image/d080e25a-f58a-11ee-a25b-00155d82e908")</f>
        <v>https://miland.ru/api/getInfo/image/d080e25a-f58a-11ee-a25b-00155d82e908</v>
      </c>
      <c r="U4053" s="21"/>
      <c r="V4053" s="21" t="s">
        <v>6525</v>
      </c>
      <c r="W4053" s="21" t="s">
        <v>378</v>
      </c>
      <c r="X4053" s="21"/>
      <c r="Y4053" s="21" t="s">
        <v>41</v>
      </c>
      <c r="Z4053" s="21"/>
      <c r="AA4053" s="21" t="str">
        <f>HYPERLINK("https://miland.ru/api/getInfo/item/d080e25a-f58a-11ee-a25b-00155d82e908")</f>
        <v>https://miland.ru/api/getInfo/item/d080e25a-f58a-11ee-a25b-00155d82e908</v>
      </c>
      <c r="AB4053" s="21" t="s">
        <v>42</v>
      </c>
      <c r="AC4053" s="21"/>
      <c r="AD4053" s="21"/>
    </row>
    <row r="4054" spans="2:31" s="1" customFormat="1" ht="96.3" customHeight="1" outlineLevel="7">
      <c r="B4054" s="57">
        <v>3217</v>
      </c>
      <c r="C4054" s="21" t="s">
        <v>14290</v>
      </c>
      <c r="D4054" s="72" t="s">
        <v>14291</v>
      </c>
      <c r="E4054" s="72"/>
      <c r="F4054" s="72"/>
      <c r="G4054" s="72"/>
      <c r="H4054" s="22" t="s">
        <v>14292</v>
      </c>
      <c r="I4054" s="27">
        <v>384</v>
      </c>
      <c r="J4054" s="22"/>
      <c r="K4054" s="20">
        <v>12</v>
      </c>
      <c r="L4054" s="24">
        <v>86.31</v>
      </c>
      <c r="M4054" s="11"/>
      <c r="N4054" s="22">
        <f t="shared" si="199"/>
        <v>0</v>
      </c>
      <c r="O4054" s="25">
        <f t="shared" si="200"/>
        <v>0</v>
      </c>
      <c r="P4054" s="26">
        <f t="shared" si="201"/>
        <v>0</v>
      </c>
      <c r="Q4054" s="30"/>
      <c r="R4054" s="22" t="s">
        <v>14293</v>
      </c>
      <c r="S4054" s="22" t="s">
        <v>435</v>
      </c>
      <c r="T4054" s="21" t="str">
        <f>HYPERLINK("https://miland.ru/api/getInfo/image/0b35e4a6-f593-11ee-a25b-00155d82e908")</f>
        <v>https://miland.ru/api/getInfo/image/0b35e4a6-f593-11ee-a25b-00155d82e908</v>
      </c>
      <c r="U4054" s="21"/>
      <c r="V4054" s="21" t="s">
        <v>6525</v>
      </c>
      <c r="W4054" s="21" t="s">
        <v>378</v>
      </c>
      <c r="X4054" s="21"/>
      <c r="Y4054" s="21" t="s">
        <v>41</v>
      </c>
      <c r="Z4054" s="21"/>
      <c r="AA4054" s="21" t="str">
        <f>HYPERLINK("https://miland.ru/api/getInfo/item/0b35e4a6-f593-11ee-a25b-00155d82e908")</f>
        <v>https://miland.ru/api/getInfo/item/0b35e4a6-f593-11ee-a25b-00155d82e908</v>
      </c>
      <c r="AB4054" s="21" t="s">
        <v>42</v>
      </c>
      <c r="AC4054" s="21"/>
      <c r="AD4054" s="21"/>
    </row>
    <row r="4055" spans="2:31" s="1" customFormat="1" ht="96.3" customHeight="1" outlineLevel="7">
      <c r="B4055" s="57">
        <v>3218</v>
      </c>
      <c r="C4055" s="21" t="s">
        <v>14294</v>
      </c>
      <c r="D4055" s="72" t="s">
        <v>14295</v>
      </c>
      <c r="E4055" s="72"/>
      <c r="F4055" s="72"/>
      <c r="G4055" s="72"/>
      <c r="H4055" s="22" t="s">
        <v>14296</v>
      </c>
      <c r="I4055" s="23" t="s">
        <v>36</v>
      </c>
      <c r="J4055" s="22"/>
      <c r="K4055" s="20">
        <v>12</v>
      </c>
      <c r="L4055" s="24">
        <v>86.31</v>
      </c>
      <c r="M4055" s="11"/>
      <c r="N4055" s="22">
        <f t="shared" si="199"/>
        <v>0</v>
      </c>
      <c r="O4055" s="25">
        <f t="shared" si="200"/>
        <v>0</v>
      </c>
      <c r="P4055" s="26">
        <f t="shared" si="201"/>
        <v>0</v>
      </c>
      <c r="Q4055" s="30"/>
      <c r="R4055" s="22" t="s">
        <v>14297</v>
      </c>
      <c r="S4055" s="22" t="s">
        <v>435</v>
      </c>
      <c r="T4055" s="21" t="str">
        <f>HYPERLINK("https://miland.ru/api/getInfo/image/efec2f01-f592-11ee-a25b-00155d82e908")</f>
        <v>https://miland.ru/api/getInfo/image/efec2f01-f592-11ee-a25b-00155d82e908</v>
      </c>
      <c r="U4055" s="21"/>
      <c r="V4055" s="21" t="s">
        <v>6525</v>
      </c>
      <c r="W4055" s="21" t="s">
        <v>378</v>
      </c>
      <c r="X4055" s="21"/>
      <c r="Y4055" s="21" t="s">
        <v>41</v>
      </c>
      <c r="Z4055" s="21"/>
      <c r="AA4055" s="21" t="str">
        <f>HYPERLINK("https://miland.ru/api/getInfo/item/efec2f01-f592-11ee-a25b-00155d82e908")</f>
        <v>https://miland.ru/api/getInfo/item/efec2f01-f592-11ee-a25b-00155d82e908</v>
      </c>
      <c r="AB4055" s="21" t="s">
        <v>42</v>
      </c>
      <c r="AC4055" s="21"/>
      <c r="AD4055" s="21"/>
    </row>
    <row r="4056" spans="2:31" s="1" customFormat="1" ht="96.3" customHeight="1" outlineLevel="7">
      <c r="B4056" s="57">
        <v>3219</v>
      </c>
      <c r="C4056" s="21" t="s">
        <v>14298</v>
      </c>
      <c r="D4056" s="72" t="s">
        <v>14299</v>
      </c>
      <c r="E4056" s="72"/>
      <c r="F4056" s="72"/>
      <c r="G4056" s="72"/>
      <c r="H4056" s="22" t="s">
        <v>14300</v>
      </c>
      <c r="I4056" s="23" t="s">
        <v>36</v>
      </c>
      <c r="J4056" s="22"/>
      <c r="K4056" s="20">
        <v>12</v>
      </c>
      <c r="L4056" s="24">
        <v>86.31</v>
      </c>
      <c r="M4056" s="11"/>
      <c r="N4056" s="22">
        <f t="shared" si="199"/>
        <v>0</v>
      </c>
      <c r="O4056" s="25">
        <f t="shared" si="200"/>
        <v>0</v>
      </c>
      <c r="P4056" s="26">
        <f t="shared" si="201"/>
        <v>0</v>
      </c>
      <c r="Q4056" s="30"/>
      <c r="R4056" s="22" t="s">
        <v>14301</v>
      </c>
      <c r="S4056" s="22" t="s">
        <v>435</v>
      </c>
      <c r="T4056" s="21" t="str">
        <f>HYPERLINK("https://miland.ru/api/getInfo/image/d311ed3d-f592-11ee-a25b-00155d82e908")</f>
        <v>https://miland.ru/api/getInfo/image/d311ed3d-f592-11ee-a25b-00155d82e908</v>
      </c>
      <c r="U4056" s="21"/>
      <c r="V4056" s="21" t="s">
        <v>6525</v>
      </c>
      <c r="W4056" s="21" t="s">
        <v>378</v>
      </c>
      <c r="X4056" s="21"/>
      <c r="Y4056" s="21" t="s">
        <v>41</v>
      </c>
      <c r="Z4056" s="21"/>
      <c r="AA4056" s="21" t="str">
        <f>HYPERLINK("https://miland.ru/api/getInfo/item/d311ed3d-f592-11ee-a25b-00155d82e908")</f>
        <v>https://miland.ru/api/getInfo/item/d311ed3d-f592-11ee-a25b-00155d82e908</v>
      </c>
      <c r="AB4056" s="21" t="s">
        <v>42</v>
      </c>
      <c r="AC4056" s="21"/>
      <c r="AD4056" s="21"/>
    </row>
    <row r="4057" spans="2:31" ht="12" customHeight="1" outlineLevel="6">
      <c r="B4057" s="70" t="s">
        <v>14302</v>
      </c>
      <c r="C4057" s="70"/>
      <c r="D4057" s="70"/>
      <c r="E4057" s="70"/>
      <c r="F4057" s="70"/>
      <c r="G4057" s="70"/>
    </row>
    <row r="4058" spans="2:31" s="1" customFormat="1" ht="96.3" customHeight="1" outlineLevel="7">
      <c r="B4058" s="57">
        <v>3220</v>
      </c>
      <c r="C4058" s="21" t="s">
        <v>14303</v>
      </c>
      <c r="D4058" s="72" t="s">
        <v>14304</v>
      </c>
      <c r="E4058" s="72"/>
      <c r="F4058" s="72"/>
      <c r="G4058" s="72"/>
      <c r="H4058" s="22" t="s">
        <v>14305</v>
      </c>
      <c r="I4058" s="27">
        <v>84</v>
      </c>
      <c r="J4058" s="22"/>
      <c r="K4058" s="20">
        <v>12</v>
      </c>
      <c r="L4058" s="24">
        <v>86.31</v>
      </c>
      <c r="M4058" s="11"/>
      <c r="N4058" s="22">
        <f t="shared" ref="N4058:N4066" si="202">L4058*M4058</f>
        <v>0</v>
      </c>
      <c r="O4058" s="25">
        <f>0.095*M4058</f>
        <v>0</v>
      </c>
      <c r="P4058" s="26">
        <f>0.00025*M4058</f>
        <v>0</v>
      </c>
      <c r="Q4058" s="30"/>
      <c r="R4058" s="22" t="s">
        <v>14306</v>
      </c>
      <c r="S4058" s="22"/>
      <c r="T4058" s="21" t="str">
        <f>HYPERLINK("https://miland.ru/api/getInfo/image/031f0190-24c4-11f0-a279-00155d82e908")</f>
        <v>https://miland.ru/api/getInfo/image/031f0190-24c4-11f0-a279-00155d82e908</v>
      </c>
      <c r="U4058" s="21"/>
      <c r="V4058" s="21" t="s">
        <v>6525</v>
      </c>
      <c r="W4058" s="21" t="s">
        <v>378</v>
      </c>
      <c r="X4058" s="21"/>
      <c r="Y4058" s="21" t="s">
        <v>41</v>
      </c>
      <c r="Z4058" s="21"/>
      <c r="AA4058" s="21" t="str">
        <f>HYPERLINK("https://miland.ru/api/getInfo/item/031f0190-24c4-11f0-a279-00155d82e908")</f>
        <v>https://miland.ru/api/getInfo/item/031f0190-24c4-11f0-a279-00155d82e908</v>
      </c>
      <c r="AB4058" s="21" t="s">
        <v>42</v>
      </c>
      <c r="AC4058" s="21"/>
      <c r="AD4058" s="21"/>
    </row>
    <row r="4059" spans="2:31" s="1" customFormat="1" ht="96.3" customHeight="1" outlineLevel="7">
      <c r="B4059" s="57">
        <v>3221</v>
      </c>
      <c r="C4059" s="21" t="s">
        <v>14307</v>
      </c>
      <c r="D4059" s="72" t="s">
        <v>14308</v>
      </c>
      <c r="E4059" s="72"/>
      <c r="F4059" s="72"/>
      <c r="G4059" s="72"/>
      <c r="H4059" s="22" t="s">
        <v>14309</v>
      </c>
      <c r="I4059" s="27">
        <v>36</v>
      </c>
      <c r="J4059" s="22"/>
      <c r="K4059" s="20">
        <v>12</v>
      </c>
      <c r="L4059" s="24">
        <v>86.31</v>
      </c>
      <c r="M4059" s="11"/>
      <c r="N4059" s="22">
        <f t="shared" si="202"/>
        <v>0</v>
      </c>
      <c r="O4059" s="25">
        <f>0.095*M4059</f>
        <v>0</v>
      </c>
      <c r="P4059" s="26">
        <f>0.00017*M4059</f>
        <v>0</v>
      </c>
      <c r="Q4059" s="30"/>
      <c r="R4059" s="22" t="s">
        <v>14310</v>
      </c>
      <c r="S4059" s="22"/>
      <c r="T4059" s="21" t="str">
        <f>HYPERLINK("https://miland.ru/api/getInfo/image/720842be-24c3-11f0-a279-00155d82e908")</f>
        <v>https://miland.ru/api/getInfo/image/720842be-24c3-11f0-a279-00155d82e908</v>
      </c>
      <c r="U4059" s="21"/>
      <c r="V4059" s="21" t="s">
        <v>6525</v>
      </c>
      <c r="W4059" s="21" t="s">
        <v>378</v>
      </c>
      <c r="X4059" s="21"/>
      <c r="Y4059" s="21" t="s">
        <v>41</v>
      </c>
      <c r="Z4059" s="21"/>
      <c r="AA4059" s="21" t="str">
        <f>HYPERLINK("https://miland.ru/api/getInfo/item/720842be-24c3-11f0-a279-00155d82e908")</f>
        <v>https://miland.ru/api/getInfo/item/720842be-24c3-11f0-a279-00155d82e908</v>
      </c>
      <c r="AB4059" s="21" t="s">
        <v>42</v>
      </c>
      <c r="AC4059" s="21"/>
      <c r="AD4059" s="21"/>
    </row>
    <row r="4060" spans="2:31" s="1" customFormat="1" ht="96.3" customHeight="1" outlineLevel="7">
      <c r="B4060" s="57">
        <v>3222</v>
      </c>
      <c r="C4060" s="21" t="s">
        <v>14311</v>
      </c>
      <c r="D4060" s="72" t="s">
        <v>14312</v>
      </c>
      <c r="E4060" s="72"/>
      <c r="F4060" s="72"/>
      <c r="G4060" s="72"/>
      <c r="H4060" s="22" t="s">
        <v>14313</v>
      </c>
      <c r="I4060" s="27">
        <v>48</v>
      </c>
      <c r="J4060" s="22"/>
      <c r="K4060" s="20">
        <v>12</v>
      </c>
      <c r="L4060" s="24">
        <v>86.31</v>
      </c>
      <c r="M4060" s="11"/>
      <c r="N4060" s="22">
        <f t="shared" si="202"/>
        <v>0</v>
      </c>
      <c r="O4060" s="25">
        <f>0.085*M4060</f>
        <v>0</v>
      </c>
      <c r="P4060" s="26">
        <f>0.00053*M4060</f>
        <v>0</v>
      </c>
      <c r="Q4060" s="30"/>
      <c r="R4060" s="22" t="s">
        <v>14314</v>
      </c>
      <c r="S4060" s="22"/>
      <c r="T4060" s="21" t="str">
        <f>HYPERLINK("https://miland.ru/api/getInfo/image/58b2f66a-24c4-11f0-a279-00155d82e908")</f>
        <v>https://miland.ru/api/getInfo/image/58b2f66a-24c4-11f0-a279-00155d82e908</v>
      </c>
      <c r="U4060" s="21"/>
      <c r="V4060" s="21" t="s">
        <v>6525</v>
      </c>
      <c r="W4060" s="21" t="s">
        <v>378</v>
      </c>
      <c r="X4060" s="21"/>
      <c r="Y4060" s="21" t="s">
        <v>41</v>
      </c>
      <c r="Z4060" s="21"/>
      <c r="AA4060" s="21" t="str">
        <f>HYPERLINK("https://miland.ru/api/getInfo/item/58b2f66a-24c4-11f0-a279-00155d82e908")</f>
        <v>https://miland.ru/api/getInfo/item/58b2f66a-24c4-11f0-a279-00155d82e908</v>
      </c>
      <c r="AB4060" s="21" t="s">
        <v>42</v>
      </c>
      <c r="AC4060" s="21"/>
      <c r="AD4060" s="21"/>
    </row>
    <row r="4061" spans="2:31" s="1" customFormat="1" ht="96.3" customHeight="1" outlineLevel="7">
      <c r="B4061" s="59">
        <v>3223</v>
      </c>
      <c r="C4061" s="35" t="s">
        <v>14315</v>
      </c>
      <c r="D4061" s="73" t="s">
        <v>14316</v>
      </c>
      <c r="E4061" s="73"/>
      <c r="F4061" s="73"/>
      <c r="G4061" s="73"/>
      <c r="H4061" s="36" t="s">
        <v>14317</v>
      </c>
      <c r="I4061" s="56" t="s">
        <v>36</v>
      </c>
      <c r="J4061" s="36"/>
      <c r="K4061" s="34">
        <v>12</v>
      </c>
      <c r="L4061" s="41">
        <v>48.4</v>
      </c>
      <c r="M4061" s="11"/>
      <c r="N4061" s="36">
        <f t="shared" si="202"/>
        <v>0</v>
      </c>
      <c r="O4061" s="42">
        <f>0.073*M4061</f>
        <v>0</v>
      </c>
      <c r="P4061" s="43">
        <f>0.00043*M4061</f>
        <v>0</v>
      </c>
      <c r="Q4061" s="50"/>
      <c r="R4061" s="36" t="s">
        <v>14318</v>
      </c>
      <c r="S4061" s="36" t="s">
        <v>435</v>
      </c>
      <c r="T4061" s="35" t="str">
        <f>HYPERLINK("https://miland.ru/api/getInfo/image/643d0f95-7d4b-11ee-a248-00155d82e902")</f>
        <v>https://miland.ru/api/getInfo/image/643d0f95-7d4b-11ee-a248-00155d82e902</v>
      </c>
      <c r="U4061" s="35"/>
      <c r="V4061" s="35" t="s">
        <v>6525</v>
      </c>
      <c r="W4061" s="35" t="s">
        <v>378</v>
      </c>
      <c r="X4061" s="35"/>
      <c r="Y4061" s="35" t="s">
        <v>41</v>
      </c>
      <c r="Z4061" s="35"/>
      <c r="AA4061" s="35" t="str">
        <f>HYPERLINK("https://miland.ru/api/getInfo/item/643d0f95-7d4b-11ee-a248-00155d82e902")</f>
        <v>https://miland.ru/api/getInfo/item/643d0f95-7d4b-11ee-a248-00155d82e902</v>
      </c>
      <c r="AB4061" s="35" t="s">
        <v>42</v>
      </c>
      <c r="AC4061" s="35" t="s">
        <v>14319</v>
      </c>
      <c r="AD4061" s="35"/>
      <c r="AE4061" s="52" t="s">
        <v>1251</v>
      </c>
    </row>
    <row r="4062" spans="2:31" s="1" customFormat="1" ht="96.3" customHeight="1" outlineLevel="7">
      <c r="B4062" s="59">
        <v>3224</v>
      </c>
      <c r="C4062" s="35" t="s">
        <v>14320</v>
      </c>
      <c r="D4062" s="73" t="s">
        <v>14321</v>
      </c>
      <c r="E4062" s="73"/>
      <c r="F4062" s="73"/>
      <c r="G4062" s="73"/>
      <c r="H4062" s="36" t="s">
        <v>14322</v>
      </c>
      <c r="I4062" s="56" t="s">
        <v>36</v>
      </c>
      <c r="J4062" s="36"/>
      <c r="K4062" s="34">
        <v>12</v>
      </c>
      <c r="L4062" s="41">
        <v>48.053333333333335</v>
      </c>
      <c r="M4062" s="11"/>
      <c r="N4062" s="36">
        <f t="shared" si="202"/>
        <v>0</v>
      </c>
      <c r="O4062" s="42">
        <f>0.071*M4062</f>
        <v>0</v>
      </c>
      <c r="P4062" s="43">
        <f>0.00017*M4062</f>
        <v>0</v>
      </c>
      <c r="Q4062" s="50"/>
      <c r="R4062" s="36" t="s">
        <v>14323</v>
      </c>
      <c r="S4062" s="36" t="s">
        <v>435</v>
      </c>
      <c r="T4062" s="35" t="str">
        <f>HYPERLINK("https://miland.ru/api/getInfo/image/edf405d1-77bd-11ee-a248-00155d82e902")</f>
        <v>https://miland.ru/api/getInfo/image/edf405d1-77bd-11ee-a248-00155d82e902</v>
      </c>
      <c r="U4062" s="35"/>
      <c r="V4062" s="35" t="s">
        <v>6525</v>
      </c>
      <c r="W4062" s="35" t="s">
        <v>378</v>
      </c>
      <c r="X4062" s="35"/>
      <c r="Y4062" s="35" t="s">
        <v>41</v>
      </c>
      <c r="Z4062" s="35"/>
      <c r="AA4062" s="35" t="str">
        <f>HYPERLINK("https://miland.ru/api/getInfo/item/edf405d1-77bd-11ee-a248-00155d82e902")</f>
        <v>https://miland.ru/api/getInfo/item/edf405d1-77bd-11ee-a248-00155d82e902</v>
      </c>
      <c r="AB4062" s="35" t="s">
        <v>42</v>
      </c>
      <c r="AC4062" s="35" t="s">
        <v>14209</v>
      </c>
      <c r="AD4062" s="35"/>
      <c r="AE4062" s="52" t="s">
        <v>1251</v>
      </c>
    </row>
    <row r="4063" spans="2:31" s="1" customFormat="1" ht="96.3" customHeight="1" outlineLevel="7">
      <c r="B4063" s="59">
        <v>3225</v>
      </c>
      <c r="C4063" s="35" t="s">
        <v>14324</v>
      </c>
      <c r="D4063" s="73" t="s">
        <v>14325</v>
      </c>
      <c r="E4063" s="73"/>
      <c r="F4063" s="73"/>
      <c r="G4063" s="73"/>
      <c r="H4063" s="36" t="s">
        <v>14326</v>
      </c>
      <c r="I4063" s="40">
        <v>480</v>
      </c>
      <c r="J4063" s="36"/>
      <c r="K4063" s="34">
        <v>12</v>
      </c>
      <c r="L4063" s="41">
        <v>48.053333333333335</v>
      </c>
      <c r="M4063" s="11"/>
      <c r="N4063" s="36">
        <f t="shared" si="202"/>
        <v>0</v>
      </c>
      <c r="O4063" s="42">
        <f>0.066*M4063</f>
        <v>0</v>
      </c>
      <c r="P4063" s="43">
        <f>0.00052*M4063</f>
        <v>0</v>
      </c>
      <c r="Q4063" s="50"/>
      <c r="R4063" s="36" t="s">
        <v>14327</v>
      </c>
      <c r="S4063" s="36" t="s">
        <v>435</v>
      </c>
      <c r="T4063" s="35" t="str">
        <f>HYPERLINK("https://miland.ru/api/getInfo/image/48033f1f-77be-11ee-a248-00155d82e902")</f>
        <v>https://miland.ru/api/getInfo/image/48033f1f-77be-11ee-a248-00155d82e902</v>
      </c>
      <c r="U4063" s="35"/>
      <c r="V4063" s="35" t="s">
        <v>6525</v>
      </c>
      <c r="W4063" s="35" t="s">
        <v>378</v>
      </c>
      <c r="X4063" s="35"/>
      <c r="Y4063" s="35" t="s">
        <v>41</v>
      </c>
      <c r="Z4063" s="35"/>
      <c r="AA4063" s="35" t="str">
        <f>HYPERLINK("https://miland.ru/api/getInfo/item/48033f1f-77be-11ee-a248-00155d82e902")</f>
        <v>https://miland.ru/api/getInfo/item/48033f1f-77be-11ee-a248-00155d82e902</v>
      </c>
      <c r="AB4063" s="35" t="s">
        <v>42</v>
      </c>
      <c r="AC4063" s="35" t="s">
        <v>14209</v>
      </c>
      <c r="AD4063" s="35"/>
      <c r="AE4063" s="52" t="s">
        <v>1251</v>
      </c>
    </row>
    <row r="4064" spans="2:31" s="1" customFormat="1" ht="96.3" customHeight="1" outlineLevel="7">
      <c r="B4064" s="59">
        <v>3226</v>
      </c>
      <c r="C4064" s="35" t="s">
        <v>14328</v>
      </c>
      <c r="D4064" s="73" t="s">
        <v>14329</v>
      </c>
      <c r="E4064" s="73"/>
      <c r="F4064" s="73"/>
      <c r="G4064" s="73"/>
      <c r="H4064" s="36" t="s">
        <v>14330</v>
      </c>
      <c r="I4064" s="40">
        <v>336</v>
      </c>
      <c r="J4064" s="36"/>
      <c r="K4064" s="34">
        <v>12</v>
      </c>
      <c r="L4064" s="41">
        <v>48.053333333333335</v>
      </c>
      <c r="M4064" s="11"/>
      <c r="N4064" s="36">
        <f t="shared" si="202"/>
        <v>0</v>
      </c>
      <c r="O4064" s="42">
        <f>0.072*M4064</f>
        <v>0</v>
      </c>
      <c r="P4064" s="43">
        <f>0.00063*M4064</f>
        <v>0</v>
      </c>
      <c r="Q4064" s="50"/>
      <c r="R4064" s="36" t="s">
        <v>14331</v>
      </c>
      <c r="S4064" s="36" t="s">
        <v>435</v>
      </c>
      <c r="T4064" s="35" t="str">
        <f>HYPERLINK("https://miland.ru/api/getInfo/image/2cb00051-77be-11ee-a248-00155d82e902")</f>
        <v>https://miland.ru/api/getInfo/image/2cb00051-77be-11ee-a248-00155d82e902</v>
      </c>
      <c r="U4064" s="35"/>
      <c r="V4064" s="35" t="s">
        <v>6525</v>
      </c>
      <c r="W4064" s="35" t="s">
        <v>378</v>
      </c>
      <c r="X4064" s="35"/>
      <c r="Y4064" s="35" t="s">
        <v>41</v>
      </c>
      <c r="Z4064" s="35"/>
      <c r="AA4064" s="35" t="str">
        <f>HYPERLINK("https://miland.ru/api/getInfo/item/2cb00051-77be-11ee-a248-00155d82e902")</f>
        <v>https://miland.ru/api/getInfo/item/2cb00051-77be-11ee-a248-00155d82e902</v>
      </c>
      <c r="AB4064" s="35" t="s">
        <v>42</v>
      </c>
      <c r="AC4064" s="35" t="s">
        <v>14209</v>
      </c>
      <c r="AD4064" s="35"/>
      <c r="AE4064" s="52" t="s">
        <v>1251</v>
      </c>
    </row>
    <row r="4065" spans="2:31" s="1" customFormat="1" ht="96.3" customHeight="1" outlineLevel="7">
      <c r="B4065" s="59">
        <v>3227</v>
      </c>
      <c r="C4065" s="35" t="s">
        <v>14332</v>
      </c>
      <c r="D4065" s="73" t="s">
        <v>14333</v>
      </c>
      <c r="E4065" s="73"/>
      <c r="F4065" s="73"/>
      <c r="G4065" s="73"/>
      <c r="H4065" s="36" t="s">
        <v>14334</v>
      </c>
      <c r="I4065" s="56" t="s">
        <v>36</v>
      </c>
      <c r="J4065" s="36"/>
      <c r="K4065" s="34">
        <v>12</v>
      </c>
      <c r="L4065" s="41">
        <v>48.053333333333335</v>
      </c>
      <c r="M4065" s="11"/>
      <c r="N4065" s="36">
        <f t="shared" si="202"/>
        <v>0</v>
      </c>
      <c r="O4065" s="42">
        <f>0.075*M4065</f>
        <v>0</v>
      </c>
      <c r="P4065" s="43">
        <f>0.00027*M4065</f>
        <v>0</v>
      </c>
      <c r="Q4065" s="50"/>
      <c r="R4065" s="36" t="s">
        <v>14335</v>
      </c>
      <c r="S4065" s="36" t="s">
        <v>435</v>
      </c>
      <c r="T4065" s="35" t="str">
        <f>HYPERLINK("https://miland.ru/api/getInfo/image/128b8c61-77be-11ee-a248-00155d82e902")</f>
        <v>https://miland.ru/api/getInfo/image/128b8c61-77be-11ee-a248-00155d82e902</v>
      </c>
      <c r="U4065" s="35"/>
      <c r="V4065" s="35" t="s">
        <v>6525</v>
      </c>
      <c r="W4065" s="35" t="s">
        <v>378</v>
      </c>
      <c r="X4065" s="35"/>
      <c r="Y4065" s="35" t="s">
        <v>41</v>
      </c>
      <c r="Z4065" s="35"/>
      <c r="AA4065" s="35" t="str">
        <f>HYPERLINK("https://miland.ru/api/getInfo/item/128b8c61-77be-11ee-a248-00155d82e902")</f>
        <v>https://miland.ru/api/getInfo/item/128b8c61-77be-11ee-a248-00155d82e902</v>
      </c>
      <c r="AB4065" s="35" t="s">
        <v>42</v>
      </c>
      <c r="AC4065" s="35" t="s">
        <v>14209</v>
      </c>
      <c r="AD4065" s="35"/>
      <c r="AE4065" s="52" t="s">
        <v>1251</v>
      </c>
    </row>
    <row r="4066" spans="2:31" s="1" customFormat="1" ht="96.3" customHeight="1" outlineLevel="7">
      <c r="B4066" s="57">
        <v>3228</v>
      </c>
      <c r="C4066" s="21" t="s">
        <v>14336</v>
      </c>
      <c r="D4066" s="72" t="s">
        <v>14337</v>
      </c>
      <c r="E4066" s="72"/>
      <c r="F4066" s="72"/>
      <c r="G4066" s="72"/>
      <c r="H4066" s="22" t="s">
        <v>14338</v>
      </c>
      <c r="I4066" s="23" t="s">
        <v>36</v>
      </c>
      <c r="J4066" s="22"/>
      <c r="K4066" s="20">
        <v>12</v>
      </c>
      <c r="L4066" s="24">
        <v>86.31</v>
      </c>
      <c r="M4066" s="11"/>
      <c r="N4066" s="22">
        <f t="shared" si="202"/>
        <v>0</v>
      </c>
      <c r="O4066" s="25">
        <f>0.075*M4066</f>
        <v>0</v>
      </c>
      <c r="P4066" s="26">
        <f>0.00034*M4066</f>
        <v>0</v>
      </c>
      <c r="Q4066" s="30"/>
      <c r="R4066" s="22" t="s">
        <v>14339</v>
      </c>
      <c r="S4066" s="22" t="s">
        <v>435</v>
      </c>
      <c r="T4066" s="21" t="str">
        <f>HYPERLINK("https://miland.ru/api/getInfo/image/6800890a-cfd0-11ee-a25a-00155d82e908")</f>
        <v>https://miland.ru/api/getInfo/image/6800890a-cfd0-11ee-a25a-00155d82e908</v>
      </c>
      <c r="U4066" s="21"/>
      <c r="V4066" s="21" t="s">
        <v>6525</v>
      </c>
      <c r="W4066" s="21" t="s">
        <v>378</v>
      </c>
      <c r="X4066" s="21"/>
      <c r="Y4066" s="21" t="s">
        <v>41</v>
      </c>
      <c r="Z4066" s="21"/>
      <c r="AA4066" s="21" t="str">
        <f>HYPERLINK("https://miland.ru/api/getInfo/item/6800890a-cfd0-11ee-a25a-00155d82e908")</f>
        <v>https://miland.ru/api/getInfo/item/6800890a-cfd0-11ee-a25a-00155d82e908</v>
      </c>
      <c r="AB4066" s="21" t="s">
        <v>42</v>
      </c>
      <c r="AC4066" s="21" t="s">
        <v>14340</v>
      </c>
      <c r="AD4066" s="21"/>
    </row>
    <row r="4067" spans="2:31" ht="12" customHeight="1" outlineLevel="6">
      <c r="B4067" s="70" t="s">
        <v>7248</v>
      </c>
      <c r="C4067" s="70"/>
      <c r="D4067" s="70"/>
      <c r="E4067" s="70"/>
      <c r="F4067" s="70"/>
      <c r="G4067" s="70"/>
    </row>
    <row r="4068" spans="2:31" s="1" customFormat="1" ht="96.3" customHeight="1" outlineLevel="7">
      <c r="B4068" s="59">
        <v>3229</v>
      </c>
      <c r="C4068" s="35" t="s">
        <v>14341</v>
      </c>
      <c r="D4068" s="73" t="s">
        <v>14342</v>
      </c>
      <c r="E4068" s="73"/>
      <c r="F4068" s="73"/>
      <c r="G4068" s="73"/>
      <c r="H4068" s="36" t="s">
        <v>14343</v>
      </c>
      <c r="I4068" s="56" t="s">
        <v>36</v>
      </c>
      <c r="J4068" s="36"/>
      <c r="K4068" s="34">
        <v>12</v>
      </c>
      <c r="L4068" s="41">
        <v>42.160000000000004</v>
      </c>
      <c r="M4068" s="11"/>
      <c r="N4068" s="36">
        <f t="shared" ref="N4068:N4084" si="203">L4068*M4068</f>
        <v>0</v>
      </c>
      <c r="O4068" s="42">
        <f>0.084*M4068</f>
        <v>0</v>
      </c>
      <c r="P4068" s="43">
        <f>0.00044*M4068</f>
        <v>0</v>
      </c>
      <c r="Q4068" s="50"/>
      <c r="R4068" s="36" t="s">
        <v>14344</v>
      </c>
      <c r="S4068" s="36" t="s">
        <v>435</v>
      </c>
      <c r="T4068" s="35" t="str">
        <f>HYPERLINK("https://miland.ru/api/getInfo/image/a41336c2-7d76-11ee-a248-00155d82e902")</f>
        <v>https://miland.ru/api/getInfo/image/a41336c2-7d76-11ee-a248-00155d82e902</v>
      </c>
      <c r="U4068" s="35"/>
      <c r="V4068" s="35" t="s">
        <v>6525</v>
      </c>
      <c r="W4068" s="35" t="s">
        <v>378</v>
      </c>
      <c r="X4068" s="35"/>
      <c r="Y4068" s="35" t="s">
        <v>41</v>
      </c>
      <c r="Z4068" s="35"/>
      <c r="AA4068" s="35" t="str">
        <f>HYPERLINK("https://miland.ru/api/getInfo/item/a41336c2-7d76-11ee-a248-00155d82e902")</f>
        <v>https://miland.ru/api/getInfo/item/a41336c2-7d76-11ee-a248-00155d82e902</v>
      </c>
      <c r="AB4068" s="35" t="s">
        <v>42</v>
      </c>
      <c r="AC4068" s="35" t="s">
        <v>14345</v>
      </c>
      <c r="AD4068" s="35"/>
      <c r="AE4068" s="52" t="s">
        <v>1251</v>
      </c>
    </row>
    <row r="4069" spans="2:31" s="1" customFormat="1" ht="96.3" customHeight="1" outlineLevel="7">
      <c r="B4069" s="59">
        <v>3230</v>
      </c>
      <c r="C4069" s="35" t="s">
        <v>14346</v>
      </c>
      <c r="D4069" s="73" t="s">
        <v>14347</v>
      </c>
      <c r="E4069" s="73"/>
      <c r="F4069" s="73"/>
      <c r="G4069" s="73"/>
      <c r="H4069" s="36" t="s">
        <v>14348</v>
      </c>
      <c r="I4069" s="56" t="s">
        <v>36</v>
      </c>
      <c r="J4069" s="36"/>
      <c r="K4069" s="34">
        <v>12</v>
      </c>
      <c r="L4069" s="41">
        <v>42.160000000000004</v>
      </c>
      <c r="M4069" s="11"/>
      <c r="N4069" s="36">
        <f t="shared" si="203"/>
        <v>0</v>
      </c>
      <c r="O4069" s="42">
        <f>0.082*M4069</f>
        <v>0</v>
      </c>
      <c r="P4069" s="43">
        <f>0.00045*M4069</f>
        <v>0</v>
      </c>
      <c r="Q4069" s="50"/>
      <c r="R4069" s="36" t="s">
        <v>14349</v>
      </c>
      <c r="S4069" s="36" t="s">
        <v>435</v>
      </c>
      <c r="T4069" s="35" t="str">
        <f>HYPERLINK("https://miland.ru/api/getInfo/image/87ffd652-7d77-11ee-a248-00155d82e902")</f>
        <v>https://miland.ru/api/getInfo/image/87ffd652-7d77-11ee-a248-00155d82e902</v>
      </c>
      <c r="U4069" s="35"/>
      <c r="V4069" s="35" t="s">
        <v>6525</v>
      </c>
      <c r="W4069" s="35" t="s">
        <v>378</v>
      </c>
      <c r="X4069" s="35"/>
      <c r="Y4069" s="35" t="s">
        <v>41</v>
      </c>
      <c r="Z4069" s="35"/>
      <c r="AA4069" s="35" t="str">
        <f>HYPERLINK("https://miland.ru/api/getInfo/item/87ffd652-7d77-11ee-a248-00155d82e902")</f>
        <v>https://miland.ru/api/getInfo/item/87ffd652-7d77-11ee-a248-00155d82e902</v>
      </c>
      <c r="AB4069" s="35" t="s">
        <v>42</v>
      </c>
      <c r="AC4069" s="35" t="s">
        <v>14345</v>
      </c>
      <c r="AD4069" s="35"/>
      <c r="AE4069" s="52" t="s">
        <v>1251</v>
      </c>
    </row>
    <row r="4070" spans="2:31" s="1" customFormat="1" ht="96.3" customHeight="1" outlineLevel="7">
      <c r="B4070" s="59">
        <v>3231</v>
      </c>
      <c r="C4070" s="35" t="s">
        <v>14350</v>
      </c>
      <c r="D4070" s="73" t="s">
        <v>14351</v>
      </c>
      <c r="E4070" s="73"/>
      <c r="F4070" s="73"/>
      <c r="G4070" s="73"/>
      <c r="H4070" s="36" t="s">
        <v>14352</v>
      </c>
      <c r="I4070" s="56" t="s">
        <v>36</v>
      </c>
      <c r="J4070" s="36"/>
      <c r="K4070" s="34">
        <v>12</v>
      </c>
      <c r="L4070" s="41">
        <v>42.160000000000004</v>
      </c>
      <c r="M4070" s="11"/>
      <c r="N4070" s="36">
        <f t="shared" si="203"/>
        <v>0</v>
      </c>
      <c r="O4070" s="42">
        <f>0.083*M4070</f>
        <v>0</v>
      </c>
      <c r="P4070" s="43">
        <f>0.00044*M4070</f>
        <v>0</v>
      </c>
      <c r="Q4070" s="50"/>
      <c r="R4070" s="36" t="s">
        <v>14353</v>
      </c>
      <c r="S4070" s="36" t="s">
        <v>435</v>
      </c>
      <c r="T4070" s="35" t="str">
        <f>HYPERLINK("https://miland.ru/api/getInfo/image/544d37de-7d77-11ee-a248-00155d82e902")</f>
        <v>https://miland.ru/api/getInfo/image/544d37de-7d77-11ee-a248-00155d82e902</v>
      </c>
      <c r="U4070" s="35"/>
      <c r="V4070" s="35" t="s">
        <v>6525</v>
      </c>
      <c r="W4070" s="35" t="s">
        <v>378</v>
      </c>
      <c r="X4070" s="35"/>
      <c r="Y4070" s="35" t="s">
        <v>41</v>
      </c>
      <c r="Z4070" s="35"/>
      <c r="AA4070" s="35" t="str">
        <f>HYPERLINK("https://miland.ru/api/getInfo/item/544d37de-7d77-11ee-a248-00155d82e902")</f>
        <v>https://miland.ru/api/getInfo/item/544d37de-7d77-11ee-a248-00155d82e902</v>
      </c>
      <c r="AB4070" s="35" t="s">
        <v>42</v>
      </c>
      <c r="AC4070" s="35" t="s">
        <v>14345</v>
      </c>
      <c r="AD4070" s="35"/>
      <c r="AE4070" s="52" t="s">
        <v>1251</v>
      </c>
    </row>
    <row r="4071" spans="2:31" s="1" customFormat="1" ht="96.3" customHeight="1" outlineLevel="7">
      <c r="B4071" s="59">
        <v>3232</v>
      </c>
      <c r="C4071" s="35" t="s">
        <v>14354</v>
      </c>
      <c r="D4071" s="73" t="s">
        <v>14355</v>
      </c>
      <c r="E4071" s="73"/>
      <c r="F4071" s="73"/>
      <c r="G4071" s="73"/>
      <c r="H4071" s="36" t="s">
        <v>14356</v>
      </c>
      <c r="I4071" s="56" t="s">
        <v>36</v>
      </c>
      <c r="J4071" s="36"/>
      <c r="K4071" s="34">
        <v>12</v>
      </c>
      <c r="L4071" s="41">
        <v>42.160000000000004</v>
      </c>
      <c r="M4071" s="11"/>
      <c r="N4071" s="36">
        <f t="shared" si="203"/>
        <v>0</v>
      </c>
      <c r="O4071" s="42">
        <f>0.086*M4071</f>
        <v>0</v>
      </c>
      <c r="P4071" s="43">
        <f>0.00044*M4071</f>
        <v>0</v>
      </c>
      <c r="Q4071" s="50"/>
      <c r="R4071" s="36" t="s">
        <v>14357</v>
      </c>
      <c r="S4071" s="36" t="s">
        <v>435</v>
      </c>
      <c r="T4071" s="35" t="str">
        <f>HYPERLINK("https://miland.ru/api/getInfo/image/70879bd7-7d77-11ee-a248-00155d82e902")</f>
        <v>https://miland.ru/api/getInfo/image/70879bd7-7d77-11ee-a248-00155d82e902</v>
      </c>
      <c r="U4071" s="35"/>
      <c r="V4071" s="35" t="s">
        <v>6525</v>
      </c>
      <c r="W4071" s="35" t="s">
        <v>378</v>
      </c>
      <c r="X4071" s="35"/>
      <c r="Y4071" s="35" t="s">
        <v>41</v>
      </c>
      <c r="Z4071" s="35"/>
      <c r="AA4071" s="35" t="str">
        <f>HYPERLINK("https://miland.ru/api/getInfo/item/70879bd7-7d77-11ee-a248-00155d82e902")</f>
        <v>https://miland.ru/api/getInfo/item/70879bd7-7d77-11ee-a248-00155d82e902</v>
      </c>
      <c r="AB4071" s="35" t="s">
        <v>42</v>
      </c>
      <c r="AC4071" s="35" t="s">
        <v>14345</v>
      </c>
      <c r="AD4071" s="35"/>
      <c r="AE4071" s="52" t="s">
        <v>1251</v>
      </c>
    </row>
    <row r="4072" spans="2:31" s="1" customFormat="1" ht="96.3" customHeight="1" outlineLevel="7">
      <c r="B4072" s="59">
        <v>3233</v>
      </c>
      <c r="C4072" s="35" t="s">
        <v>14358</v>
      </c>
      <c r="D4072" s="73" t="s">
        <v>14359</v>
      </c>
      <c r="E4072" s="73"/>
      <c r="F4072" s="73"/>
      <c r="G4072" s="73"/>
      <c r="H4072" s="36" t="s">
        <v>14360</v>
      </c>
      <c r="I4072" s="56" t="s">
        <v>36</v>
      </c>
      <c r="J4072" s="36"/>
      <c r="K4072" s="34">
        <v>12</v>
      </c>
      <c r="L4072" s="41">
        <v>42.160000000000004</v>
      </c>
      <c r="M4072" s="11"/>
      <c r="N4072" s="36">
        <f t="shared" si="203"/>
        <v>0</v>
      </c>
      <c r="O4072" s="42">
        <f>0.084*M4072</f>
        <v>0</v>
      </c>
      <c r="P4072" s="43">
        <f>0.00045*M4072</f>
        <v>0</v>
      </c>
      <c r="Q4072" s="50"/>
      <c r="R4072" s="36" t="s">
        <v>14361</v>
      </c>
      <c r="S4072" s="36" t="s">
        <v>435</v>
      </c>
      <c r="T4072" s="35" t="str">
        <f>HYPERLINK("https://miland.ru/api/getInfo/image/a3d3dfdd-7d77-11ee-a248-00155d82e902")</f>
        <v>https://miland.ru/api/getInfo/image/a3d3dfdd-7d77-11ee-a248-00155d82e902</v>
      </c>
      <c r="U4072" s="35"/>
      <c r="V4072" s="35" t="s">
        <v>6525</v>
      </c>
      <c r="W4072" s="35" t="s">
        <v>378</v>
      </c>
      <c r="X4072" s="35"/>
      <c r="Y4072" s="35" t="s">
        <v>41</v>
      </c>
      <c r="Z4072" s="35"/>
      <c r="AA4072" s="35" t="str">
        <f>HYPERLINK("https://miland.ru/api/getInfo/item/a3d3dfdd-7d77-11ee-a248-00155d82e902")</f>
        <v>https://miland.ru/api/getInfo/item/a3d3dfdd-7d77-11ee-a248-00155d82e902</v>
      </c>
      <c r="AB4072" s="35" t="s">
        <v>42</v>
      </c>
      <c r="AC4072" s="35" t="s">
        <v>14345</v>
      </c>
      <c r="AD4072" s="35"/>
      <c r="AE4072" s="52" t="s">
        <v>1251</v>
      </c>
    </row>
    <row r="4073" spans="2:31" s="1" customFormat="1" ht="96.3" customHeight="1" outlineLevel="7">
      <c r="B4073" s="59">
        <v>3234</v>
      </c>
      <c r="C4073" s="35" t="s">
        <v>14362</v>
      </c>
      <c r="D4073" s="73" t="s">
        <v>14363</v>
      </c>
      <c r="E4073" s="73"/>
      <c r="F4073" s="73"/>
      <c r="G4073" s="73"/>
      <c r="H4073" s="36" t="s">
        <v>14364</v>
      </c>
      <c r="I4073" s="56" t="s">
        <v>36</v>
      </c>
      <c r="J4073" s="36"/>
      <c r="K4073" s="34">
        <v>12</v>
      </c>
      <c r="L4073" s="41">
        <v>42.160000000000004</v>
      </c>
      <c r="M4073" s="11"/>
      <c r="N4073" s="36">
        <f t="shared" si="203"/>
        <v>0</v>
      </c>
      <c r="O4073" s="42">
        <f>0.083*M4073</f>
        <v>0</v>
      </c>
      <c r="P4073" s="43">
        <f>0.00045*M4073</f>
        <v>0</v>
      </c>
      <c r="Q4073" s="50"/>
      <c r="R4073" s="36" t="s">
        <v>14365</v>
      </c>
      <c r="S4073" s="36" t="s">
        <v>435</v>
      </c>
      <c r="T4073" s="35" t="str">
        <f>HYPERLINK("https://miland.ru/api/getInfo/image/5640d468-7d76-11ee-a248-00155d82e902")</f>
        <v>https://miland.ru/api/getInfo/image/5640d468-7d76-11ee-a248-00155d82e902</v>
      </c>
      <c r="U4073" s="35"/>
      <c r="V4073" s="35" t="s">
        <v>6525</v>
      </c>
      <c r="W4073" s="35" t="s">
        <v>378</v>
      </c>
      <c r="X4073" s="35"/>
      <c r="Y4073" s="35" t="s">
        <v>41</v>
      </c>
      <c r="Z4073" s="35"/>
      <c r="AA4073" s="35" t="str">
        <f>HYPERLINK("https://miland.ru/api/getInfo/item/5640d468-7d76-11ee-a248-00155d82e902")</f>
        <v>https://miland.ru/api/getInfo/item/5640d468-7d76-11ee-a248-00155d82e902</v>
      </c>
      <c r="AB4073" s="35" t="s">
        <v>42</v>
      </c>
      <c r="AC4073" s="35" t="s">
        <v>14345</v>
      </c>
      <c r="AD4073" s="35"/>
      <c r="AE4073" s="52" t="s">
        <v>1251</v>
      </c>
    </row>
    <row r="4074" spans="2:31" s="1" customFormat="1" ht="96.3" customHeight="1" outlineLevel="7">
      <c r="B4074" s="57">
        <v>3235</v>
      </c>
      <c r="C4074" s="21" t="s">
        <v>14366</v>
      </c>
      <c r="D4074" s="72" t="s">
        <v>14367</v>
      </c>
      <c r="E4074" s="72"/>
      <c r="F4074" s="72"/>
      <c r="G4074" s="72"/>
      <c r="H4074" s="22" t="s">
        <v>14368</v>
      </c>
      <c r="I4074" s="23" t="s">
        <v>36</v>
      </c>
      <c r="J4074" s="22"/>
      <c r="K4074" s="20">
        <v>12</v>
      </c>
      <c r="L4074" s="24">
        <v>77.900000000000006</v>
      </c>
      <c r="M4074" s="11"/>
      <c r="N4074" s="22">
        <f t="shared" si="203"/>
        <v>0</v>
      </c>
      <c r="O4074" s="25">
        <f>0.086*M4074</f>
        <v>0</v>
      </c>
      <c r="P4074" s="26">
        <f>0.00044*M4074</f>
        <v>0</v>
      </c>
      <c r="Q4074" s="30"/>
      <c r="R4074" s="22" t="s">
        <v>14369</v>
      </c>
      <c r="S4074" s="22" t="s">
        <v>435</v>
      </c>
      <c r="T4074" s="21" t="str">
        <f>HYPERLINK("https://miland.ru/api/getInfo/image/8900575f-7d76-11ee-a248-00155d82e902")</f>
        <v>https://miland.ru/api/getInfo/image/8900575f-7d76-11ee-a248-00155d82e902</v>
      </c>
      <c r="U4074" s="21"/>
      <c r="V4074" s="21" t="s">
        <v>6525</v>
      </c>
      <c r="W4074" s="21" t="s">
        <v>378</v>
      </c>
      <c r="X4074" s="21"/>
      <c r="Y4074" s="21" t="s">
        <v>41</v>
      </c>
      <c r="Z4074" s="21"/>
      <c r="AA4074" s="21" t="str">
        <f>HYPERLINK("https://miland.ru/api/getInfo/item/8900575f-7d76-11ee-a248-00155d82e902")</f>
        <v>https://miland.ru/api/getInfo/item/8900575f-7d76-11ee-a248-00155d82e902</v>
      </c>
      <c r="AB4074" s="21" t="s">
        <v>42</v>
      </c>
      <c r="AC4074" s="21" t="s">
        <v>14345</v>
      </c>
      <c r="AD4074" s="21"/>
    </row>
    <row r="4075" spans="2:31" s="1" customFormat="1" ht="96.3" customHeight="1" outlineLevel="7">
      <c r="B4075" s="59">
        <v>3236</v>
      </c>
      <c r="C4075" s="35" t="s">
        <v>14370</v>
      </c>
      <c r="D4075" s="73" t="s">
        <v>14371</v>
      </c>
      <c r="E4075" s="73"/>
      <c r="F4075" s="73"/>
      <c r="G4075" s="73"/>
      <c r="H4075" s="36" t="s">
        <v>14372</v>
      </c>
      <c r="I4075" s="56" t="s">
        <v>36</v>
      </c>
      <c r="J4075" s="36"/>
      <c r="K4075" s="34">
        <v>12</v>
      </c>
      <c r="L4075" s="41">
        <v>42.160000000000004</v>
      </c>
      <c r="M4075" s="11"/>
      <c r="N4075" s="36">
        <f t="shared" si="203"/>
        <v>0</v>
      </c>
      <c r="O4075" s="42">
        <f>0.082*M4075</f>
        <v>0</v>
      </c>
      <c r="P4075" s="43">
        <f>0.00045*M4075</f>
        <v>0</v>
      </c>
      <c r="Q4075" s="50"/>
      <c r="R4075" s="36" t="s">
        <v>14373</v>
      </c>
      <c r="S4075" s="36" t="s">
        <v>435</v>
      </c>
      <c r="T4075" s="35" t="str">
        <f>HYPERLINK("https://miland.ru/api/getInfo/image/c3c7089d-7d76-11ee-a248-00155d82e902")</f>
        <v>https://miland.ru/api/getInfo/image/c3c7089d-7d76-11ee-a248-00155d82e902</v>
      </c>
      <c r="U4075" s="35"/>
      <c r="V4075" s="35" t="s">
        <v>6525</v>
      </c>
      <c r="W4075" s="35" t="s">
        <v>378</v>
      </c>
      <c r="X4075" s="35"/>
      <c r="Y4075" s="35" t="s">
        <v>41</v>
      </c>
      <c r="Z4075" s="35"/>
      <c r="AA4075" s="35" t="str">
        <f>HYPERLINK("https://miland.ru/api/getInfo/item/c3c7089d-7d76-11ee-a248-00155d82e902")</f>
        <v>https://miland.ru/api/getInfo/item/c3c7089d-7d76-11ee-a248-00155d82e902</v>
      </c>
      <c r="AB4075" s="35" t="s">
        <v>42</v>
      </c>
      <c r="AC4075" s="35" t="s">
        <v>14345</v>
      </c>
      <c r="AD4075" s="35"/>
      <c r="AE4075" s="52" t="s">
        <v>1251</v>
      </c>
    </row>
    <row r="4076" spans="2:31" s="1" customFormat="1" ht="96.3" customHeight="1" outlineLevel="7">
      <c r="B4076" s="57">
        <v>3237</v>
      </c>
      <c r="C4076" s="21" t="s">
        <v>14374</v>
      </c>
      <c r="D4076" s="72" t="s">
        <v>14375</v>
      </c>
      <c r="E4076" s="72"/>
      <c r="F4076" s="72"/>
      <c r="G4076" s="72"/>
      <c r="H4076" s="22" t="s">
        <v>14376</v>
      </c>
      <c r="I4076" s="23" t="s">
        <v>36</v>
      </c>
      <c r="J4076" s="22"/>
      <c r="K4076" s="20">
        <v>12</v>
      </c>
      <c r="L4076" s="24">
        <v>77.900000000000006</v>
      </c>
      <c r="M4076" s="11"/>
      <c r="N4076" s="22">
        <f t="shared" si="203"/>
        <v>0</v>
      </c>
      <c r="O4076" s="25">
        <f>0.084*M4076</f>
        <v>0</v>
      </c>
      <c r="P4076" s="26">
        <f>0.00043*M4076</f>
        <v>0</v>
      </c>
      <c r="Q4076" s="30"/>
      <c r="R4076" s="22" t="s">
        <v>14377</v>
      </c>
      <c r="S4076" s="22"/>
      <c r="T4076" s="21" t="str">
        <f>HYPERLINK("https://miland.ru/api/getInfo/image/25255bf2-2434-11f0-a279-00155d82e908")</f>
        <v>https://miland.ru/api/getInfo/image/25255bf2-2434-11f0-a279-00155d82e908</v>
      </c>
      <c r="U4076" s="21"/>
      <c r="V4076" s="21" t="s">
        <v>6525</v>
      </c>
      <c r="W4076" s="21" t="s">
        <v>378</v>
      </c>
      <c r="X4076" s="21"/>
      <c r="Y4076" s="21" t="s">
        <v>41</v>
      </c>
      <c r="Z4076" s="21"/>
      <c r="AA4076" s="21" t="str">
        <f>HYPERLINK("https://miland.ru/api/getInfo/item/25255bf2-2434-11f0-a279-00155d82e908")</f>
        <v>https://miland.ru/api/getInfo/item/25255bf2-2434-11f0-a279-00155d82e908</v>
      </c>
      <c r="AB4076" s="21" t="s">
        <v>42</v>
      </c>
      <c r="AC4076" s="21"/>
      <c r="AD4076" s="21"/>
    </row>
    <row r="4077" spans="2:31" s="1" customFormat="1" ht="96.3" customHeight="1" outlineLevel="7">
      <c r="B4077" s="57">
        <v>3238</v>
      </c>
      <c r="C4077" s="21" t="s">
        <v>14378</v>
      </c>
      <c r="D4077" s="72" t="s">
        <v>14379</v>
      </c>
      <c r="E4077" s="72"/>
      <c r="F4077" s="72"/>
      <c r="G4077" s="72"/>
      <c r="H4077" s="22" t="s">
        <v>14380</v>
      </c>
      <c r="I4077" s="23" t="s">
        <v>36</v>
      </c>
      <c r="J4077" s="22"/>
      <c r="K4077" s="20">
        <v>12</v>
      </c>
      <c r="L4077" s="24">
        <v>77.900000000000006</v>
      </c>
      <c r="M4077" s="11"/>
      <c r="N4077" s="22">
        <f t="shared" si="203"/>
        <v>0</v>
      </c>
      <c r="O4077" s="25">
        <f>0.091*M4077</f>
        <v>0</v>
      </c>
      <c r="P4077" s="26">
        <f>0.00051*M4077</f>
        <v>0</v>
      </c>
      <c r="Q4077" s="30"/>
      <c r="R4077" s="22" t="s">
        <v>14381</v>
      </c>
      <c r="S4077" s="22"/>
      <c r="T4077" s="21" t="str">
        <f>HYPERLINK("https://miland.ru/api/getInfo/image/bcf9dcdd-2433-11f0-a279-00155d82e908")</f>
        <v>https://miland.ru/api/getInfo/image/bcf9dcdd-2433-11f0-a279-00155d82e908</v>
      </c>
      <c r="U4077" s="21"/>
      <c r="V4077" s="21" t="s">
        <v>6525</v>
      </c>
      <c r="W4077" s="21" t="s">
        <v>378</v>
      </c>
      <c r="X4077" s="21"/>
      <c r="Y4077" s="21" t="s">
        <v>41</v>
      </c>
      <c r="Z4077" s="21"/>
      <c r="AA4077" s="21" t="str">
        <f>HYPERLINK("https://miland.ru/api/getInfo/item/bcf9dcdd-2433-11f0-a279-00155d82e908")</f>
        <v>https://miland.ru/api/getInfo/item/bcf9dcdd-2433-11f0-a279-00155d82e908</v>
      </c>
      <c r="AB4077" s="21" t="s">
        <v>42</v>
      </c>
      <c r="AC4077" s="21"/>
      <c r="AD4077" s="21"/>
    </row>
    <row r="4078" spans="2:31" s="1" customFormat="1" ht="96.3" customHeight="1" outlineLevel="7">
      <c r="B4078" s="57">
        <v>3239</v>
      </c>
      <c r="C4078" s="21" t="s">
        <v>14382</v>
      </c>
      <c r="D4078" s="72" t="s">
        <v>14383</v>
      </c>
      <c r="E4078" s="72"/>
      <c r="F4078" s="72"/>
      <c r="G4078" s="72"/>
      <c r="H4078" s="22" t="s">
        <v>14384</v>
      </c>
      <c r="I4078" s="23" t="s">
        <v>36</v>
      </c>
      <c r="J4078" s="22"/>
      <c r="K4078" s="20">
        <v>12</v>
      </c>
      <c r="L4078" s="24">
        <v>77.900000000000006</v>
      </c>
      <c r="M4078" s="11"/>
      <c r="N4078" s="22">
        <f t="shared" si="203"/>
        <v>0</v>
      </c>
      <c r="O4078" s="25">
        <f>0.084*M4078</f>
        <v>0</v>
      </c>
      <c r="P4078" s="26">
        <f>0.00067*M4078</f>
        <v>0</v>
      </c>
      <c r="Q4078" s="30"/>
      <c r="R4078" s="22" t="s">
        <v>14385</v>
      </c>
      <c r="S4078" s="22"/>
      <c r="T4078" s="21" t="str">
        <f>HYPERLINK("https://miland.ru/api/getInfo/image/a5d63370-2432-11f0-a279-00155d82e908")</f>
        <v>https://miland.ru/api/getInfo/image/a5d63370-2432-11f0-a279-00155d82e908</v>
      </c>
      <c r="U4078" s="21"/>
      <c r="V4078" s="21" t="s">
        <v>6525</v>
      </c>
      <c r="W4078" s="21" t="s">
        <v>378</v>
      </c>
      <c r="X4078" s="21"/>
      <c r="Y4078" s="21" t="s">
        <v>41</v>
      </c>
      <c r="Z4078" s="21"/>
      <c r="AA4078" s="21" t="str">
        <f>HYPERLINK("https://miland.ru/api/getInfo/item/a5d63370-2432-11f0-a279-00155d82e908")</f>
        <v>https://miland.ru/api/getInfo/item/a5d63370-2432-11f0-a279-00155d82e908</v>
      </c>
      <c r="AB4078" s="21" t="s">
        <v>42</v>
      </c>
      <c r="AC4078" s="21"/>
      <c r="AD4078" s="21"/>
    </row>
    <row r="4079" spans="2:31" s="1" customFormat="1" ht="96.3" customHeight="1" outlineLevel="7">
      <c r="B4079" s="57">
        <v>3240</v>
      </c>
      <c r="C4079" s="21" t="s">
        <v>14386</v>
      </c>
      <c r="D4079" s="72" t="s">
        <v>14387</v>
      </c>
      <c r="E4079" s="72"/>
      <c r="F4079" s="72"/>
      <c r="G4079" s="72"/>
      <c r="H4079" s="22" t="s">
        <v>14388</v>
      </c>
      <c r="I4079" s="23" t="s">
        <v>36</v>
      </c>
      <c r="J4079" s="22"/>
      <c r="K4079" s="20">
        <v>12</v>
      </c>
      <c r="L4079" s="24">
        <v>77.900000000000006</v>
      </c>
      <c r="M4079" s="11"/>
      <c r="N4079" s="22">
        <f t="shared" si="203"/>
        <v>0</v>
      </c>
      <c r="O4079" s="25">
        <f>0.081*M4079</f>
        <v>0</v>
      </c>
      <c r="P4079" s="26">
        <f>0.00153*M4079</f>
        <v>0</v>
      </c>
      <c r="Q4079" s="30"/>
      <c r="R4079" s="22" t="s">
        <v>14389</v>
      </c>
      <c r="S4079" s="22"/>
      <c r="T4079" s="21" t="str">
        <f>HYPERLINK("https://miland.ru/api/getInfo/image/4b7c07ad-2433-11f0-a279-00155d82e908")</f>
        <v>https://miland.ru/api/getInfo/image/4b7c07ad-2433-11f0-a279-00155d82e908</v>
      </c>
      <c r="U4079" s="21"/>
      <c r="V4079" s="21" t="s">
        <v>6525</v>
      </c>
      <c r="W4079" s="21" t="s">
        <v>378</v>
      </c>
      <c r="X4079" s="21"/>
      <c r="Y4079" s="21" t="s">
        <v>41</v>
      </c>
      <c r="Z4079" s="21"/>
      <c r="AA4079" s="21" t="str">
        <f>HYPERLINK("https://miland.ru/api/getInfo/item/4b7c07ad-2433-11f0-a279-00155d82e908")</f>
        <v>https://miland.ru/api/getInfo/item/4b7c07ad-2433-11f0-a279-00155d82e908</v>
      </c>
      <c r="AB4079" s="21" t="s">
        <v>42</v>
      </c>
      <c r="AC4079" s="21"/>
      <c r="AD4079" s="21"/>
    </row>
    <row r="4080" spans="2:31" s="1" customFormat="1" ht="96.3" customHeight="1" outlineLevel="7">
      <c r="B4080" s="57">
        <v>3241</v>
      </c>
      <c r="C4080" s="21" t="s">
        <v>14390</v>
      </c>
      <c r="D4080" s="72" t="s">
        <v>14391</v>
      </c>
      <c r="E4080" s="72"/>
      <c r="F4080" s="72"/>
      <c r="G4080" s="72"/>
      <c r="H4080" s="22" t="s">
        <v>14392</v>
      </c>
      <c r="I4080" s="27">
        <v>432</v>
      </c>
      <c r="J4080" s="22"/>
      <c r="K4080" s="20">
        <v>12</v>
      </c>
      <c r="L4080" s="24">
        <v>77.900000000000006</v>
      </c>
      <c r="M4080" s="11"/>
      <c r="N4080" s="22">
        <f t="shared" si="203"/>
        <v>0</v>
      </c>
      <c r="O4080" s="25">
        <f>0.081*M4080</f>
        <v>0</v>
      </c>
      <c r="P4080" s="26">
        <f>0.00036*M4080</f>
        <v>0</v>
      </c>
      <c r="Q4080" s="30"/>
      <c r="R4080" s="22" t="s">
        <v>14393</v>
      </c>
      <c r="S4080" s="22"/>
      <c r="T4080" s="21" t="str">
        <f>HYPERLINK("https://miland.ru/api/getInfo/image/d14d8ccf-242d-11f0-a279-00155d82e908")</f>
        <v>https://miland.ru/api/getInfo/image/d14d8ccf-242d-11f0-a279-00155d82e908</v>
      </c>
      <c r="U4080" s="21"/>
      <c r="V4080" s="21" t="s">
        <v>6525</v>
      </c>
      <c r="W4080" s="21" t="s">
        <v>378</v>
      </c>
      <c r="X4080" s="21"/>
      <c r="Y4080" s="21" t="s">
        <v>41</v>
      </c>
      <c r="Z4080" s="21"/>
      <c r="AA4080" s="21" t="str">
        <f>HYPERLINK("https://miland.ru/api/getInfo/item/d14d8ccf-242d-11f0-a279-00155d82e908")</f>
        <v>https://miland.ru/api/getInfo/item/d14d8ccf-242d-11f0-a279-00155d82e908</v>
      </c>
      <c r="AB4080" s="21" t="s">
        <v>42</v>
      </c>
      <c r="AC4080" s="21"/>
      <c r="AD4080" s="21"/>
    </row>
    <row r="4081" spans="2:31" s="1" customFormat="1" ht="96.3" customHeight="1" outlineLevel="7">
      <c r="B4081" s="57">
        <v>3242</v>
      </c>
      <c r="C4081" s="21" t="s">
        <v>14394</v>
      </c>
      <c r="D4081" s="72" t="s">
        <v>14395</v>
      </c>
      <c r="E4081" s="72"/>
      <c r="F4081" s="72"/>
      <c r="G4081" s="72"/>
      <c r="H4081" s="22" t="s">
        <v>14396</v>
      </c>
      <c r="I4081" s="23" t="s">
        <v>36</v>
      </c>
      <c r="J4081" s="22"/>
      <c r="K4081" s="20">
        <v>12</v>
      </c>
      <c r="L4081" s="24">
        <v>59.62</v>
      </c>
      <c r="M4081" s="11"/>
      <c r="N4081" s="22">
        <f t="shared" si="203"/>
        <v>0</v>
      </c>
      <c r="O4081" s="25">
        <f>0.071*M4081</f>
        <v>0</v>
      </c>
      <c r="P4081" s="26">
        <f>0.00083*M4081</f>
        <v>0</v>
      </c>
      <c r="Q4081" s="30"/>
      <c r="R4081" s="22" t="s">
        <v>14397</v>
      </c>
      <c r="S4081" s="22"/>
      <c r="T4081" s="21" t="str">
        <f>HYPERLINK("https://miland.ru/api/getInfo/image/70aaf569-58aa-11f0-a27f-00155d82e908")</f>
        <v>https://miland.ru/api/getInfo/image/70aaf569-58aa-11f0-a27f-00155d82e908</v>
      </c>
      <c r="U4081" s="21"/>
      <c r="V4081" s="21"/>
      <c r="W4081" s="21" t="s">
        <v>378</v>
      </c>
      <c r="X4081" s="21"/>
      <c r="Y4081" s="21" t="s">
        <v>41</v>
      </c>
      <c r="Z4081" s="21"/>
      <c r="AA4081" s="21" t="str">
        <f>HYPERLINK("https://miland.ru/api/getInfo/item/70aaf569-58aa-11f0-a27f-00155d82e908")</f>
        <v>https://miland.ru/api/getInfo/item/70aaf569-58aa-11f0-a27f-00155d82e908</v>
      </c>
      <c r="AB4081" s="21" t="s">
        <v>42</v>
      </c>
      <c r="AC4081" s="21"/>
      <c r="AD4081" s="21"/>
    </row>
    <row r="4082" spans="2:31" s="1" customFormat="1" ht="96.3" customHeight="1" outlineLevel="7">
      <c r="B4082" s="57">
        <v>3243</v>
      </c>
      <c r="C4082" s="21" t="s">
        <v>14398</v>
      </c>
      <c r="D4082" s="72" t="s">
        <v>14399</v>
      </c>
      <c r="E4082" s="72"/>
      <c r="F4082" s="72"/>
      <c r="G4082" s="72"/>
      <c r="H4082" s="22" t="s">
        <v>14400</v>
      </c>
      <c r="I4082" s="27">
        <v>372</v>
      </c>
      <c r="J4082" s="22"/>
      <c r="K4082" s="20">
        <v>12</v>
      </c>
      <c r="L4082" s="24">
        <v>59.62</v>
      </c>
      <c r="M4082" s="11"/>
      <c r="N4082" s="22">
        <f t="shared" si="203"/>
        <v>0</v>
      </c>
      <c r="O4082" s="25">
        <f>0.071*M4082</f>
        <v>0</v>
      </c>
      <c r="P4082" s="26">
        <f>0.00083*M4082</f>
        <v>0</v>
      </c>
      <c r="Q4082" s="30"/>
      <c r="R4082" s="22" t="s">
        <v>14401</v>
      </c>
      <c r="S4082" s="22"/>
      <c r="T4082" s="21" t="str">
        <f>HYPERLINK("https://miland.ru/api/getInfo/image/ae5a887d-58aa-11f0-a27f-00155d82e908")</f>
        <v>https://miland.ru/api/getInfo/image/ae5a887d-58aa-11f0-a27f-00155d82e908</v>
      </c>
      <c r="U4082" s="21"/>
      <c r="V4082" s="21"/>
      <c r="W4082" s="21" t="s">
        <v>378</v>
      </c>
      <c r="X4082" s="21"/>
      <c r="Y4082" s="21" t="s">
        <v>41</v>
      </c>
      <c r="Z4082" s="21"/>
      <c r="AA4082" s="21" t="str">
        <f>HYPERLINK("https://miland.ru/api/getInfo/item/ae5a887d-58aa-11f0-a27f-00155d82e908")</f>
        <v>https://miland.ru/api/getInfo/item/ae5a887d-58aa-11f0-a27f-00155d82e908</v>
      </c>
      <c r="AB4082" s="21" t="s">
        <v>42</v>
      </c>
      <c r="AC4082" s="21"/>
      <c r="AD4082" s="21"/>
    </row>
    <row r="4083" spans="2:31" s="1" customFormat="1" ht="96.3" customHeight="1" outlineLevel="7">
      <c r="B4083" s="57">
        <v>3244</v>
      </c>
      <c r="C4083" s="21" t="s">
        <v>14402</v>
      </c>
      <c r="D4083" s="72" t="s">
        <v>14403</v>
      </c>
      <c r="E4083" s="72"/>
      <c r="F4083" s="72"/>
      <c r="G4083" s="72"/>
      <c r="H4083" s="22" t="s">
        <v>14404</v>
      </c>
      <c r="I4083" s="27">
        <v>156</v>
      </c>
      <c r="J4083" s="22"/>
      <c r="K4083" s="20">
        <v>12</v>
      </c>
      <c r="L4083" s="24">
        <v>59.62</v>
      </c>
      <c r="M4083" s="11"/>
      <c r="N4083" s="22">
        <f t="shared" si="203"/>
        <v>0</v>
      </c>
      <c r="O4083" s="25">
        <f>0.071*M4083</f>
        <v>0</v>
      </c>
      <c r="P4083" s="26">
        <f>0.00083*M4083</f>
        <v>0</v>
      </c>
      <c r="Q4083" s="30"/>
      <c r="R4083" s="22" t="s">
        <v>14405</v>
      </c>
      <c r="S4083" s="22"/>
      <c r="T4083" s="21" t="str">
        <f>HYPERLINK("https://miland.ru/api/getInfo/image/2dd7aa87-58ab-11f0-a27f-00155d82e908")</f>
        <v>https://miland.ru/api/getInfo/image/2dd7aa87-58ab-11f0-a27f-00155d82e908</v>
      </c>
      <c r="U4083" s="21"/>
      <c r="V4083" s="21"/>
      <c r="W4083" s="21" t="s">
        <v>378</v>
      </c>
      <c r="X4083" s="21"/>
      <c r="Y4083" s="21" t="s">
        <v>41</v>
      </c>
      <c r="Z4083" s="21"/>
      <c r="AA4083" s="21" t="str">
        <f>HYPERLINK("https://miland.ru/api/getInfo/item/2dd7aa87-58ab-11f0-a27f-00155d82e908")</f>
        <v>https://miland.ru/api/getInfo/item/2dd7aa87-58ab-11f0-a27f-00155d82e908</v>
      </c>
      <c r="AB4083" s="21" t="s">
        <v>42</v>
      </c>
      <c r="AC4083" s="21"/>
      <c r="AD4083" s="21"/>
    </row>
    <row r="4084" spans="2:31" s="1" customFormat="1" ht="96.3" customHeight="1" outlineLevel="7">
      <c r="B4084" s="57">
        <v>3245</v>
      </c>
      <c r="C4084" s="21" t="s">
        <v>14406</v>
      </c>
      <c r="D4084" s="72" t="s">
        <v>14407</v>
      </c>
      <c r="E4084" s="72"/>
      <c r="F4084" s="72"/>
      <c r="G4084" s="72"/>
      <c r="H4084" s="22" t="s">
        <v>14408</v>
      </c>
      <c r="I4084" s="23" t="s">
        <v>36</v>
      </c>
      <c r="J4084" s="22"/>
      <c r="K4084" s="20">
        <v>12</v>
      </c>
      <c r="L4084" s="24">
        <v>59.62</v>
      </c>
      <c r="M4084" s="11"/>
      <c r="N4084" s="22">
        <f t="shared" si="203"/>
        <v>0</v>
      </c>
      <c r="O4084" s="25">
        <f>0.071*M4084</f>
        <v>0</v>
      </c>
      <c r="P4084" s="26">
        <f>0.00083*M4084</f>
        <v>0</v>
      </c>
      <c r="Q4084" s="30"/>
      <c r="R4084" s="22" t="s">
        <v>14409</v>
      </c>
      <c r="S4084" s="22"/>
      <c r="T4084" s="21" t="str">
        <f>HYPERLINK("https://miland.ru/api/getInfo/image/e776ca2e-58aa-11f0-a27f-00155d82e908")</f>
        <v>https://miland.ru/api/getInfo/image/e776ca2e-58aa-11f0-a27f-00155d82e908</v>
      </c>
      <c r="U4084" s="21"/>
      <c r="V4084" s="21"/>
      <c r="W4084" s="21" t="s">
        <v>378</v>
      </c>
      <c r="X4084" s="21"/>
      <c r="Y4084" s="21" t="s">
        <v>41</v>
      </c>
      <c r="Z4084" s="21"/>
      <c r="AA4084" s="21" t="str">
        <f>HYPERLINK("https://miland.ru/api/getInfo/item/e776ca2e-58aa-11f0-a27f-00155d82e908")</f>
        <v>https://miland.ru/api/getInfo/item/e776ca2e-58aa-11f0-a27f-00155d82e908</v>
      </c>
      <c r="AB4084" s="21" t="s">
        <v>42</v>
      </c>
      <c r="AC4084" s="21"/>
      <c r="AD4084" s="21"/>
    </row>
    <row r="4085" spans="2:31" ht="12" customHeight="1" outlineLevel="6">
      <c r="B4085" s="70" t="s">
        <v>14410</v>
      </c>
      <c r="C4085" s="70"/>
      <c r="D4085" s="70"/>
      <c r="E4085" s="70"/>
      <c r="F4085" s="70"/>
      <c r="G4085" s="70"/>
    </row>
    <row r="4086" spans="2:31" s="1" customFormat="1" ht="96.3" customHeight="1" outlineLevel="7">
      <c r="B4086" s="57">
        <v>3246</v>
      </c>
      <c r="C4086" s="21" t="s">
        <v>14411</v>
      </c>
      <c r="D4086" s="72" t="s">
        <v>14412</v>
      </c>
      <c r="E4086" s="72"/>
      <c r="F4086" s="72"/>
      <c r="G4086" s="72"/>
      <c r="H4086" s="22" t="s">
        <v>14413</v>
      </c>
      <c r="I4086" s="27">
        <v>264</v>
      </c>
      <c r="J4086" s="22"/>
      <c r="K4086" s="20">
        <v>12</v>
      </c>
      <c r="L4086" s="24">
        <v>86.31</v>
      </c>
      <c r="M4086" s="11"/>
      <c r="N4086" s="22">
        <f t="shared" ref="N4086:N4097" si="204">L4086*M4086</f>
        <v>0</v>
      </c>
      <c r="O4086" s="25">
        <f>0.072*M4086</f>
        <v>0</v>
      </c>
      <c r="P4086" s="26">
        <f>0.00075*M4086</f>
        <v>0</v>
      </c>
      <c r="Q4086" s="30"/>
      <c r="R4086" s="22" t="s">
        <v>14414</v>
      </c>
      <c r="S4086" s="22" t="s">
        <v>435</v>
      </c>
      <c r="T4086" s="21" t="str">
        <f>HYPERLINK("https://miland.ru/api/getInfo/image/ca1c7463-61b9-11ee-a245-00155d82e902")</f>
        <v>https://miland.ru/api/getInfo/image/ca1c7463-61b9-11ee-a245-00155d82e902</v>
      </c>
      <c r="U4086" s="21"/>
      <c r="V4086" s="21" t="s">
        <v>6525</v>
      </c>
      <c r="W4086" s="21" t="s">
        <v>378</v>
      </c>
      <c r="X4086" s="21"/>
      <c r="Y4086" s="21" t="s">
        <v>41</v>
      </c>
      <c r="Z4086" s="21"/>
      <c r="AA4086" s="21" t="str">
        <f>HYPERLINK("https://miland.ru/api/getInfo/item/ca1c7463-61b9-11ee-a245-00155d82e902")</f>
        <v>https://miland.ru/api/getInfo/item/ca1c7463-61b9-11ee-a245-00155d82e902</v>
      </c>
      <c r="AB4086" s="21" t="s">
        <v>42</v>
      </c>
      <c r="AC4086" s="21" t="s">
        <v>14415</v>
      </c>
      <c r="AD4086" s="21"/>
    </row>
    <row r="4087" spans="2:31" s="1" customFormat="1" ht="96.3" customHeight="1" outlineLevel="7">
      <c r="B4087" s="57">
        <v>3247</v>
      </c>
      <c r="C4087" s="21" t="s">
        <v>14416</v>
      </c>
      <c r="D4087" s="72" t="s">
        <v>14417</v>
      </c>
      <c r="E4087" s="72"/>
      <c r="F4087" s="72"/>
      <c r="G4087" s="72"/>
      <c r="H4087" s="22" t="s">
        <v>14418</v>
      </c>
      <c r="I4087" s="23" t="s">
        <v>36</v>
      </c>
      <c r="J4087" s="22"/>
      <c r="K4087" s="20">
        <v>12</v>
      </c>
      <c r="L4087" s="24">
        <v>86.31</v>
      </c>
      <c r="M4087" s="11"/>
      <c r="N4087" s="22">
        <f t="shared" si="204"/>
        <v>0</v>
      </c>
      <c r="O4087" s="25">
        <f>0.087*M4087</f>
        <v>0</v>
      </c>
      <c r="P4087" s="26">
        <f>0.00108*M4087</f>
        <v>0</v>
      </c>
      <c r="Q4087" s="30"/>
      <c r="R4087" s="22" t="s">
        <v>14419</v>
      </c>
      <c r="S4087" s="22"/>
      <c r="T4087" s="21" t="str">
        <f>HYPERLINK("https://miland.ru/api/getInfo/image/d0cb2f6b-edc7-11ef-a274-00155d82e908")</f>
        <v>https://miland.ru/api/getInfo/image/d0cb2f6b-edc7-11ef-a274-00155d82e908</v>
      </c>
      <c r="U4087" s="21"/>
      <c r="V4087" s="21" t="s">
        <v>6525</v>
      </c>
      <c r="W4087" s="21" t="s">
        <v>378</v>
      </c>
      <c r="X4087" s="21"/>
      <c r="Y4087" s="21" t="s">
        <v>41</v>
      </c>
      <c r="Z4087" s="21"/>
      <c r="AA4087" s="21" t="str">
        <f>HYPERLINK("https://miland.ru/api/getInfo/item/d0cb2f6b-edc7-11ef-a274-00155d82e908")</f>
        <v>https://miland.ru/api/getInfo/item/d0cb2f6b-edc7-11ef-a274-00155d82e908</v>
      </c>
      <c r="AB4087" s="21" t="s">
        <v>42</v>
      </c>
      <c r="AC4087" s="21"/>
      <c r="AD4087" s="21"/>
    </row>
    <row r="4088" spans="2:31" s="1" customFormat="1" ht="96.3" customHeight="1" outlineLevel="7">
      <c r="B4088" s="57">
        <v>3248</v>
      </c>
      <c r="C4088" s="21" t="s">
        <v>14420</v>
      </c>
      <c r="D4088" s="72" t="s">
        <v>14421</v>
      </c>
      <c r="E4088" s="72"/>
      <c r="F4088" s="72"/>
      <c r="G4088" s="72"/>
      <c r="H4088" s="22" t="s">
        <v>14422</v>
      </c>
      <c r="I4088" s="23" t="s">
        <v>36</v>
      </c>
      <c r="J4088" s="22"/>
      <c r="K4088" s="20">
        <v>12</v>
      </c>
      <c r="L4088" s="24">
        <v>86.31</v>
      </c>
      <c r="M4088" s="11"/>
      <c r="N4088" s="22">
        <f t="shared" si="204"/>
        <v>0</v>
      </c>
      <c r="O4088" s="28">
        <f>0.07*M4088</f>
        <v>0</v>
      </c>
      <c r="P4088" s="26">
        <f>0.00043*M4088</f>
        <v>0</v>
      </c>
      <c r="Q4088" s="30"/>
      <c r="R4088" s="22" t="s">
        <v>14423</v>
      </c>
      <c r="S4088" s="22" t="s">
        <v>435</v>
      </c>
      <c r="T4088" s="21" t="str">
        <f>HYPERLINK("https://miland.ru/api/getInfo/image/88622600-7d4b-11ee-a248-00155d82e902")</f>
        <v>https://miland.ru/api/getInfo/image/88622600-7d4b-11ee-a248-00155d82e902</v>
      </c>
      <c r="U4088" s="21"/>
      <c r="V4088" s="21" t="s">
        <v>6525</v>
      </c>
      <c r="W4088" s="21" t="s">
        <v>378</v>
      </c>
      <c r="X4088" s="21"/>
      <c r="Y4088" s="21" t="s">
        <v>41</v>
      </c>
      <c r="Z4088" s="21"/>
      <c r="AA4088" s="21" t="str">
        <f>HYPERLINK("https://miland.ru/api/getInfo/item/88622600-7d4b-11ee-a248-00155d82e902")</f>
        <v>https://miland.ru/api/getInfo/item/88622600-7d4b-11ee-a248-00155d82e902</v>
      </c>
      <c r="AB4088" s="21" t="s">
        <v>42</v>
      </c>
      <c r="AC4088" s="21" t="s">
        <v>14319</v>
      </c>
      <c r="AD4088" s="21"/>
    </row>
    <row r="4089" spans="2:31" s="1" customFormat="1" ht="96.3" customHeight="1" outlineLevel="7">
      <c r="B4089" s="57">
        <v>3249</v>
      </c>
      <c r="C4089" s="21" t="s">
        <v>14424</v>
      </c>
      <c r="D4089" s="72" t="s">
        <v>14425</v>
      </c>
      <c r="E4089" s="72"/>
      <c r="F4089" s="72"/>
      <c r="G4089" s="72"/>
      <c r="H4089" s="22" t="s">
        <v>14426</v>
      </c>
      <c r="I4089" s="23" t="s">
        <v>36</v>
      </c>
      <c r="J4089" s="22"/>
      <c r="K4089" s="20">
        <v>12</v>
      </c>
      <c r="L4089" s="24">
        <v>86.31</v>
      </c>
      <c r="M4089" s="11"/>
      <c r="N4089" s="22">
        <f t="shared" si="204"/>
        <v>0</v>
      </c>
      <c r="O4089" s="25">
        <f>0.073*M4089</f>
        <v>0</v>
      </c>
      <c r="P4089" s="26">
        <f>0.00043*M4089</f>
        <v>0</v>
      </c>
      <c r="Q4089" s="30"/>
      <c r="R4089" s="22" t="s">
        <v>14427</v>
      </c>
      <c r="S4089" s="22" t="s">
        <v>435</v>
      </c>
      <c r="T4089" s="21" t="str">
        <f>HYPERLINK("https://miland.ru/api/getInfo/image/60713f6e-7d4c-11ee-a248-00155d82e902")</f>
        <v>https://miland.ru/api/getInfo/image/60713f6e-7d4c-11ee-a248-00155d82e902</v>
      </c>
      <c r="U4089" s="21"/>
      <c r="V4089" s="21" t="s">
        <v>6525</v>
      </c>
      <c r="W4089" s="21" t="s">
        <v>378</v>
      </c>
      <c r="X4089" s="21"/>
      <c r="Y4089" s="21" t="s">
        <v>41</v>
      </c>
      <c r="Z4089" s="21"/>
      <c r="AA4089" s="21" t="str">
        <f>HYPERLINK("https://miland.ru/api/getInfo/item/60713f6e-7d4c-11ee-a248-00155d82e902")</f>
        <v>https://miland.ru/api/getInfo/item/60713f6e-7d4c-11ee-a248-00155d82e902</v>
      </c>
      <c r="AB4089" s="21" t="s">
        <v>42</v>
      </c>
      <c r="AC4089" s="21" t="s">
        <v>14319</v>
      </c>
      <c r="AD4089" s="21"/>
    </row>
    <row r="4090" spans="2:31" s="1" customFormat="1" ht="96.3" customHeight="1" outlineLevel="7">
      <c r="B4090" s="57">
        <v>3250</v>
      </c>
      <c r="C4090" s="21" t="s">
        <v>14428</v>
      </c>
      <c r="D4090" s="72" t="s">
        <v>14429</v>
      </c>
      <c r="E4090" s="72"/>
      <c r="F4090" s="72"/>
      <c r="G4090" s="72"/>
      <c r="H4090" s="22" t="s">
        <v>14430</v>
      </c>
      <c r="I4090" s="27">
        <v>384</v>
      </c>
      <c r="J4090" s="22"/>
      <c r="K4090" s="20">
        <v>12</v>
      </c>
      <c r="L4090" s="24">
        <v>86.31</v>
      </c>
      <c r="M4090" s="11"/>
      <c r="N4090" s="22">
        <f t="shared" si="204"/>
        <v>0</v>
      </c>
      <c r="O4090" s="25">
        <f>0.073*M4090</f>
        <v>0</v>
      </c>
      <c r="P4090" s="26">
        <f>0.00043*M4090</f>
        <v>0</v>
      </c>
      <c r="Q4090" s="30"/>
      <c r="R4090" s="22" t="s">
        <v>14431</v>
      </c>
      <c r="S4090" s="22" t="s">
        <v>435</v>
      </c>
      <c r="T4090" s="21" t="str">
        <f>HYPERLINK("https://miland.ru/api/getInfo/image/23dbff3e-7d4c-11ee-a248-00155d82e902")</f>
        <v>https://miland.ru/api/getInfo/image/23dbff3e-7d4c-11ee-a248-00155d82e902</v>
      </c>
      <c r="U4090" s="21"/>
      <c r="V4090" s="21" t="s">
        <v>6525</v>
      </c>
      <c r="W4090" s="21" t="s">
        <v>378</v>
      </c>
      <c r="X4090" s="21"/>
      <c r="Y4090" s="21" t="s">
        <v>41</v>
      </c>
      <c r="Z4090" s="21"/>
      <c r="AA4090" s="21" t="str">
        <f>HYPERLINK("https://miland.ru/api/getInfo/item/23dbff3e-7d4c-11ee-a248-00155d82e902")</f>
        <v>https://miland.ru/api/getInfo/item/23dbff3e-7d4c-11ee-a248-00155d82e902</v>
      </c>
      <c r="AB4090" s="21" t="s">
        <v>42</v>
      </c>
      <c r="AC4090" s="21" t="s">
        <v>14319</v>
      </c>
      <c r="AD4090" s="21"/>
    </row>
    <row r="4091" spans="2:31" s="1" customFormat="1" ht="96.3" customHeight="1" outlineLevel="7">
      <c r="B4091" s="57">
        <v>3251</v>
      </c>
      <c r="C4091" s="21" t="s">
        <v>14432</v>
      </c>
      <c r="D4091" s="72" t="s">
        <v>14433</v>
      </c>
      <c r="E4091" s="72"/>
      <c r="F4091" s="72"/>
      <c r="G4091" s="72"/>
      <c r="H4091" s="22" t="s">
        <v>14434</v>
      </c>
      <c r="I4091" s="23" t="s">
        <v>36</v>
      </c>
      <c r="J4091" s="22"/>
      <c r="K4091" s="20">
        <v>12</v>
      </c>
      <c r="L4091" s="24">
        <v>86.31</v>
      </c>
      <c r="M4091" s="11"/>
      <c r="N4091" s="22">
        <f t="shared" si="204"/>
        <v>0</v>
      </c>
      <c r="O4091" s="25">
        <f>0.075*M4091</f>
        <v>0</v>
      </c>
      <c r="P4091" s="26">
        <f>0.00043*M4091</f>
        <v>0</v>
      </c>
      <c r="Q4091" s="30"/>
      <c r="R4091" s="22" t="s">
        <v>14435</v>
      </c>
      <c r="S4091" s="22" t="s">
        <v>435</v>
      </c>
      <c r="T4091" s="21" t="str">
        <f>HYPERLINK("https://miland.ru/api/getInfo/image/9283ea26-7d5e-11ee-a248-00155d82e902")</f>
        <v>https://miland.ru/api/getInfo/image/9283ea26-7d5e-11ee-a248-00155d82e902</v>
      </c>
      <c r="U4091" s="21"/>
      <c r="V4091" s="21" t="s">
        <v>6525</v>
      </c>
      <c r="W4091" s="21" t="s">
        <v>378</v>
      </c>
      <c r="X4091" s="21"/>
      <c r="Y4091" s="21" t="s">
        <v>41</v>
      </c>
      <c r="Z4091" s="21"/>
      <c r="AA4091" s="21" t="str">
        <f>HYPERLINK("https://miland.ru/api/getInfo/item/9283ea26-7d5e-11ee-a248-00155d82e902")</f>
        <v>https://miland.ru/api/getInfo/item/9283ea26-7d5e-11ee-a248-00155d82e902</v>
      </c>
      <c r="AB4091" s="21" t="s">
        <v>42</v>
      </c>
      <c r="AC4091" s="21" t="s">
        <v>14319</v>
      </c>
      <c r="AD4091" s="21"/>
    </row>
    <row r="4092" spans="2:31" s="1" customFormat="1" ht="96.3" customHeight="1" outlineLevel="7">
      <c r="B4092" s="59">
        <v>3252</v>
      </c>
      <c r="C4092" s="35" t="s">
        <v>14436</v>
      </c>
      <c r="D4092" s="73" t="s">
        <v>14437</v>
      </c>
      <c r="E4092" s="73"/>
      <c r="F4092" s="73"/>
      <c r="G4092" s="73"/>
      <c r="H4092" s="36" t="s">
        <v>14438</v>
      </c>
      <c r="I4092" s="40">
        <v>204</v>
      </c>
      <c r="J4092" s="36"/>
      <c r="K4092" s="34">
        <v>12</v>
      </c>
      <c r="L4092" s="41">
        <v>46.84</v>
      </c>
      <c r="M4092" s="11"/>
      <c r="N4092" s="36">
        <f t="shared" si="204"/>
        <v>0</v>
      </c>
      <c r="O4092" s="42">
        <f>0.075*M4092</f>
        <v>0</v>
      </c>
      <c r="P4092" s="43">
        <f>0.00043*M4092</f>
        <v>0</v>
      </c>
      <c r="Q4092" s="50"/>
      <c r="R4092" s="36" t="s">
        <v>14439</v>
      </c>
      <c r="S4092" s="36" t="s">
        <v>435</v>
      </c>
      <c r="T4092" s="35" t="str">
        <f>HYPERLINK("https://miland.ru/api/getInfo/image/d2c383ed-7d5d-11ee-a248-00155d82e902")</f>
        <v>https://miland.ru/api/getInfo/image/d2c383ed-7d5d-11ee-a248-00155d82e902</v>
      </c>
      <c r="U4092" s="35"/>
      <c r="V4092" s="35" t="s">
        <v>6525</v>
      </c>
      <c r="W4092" s="35" t="s">
        <v>378</v>
      </c>
      <c r="X4092" s="35"/>
      <c r="Y4092" s="35" t="s">
        <v>41</v>
      </c>
      <c r="Z4092" s="35"/>
      <c r="AA4092" s="35" t="str">
        <f>HYPERLINK("https://miland.ru/api/getInfo/item/d2c383ed-7d5d-11ee-a248-00155d82e902")</f>
        <v>https://miland.ru/api/getInfo/item/d2c383ed-7d5d-11ee-a248-00155d82e902</v>
      </c>
      <c r="AB4092" s="35" t="s">
        <v>42</v>
      </c>
      <c r="AC4092" s="35" t="s">
        <v>14319</v>
      </c>
      <c r="AD4092" s="35"/>
      <c r="AE4092" s="52" t="s">
        <v>1251</v>
      </c>
    </row>
    <row r="4093" spans="2:31" s="1" customFormat="1" ht="96.3" customHeight="1" outlineLevel="7">
      <c r="B4093" s="57">
        <v>3253</v>
      </c>
      <c r="C4093" s="21" t="s">
        <v>14440</v>
      </c>
      <c r="D4093" s="72" t="s">
        <v>14441</v>
      </c>
      <c r="E4093" s="72"/>
      <c r="F4093" s="72"/>
      <c r="G4093" s="72"/>
      <c r="H4093" s="22" t="s">
        <v>14442</v>
      </c>
      <c r="I4093" s="23" t="s">
        <v>36</v>
      </c>
      <c r="J4093" s="22"/>
      <c r="K4093" s="20">
        <v>12</v>
      </c>
      <c r="L4093" s="24">
        <v>86.31</v>
      </c>
      <c r="M4093" s="11"/>
      <c r="N4093" s="22">
        <f t="shared" si="204"/>
        <v>0</v>
      </c>
      <c r="O4093" s="28">
        <f>0.07*M4093</f>
        <v>0</v>
      </c>
      <c r="P4093" s="26">
        <f>0.00371*M4093</f>
        <v>0</v>
      </c>
      <c r="Q4093" s="30"/>
      <c r="R4093" s="22" t="s">
        <v>14443</v>
      </c>
      <c r="S4093" s="22" t="s">
        <v>435</v>
      </c>
      <c r="T4093" s="21" t="str">
        <f>HYPERLINK("https://miland.ru/api/getInfo/image/b1b904fd-f593-11ee-a25b-00155d82e908")</f>
        <v>https://miland.ru/api/getInfo/image/b1b904fd-f593-11ee-a25b-00155d82e908</v>
      </c>
      <c r="U4093" s="21"/>
      <c r="V4093" s="21" t="s">
        <v>6525</v>
      </c>
      <c r="W4093" s="21" t="s">
        <v>378</v>
      </c>
      <c r="X4093" s="21"/>
      <c r="Y4093" s="21" t="s">
        <v>41</v>
      </c>
      <c r="Z4093" s="21"/>
      <c r="AA4093" s="21" t="str">
        <f>HYPERLINK("https://miland.ru/api/getInfo/item/b1b904fd-f593-11ee-a25b-00155d82e908")</f>
        <v>https://miland.ru/api/getInfo/item/b1b904fd-f593-11ee-a25b-00155d82e908</v>
      </c>
      <c r="AB4093" s="21" t="s">
        <v>42</v>
      </c>
      <c r="AC4093" s="21"/>
      <c r="AD4093" s="21"/>
    </row>
    <row r="4094" spans="2:31" s="1" customFormat="1" ht="96.3" customHeight="1" outlineLevel="7">
      <c r="B4094" s="57">
        <v>3254</v>
      </c>
      <c r="C4094" s="21" t="s">
        <v>14444</v>
      </c>
      <c r="D4094" s="72" t="s">
        <v>14445</v>
      </c>
      <c r="E4094" s="72"/>
      <c r="F4094" s="72"/>
      <c r="G4094" s="72"/>
      <c r="H4094" s="22" t="s">
        <v>14446</v>
      </c>
      <c r="I4094" s="23" t="s">
        <v>36</v>
      </c>
      <c r="J4094" s="22"/>
      <c r="K4094" s="20">
        <v>12</v>
      </c>
      <c r="L4094" s="24">
        <v>86.31</v>
      </c>
      <c r="M4094" s="11"/>
      <c r="N4094" s="22">
        <f t="shared" si="204"/>
        <v>0</v>
      </c>
      <c r="O4094" s="25">
        <f>0.073*M4094</f>
        <v>0</v>
      </c>
      <c r="P4094" s="26">
        <f>0.00017*M4094</f>
        <v>0</v>
      </c>
      <c r="Q4094" s="30"/>
      <c r="R4094" s="22" t="s">
        <v>14447</v>
      </c>
      <c r="S4094" s="22" t="s">
        <v>435</v>
      </c>
      <c r="T4094" s="21" t="str">
        <f>HYPERLINK("https://miland.ru/api/getInfo/image/7536dde9-f593-11ee-a25b-00155d82e908")</f>
        <v>https://miland.ru/api/getInfo/image/7536dde9-f593-11ee-a25b-00155d82e908</v>
      </c>
      <c r="U4094" s="21"/>
      <c r="V4094" s="21" t="s">
        <v>6525</v>
      </c>
      <c r="W4094" s="21" t="s">
        <v>378</v>
      </c>
      <c r="X4094" s="21"/>
      <c r="Y4094" s="21" t="s">
        <v>41</v>
      </c>
      <c r="Z4094" s="21"/>
      <c r="AA4094" s="21" t="str">
        <f>HYPERLINK("https://miland.ru/api/getInfo/item/7536dde9-f593-11ee-a25b-00155d82e908")</f>
        <v>https://miland.ru/api/getInfo/item/7536dde9-f593-11ee-a25b-00155d82e908</v>
      </c>
      <c r="AB4094" s="21" t="s">
        <v>42</v>
      </c>
      <c r="AC4094" s="21"/>
      <c r="AD4094" s="21"/>
    </row>
    <row r="4095" spans="2:31" s="1" customFormat="1" ht="96.3" customHeight="1" outlineLevel="7">
      <c r="B4095" s="57">
        <v>3255</v>
      </c>
      <c r="C4095" s="21" t="s">
        <v>14448</v>
      </c>
      <c r="D4095" s="72" t="s">
        <v>14449</v>
      </c>
      <c r="E4095" s="72"/>
      <c r="F4095" s="72"/>
      <c r="G4095" s="72"/>
      <c r="H4095" s="22" t="s">
        <v>14450</v>
      </c>
      <c r="I4095" s="23" t="s">
        <v>36</v>
      </c>
      <c r="J4095" s="22"/>
      <c r="K4095" s="20">
        <v>12</v>
      </c>
      <c r="L4095" s="24">
        <v>86.31</v>
      </c>
      <c r="M4095" s="11"/>
      <c r="N4095" s="22">
        <f t="shared" si="204"/>
        <v>0</v>
      </c>
      <c r="O4095" s="25">
        <f>0.097*M4095</f>
        <v>0</v>
      </c>
      <c r="P4095" s="26">
        <f>0.00063*M4095</f>
        <v>0</v>
      </c>
      <c r="Q4095" s="30"/>
      <c r="R4095" s="22" t="s">
        <v>14451</v>
      </c>
      <c r="S4095" s="22"/>
      <c r="T4095" s="21" t="str">
        <f>HYPERLINK("https://miland.ru/api/getInfo/image/a151c033-edd5-11ef-a274-00155d82e908")</f>
        <v>https://miland.ru/api/getInfo/image/a151c033-edd5-11ef-a274-00155d82e908</v>
      </c>
      <c r="U4095" s="21"/>
      <c r="V4095" s="21" t="s">
        <v>6525</v>
      </c>
      <c r="W4095" s="21" t="s">
        <v>378</v>
      </c>
      <c r="X4095" s="21"/>
      <c r="Y4095" s="21" t="s">
        <v>41</v>
      </c>
      <c r="Z4095" s="21"/>
      <c r="AA4095" s="21" t="str">
        <f>HYPERLINK("https://miland.ru/api/getInfo/item/a151c033-edd5-11ef-a274-00155d82e908")</f>
        <v>https://miland.ru/api/getInfo/item/a151c033-edd5-11ef-a274-00155d82e908</v>
      </c>
      <c r="AB4095" s="21" t="s">
        <v>42</v>
      </c>
      <c r="AC4095" s="21"/>
      <c r="AD4095" s="21"/>
    </row>
    <row r="4096" spans="2:31" s="1" customFormat="1" ht="96.3" customHeight="1" outlineLevel="7">
      <c r="B4096" s="57">
        <v>3256</v>
      </c>
      <c r="C4096" s="21" t="s">
        <v>14452</v>
      </c>
      <c r="D4096" s="72" t="s">
        <v>14453</v>
      </c>
      <c r="E4096" s="72"/>
      <c r="F4096" s="72"/>
      <c r="G4096" s="72"/>
      <c r="H4096" s="22" t="s">
        <v>14454</v>
      </c>
      <c r="I4096" s="23" t="s">
        <v>36</v>
      </c>
      <c r="J4096" s="22"/>
      <c r="K4096" s="20">
        <v>12</v>
      </c>
      <c r="L4096" s="24">
        <v>86.31</v>
      </c>
      <c r="M4096" s="11"/>
      <c r="N4096" s="22">
        <f t="shared" si="204"/>
        <v>0</v>
      </c>
      <c r="O4096" s="25">
        <f>0.092*M4096</f>
        <v>0</v>
      </c>
      <c r="P4096" s="26">
        <f>0.00113*M4096</f>
        <v>0</v>
      </c>
      <c r="Q4096" s="30"/>
      <c r="R4096" s="22" t="s">
        <v>14455</v>
      </c>
      <c r="S4096" s="22"/>
      <c r="T4096" s="21" t="str">
        <f>HYPERLINK("https://miland.ru/api/getInfo/image/38f593b7-edd5-11ef-a274-00155d82e908")</f>
        <v>https://miland.ru/api/getInfo/image/38f593b7-edd5-11ef-a274-00155d82e908</v>
      </c>
      <c r="U4096" s="21"/>
      <c r="V4096" s="21" t="s">
        <v>6525</v>
      </c>
      <c r="W4096" s="21" t="s">
        <v>378</v>
      </c>
      <c r="X4096" s="21"/>
      <c r="Y4096" s="21" t="s">
        <v>41</v>
      </c>
      <c r="Z4096" s="21"/>
      <c r="AA4096" s="21" t="str">
        <f>HYPERLINK("https://miland.ru/api/getInfo/item/38f593b7-edd5-11ef-a274-00155d82e908")</f>
        <v>https://miland.ru/api/getInfo/item/38f593b7-edd5-11ef-a274-00155d82e908</v>
      </c>
      <c r="AB4096" s="21" t="s">
        <v>42</v>
      </c>
      <c r="AC4096" s="21"/>
      <c r="AD4096" s="21"/>
    </row>
    <row r="4097" spans="2:31" s="1" customFormat="1" ht="96.3" customHeight="1" outlineLevel="7">
      <c r="B4097" s="57">
        <v>3257</v>
      </c>
      <c r="C4097" s="21" t="s">
        <v>14456</v>
      </c>
      <c r="D4097" s="72" t="s">
        <v>14457</v>
      </c>
      <c r="E4097" s="72"/>
      <c r="F4097" s="72"/>
      <c r="G4097" s="72"/>
      <c r="H4097" s="22" t="s">
        <v>14458</v>
      </c>
      <c r="I4097" s="27">
        <v>96</v>
      </c>
      <c r="J4097" s="22"/>
      <c r="K4097" s="20">
        <v>12</v>
      </c>
      <c r="L4097" s="24">
        <v>86.31</v>
      </c>
      <c r="M4097" s="11"/>
      <c r="N4097" s="22">
        <f t="shared" si="204"/>
        <v>0</v>
      </c>
      <c r="O4097" s="25">
        <f>0.072*M4097</f>
        <v>0</v>
      </c>
      <c r="P4097" s="26">
        <f>0.00086*M4097</f>
        <v>0</v>
      </c>
      <c r="Q4097" s="30"/>
      <c r="R4097" s="22" t="s">
        <v>14459</v>
      </c>
      <c r="S4097" s="22" t="s">
        <v>435</v>
      </c>
      <c r="T4097" s="21" t="str">
        <f>HYPERLINK("https://miland.ru/api/getInfo/image/5396ea1f-61b9-11ee-a245-00155d82e902")</f>
        <v>https://miland.ru/api/getInfo/image/5396ea1f-61b9-11ee-a245-00155d82e902</v>
      </c>
      <c r="U4097" s="21"/>
      <c r="V4097" s="21" t="s">
        <v>6525</v>
      </c>
      <c r="W4097" s="21" t="s">
        <v>378</v>
      </c>
      <c r="X4097" s="21"/>
      <c r="Y4097" s="21" t="s">
        <v>41</v>
      </c>
      <c r="Z4097" s="21"/>
      <c r="AA4097" s="21" t="str">
        <f>HYPERLINK("https://miland.ru/api/getInfo/item/5396ea1f-61b9-11ee-a245-00155d82e902")</f>
        <v>https://miland.ru/api/getInfo/item/5396ea1f-61b9-11ee-a245-00155d82e902</v>
      </c>
      <c r="AB4097" s="21" t="s">
        <v>42</v>
      </c>
      <c r="AC4097" s="21" t="s">
        <v>14415</v>
      </c>
      <c r="AD4097" s="21"/>
    </row>
    <row r="4098" spans="2:31" ht="12" customHeight="1" outlineLevel="5">
      <c r="B4098" s="70" t="s">
        <v>6556</v>
      </c>
      <c r="C4098" s="70"/>
      <c r="D4098" s="70"/>
      <c r="E4098" s="70"/>
      <c r="F4098" s="70"/>
      <c r="G4098" s="70"/>
    </row>
    <row r="4099" spans="2:31" ht="12" customHeight="1" outlineLevel="6">
      <c r="B4099" s="70" t="s">
        <v>384</v>
      </c>
      <c r="C4099" s="70"/>
      <c r="D4099" s="70"/>
      <c r="E4099" s="70"/>
      <c r="F4099" s="70"/>
      <c r="G4099" s="70"/>
    </row>
    <row r="4100" spans="2:31" s="1" customFormat="1" ht="96.3" customHeight="1" outlineLevel="7">
      <c r="B4100" s="59">
        <v>3258</v>
      </c>
      <c r="C4100" s="35" t="s">
        <v>14460</v>
      </c>
      <c r="D4100" s="73" t="s">
        <v>14461</v>
      </c>
      <c r="E4100" s="73"/>
      <c r="F4100" s="73"/>
      <c r="G4100" s="73"/>
      <c r="H4100" s="36" t="s">
        <v>14462</v>
      </c>
      <c r="I4100" s="56" t="s">
        <v>36</v>
      </c>
      <c r="J4100" s="36"/>
      <c r="K4100" s="34">
        <v>12</v>
      </c>
      <c r="L4100" s="41">
        <v>53.586666666666666</v>
      </c>
      <c r="M4100" s="11"/>
      <c r="N4100" s="36">
        <f t="shared" ref="N4100:N4163" si="205">L4100*M4100</f>
        <v>0</v>
      </c>
      <c r="O4100" s="42">
        <f>0.055*M4100</f>
        <v>0</v>
      </c>
      <c r="P4100" s="43">
        <f>0.00015*M4100</f>
        <v>0</v>
      </c>
      <c r="Q4100" s="50"/>
      <c r="R4100" s="36" t="s">
        <v>14463</v>
      </c>
      <c r="S4100" s="36" t="s">
        <v>435</v>
      </c>
      <c r="T4100" s="35" t="str">
        <f>HYPERLINK("https://miland.ru/api/getInfo/image/9c6a5c83-f28a-11ee-a25b-00155d82e908")</f>
        <v>https://miland.ru/api/getInfo/image/9c6a5c83-f28a-11ee-a25b-00155d82e908</v>
      </c>
      <c r="U4100" s="35"/>
      <c r="V4100" s="35" t="s">
        <v>6525</v>
      </c>
      <c r="W4100" s="35" t="s">
        <v>378</v>
      </c>
      <c r="X4100" s="35"/>
      <c r="Y4100" s="35" t="s">
        <v>41</v>
      </c>
      <c r="Z4100" s="35"/>
      <c r="AA4100" s="35" t="str">
        <f>HYPERLINK("https://miland.ru/api/getInfo/item/9c6a5c83-f28a-11ee-a25b-00155d82e908")</f>
        <v>https://miland.ru/api/getInfo/item/9c6a5c83-f28a-11ee-a25b-00155d82e908</v>
      </c>
      <c r="AB4100" s="35" t="s">
        <v>42</v>
      </c>
      <c r="AC4100" s="35"/>
      <c r="AD4100" s="35"/>
      <c r="AE4100" s="52" t="s">
        <v>1251</v>
      </c>
    </row>
    <row r="4101" spans="2:31" s="1" customFormat="1" ht="96.3" customHeight="1" outlineLevel="7">
      <c r="B4101" s="59">
        <v>3259</v>
      </c>
      <c r="C4101" s="35" t="s">
        <v>14464</v>
      </c>
      <c r="D4101" s="73" t="s">
        <v>14465</v>
      </c>
      <c r="E4101" s="73"/>
      <c r="F4101" s="73"/>
      <c r="G4101" s="73"/>
      <c r="H4101" s="36" t="s">
        <v>14466</v>
      </c>
      <c r="I4101" s="40">
        <v>84</v>
      </c>
      <c r="J4101" s="36"/>
      <c r="K4101" s="34">
        <v>12</v>
      </c>
      <c r="L4101" s="41">
        <v>53.586666666666666</v>
      </c>
      <c r="M4101" s="11"/>
      <c r="N4101" s="36">
        <f t="shared" si="205"/>
        <v>0</v>
      </c>
      <c r="O4101" s="42">
        <f>0.055*M4101</f>
        <v>0</v>
      </c>
      <c r="P4101" s="43">
        <f>0.00017*M4101</f>
        <v>0</v>
      </c>
      <c r="Q4101" s="50"/>
      <c r="R4101" s="36" t="s">
        <v>14467</v>
      </c>
      <c r="S4101" s="36" t="s">
        <v>435</v>
      </c>
      <c r="T4101" s="35" t="str">
        <f>HYPERLINK("https://miland.ru/api/getInfo/image/faf92865-f28a-11ee-a25b-00155d82e908")</f>
        <v>https://miland.ru/api/getInfo/image/faf92865-f28a-11ee-a25b-00155d82e908</v>
      </c>
      <c r="U4101" s="35"/>
      <c r="V4101" s="35" t="s">
        <v>6525</v>
      </c>
      <c r="W4101" s="35" t="s">
        <v>378</v>
      </c>
      <c r="X4101" s="35"/>
      <c r="Y4101" s="35" t="s">
        <v>41</v>
      </c>
      <c r="Z4101" s="35"/>
      <c r="AA4101" s="35" t="str">
        <f>HYPERLINK("https://miland.ru/api/getInfo/item/faf92865-f28a-11ee-a25b-00155d82e908")</f>
        <v>https://miland.ru/api/getInfo/item/faf92865-f28a-11ee-a25b-00155d82e908</v>
      </c>
      <c r="AB4101" s="35" t="s">
        <v>42</v>
      </c>
      <c r="AC4101" s="35"/>
      <c r="AD4101" s="35"/>
      <c r="AE4101" s="52" t="s">
        <v>1251</v>
      </c>
    </row>
    <row r="4102" spans="2:31" s="1" customFormat="1" ht="96.3" customHeight="1" outlineLevel="7">
      <c r="B4102" s="59">
        <v>3260</v>
      </c>
      <c r="C4102" s="35" t="s">
        <v>14468</v>
      </c>
      <c r="D4102" s="73" t="s">
        <v>14469</v>
      </c>
      <c r="E4102" s="73"/>
      <c r="F4102" s="73"/>
      <c r="G4102" s="73"/>
      <c r="H4102" s="36" t="s">
        <v>14470</v>
      </c>
      <c r="I4102" s="56" t="s">
        <v>36</v>
      </c>
      <c r="J4102" s="36"/>
      <c r="K4102" s="34">
        <v>12</v>
      </c>
      <c r="L4102" s="41">
        <v>53.586666666666666</v>
      </c>
      <c r="M4102" s="11"/>
      <c r="N4102" s="36">
        <f t="shared" si="205"/>
        <v>0</v>
      </c>
      <c r="O4102" s="42">
        <f>0.055*M4102</f>
        <v>0</v>
      </c>
      <c r="P4102" s="43">
        <f>0.00017*M4102</f>
        <v>0</v>
      </c>
      <c r="Q4102" s="50"/>
      <c r="R4102" s="36" t="s">
        <v>14471</v>
      </c>
      <c r="S4102" s="36" t="s">
        <v>435</v>
      </c>
      <c r="T4102" s="35" t="str">
        <f>HYPERLINK("https://miland.ru/api/getInfo/image/3fe35355-f28a-11ee-a25b-00155d82e908")</f>
        <v>https://miland.ru/api/getInfo/image/3fe35355-f28a-11ee-a25b-00155d82e908</v>
      </c>
      <c r="U4102" s="35"/>
      <c r="V4102" s="35" t="s">
        <v>6525</v>
      </c>
      <c r="W4102" s="35" t="s">
        <v>378</v>
      </c>
      <c r="X4102" s="35"/>
      <c r="Y4102" s="35" t="s">
        <v>41</v>
      </c>
      <c r="Z4102" s="35"/>
      <c r="AA4102" s="35" t="str">
        <f>HYPERLINK("https://miland.ru/api/getInfo/item/3fe35355-f28a-11ee-a25b-00155d82e908")</f>
        <v>https://miland.ru/api/getInfo/item/3fe35355-f28a-11ee-a25b-00155d82e908</v>
      </c>
      <c r="AB4102" s="35" t="s">
        <v>42</v>
      </c>
      <c r="AC4102" s="35"/>
      <c r="AD4102" s="35"/>
      <c r="AE4102" s="52" t="s">
        <v>1251</v>
      </c>
    </row>
    <row r="4103" spans="2:31" s="1" customFormat="1" ht="96.3" customHeight="1" outlineLevel="7">
      <c r="B4103" s="59">
        <v>3261</v>
      </c>
      <c r="C4103" s="35" t="s">
        <v>14472</v>
      </c>
      <c r="D4103" s="73" t="s">
        <v>14473</v>
      </c>
      <c r="E4103" s="73"/>
      <c r="F4103" s="73"/>
      <c r="G4103" s="73"/>
      <c r="H4103" s="36" t="s">
        <v>14474</v>
      </c>
      <c r="I4103" s="40">
        <v>252</v>
      </c>
      <c r="J4103" s="36"/>
      <c r="K4103" s="34">
        <v>12</v>
      </c>
      <c r="L4103" s="41">
        <v>53.586666666666666</v>
      </c>
      <c r="M4103" s="11"/>
      <c r="N4103" s="36">
        <f t="shared" si="205"/>
        <v>0</v>
      </c>
      <c r="O4103" s="42">
        <f>0.055*M4103</f>
        <v>0</v>
      </c>
      <c r="P4103" s="43">
        <f>0.00017*M4103</f>
        <v>0</v>
      </c>
      <c r="Q4103" s="50"/>
      <c r="R4103" s="36" t="s">
        <v>14475</v>
      </c>
      <c r="S4103" s="36" t="s">
        <v>435</v>
      </c>
      <c r="T4103" s="35" t="str">
        <f>HYPERLINK("https://miland.ru/api/getInfo/image/c05174d4-f28a-11ee-a25b-00155d82e908")</f>
        <v>https://miland.ru/api/getInfo/image/c05174d4-f28a-11ee-a25b-00155d82e908</v>
      </c>
      <c r="U4103" s="35"/>
      <c r="V4103" s="35" t="s">
        <v>6525</v>
      </c>
      <c r="W4103" s="35" t="s">
        <v>378</v>
      </c>
      <c r="X4103" s="35"/>
      <c r="Y4103" s="35" t="s">
        <v>41</v>
      </c>
      <c r="Z4103" s="35"/>
      <c r="AA4103" s="35" t="str">
        <f>HYPERLINK("https://miland.ru/api/getInfo/item/c05174d4-f28a-11ee-a25b-00155d82e908")</f>
        <v>https://miland.ru/api/getInfo/item/c05174d4-f28a-11ee-a25b-00155d82e908</v>
      </c>
      <c r="AB4103" s="35" t="s">
        <v>42</v>
      </c>
      <c r="AC4103" s="35"/>
      <c r="AD4103" s="35"/>
      <c r="AE4103" s="52" t="s">
        <v>1251</v>
      </c>
    </row>
    <row r="4104" spans="2:31" s="1" customFormat="1" ht="96.3" customHeight="1" outlineLevel="7">
      <c r="B4104" s="59">
        <v>3262</v>
      </c>
      <c r="C4104" s="35" t="s">
        <v>14476</v>
      </c>
      <c r="D4104" s="73" t="s">
        <v>14477</v>
      </c>
      <c r="E4104" s="73"/>
      <c r="F4104" s="73"/>
      <c r="G4104" s="73"/>
      <c r="H4104" s="36" t="s">
        <v>14478</v>
      </c>
      <c r="I4104" s="56" t="s">
        <v>36</v>
      </c>
      <c r="J4104" s="36"/>
      <c r="K4104" s="34">
        <v>12</v>
      </c>
      <c r="L4104" s="41">
        <v>43.533333333333331</v>
      </c>
      <c r="M4104" s="11"/>
      <c r="N4104" s="36">
        <f t="shared" si="205"/>
        <v>0</v>
      </c>
      <c r="O4104" s="42">
        <f t="shared" ref="O4104:O4110" si="206">0.071*M4104</f>
        <v>0</v>
      </c>
      <c r="P4104" s="43">
        <f t="shared" ref="P4104:P4110" si="207">0.00083*M4104</f>
        <v>0</v>
      </c>
      <c r="Q4104" s="50" t="s">
        <v>37</v>
      </c>
      <c r="R4104" s="36" t="s">
        <v>14479</v>
      </c>
      <c r="S4104" s="36"/>
      <c r="T4104" s="35" t="str">
        <f>HYPERLINK("https://miland.ru/api/getInfo/image/690527d3-58b5-11f0-a27f-00155d82e908")</f>
        <v>https://miland.ru/api/getInfo/image/690527d3-58b5-11f0-a27f-00155d82e908</v>
      </c>
      <c r="U4104" s="35"/>
      <c r="V4104" s="35"/>
      <c r="W4104" s="35" t="s">
        <v>378</v>
      </c>
      <c r="X4104" s="35"/>
      <c r="Y4104" s="35" t="s">
        <v>41</v>
      </c>
      <c r="Z4104" s="35"/>
      <c r="AA4104" s="35" t="str">
        <f>HYPERLINK("https://miland.ru/api/getInfo/item/690527d3-58b5-11f0-a27f-00155d82e908")</f>
        <v>https://miland.ru/api/getInfo/item/690527d3-58b5-11f0-a27f-00155d82e908</v>
      </c>
      <c r="AB4104" s="35" t="s">
        <v>42</v>
      </c>
      <c r="AC4104" s="35"/>
      <c r="AD4104" s="35"/>
      <c r="AE4104" s="52" t="s">
        <v>1251</v>
      </c>
    </row>
    <row r="4105" spans="2:31" s="1" customFormat="1" ht="96.3" customHeight="1" outlineLevel="7">
      <c r="B4105" s="59">
        <v>3263</v>
      </c>
      <c r="C4105" s="35" t="s">
        <v>14480</v>
      </c>
      <c r="D4105" s="73" t="s">
        <v>14481</v>
      </c>
      <c r="E4105" s="73"/>
      <c r="F4105" s="73"/>
      <c r="G4105" s="73"/>
      <c r="H4105" s="36" t="s">
        <v>14482</v>
      </c>
      <c r="I4105" s="56" t="s">
        <v>36</v>
      </c>
      <c r="J4105" s="36"/>
      <c r="K4105" s="34">
        <v>12</v>
      </c>
      <c r="L4105" s="41">
        <v>43.533333333333331</v>
      </c>
      <c r="M4105" s="11"/>
      <c r="N4105" s="36">
        <f t="shared" si="205"/>
        <v>0</v>
      </c>
      <c r="O4105" s="42">
        <f t="shared" si="206"/>
        <v>0</v>
      </c>
      <c r="P4105" s="43">
        <f t="shared" si="207"/>
        <v>0</v>
      </c>
      <c r="Q4105" s="50" t="s">
        <v>37</v>
      </c>
      <c r="R4105" s="36" t="s">
        <v>14483</v>
      </c>
      <c r="S4105" s="36"/>
      <c r="T4105" s="35" t="str">
        <f>HYPERLINK("https://miland.ru/api/getInfo/image/cca7ea70-58b5-11f0-a27f-00155d82e908")</f>
        <v>https://miland.ru/api/getInfo/image/cca7ea70-58b5-11f0-a27f-00155d82e908</v>
      </c>
      <c r="U4105" s="35"/>
      <c r="V4105" s="35"/>
      <c r="W4105" s="35" t="s">
        <v>378</v>
      </c>
      <c r="X4105" s="35"/>
      <c r="Y4105" s="35" t="s">
        <v>41</v>
      </c>
      <c r="Z4105" s="35"/>
      <c r="AA4105" s="35" t="str">
        <f>HYPERLINK("https://miland.ru/api/getInfo/item/cca7ea70-58b5-11f0-a27f-00155d82e908")</f>
        <v>https://miland.ru/api/getInfo/item/cca7ea70-58b5-11f0-a27f-00155d82e908</v>
      </c>
      <c r="AB4105" s="35" t="s">
        <v>42</v>
      </c>
      <c r="AC4105" s="35"/>
      <c r="AD4105" s="35"/>
      <c r="AE4105" s="52" t="s">
        <v>1251</v>
      </c>
    </row>
    <row r="4106" spans="2:31" s="1" customFormat="1" ht="96.3" customHeight="1" outlineLevel="7">
      <c r="B4106" s="59">
        <v>3264</v>
      </c>
      <c r="C4106" s="35" t="s">
        <v>14484</v>
      </c>
      <c r="D4106" s="73" t="s">
        <v>14485</v>
      </c>
      <c r="E4106" s="73"/>
      <c r="F4106" s="73"/>
      <c r="G4106" s="73"/>
      <c r="H4106" s="36" t="s">
        <v>14486</v>
      </c>
      <c r="I4106" s="40">
        <v>204</v>
      </c>
      <c r="J4106" s="36"/>
      <c r="K4106" s="34">
        <v>12</v>
      </c>
      <c r="L4106" s="41">
        <v>43.533333333333331</v>
      </c>
      <c r="M4106" s="11"/>
      <c r="N4106" s="36">
        <f t="shared" si="205"/>
        <v>0</v>
      </c>
      <c r="O4106" s="42">
        <f t="shared" si="206"/>
        <v>0</v>
      </c>
      <c r="P4106" s="43">
        <f t="shared" si="207"/>
        <v>0</v>
      </c>
      <c r="Q4106" s="50" t="s">
        <v>37</v>
      </c>
      <c r="R4106" s="36" t="s">
        <v>14487</v>
      </c>
      <c r="S4106" s="36"/>
      <c r="T4106" s="35" t="str">
        <f>HYPERLINK("https://miland.ru/api/getInfo/image/8ab63c1e-58b4-11f0-a27f-00155d82e908")</f>
        <v>https://miland.ru/api/getInfo/image/8ab63c1e-58b4-11f0-a27f-00155d82e908</v>
      </c>
      <c r="U4106" s="35"/>
      <c r="V4106" s="35"/>
      <c r="W4106" s="35" t="s">
        <v>378</v>
      </c>
      <c r="X4106" s="35"/>
      <c r="Y4106" s="35" t="s">
        <v>41</v>
      </c>
      <c r="Z4106" s="35"/>
      <c r="AA4106" s="35" t="str">
        <f>HYPERLINK("https://miland.ru/api/getInfo/item/8ab63c1e-58b4-11f0-a27f-00155d82e908")</f>
        <v>https://miland.ru/api/getInfo/item/8ab63c1e-58b4-11f0-a27f-00155d82e908</v>
      </c>
      <c r="AB4106" s="35" t="s">
        <v>42</v>
      </c>
      <c r="AC4106" s="35"/>
      <c r="AD4106" s="35"/>
      <c r="AE4106" s="52" t="s">
        <v>1251</v>
      </c>
    </row>
    <row r="4107" spans="2:31" s="1" customFormat="1" ht="96.3" customHeight="1" outlineLevel="7">
      <c r="B4107" s="59">
        <v>3265</v>
      </c>
      <c r="C4107" s="35" t="s">
        <v>14488</v>
      </c>
      <c r="D4107" s="73" t="s">
        <v>14489</v>
      </c>
      <c r="E4107" s="73"/>
      <c r="F4107" s="73"/>
      <c r="G4107" s="73"/>
      <c r="H4107" s="36" t="s">
        <v>14490</v>
      </c>
      <c r="I4107" s="56" t="s">
        <v>36</v>
      </c>
      <c r="J4107" s="36"/>
      <c r="K4107" s="34">
        <v>12</v>
      </c>
      <c r="L4107" s="41">
        <v>43.533333333333331</v>
      </c>
      <c r="M4107" s="11"/>
      <c r="N4107" s="36">
        <f t="shared" si="205"/>
        <v>0</v>
      </c>
      <c r="O4107" s="42">
        <f t="shared" si="206"/>
        <v>0</v>
      </c>
      <c r="P4107" s="43">
        <f t="shared" si="207"/>
        <v>0</v>
      </c>
      <c r="Q4107" s="50" t="s">
        <v>37</v>
      </c>
      <c r="R4107" s="36" t="s">
        <v>14491</v>
      </c>
      <c r="S4107" s="36"/>
      <c r="T4107" s="35" t="str">
        <f>HYPERLINK("https://miland.ru/api/getInfo/image/0c78d5ba-58b5-11f0-a27f-00155d82e908")</f>
        <v>https://miland.ru/api/getInfo/image/0c78d5ba-58b5-11f0-a27f-00155d82e908</v>
      </c>
      <c r="U4107" s="35"/>
      <c r="V4107" s="35"/>
      <c r="W4107" s="35" t="s">
        <v>378</v>
      </c>
      <c r="X4107" s="35"/>
      <c r="Y4107" s="35" t="s">
        <v>41</v>
      </c>
      <c r="Z4107" s="35"/>
      <c r="AA4107" s="35" t="str">
        <f>HYPERLINK("https://miland.ru/api/getInfo/item/0c78d5ba-58b5-11f0-a27f-00155d82e908")</f>
        <v>https://miland.ru/api/getInfo/item/0c78d5ba-58b5-11f0-a27f-00155d82e908</v>
      </c>
      <c r="AB4107" s="35" t="s">
        <v>42</v>
      </c>
      <c r="AC4107" s="35"/>
      <c r="AD4107" s="35"/>
      <c r="AE4107" s="52" t="s">
        <v>1251</v>
      </c>
    </row>
    <row r="4108" spans="2:31" s="1" customFormat="1" ht="96.3" customHeight="1" outlineLevel="7">
      <c r="B4108" s="59">
        <v>3266</v>
      </c>
      <c r="C4108" s="35" t="s">
        <v>14492</v>
      </c>
      <c r="D4108" s="73" t="s">
        <v>14493</v>
      </c>
      <c r="E4108" s="73"/>
      <c r="F4108" s="73"/>
      <c r="G4108" s="73"/>
      <c r="H4108" s="36" t="s">
        <v>14494</v>
      </c>
      <c r="I4108" s="56" t="s">
        <v>36</v>
      </c>
      <c r="J4108" s="36"/>
      <c r="K4108" s="34">
        <v>12</v>
      </c>
      <c r="L4108" s="41">
        <v>43.533333333333331</v>
      </c>
      <c r="M4108" s="11"/>
      <c r="N4108" s="36">
        <f t="shared" si="205"/>
        <v>0</v>
      </c>
      <c r="O4108" s="42">
        <f t="shared" si="206"/>
        <v>0</v>
      </c>
      <c r="P4108" s="43">
        <f t="shared" si="207"/>
        <v>0</v>
      </c>
      <c r="Q4108" s="50" t="s">
        <v>37</v>
      </c>
      <c r="R4108" s="36" t="s">
        <v>14495</v>
      </c>
      <c r="S4108" s="36"/>
      <c r="T4108" s="35" t="str">
        <f>HYPERLINK("https://miland.ru/api/getInfo/image/dfbddac0-58b0-11f0-a27f-00155d82e908")</f>
        <v>https://miland.ru/api/getInfo/image/dfbddac0-58b0-11f0-a27f-00155d82e908</v>
      </c>
      <c r="U4108" s="35"/>
      <c r="V4108" s="35"/>
      <c r="W4108" s="35" t="s">
        <v>378</v>
      </c>
      <c r="X4108" s="35"/>
      <c r="Y4108" s="35" t="s">
        <v>41</v>
      </c>
      <c r="Z4108" s="35"/>
      <c r="AA4108" s="35" t="str">
        <f>HYPERLINK("https://miland.ru/api/getInfo/item/dfbddac0-58b0-11f0-a27f-00155d82e908")</f>
        <v>https://miland.ru/api/getInfo/item/dfbddac0-58b0-11f0-a27f-00155d82e908</v>
      </c>
      <c r="AB4108" s="35" t="s">
        <v>42</v>
      </c>
      <c r="AC4108" s="35"/>
      <c r="AD4108" s="35"/>
      <c r="AE4108" s="52" t="s">
        <v>1251</v>
      </c>
    </row>
    <row r="4109" spans="2:31" s="1" customFormat="1" ht="96.3" customHeight="1" outlineLevel="7">
      <c r="B4109" s="59">
        <v>3267</v>
      </c>
      <c r="C4109" s="35" t="s">
        <v>14496</v>
      </c>
      <c r="D4109" s="73" t="s">
        <v>14497</v>
      </c>
      <c r="E4109" s="73"/>
      <c r="F4109" s="73"/>
      <c r="G4109" s="73"/>
      <c r="H4109" s="36" t="s">
        <v>14498</v>
      </c>
      <c r="I4109" s="56" t="s">
        <v>36</v>
      </c>
      <c r="J4109" s="36"/>
      <c r="K4109" s="34">
        <v>12</v>
      </c>
      <c r="L4109" s="41">
        <v>43.533333333333331</v>
      </c>
      <c r="M4109" s="11"/>
      <c r="N4109" s="36">
        <f t="shared" si="205"/>
        <v>0</v>
      </c>
      <c r="O4109" s="42">
        <f t="shared" si="206"/>
        <v>0</v>
      </c>
      <c r="P4109" s="43">
        <f t="shared" si="207"/>
        <v>0</v>
      </c>
      <c r="Q4109" s="50" t="s">
        <v>37</v>
      </c>
      <c r="R4109" s="36" t="s">
        <v>14499</v>
      </c>
      <c r="S4109" s="36"/>
      <c r="T4109" s="35" t="str">
        <f>HYPERLINK("https://miland.ru/api/getInfo/image/1130c75f-58b1-11f0-a27f-00155d82e908")</f>
        <v>https://miland.ru/api/getInfo/image/1130c75f-58b1-11f0-a27f-00155d82e908</v>
      </c>
      <c r="U4109" s="35"/>
      <c r="V4109" s="35"/>
      <c r="W4109" s="35" t="s">
        <v>378</v>
      </c>
      <c r="X4109" s="35"/>
      <c r="Y4109" s="35" t="s">
        <v>41</v>
      </c>
      <c r="Z4109" s="35"/>
      <c r="AA4109" s="35" t="str">
        <f>HYPERLINK("https://miland.ru/api/getInfo/item/1130c75f-58b1-11f0-a27f-00155d82e908")</f>
        <v>https://miland.ru/api/getInfo/item/1130c75f-58b1-11f0-a27f-00155d82e908</v>
      </c>
      <c r="AB4109" s="35" t="s">
        <v>42</v>
      </c>
      <c r="AC4109" s="35"/>
      <c r="AD4109" s="35"/>
      <c r="AE4109" s="52" t="s">
        <v>1251</v>
      </c>
    </row>
    <row r="4110" spans="2:31" s="1" customFormat="1" ht="96.3" customHeight="1" outlineLevel="7">
      <c r="B4110" s="59">
        <v>3268</v>
      </c>
      <c r="C4110" s="35" t="s">
        <v>14500</v>
      </c>
      <c r="D4110" s="73" t="s">
        <v>14501</v>
      </c>
      <c r="E4110" s="73"/>
      <c r="F4110" s="73"/>
      <c r="G4110" s="73"/>
      <c r="H4110" s="36" t="s">
        <v>14502</v>
      </c>
      <c r="I4110" s="40">
        <v>468</v>
      </c>
      <c r="J4110" s="36"/>
      <c r="K4110" s="34">
        <v>12</v>
      </c>
      <c r="L4110" s="41">
        <v>43.533333333333331</v>
      </c>
      <c r="M4110" s="11"/>
      <c r="N4110" s="36">
        <f t="shared" si="205"/>
        <v>0</v>
      </c>
      <c r="O4110" s="42">
        <f t="shared" si="206"/>
        <v>0</v>
      </c>
      <c r="P4110" s="43">
        <f t="shared" si="207"/>
        <v>0</v>
      </c>
      <c r="Q4110" s="50" t="s">
        <v>37</v>
      </c>
      <c r="R4110" s="36" t="s">
        <v>14503</v>
      </c>
      <c r="S4110" s="36"/>
      <c r="T4110" s="35" t="str">
        <f>HYPERLINK("https://miland.ru/api/getInfo/image/816657ef-58a5-11f0-a27f-00155d82e908")</f>
        <v>https://miland.ru/api/getInfo/image/816657ef-58a5-11f0-a27f-00155d82e908</v>
      </c>
      <c r="U4110" s="35"/>
      <c r="V4110" s="35"/>
      <c r="W4110" s="35" t="s">
        <v>378</v>
      </c>
      <c r="X4110" s="35"/>
      <c r="Y4110" s="35" t="s">
        <v>41</v>
      </c>
      <c r="Z4110" s="35"/>
      <c r="AA4110" s="35" t="str">
        <f>HYPERLINK("https://miland.ru/api/getInfo/item/816657ef-58a5-11f0-a27f-00155d82e908")</f>
        <v>https://miland.ru/api/getInfo/item/816657ef-58a5-11f0-a27f-00155d82e908</v>
      </c>
      <c r="AB4110" s="35" t="s">
        <v>42</v>
      </c>
      <c r="AC4110" s="35"/>
      <c r="AD4110" s="35"/>
      <c r="AE4110" s="52" t="s">
        <v>1251</v>
      </c>
    </row>
    <row r="4111" spans="2:31" s="1" customFormat="1" ht="96.3" customHeight="1" outlineLevel="7">
      <c r="B4111" s="59">
        <v>3269</v>
      </c>
      <c r="C4111" s="35" t="s">
        <v>14504</v>
      </c>
      <c r="D4111" s="73" t="s">
        <v>14505</v>
      </c>
      <c r="E4111" s="73"/>
      <c r="F4111" s="73"/>
      <c r="G4111" s="73"/>
      <c r="H4111" s="36" t="s">
        <v>14506</v>
      </c>
      <c r="I4111" s="56" t="s">
        <v>36</v>
      </c>
      <c r="J4111" s="36"/>
      <c r="K4111" s="34">
        <v>12</v>
      </c>
      <c r="L4111" s="41">
        <v>41.706666666666671</v>
      </c>
      <c r="M4111" s="11"/>
      <c r="N4111" s="36">
        <f t="shared" si="205"/>
        <v>0</v>
      </c>
      <c r="O4111" s="42">
        <f>0.043*M4111</f>
        <v>0</v>
      </c>
      <c r="P4111" s="43">
        <f>0.00021*M4111</f>
        <v>0</v>
      </c>
      <c r="Q4111" s="50" t="s">
        <v>37</v>
      </c>
      <c r="R4111" s="36" t="s">
        <v>14507</v>
      </c>
      <c r="S4111" s="36"/>
      <c r="T4111" s="35" t="str">
        <f>HYPERLINK("https://miland.ru/api/getInfo/image/85dfa95c-58a2-11f0-a27f-00155d82e908")</f>
        <v>https://miland.ru/api/getInfo/image/85dfa95c-58a2-11f0-a27f-00155d82e908</v>
      </c>
      <c r="U4111" s="35"/>
      <c r="V4111" s="35"/>
      <c r="W4111" s="35" t="s">
        <v>378</v>
      </c>
      <c r="X4111" s="35"/>
      <c r="Y4111" s="35" t="s">
        <v>41</v>
      </c>
      <c r="Z4111" s="35"/>
      <c r="AA4111" s="35" t="str">
        <f>HYPERLINK("https://miland.ru/api/getInfo/item/85dfa95c-58a2-11f0-a27f-00155d82e908")</f>
        <v>https://miland.ru/api/getInfo/item/85dfa95c-58a2-11f0-a27f-00155d82e908</v>
      </c>
      <c r="AB4111" s="35" t="s">
        <v>42</v>
      </c>
      <c r="AC4111" s="35"/>
      <c r="AD4111" s="35"/>
      <c r="AE4111" s="52" t="s">
        <v>1251</v>
      </c>
    </row>
    <row r="4112" spans="2:31" s="1" customFormat="1" ht="96.3" customHeight="1" outlineLevel="7">
      <c r="B4112" s="59">
        <v>3270</v>
      </c>
      <c r="C4112" s="35" t="s">
        <v>14508</v>
      </c>
      <c r="D4112" s="73" t="s">
        <v>14509</v>
      </c>
      <c r="E4112" s="73"/>
      <c r="F4112" s="73"/>
      <c r="G4112" s="73"/>
      <c r="H4112" s="36" t="s">
        <v>14510</v>
      </c>
      <c r="I4112" s="56" t="s">
        <v>36</v>
      </c>
      <c r="J4112" s="36"/>
      <c r="K4112" s="34">
        <v>12</v>
      </c>
      <c r="L4112" s="41">
        <v>41.706666666666671</v>
      </c>
      <c r="M4112" s="11"/>
      <c r="N4112" s="36">
        <f t="shared" si="205"/>
        <v>0</v>
      </c>
      <c r="O4112" s="42">
        <f>0.043*M4112</f>
        <v>0</v>
      </c>
      <c r="P4112" s="43">
        <f>0.00021*M4112</f>
        <v>0</v>
      </c>
      <c r="Q4112" s="50" t="s">
        <v>37</v>
      </c>
      <c r="R4112" s="36" t="s">
        <v>14511</v>
      </c>
      <c r="S4112" s="36"/>
      <c r="T4112" s="35" t="str">
        <f>HYPERLINK("https://miland.ru/api/getInfo/image/b193eefc-58a2-11f0-a27f-00155d82e908")</f>
        <v>https://miland.ru/api/getInfo/image/b193eefc-58a2-11f0-a27f-00155d82e908</v>
      </c>
      <c r="U4112" s="35"/>
      <c r="V4112" s="35"/>
      <c r="W4112" s="35" t="s">
        <v>378</v>
      </c>
      <c r="X4112" s="35"/>
      <c r="Y4112" s="35" t="s">
        <v>41</v>
      </c>
      <c r="Z4112" s="35"/>
      <c r="AA4112" s="35" t="str">
        <f>HYPERLINK("https://miland.ru/api/getInfo/item/b193eefc-58a2-11f0-a27f-00155d82e908")</f>
        <v>https://miland.ru/api/getInfo/item/b193eefc-58a2-11f0-a27f-00155d82e908</v>
      </c>
      <c r="AB4112" s="35" t="s">
        <v>42</v>
      </c>
      <c r="AC4112" s="35"/>
      <c r="AD4112" s="35"/>
      <c r="AE4112" s="52" t="s">
        <v>1251</v>
      </c>
    </row>
    <row r="4113" spans="2:31" s="1" customFormat="1" ht="96.3" customHeight="1" outlineLevel="7">
      <c r="B4113" s="59">
        <v>3271</v>
      </c>
      <c r="C4113" s="35" t="s">
        <v>14512</v>
      </c>
      <c r="D4113" s="73" t="s">
        <v>14513</v>
      </c>
      <c r="E4113" s="73"/>
      <c r="F4113" s="73"/>
      <c r="G4113" s="73"/>
      <c r="H4113" s="36" t="s">
        <v>14514</v>
      </c>
      <c r="I4113" s="40">
        <v>420</v>
      </c>
      <c r="J4113" s="36"/>
      <c r="K4113" s="34">
        <v>12</v>
      </c>
      <c r="L4113" s="41">
        <v>43.533333333333331</v>
      </c>
      <c r="M4113" s="11"/>
      <c r="N4113" s="36">
        <f t="shared" si="205"/>
        <v>0</v>
      </c>
      <c r="O4113" s="42">
        <f>0.071*M4113</f>
        <v>0</v>
      </c>
      <c r="P4113" s="43">
        <f>0.00083*M4113</f>
        <v>0</v>
      </c>
      <c r="Q4113" s="50" t="s">
        <v>37</v>
      </c>
      <c r="R4113" s="36" t="s">
        <v>14515</v>
      </c>
      <c r="S4113" s="36"/>
      <c r="T4113" s="35" t="str">
        <f>HYPERLINK("https://miland.ru/api/getInfo/image/b1383e28-58a5-11f0-a27f-00155d82e908")</f>
        <v>https://miland.ru/api/getInfo/image/b1383e28-58a5-11f0-a27f-00155d82e908</v>
      </c>
      <c r="U4113" s="35"/>
      <c r="V4113" s="35"/>
      <c r="W4113" s="35" t="s">
        <v>378</v>
      </c>
      <c r="X4113" s="35"/>
      <c r="Y4113" s="35" t="s">
        <v>41</v>
      </c>
      <c r="Z4113" s="35"/>
      <c r="AA4113" s="35" t="str">
        <f>HYPERLINK("https://miland.ru/api/getInfo/item/b1383e28-58a5-11f0-a27f-00155d82e908")</f>
        <v>https://miland.ru/api/getInfo/item/b1383e28-58a5-11f0-a27f-00155d82e908</v>
      </c>
      <c r="AB4113" s="35" t="s">
        <v>42</v>
      </c>
      <c r="AC4113" s="35"/>
      <c r="AD4113" s="35"/>
      <c r="AE4113" s="52" t="s">
        <v>1251</v>
      </c>
    </row>
    <row r="4114" spans="2:31" s="1" customFormat="1" ht="96.3" customHeight="1" outlineLevel="7">
      <c r="B4114" s="59">
        <v>3272</v>
      </c>
      <c r="C4114" s="35" t="s">
        <v>14516</v>
      </c>
      <c r="D4114" s="73" t="s">
        <v>14517</v>
      </c>
      <c r="E4114" s="73"/>
      <c r="F4114" s="73"/>
      <c r="G4114" s="73"/>
      <c r="H4114" s="36" t="s">
        <v>14518</v>
      </c>
      <c r="I4114" s="56" t="s">
        <v>36</v>
      </c>
      <c r="J4114" s="36"/>
      <c r="K4114" s="34">
        <v>12</v>
      </c>
      <c r="L4114" s="41">
        <v>41.706666666666671</v>
      </c>
      <c r="M4114" s="11"/>
      <c r="N4114" s="36">
        <f t="shared" si="205"/>
        <v>0</v>
      </c>
      <c r="O4114" s="42">
        <f>0.043*M4114</f>
        <v>0</v>
      </c>
      <c r="P4114" s="43">
        <f>0.00021*M4114</f>
        <v>0</v>
      </c>
      <c r="Q4114" s="50" t="s">
        <v>37</v>
      </c>
      <c r="R4114" s="36" t="s">
        <v>14519</v>
      </c>
      <c r="S4114" s="36"/>
      <c r="T4114" s="35" t="str">
        <f>HYPERLINK("https://miland.ru/api/getInfo/image/514367ef-58a2-11f0-a27f-00155d82e908")</f>
        <v>https://miland.ru/api/getInfo/image/514367ef-58a2-11f0-a27f-00155d82e908</v>
      </c>
      <c r="U4114" s="35"/>
      <c r="V4114" s="35"/>
      <c r="W4114" s="35" t="s">
        <v>378</v>
      </c>
      <c r="X4114" s="35"/>
      <c r="Y4114" s="35" t="s">
        <v>41</v>
      </c>
      <c r="Z4114" s="35"/>
      <c r="AA4114" s="35" t="str">
        <f>HYPERLINK("https://miland.ru/api/getInfo/item/514367ef-58a2-11f0-a27f-00155d82e908")</f>
        <v>https://miland.ru/api/getInfo/item/514367ef-58a2-11f0-a27f-00155d82e908</v>
      </c>
      <c r="AB4114" s="35" t="s">
        <v>42</v>
      </c>
      <c r="AC4114" s="35"/>
      <c r="AD4114" s="35"/>
      <c r="AE4114" s="52" t="s">
        <v>1251</v>
      </c>
    </row>
    <row r="4115" spans="2:31" s="1" customFormat="1" ht="96.3" customHeight="1" outlineLevel="7">
      <c r="B4115" s="59">
        <v>3273</v>
      </c>
      <c r="C4115" s="35" t="s">
        <v>14520</v>
      </c>
      <c r="D4115" s="73" t="s">
        <v>14521</v>
      </c>
      <c r="E4115" s="73"/>
      <c r="F4115" s="73"/>
      <c r="G4115" s="73"/>
      <c r="H4115" s="36" t="s">
        <v>14522</v>
      </c>
      <c r="I4115" s="40">
        <v>288</v>
      </c>
      <c r="J4115" s="36"/>
      <c r="K4115" s="34">
        <v>12</v>
      </c>
      <c r="L4115" s="41">
        <v>53.586666666666666</v>
      </c>
      <c r="M4115" s="11"/>
      <c r="N4115" s="36">
        <f t="shared" si="205"/>
        <v>0</v>
      </c>
      <c r="O4115" s="47">
        <f>0.65*M4115</f>
        <v>0</v>
      </c>
      <c r="P4115" s="43">
        <f>0.00313*M4115</f>
        <v>0</v>
      </c>
      <c r="Q4115" s="50"/>
      <c r="R4115" s="36" t="s">
        <v>14523</v>
      </c>
      <c r="S4115" s="36" t="s">
        <v>435</v>
      </c>
      <c r="T4115" s="35" t="str">
        <f>HYPERLINK("https://miland.ru/api/getInfo/image/ab2c4aec-039a-11ef-a25d-00155d82e908")</f>
        <v>https://miland.ru/api/getInfo/image/ab2c4aec-039a-11ef-a25d-00155d82e908</v>
      </c>
      <c r="U4115" s="35"/>
      <c r="V4115" s="35" t="s">
        <v>6525</v>
      </c>
      <c r="W4115" s="35" t="s">
        <v>378</v>
      </c>
      <c r="X4115" s="35"/>
      <c r="Y4115" s="35" t="s">
        <v>41</v>
      </c>
      <c r="Z4115" s="35"/>
      <c r="AA4115" s="35" t="str">
        <f>HYPERLINK("https://miland.ru/api/getInfo/item/ab2c4aec-039a-11ef-a25d-00155d82e908")</f>
        <v>https://miland.ru/api/getInfo/item/ab2c4aec-039a-11ef-a25d-00155d82e908</v>
      </c>
      <c r="AB4115" s="35" t="s">
        <v>42</v>
      </c>
      <c r="AC4115" s="35"/>
      <c r="AD4115" s="35"/>
      <c r="AE4115" s="52" t="s">
        <v>1251</v>
      </c>
    </row>
    <row r="4116" spans="2:31" s="1" customFormat="1" ht="96.3" customHeight="1" outlineLevel="7">
      <c r="B4116" s="59">
        <v>3274</v>
      </c>
      <c r="C4116" s="35" t="s">
        <v>14524</v>
      </c>
      <c r="D4116" s="73" t="s">
        <v>14525</v>
      </c>
      <c r="E4116" s="73"/>
      <c r="F4116" s="73"/>
      <c r="G4116" s="73"/>
      <c r="H4116" s="36" t="s">
        <v>14526</v>
      </c>
      <c r="I4116" s="40">
        <v>156</v>
      </c>
      <c r="J4116" s="36"/>
      <c r="K4116" s="34">
        <v>12</v>
      </c>
      <c r="L4116" s="41">
        <v>53.586666666666666</v>
      </c>
      <c r="M4116" s="11"/>
      <c r="N4116" s="36">
        <f t="shared" si="205"/>
        <v>0</v>
      </c>
      <c r="O4116" s="47">
        <f>0.65*M4116</f>
        <v>0</v>
      </c>
      <c r="P4116" s="43">
        <f>0.00313*M4116</f>
        <v>0</v>
      </c>
      <c r="Q4116" s="50"/>
      <c r="R4116" s="36" t="s">
        <v>14527</v>
      </c>
      <c r="S4116" s="36" t="s">
        <v>435</v>
      </c>
      <c r="T4116" s="35" t="str">
        <f>HYPERLINK("https://miland.ru/api/getInfo/image/0d8a3508-039d-11ef-a25d-00155d82e908")</f>
        <v>https://miland.ru/api/getInfo/image/0d8a3508-039d-11ef-a25d-00155d82e908</v>
      </c>
      <c r="U4116" s="35"/>
      <c r="V4116" s="35" t="s">
        <v>6525</v>
      </c>
      <c r="W4116" s="35" t="s">
        <v>378</v>
      </c>
      <c r="X4116" s="35"/>
      <c r="Y4116" s="35" t="s">
        <v>41</v>
      </c>
      <c r="Z4116" s="35"/>
      <c r="AA4116" s="35" t="str">
        <f>HYPERLINK("https://miland.ru/api/getInfo/item/0d8a3508-039d-11ef-a25d-00155d82e908")</f>
        <v>https://miland.ru/api/getInfo/item/0d8a3508-039d-11ef-a25d-00155d82e908</v>
      </c>
      <c r="AB4116" s="35" t="s">
        <v>42</v>
      </c>
      <c r="AC4116" s="35"/>
      <c r="AD4116" s="35"/>
      <c r="AE4116" s="52" t="s">
        <v>1251</v>
      </c>
    </row>
    <row r="4117" spans="2:31" s="1" customFormat="1" ht="96.3" customHeight="1" outlineLevel="7">
      <c r="B4117" s="59">
        <v>3275</v>
      </c>
      <c r="C4117" s="35" t="s">
        <v>14528</v>
      </c>
      <c r="D4117" s="73" t="s">
        <v>14529</v>
      </c>
      <c r="E4117" s="73"/>
      <c r="F4117" s="73"/>
      <c r="G4117" s="73"/>
      <c r="H4117" s="36" t="s">
        <v>14530</v>
      </c>
      <c r="I4117" s="56" t="s">
        <v>36</v>
      </c>
      <c r="J4117" s="36"/>
      <c r="K4117" s="34">
        <v>12</v>
      </c>
      <c r="L4117" s="41">
        <v>53.586666666666666</v>
      </c>
      <c r="M4117" s="11"/>
      <c r="N4117" s="36">
        <f t="shared" si="205"/>
        <v>0</v>
      </c>
      <c r="O4117" s="47">
        <f>0.65*M4117</f>
        <v>0</v>
      </c>
      <c r="P4117" s="43">
        <f>0.00313*M4117</f>
        <v>0</v>
      </c>
      <c r="Q4117" s="50"/>
      <c r="R4117" s="36" t="s">
        <v>14531</v>
      </c>
      <c r="S4117" s="36" t="s">
        <v>435</v>
      </c>
      <c r="T4117" s="35" t="str">
        <f>HYPERLINK("https://miland.ru/api/getInfo/image/13ffaaa2-039e-11ef-a25d-00155d82e908")</f>
        <v>https://miland.ru/api/getInfo/image/13ffaaa2-039e-11ef-a25d-00155d82e908</v>
      </c>
      <c r="U4117" s="35"/>
      <c r="V4117" s="35" t="s">
        <v>6525</v>
      </c>
      <c r="W4117" s="35" t="s">
        <v>378</v>
      </c>
      <c r="X4117" s="35"/>
      <c r="Y4117" s="35" t="s">
        <v>41</v>
      </c>
      <c r="Z4117" s="35"/>
      <c r="AA4117" s="35" t="str">
        <f>HYPERLINK("https://miland.ru/api/getInfo/item/13ffaaa2-039e-11ef-a25d-00155d82e908")</f>
        <v>https://miland.ru/api/getInfo/item/13ffaaa2-039e-11ef-a25d-00155d82e908</v>
      </c>
      <c r="AB4117" s="35" t="s">
        <v>42</v>
      </c>
      <c r="AC4117" s="35"/>
      <c r="AD4117" s="35"/>
      <c r="AE4117" s="52" t="s">
        <v>1251</v>
      </c>
    </row>
    <row r="4118" spans="2:31" s="1" customFormat="1" ht="96.3" customHeight="1" outlineLevel="7">
      <c r="B4118" s="59">
        <v>3276</v>
      </c>
      <c r="C4118" s="35" t="s">
        <v>14532</v>
      </c>
      <c r="D4118" s="73" t="s">
        <v>14533</v>
      </c>
      <c r="E4118" s="73"/>
      <c r="F4118" s="73"/>
      <c r="G4118" s="73"/>
      <c r="H4118" s="36" t="s">
        <v>14534</v>
      </c>
      <c r="I4118" s="56" t="s">
        <v>36</v>
      </c>
      <c r="J4118" s="36"/>
      <c r="K4118" s="34">
        <v>12</v>
      </c>
      <c r="L4118" s="41">
        <v>53.586666666666666</v>
      </c>
      <c r="M4118" s="11"/>
      <c r="N4118" s="36">
        <f t="shared" si="205"/>
        <v>0</v>
      </c>
      <c r="O4118" s="42">
        <f>0.054*M4118</f>
        <v>0</v>
      </c>
      <c r="P4118" s="43">
        <f>0.00027*M4118</f>
        <v>0</v>
      </c>
      <c r="Q4118" s="50"/>
      <c r="R4118" s="36" t="s">
        <v>14535</v>
      </c>
      <c r="S4118" s="36" t="s">
        <v>435</v>
      </c>
      <c r="T4118" s="35" t="str">
        <f>HYPERLINK("https://miland.ru/api/getInfo/image/1f021585-039c-11ef-a25d-00155d82e908")</f>
        <v>https://miland.ru/api/getInfo/image/1f021585-039c-11ef-a25d-00155d82e908</v>
      </c>
      <c r="U4118" s="35"/>
      <c r="V4118" s="35" t="s">
        <v>6525</v>
      </c>
      <c r="W4118" s="35" t="s">
        <v>378</v>
      </c>
      <c r="X4118" s="35"/>
      <c r="Y4118" s="35" t="s">
        <v>41</v>
      </c>
      <c r="Z4118" s="35"/>
      <c r="AA4118" s="35" t="str">
        <f>HYPERLINK("https://miland.ru/api/getInfo/item/1f021585-039c-11ef-a25d-00155d82e908")</f>
        <v>https://miland.ru/api/getInfo/item/1f021585-039c-11ef-a25d-00155d82e908</v>
      </c>
      <c r="AB4118" s="35" t="s">
        <v>42</v>
      </c>
      <c r="AC4118" s="35"/>
      <c r="AD4118" s="35"/>
      <c r="AE4118" s="52" t="s">
        <v>1251</v>
      </c>
    </row>
    <row r="4119" spans="2:31" s="1" customFormat="1" ht="96.3" customHeight="1" outlineLevel="7">
      <c r="B4119" s="59">
        <v>3277</v>
      </c>
      <c r="C4119" s="35" t="s">
        <v>14536</v>
      </c>
      <c r="D4119" s="73" t="s">
        <v>14537</v>
      </c>
      <c r="E4119" s="73"/>
      <c r="F4119" s="73"/>
      <c r="G4119" s="73"/>
      <c r="H4119" s="36" t="s">
        <v>14538</v>
      </c>
      <c r="I4119" s="40">
        <v>492</v>
      </c>
      <c r="J4119" s="36"/>
      <c r="K4119" s="34">
        <v>12</v>
      </c>
      <c r="L4119" s="41">
        <v>53.586666666666666</v>
      </c>
      <c r="M4119" s="11"/>
      <c r="N4119" s="36">
        <f t="shared" si="205"/>
        <v>0</v>
      </c>
      <c r="O4119" s="47">
        <f>0.65*M4119</f>
        <v>0</v>
      </c>
      <c r="P4119" s="43">
        <f>0.00313*M4119</f>
        <v>0</v>
      </c>
      <c r="Q4119" s="50"/>
      <c r="R4119" s="36" t="s">
        <v>14539</v>
      </c>
      <c r="S4119" s="36" t="s">
        <v>435</v>
      </c>
      <c r="T4119" s="35" t="str">
        <f>HYPERLINK("https://miland.ru/api/getInfo/image/060dd94b-039b-11ef-a25d-00155d82e908")</f>
        <v>https://miland.ru/api/getInfo/image/060dd94b-039b-11ef-a25d-00155d82e908</v>
      </c>
      <c r="U4119" s="35"/>
      <c r="V4119" s="35" t="s">
        <v>6525</v>
      </c>
      <c r="W4119" s="35" t="s">
        <v>378</v>
      </c>
      <c r="X4119" s="35"/>
      <c r="Y4119" s="35" t="s">
        <v>41</v>
      </c>
      <c r="Z4119" s="35"/>
      <c r="AA4119" s="35" t="str">
        <f>HYPERLINK("https://miland.ru/api/getInfo/item/060dd94b-039b-11ef-a25d-00155d82e908")</f>
        <v>https://miland.ru/api/getInfo/item/060dd94b-039b-11ef-a25d-00155d82e908</v>
      </c>
      <c r="AB4119" s="35" t="s">
        <v>42</v>
      </c>
      <c r="AC4119" s="35"/>
      <c r="AD4119" s="35"/>
      <c r="AE4119" s="52" t="s">
        <v>1251</v>
      </c>
    </row>
    <row r="4120" spans="2:31" s="1" customFormat="1" ht="96.3" customHeight="1" outlineLevel="7">
      <c r="B4120" s="59">
        <v>3278</v>
      </c>
      <c r="C4120" s="35" t="s">
        <v>14540</v>
      </c>
      <c r="D4120" s="73" t="s">
        <v>14541</v>
      </c>
      <c r="E4120" s="73"/>
      <c r="F4120" s="73"/>
      <c r="G4120" s="73"/>
      <c r="H4120" s="36" t="s">
        <v>14542</v>
      </c>
      <c r="I4120" s="56" t="s">
        <v>36</v>
      </c>
      <c r="J4120" s="36"/>
      <c r="K4120" s="34">
        <v>12</v>
      </c>
      <c r="L4120" s="41">
        <v>53.586666666666666</v>
      </c>
      <c r="M4120" s="11"/>
      <c r="N4120" s="36">
        <f t="shared" si="205"/>
        <v>0</v>
      </c>
      <c r="O4120" s="47">
        <f>0.05*M4120</f>
        <v>0</v>
      </c>
      <c r="P4120" s="43">
        <f>0.00044*M4120</f>
        <v>0</v>
      </c>
      <c r="Q4120" s="50"/>
      <c r="R4120" s="36" t="s">
        <v>14543</v>
      </c>
      <c r="S4120" s="36"/>
      <c r="T4120" s="35" t="str">
        <f>HYPERLINK("https://miland.ru/api/getInfo/image/843b11c8-563e-11f0-a27f-00155d82e908")</f>
        <v>https://miland.ru/api/getInfo/image/843b11c8-563e-11f0-a27f-00155d82e908</v>
      </c>
      <c r="U4120" s="35"/>
      <c r="V4120" s="35" t="s">
        <v>6525</v>
      </c>
      <c r="W4120" s="35" t="s">
        <v>378</v>
      </c>
      <c r="X4120" s="35"/>
      <c r="Y4120" s="35" t="s">
        <v>41</v>
      </c>
      <c r="Z4120" s="35"/>
      <c r="AA4120" s="35" t="str">
        <f>HYPERLINK("https://miland.ru/api/getInfo/item/843b11c8-563e-11f0-a27f-00155d82e908")</f>
        <v>https://miland.ru/api/getInfo/item/843b11c8-563e-11f0-a27f-00155d82e908</v>
      </c>
      <c r="AB4120" s="35" t="s">
        <v>42</v>
      </c>
      <c r="AC4120" s="35"/>
      <c r="AD4120" s="35"/>
      <c r="AE4120" s="52" t="s">
        <v>1251</v>
      </c>
    </row>
    <row r="4121" spans="2:31" s="1" customFormat="1" ht="96.3" customHeight="1" outlineLevel="7">
      <c r="B4121" s="59">
        <v>3279</v>
      </c>
      <c r="C4121" s="35" t="s">
        <v>14544</v>
      </c>
      <c r="D4121" s="73" t="s">
        <v>14545</v>
      </c>
      <c r="E4121" s="73"/>
      <c r="F4121" s="73"/>
      <c r="G4121" s="73"/>
      <c r="H4121" s="36" t="s">
        <v>14546</v>
      </c>
      <c r="I4121" s="56" t="s">
        <v>36</v>
      </c>
      <c r="J4121" s="36"/>
      <c r="K4121" s="34">
        <v>12</v>
      </c>
      <c r="L4121" s="41">
        <v>53.586666666666666</v>
      </c>
      <c r="M4121" s="11"/>
      <c r="N4121" s="36">
        <f t="shared" si="205"/>
        <v>0</v>
      </c>
      <c r="O4121" s="42">
        <f>0.055*M4121</f>
        <v>0</v>
      </c>
      <c r="P4121" s="43">
        <f>0.00069*M4121</f>
        <v>0</v>
      </c>
      <c r="Q4121" s="50"/>
      <c r="R4121" s="36" t="s">
        <v>14547</v>
      </c>
      <c r="S4121" s="36"/>
      <c r="T4121" s="35" t="str">
        <f>HYPERLINK("https://miland.ru/api/getInfo/image/4f052726-563e-11f0-a27f-00155d82e908")</f>
        <v>https://miland.ru/api/getInfo/image/4f052726-563e-11f0-a27f-00155d82e908</v>
      </c>
      <c r="U4121" s="35"/>
      <c r="V4121" s="35" t="s">
        <v>6525</v>
      </c>
      <c r="W4121" s="35" t="s">
        <v>378</v>
      </c>
      <c r="X4121" s="35"/>
      <c r="Y4121" s="35" t="s">
        <v>41</v>
      </c>
      <c r="Z4121" s="35"/>
      <c r="AA4121" s="35" t="str">
        <f>HYPERLINK("https://miland.ru/api/getInfo/item/4f052726-563e-11f0-a27f-00155d82e908")</f>
        <v>https://miland.ru/api/getInfo/item/4f052726-563e-11f0-a27f-00155d82e908</v>
      </c>
      <c r="AB4121" s="35" t="s">
        <v>42</v>
      </c>
      <c r="AC4121" s="35"/>
      <c r="AD4121" s="35"/>
      <c r="AE4121" s="52" t="s">
        <v>1251</v>
      </c>
    </row>
    <row r="4122" spans="2:31" s="1" customFormat="1" ht="96.3" customHeight="1" outlineLevel="7">
      <c r="B4122" s="59">
        <v>3280</v>
      </c>
      <c r="C4122" s="35" t="s">
        <v>14548</v>
      </c>
      <c r="D4122" s="73" t="s">
        <v>14549</v>
      </c>
      <c r="E4122" s="73"/>
      <c r="F4122" s="73"/>
      <c r="G4122" s="73"/>
      <c r="H4122" s="36" t="s">
        <v>14550</v>
      </c>
      <c r="I4122" s="40">
        <v>384</v>
      </c>
      <c r="J4122" s="36"/>
      <c r="K4122" s="34">
        <v>12</v>
      </c>
      <c r="L4122" s="41">
        <v>53.586666666666666</v>
      </c>
      <c r="M4122" s="11"/>
      <c r="N4122" s="36">
        <f t="shared" si="205"/>
        <v>0</v>
      </c>
      <c r="O4122" s="42">
        <f>0.052*M4122</f>
        <v>0</v>
      </c>
      <c r="P4122" s="43">
        <f>0.00069*M4122</f>
        <v>0</v>
      </c>
      <c r="Q4122" s="50"/>
      <c r="R4122" s="36" t="s">
        <v>14551</v>
      </c>
      <c r="S4122" s="36"/>
      <c r="T4122" s="35" t="str">
        <f>HYPERLINK("https://miland.ru/api/getInfo/image/71b08c13-55af-11f0-a27e-00155d82e908")</f>
        <v>https://miland.ru/api/getInfo/image/71b08c13-55af-11f0-a27e-00155d82e908</v>
      </c>
      <c r="U4122" s="35"/>
      <c r="V4122" s="35" t="s">
        <v>6525</v>
      </c>
      <c r="W4122" s="35" t="s">
        <v>378</v>
      </c>
      <c r="X4122" s="35"/>
      <c r="Y4122" s="35" t="s">
        <v>41</v>
      </c>
      <c r="Z4122" s="35"/>
      <c r="AA4122" s="35" t="str">
        <f>HYPERLINK("https://miland.ru/api/getInfo/item/71b08c13-55af-11f0-a27e-00155d82e908")</f>
        <v>https://miland.ru/api/getInfo/item/71b08c13-55af-11f0-a27e-00155d82e908</v>
      </c>
      <c r="AB4122" s="35" t="s">
        <v>42</v>
      </c>
      <c r="AC4122" s="35"/>
      <c r="AD4122" s="35"/>
      <c r="AE4122" s="52" t="s">
        <v>1251</v>
      </c>
    </row>
    <row r="4123" spans="2:31" s="1" customFormat="1" ht="96.3" customHeight="1" outlineLevel="7">
      <c r="B4123" s="59">
        <v>3281</v>
      </c>
      <c r="C4123" s="35" t="s">
        <v>14552</v>
      </c>
      <c r="D4123" s="73" t="s">
        <v>14553</v>
      </c>
      <c r="E4123" s="73"/>
      <c r="F4123" s="73"/>
      <c r="G4123" s="73"/>
      <c r="H4123" s="36" t="s">
        <v>14554</v>
      </c>
      <c r="I4123" s="56" t="s">
        <v>36</v>
      </c>
      <c r="J4123" s="36"/>
      <c r="K4123" s="34">
        <v>12</v>
      </c>
      <c r="L4123" s="41">
        <v>53.586666666666666</v>
      </c>
      <c r="M4123" s="11"/>
      <c r="N4123" s="36">
        <f t="shared" si="205"/>
        <v>0</v>
      </c>
      <c r="O4123" s="42">
        <f>0.055*M4123</f>
        <v>0</v>
      </c>
      <c r="P4123" s="43">
        <f>0.00046*M4123</f>
        <v>0</v>
      </c>
      <c r="Q4123" s="50"/>
      <c r="R4123" s="36" t="s">
        <v>14555</v>
      </c>
      <c r="S4123" s="36"/>
      <c r="T4123" s="35" t="str">
        <f>HYPERLINK("https://miland.ru/api/getInfo/image/f2fac069-55b8-11f0-a27e-00155d82e908")</f>
        <v>https://miland.ru/api/getInfo/image/f2fac069-55b8-11f0-a27e-00155d82e908</v>
      </c>
      <c r="U4123" s="35"/>
      <c r="V4123" s="35" t="s">
        <v>6525</v>
      </c>
      <c r="W4123" s="35" t="s">
        <v>378</v>
      </c>
      <c r="X4123" s="35"/>
      <c r="Y4123" s="35" t="s">
        <v>41</v>
      </c>
      <c r="Z4123" s="35"/>
      <c r="AA4123" s="35" t="str">
        <f>HYPERLINK("https://miland.ru/api/getInfo/item/f2fac069-55b8-11f0-a27e-00155d82e908")</f>
        <v>https://miland.ru/api/getInfo/item/f2fac069-55b8-11f0-a27e-00155d82e908</v>
      </c>
      <c r="AB4123" s="35" t="s">
        <v>42</v>
      </c>
      <c r="AC4123" s="35"/>
      <c r="AD4123" s="35"/>
      <c r="AE4123" s="52" t="s">
        <v>1251</v>
      </c>
    </row>
    <row r="4124" spans="2:31" s="1" customFormat="1" ht="96.3" customHeight="1" outlineLevel="7">
      <c r="B4124" s="59">
        <v>3282</v>
      </c>
      <c r="C4124" s="35" t="s">
        <v>14556</v>
      </c>
      <c r="D4124" s="73" t="s">
        <v>14557</v>
      </c>
      <c r="E4124" s="73"/>
      <c r="F4124" s="73"/>
      <c r="G4124" s="73"/>
      <c r="H4124" s="36" t="s">
        <v>14558</v>
      </c>
      <c r="I4124" s="56" t="s">
        <v>36</v>
      </c>
      <c r="J4124" s="36"/>
      <c r="K4124" s="34">
        <v>12</v>
      </c>
      <c r="L4124" s="41">
        <v>53.586666666666666</v>
      </c>
      <c r="M4124" s="11"/>
      <c r="N4124" s="36">
        <f t="shared" si="205"/>
        <v>0</v>
      </c>
      <c r="O4124" s="42">
        <f>0.054*M4124</f>
        <v>0</v>
      </c>
      <c r="P4124" s="43">
        <f>0.02301*M4124</f>
        <v>0</v>
      </c>
      <c r="Q4124" s="50"/>
      <c r="R4124" s="36" t="s">
        <v>14559</v>
      </c>
      <c r="S4124" s="36"/>
      <c r="T4124" s="35" t="str">
        <f>HYPERLINK("https://miland.ru/api/getInfo/image/7ae82f30-55b9-11f0-a27e-00155d82e908")</f>
        <v>https://miland.ru/api/getInfo/image/7ae82f30-55b9-11f0-a27e-00155d82e908</v>
      </c>
      <c r="U4124" s="35"/>
      <c r="V4124" s="35" t="s">
        <v>6525</v>
      </c>
      <c r="W4124" s="35" t="s">
        <v>378</v>
      </c>
      <c r="X4124" s="35"/>
      <c r="Y4124" s="35" t="s">
        <v>41</v>
      </c>
      <c r="Z4124" s="35"/>
      <c r="AA4124" s="35" t="str">
        <f>HYPERLINK("https://miland.ru/api/getInfo/item/7ae82f30-55b9-11f0-a27e-00155d82e908")</f>
        <v>https://miland.ru/api/getInfo/item/7ae82f30-55b9-11f0-a27e-00155d82e908</v>
      </c>
      <c r="AB4124" s="35" t="s">
        <v>42</v>
      </c>
      <c r="AC4124" s="35"/>
      <c r="AD4124" s="35"/>
      <c r="AE4124" s="52" t="s">
        <v>1251</v>
      </c>
    </row>
    <row r="4125" spans="2:31" s="1" customFormat="1" ht="96.3" customHeight="1" outlineLevel="7">
      <c r="B4125" s="59">
        <v>3283</v>
      </c>
      <c r="C4125" s="35" t="s">
        <v>14560</v>
      </c>
      <c r="D4125" s="73" t="s">
        <v>14561</v>
      </c>
      <c r="E4125" s="73"/>
      <c r="F4125" s="73"/>
      <c r="G4125" s="73"/>
      <c r="H4125" s="36" t="s">
        <v>14562</v>
      </c>
      <c r="I4125" s="56" t="s">
        <v>36</v>
      </c>
      <c r="J4125" s="36"/>
      <c r="K4125" s="34">
        <v>12</v>
      </c>
      <c r="L4125" s="41">
        <v>53.586666666666666</v>
      </c>
      <c r="M4125" s="11"/>
      <c r="N4125" s="36">
        <f t="shared" si="205"/>
        <v>0</v>
      </c>
      <c r="O4125" s="42">
        <f>0.052*M4125</f>
        <v>0</v>
      </c>
      <c r="P4125" s="43">
        <f>0.00037*M4125</f>
        <v>0</v>
      </c>
      <c r="Q4125" s="50"/>
      <c r="R4125" s="36" t="s">
        <v>14563</v>
      </c>
      <c r="S4125" s="36"/>
      <c r="T4125" s="35" t="str">
        <f>HYPERLINK("https://miland.ru/api/getInfo/image/d6192b9b-563a-11f0-a27f-00155d82e908")</f>
        <v>https://miland.ru/api/getInfo/image/d6192b9b-563a-11f0-a27f-00155d82e908</v>
      </c>
      <c r="U4125" s="35"/>
      <c r="V4125" s="35" t="s">
        <v>6525</v>
      </c>
      <c r="W4125" s="35" t="s">
        <v>378</v>
      </c>
      <c r="X4125" s="35"/>
      <c r="Y4125" s="35" t="s">
        <v>41</v>
      </c>
      <c r="Z4125" s="35"/>
      <c r="AA4125" s="35" t="str">
        <f>HYPERLINK("https://miland.ru/api/getInfo/item/d6192b9b-563a-11f0-a27f-00155d82e908")</f>
        <v>https://miland.ru/api/getInfo/item/d6192b9b-563a-11f0-a27f-00155d82e908</v>
      </c>
      <c r="AB4125" s="35" t="s">
        <v>42</v>
      </c>
      <c r="AC4125" s="35"/>
      <c r="AD4125" s="35"/>
      <c r="AE4125" s="52" t="s">
        <v>1251</v>
      </c>
    </row>
    <row r="4126" spans="2:31" s="1" customFormat="1" ht="96.3" customHeight="1" outlineLevel="7">
      <c r="B4126" s="59">
        <v>3284</v>
      </c>
      <c r="C4126" s="35" t="s">
        <v>14564</v>
      </c>
      <c r="D4126" s="73" t="s">
        <v>14565</v>
      </c>
      <c r="E4126" s="73"/>
      <c r="F4126" s="73"/>
      <c r="G4126" s="73"/>
      <c r="H4126" s="36" t="s">
        <v>14566</v>
      </c>
      <c r="I4126" s="40">
        <v>192</v>
      </c>
      <c r="J4126" s="36"/>
      <c r="K4126" s="34">
        <v>12</v>
      </c>
      <c r="L4126" s="41">
        <v>53.586666666666666</v>
      </c>
      <c r="M4126" s="11"/>
      <c r="N4126" s="36">
        <f t="shared" si="205"/>
        <v>0</v>
      </c>
      <c r="O4126" s="42">
        <f>0.051*M4126</f>
        <v>0</v>
      </c>
      <c r="P4126" s="43">
        <f>0.00037*M4126</f>
        <v>0</v>
      </c>
      <c r="Q4126" s="50"/>
      <c r="R4126" s="36" t="s">
        <v>14567</v>
      </c>
      <c r="S4126" s="36"/>
      <c r="T4126" s="35" t="str">
        <f>HYPERLINK("https://miland.ru/api/getInfo/image/4df51bd7-563b-11f0-a27f-00155d82e908")</f>
        <v>https://miland.ru/api/getInfo/image/4df51bd7-563b-11f0-a27f-00155d82e908</v>
      </c>
      <c r="U4126" s="35"/>
      <c r="V4126" s="35" t="s">
        <v>6525</v>
      </c>
      <c r="W4126" s="35" t="s">
        <v>378</v>
      </c>
      <c r="X4126" s="35"/>
      <c r="Y4126" s="35" t="s">
        <v>41</v>
      </c>
      <c r="Z4126" s="35"/>
      <c r="AA4126" s="35" t="str">
        <f>HYPERLINK("https://miland.ru/api/getInfo/item/4df51bd7-563b-11f0-a27f-00155d82e908")</f>
        <v>https://miland.ru/api/getInfo/item/4df51bd7-563b-11f0-a27f-00155d82e908</v>
      </c>
      <c r="AB4126" s="35" t="s">
        <v>42</v>
      </c>
      <c r="AC4126" s="35"/>
      <c r="AD4126" s="35"/>
      <c r="AE4126" s="52" t="s">
        <v>1251</v>
      </c>
    </row>
    <row r="4127" spans="2:31" s="1" customFormat="1" ht="96.3" customHeight="1" outlineLevel="7">
      <c r="B4127" s="59">
        <v>3285</v>
      </c>
      <c r="C4127" s="35" t="s">
        <v>14568</v>
      </c>
      <c r="D4127" s="73" t="s">
        <v>14569</v>
      </c>
      <c r="E4127" s="73"/>
      <c r="F4127" s="73"/>
      <c r="G4127" s="73"/>
      <c r="H4127" s="36" t="s">
        <v>14570</v>
      </c>
      <c r="I4127" s="56" t="s">
        <v>36</v>
      </c>
      <c r="J4127" s="36"/>
      <c r="K4127" s="34">
        <v>12</v>
      </c>
      <c r="L4127" s="41">
        <v>53.586666666666666</v>
      </c>
      <c r="M4127" s="11"/>
      <c r="N4127" s="36">
        <f t="shared" si="205"/>
        <v>0</v>
      </c>
      <c r="O4127" s="42">
        <f>0.052*M4127</f>
        <v>0</v>
      </c>
      <c r="P4127" s="43">
        <f>0.00046*M4127</f>
        <v>0</v>
      </c>
      <c r="Q4127" s="50"/>
      <c r="R4127" s="36" t="s">
        <v>14571</v>
      </c>
      <c r="S4127" s="36"/>
      <c r="T4127" s="35" t="str">
        <f>HYPERLINK("https://miland.ru/api/getInfo/image/03460700-563d-11f0-a27f-00155d82e908")</f>
        <v>https://miland.ru/api/getInfo/image/03460700-563d-11f0-a27f-00155d82e908</v>
      </c>
      <c r="U4127" s="35"/>
      <c r="V4127" s="35" t="s">
        <v>6525</v>
      </c>
      <c r="W4127" s="35" t="s">
        <v>378</v>
      </c>
      <c r="X4127" s="35"/>
      <c r="Y4127" s="35" t="s">
        <v>41</v>
      </c>
      <c r="Z4127" s="35"/>
      <c r="AA4127" s="35" t="str">
        <f>HYPERLINK("https://miland.ru/api/getInfo/item/03460700-563d-11f0-a27f-00155d82e908")</f>
        <v>https://miland.ru/api/getInfo/item/03460700-563d-11f0-a27f-00155d82e908</v>
      </c>
      <c r="AB4127" s="35" t="s">
        <v>42</v>
      </c>
      <c r="AC4127" s="35"/>
      <c r="AD4127" s="35"/>
      <c r="AE4127" s="52" t="s">
        <v>1251</v>
      </c>
    </row>
    <row r="4128" spans="2:31" s="1" customFormat="1" ht="96.3" customHeight="1" outlineLevel="7">
      <c r="B4128" s="59">
        <v>3286</v>
      </c>
      <c r="C4128" s="35" t="s">
        <v>14572</v>
      </c>
      <c r="D4128" s="73" t="s">
        <v>14573</v>
      </c>
      <c r="E4128" s="73"/>
      <c r="F4128" s="73"/>
      <c r="G4128" s="73"/>
      <c r="H4128" s="36" t="s">
        <v>14574</v>
      </c>
      <c r="I4128" s="56" t="s">
        <v>36</v>
      </c>
      <c r="J4128" s="36"/>
      <c r="K4128" s="34">
        <v>12</v>
      </c>
      <c r="L4128" s="41">
        <v>53.586666666666666</v>
      </c>
      <c r="M4128" s="11"/>
      <c r="N4128" s="36">
        <f t="shared" si="205"/>
        <v>0</v>
      </c>
      <c r="O4128" s="42">
        <f>0.053*M4128</f>
        <v>0</v>
      </c>
      <c r="P4128" s="43">
        <f>0.00037*M4128</f>
        <v>0</v>
      </c>
      <c r="Q4128" s="50"/>
      <c r="R4128" s="36" t="s">
        <v>14575</v>
      </c>
      <c r="S4128" s="36"/>
      <c r="T4128" s="35" t="str">
        <f>HYPERLINK("https://miland.ru/api/getInfo/image/880677f7-563b-11f0-a27f-00155d82e908")</f>
        <v>https://miland.ru/api/getInfo/image/880677f7-563b-11f0-a27f-00155d82e908</v>
      </c>
      <c r="U4128" s="35"/>
      <c r="V4128" s="35" t="s">
        <v>6525</v>
      </c>
      <c r="W4128" s="35" t="s">
        <v>378</v>
      </c>
      <c r="X4128" s="35"/>
      <c r="Y4128" s="35" t="s">
        <v>41</v>
      </c>
      <c r="Z4128" s="35"/>
      <c r="AA4128" s="35" t="str">
        <f>HYPERLINK("https://miland.ru/api/getInfo/item/880677f7-563b-11f0-a27f-00155d82e908")</f>
        <v>https://miland.ru/api/getInfo/item/880677f7-563b-11f0-a27f-00155d82e908</v>
      </c>
      <c r="AB4128" s="35" t="s">
        <v>42</v>
      </c>
      <c r="AC4128" s="35"/>
      <c r="AD4128" s="35"/>
      <c r="AE4128" s="52" t="s">
        <v>1251</v>
      </c>
    </row>
    <row r="4129" spans="2:31" s="1" customFormat="1" ht="96.3" customHeight="1" outlineLevel="7">
      <c r="B4129" s="59">
        <v>3287</v>
      </c>
      <c r="C4129" s="35" t="s">
        <v>14576</v>
      </c>
      <c r="D4129" s="73" t="s">
        <v>14577</v>
      </c>
      <c r="E4129" s="73"/>
      <c r="F4129" s="73"/>
      <c r="G4129" s="73"/>
      <c r="H4129" s="36" t="s">
        <v>14578</v>
      </c>
      <c r="I4129" s="56" t="s">
        <v>36</v>
      </c>
      <c r="J4129" s="36"/>
      <c r="K4129" s="34">
        <v>12</v>
      </c>
      <c r="L4129" s="41">
        <v>53.586666666666666</v>
      </c>
      <c r="M4129" s="11"/>
      <c r="N4129" s="36">
        <f t="shared" si="205"/>
        <v>0</v>
      </c>
      <c r="O4129" s="47">
        <f>0.05*M4129</f>
        <v>0</v>
      </c>
      <c r="P4129" s="43">
        <f>0.00046*M4129</f>
        <v>0</v>
      </c>
      <c r="Q4129" s="50"/>
      <c r="R4129" s="36" t="s">
        <v>14579</v>
      </c>
      <c r="S4129" s="36"/>
      <c r="T4129" s="35" t="str">
        <f>HYPERLINK("https://miland.ru/api/getInfo/image/1ecc2ad0-55af-11f0-a27e-00155d82e908")</f>
        <v>https://miland.ru/api/getInfo/image/1ecc2ad0-55af-11f0-a27e-00155d82e908</v>
      </c>
      <c r="U4129" s="35"/>
      <c r="V4129" s="35" t="s">
        <v>6525</v>
      </c>
      <c r="W4129" s="35" t="s">
        <v>378</v>
      </c>
      <c r="X4129" s="35"/>
      <c r="Y4129" s="35" t="s">
        <v>41</v>
      </c>
      <c r="Z4129" s="35"/>
      <c r="AA4129" s="35" t="str">
        <f>HYPERLINK("https://miland.ru/api/getInfo/item/1ecc2ad0-55af-11f0-a27e-00155d82e908")</f>
        <v>https://miland.ru/api/getInfo/item/1ecc2ad0-55af-11f0-a27e-00155d82e908</v>
      </c>
      <c r="AB4129" s="35" t="s">
        <v>42</v>
      </c>
      <c r="AC4129" s="35"/>
      <c r="AD4129" s="35"/>
      <c r="AE4129" s="52" t="s">
        <v>1251</v>
      </c>
    </row>
    <row r="4130" spans="2:31" s="1" customFormat="1" ht="96.3" customHeight="1" outlineLevel="7">
      <c r="B4130" s="59">
        <v>3288</v>
      </c>
      <c r="C4130" s="35" t="s">
        <v>14580</v>
      </c>
      <c r="D4130" s="73" t="s">
        <v>14581</v>
      </c>
      <c r="E4130" s="73"/>
      <c r="F4130" s="73"/>
      <c r="G4130" s="73"/>
      <c r="H4130" s="36" t="s">
        <v>14582</v>
      </c>
      <c r="I4130" s="56" t="s">
        <v>36</v>
      </c>
      <c r="J4130" s="36"/>
      <c r="K4130" s="34">
        <v>12</v>
      </c>
      <c r="L4130" s="41">
        <v>53.586666666666666</v>
      </c>
      <c r="M4130" s="11"/>
      <c r="N4130" s="36">
        <f t="shared" si="205"/>
        <v>0</v>
      </c>
      <c r="O4130" s="42">
        <f>0.052*M4130</f>
        <v>0</v>
      </c>
      <c r="P4130" s="43">
        <f>0.00037*M4130</f>
        <v>0</v>
      </c>
      <c r="Q4130" s="50"/>
      <c r="R4130" s="36" t="s">
        <v>14583</v>
      </c>
      <c r="S4130" s="36"/>
      <c r="T4130" s="35" t="str">
        <f>HYPERLINK("https://miland.ru/api/getInfo/image/e11c2832-55b6-11f0-a27e-00155d82e908")</f>
        <v>https://miland.ru/api/getInfo/image/e11c2832-55b6-11f0-a27e-00155d82e908</v>
      </c>
      <c r="U4130" s="35"/>
      <c r="V4130" s="35" t="s">
        <v>6525</v>
      </c>
      <c r="W4130" s="35" t="s">
        <v>378</v>
      </c>
      <c r="X4130" s="35"/>
      <c r="Y4130" s="35" t="s">
        <v>41</v>
      </c>
      <c r="Z4130" s="35"/>
      <c r="AA4130" s="35" t="str">
        <f>HYPERLINK("https://miland.ru/api/getInfo/item/e11c2832-55b6-11f0-a27e-00155d82e908")</f>
        <v>https://miland.ru/api/getInfo/item/e11c2832-55b6-11f0-a27e-00155d82e908</v>
      </c>
      <c r="AB4130" s="35" t="s">
        <v>42</v>
      </c>
      <c r="AC4130" s="35"/>
      <c r="AD4130" s="35"/>
      <c r="AE4130" s="52" t="s">
        <v>1251</v>
      </c>
    </row>
    <row r="4131" spans="2:31" s="1" customFormat="1" ht="96.3" customHeight="1" outlineLevel="7">
      <c r="B4131" s="59">
        <v>3289</v>
      </c>
      <c r="C4131" s="35" t="s">
        <v>14584</v>
      </c>
      <c r="D4131" s="73" t="s">
        <v>14585</v>
      </c>
      <c r="E4131" s="73"/>
      <c r="F4131" s="73"/>
      <c r="G4131" s="73"/>
      <c r="H4131" s="36" t="s">
        <v>14586</v>
      </c>
      <c r="I4131" s="56" t="s">
        <v>36</v>
      </c>
      <c r="J4131" s="36"/>
      <c r="K4131" s="34">
        <v>12</v>
      </c>
      <c r="L4131" s="41">
        <v>53.586666666666666</v>
      </c>
      <c r="M4131" s="11"/>
      <c r="N4131" s="36">
        <f t="shared" si="205"/>
        <v>0</v>
      </c>
      <c r="O4131" s="42">
        <f>0.051*M4131</f>
        <v>0</v>
      </c>
      <c r="P4131" s="43">
        <f>0.00046*M4131</f>
        <v>0</v>
      </c>
      <c r="Q4131" s="50"/>
      <c r="R4131" s="36" t="s">
        <v>14587</v>
      </c>
      <c r="S4131" s="36"/>
      <c r="T4131" s="35" t="str">
        <f>HYPERLINK("https://miland.ru/api/getInfo/image/3e9521ae-55b5-11f0-a27e-00155d82e908")</f>
        <v>https://miland.ru/api/getInfo/image/3e9521ae-55b5-11f0-a27e-00155d82e908</v>
      </c>
      <c r="U4131" s="35"/>
      <c r="V4131" s="35" t="s">
        <v>6525</v>
      </c>
      <c r="W4131" s="35" t="s">
        <v>378</v>
      </c>
      <c r="X4131" s="35"/>
      <c r="Y4131" s="35" t="s">
        <v>41</v>
      </c>
      <c r="Z4131" s="35"/>
      <c r="AA4131" s="35" t="str">
        <f>HYPERLINK("https://miland.ru/api/getInfo/item/3e9521ae-55b5-11f0-a27e-00155d82e908")</f>
        <v>https://miland.ru/api/getInfo/item/3e9521ae-55b5-11f0-a27e-00155d82e908</v>
      </c>
      <c r="AB4131" s="35" t="s">
        <v>42</v>
      </c>
      <c r="AC4131" s="35"/>
      <c r="AD4131" s="35"/>
      <c r="AE4131" s="52" t="s">
        <v>1251</v>
      </c>
    </row>
    <row r="4132" spans="2:31" s="1" customFormat="1" ht="96.3" customHeight="1" outlineLevel="7">
      <c r="B4132" s="59">
        <v>3290</v>
      </c>
      <c r="C4132" s="35" t="s">
        <v>14588</v>
      </c>
      <c r="D4132" s="73" t="s">
        <v>14589</v>
      </c>
      <c r="E4132" s="73"/>
      <c r="F4132" s="73"/>
      <c r="G4132" s="73"/>
      <c r="H4132" s="36" t="s">
        <v>14590</v>
      </c>
      <c r="I4132" s="56" t="s">
        <v>36</v>
      </c>
      <c r="J4132" s="36"/>
      <c r="K4132" s="34">
        <v>12</v>
      </c>
      <c r="L4132" s="41">
        <v>53.586666666666666</v>
      </c>
      <c r="M4132" s="11"/>
      <c r="N4132" s="36">
        <f t="shared" si="205"/>
        <v>0</v>
      </c>
      <c r="O4132" s="42">
        <f>0.051*M4132</f>
        <v>0</v>
      </c>
      <c r="P4132" s="43">
        <f>0.00037*M4132</f>
        <v>0</v>
      </c>
      <c r="Q4132" s="50"/>
      <c r="R4132" s="36" t="s">
        <v>14591</v>
      </c>
      <c r="S4132" s="36"/>
      <c r="T4132" s="35" t="str">
        <f>HYPERLINK("https://miland.ru/api/getInfo/image/b67ee8c6-563b-11f0-a27f-00155d82e908")</f>
        <v>https://miland.ru/api/getInfo/image/b67ee8c6-563b-11f0-a27f-00155d82e908</v>
      </c>
      <c r="U4132" s="35"/>
      <c r="V4132" s="35" t="s">
        <v>6525</v>
      </c>
      <c r="W4132" s="35" t="s">
        <v>378</v>
      </c>
      <c r="X4132" s="35"/>
      <c r="Y4132" s="35" t="s">
        <v>41</v>
      </c>
      <c r="Z4132" s="35"/>
      <c r="AA4132" s="35" t="str">
        <f>HYPERLINK("https://miland.ru/api/getInfo/item/b67ee8c6-563b-11f0-a27f-00155d82e908")</f>
        <v>https://miland.ru/api/getInfo/item/b67ee8c6-563b-11f0-a27f-00155d82e908</v>
      </c>
      <c r="AB4132" s="35" t="s">
        <v>42</v>
      </c>
      <c r="AC4132" s="35"/>
      <c r="AD4132" s="35"/>
      <c r="AE4132" s="52" t="s">
        <v>1251</v>
      </c>
    </row>
    <row r="4133" spans="2:31" s="1" customFormat="1" ht="96.3" customHeight="1" outlineLevel="7">
      <c r="B4133" s="59">
        <v>3291</v>
      </c>
      <c r="C4133" s="35" t="s">
        <v>14592</v>
      </c>
      <c r="D4133" s="73" t="s">
        <v>14593</v>
      </c>
      <c r="E4133" s="73"/>
      <c r="F4133" s="73"/>
      <c r="G4133" s="73"/>
      <c r="H4133" s="36" t="s">
        <v>14594</v>
      </c>
      <c r="I4133" s="56" t="s">
        <v>36</v>
      </c>
      <c r="J4133" s="36"/>
      <c r="K4133" s="34">
        <v>12</v>
      </c>
      <c r="L4133" s="41">
        <v>53.586666666666666</v>
      </c>
      <c r="M4133" s="11"/>
      <c r="N4133" s="36">
        <f t="shared" si="205"/>
        <v>0</v>
      </c>
      <c r="O4133" s="42">
        <f>0.052*M4133</f>
        <v>0</v>
      </c>
      <c r="P4133" s="43">
        <f>0.00037*M4133</f>
        <v>0</v>
      </c>
      <c r="Q4133" s="50"/>
      <c r="R4133" s="36" t="s">
        <v>14595</v>
      </c>
      <c r="S4133" s="36"/>
      <c r="T4133" s="35" t="str">
        <f>HYPERLINK("https://miland.ru/api/getInfo/image/47bc9819-55b4-11f0-a27e-00155d82e908")</f>
        <v>https://miland.ru/api/getInfo/image/47bc9819-55b4-11f0-a27e-00155d82e908</v>
      </c>
      <c r="U4133" s="35"/>
      <c r="V4133" s="35" t="s">
        <v>6525</v>
      </c>
      <c r="W4133" s="35" t="s">
        <v>378</v>
      </c>
      <c r="X4133" s="35"/>
      <c r="Y4133" s="35" t="s">
        <v>41</v>
      </c>
      <c r="Z4133" s="35"/>
      <c r="AA4133" s="35" t="str">
        <f>HYPERLINK("https://miland.ru/api/getInfo/item/47bc9819-55b4-11f0-a27e-00155d82e908")</f>
        <v>https://miland.ru/api/getInfo/item/47bc9819-55b4-11f0-a27e-00155d82e908</v>
      </c>
      <c r="AB4133" s="35" t="s">
        <v>42</v>
      </c>
      <c r="AC4133" s="35"/>
      <c r="AD4133" s="35"/>
      <c r="AE4133" s="52" t="s">
        <v>1251</v>
      </c>
    </row>
    <row r="4134" spans="2:31" s="1" customFormat="1" ht="96.3" customHeight="1" outlineLevel="7">
      <c r="B4134" s="59">
        <v>3292</v>
      </c>
      <c r="C4134" s="35" t="s">
        <v>14596</v>
      </c>
      <c r="D4134" s="73" t="s">
        <v>14597</v>
      </c>
      <c r="E4134" s="73"/>
      <c r="F4134" s="73"/>
      <c r="G4134" s="73"/>
      <c r="H4134" s="36" t="s">
        <v>14598</v>
      </c>
      <c r="I4134" s="56" t="s">
        <v>36</v>
      </c>
      <c r="J4134" s="36"/>
      <c r="K4134" s="34">
        <v>12</v>
      </c>
      <c r="L4134" s="41">
        <v>53.586666666666666</v>
      </c>
      <c r="M4134" s="11"/>
      <c r="N4134" s="36">
        <f t="shared" si="205"/>
        <v>0</v>
      </c>
      <c r="O4134" s="42">
        <f>0.052*M4134</f>
        <v>0</v>
      </c>
      <c r="P4134" s="43">
        <f>0.00046*M4134</f>
        <v>0</v>
      </c>
      <c r="Q4134" s="50"/>
      <c r="R4134" s="36" t="s">
        <v>14599</v>
      </c>
      <c r="S4134" s="36"/>
      <c r="T4134" s="35" t="str">
        <f>HYPERLINK("https://miland.ru/api/getInfo/image/fed5af9d-563e-11f0-a27f-00155d82e908")</f>
        <v>https://miland.ru/api/getInfo/image/fed5af9d-563e-11f0-a27f-00155d82e908</v>
      </c>
      <c r="U4134" s="35"/>
      <c r="V4134" s="35" t="s">
        <v>6525</v>
      </c>
      <c r="W4134" s="35" t="s">
        <v>378</v>
      </c>
      <c r="X4134" s="35"/>
      <c r="Y4134" s="35" t="s">
        <v>41</v>
      </c>
      <c r="Z4134" s="35"/>
      <c r="AA4134" s="35" t="str">
        <f>HYPERLINK("https://miland.ru/api/getInfo/item/fed5af9d-563e-11f0-a27f-00155d82e908")</f>
        <v>https://miland.ru/api/getInfo/item/fed5af9d-563e-11f0-a27f-00155d82e908</v>
      </c>
      <c r="AB4134" s="35" t="s">
        <v>42</v>
      </c>
      <c r="AC4134" s="35"/>
      <c r="AD4134" s="35"/>
      <c r="AE4134" s="52" t="s">
        <v>1251</v>
      </c>
    </row>
    <row r="4135" spans="2:31" s="1" customFormat="1" ht="96.3" customHeight="1" outlineLevel="7">
      <c r="B4135" s="59">
        <v>3293</v>
      </c>
      <c r="C4135" s="35" t="s">
        <v>14600</v>
      </c>
      <c r="D4135" s="73" t="s">
        <v>14601</v>
      </c>
      <c r="E4135" s="73"/>
      <c r="F4135" s="73"/>
      <c r="G4135" s="73"/>
      <c r="H4135" s="36" t="s">
        <v>14602</v>
      </c>
      <c r="I4135" s="56" t="s">
        <v>36</v>
      </c>
      <c r="J4135" s="36"/>
      <c r="K4135" s="34">
        <v>12</v>
      </c>
      <c r="L4135" s="41">
        <v>53.586666666666666</v>
      </c>
      <c r="M4135" s="11"/>
      <c r="N4135" s="36">
        <f t="shared" si="205"/>
        <v>0</v>
      </c>
      <c r="O4135" s="42">
        <f>0.055*M4135</f>
        <v>0</v>
      </c>
      <c r="P4135" s="43">
        <f>0.00037*M4135</f>
        <v>0</v>
      </c>
      <c r="Q4135" s="50"/>
      <c r="R4135" s="36" t="s">
        <v>14603</v>
      </c>
      <c r="S4135" s="36"/>
      <c r="T4135" s="35" t="str">
        <f>HYPERLINK("https://miland.ru/api/getInfo/image/f2aca5e8-55b7-11f0-a27e-00155d82e908")</f>
        <v>https://miland.ru/api/getInfo/image/f2aca5e8-55b7-11f0-a27e-00155d82e908</v>
      </c>
      <c r="U4135" s="35"/>
      <c r="V4135" s="35" t="s">
        <v>6525</v>
      </c>
      <c r="W4135" s="35" t="s">
        <v>378</v>
      </c>
      <c r="X4135" s="35"/>
      <c r="Y4135" s="35" t="s">
        <v>41</v>
      </c>
      <c r="Z4135" s="35"/>
      <c r="AA4135" s="35" t="str">
        <f>HYPERLINK("https://miland.ru/api/getInfo/item/f2aca5e8-55b7-11f0-a27e-00155d82e908")</f>
        <v>https://miland.ru/api/getInfo/item/f2aca5e8-55b7-11f0-a27e-00155d82e908</v>
      </c>
      <c r="AB4135" s="35" t="s">
        <v>42</v>
      </c>
      <c r="AC4135" s="35"/>
      <c r="AD4135" s="35"/>
      <c r="AE4135" s="52" t="s">
        <v>1251</v>
      </c>
    </row>
    <row r="4136" spans="2:31" s="1" customFormat="1" ht="96.3" customHeight="1" outlineLevel="7">
      <c r="B4136" s="59">
        <v>3294</v>
      </c>
      <c r="C4136" s="35" t="s">
        <v>14604</v>
      </c>
      <c r="D4136" s="73" t="s">
        <v>14605</v>
      </c>
      <c r="E4136" s="73"/>
      <c r="F4136" s="73"/>
      <c r="G4136" s="73"/>
      <c r="H4136" s="36" t="s">
        <v>14606</v>
      </c>
      <c r="I4136" s="56" t="s">
        <v>36</v>
      </c>
      <c r="J4136" s="36"/>
      <c r="K4136" s="34">
        <v>12</v>
      </c>
      <c r="L4136" s="41">
        <v>53.586666666666666</v>
      </c>
      <c r="M4136" s="11"/>
      <c r="N4136" s="36">
        <f t="shared" si="205"/>
        <v>0</v>
      </c>
      <c r="O4136" s="42">
        <f>0.052*M4136</f>
        <v>0</v>
      </c>
      <c r="P4136" s="43">
        <f>0.00069*M4136</f>
        <v>0</v>
      </c>
      <c r="Q4136" s="50"/>
      <c r="R4136" s="36" t="s">
        <v>14607</v>
      </c>
      <c r="S4136" s="36"/>
      <c r="T4136" s="35" t="str">
        <f>HYPERLINK("https://miland.ru/api/getInfo/image/d0eea46b-55ab-11f0-a27e-00155d82e908")</f>
        <v>https://miland.ru/api/getInfo/image/d0eea46b-55ab-11f0-a27e-00155d82e908</v>
      </c>
      <c r="U4136" s="35"/>
      <c r="V4136" s="35" t="s">
        <v>6525</v>
      </c>
      <c r="W4136" s="35" t="s">
        <v>378</v>
      </c>
      <c r="X4136" s="35"/>
      <c r="Y4136" s="35" t="s">
        <v>41</v>
      </c>
      <c r="Z4136" s="35"/>
      <c r="AA4136" s="35" t="str">
        <f>HYPERLINK("https://miland.ru/api/getInfo/item/d0eea46b-55ab-11f0-a27e-00155d82e908")</f>
        <v>https://miland.ru/api/getInfo/item/d0eea46b-55ab-11f0-a27e-00155d82e908</v>
      </c>
      <c r="AB4136" s="35" t="s">
        <v>42</v>
      </c>
      <c r="AC4136" s="35"/>
      <c r="AD4136" s="35"/>
      <c r="AE4136" s="52" t="s">
        <v>1251</v>
      </c>
    </row>
    <row r="4137" spans="2:31" s="1" customFormat="1" ht="96.3" customHeight="1" outlineLevel="7">
      <c r="B4137" s="59">
        <v>3295</v>
      </c>
      <c r="C4137" s="35" t="s">
        <v>14608</v>
      </c>
      <c r="D4137" s="73" t="s">
        <v>14609</v>
      </c>
      <c r="E4137" s="73"/>
      <c r="F4137" s="73"/>
      <c r="G4137" s="73"/>
      <c r="H4137" s="36" t="s">
        <v>14610</v>
      </c>
      <c r="I4137" s="56" t="s">
        <v>36</v>
      </c>
      <c r="J4137" s="36"/>
      <c r="K4137" s="34">
        <v>12</v>
      </c>
      <c r="L4137" s="41">
        <v>53.586666666666666</v>
      </c>
      <c r="M4137" s="11"/>
      <c r="N4137" s="36">
        <f t="shared" si="205"/>
        <v>0</v>
      </c>
      <c r="O4137" s="42">
        <f>0.051*M4137</f>
        <v>0</v>
      </c>
      <c r="P4137" s="43">
        <f>0.00037*M4137</f>
        <v>0</v>
      </c>
      <c r="Q4137" s="50"/>
      <c r="R4137" s="36" t="s">
        <v>14611</v>
      </c>
      <c r="S4137" s="36"/>
      <c r="T4137" s="35" t="str">
        <f>HYPERLINK("https://miland.ru/api/getInfo/image/5c7dccea-55aa-11f0-a27e-00155d82e908")</f>
        <v>https://miland.ru/api/getInfo/image/5c7dccea-55aa-11f0-a27e-00155d82e908</v>
      </c>
      <c r="U4137" s="35"/>
      <c r="V4137" s="35" t="s">
        <v>6525</v>
      </c>
      <c r="W4137" s="35" t="s">
        <v>378</v>
      </c>
      <c r="X4137" s="35"/>
      <c r="Y4137" s="35" t="s">
        <v>41</v>
      </c>
      <c r="Z4137" s="35"/>
      <c r="AA4137" s="35" t="str">
        <f>HYPERLINK("https://miland.ru/api/getInfo/item/5c7dccea-55aa-11f0-a27e-00155d82e908")</f>
        <v>https://miland.ru/api/getInfo/item/5c7dccea-55aa-11f0-a27e-00155d82e908</v>
      </c>
      <c r="AB4137" s="35" t="s">
        <v>42</v>
      </c>
      <c r="AC4137" s="35"/>
      <c r="AD4137" s="35"/>
      <c r="AE4137" s="52" t="s">
        <v>1251</v>
      </c>
    </row>
    <row r="4138" spans="2:31" s="1" customFormat="1" ht="96.3" customHeight="1" outlineLevel="7">
      <c r="B4138" s="59">
        <v>3296</v>
      </c>
      <c r="C4138" s="35" t="s">
        <v>14612</v>
      </c>
      <c r="D4138" s="73" t="s">
        <v>14613</v>
      </c>
      <c r="E4138" s="73"/>
      <c r="F4138" s="73"/>
      <c r="G4138" s="73"/>
      <c r="H4138" s="36" t="s">
        <v>14614</v>
      </c>
      <c r="I4138" s="56" t="s">
        <v>36</v>
      </c>
      <c r="J4138" s="36"/>
      <c r="K4138" s="34">
        <v>12</v>
      </c>
      <c r="L4138" s="41">
        <v>53.586666666666666</v>
      </c>
      <c r="M4138" s="11"/>
      <c r="N4138" s="36">
        <f t="shared" si="205"/>
        <v>0</v>
      </c>
      <c r="O4138" s="42">
        <f>0.052*M4138</f>
        <v>0</v>
      </c>
      <c r="P4138" s="43">
        <f>0.00046*M4138</f>
        <v>0</v>
      </c>
      <c r="Q4138" s="50"/>
      <c r="R4138" s="36" t="s">
        <v>14615</v>
      </c>
      <c r="S4138" s="36"/>
      <c r="T4138" s="35" t="str">
        <f>HYPERLINK("https://miland.ru/api/getInfo/image/0c625702-563b-11f0-a27f-00155d82e908")</f>
        <v>https://miland.ru/api/getInfo/image/0c625702-563b-11f0-a27f-00155d82e908</v>
      </c>
      <c r="U4138" s="35"/>
      <c r="V4138" s="35" t="s">
        <v>6525</v>
      </c>
      <c r="W4138" s="35" t="s">
        <v>378</v>
      </c>
      <c r="X4138" s="35"/>
      <c r="Y4138" s="35" t="s">
        <v>41</v>
      </c>
      <c r="Z4138" s="35"/>
      <c r="AA4138" s="35" t="str">
        <f>HYPERLINK("https://miland.ru/api/getInfo/item/0c625702-563b-11f0-a27f-00155d82e908")</f>
        <v>https://miland.ru/api/getInfo/item/0c625702-563b-11f0-a27f-00155d82e908</v>
      </c>
      <c r="AB4138" s="35" t="s">
        <v>42</v>
      </c>
      <c r="AC4138" s="35"/>
      <c r="AD4138" s="35"/>
      <c r="AE4138" s="52" t="s">
        <v>1251</v>
      </c>
    </row>
    <row r="4139" spans="2:31" s="1" customFormat="1" ht="96.3" customHeight="1" outlineLevel="7">
      <c r="B4139" s="59">
        <v>3297</v>
      </c>
      <c r="C4139" s="35" t="s">
        <v>14616</v>
      </c>
      <c r="D4139" s="73" t="s">
        <v>14617</v>
      </c>
      <c r="E4139" s="73"/>
      <c r="F4139" s="73"/>
      <c r="G4139" s="73"/>
      <c r="H4139" s="36" t="s">
        <v>14618</v>
      </c>
      <c r="I4139" s="40">
        <v>180</v>
      </c>
      <c r="J4139" s="36"/>
      <c r="K4139" s="34">
        <v>12</v>
      </c>
      <c r="L4139" s="41">
        <v>53.586666666666666</v>
      </c>
      <c r="M4139" s="11"/>
      <c r="N4139" s="36">
        <f t="shared" si="205"/>
        <v>0</v>
      </c>
      <c r="O4139" s="47">
        <f>0.05*M4139</f>
        <v>0</v>
      </c>
      <c r="P4139" s="43">
        <f>0.00046*M4139</f>
        <v>0</v>
      </c>
      <c r="Q4139" s="50"/>
      <c r="R4139" s="36" t="s">
        <v>14619</v>
      </c>
      <c r="S4139" s="36"/>
      <c r="T4139" s="35" t="str">
        <f>HYPERLINK("https://miland.ru/api/getInfo/image/c0c55ed2-563e-11f0-a27f-00155d82e908")</f>
        <v>https://miland.ru/api/getInfo/image/c0c55ed2-563e-11f0-a27f-00155d82e908</v>
      </c>
      <c r="U4139" s="35"/>
      <c r="V4139" s="35" t="s">
        <v>6525</v>
      </c>
      <c r="W4139" s="35" t="s">
        <v>378</v>
      </c>
      <c r="X4139" s="35"/>
      <c r="Y4139" s="35" t="s">
        <v>41</v>
      </c>
      <c r="Z4139" s="35"/>
      <c r="AA4139" s="35" t="str">
        <f>HYPERLINK("https://miland.ru/api/getInfo/item/c0c55ed2-563e-11f0-a27f-00155d82e908")</f>
        <v>https://miland.ru/api/getInfo/item/c0c55ed2-563e-11f0-a27f-00155d82e908</v>
      </c>
      <c r="AB4139" s="35" t="s">
        <v>42</v>
      </c>
      <c r="AC4139" s="35"/>
      <c r="AD4139" s="35"/>
      <c r="AE4139" s="52" t="s">
        <v>1251</v>
      </c>
    </row>
    <row r="4140" spans="2:31" s="1" customFormat="1" ht="96.3" customHeight="1" outlineLevel="7">
      <c r="B4140" s="59">
        <v>3298</v>
      </c>
      <c r="C4140" s="35" t="s">
        <v>14620</v>
      </c>
      <c r="D4140" s="73" t="s">
        <v>14621</v>
      </c>
      <c r="E4140" s="73"/>
      <c r="F4140" s="73"/>
      <c r="G4140" s="73"/>
      <c r="H4140" s="36" t="s">
        <v>14622</v>
      </c>
      <c r="I4140" s="56" t="s">
        <v>36</v>
      </c>
      <c r="J4140" s="36"/>
      <c r="K4140" s="34">
        <v>12</v>
      </c>
      <c r="L4140" s="41">
        <v>53.586666666666666</v>
      </c>
      <c r="M4140" s="11"/>
      <c r="N4140" s="36">
        <f t="shared" si="205"/>
        <v>0</v>
      </c>
      <c r="O4140" s="42">
        <f>0.051*M4140</f>
        <v>0</v>
      </c>
      <c r="P4140" s="43">
        <f>0.00037*M4140</f>
        <v>0</v>
      </c>
      <c r="Q4140" s="50"/>
      <c r="R4140" s="36" t="s">
        <v>14623</v>
      </c>
      <c r="S4140" s="36"/>
      <c r="T4140" s="35" t="str">
        <f>HYPERLINK("https://miland.ru/api/getInfo/image/293b12ad-55b2-11f0-a27e-00155d82e908")</f>
        <v>https://miland.ru/api/getInfo/image/293b12ad-55b2-11f0-a27e-00155d82e908</v>
      </c>
      <c r="U4140" s="35"/>
      <c r="V4140" s="35" t="s">
        <v>6525</v>
      </c>
      <c r="W4140" s="35" t="s">
        <v>378</v>
      </c>
      <c r="X4140" s="35"/>
      <c r="Y4140" s="35" t="s">
        <v>41</v>
      </c>
      <c r="Z4140" s="35"/>
      <c r="AA4140" s="35" t="str">
        <f>HYPERLINK("https://miland.ru/api/getInfo/item/293b12ad-55b2-11f0-a27e-00155d82e908")</f>
        <v>https://miland.ru/api/getInfo/item/293b12ad-55b2-11f0-a27e-00155d82e908</v>
      </c>
      <c r="AB4140" s="35" t="s">
        <v>42</v>
      </c>
      <c r="AC4140" s="35"/>
      <c r="AD4140" s="35"/>
      <c r="AE4140" s="52" t="s">
        <v>1251</v>
      </c>
    </row>
    <row r="4141" spans="2:31" s="1" customFormat="1" ht="96.3" customHeight="1" outlineLevel="7">
      <c r="B4141" s="59">
        <v>3299</v>
      </c>
      <c r="C4141" s="35" t="s">
        <v>14624</v>
      </c>
      <c r="D4141" s="73" t="s">
        <v>14625</v>
      </c>
      <c r="E4141" s="73"/>
      <c r="F4141" s="73"/>
      <c r="G4141" s="73"/>
      <c r="H4141" s="36" t="s">
        <v>14626</v>
      </c>
      <c r="I4141" s="56" t="s">
        <v>36</v>
      </c>
      <c r="J4141" s="36"/>
      <c r="K4141" s="34">
        <v>12</v>
      </c>
      <c r="L4141" s="41">
        <v>53.586666666666666</v>
      </c>
      <c r="M4141" s="11"/>
      <c r="N4141" s="36">
        <f t="shared" si="205"/>
        <v>0</v>
      </c>
      <c r="O4141" s="42">
        <f>0.051*M4141</f>
        <v>0</v>
      </c>
      <c r="P4141" s="43">
        <f>0.00046*M4141</f>
        <v>0</v>
      </c>
      <c r="Q4141" s="50"/>
      <c r="R4141" s="36" t="s">
        <v>14627</v>
      </c>
      <c r="S4141" s="36"/>
      <c r="T4141" s="35" t="str">
        <f>HYPERLINK("https://miland.ru/api/getInfo/image/7c345dbe-55b3-11f0-a27e-00155d82e908")</f>
        <v>https://miland.ru/api/getInfo/image/7c345dbe-55b3-11f0-a27e-00155d82e908</v>
      </c>
      <c r="U4141" s="35"/>
      <c r="V4141" s="35" t="s">
        <v>6525</v>
      </c>
      <c r="W4141" s="35" t="s">
        <v>378</v>
      </c>
      <c r="X4141" s="35"/>
      <c r="Y4141" s="35" t="s">
        <v>41</v>
      </c>
      <c r="Z4141" s="35"/>
      <c r="AA4141" s="35" t="str">
        <f>HYPERLINK("https://miland.ru/api/getInfo/item/7c345dbe-55b3-11f0-a27e-00155d82e908")</f>
        <v>https://miland.ru/api/getInfo/item/7c345dbe-55b3-11f0-a27e-00155d82e908</v>
      </c>
      <c r="AB4141" s="35" t="s">
        <v>42</v>
      </c>
      <c r="AC4141" s="35"/>
      <c r="AD4141" s="35"/>
      <c r="AE4141" s="52" t="s">
        <v>1251</v>
      </c>
    </row>
    <row r="4142" spans="2:31" s="1" customFormat="1" ht="96.3" customHeight="1" outlineLevel="7">
      <c r="B4142" s="59">
        <v>3300</v>
      </c>
      <c r="C4142" s="35" t="s">
        <v>14628</v>
      </c>
      <c r="D4142" s="73" t="s">
        <v>14629</v>
      </c>
      <c r="E4142" s="73"/>
      <c r="F4142" s="73"/>
      <c r="G4142" s="73"/>
      <c r="H4142" s="36" t="s">
        <v>14630</v>
      </c>
      <c r="I4142" s="56" t="s">
        <v>36</v>
      </c>
      <c r="J4142" s="36"/>
      <c r="K4142" s="34">
        <v>12</v>
      </c>
      <c r="L4142" s="41">
        <v>53.586666666666666</v>
      </c>
      <c r="M4142" s="11"/>
      <c r="N4142" s="36">
        <f t="shared" si="205"/>
        <v>0</v>
      </c>
      <c r="O4142" s="42">
        <f>0.051*M4142</f>
        <v>0</v>
      </c>
      <c r="P4142" s="43">
        <f>0.00037*M4142</f>
        <v>0</v>
      </c>
      <c r="Q4142" s="50"/>
      <c r="R4142" s="36" t="s">
        <v>14631</v>
      </c>
      <c r="S4142" s="36"/>
      <c r="T4142" s="35" t="str">
        <f>HYPERLINK("https://miland.ru/api/getInfo/image/6d569ad3-563c-11f0-a27f-00155d82e908")</f>
        <v>https://miland.ru/api/getInfo/image/6d569ad3-563c-11f0-a27f-00155d82e908</v>
      </c>
      <c r="U4142" s="35"/>
      <c r="V4142" s="35" t="s">
        <v>6525</v>
      </c>
      <c r="W4142" s="35" t="s">
        <v>378</v>
      </c>
      <c r="X4142" s="35"/>
      <c r="Y4142" s="35" t="s">
        <v>41</v>
      </c>
      <c r="Z4142" s="35"/>
      <c r="AA4142" s="35" t="str">
        <f>HYPERLINK("https://miland.ru/api/getInfo/item/6d569ad3-563c-11f0-a27f-00155d82e908")</f>
        <v>https://miland.ru/api/getInfo/item/6d569ad3-563c-11f0-a27f-00155d82e908</v>
      </c>
      <c r="AB4142" s="35" t="s">
        <v>42</v>
      </c>
      <c r="AC4142" s="35"/>
      <c r="AD4142" s="35"/>
      <c r="AE4142" s="52" t="s">
        <v>1251</v>
      </c>
    </row>
    <row r="4143" spans="2:31" s="1" customFormat="1" ht="96.3" customHeight="1" outlineLevel="7">
      <c r="B4143" s="59">
        <v>3301</v>
      </c>
      <c r="C4143" s="35" t="s">
        <v>14632</v>
      </c>
      <c r="D4143" s="73" t="s">
        <v>14633</v>
      </c>
      <c r="E4143" s="73"/>
      <c r="F4143" s="73"/>
      <c r="G4143" s="73"/>
      <c r="H4143" s="36" t="s">
        <v>14634</v>
      </c>
      <c r="I4143" s="56" t="s">
        <v>36</v>
      </c>
      <c r="J4143" s="36"/>
      <c r="K4143" s="34">
        <v>12</v>
      </c>
      <c r="L4143" s="41">
        <v>53.586666666666666</v>
      </c>
      <c r="M4143" s="11"/>
      <c r="N4143" s="36">
        <f t="shared" si="205"/>
        <v>0</v>
      </c>
      <c r="O4143" s="42">
        <f>0.055*M4143</f>
        <v>0</v>
      </c>
      <c r="P4143" s="43">
        <f>0.00046*M4143</f>
        <v>0</v>
      </c>
      <c r="Q4143" s="50"/>
      <c r="R4143" s="36" t="s">
        <v>14635</v>
      </c>
      <c r="S4143" s="36"/>
      <c r="T4143" s="35" t="str">
        <f>HYPERLINK("https://miland.ru/api/getInfo/image/e68818be-55b3-11f0-a27e-00155d82e908")</f>
        <v>https://miland.ru/api/getInfo/image/e68818be-55b3-11f0-a27e-00155d82e908</v>
      </c>
      <c r="U4143" s="35"/>
      <c r="V4143" s="35" t="s">
        <v>6525</v>
      </c>
      <c r="W4143" s="35" t="s">
        <v>378</v>
      </c>
      <c r="X4143" s="35"/>
      <c r="Y4143" s="35" t="s">
        <v>41</v>
      </c>
      <c r="Z4143" s="35"/>
      <c r="AA4143" s="35" t="str">
        <f>HYPERLINK("https://miland.ru/api/getInfo/item/e68818be-55b3-11f0-a27e-00155d82e908")</f>
        <v>https://miland.ru/api/getInfo/item/e68818be-55b3-11f0-a27e-00155d82e908</v>
      </c>
      <c r="AB4143" s="35" t="s">
        <v>42</v>
      </c>
      <c r="AC4143" s="35"/>
      <c r="AD4143" s="35"/>
      <c r="AE4143" s="52" t="s">
        <v>1251</v>
      </c>
    </row>
    <row r="4144" spans="2:31" s="1" customFormat="1" ht="96.3" customHeight="1" outlineLevel="7">
      <c r="B4144" s="59">
        <v>3302</v>
      </c>
      <c r="C4144" s="35" t="s">
        <v>14636</v>
      </c>
      <c r="D4144" s="73" t="s">
        <v>14637</v>
      </c>
      <c r="E4144" s="73"/>
      <c r="F4144" s="73"/>
      <c r="G4144" s="73"/>
      <c r="H4144" s="36" t="s">
        <v>14638</v>
      </c>
      <c r="I4144" s="56" t="s">
        <v>36</v>
      </c>
      <c r="J4144" s="36"/>
      <c r="K4144" s="34">
        <v>12</v>
      </c>
      <c r="L4144" s="41">
        <v>53.586666666666666</v>
      </c>
      <c r="M4144" s="11"/>
      <c r="N4144" s="36">
        <f t="shared" si="205"/>
        <v>0</v>
      </c>
      <c r="O4144" s="42">
        <f>0.054*M4144</f>
        <v>0</v>
      </c>
      <c r="P4144" s="43">
        <f>0.00041*M4144</f>
        <v>0</v>
      </c>
      <c r="Q4144" s="50"/>
      <c r="R4144" s="36" t="s">
        <v>14639</v>
      </c>
      <c r="S4144" s="36"/>
      <c r="T4144" s="35" t="str">
        <f>HYPERLINK("https://miland.ru/api/getInfo/image/e82882ad-55b4-11f0-a27e-00155d82e908")</f>
        <v>https://miland.ru/api/getInfo/image/e82882ad-55b4-11f0-a27e-00155d82e908</v>
      </c>
      <c r="U4144" s="35"/>
      <c r="V4144" s="35" t="s">
        <v>6525</v>
      </c>
      <c r="W4144" s="35" t="s">
        <v>378</v>
      </c>
      <c r="X4144" s="35"/>
      <c r="Y4144" s="35" t="s">
        <v>41</v>
      </c>
      <c r="Z4144" s="35"/>
      <c r="AA4144" s="35" t="str">
        <f>HYPERLINK("https://miland.ru/api/getInfo/item/e82882ad-55b4-11f0-a27e-00155d82e908")</f>
        <v>https://miland.ru/api/getInfo/item/e82882ad-55b4-11f0-a27e-00155d82e908</v>
      </c>
      <c r="AB4144" s="35" t="s">
        <v>42</v>
      </c>
      <c r="AC4144" s="35"/>
      <c r="AD4144" s="35"/>
      <c r="AE4144" s="52" t="s">
        <v>1251</v>
      </c>
    </row>
    <row r="4145" spans="2:31" s="1" customFormat="1" ht="96.3" customHeight="1" outlineLevel="7">
      <c r="B4145" s="59">
        <v>3303</v>
      </c>
      <c r="C4145" s="35" t="s">
        <v>14640</v>
      </c>
      <c r="D4145" s="73" t="s">
        <v>14641</v>
      </c>
      <c r="E4145" s="73"/>
      <c r="F4145" s="73"/>
      <c r="G4145" s="73"/>
      <c r="H4145" s="36" t="s">
        <v>14642</v>
      </c>
      <c r="I4145" s="40">
        <v>204</v>
      </c>
      <c r="J4145" s="36"/>
      <c r="K4145" s="34">
        <v>12</v>
      </c>
      <c r="L4145" s="41">
        <v>53.586666666666666</v>
      </c>
      <c r="M4145" s="11"/>
      <c r="N4145" s="36">
        <f t="shared" si="205"/>
        <v>0</v>
      </c>
      <c r="O4145" s="42">
        <f>0.051*M4145</f>
        <v>0</v>
      </c>
      <c r="P4145" s="43">
        <f>0.00037*M4145</f>
        <v>0</v>
      </c>
      <c r="Q4145" s="50"/>
      <c r="R4145" s="36" t="s">
        <v>14643</v>
      </c>
      <c r="S4145" s="36"/>
      <c r="T4145" s="35" t="str">
        <f>HYPERLINK("https://miland.ru/api/getInfo/image/7788d6ee-55b0-11f0-a27e-00155d82e908")</f>
        <v>https://miland.ru/api/getInfo/image/7788d6ee-55b0-11f0-a27e-00155d82e908</v>
      </c>
      <c r="U4145" s="35"/>
      <c r="V4145" s="35" t="s">
        <v>6525</v>
      </c>
      <c r="W4145" s="35" t="s">
        <v>378</v>
      </c>
      <c r="X4145" s="35"/>
      <c r="Y4145" s="35" t="s">
        <v>41</v>
      </c>
      <c r="Z4145" s="35"/>
      <c r="AA4145" s="35" t="str">
        <f>HYPERLINK("https://miland.ru/api/getInfo/item/7788d6ee-55b0-11f0-a27e-00155d82e908")</f>
        <v>https://miland.ru/api/getInfo/item/7788d6ee-55b0-11f0-a27e-00155d82e908</v>
      </c>
      <c r="AB4145" s="35" t="s">
        <v>42</v>
      </c>
      <c r="AC4145" s="35"/>
      <c r="AD4145" s="35"/>
      <c r="AE4145" s="52" t="s">
        <v>1251</v>
      </c>
    </row>
    <row r="4146" spans="2:31" s="1" customFormat="1" ht="96.3" customHeight="1" outlineLevel="7">
      <c r="B4146" s="59">
        <v>3304</v>
      </c>
      <c r="C4146" s="35" t="s">
        <v>14644</v>
      </c>
      <c r="D4146" s="73" t="s">
        <v>14645</v>
      </c>
      <c r="E4146" s="73"/>
      <c r="F4146" s="73"/>
      <c r="G4146" s="73"/>
      <c r="H4146" s="36" t="s">
        <v>14646</v>
      </c>
      <c r="I4146" s="56" t="s">
        <v>36</v>
      </c>
      <c r="J4146" s="36"/>
      <c r="K4146" s="34">
        <v>12</v>
      </c>
      <c r="L4146" s="41">
        <v>53.586666666666666</v>
      </c>
      <c r="M4146" s="11"/>
      <c r="N4146" s="36">
        <f t="shared" si="205"/>
        <v>0</v>
      </c>
      <c r="O4146" s="47">
        <f>0.05*M4146</f>
        <v>0</v>
      </c>
      <c r="P4146" s="43">
        <f>0.00044*M4146</f>
        <v>0</v>
      </c>
      <c r="Q4146" s="50"/>
      <c r="R4146" s="36" t="s">
        <v>14647</v>
      </c>
      <c r="S4146" s="36"/>
      <c r="T4146" s="35" t="str">
        <f>HYPERLINK("https://miland.ru/api/getInfo/image/24dc1b62-563c-11f0-a27f-00155d82e908")</f>
        <v>https://miland.ru/api/getInfo/image/24dc1b62-563c-11f0-a27f-00155d82e908</v>
      </c>
      <c r="U4146" s="35"/>
      <c r="V4146" s="35" t="s">
        <v>6525</v>
      </c>
      <c r="W4146" s="35" t="s">
        <v>378</v>
      </c>
      <c r="X4146" s="35"/>
      <c r="Y4146" s="35" t="s">
        <v>41</v>
      </c>
      <c r="Z4146" s="35"/>
      <c r="AA4146" s="35" t="str">
        <f>HYPERLINK("https://miland.ru/api/getInfo/item/24dc1b62-563c-11f0-a27f-00155d82e908")</f>
        <v>https://miland.ru/api/getInfo/item/24dc1b62-563c-11f0-a27f-00155d82e908</v>
      </c>
      <c r="AB4146" s="35" t="s">
        <v>42</v>
      </c>
      <c r="AC4146" s="35"/>
      <c r="AD4146" s="35"/>
      <c r="AE4146" s="52" t="s">
        <v>1251</v>
      </c>
    </row>
    <row r="4147" spans="2:31" s="1" customFormat="1" ht="96.3" customHeight="1" outlineLevel="7">
      <c r="B4147" s="59">
        <v>3305</v>
      </c>
      <c r="C4147" s="35" t="s">
        <v>14648</v>
      </c>
      <c r="D4147" s="73" t="s">
        <v>14649</v>
      </c>
      <c r="E4147" s="73"/>
      <c r="F4147" s="73"/>
      <c r="G4147" s="73"/>
      <c r="H4147" s="36" t="s">
        <v>14650</v>
      </c>
      <c r="I4147" s="56" t="s">
        <v>36</v>
      </c>
      <c r="J4147" s="36"/>
      <c r="K4147" s="34">
        <v>12</v>
      </c>
      <c r="L4147" s="41">
        <v>53.586666666666666</v>
      </c>
      <c r="M4147" s="11"/>
      <c r="N4147" s="36">
        <f t="shared" si="205"/>
        <v>0</v>
      </c>
      <c r="O4147" s="42">
        <f>0.054*M4147</f>
        <v>0</v>
      </c>
      <c r="P4147" s="43">
        <f>0.00028*M4147</f>
        <v>0</v>
      </c>
      <c r="Q4147" s="50"/>
      <c r="R4147" s="36" t="s">
        <v>14651</v>
      </c>
      <c r="S4147" s="36"/>
      <c r="T4147" s="35" t="str">
        <f>HYPERLINK("https://miland.ru/api/getInfo/image/3579a909-563f-11f0-a27f-00155d82e908")</f>
        <v>https://miland.ru/api/getInfo/image/3579a909-563f-11f0-a27f-00155d82e908</v>
      </c>
      <c r="U4147" s="35"/>
      <c r="V4147" s="35" t="s">
        <v>6525</v>
      </c>
      <c r="W4147" s="35" t="s">
        <v>378</v>
      </c>
      <c r="X4147" s="35"/>
      <c r="Y4147" s="35" t="s">
        <v>41</v>
      </c>
      <c r="Z4147" s="35"/>
      <c r="AA4147" s="35" t="str">
        <f>HYPERLINK("https://miland.ru/api/getInfo/item/3579a909-563f-11f0-a27f-00155d82e908")</f>
        <v>https://miland.ru/api/getInfo/item/3579a909-563f-11f0-a27f-00155d82e908</v>
      </c>
      <c r="AB4147" s="35" t="s">
        <v>42</v>
      </c>
      <c r="AC4147" s="35"/>
      <c r="AD4147" s="35"/>
      <c r="AE4147" s="52" t="s">
        <v>1251</v>
      </c>
    </row>
    <row r="4148" spans="2:31" s="1" customFormat="1" ht="96.3" customHeight="1" outlineLevel="7">
      <c r="B4148" s="59">
        <v>3306</v>
      </c>
      <c r="C4148" s="35" t="s">
        <v>14652</v>
      </c>
      <c r="D4148" s="73" t="s">
        <v>14653</v>
      </c>
      <c r="E4148" s="73"/>
      <c r="F4148" s="73"/>
      <c r="G4148" s="73"/>
      <c r="H4148" s="36" t="s">
        <v>14654</v>
      </c>
      <c r="I4148" s="56" t="s">
        <v>36</v>
      </c>
      <c r="J4148" s="36"/>
      <c r="K4148" s="34">
        <v>12</v>
      </c>
      <c r="L4148" s="41">
        <v>53.586666666666666</v>
      </c>
      <c r="M4148" s="11"/>
      <c r="N4148" s="36">
        <f t="shared" si="205"/>
        <v>0</v>
      </c>
      <c r="O4148" s="42">
        <f>0.053*M4148</f>
        <v>0</v>
      </c>
      <c r="P4148" s="43">
        <f>0.00069*M4148</f>
        <v>0</v>
      </c>
      <c r="Q4148" s="50"/>
      <c r="R4148" s="36" t="s">
        <v>14655</v>
      </c>
      <c r="S4148" s="36"/>
      <c r="T4148" s="35" t="str">
        <f>HYPERLINK("https://miland.ru/api/getInfo/image/666459ac-55ae-11f0-a27e-00155d82e908")</f>
        <v>https://miland.ru/api/getInfo/image/666459ac-55ae-11f0-a27e-00155d82e908</v>
      </c>
      <c r="U4148" s="35"/>
      <c r="V4148" s="35" t="s">
        <v>6525</v>
      </c>
      <c r="W4148" s="35" t="s">
        <v>378</v>
      </c>
      <c r="X4148" s="35"/>
      <c r="Y4148" s="35" t="s">
        <v>41</v>
      </c>
      <c r="Z4148" s="35"/>
      <c r="AA4148" s="35" t="str">
        <f>HYPERLINK("https://miland.ru/api/getInfo/item/666459ac-55ae-11f0-a27e-00155d82e908")</f>
        <v>https://miland.ru/api/getInfo/item/666459ac-55ae-11f0-a27e-00155d82e908</v>
      </c>
      <c r="AB4148" s="35" t="s">
        <v>42</v>
      </c>
      <c r="AC4148" s="35"/>
      <c r="AD4148" s="35"/>
      <c r="AE4148" s="52" t="s">
        <v>1251</v>
      </c>
    </row>
    <row r="4149" spans="2:31" s="1" customFormat="1" ht="96.3" customHeight="1" outlineLevel="7">
      <c r="B4149" s="59">
        <v>3307</v>
      </c>
      <c r="C4149" s="35" t="s">
        <v>14656</v>
      </c>
      <c r="D4149" s="73" t="s">
        <v>14657</v>
      </c>
      <c r="E4149" s="73"/>
      <c r="F4149" s="73"/>
      <c r="G4149" s="73"/>
      <c r="H4149" s="36" t="s">
        <v>14658</v>
      </c>
      <c r="I4149" s="56" t="s">
        <v>36</v>
      </c>
      <c r="J4149" s="36"/>
      <c r="K4149" s="34">
        <v>12</v>
      </c>
      <c r="L4149" s="41">
        <v>53.586666666666666</v>
      </c>
      <c r="M4149" s="11"/>
      <c r="N4149" s="36">
        <f t="shared" si="205"/>
        <v>0</v>
      </c>
      <c r="O4149" s="47">
        <f>0.05*M4149</f>
        <v>0</v>
      </c>
      <c r="P4149" s="43">
        <f>0.00046*M4149</f>
        <v>0</v>
      </c>
      <c r="Q4149" s="50"/>
      <c r="R4149" s="36" t="s">
        <v>14659</v>
      </c>
      <c r="S4149" s="36"/>
      <c r="T4149" s="35" t="str">
        <f>HYPERLINK("https://miland.ru/api/getInfo/image/e8a132d7-55b9-11f0-a27e-00155d82e908")</f>
        <v>https://miland.ru/api/getInfo/image/e8a132d7-55b9-11f0-a27e-00155d82e908</v>
      </c>
      <c r="U4149" s="35"/>
      <c r="V4149" s="35" t="s">
        <v>6525</v>
      </c>
      <c r="W4149" s="35" t="s">
        <v>378</v>
      </c>
      <c r="X4149" s="35"/>
      <c r="Y4149" s="35" t="s">
        <v>41</v>
      </c>
      <c r="Z4149" s="35"/>
      <c r="AA4149" s="35" t="str">
        <f>HYPERLINK("https://miland.ru/api/getInfo/item/e8a132d7-55b9-11f0-a27e-00155d82e908")</f>
        <v>https://miland.ru/api/getInfo/item/e8a132d7-55b9-11f0-a27e-00155d82e908</v>
      </c>
      <c r="AB4149" s="35" t="s">
        <v>42</v>
      </c>
      <c r="AC4149" s="35"/>
      <c r="AD4149" s="35"/>
      <c r="AE4149" s="52" t="s">
        <v>1251</v>
      </c>
    </row>
    <row r="4150" spans="2:31" s="1" customFormat="1" ht="96.3" customHeight="1" outlineLevel="7">
      <c r="B4150" s="59">
        <v>3308</v>
      </c>
      <c r="C4150" s="35" t="s">
        <v>14660</v>
      </c>
      <c r="D4150" s="73" t="s">
        <v>14661</v>
      </c>
      <c r="E4150" s="73"/>
      <c r="F4150" s="73"/>
      <c r="G4150" s="73"/>
      <c r="H4150" s="36" t="s">
        <v>14662</v>
      </c>
      <c r="I4150" s="56" t="s">
        <v>36</v>
      </c>
      <c r="J4150" s="36"/>
      <c r="K4150" s="34">
        <v>12</v>
      </c>
      <c r="L4150" s="41">
        <v>53.586666666666666</v>
      </c>
      <c r="M4150" s="11"/>
      <c r="N4150" s="36">
        <f t="shared" si="205"/>
        <v>0</v>
      </c>
      <c r="O4150" s="42">
        <f>0.053*M4150</f>
        <v>0</v>
      </c>
      <c r="P4150" s="43">
        <f>0.00046*M4150</f>
        <v>0</v>
      </c>
      <c r="Q4150" s="50"/>
      <c r="R4150" s="36" t="s">
        <v>14663</v>
      </c>
      <c r="S4150" s="36"/>
      <c r="T4150" s="35" t="str">
        <f>HYPERLINK("https://miland.ru/api/getInfo/image/0574634b-563e-11f0-a27f-00155d82e908")</f>
        <v>https://miland.ru/api/getInfo/image/0574634b-563e-11f0-a27f-00155d82e908</v>
      </c>
      <c r="U4150" s="35"/>
      <c r="V4150" s="35" t="s">
        <v>6525</v>
      </c>
      <c r="W4150" s="35" t="s">
        <v>378</v>
      </c>
      <c r="X4150" s="35"/>
      <c r="Y4150" s="35" t="s">
        <v>41</v>
      </c>
      <c r="Z4150" s="35"/>
      <c r="AA4150" s="35" t="str">
        <f>HYPERLINK("https://miland.ru/api/getInfo/item/0574634b-563e-11f0-a27f-00155d82e908")</f>
        <v>https://miland.ru/api/getInfo/item/0574634b-563e-11f0-a27f-00155d82e908</v>
      </c>
      <c r="AB4150" s="35" t="s">
        <v>42</v>
      </c>
      <c r="AC4150" s="35"/>
      <c r="AD4150" s="35"/>
      <c r="AE4150" s="52" t="s">
        <v>1251</v>
      </c>
    </row>
    <row r="4151" spans="2:31" s="1" customFormat="1" ht="96.3" customHeight="1" outlineLevel="7">
      <c r="B4151" s="59">
        <v>3309</v>
      </c>
      <c r="C4151" s="35" t="s">
        <v>14664</v>
      </c>
      <c r="D4151" s="73" t="s">
        <v>14665</v>
      </c>
      <c r="E4151" s="73"/>
      <c r="F4151" s="73"/>
      <c r="G4151" s="73"/>
      <c r="H4151" s="36" t="s">
        <v>14666</v>
      </c>
      <c r="I4151" s="56" t="s">
        <v>36</v>
      </c>
      <c r="J4151" s="36"/>
      <c r="K4151" s="34">
        <v>12</v>
      </c>
      <c r="L4151" s="41">
        <v>53.586666666666666</v>
      </c>
      <c r="M4151" s="11"/>
      <c r="N4151" s="36">
        <f t="shared" si="205"/>
        <v>0</v>
      </c>
      <c r="O4151" s="47">
        <f>0.05*M4151</f>
        <v>0</v>
      </c>
      <c r="P4151" s="55">
        <f>0.0022*M4151</f>
        <v>0</v>
      </c>
      <c r="Q4151" s="50"/>
      <c r="R4151" s="36" t="s">
        <v>14667</v>
      </c>
      <c r="S4151" s="36"/>
      <c r="T4151" s="35" t="str">
        <f>HYPERLINK("https://miland.ru/api/getInfo/image/1515e390-55b0-11f0-a27e-00155d82e908")</f>
        <v>https://miland.ru/api/getInfo/image/1515e390-55b0-11f0-a27e-00155d82e908</v>
      </c>
      <c r="U4151" s="35"/>
      <c r="V4151" s="35" t="s">
        <v>6525</v>
      </c>
      <c r="W4151" s="35" t="s">
        <v>378</v>
      </c>
      <c r="X4151" s="35"/>
      <c r="Y4151" s="35" t="s">
        <v>41</v>
      </c>
      <c r="Z4151" s="35"/>
      <c r="AA4151" s="35" t="str">
        <f>HYPERLINK("https://miland.ru/api/getInfo/item/1515e390-55b0-11f0-a27e-00155d82e908")</f>
        <v>https://miland.ru/api/getInfo/item/1515e390-55b0-11f0-a27e-00155d82e908</v>
      </c>
      <c r="AB4151" s="35" t="s">
        <v>42</v>
      </c>
      <c r="AC4151" s="35"/>
      <c r="AD4151" s="35"/>
      <c r="AE4151" s="52" t="s">
        <v>1251</v>
      </c>
    </row>
    <row r="4152" spans="2:31" s="1" customFormat="1" ht="96.3" customHeight="1" outlineLevel="7">
      <c r="B4152" s="59">
        <v>3310</v>
      </c>
      <c r="C4152" s="35" t="s">
        <v>14668</v>
      </c>
      <c r="D4152" s="73" t="s">
        <v>14669</v>
      </c>
      <c r="E4152" s="73"/>
      <c r="F4152" s="73"/>
      <c r="G4152" s="73"/>
      <c r="H4152" s="36" t="s">
        <v>14670</v>
      </c>
      <c r="I4152" s="56" t="s">
        <v>36</v>
      </c>
      <c r="J4152" s="36"/>
      <c r="K4152" s="34">
        <v>12</v>
      </c>
      <c r="L4152" s="41">
        <v>53.586666666666666</v>
      </c>
      <c r="M4152" s="11"/>
      <c r="N4152" s="36">
        <f t="shared" si="205"/>
        <v>0</v>
      </c>
      <c r="O4152" s="42">
        <f>0.051*M4152</f>
        <v>0</v>
      </c>
      <c r="P4152" s="43">
        <f>0.00037*M4152</f>
        <v>0</v>
      </c>
      <c r="Q4152" s="50"/>
      <c r="R4152" s="36" t="s">
        <v>14671</v>
      </c>
      <c r="S4152" s="36"/>
      <c r="T4152" s="35" t="str">
        <f>HYPERLINK("https://miland.ru/api/getInfo/image/321b7516-55b7-11f0-a27e-00155d82e908")</f>
        <v>https://miland.ru/api/getInfo/image/321b7516-55b7-11f0-a27e-00155d82e908</v>
      </c>
      <c r="U4152" s="35"/>
      <c r="V4152" s="35" t="s">
        <v>6525</v>
      </c>
      <c r="W4152" s="35" t="s">
        <v>378</v>
      </c>
      <c r="X4152" s="35"/>
      <c r="Y4152" s="35" t="s">
        <v>41</v>
      </c>
      <c r="Z4152" s="35"/>
      <c r="AA4152" s="35" t="str">
        <f>HYPERLINK("https://miland.ru/api/getInfo/item/321b7516-55b7-11f0-a27e-00155d82e908")</f>
        <v>https://miland.ru/api/getInfo/item/321b7516-55b7-11f0-a27e-00155d82e908</v>
      </c>
      <c r="AB4152" s="35" t="s">
        <v>42</v>
      </c>
      <c r="AC4152" s="35"/>
      <c r="AD4152" s="35"/>
      <c r="AE4152" s="52" t="s">
        <v>1251</v>
      </c>
    </row>
    <row r="4153" spans="2:31" s="1" customFormat="1" ht="96.3" customHeight="1" outlineLevel="7">
      <c r="B4153" s="59">
        <v>3311</v>
      </c>
      <c r="C4153" s="35" t="s">
        <v>14672</v>
      </c>
      <c r="D4153" s="73" t="s">
        <v>14673</v>
      </c>
      <c r="E4153" s="73"/>
      <c r="F4153" s="73"/>
      <c r="G4153" s="73"/>
      <c r="H4153" s="36" t="s">
        <v>14674</v>
      </c>
      <c r="I4153" s="56" t="s">
        <v>36</v>
      </c>
      <c r="J4153" s="36"/>
      <c r="K4153" s="34">
        <v>12</v>
      </c>
      <c r="L4153" s="41">
        <v>53.586666666666666</v>
      </c>
      <c r="M4153" s="11"/>
      <c r="N4153" s="36">
        <f t="shared" si="205"/>
        <v>0</v>
      </c>
      <c r="O4153" s="42">
        <f>0.052*M4153</f>
        <v>0</v>
      </c>
      <c r="P4153" s="43">
        <f>0.00037*M4153</f>
        <v>0</v>
      </c>
      <c r="Q4153" s="50"/>
      <c r="R4153" s="36" t="s">
        <v>14675</v>
      </c>
      <c r="S4153" s="36"/>
      <c r="T4153" s="35" t="str">
        <f>HYPERLINK("https://miland.ru/api/getInfo/image/4697fce9-55ab-11f0-a27e-00155d82e908")</f>
        <v>https://miland.ru/api/getInfo/image/4697fce9-55ab-11f0-a27e-00155d82e908</v>
      </c>
      <c r="U4153" s="35"/>
      <c r="V4153" s="35" t="s">
        <v>6525</v>
      </c>
      <c r="W4153" s="35" t="s">
        <v>378</v>
      </c>
      <c r="X4153" s="35"/>
      <c r="Y4153" s="35" t="s">
        <v>41</v>
      </c>
      <c r="Z4153" s="35"/>
      <c r="AA4153" s="35" t="str">
        <f>HYPERLINK("https://miland.ru/api/getInfo/item/4697fce9-55ab-11f0-a27e-00155d82e908")</f>
        <v>https://miland.ru/api/getInfo/item/4697fce9-55ab-11f0-a27e-00155d82e908</v>
      </c>
      <c r="AB4153" s="35" t="s">
        <v>42</v>
      </c>
      <c r="AC4153" s="35"/>
      <c r="AD4153" s="35"/>
      <c r="AE4153" s="52" t="s">
        <v>1251</v>
      </c>
    </row>
    <row r="4154" spans="2:31" s="1" customFormat="1" ht="96.3" customHeight="1" outlineLevel="7">
      <c r="B4154" s="59">
        <v>3312</v>
      </c>
      <c r="C4154" s="35" t="s">
        <v>14676</v>
      </c>
      <c r="D4154" s="73" t="s">
        <v>14677</v>
      </c>
      <c r="E4154" s="73"/>
      <c r="F4154" s="73"/>
      <c r="G4154" s="73"/>
      <c r="H4154" s="36" t="s">
        <v>14678</v>
      </c>
      <c r="I4154" s="56" t="s">
        <v>36</v>
      </c>
      <c r="J4154" s="36"/>
      <c r="K4154" s="34">
        <v>12</v>
      </c>
      <c r="L4154" s="41">
        <v>53.586666666666666</v>
      </c>
      <c r="M4154" s="11"/>
      <c r="N4154" s="36">
        <f t="shared" si="205"/>
        <v>0</v>
      </c>
      <c r="O4154" s="42">
        <f>0.062*M4154</f>
        <v>0</v>
      </c>
      <c r="P4154" s="43">
        <f>0.00028*M4154</f>
        <v>0</v>
      </c>
      <c r="Q4154" s="50"/>
      <c r="R4154" s="36" t="s">
        <v>14679</v>
      </c>
      <c r="S4154" s="36"/>
      <c r="T4154" s="35" t="str">
        <f>HYPERLINK("https://miland.ru/api/getInfo/image/bb0d7698-55b1-11f0-a27e-00155d82e908")</f>
        <v>https://miland.ru/api/getInfo/image/bb0d7698-55b1-11f0-a27e-00155d82e908</v>
      </c>
      <c r="U4154" s="35"/>
      <c r="V4154" s="35" t="s">
        <v>6525</v>
      </c>
      <c r="W4154" s="35" t="s">
        <v>378</v>
      </c>
      <c r="X4154" s="35"/>
      <c r="Y4154" s="35" t="s">
        <v>41</v>
      </c>
      <c r="Z4154" s="35"/>
      <c r="AA4154" s="35" t="str">
        <f>HYPERLINK("https://miland.ru/api/getInfo/item/bb0d7698-55b1-11f0-a27e-00155d82e908")</f>
        <v>https://miland.ru/api/getInfo/item/bb0d7698-55b1-11f0-a27e-00155d82e908</v>
      </c>
      <c r="AB4154" s="35" t="s">
        <v>42</v>
      </c>
      <c r="AC4154" s="35"/>
      <c r="AD4154" s="35"/>
      <c r="AE4154" s="52" t="s">
        <v>1251</v>
      </c>
    </row>
    <row r="4155" spans="2:31" s="1" customFormat="1" ht="96.3" customHeight="1" outlineLevel="7">
      <c r="B4155" s="59">
        <v>3313</v>
      </c>
      <c r="C4155" s="35" t="s">
        <v>14680</v>
      </c>
      <c r="D4155" s="73" t="s">
        <v>14681</v>
      </c>
      <c r="E4155" s="73"/>
      <c r="F4155" s="73"/>
      <c r="G4155" s="73"/>
      <c r="H4155" s="36" t="s">
        <v>14682</v>
      </c>
      <c r="I4155" s="56" t="s">
        <v>36</v>
      </c>
      <c r="J4155" s="36"/>
      <c r="K4155" s="34">
        <v>12</v>
      </c>
      <c r="L4155" s="41">
        <v>53.586666666666666</v>
      </c>
      <c r="M4155" s="11"/>
      <c r="N4155" s="36">
        <f t="shared" si="205"/>
        <v>0</v>
      </c>
      <c r="O4155" s="42">
        <f>0.054*M4155</f>
        <v>0</v>
      </c>
      <c r="P4155" s="43">
        <f>0.00037*M4155</f>
        <v>0</v>
      </c>
      <c r="Q4155" s="50"/>
      <c r="R4155" s="36" t="s">
        <v>14683</v>
      </c>
      <c r="S4155" s="36"/>
      <c r="T4155" s="35" t="str">
        <f>HYPERLINK("https://miland.ru/api/getInfo/image/c4db1ed6-55b8-11f0-a27e-00155d82e908")</f>
        <v>https://miland.ru/api/getInfo/image/c4db1ed6-55b8-11f0-a27e-00155d82e908</v>
      </c>
      <c r="U4155" s="35"/>
      <c r="V4155" s="35" t="s">
        <v>6525</v>
      </c>
      <c r="W4155" s="35" t="s">
        <v>378</v>
      </c>
      <c r="X4155" s="35"/>
      <c r="Y4155" s="35" t="s">
        <v>41</v>
      </c>
      <c r="Z4155" s="35"/>
      <c r="AA4155" s="35" t="str">
        <f>HYPERLINK("https://miland.ru/api/getInfo/item/c4db1ed6-55b8-11f0-a27e-00155d82e908")</f>
        <v>https://miland.ru/api/getInfo/item/c4db1ed6-55b8-11f0-a27e-00155d82e908</v>
      </c>
      <c r="AB4155" s="35" t="s">
        <v>42</v>
      </c>
      <c r="AC4155" s="35"/>
      <c r="AD4155" s="35"/>
      <c r="AE4155" s="52" t="s">
        <v>1251</v>
      </c>
    </row>
    <row r="4156" spans="2:31" s="1" customFormat="1" ht="96.3" customHeight="1" outlineLevel="7">
      <c r="B4156" s="59">
        <v>3314</v>
      </c>
      <c r="C4156" s="35" t="s">
        <v>14684</v>
      </c>
      <c r="D4156" s="73" t="s">
        <v>14685</v>
      </c>
      <c r="E4156" s="73"/>
      <c r="F4156" s="73"/>
      <c r="G4156" s="73"/>
      <c r="H4156" s="36" t="s">
        <v>14686</v>
      </c>
      <c r="I4156" s="56" t="s">
        <v>36</v>
      </c>
      <c r="J4156" s="36"/>
      <c r="K4156" s="34">
        <v>12</v>
      </c>
      <c r="L4156" s="41">
        <v>53.586666666666666</v>
      </c>
      <c r="M4156" s="11"/>
      <c r="N4156" s="36">
        <f t="shared" si="205"/>
        <v>0</v>
      </c>
      <c r="O4156" s="42">
        <f>0.051*M4156</f>
        <v>0</v>
      </c>
      <c r="P4156" s="43">
        <f>0.00046*M4156</f>
        <v>0</v>
      </c>
      <c r="Q4156" s="50"/>
      <c r="R4156" s="36" t="s">
        <v>14687</v>
      </c>
      <c r="S4156" s="36"/>
      <c r="T4156" s="35" t="str">
        <f>HYPERLINK("https://miland.ru/api/getInfo/image/29cea33c-55b9-11f0-a27e-00155d82e908")</f>
        <v>https://miland.ru/api/getInfo/image/29cea33c-55b9-11f0-a27e-00155d82e908</v>
      </c>
      <c r="U4156" s="35"/>
      <c r="V4156" s="35" t="s">
        <v>6525</v>
      </c>
      <c r="W4156" s="35" t="s">
        <v>378</v>
      </c>
      <c r="X4156" s="35"/>
      <c r="Y4156" s="35" t="s">
        <v>41</v>
      </c>
      <c r="Z4156" s="35"/>
      <c r="AA4156" s="35" t="str">
        <f>HYPERLINK("https://miland.ru/api/getInfo/item/29cea33c-55b9-11f0-a27e-00155d82e908")</f>
        <v>https://miland.ru/api/getInfo/item/29cea33c-55b9-11f0-a27e-00155d82e908</v>
      </c>
      <c r="AB4156" s="35" t="s">
        <v>42</v>
      </c>
      <c r="AC4156" s="35"/>
      <c r="AD4156" s="35"/>
      <c r="AE4156" s="52" t="s">
        <v>1251</v>
      </c>
    </row>
    <row r="4157" spans="2:31" s="1" customFormat="1" ht="96.3" customHeight="1" outlineLevel="7">
      <c r="B4157" s="59">
        <v>3315</v>
      </c>
      <c r="C4157" s="35" t="s">
        <v>14688</v>
      </c>
      <c r="D4157" s="73" t="s">
        <v>14689</v>
      </c>
      <c r="E4157" s="73"/>
      <c r="F4157" s="73"/>
      <c r="G4157" s="73"/>
      <c r="H4157" s="36" t="s">
        <v>14690</v>
      </c>
      <c r="I4157" s="56" t="s">
        <v>36</v>
      </c>
      <c r="J4157" s="36"/>
      <c r="K4157" s="34">
        <v>12</v>
      </c>
      <c r="L4157" s="41">
        <v>53.586666666666666</v>
      </c>
      <c r="M4157" s="11"/>
      <c r="N4157" s="36">
        <f t="shared" si="205"/>
        <v>0</v>
      </c>
      <c r="O4157" s="42">
        <f>0.055*M4157</f>
        <v>0</v>
      </c>
      <c r="P4157" s="43">
        <f>0.00018*M4157</f>
        <v>0</v>
      </c>
      <c r="Q4157" s="50"/>
      <c r="R4157" s="36" t="s">
        <v>14691</v>
      </c>
      <c r="S4157" s="36"/>
      <c r="T4157" s="35" t="str">
        <f>HYPERLINK("https://miland.ru/api/getInfo/image/f92e186e-55b2-11f0-a27e-00155d82e908")</f>
        <v>https://miland.ru/api/getInfo/image/f92e186e-55b2-11f0-a27e-00155d82e908</v>
      </c>
      <c r="U4157" s="35"/>
      <c r="V4157" s="35" t="s">
        <v>6525</v>
      </c>
      <c r="W4157" s="35" t="s">
        <v>378</v>
      </c>
      <c r="X4157" s="35"/>
      <c r="Y4157" s="35" t="s">
        <v>41</v>
      </c>
      <c r="Z4157" s="35"/>
      <c r="AA4157" s="35" t="str">
        <f>HYPERLINK("https://miland.ru/api/getInfo/item/f92e186e-55b2-11f0-a27e-00155d82e908")</f>
        <v>https://miland.ru/api/getInfo/item/f92e186e-55b2-11f0-a27e-00155d82e908</v>
      </c>
      <c r="AB4157" s="35" t="s">
        <v>42</v>
      </c>
      <c r="AC4157" s="35"/>
      <c r="AD4157" s="35"/>
      <c r="AE4157" s="52" t="s">
        <v>1251</v>
      </c>
    </row>
    <row r="4158" spans="2:31" s="1" customFormat="1" ht="96.3" customHeight="1" outlineLevel="7">
      <c r="B4158" s="59">
        <v>3316</v>
      </c>
      <c r="C4158" s="35" t="s">
        <v>14692</v>
      </c>
      <c r="D4158" s="73" t="s">
        <v>14693</v>
      </c>
      <c r="E4158" s="73"/>
      <c r="F4158" s="73"/>
      <c r="G4158" s="73"/>
      <c r="H4158" s="36" t="s">
        <v>14694</v>
      </c>
      <c r="I4158" s="56" t="s">
        <v>36</v>
      </c>
      <c r="J4158" s="36"/>
      <c r="K4158" s="34">
        <v>12</v>
      </c>
      <c r="L4158" s="41">
        <v>53.586666666666666</v>
      </c>
      <c r="M4158" s="11"/>
      <c r="N4158" s="36">
        <f t="shared" si="205"/>
        <v>0</v>
      </c>
      <c r="O4158" s="42">
        <f>0.052*M4158</f>
        <v>0</v>
      </c>
      <c r="P4158" s="43">
        <f>0.00046*M4158</f>
        <v>0</v>
      </c>
      <c r="Q4158" s="50"/>
      <c r="R4158" s="36" t="s">
        <v>14695</v>
      </c>
      <c r="S4158" s="36"/>
      <c r="T4158" s="35" t="str">
        <f>HYPERLINK("https://miland.ru/api/getInfo/image/2c61fa4f-55ad-11f0-a27e-00155d82e908")</f>
        <v>https://miland.ru/api/getInfo/image/2c61fa4f-55ad-11f0-a27e-00155d82e908</v>
      </c>
      <c r="U4158" s="35"/>
      <c r="V4158" s="35" t="s">
        <v>6525</v>
      </c>
      <c r="W4158" s="35" t="s">
        <v>378</v>
      </c>
      <c r="X4158" s="35"/>
      <c r="Y4158" s="35" t="s">
        <v>41</v>
      </c>
      <c r="Z4158" s="35"/>
      <c r="AA4158" s="35" t="str">
        <f>HYPERLINK("https://miland.ru/api/getInfo/item/2c61fa4f-55ad-11f0-a27e-00155d82e908")</f>
        <v>https://miland.ru/api/getInfo/item/2c61fa4f-55ad-11f0-a27e-00155d82e908</v>
      </c>
      <c r="AB4158" s="35" t="s">
        <v>42</v>
      </c>
      <c r="AC4158" s="35"/>
      <c r="AD4158" s="35"/>
      <c r="AE4158" s="52" t="s">
        <v>1251</v>
      </c>
    </row>
    <row r="4159" spans="2:31" s="1" customFormat="1" ht="96.3" customHeight="1" outlineLevel="7">
      <c r="B4159" s="59">
        <v>3317</v>
      </c>
      <c r="C4159" s="35" t="s">
        <v>14696</v>
      </c>
      <c r="D4159" s="73" t="s">
        <v>14697</v>
      </c>
      <c r="E4159" s="73"/>
      <c r="F4159" s="73"/>
      <c r="G4159" s="73"/>
      <c r="H4159" s="36" t="s">
        <v>14698</v>
      </c>
      <c r="I4159" s="56" t="s">
        <v>36</v>
      </c>
      <c r="J4159" s="36"/>
      <c r="K4159" s="34">
        <v>12</v>
      </c>
      <c r="L4159" s="41">
        <v>53.586666666666666</v>
      </c>
      <c r="M4159" s="11"/>
      <c r="N4159" s="36">
        <f t="shared" si="205"/>
        <v>0</v>
      </c>
      <c r="O4159" s="42">
        <f>0.055*M4159</f>
        <v>0</v>
      </c>
      <c r="P4159" s="43">
        <f>0.00064*M4159</f>
        <v>0</v>
      </c>
      <c r="Q4159" s="50"/>
      <c r="R4159" s="36" t="s">
        <v>14699</v>
      </c>
      <c r="S4159" s="36"/>
      <c r="T4159" s="35" t="str">
        <f>HYPERLINK("https://miland.ru/api/getInfo/image/769371b9-55ad-11f0-a27e-00155d82e908")</f>
        <v>https://miland.ru/api/getInfo/image/769371b9-55ad-11f0-a27e-00155d82e908</v>
      </c>
      <c r="U4159" s="35"/>
      <c r="V4159" s="35" t="s">
        <v>6525</v>
      </c>
      <c r="W4159" s="35" t="s">
        <v>378</v>
      </c>
      <c r="X4159" s="35"/>
      <c r="Y4159" s="35" t="s">
        <v>41</v>
      </c>
      <c r="Z4159" s="35"/>
      <c r="AA4159" s="35" t="str">
        <f>HYPERLINK("https://miland.ru/api/getInfo/item/769371b9-55ad-11f0-a27e-00155d82e908")</f>
        <v>https://miland.ru/api/getInfo/item/769371b9-55ad-11f0-a27e-00155d82e908</v>
      </c>
      <c r="AB4159" s="35" t="s">
        <v>42</v>
      </c>
      <c r="AC4159" s="35"/>
      <c r="AD4159" s="35"/>
      <c r="AE4159" s="52" t="s">
        <v>1251</v>
      </c>
    </row>
    <row r="4160" spans="2:31" s="1" customFormat="1" ht="96.3" customHeight="1" outlineLevel="7">
      <c r="B4160" s="59">
        <v>3318</v>
      </c>
      <c r="C4160" s="35" t="s">
        <v>14700</v>
      </c>
      <c r="D4160" s="73" t="s">
        <v>14701</v>
      </c>
      <c r="E4160" s="73"/>
      <c r="F4160" s="73"/>
      <c r="G4160" s="73"/>
      <c r="H4160" s="36" t="s">
        <v>14702</v>
      </c>
      <c r="I4160" s="56" t="s">
        <v>36</v>
      </c>
      <c r="J4160" s="36"/>
      <c r="K4160" s="34">
        <v>12</v>
      </c>
      <c r="L4160" s="41">
        <v>53.586666666666666</v>
      </c>
      <c r="M4160" s="11"/>
      <c r="N4160" s="36">
        <f t="shared" si="205"/>
        <v>0</v>
      </c>
      <c r="O4160" s="47">
        <f>0.05*M4160</f>
        <v>0</v>
      </c>
      <c r="P4160" s="43">
        <f>0.00037*M4160</f>
        <v>0</v>
      </c>
      <c r="Q4160" s="50"/>
      <c r="R4160" s="36" t="s">
        <v>14703</v>
      </c>
      <c r="S4160" s="36"/>
      <c r="T4160" s="35" t="str">
        <f>HYPERLINK("https://miland.ru/api/getInfo/image/a12565b2-563a-11f0-a27f-00155d82e908")</f>
        <v>https://miland.ru/api/getInfo/image/a12565b2-563a-11f0-a27f-00155d82e908</v>
      </c>
      <c r="U4160" s="35"/>
      <c r="V4160" s="35" t="s">
        <v>6525</v>
      </c>
      <c r="W4160" s="35" t="s">
        <v>378</v>
      </c>
      <c r="X4160" s="35"/>
      <c r="Y4160" s="35" t="s">
        <v>41</v>
      </c>
      <c r="Z4160" s="35"/>
      <c r="AA4160" s="35" t="str">
        <f>HYPERLINK("https://miland.ru/api/getInfo/item/a12565b2-563a-11f0-a27f-00155d82e908")</f>
        <v>https://miland.ru/api/getInfo/item/a12565b2-563a-11f0-a27f-00155d82e908</v>
      </c>
      <c r="AB4160" s="35" t="s">
        <v>42</v>
      </c>
      <c r="AC4160" s="35"/>
      <c r="AD4160" s="35"/>
      <c r="AE4160" s="52" t="s">
        <v>1251</v>
      </c>
    </row>
    <row r="4161" spans="2:31" s="1" customFormat="1" ht="96.3" customHeight="1" outlineLevel="7">
      <c r="B4161" s="59">
        <v>3319</v>
      </c>
      <c r="C4161" s="35" t="s">
        <v>14704</v>
      </c>
      <c r="D4161" s="73" t="s">
        <v>14705</v>
      </c>
      <c r="E4161" s="73"/>
      <c r="F4161" s="73"/>
      <c r="G4161" s="73"/>
      <c r="H4161" s="36" t="s">
        <v>14706</v>
      </c>
      <c r="I4161" s="56" t="s">
        <v>36</v>
      </c>
      <c r="J4161" s="36"/>
      <c r="K4161" s="34">
        <v>12</v>
      </c>
      <c r="L4161" s="41">
        <v>53.586666666666666</v>
      </c>
      <c r="M4161" s="11"/>
      <c r="N4161" s="36">
        <f t="shared" si="205"/>
        <v>0</v>
      </c>
      <c r="O4161" s="42">
        <f>0.055*M4161</f>
        <v>0</v>
      </c>
      <c r="P4161" s="43">
        <f>0.00056*M4161</f>
        <v>0</v>
      </c>
      <c r="Q4161" s="50"/>
      <c r="R4161" s="36" t="s">
        <v>14707</v>
      </c>
      <c r="S4161" s="36"/>
      <c r="T4161" s="35" t="str">
        <f>HYPERLINK("https://miland.ru/api/getInfo/image/f2a03879-563b-11f0-a27f-00155d82e908")</f>
        <v>https://miland.ru/api/getInfo/image/f2a03879-563b-11f0-a27f-00155d82e908</v>
      </c>
      <c r="U4161" s="35"/>
      <c r="V4161" s="35" t="s">
        <v>6525</v>
      </c>
      <c r="W4161" s="35" t="s">
        <v>378</v>
      </c>
      <c r="X4161" s="35"/>
      <c r="Y4161" s="35" t="s">
        <v>41</v>
      </c>
      <c r="Z4161" s="35"/>
      <c r="AA4161" s="35" t="str">
        <f>HYPERLINK("https://miland.ru/api/getInfo/item/f2a03879-563b-11f0-a27f-00155d82e908")</f>
        <v>https://miland.ru/api/getInfo/item/f2a03879-563b-11f0-a27f-00155d82e908</v>
      </c>
      <c r="AB4161" s="35" t="s">
        <v>42</v>
      </c>
      <c r="AC4161" s="35"/>
      <c r="AD4161" s="35"/>
      <c r="AE4161" s="52" t="s">
        <v>1251</v>
      </c>
    </row>
    <row r="4162" spans="2:31" s="1" customFormat="1" ht="96.3" customHeight="1" outlineLevel="7">
      <c r="B4162" s="59">
        <v>3320</v>
      </c>
      <c r="C4162" s="35" t="s">
        <v>14708</v>
      </c>
      <c r="D4162" s="73" t="s">
        <v>14709</v>
      </c>
      <c r="E4162" s="73"/>
      <c r="F4162" s="73"/>
      <c r="G4162" s="73"/>
      <c r="H4162" s="36" t="s">
        <v>14710</v>
      </c>
      <c r="I4162" s="56" t="s">
        <v>36</v>
      </c>
      <c r="J4162" s="36"/>
      <c r="K4162" s="34">
        <v>12</v>
      </c>
      <c r="L4162" s="41">
        <v>53.586666666666666</v>
      </c>
      <c r="M4162" s="11"/>
      <c r="N4162" s="36">
        <f t="shared" si="205"/>
        <v>0</v>
      </c>
      <c r="O4162" s="42">
        <f>0.054*M4162</f>
        <v>0</v>
      </c>
      <c r="P4162" s="43">
        <f>0.00046*M4162</f>
        <v>0</v>
      </c>
      <c r="Q4162" s="50"/>
      <c r="R4162" s="36" t="s">
        <v>14711</v>
      </c>
      <c r="S4162" s="36"/>
      <c r="T4162" s="35" t="str">
        <f>HYPERLINK("https://miland.ru/api/getInfo/image/b6a2e9f3-563c-11f0-a27f-00155d82e908")</f>
        <v>https://miland.ru/api/getInfo/image/b6a2e9f3-563c-11f0-a27f-00155d82e908</v>
      </c>
      <c r="U4162" s="35"/>
      <c r="V4162" s="35" t="s">
        <v>6525</v>
      </c>
      <c r="W4162" s="35" t="s">
        <v>378</v>
      </c>
      <c r="X4162" s="35"/>
      <c r="Y4162" s="35" t="s">
        <v>41</v>
      </c>
      <c r="Z4162" s="35"/>
      <c r="AA4162" s="35" t="str">
        <f>HYPERLINK("https://miland.ru/api/getInfo/item/b6a2e9f3-563c-11f0-a27f-00155d82e908")</f>
        <v>https://miland.ru/api/getInfo/item/b6a2e9f3-563c-11f0-a27f-00155d82e908</v>
      </c>
      <c r="AB4162" s="35" t="s">
        <v>42</v>
      </c>
      <c r="AC4162" s="35"/>
      <c r="AD4162" s="35"/>
      <c r="AE4162" s="52" t="s">
        <v>1251</v>
      </c>
    </row>
    <row r="4163" spans="2:31" s="1" customFormat="1" ht="96.3" customHeight="1" outlineLevel="7">
      <c r="B4163" s="59">
        <v>3321</v>
      </c>
      <c r="C4163" s="35" t="s">
        <v>14712</v>
      </c>
      <c r="D4163" s="73" t="s">
        <v>14713</v>
      </c>
      <c r="E4163" s="73"/>
      <c r="F4163" s="73"/>
      <c r="G4163" s="73"/>
      <c r="H4163" s="36" t="s">
        <v>14714</v>
      </c>
      <c r="I4163" s="56" t="s">
        <v>36</v>
      </c>
      <c r="J4163" s="36"/>
      <c r="K4163" s="34">
        <v>12</v>
      </c>
      <c r="L4163" s="41">
        <v>53.586666666666666</v>
      </c>
      <c r="M4163" s="11"/>
      <c r="N4163" s="36">
        <f t="shared" si="205"/>
        <v>0</v>
      </c>
      <c r="O4163" s="42">
        <f>0.051*M4163</f>
        <v>0</v>
      </c>
      <c r="P4163" s="43">
        <f>0.00046*M4163</f>
        <v>0</v>
      </c>
      <c r="Q4163" s="50"/>
      <c r="R4163" s="36" t="s">
        <v>14715</v>
      </c>
      <c r="S4163" s="36"/>
      <c r="T4163" s="35" t="str">
        <f>HYPERLINK("https://miland.ru/api/getInfo/image/ad980ea9-55b7-11f0-a27e-00155d82e908")</f>
        <v>https://miland.ru/api/getInfo/image/ad980ea9-55b7-11f0-a27e-00155d82e908</v>
      </c>
      <c r="U4163" s="35"/>
      <c r="V4163" s="35" t="s">
        <v>6525</v>
      </c>
      <c r="W4163" s="35" t="s">
        <v>378</v>
      </c>
      <c r="X4163" s="35"/>
      <c r="Y4163" s="35" t="s">
        <v>41</v>
      </c>
      <c r="Z4163" s="35"/>
      <c r="AA4163" s="35" t="str">
        <f>HYPERLINK("https://miland.ru/api/getInfo/item/ad980ea9-55b7-11f0-a27e-00155d82e908")</f>
        <v>https://miland.ru/api/getInfo/item/ad980ea9-55b7-11f0-a27e-00155d82e908</v>
      </c>
      <c r="AB4163" s="35" t="s">
        <v>42</v>
      </c>
      <c r="AC4163" s="35"/>
      <c r="AD4163" s="35"/>
      <c r="AE4163" s="52" t="s">
        <v>1251</v>
      </c>
    </row>
    <row r="4164" spans="2:31" s="1" customFormat="1" ht="96.3" customHeight="1" outlineLevel="7">
      <c r="B4164" s="59">
        <v>3322</v>
      </c>
      <c r="C4164" s="35" t="s">
        <v>14716</v>
      </c>
      <c r="D4164" s="73" t="s">
        <v>14717</v>
      </c>
      <c r="E4164" s="73"/>
      <c r="F4164" s="73"/>
      <c r="G4164" s="73"/>
      <c r="H4164" s="36" t="s">
        <v>14718</v>
      </c>
      <c r="I4164" s="56" t="s">
        <v>36</v>
      </c>
      <c r="J4164" s="36"/>
      <c r="K4164" s="34">
        <v>12</v>
      </c>
      <c r="L4164" s="41">
        <v>53.586666666666666</v>
      </c>
      <c r="M4164" s="11"/>
      <c r="N4164" s="36">
        <f t="shared" ref="N4164:N4181" si="208">L4164*M4164</f>
        <v>0</v>
      </c>
      <c r="O4164" s="42">
        <f>0.053*M4164</f>
        <v>0</v>
      </c>
      <c r="P4164" s="43">
        <f>0.00037*M4164</f>
        <v>0</v>
      </c>
      <c r="Q4164" s="50"/>
      <c r="R4164" s="36" t="s">
        <v>14719</v>
      </c>
      <c r="S4164" s="36"/>
      <c r="T4164" s="35" t="str">
        <f>HYPERLINK("https://miland.ru/api/getInfo/image/38df7f6b-563a-11f0-a27f-00155d82e908")</f>
        <v>https://miland.ru/api/getInfo/image/38df7f6b-563a-11f0-a27f-00155d82e908</v>
      </c>
      <c r="U4164" s="35"/>
      <c r="V4164" s="35" t="s">
        <v>6525</v>
      </c>
      <c r="W4164" s="35" t="s">
        <v>378</v>
      </c>
      <c r="X4164" s="35"/>
      <c r="Y4164" s="35" t="s">
        <v>41</v>
      </c>
      <c r="Z4164" s="35"/>
      <c r="AA4164" s="35" t="str">
        <f>HYPERLINK("https://miland.ru/api/getInfo/item/38df7f6b-563a-11f0-a27f-00155d82e908")</f>
        <v>https://miland.ru/api/getInfo/item/38df7f6b-563a-11f0-a27f-00155d82e908</v>
      </c>
      <c r="AB4164" s="35" t="s">
        <v>42</v>
      </c>
      <c r="AC4164" s="35"/>
      <c r="AD4164" s="35"/>
      <c r="AE4164" s="52" t="s">
        <v>1251</v>
      </c>
    </row>
    <row r="4165" spans="2:31" s="1" customFormat="1" ht="96.3" customHeight="1" outlineLevel="7">
      <c r="B4165" s="59">
        <v>3323</v>
      </c>
      <c r="C4165" s="35" t="s">
        <v>14720</v>
      </c>
      <c r="D4165" s="73" t="s">
        <v>14721</v>
      </c>
      <c r="E4165" s="73"/>
      <c r="F4165" s="73"/>
      <c r="G4165" s="73"/>
      <c r="H4165" s="36" t="s">
        <v>14722</v>
      </c>
      <c r="I4165" s="40">
        <v>240</v>
      </c>
      <c r="J4165" s="36"/>
      <c r="K4165" s="34">
        <v>12</v>
      </c>
      <c r="L4165" s="41">
        <v>53.586666666666666</v>
      </c>
      <c r="M4165" s="11"/>
      <c r="N4165" s="36">
        <f t="shared" si="208"/>
        <v>0</v>
      </c>
      <c r="O4165" s="42">
        <f>0.052*M4165</f>
        <v>0</v>
      </c>
      <c r="P4165" s="43">
        <f>0.00018*M4165</f>
        <v>0</v>
      </c>
      <c r="Q4165" s="50"/>
      <c r="R4165" s="36" t="s">
        <v>14723</v>
      </c>
      <c r="S4165" s="36" t="s">
        <v>435</v>
      </c>
      <c r="T4165" s="35" t="str">
        <f>HYPERLINK("https://miland.ru/api/getInfo/image/c6db4b05-f4b4-11ed-a237-00155d82e902")</f>
        <v>https://miland.ru/api/getInfo/image/c6db4b05-f4b4-11ed-a237-00155d82e902</v>
      </c>
      <c r="U4165" s="35"/>
      <c r="V4165" s="35" t="s">
        <v>6525</v>
      </c>
      <c r="W4165" s="35" t="s">
        <v>378</v>
      </c>
      <c r="X4165" s="35"/>
      <c r="Y4165" s="35" t="s">
        <v>41</v>
      </c>
      <c r="Z4165" s="35"/>
      <c r="AA4165" s="35" t="str">
        <f>HYPERLINK("https://miland.ru/api/getInfo/item/c6db4b05-f4b4-11ed-a237-00155d82e902")</f>
        <v>https://miland.ru/api/getInfo/item/c6db4b05-f4b4-11ed-a237-00155d82e902</v>
      </c>
      <c r="AB4165" s="35" t="s">
        <v>42</v>
      </c>
      <c r="AC4165" s="35"/>
      <c r="AD4165" s="35"/>
      <c r="AE4165" s="52" t="s">
        <v>1251</v>
      </c>
    </row>
    <row r="4166" spans="2:31" s="1" customFormat="1" ht="96.3" customHeight="1" outlineLevel="7">
      <c r="B4166" s="59">
        <v>3324</v>
      </c>
      <c r="C4166" s="35" t="s">
        <v>14724</v>
      </c>
      <c r="D4166" s="73" t="s">
        <v>14725</v>
      </c>
      <c r="E4166" s="73"/>
      <c r="F4166" s="73"/>
      <c r="G4166" s="73"/>
      <c r="H4166" s="36" t="s">
        <v>14726</v>
      </c>
      <c r="I4166" s="56" t="s">
        <v>36</v>
      </c>
      <c r="J4166" s="36"/>
      <c r="K4166" s="34">
        <v>12</v>
      </c>
      <c r="L4166" s="41">
        <v>53.586666666666666</v>
      </c>
      <c r="M4166" s="11"/>
      <c r="N4166" s="36">
        <f t="shared" si="208"/>
        <v>0</v>
      </c>
      <c r="O4166" s="42">
        <f>0.054*M4166</f>
        <v>0</v>
      </c>
      <c r="P4166" s="43">
        <f>0.00018*M4166</f>
        <v>0</v>
      </c>
      <c r="Q4166" s="50"/>
      <c r="R4166" s="36" t="s">
        <v>14727</v>
      </c>
      <c r="S4166" s="36" t="s">
        <v>435</v>
      </c>
      <c r="T4166" s="35" t="str">
        <f>HYPERLINK("https://miland.ru/api/getInfo/image/54315d96-f4bd-11ed-a237-00155d82e902")</f>
        <v>https://miland.ru/api/getInfo/image/54315d96-f4bd-11ed-a237-00155d82e902</v>
      </c>
      <c r="U4166" s="35"/>
      <c r="V4166" s="35" t="s">
        <v>6525</v>
      </c>
      <c r="W4166" s="35" t="s">
        <v>378</v>
      </c>
      <c r="X4166" s="35"/>
      <c r="Y4166" s="35" t="s">
        <v>41</v>
      </c>
      <c r="Z4166" s="35"/>
      <c r="AA4166" s="35" t="str">
        <f>HYPERLINK("https://miland.ru/api/getInfo/item/54315d96-f4bd-11ed-a237-00155d82e902")</f>
        <v>https://miland.ru/api/getInfo/item/54315d96-f4bd-11ed-a237-00155d82e902</v>
      </c>
      <c r="AB4166" s="35" t="s">
        <v>42</v>
      </c>
      <c r="AC4166" s="35"/>
      <c r="AD4166" s="35"/>
      <c r="AE4166" s="52" t="s">
        <v>1251</v>
      </c>
    </row>
    <row r="4167" spans="2:31" s="1" customFormat="1" ht="96.3" customHeight="1" outlineLevel="7">
      <c r="B4167" s="59">
        <v>3325</v>
      </c>
      <c r="C4167" s="35" t="s">
        <v>14728</v>
      </c>
      <c r="D4167" s="73" t="s">
        <v>14729</v>
      </c>
      <c r="E4167" s="73"/>
      <c r="F4167" s="73"/>
      <c r="G4167" s="73"/>
      <c r="H4167" s="36" t="s">
        <v>14730</v>
      </c>
      <c r="I4167" s="40">
        <v>468</v>
      </c>
      <c r="J4167" s="36"/>
      <c r="K4167" s="34">
        <v>12</v>
      </c>
      <c r="L4167" s="41">
        <v>53.586666666666666</v>
      </c>
      <c r="M4167" s="11"/>
      <c r="N4167" s="36">
        <f t="shared" si="208"/>
        <v>0</v>
      </c>
      <c r="O4167" s="47">
        <f>0.65*M4167</f>
        <v>0</v>
      </c>
      <c r="P4167" s="43">
        <f>0.00313*M4167</f>
        <v>0</v>
      </c>
      <c r="Q4167" s="50"/>
      <c r="R4167" s="36" t="s">
        <v>14731</v>
      </c>
      <c r="S4167" s="36" t="s">
        <v>435</v>
      </c>
      <c r="T4167" s="35" t="str">
        <f>HYPERLINK("https://miland.ru/api/getInfo/image/5f477180-cf1f-11ee-a25a-00155d82e908")</f>
        <v>https://miland.ru/api/getInfo/image/5f477180-cf1f-11ee-a25a-00155d82e908</v>
      </c>
      <c r="U4167" s="35"/>
      <c r="V4167" s="35" t="s">
        <v>6525</v>
      </c>
      <c r="W4167" s="35" t="s">
        <v>378</v>
      </c>
      <c r="X4167" s="35"/>
      <c r="Y4167" s="35" t="s">
        <v>41</v>
      </c>
      <c r="Z4167" s="35"/>
      <c r="AA4167" s="35" t="str">
        <f>HYPERLINK("https://miland.ru/api/getInfo/item/5f477180-cf1f-11ee-a25a-00155d82e908")</f>
        <v>https://miland.ru/api/getInfo/item/5f477180-cf1f-11ee-a25a-00155d82e908</v>
      </c>
      <c r="AB4167" s="35" t="s">
        <v>42</v>
      </c>
      <c r="AC4167" s="35" t="s">
        <v>14732</v>
      </c>
      <c r="AD4167" s="35"/>
      <c r="AE4167" s="52" t="s">
        <v>1251</v>
      </c>
    </row>
    <row r="4168" spans="2:31" s="1" customFormat="1" ht="96.3" customHeight="1" outlineLevel="7">
      <c r="B4168" s="59">
        <v>3326</v>
      </c>
      <c r="C4168" s="35" t="s">
        <v>14733</v>
      </c>
      <c r="D4168" s="73" t="s">
        <v>14734</v>
      </c>
      <c r="E4168" s="73"/>
      <c r="F4168" s="73"/>
      <c r="G4168" s="73"/>
      <c r="H4168" s="36" t="s">
        <v>14735</v>
      </c>
      <c r="I4168" s="56" t="s">
        <v>36</v>
      </c>
      <c r="J4168" s="36"/>
      <c r="K4168" s="34">
        <v>12</v>
      </c>
      <c r="L4168" s="41">
        <v>53.586666666666666</v>
      </c>
      <c r="M4168" s="11"/>
      <c r="N4168" s="36">
        <f t="shared" si="208"/>
        <v>0</v>
      </c>
      <c r="O4168" s="42">
        <f>0.053*M4168</f>
        <v>0</v>
      </c>
      <c r="P4168" s="42">
        <f>0.001*M4168</f>
        <v>0</v>
      </c>
      <c r="Q4168" s="50"/>
      <c r="R4168" s="36" t="s">
        <v>14736</v>
      </c>
      <c r="S4168" s="36" t="s">
        <v>435</v>
      </c>
      <c r="T4168" s="35" t="str">
        <f>HYPERLINK("https://miland.ru/api/getInfo/image/292ec399-cf24-11ee-a25a-00155d82e908")</f>
        <v>https://miland.ru/api/getInfo/image/292ec399-cf24-11ee-a25a-00155d82e908</v>
      </c>
      <c r="U4168" s="35"/>
      <c r="V4168" s="35" t="s">
        <v>6525</v>
      </c>
      <c r="W4168" s="35" t="s">
        <v>378</v>
      </c>
      <c r="X4168" s="35"/>
      <c r="Y4168" s="35" t="s">
        <v>41</v>
      </c>
      <c r="Z4168" s="35"/>
      <c r="AA4168" s="35" t="str">
        <f>HYPERLINK("https://miland.ru/api/getInfo/item/292ec399-cf24-11ee-a25a-00155d82e908")</f>
        <v>https://miland.ru/api/getInfo/item/292ec399-cf24-11ee-a25a-00155d82e908</v>
      </c>
      <c r="AB4168" s="35" t="s">
        <v>42</v>
      </c>
      <c r="AC4168" s="35" t="s">
        <v>14732</v>
      </c>
      <c r="AD4168" s="35"/>
      <c r="AE4168" s="52" t="s">
        <v>1251</v>
      </c>
    </row>
    <row r="4169" spans="2:31" s="1" customFormat="1" ht="96.3" customHeight="1" outlineLevel="7">
      <c r="B4169" s="59">
        <v>3327</v>
      </c>
      <c r="C4169" s="35" t="s">
        <v>14737</v>
      </c>
      <c r="D4169" s="73" t="s">
        <v>14738</v>
      </c>
      <c r="E4169" s="73"/>
      <c r="F4169" s="73"/>
      <c r="G4169" s="73"/>
      <c r="H4169" s="36" t="s">
        <v>14739</v>
      </c>
      <c r="I4169" s="40">
        <v>300</v>
      </c>
      <c r="J4169" s="36"/>
      <c r="K4169" s="34">
        <v>12</v>
      </c>
      <c r="L4169" s="41">
        <v>53.586666666666666</v>
      </c>
      <c r="M4169" s="11"/>
      <c r="N4169" s="36">
        <f t="shared" si="208"/>
        <v>0</v>
      </c>
      <c r="O4169" s="47">
        <f>0.65*M4169</f>
        <v>0</v>
      </c>
      <c r="P4169" s="43">
        <f>0.00313*M4169</f>
        <v>0</v>
      </c>
      <c r="Q4169" s="50"/>
      <c r="R4169" s="36" t="s">
        <v>14740</v>
      </c>
      <c r="S4169" s="36" t="s">
        <v>435</v>
      </c>
      <c r="T4169" s="35" t="str">
        <f>HYPERLINK("https://miland.ru/api/getInfo/image/14c94603-cf22-11ee-a25a-00155d82e908")</f>
        <v>https://miland.ru/api/getInfo/image/14c94603-cf22-11ee-a25a-00155d82e908</v>
      </c>
      <c r="U4169" s="35"/>
      <c r="V4169" s="35" t="s">
        <v>6525</v>
      </c>
      <c r="W4169" s="35" t="s">
        <v>378</v>
      </c>
      <c r="X4169" s="35"/>
      <c r="Y4169" s="35" t="s">
        <v>41</v>
      </c>
      <c r="Z4169" s="35"/>
      <c r="AA4169" s="35" t="str">
        <f>HYPERLINK("https://miland.ru/api/getInfo/item/14c94603-cf22-11ee-a25a-00155d82e908")</f>
        <v>https://miland.ru/api/getInfo/item/14c94603-cf22-11ee-a25a-00155d82e908</v>
      </c>
      <c r="AB4169" s="35" t="s">
        <v>42</v>
      </c>
      <c r="AC4169" s="35" t="s">
        <v>14732</v>
      </c>
      <c r="AD4169" s="35"/>
      <c r="AE4169" s="52" t="s">
        <v>1251</v>
      </c>
    </row>
    <row r="4170" spans="2:31" s="1" customFormat="1" ht="96.3" customHeight="1" outlineLevel="7">
      <c r="B4170" s="59">
        <v>3328</v>
      </c>
      <c r="C4170" s="35" t="s">
        <v>14741</v>
      </c>
      <c r="D4170" s="73" t="s">
        <v>14742</v>
      </c>
      <c r="E4170" s="73"/>
      <c r="F4170" s="73"/>
      <c r="G4170" s="73"/>
      <c r="H4170" s="36" t="s">
        <v>14743</v>
      </c>
      <c r="I4170" s="40">
        <v>252</v>
      </c>
      <c r="J4170" s="36"/>
      <c r="K4170" s="34">
        <v>12</v>
      </c>
      <c r="L4170" s="41">
        <v>53.586666666666666</v>
      </c>
      <c r="M4170" s="11"/>
      <c r="N4170" s="36">
        <f t="shared" si="208"/>
        <v>0</v>
      </c>
      <c r="O4170" s="47">
        <f>0.65*M4170</f>
        <v>0</v>
      </c>
      <c r="P4170" s="43">
        <f>0.00313*M4170</f>
        <v>0</v>
      </c>
      <c r="Q4170" s="50"/>
      <c r="R4170" s="36" t="s">
        <v>14744</v>
      </c>
      <c r="S4170" s="36" t="s">
        <v>435</v>
      </c>
      <c r="T4170" s="35" t="str">
        <f>HYPERLINK("https://miland.ru/api/getInfo/image/4196c26c-cf21-11ee-a25a-00155d82e908")</f>
        <v>https://miland.ru/api/getInfo/image/4196c26c-cf21-11ee-a25a-00155d82e908</v>
      </c>
      <c r="U4170" s="35"/>
      <c r="V4170" s="35" t="s">
        <v>6525</v>
      </c>
      <c r="W4170" s="35" t="s">
        <v>378</v>
      </c>
      <c r="X4170" s="35"/>
      <c r="Y4170" s="35" t="s">
        <v>41</v>
      </c>
      <c r="Z4170" s="35"/>
      <c r="AA4170" s="35" t="str">
        <f>HYPERLINK("https://miland.ru/api/getInfo/item/4196c26c-cf21-11ee-a25a-00155d82e908")</f>
        <v>https://miland.ru/api/getInfo/item/4196c26c-cf21-11ee-a25a-00155d82e908</v>
      </c>
      <c r="AB4170" s="35" t="s">
        <v>42</v>
      </c>
      <c r="AC4170" s="35" t="s">
        <v>14732</v>
      </c>
      <c r="AD4170" s="35"/>
      <c r="AE4170" s="52" t="s">
        <v>1251</v>
      </c>
    </row>
    <row r="4171" spans="2:31" s="1" customFormat="1" ht="96.3" customHeight="1" outlineLevel="7">
      <c r="B4171" s="59">
        <v>3329</v>
      </c>
      <c r="C4171" s="35" t="s">
        <v>14745</v>
      </c>
      <c r="D4171" s="73" t="s">
        <v>14746</v>
      </c>
      <c r="E4171" s="73"/>
      <c r="F4171" s="73"/>
      <c r="G4171" s="73"/>
      <c r="H4171" s="36" t="s">
        <v>14747</v>
      </c>
      <c r="I4171" s="56" t="s">
        <v>36</v>
      </c>
      <c r="J4171" s="36"/>
      <c r="K4171" s="34">
        <v>12</v>
      </c>
      <c r="L4171" s="41">
        <v>53.586666666666666</v>
      </c>
      <c r="M4171" s="11"/>
      <c r="N4171" s="36">
        <f t="shared" si="208"/>
        <v>0</v>
      </c>
      <c r="O4171" s="42">
        <f>0.054*M4171</f>
        <v>0</v>
      </c>
      <c r="P4171" s="43">
        <f>0.00097*M4171</f>
        <v>0</v>
      </c>
      <c r="Q4171" s="50"/>
      <c r="R4171" s="36" t="s">
        <v>14748</v>
      </c>
      <c r="S4171" s="36" t="s">
        <v>435</v>
      </c>
      <c r="T4171" s="35" t="str">
        <f>HYPERLINK("https://miland.ru/api/getInfo/image/a46105b1-cf20-11ee-a25a-00155d82e908")</f>
        <v>https://miland.ru/api/getInfo/image/a46105b1-cf20-11ee-a25a-00155d82e908</v>
      </c>
      <c r="U4171" s="35"/>
      <c r="V4171" s="35" t="s">
        <v>6525</v>
      </c>
      <c r="W4171" s="35" t="s">
        <v>378</v>
      </c>
      <c r="X4171" s="35"/>
      <c r="Y4171" s="35" t="s">
        <v>41</v>
      </c>
      <c r="Z4171" s="35"/>
      <c r="AA4171" s="35" t="str">
        <f>HYPERLINK("https://miland.ru/api/getInfo/item/a46105b1-cf20-11ee-a25a-00155d82e908")</f>
        <v>https://miland.ru/api/getInfo/item/a46105b1-cf20-11ee-a25a-00155d82e908</v>
      </c>
      <c r="AB4171" s="35" t="s">
        <v>42</v>
      </c>
      <c r="AC4171" s="35" t="s">
        <v>14732</v>
      </c>
      <c r="AD4171" s="35"/>
      <c r="AE4171" s="52" t="s">
        <v>1251</v>
      </c>
    </row>
    <row r="4172" spans="2:31" s="1" customFormat="1" ht="96.3" customHeight="1" outlineLevel="7">
      <c r="B4172" s="59">
        <v>3330</v>
      </c>
      <c r="C4172" s="35" t="s">
        <v>14749</v>
      </c>
      <c r="D4172" s="73" t="s">
        <v>14750</v>
      </c>
      <c r="E4172" s="73"/>
      <c r="F4172" s="73"/>
      <c r="G4172" s="73"/>
      <c r="H4172" s="36" t="s">
        <v>14751</v>
      </c>
      <c r="I4172" s="40">
        <v>264</v>
      </c>
      <c r="J4172" s="36"/>
      <c r="K4172" s="34">
        <v>12</v>
      </c>
      <c r="L4172" s="41">
        <v>53.586666666666666</v>
      </c>
      <c r="M4172" s="11"/>
      <c r="N4172" s="36">
        <f t="shared" si="208"/>
        <v>0</v>
      </c>
      <c r="O4172" s="42">
        <f>0.054*M4172</f>
        <v>0</v>
      </c>
      <c r="P4172" s="43">
        <f>0.00313*M4172</f>
        <v>0</v>
      </c>
      <c r="Q4172" s="50"/>
      <c r="R4172" s="36" t="s">
        <v>14752</v>
      </c>
      <c r="S4172" s="36" t="s">
        <v>435</v>
      </c>
      <c r="T4172" s="35" t="str">
        <f>HYPERLINK("https://miland.ru/api/getInfo/image/27720d96-cf23-11ee-a25a-00155d82e908")</f>
        <v>https://miland.ru/api/getInfo/image/27720d96-cf23-11ee-a25a-00155d82e908</v>
      </c>
      <c r="U4172" s="35"/>
      <c r="V4172" s="35" t="s">
        <v>6525</v>
      </c>
      <c r="W4172" s="35" t="s">
        <v>378</v>
      </c>
      <c r="X4172" s="35"/>
      <c r="Y4172" s="35" t="s">
        <v>41</v>
      </c>
      <c r="Z4172" s="35"/>
      <c r="AA4172" s="35" t="str">
        <f>HYPERLINK("https://miland.ru/api/getInfo/item/27720d96-cf23-11ee-a25a-00155d82e908")</f>
        <v>https://miland.ru/api/getInfo/item/27720d96-cf23-11ee-a25a-00155d82e908</v>
      </c>
      <c r="AB4172" s="35" t="s">
        <v>42</v>
      </c>
      <c r="AC4172" s="35" t="s">
        <v>14732</v>
      </c>
      <c r="AD4172" s="35"/>
      <c r="AE4172" s="52" t="s">
        <v>1251</v>
      </c>
    </row>
    <row r="4173" spans="2:31" s="1" customFormat="1" ht="96.3" customHeight="1" outlineLevel="7">
      <c r="B4173" s="59">
        <v>3331</v>
      </c>
      <c r="C4173" s="35" t="s">
        <v>14753</v>
      </c>
      <c r="D4173" s="73" t="s">
        <v>14754</v>
      </c>
      <c r="E4173" s="73"/>
      <c r="F4173" s="73"/>
      <c r="G4173" s="73"/>
      <c r="H4173" s="36" t="s">
        <v>14755</v>
      </c>
      <c r="I4173" s="56" t="s">
        <v>36</v>
      </c>
      <c r="J4173" s="36"/>
      <c r="K4173" s="34">
        <v>12</v>
      </c>
      <c r="L4173" s="41">
        <v>53.586666666666666</v>
      </c>
      <c r="M4173" s="11"/>
      <c r="N4173" s="36">
        <f t="shared" si="208"/>
        <v>0</v>
      </c>
      <c r="O4173" s="42">
        <f>0.054*M4173</f>
        <v>0</v>
      </c>
      <c r="P4173" s="43">
        <f>0.00109*M4173</f>
        <v>0</v>
      </c>
      <c r="Q4173" s="50"/>
      <c r="R4173" s="36" t="s">
        <v>14756</v>
      </c>
      <c r="S4173" s="36" t="s">
        <v>435</v>
      </c>
      <c r="T4173" s="35" t="str">
        <f>HYPERLINK("https://miland.ru/api/getInfo/image/d7623d06-cf21-11ee-a25a-00155d82e908")</f>
        <v>https://miland.ru/api/getInfo/image/d7623d06-cf21-11ee-a25a-00155d82e908</v>
      </c>
      <c r="U4173" s="35"/>
      <c r="V4173" s="35" t="s">
        <v>6525</v>
      </c>
      <c r="W4173" s="35" t="s">
        <v>378</v>
      </c>
      <c r="X4173" s="35"/>
      <c r="Y4173" s="35" t="s">
        <v>41</v>
      </c>
      <c r="Z4173" s="35"/>
      <c r="AA4173" s="35" t="str">
        <f>HYPERLINK("https://miland.ru/api/getInfo/item/d7623d06-cf21-11ee-a25a-00155d82e908")</f>
        <v>https://miland.ru/api/getInfo/item/d7623d06-cf21-11ee-a25a-00155d82e908</v>
      </c>
      <c r="AB4173" s="35" t="s">
        <v>42</v>
      </c>
      <c r="AC4173" s="35" t="s">
        <v>14732</v>
      </c>
      <c r="AD4173" s="35"/>
      <c r="AE4173" s="52" t="s">
        <v>1251</v>
      </c>
    </row>
    <row r="4174" spans="2:31" s="1" customFormat="1" ht="96.3" customHeight="1" outlineLevel="7">
      <c r="B4174" s="59">
        <v>3332</v>
      </c>
      <c r="C4174" s="35" t="s">
        <v>14757</v>
      </c>
      <c r="D4174" s="73" t="s">
        <v>14758</v>
      </c>
      <c r="E4174" s="73"/>
      <c r="F4174" s="73"/>
      <c r="G4174" s="73"/>
      <c r="H4174" s="36" t="s">
        <v>14759</v>
      </c>
      <c r="I4174" s="56" t="s">
        <v>36</v>
      </c>
      <c r="J4174" s="36"/>
      <c r="K4174" s="34">
        <v>12</v>
      </c>
      <c r="L4174" s="41">
        <v>53.586666666666666</v>
      </c>
      <c r="M4174" s="11"/>
      <c r="N4174" s="36">
        <f t="shared" si="208"/>
        <v>0</v>
      </c>
      <c r="O4174" s="47">
        <f>0.65*M4174</f>
        <v>0</v>
      </c>
      <c r="P4174" s="43">
        <f>0.00313*M4174</f>
        <v>0</v>
      </c>
      <c r="Q4174" s="50"/>
      <c r="R4174" s="36" t="s">
        <v>14760</v>
      </c>
      <c r="S4174" s="36" t="s">
        <v>435</v>
      </c>
      <c r="T4174" s="35" t="str">
        <f>HYPERLINK("https://miland.ru/api/getInfo/image/30d1b7fc-cf22-11ee-a25a-00155d82e908")</f>
        <v>https://miland.ru/api/getInfo/image/30d1b7fc-cf22-11ee-a25a-00155d82e908</v>
      </c>
      <c r="U4174" s="35"/>
      <c r="V4174" s="35" t="s">
        <v>6525</v>
      </c>
      <c r="W4174" s="35" t="s">
        <v>378</v>
      </c>
      <c r="X4174" s="35"/>
      <c r="Y4174" s="35" t="s">
        <v>41</v>
      </c>
      <c r="Z4174" s="35"/>
      <c r="AA4174" s="35" t="str">
        <f>HYPERLINK("https://miland.ru/api/getInfo/item/30d1b7fc-cf22-11ee-a25a-00155d82e908")</f>
        <v>https://miland.ru/api/getInfo/item/30d1b7fc-cf22-11ee-a25a-00155d82e908</v>
      </c>
      <c r="AB4174" s="35" t="s">
        <v>42</v>
      </c>
      <c r="AC4174" s="35" t="s">
        <v>14732</v>
      </c>
      <c r="AD4174" s="35"/>
      <c r="AE4174" s="52" t="s">
        <v>1251</v>
      </c>
    </row>
    <row r="4175" spans="2:31" s="1" customFormat="1" ht="96.3" customHeight="1" outlineLevel="7">
      <c r="B4175" s="59">
        <v>3333</v>
      </c>
      <c r="C4175" s="35" t="s">
        <v>14761</v>
      </c>
      <c r="D4175" s="73" t="s">
        <v>14762</v>
      </c>
      <c r="E4175" s="73"/>
      <c r="F4175" s="73"/>
      <c r="G4175" s="73"/>
      <c r="H4175" s="36" t="s">
        <v>14763</v>
      </c>
      <c r="I4175" s="56" t="s">
        <v>36</v>
      </c>
      <c r="J4175" s="36"/>
      <c r="K4175" s="34">
        <v>12</v>
      </c>
      <c r="L4175" s="41">
        <v>53.586666666666666</v>
      </c>
      <c r="M4175" s="11"/>
      <c r="N4175" s="36">
        <f t="shared" si="208"/>
        <v>0</v>
      </c>
      <c r="O4175" s="42">
        <f>0.053*M4175</f>
        <v>0</v>
      </c>
      <c r="P4175" s="43">
        <f>0.00382*M4175</f>
        <v>0</v>
      </c>
      <c r="Q4175" s="50"/>
      <c r="R4175" s="36" t="s">
        <v>14764</v>
      </c>
      <c r="S4175" s="36" t="s">
        <v>435</v>
      </c>
      <c r="T4175" s="35" t="str">
        <f>HYPERLINK("https://miland.ru/api/getInfo/image/2270601c-cf20-11ee-a25a-00155d82e908")</f>
        <v>https://miland.ru/api/getInfo/image/2270601c-cf20-11ee-a25a-00155d82e908</v>
      </c>
      <c r="U4175" s="35"/>
      <c r="V4175" s="35" t="s">
        <v>6525</v>
      </c>
      <c r="W4175" s="35" t="s">
        <v>378</v>
      </c>
      <c r="X4175" s="35"/>
      <c r="Y4175" s="35" t="s">
        <v>41</v>
      </c>
      <c r="Z4175" s="35"/>
      <c r="AA4175" s="35" t="str">
        <f>HYPERLINK("https://miland.ru/api/getInfo/item/2270601c-cf20-11ee-a25a-00155d82e908")</f>
        <v>https://miland.ru/api/getInfo/item/2270601c-cf20-11ee-a25a-00155d82e908</v>
      </c>
      <c r="AB4175" s="35" t="s">
        <v>42</v>
      </c>
      <c r="AC4175" s="35" t="s">
        <v>14732</v>
      </c>
      <c r="AD4175" s="35"/>
      <c r="AE4175" s="52" t="s">
        <v>1251</v>
      </c>
    </row>
    <row r="4176" spans="2:31" s="1" customFormat="1" ht="96.3" customHeight="1" outlineLevel="7">
      <c r="B4176" s="59">
        <v>3334</v>
      </c>
      <c r="C4176" s="35" t="s">
        <v>14765</v>
      </c>
      <c r="D4176" s="73" t="s">
        <v>14766</v>
      </c>
      <c r="E4176" s="73"/>
      <c r="F4176" s="73"/>
      <c r="G4176" s="73"/>
      <c r="H4176" s="36" t="s">
        <v>14767</v>
      </c>
      <c r="I4176" s="40">
        <v>24</v>
      </c>
      <c r="J4176" s="36"/>
      <c r="K4176" s="34">
        <v>12</v>
      </c>
      <c r="L4176" s="41">
        <v>53.586666666666666</v>
      </c>
      <c r="M4176" s="11"/>
      <c r="N4176" s="36">
        <f t="shared" si="208"/>
        <v>0</v>
      </c>
      <c r="O4176" s="42">
        <f>0.055*M4176</f>
        <v>0</v>
      </c>
      <c r="P4176" s="43">
        <f>0.00035*M4176</f>
        <v>0</v>
      </c>
      <c r="Q4176" s="50"/>
      <c r="R4176" s="36" t="s">
        <v>14768</v>
      </c>
      <c r="S4176" s="36" t="s">
        <v>435</v>
      </c>
      <c r="T4176" s="35" t="str">
        <f>HYPERLINK("https://miland.ru/api/getInfo/image/b094241b-039a-11ee-a23b-00155d82e902")</f>
        <v>https://miland.ru/api/getInfo/image/b094241b-039a-11ee-a23b-00155d82e902</v>
      </c>
      <c r="U4176" s="35"/>
      <c r="V4176" s="35" t="s">
        <v>6525</v>
      </c>
      <c r="W4176" s="35" t="s">
        <v>378</v>
      </c>
      <c r="X4176" s="35"/>
      <c r="Y4176" s="35" t="s">
        <v>41</v>
      </c>
      <c r="Z4176" s="35"/>
      <c r="AA4176" s="35" t="str">
        <f>HYPERLINK("https://miland.ru/api/getInfo/item/b094241b-039a-11ee-a23b-00155d82e902")</f>
        <v>https://miland.ru/api/getInfo/item/b094241b-039a-11ee-a23b-00155d82e902</v>
      </c>
      <c r="AB4176" s="35" t="s">
        <v>42</v>
      </c>
      <c r="AC4176" s="35"/>
      <c r="AD4176" s="35"/>
      <c r="AE4176" s="52" t="s">
        <v>1251</v>
      </c>
    </row>
    <row r="4177" spans="2:31" s="1" customFormat="1" ht="96.3" customHeight="1" outlineLevel="7">
      <c r="B4177" s="59">
        <v>3335</v>
      </c>
      <c r="C4177" s="35" t="s">
        <v>14769</v>
      </c>
      <c r="D4177" s="73" t="s">
        <v>14770</v>
      </c>
      <c r="E4177" s="73"/>
      <c r="F4177" s="73"/>
      <c r="G4177" s="73"/>
      <c r="H4177" s="36" t="s">
        <v>14771</v>
      </c>
      <c r="I4177" s="40">
        <v>12</v>
      </c>
      <c r="J4177" s="36"/>
      <c r="K4177" s="34">
        <v>12</v>
      </c>
      <c r="L4177" s="41">
        <v>53.586666666666666</v>
      </c>
      <c r="M4177" s="11"/>
      <c r="N4177" s="36">
        <f t="shared" si="208"/>
        <v>0</v>
      </c>
      <c r="O4177" s="42">
        <f>0.055*M4177</f>
        <v>0</v>
      </c>
      <c r="P4177" s="43">
        <f>0.00035*M4177</f>
        <v>0</v>
      </c>
      <c r="Q4177" s="50"/>
      <c r="R4177" s="36" t="s">
        <v>14772</v>
      </c>
      <c r="S4177" s="36" t="s">
        <v>435</v>
      </c>
      <c r="T4177" s="35" t="str">
        <f>HYPERLINK("https://miland.ru/api/getInfo/image/059be3cc-039b-11ee-a23b-00155d82e902")</f>
        <v>https://miland.ru/api/getInfo/image/059be3cc-039b-11ee-a23b-00155d82e902</v>
      </c>
      <c r="U4177" s="35"/>
      <c r="V4177" s="35" t="s">
        <v>6525</v>
      </c>
      <c r="W4177" s="35" t="s">
        <v>378</v>
      </c>
      <c r="X4177" s="35"/>
      <c r="Y4177" s="35" t="s">
        <v>41</v>
      </c>
      <c r="Z4177" s="35"/>
      <c r="AA4177" s="35" t="str">
        <f>HYPERLINK("https://miland.ru/api/getInfo/item/059be3cc-039b-11ee-a23b-00155d82e902")</f>
        <v>https://miland.ru/api/getInfo/item/059be3cc-039b-11ee-a23b-00155d82e902</v>
      </c>
      <c r="AB4177" s="35" t="s">
        <v>42</v>
      </c>
      <c r="AC4177" s="35"/>
      <c r="AD4177" s="35"/>
      <c r="AE4177" s="52" t="s">
        <v>1251</v>
      </c>
    </row>
    <row r="4178" spans="2:31" s="1" customFormat="1" ht="96.3" customHeight="1" outlineLevel="7">
      <c r="B4178" s="59">
        <v>3336</v>
      </c>
      <c r="C4178" s="35" t="s">
        <v>14773</v>
      </c>
      <c r="D4178" s="73" t="s">
        <v>14774</v>
      </c>
      <c r="E4178" s="73"/>
      <c r="F4178" s="73"/>
      <c r="G4178" s="73"/>
      <c r="H4178" s="36" t="s">
        <v>14775</v>
      </c>
      <c r="I4178" s="40">
        <v>12</v>
      </c>
      <c r="J4178" s="36"/>
      <c r="K4178" s="34">
        <v>12</v>
      </c>
      <c r="L4178" s="41">
        <v>53.586666666666666</v>
      </c>
      <c r="M4178" s="11"/>
      <c r="N4178" s="36">
        <f t="shared" si="208"/>
        <v>0</v>
      </c>
      <c r="O4178" s="47">
        <f>0.65*M4178</f>
        <v>0</v>
      </c>
      <c r="P4178" s="43">
        <f>0.00313*M4178</f>
        <v>0</v>
      </c>
      <c r="Q4178" s="50"/>
      <c r="R4178" s="36" t="s">
        <v>14776</v>
      </c>
      <c r="S4178" s="36" t="s">
        <v>435</v>
      </c>
      <c r="T4178" s="35" t="str">
        <f>HYPERLINK("https://miland.ru/api/getInfo/image/b6f3a0da-039b-11ef-a25d-00155d82e908")</f>
        <v>https://miland.ru/api/getInfo/image/b6f3a0da-039b-11ef-a25d-00155d82e908</v>
      </c>
      <c r="U4178" s="35"/>
      <c r="V4178" s="35" t="s">
        <v>6525</v>
      </c>
      <c r="W4178" s="35" t="s">
        <v>378</v>
      </c>
      <c r="X4178" s="35"/>
      <c r="Y4178" s="35" t="s">
        <v>41</v>
      </c>
      <c r="Z4178" s="35"/>
      <c r="AA4178" s="35" t="str">
        <f>HYPERLINK("https://miland.ru/api/getInfo/item/b6f3a0da-039b-11ef-a25d-00155d82e908")</f>
        <v>https://miland.ru/api/getInfo/item/b6f3a0da-039b-11ef-a25d-00155d82e908</v>
      </c>
      <c r="AB4178" s="35" t="s">
        <v>42</v>
      </c>
      <c r="AC4178" s="35"/>
      <c r="AD4178" s="35"/>
      <c r="AE4178" s="52" t="s">
        <v>1251</v>
      </c>
    </row>
    <row r="4179" spans="2:31" s="1" customFormat="1" ht="96.3" customHeight="1" outlineLevel="7">
      <c r="B4179" s="57">
        <v>3337</v>
      </c>
      <c r="C4179" s="21" t="s">
        <v>14777</v>
      </c>
      <c r="D4179" s="72" t="s">
        <v>14778</v>
      </c>
      <c r="E4179" s="72"/>
      <c r="F4179" s="72"/>
      <c r="G4179" s="72"/>
      <c r="H4179" s="22" t="s">
        <v>14779</v>
      </c>
      <c r="I4179" s="23" t="s">
        <v>36</v>
      </c>
      <c r="J4179" s="22"/>
      <c r="K4179" s="20">
        <v>12</v>
      </c>
      <c r="L4179" s="24">
        <v>52.8</v>
      </c>
      <c r="M4179" s="11"/>
      <c r="N4179" s="22">
        <f t="shared" si="208"/>
        <v>0</v>
      </c>
      <c r="O4179" s="25">
        <f>0.023*M4179</f>
        <v>0</v>
      </c>
      <c r="P4179" s="26">
        <f>0.00011*M4179</f>
        <v>0</v>
      </c>
      <c r="Q4179" s="30"/>
      <c r="R4179" s="22" t="s">
        <v>14780</v>
      </c>
      <c r="S4179" s="22"/>
      <c r="T4179" s="21" t="str">
        <f>HYPERLINK("https://miland.ru/api/getInfo/image/fd3270ee-58a5-11f0-a27f-00155d82e908")</f>
        <v>https://miland.ru/api/getInfo/image/fd3270ee-58a5-11f0-a27f-00155d82e908</v>
      </c>
      <c r="U4179" s="21"/>
      <c r="V4179" s="21"/>
      <c r="W4179" s="21" t="s">
        <v>378</v>
      </c>
      <c r="X4179" s="21"/>
      <c r="Y4179" s="21" t="s">
        <v>41</v>
      </c>
      <c r="Z4179" s="21"/>
      <c r="AA4179" s="21" t="str">
        <f>HYPERLINK("https://miland.ru/api/getInfo/item/fd3270ee-58a5-11f0-a27f-00155d82e908")</f>
        <v>https://miland.ru/api/getInfo/item/fd3270ee-58a5-11f0-a27f-00155d82e908</v>
      </c>
      <c r="AB4179" s="21" t="s">
        <v>42</v>
      </c>
      <c r="AC4179" s="21"/>
      <c r="AD4179" s="21"/>
    </row>
    <row r="4180" spans="2:31" s="1" customFormat="1" ht="96.3" customHeight="1" outlineLevel="7">
      <c r="B4180" s="57">
        <v>3338</v>
      </c>
      <c r="C4180" s="21" t="s">
        <v>14781</v>
      </c>
      <c r="D4180" s="72" t="s">
        <v>14782</v>
      </c>
      <c r="E4180" s="72"/>
      <c r="F4180" s="72"/>
      <c r="G4180" s="72"/>
      <c r="H4180" s="22" t="s">
        <v>14783</v>
      </c>
      <c r="I4180" s="23" t="s">
        <v>36</v>
      </c>
      <c r="J4180" s="22"/>
      <c r="K4180" s="20">
        <v>12</v>
      </c>
      <c r="L4180" s="24">
        <v>52.8</v>
      </c>
      <c r="M4180" s="11"/>
      <c r="N4180" s="22">
        <f t="shared" si="208"/>
        <v>0</v>
      </c>
      <c r="O4180" s="25">
        <f>0.023*M4180</f>
        <v>0</v>
      </c>
      <c r="P4180" s="26">
        <f>0.00026*M4180</f>
        <v>0</v>
      </c>
      <c r="Q4180" s="30"/>
      <c r="R4180" s="22" t="s">
        <v>14784</v>
      </c>
      <c r="S4180" s="22"/>
      <c r="T4180" s="21" t="str">
        <f>HYPERLINK("https://miland.ru/api/getInfo/image/7d31e13e-58a6-11f0-a27f-00155d82e908")</f>
        <v>https://miland.ru/api/getInfo/image/7d31e13e-58a6-11f0-a27f-00155d82e908</v>
      </c>
      <c r="U4180" s="21"/>
      <c r="V4180" s="21"/>
      <c r="W4180" s="21" t="s">
        <v>378</v>
      </c>
      <c r="X4180" s="21"/>
      <c r="Y4180" s="21" t="s">
        <v>41</v>
      </c>
      <c r="Z4180" s="21"/>
      <c r="AA4180" s="21" t="str">
        <f>HYPERLINK("https://miland.ru/api/getInfo/item/7d31e13e-58a6-11f0-a27f-00155d82e908")</f>
        <v>https://miland.ru/api/getInfo/item/7d31e13e-58a6-11f0-a27f-00155d82e908</v>
      </c>
      <c r="AB4180" s="21" t="s">
        <v>42</v>
      </c>
      <c r="AC4180" s="21"/>
      <c r="AD4180" s="21"/>
    </row>
    <row r="4181" spans="2:31" s="1" customFormat="1" ht="96.3" customHeight="1" outlineLevel="7">
      <c r="B4181" s="57">
        <v>3339</v>
      </c>
      <c r="C4181" s="21" t="s">
        <v>14785</v>
      </c>
      <c r="D4181" s="72" t="s">
        <v>14786</v>
      </c>
      <c r="E4181" s="72"/>
      <c r="F4181" s="72"/>
      <c r="G4181" s="72"/>
      <c r="H4181" s="22" t="s">
        <v>14787</v>
      </c>
      <c r="I4181" s="23" t="s">
        <v>36</v>
      </c>
      <c r="J4181" s="22"/>
      <c r="K4181" s="20">
        <v>12</v>
      </c>
      <c r="L4181" s="24">
        <v>52.8</v>
      </c>
      <c r="M4181" s="11"/>
      <c r="N4181" s="22">
        <f t="shared" si="208"/>
        <v>0</v>
      </c>
      <c r="O4181" s="25">
        <f>0.023*M4181</f>
        <v>0</v>
      </c>
      <c r="P4181" s="26">
        <f>0.00023*M4181</f>
        <v>0</v>
      </c>
      <c r="Q4181" s="30"/>
      <c r="R4181" s="22" t="s">
        <v>14788</v>
      </c>
      <c r="S4181" s="22"/>
      <c r="T4181" s="21" t="str">
        <f>HYPERLINK("https://miland.ru/api/getInfo/image/42eaa408-58a6-11f0-a27f-00155d82e908")</f>
        <v>https://miland.ru/api/getInfo/image/42eaa408-58a6-11f0-a27f-00155d82e908</v>
      </c>
      <c r="U4181" s="21"/>
      <c r="V4181" s="21"/>
      <c r="W4181" s="21" t="s">
        <v>378</v>
      </c>
      <c r="X4181" s="21"/>
      <c r="Y4181" s="21" t="s">
        <v>41</v>
      </c>
      <c r="Z4181" s="21"/>
      <c r="AA4181" s="21" t="str">
        <f>HYPERLINK("https://miland.ru/api/getInfo/item/42eaa408-58a6-11f0-a27f-00155d82e908")</f>
        <v>https://miland.ru/api/getInfo/item/42eaa408-58a6-11f0-a27f-00155d82e908</v>
      </c>
      <c r="AB4181" s="21" t="s">
        <v>42</v>
      </c>
      <c r="AC4181" s="21"/>
      <c r="AD4181" s="21"/>
    </row>
    <row r="4182" spans="2:31" ht="12" customHeight="1" outlineLevel="6">
      <c r="B4182" s="70" t="s">
        <v>13725</v>
      </c>
      <c r="C4182" s="70"/>
      <c r="D4182" s="70"/>
      <c r="E4182" s="70"/>
      <c r="F4182" s="70"/>
      <c r="G4182" s="70"/>
    </row>
    <row r="4183" spans="2:31" s="1" customFormat="1" ht="96.3" customHeight="1" outlineLevel="7">
      <c r="B4183" s="58">
        <v>3340</v>
      </c>
      <c r="C4183" s="7" t="s">
        <v>14789</v>
      </c>
      <c r="D4183" s="71" t="s">
        <v>14790</v>
      </c>
      <c r="E4183" s="71"/>
      <c r="F4183" s="71"/>
      <c r="G4183" s="71"/>
      <c r="H4183" s="8" t="s">
        <v>14791</v>
      </c>
      <c r="I4183" s="9" t="s">
        <v>36</v>
      </c>
      <c r="J4183" s="8"/>
      <c r="K4183" s="6">
        <v>12</v>
      </c>
      <c r="L4183" s="10">
        <v>43.42</v>
      </c>
      <c r="M4183" s="11"/>
      <c r="N4183" s="8">
        <f>L4183*M4183</f>
        <v>0</v>
      </c>
      <c r="O4183" s="12">
        <f>0.053*M4183</f>
        <v>0</v>
      </c>
      <c r="P4183" s="13">
        <f>0.00052*M4183</f>
        <v>0</v>
      </c>
      <c r="Q4183" s="17" t="s">
        <v>37</v>
      </c>
      <c r="R4183" s="8" t="s">
        <v>14792</v>
      </c>
      <c r="S4183" s="8"/>
      <c r="T4183" s="7" t="str">
        <f>HYPERLINK("https://miland.ru/api/getInfo/image/acd1575a-05b6-11f1-a28f-00155d82e908")</f>
        <v>https://miland.ru/api/getInfo/image/acd1575a-05b6-11f1-a28f-00155d82e908</v>
      </c>
      <c r="U4183" s="7"/>
      <c r="V4183" s="7"/>
      <c r="W4183" s="7" t="s">
        <v>378</v>
      </c>
      <c r="X4183" s="7"/>
      <c r="Y4183" s="7" t="s">
        <v>41</v>
      </c>
      <c r="Z4183" s="7"/>
      <c r="AA4183" s="7" t="str">
        <f>HYPERLINK("https://miland.ru/api/getInfo/item/acd1575a-05b6-11f1-a28f-00155d82e908")</f>
        <v>https://miland.ru/api/getInfo/item/acd1575a-05b6-11f1-a28f-00155d82e908</v>
      </c>
      <c r="AB4183" s="7" t="s">
        <v>42</v>
      </c>
      <c r="AC4183" s="7"/>
      <c r="AD4183" s="7"/>
      <c r="AE4183" s="54"/>
    </row>
    <row r="4184" spans="2:31" s="1" customFormat="1" ht="96.3" customHeight="1" outlineLevel="7">
      <c r="B4184" s="58">
        <v>3341</v>
      </c>
      <c r="C4184" s="7" t="s">
        <v>14793</v>
      </c>
      <c r="D4184" s="71" t="s">
        <v>14794</v>
      </c>
      <c r="E4184" s="71"/>
      <c r="F4184" s="71"/>
      <c r="G4184" s="71"/>
      <c r="H4184" s="8" t="s">
        <v>14795</v>
      </c>
      <c r="I4184" s="9" t="s">
        <v>36</v>
      </c>
      <c r="J4184" s="8"/>
      <c r="K4184" s="6">
        <v>12</v>
      </c>
      <c r="L4184" s="10">
        <v>43.42</v>
      </c>
      <c r="M4184" s="11"/>
      <c r="N4184" s="8">
        <f>L4184*M4184</f>
        <v>0</v>
      </c>
      <c r="O4184" s="12">
        <f>0.067*M4184</f>
        <v>0</v>
      </c>
      <c r="P4184" s="13">
        <f>0.00045*M4184</f>
        <v>0</v>
      </c>
      <c r="Q4184" s="17" t="s">
        <v>37</v>
      </c>
      <c r="R4184" s="8" t="s">
        <v>14796</v>
      </c>
      <c r="S4184" s="8"/>
      <c r="T4184" s="7" t="str">
        <f>HYPERLINK("https://miland.ru/api/getInfo/image/60bd545e-05b6-11f1-a28f-00155d82e908")</f>
        <v>https://miland.ru/api/getInfo/image/60bd545e-05b6-11f1-a28f-00155d82e908</v>
      </c>
      <c r="U4184" s="7"/>
      <c r="V4184" s="7"/>
      <c r="W4184" s="7" t="s">
        <v>378</v>
      </c>
      <c r="X4184" s="7"/>
      <c r="Y4184" s="7" t="s">
        <v>41</v>
      </c>
      <c r="Z4184" s="7"/>
      <c r="AA4184" s="7" t="str">
        <f>HYPERLINK("https://miland.ru/api/getInfo/item/60bd545e-05b6-11f1-a28f-00155d82e908")</f>
        <v>https://miland.ru/api/getInfo/item/60bd545e-05b6-11f1-a28f-00155d82e908</v>
      </c>
      <c r="AB4184" s="7" t="s">
        <v>42</v>
      </c>
      <c r="AC4184" s="7"/>
      <c r="AD4184" s="7"/>
      <c r="AE4184" s="54"/>
    </row>
    <row r="4185" spans="2:31" ht="12" customHeight="1" outlineLevel="5">
      <c r="B4185" s="70" t="s">
        <v>7608</v>
      </c>
      <c r="C4185" s="70"/>
      <c r="D4185" s="70"/>
      <c r="E4185" s="70"/>
      <c r="F4185" s="70"/>
      <c r="G4185" s="70"/>
    </row>
    <row r="4186" spans="2:31" ht="12" customHeight="1" outlineLevel="6">
      <c r="B4186" s="70" t="s">
        <v>14797</v>
      </c>
      <c r="C4186" s="70"/>
      <c r="D4186" s="70"/>
      <c r="E4186" s="70"/>
      <c r="F4186" s="70"/>
      <c r="G4186" s="70"/>
    </row>
    <row r="4187" spans="2:31" s="1" customFormat="1" ht="96.3" customHeight="1" outlineLevel="7">
      <c r="B4187" s="57">
        <v>3342</v>
      </c>
      <c r="C4187" s="21" t="s">
        <v>14798</v>
      </c>
      <c r="D4187" s="72" t="s">
        <v>14799</v>
      </c>
      <c r="E4187" s="72"/>
      <c r="F4187" s="72"/>
      <c r="G4187" s="72"/>
      <c r="H4187" s="22" t="s">
        <v>14800</v>
      </c>
      <c r="I4187" s="23" t="s">
        <v>36</v>
      </c>
      <c r="J4187" s="22"/>
      <c r="K4187" s="20">
        <v>12</v>
      </c>
      <c r="L4187" s="24">
        <v>62.36</v>
      </c>
      <c r="M4187" s="11"/>
      <c r="N4187" s="22">
        <f t="shared" ref="N4187:N4196" si="209">L4187*M4187</f>
        <v>0</v>
      </c>
      <c r="O4187" s="25">
        <f>0.064*M4187</f>
        <v>0</v>
      </c>
      <c r="P4187" s="26">
        <f>0.00197*M4187</f>
        <v>0</v>
      </c>
      <c r="Q4187" s="30"/>
      <c r="R4187" s="22" t="s">
        <v>14801</v>
      </c>
      <c r="S4187" s="22"/>
      <c r="T4187" s="21" t="str">
        <f>HYPERLINK("https://miland.ru/api/getInfo/image/d7dc91ae-edc9-11ef-a274-00155d82e908")</f>
        <v>https://miland.ru/api/getInfo/image/d7dc91ae-edc9-11ef-a274-00155d82e908</v>
      </c>
      <c r="U4187" s="21"/>
      <c r="V4187" s="21" t="s">
        <v>6525</v>
      </c>
      <c r="W4187" s="21" t="s">
        <v>378</v>
      </c>
      <c r="X4187" s="21"/>
      <c r="Y4187" s="21" t="s">
        <v>41</v>
      </c>
      <c r="Z4187" s="21"/>
      <c r="AA4187" s="21" t="str">
        <f>HYPERLINK("https://miland.ru/api/getInfo/item/d7dc91ae-edc9-11ef-a274-00155d82e908")</f>
        <v>https://miland.ru/api/getInfo/item/d7dc91ae-edc9-11ef-a274-00155d82e908</v>
      </c>
      <c r="AB4187" s="21" t="s">
        <v>42</v>
      </c>
      <c r="AC4187" s="21"/>
      <c r="AD4187" s="21"/>
    </row>
    <row r="4188" spans="2:31" s="1" customFormat="1" ht="96.3" customHeight="1" outlineLevel="7">
      <c r="B4188" s="57">
        <v>3343</v>
      </c>
      <c r="C4188" s="21" t="s">
        <v>14802</v>
      </c>
      <c r="D4188" s="72" t="s">
        <v>14803</v>
      </c>
      <c r="E4188" s="72"/>
      <c r="F4188" s="72"/>
      <c r="G4188" s="72"/>
      <c r="H4188" s="22" t="s">
        <v>14804</v>
      </c>
      <c r="I4188" s="23" t="s">
        <v>36</v>
      </c>
      <c r="J4188" s="22"/>
      <c r="K4188" s="20">
        <v>12</v>
      </c>
      <c r="L4188" s="24">
        <v>62.36</v>
      </c>
      <c r="M4188" s="11"/>
      <c r="N4188" s="22">
        <f t="shared" si="209"/>
        <v>0</v>
      </c>
      <c r="O4188" s="25">
        <f>0.069*M4188</f>
        <v>0</v>
      </c>
      <c r="P4188" s="26">
        <f>0.00154*M4188</f>
        <v>0</v>
      </c>
      <c r="Q4188" s="30"/>
      <c r="R4188" s="22" t="s">
        <v>14805</v>
      </c>
      <c r="S4188" s="22"/>
      <c r="T4188" s="21" t="str">
        <f>HYPERLINK("https://miland.ru/api/getInfo/image/bb7a8f56-edc8-11ef-a274-00155d82e908")</f>
        <v>https://miland.ru/api/getInfo/image/bb7a8f56-edc8-11ef-a274-00155d82e908</v>
      </c>
      <c r="U4188" s="21"/>
      <c r="V4188" s="21" t="s">
        <v>6525</v>
      </c>
      <c r="W4188" s="21" t="s">
        <v>378</v>
      </c>
      <c r="X4188" s="21"/>
      <c r="Y4188" s="21" t="s">
        <v>41</v>
      </c>
      <c r="Z4188" s="21"/>
      <c r="AA4188" s="21" t="str">
        <f>HYPERLINK("https://miland.ru/api/getInfo/item/bb7a8f56-edc8-11ef-a274-00155d82e908")</f>
        <v>https://miland.ru/api/getInfo/item/bb7a8f56-edc8-11ef-a274-00155d82e908</v>
      </c>
      <c r="AB4188" s="21" t="s">
        <v>42</v>
      </c>
      <c r="AC4188" s="21"/>
      <c r="AD4188" s="21"/>
    </row>
    <row r="4189" spans="2:31" s="1" customFormat="1" ht="96.3" customHeight="1" outlineLevel="7">
      <c r="B4189" s="58">
        <v>3344</v>
      </c>
      <c r="C4189" s="7" t="s">
        <v>14806</v>
      </c>
      <c r="D4189" s="71" t="s">
        <v>14807</v>
      </c>
      <c r="E4189" s="71"/>
      <c r="F4189" s="71"/>
      <c r="G4189" s="71"/>
      <c r="H4189" s="8" t="s">
        <v>14808</v>
      </c>
      <c r="I4189" s="9" t="s">
        <v>36</v>
      </c>
      <c r="J4189" s="8"/>
      <c r="K4189" s="6">
        <v>12</v>
      </c>
      <c r="L4189" s="10">
        <v>62.36</v>
      </c>
      <c r="M4189" s="11"/>
      <c r="N4189" s="8">
        <f t="shared" si="209"/>
        <v>0</v>
      </c>
      <c r="O4189" s="12">
        <f>0.059*M4189</f>
        <v>0</v>
      </c>
      <c r="P4189" s="13">
        <f>0.00026*M4189</f>
        <v>0</v>
      </c>
      <c r="Q4189" s="17" t="s">
        <v>37</v>
      </c>
      <c r="R4189" s="8" t="s">
        <v>14809</v>
      </c>
      <c r="S4189" s="8"/>
      <c r="T4189" s="7" t="str">
        <f>HYPERLINK("https://miland.ru/api/getInfo/image/57fbcb48-9dee-11f0-a285-00155d82e908")</f>
        <v>https://miland.ru/api/getInfo/image/57fbcb48-9dee-11f0-a285-00155d82e908</v>
      </c>
      <c r="U4189" s="7"/>
      <c r="V4189" s="7" t="s">
        <v>6525</v>
      </c>
      <c r="W4189" s="7" t="s">
        <v>378</v>
      </c>
      <c r="X4189" s="7"/>
      <c r="Y4189" s="7" t="s">
        <v>41</v>
      </c>
      <c r="Z4189" s="7"/>
      <c r="AA4189" s="7" t="str">
        <f>HYPERLINK("https://miland.ru/api/getInfo/item/57fbcb48-9dee-11f0-a285-00155d82e908")</f>
        <v>https://miland.ru/api/getInfo/item/57fbcb48-9dee-11f0-a285-00155d82e908</v>
      </c>
      <c r="AB4189" s="7" t="s">
        <v>42</v>
      </c>
      <c r="AC4189" s="7"/>
      <c r="AD4189" s="7"/>
      <c r="AE4189" s="54"/>
    </row>
    <row r="4190" spans="2:31" s="1" customFormat="1" ht="96.3" customHeight="1" outlineLevel="7">
      <c r="B4190" s="58">
        <v>3345</v>
      </c>
      <c r="C4190" s="7" t="s">
        <v>14810</v>
      </c>
      <c r="D4190" s="71" t="s">
        <v>14811</v>
      </c>
      <c r="E4190" s="71"/>
      <c r="F4190" s="71"/>
      <c r="G4190" s="71"/>
      <c r="H4190" s="8" t="s">
        <v>14812</v>
      </c>
      <c r="I4190" s="9" t="s">
        <v>36</v>
      </c>
      <c r="J4190" s="8"/>
      <c r="K4190" s="6">
        <v>12</v>
      </c>
      <c r="L4190" s="10">
        <v>62.36</v>
      </c>
      <c r="M4190" s="11"/>
      <c r="N4190" s="8">
        <f t="shared" si="209"/>
        <v>0</v>
      </c>
      <c r="O4190" s="12">
        <f>0.065*M4190</f>
        <v>0</v>
      </c>
      <c r="P4190" s="13">
        <f>0.00035*M4190</f>
        <v>0</v>
      </c>
      <c r="Q4190" s="17" t="s">
        <v>37</v>
      </c>
      <c r="R4190" s="8" t="s">
        <v>14813</v>
      </c>
      <c r="S4190" s="8"/>
      <c r="T4190" s="7" t="str">
        <f>HYPERLINK("https://miland.ru/api/getInfo/image/f235deb6-9ded-11f0-a285-00155d82e908")</f>
        <v>https://miland.ru/api/getInfo/image/f235deb6-9ded-11f0-a285-00155d82e908</v>
      </c>
      <c r="U4190" s="7"/>
      <c r="V4190" s="7" t="s">
        <v>6525</v>
      </c>
      <c r="W4190" s="7" t="s">
        <v>378</v>
      </c>
      <c r="X4190" s="7"/>
      <c r="Y4190" s="7" t="s">
        <v>41</v>
      </c>
      <c r="Z4190" s="7"/>
      <c r="AA4190" s="7" t="str">
        <f>HYPERLINK("https://miland.ru/api/getInfo/item/f235deb6-9ded-11f0-a285-00155d82e908")</f>
        <v>https://miland.ru/api/getInfo/item/f235deb6-9ded-11f0-a285-00155d82e908</v>
      </c>
      <c r="AB4190" s="7" t="s">
        <v>42</v>
      </c>
      <c r="AC4190" s="7"/>
      <c r="AD4190" s="7"/>
      <c r="AE4190" s="54"/>
    </row>
    <row r="4191" spans="2:31" s="1" customFormat="1" ht="96.3" customHeight="1" outlineLevel="7">
      <c r="B4191" s="58">
        <v>3346</v>
      </c>
      <c r="C4191" s="7" t="s">
        <v>14814</v>
      </c>
      <c r="D4191" s="71" t="s">
        <v>14815</v>
      </c>
      <c r="E4191" s="71"/>
      <c r="F4191" s="71"/>
      <c r="G4191" s="71"/>
      <c r="H4191" s="8" t="s">
        <v>14816</v>
      </c>
      <c r="I4191" s="9" t="s">
        <v>36</v>
      </c>
      <c r="J4191" s="8"/>
      <c r="K4191" s="6">
        <v>12</v>
      </c>
      <c r="L4191" s="10">
        <v>62.36</v>
      </c>
      <c r="M4191" s="11"/>
      <c r="N4191" s="8">
        <f t="shared" si="209"/>
        <v>0</v>
      </c>
      <c r="O4191" s="12">
        <f>0.065*M4191</f>
        <v>0</v>
      </c>
      <c r="P4191" s="13">
        <f>0.00035*M4191</f>
        <v>0</v>
      </c>
      <c r="Q4191" s="17" t="s">
        <v>37</v>
      </c>
      <c r="R4191" s="8" t="s">
        <v>14817</v>
      </c>
      <c r="S4191" s="8"/>
      <c r="T4191" s="7" t="str">
        <f>HYPERLINK("https://miland.ru/api/getInfo/image/1819ba9c-9dee-11f0-a285-00155d82e908")</f>
        <v>https://miland.ru/api/getInfo/image/1819ba9c-9dee-11f0-a285-00155d82e908</v>
      </c>
      <c r="U4191" s="7"/>
      <c r="V4191" s="7" t="s">
        <v>6525</v>
      </c>
      <c r="W4191" s="7" t="s">
        <v>378</v>
      </c>
      <c r="X4191" s="7"/>
      <c r="Y4191" s="7" t="s">
        <v>41</v>
      </c>
      <c r="Z4191" s="7"/>
      <c r="AA4191" s="7" t="str">
        <f>HYPERLINK("https://miland.ru/api/getInfo/item/1819ba9c-9dee-11f0-a285-00155d82e908")</f>
        <v>https://miland.ru/api/getInfo/item/1819ba9c-9dee-11f0-a285-00155d82e908</v>
      </c>
      <c r="AB4191" s="7" t="s">
        <v>42</v>
      </c>
      <c r="AC4191" s="7"/>
      <c r="AD4191" s="7"/>
      <c r="AE4191" s="54"/>
    </row>
    <row r="4192" spans="2:31" s="1" customFormat="1" ht="96.3" customHeight="1" outlineLevel="7">
      <c r="B4192" s="57">
        <v>3347</v>
      </c>
      <c r="C4192" s="21" t="s">
        <v>14818</v>
      </c>
      <c r="D4192" s="72" t="s">
        <v>14819</v>
      </c>
      <c r="E4192" s="72"/>
      <c r="F4192" s="72"/>
      <c r="G4192" s="72"/>
      <c r="H4192" s="22" t="s">
        <v>14820</v>
      </c>
      <c r="I4192" s="23" t="s">
        <v>36</v>
      </c>
      <c r="J4192" s="22"/>
      <c r="K4192" s="20">
        <v>12</v>
      </c>
      <c r="L4192" s="24">
        <v>62.36</v>
      </c>
      <c r="M4192" s="11"/>
      <c r="N4192" s="22">
        <f t="shared" si="209"/>
        <v>0</v>
      </c>
      <c r="O4192" s="25">
        <f>0.074*M4192</f>
        <v>0</v>
      </c>
      <c r="P4192" s="26">
        <f>0.00143*M4192</f>
        <v>0</v>
      </c>
      <c r="Q4192" s="30"/>
      <c r="R4192" s="22" t="s">
        <v>14821</v>
      </c>
      <c r="S4192" s="22"/>
      <c r="T4192" s="21" t="str">
        <f>HYPERLINK("https://miland.ru/api/getInfo/image/c30573c1-edc9-11ef-a274-00155d82e908")</f>
        <v>https://miland.ru/api/getInfo/image/c30573c1-edc9-11ef-a274-00155d82e908</v>
      </c>
      <c r="U4192" s="21"/>
      <c r="V4192" s="21" t="s">
        <v>6525</v>
      </c>
      <c r="W4192" s="21" t="s">
        <v>378</v>
      </c>
      <c r="X4192" s="21"/>
      <c r="Y4192" s="21" t="s">
        <v>41</v>
      </c>
      <c r="Z4192" s="21"/>
      <c r="AA4192" s="21" t="str">
        <f>HYPERLINK("https://miland.ru/api/getInfo/item/c30573c1-edc9-11ef-a274-00155d82e908")</f>
        <v>https://miland.ru/api/getInfo/item/c30573c1-edc9-11ef-a274-00155d82e908</v>
      </c>
      <c r="AB4192" s="21" t="s">
        <v>42</v>
      </c>
      <c r="AC4192" s="21"/>
      <c r="AD4192" s="21"/>
    </row>
    <row r="4193" spans="2:31" s="1" customFormat="1" ht="96.3" customHeight="1" outlineLevel="7">
      <c r="B4193" s="57">
        <v>3348</v>
      </c>
      <c r="C4193" s="21" t="s">
        <v>14822</v>
      </c>
      <c r="D4193" s="72" t="s">
        <v>14823</v>
      </c>
      <c r="E4193" s="72"/>
      <c r="F4193" s="72"/>
      <c r="G4193" s="72"/>
      <c r="H4193" s="22" t="s">
        <v>14824</v>
      </c>
      <c r="I4193" s="23" t="s">
        <v>36</v>
      </c>
      <c r="J4193" s="22"/>
      <c r="K4193" s="20">
        <v>12</v>
      </c>
      <c r="L4193" s="24">
        <v>62.36</v>
      </c>
      <c r="M4193" s="11"/>
      <c r="N4193" s="22">
        <f t="shared" si="209"/>
        <v>0</v>
      </c>
      <c r="O4193" s="25">
        <f>0.071*M4193</f>
        <v>0</v>
      </c>
      <c r="P4193" s="26">
        <f>0.00153*M4193</f>
        <v>0</v>
      </c>
      <c r="Q4193" s="30"/>
      <c r="R4193" s="22" t="s">
        <v>14825</v>
      </c>
      <c r="S4193" s="22"/>
      <c r="T4193" s="21" t="str">
        <f>HYPERLINK("https://miland.ru/api/getInfo/image/ab1ad375-edc9-11ef-a274-00155d82e908")</f>
        <v>https://miland.ru/api/getInfo/image/ab1ad375-edc9-11ef-a274-00155d82e908</v>
      </c>
      <c r="U4193" s="21"/>
      <c r="V4193" s="21" t="s">
        <v>6525</v>
      </c>
      <c r="W4193" s="21" t="s">
        <v>378</v>
      </c>
      <c r="X4193" s="21"/>
      <c r="Y4193" s="21" t="s">
        <v>41</v>
      </c>
      <c r="Z4193" s="21"/>
      <c r="AA4193" s="21" t="str">
        <f>HYPERLINK("https://miland.ru/api/getInfo/item/ab1ad375-edc9-11ef-a274-00155d82e908")</f>
        <v>https://miland.ru/api/getInfo/item/ab1ad375-edc9-11ef-a274-00155d82e908</v>
      </c>
      <c r="AB4193" s="21" t="s">
        <v>42</v>
      </c>
      <c r="AC4193" s="21"/>
      <c r="AD4193" s="21"/>
    </row>
    <row r="4194" spans="2:31" s="1" customFormat="1" ht="96.3" customHeight="1" outlineLevel="7">
      <c r="B4194" s="57">
        <v>3349</v>
      </c>
      <c r="C4194" s="21" t="s">
        <v>14826</v>
      </c>
      <c r="D4194" s="72" t="s">
        <v>14827</v>
      </c>
      <c r="E4194" s="72"/>
      <c r="F4194" s="72"/>
      <c r="G4194" s="72"/>
      <c r="H4194" s="22" t="s">
        <v>14828</v>
      </c>
      <c r="I4194" s="23" t="s">
        <v>36</v>
      </c>
      <c r="J4194" s="22"/>
      <c r="K4194" s="20">
        <v>12</v>
      </c>
      <c r="L4194" s="24">
        <v>62.36</v>
      </c>
      <c r="M4194" s="11"/>
      <c r="N4194" s="22">
        <f t="shared" si="209"/>
        <v>0</v>
      </c>
      <c r="O4194" s="25">
        <f>0.071*M4194</f>
        <v>0</v>
      </c>
      <c r="P4194" s="26">
        <f>0.00114*M4194</f>
        <v>0</v>
      </c>
      <c r="Q4194" s="30"/>
      <c r="R4194" s="22" t="s">
        <v>14829</v>
      </c>
      <c r="S4194" s="22" t="s">
        <v>435</v>
      </c>
      <c r="T4194" s="21" t="str">
        <f>HYPERLINK("https://miland.ru/api/getInfo/image/4cbd6bc3-5ec1-11ef-a262-00155d82e908")</f>
        <v>https://miland.ru/api/getInfo/image/4cbd6bc3-5ec1-11ef-a262-00155d82e908</v>
      </c>
      <c r="U4194" s="21"/>
      <c r="V4194" s="21" t="s">
        <v>6525</v>
      </c>
      <c r="W4194" s="21" t="s">
        <v>378</v>
      </c>
      <c r="X4194" s="21"/>
      <c r="Y4194" s="21" t="s">
        <v>41</v>
      </c>
      <c r="Z4194" s="21"/>
      <c r="AA4194" s="21" t="str">
        <f>HYPERLINK("https://miland.ru/api/getInfo/item/4cbd6bc3-5ec1-11ef-a262-00155d82e908")</f>
        <v>https://miland.ru/api/getInfo/item/4cbd6bc3-5ec1-11ef-a262-00155d82e908</v>
      </c>
      <c r="AB4194" s="21" t="s">
        <v>42</v>
      </c>
      <c r="AC4194" s="21" t="s">
        <v>14830</v>
      </c>
      <c r="AD4194" s="21"/>
    </row>
    <row r="4195" spans="2:31" s="1" customFormat="1" ht="96.3" customHeight="1" outlineLevel="7">
      <c r="B4195" s="57">
        <v>3350</v>
      </c>
      <c r="C4195" s="21" t="s">
        <v>14831</v>
      </c>
      <c r="D4195" s="72" t="s">
        <v>14832</v>
      </c>
      <c r="E4195" s="72"/>
      <c r="F4195" s="72"/>
      <c r="G4195" s="72"/>
      <c r="H4195" s="22" t="s">
        <v>14833</v>
      </c>
      <c r="I4195" s="23" t="s">
        <v>36</v>
      </c>
      <c r="J4195" s="22"/>
      <c r="K4195" s="20">
        <v>12</v>
      </c>
      <c r="L4195" s="24">
        <v>62.36</v>
      </c>
      <c r="M4195" s="11"/>
      <c r="N4195" s="22">
        <f t="shared" si="209"/>
        <v>0</v>
      </c>
      <c r="O4195" s="25">
        <f>0.067*M4195</f>
        <v>0</v>
      </c>
      <c r="P4195" s="26">
        <f>0.00148*M4195</f>
        <v>0</v>
      </c>
      <c r="Q4195" s="30"/>
      <c r="R4195" s="22" t="s">
        <v>14834</v>
      </c>
      <c r="S4195" s="22" t="s">
        <v>435</v>
      </c>
      <c r="T4195" s="21" t="str">
        <f>HYPERLINK("https://miland.ru/api/getInfo/image/339f3b78-5ec1-11ef-a262-00155d82e908")</f>
        <v>https://miland.ru/api/getInfo/image/339f3b78-5ec1-11ef-a262-00155d82e908</v>
      </c>
      <c r="U4195" s="21"/>
      <c r="V4195" s="21" t="s">
        <v>6525</v>
      </c>
      <c r="W4195" s="21" t="s">
        <v>378</v>
      </c>
      <c r="X4195" s="21"/>
      <c r="Y4195" s="21" t="s">
        <v>41</v>
      </c>
      <c r="Z4195" s="21"/>
      <c r="AA4195" s="21" t="str">
        <f>HYPERLINK("https://miland.ru/api/getInfo/item/339f3b78-5ec1-11ef-a262-00155d82e908")</f>
        <v>https://miland.ru/api/getInfo/item/339f3b78-5ec1-11ef-a262-00155d82e908</v>
      </c>
      <c r="AB4195" s="21" t="s">
        <v>42</v>
      </c>
      <c r="AC4195" s="21" t="s">
        <v>14830</v>
      </c>
      <c r="AD4195" s="21"/>
    </row>
    <row r="4196" spans="2:31" s="1" customFormat="1" ht="96.3" customHeight="1" outlineLevel="7">
      <c r="B4196" s="57">
        <v>3351</v>
      </c>
      <c r="C4196" s="21" t="s">
        <v>14835</v>
      </c>
      <c r="D4196" s="72" t="s">
        <v>14836</v>
      </c>
      <c r="E4196" s="72"/>
      <c r="F4196" s="72"/>
      <c r="G4196" s="72"/>
      <c r="H4196" s="22" t="s">
        <v>14837</v>
      </c>
      <c r="I4196" s="27">
        <v>24</v>
      </c>
      <c r="J4196" s="22"/>
      <c r="K4196" s="20">
        <v>12</v>
      </c>
      <c r="L4196" s="24">
        <v>62.36</v>
      </c>
      <c r="M4196" s="11"/>
      <c r="N4196" s="22">
        <f t="shared" si="209"/>
        <v>0</v>
      </c>
      <c r="O4196" s="25">
        <f>0.065*M4196</f>
        <v>0</v>
      </c>
      <c r="P4196" s="26">
        <f>0.00019*M4196</f>
        <v>0</v>
      </c>
      <c r="Q4196" s="30"/>
      <c r="R4196" s="22" t="s">
        <v>14838</v>
      </c>
      <c r="S4196" s="22" t="s">
        <v>435</v>
      </c>
      <c r="T4196" s="21" t="str">
        <f>HYPERLINK("https://miland.ru/api/getInfo/image/551b6dba-cf25-11ee-a25a-00155d82e908")</f>
        <v>https://miland.ru/api/getInfo/image/551b6dba-cf25-11ee-a25a-00155d82e908</v>
      </c>
      <c r="U4196" s="21"/>
      <c r="V4196" s="21" t="s">
        <v>6525</v>
      </c>
      <c r="W4196" s="21" t="s">
        <v>378</v>
      </c>
      <c r="X4196" s="21"/>
      <c r="Y4196" s="21" t="s">
        <v>41</v>
      </c>
      <c r="Z4196" s="21"/>
      <c r="AA4196" s="21" t="str">
        <f>HYPERLINK("https://miland.ru/api/getInfo/item/551b6dba-cf25-11ee-a25a-00155d82e908")</f>
        <v>https://miland.ru/api/getInfo/item/551b6dba-cf25-11ee-a25a-00155d82e908</v>
      </c>
      <c r="AB4196" s="21" t="s">
        <v>42</v>
      </c>
      <c r="AC4196" s="21" t="s">
        <v>14830</v>
      </c>
      <c r="AD4196" s="21"/>
    </row>
    <row r="4197" spans="2:31" ht="12" customHeight="1" outlineLevel="6">
      <c r="B4197" s="70" t="s">
        <v>13789</v>
      </c>
      <c r="C4197" s="70"/>
      <c r="D4197" s="70"/>
      <c r="E4197" s="70"/>
      <c r="F4197" s="70"/>
      <c r="G4197" s="70"/>
    </row>
    <row r="4198" spans="2:31" s="1" customFormat="1" ht="96.3" customHeight="1" outlineLevel="7">
      <c r="B4198" s="58">
        <v>3352</v>
      </c>
      <c r="C4198" s="7" t="s">
        <v>14839</v>
      </c>
      <c r="D4198" s="71" t="s">
        <v>14840</v>
      </c>
      <c r="E4198" s="71"/>
      <c r="F4198" s="71"/>
      <c r="G4198" s="71"/>
      <c r="H4198" s="8" t="s">
        <v>14841</v>
      </c>
      <c r="I4198" s="9" t="s">
        <v>36</v>
      </c>
      <c r="J4198" s="8"/>
      <c r="K4198" s="6">
        <v>12</v>
      </c>
      <c r="L4198" s="10">
        <v>43.42</v>
      </c>
      <c r="M4198" s="11"/>
      <c r="N4198" s="8">
        <f>L4198*M4198</f>
        <v>0</v>
      </c>
      <c r="O4198" s="12">
        <f>0.071*M4198</f>
        <v>0</v>
      </c>
      <c r="P4198" s="13">
        <f>0.00121*M4198</f>
        <v>0</v>
      </c>
      <c r="Q4198" s="17" t="s">
        <v>37</v>
      </c>
      <c r="R4198" s="8" t="s">
        <v>14842</v>
      </c>
      <c r="S4198" s="8"/>
      <c r="T4198" s="7" t="str">
        <f>HYPERLINK("https://miland.ru/api/getInfo/image/feb10167-05b6-11f1-a28f-00155d82e908")</f>
        <v>https://miland.ru/api/getInfo/image/feb10167-05b6-11f1-a28f-00155d82e908</v>
      </c>
      <c r="U4198" s="7"/>
      <c r="V4198" s="7"/>
      <c r="W4198" s="7" t="s">
        <v>378</v>
      </c>
      <c r="X4198" s="7"/>
      <c r="Y4198" s="7" t="s">
        <v>41</v>
      </c>
      <c r="Z4198" s="7"/>
      <c r="AA4198" s="7" t="str">
        <f>HYPERLINK("https://miland.ru/api/getInfo/item/feb10167-05b6-11f1-a28f-00155d82e908")</f>
        <v>https://miland.ru/api/getInfo/item/feb10167-05b6-11f1-a28f-00155d82e908</v>
      </c>
      <c r="AB4198" s="7" t="s">
        <v>42</v>
      </c>
      <c r="AC4198" s="7"/>
      <c r="AD4198" s="7"/>
      <c r="AE4198" s="54"/>
    </row>
    <row r="4199" spans="2:31" s="1" customFormat="1" ht="96.3" customHeight="1" outlineLevel="7">
      <c r="B4199" s="58">
        <v>3353</v>
      </c>
      <c r="C4199" s="7" t="s">
        <v>14843</v>
      </c>
      <c r="D4199" s="71" t="s">
        <v>14844</v>
      </c>
      <c r="E4199" s="71"/>
      <c r="F4199" s="71"/>
      <c r="G4199" s="71"/>
      <c r="H4199" s="8" t="s">
        <v>14845</v>
      </c>
      <c r="I4199" s="9" t="s">
        <v>36</v>
      </c>
      <c r="J4199" s="8"/>
      <c r="K4199" s="6">
        <v>12</v>
      </c>
      <c r="L4199" s="10">
        <v>44.24</v>
      </c>
      <c r="M4199" s="11"/>
      <c r="N4199" s="8">
        <f>L4199*M4199</f>
        <v>0</v>
      </c>
      <c r="O4199" s="18">
        <f>0.07*M4199</f>
        <v>0</v>
      </c>
      <c r="P4199" s="13">
        <f>0.00142*M4199</f>
        <v>0</v>
      </c>
      <c r="Q4199" s="17" t="s">
        <v>37</v>
      </c>
      <c r="R4199" s="8" t="s">
        <v>14846</v>
      </c>
      <c r="S4199" s="8"/>
      <c r="T4199" s="7" t="str">
        <f>HYPERLINK("https://miland.ru/api/getInfo/image/2293b4ff-05b7-11f1-a28f-00155d82e908")</f>
        <v>https://miland.ru/api/getInfo/image/2293b4ff-05b7-11f1-a28f-00155d82e908</v>
      </c>
      <c r="U4199" s="7"/>
      <c r="V4199" s="7"/>
      <c r="W4199" s="7" t="s">
        <v>378</v>
      </c>
      <c r="X4199" s="7"/>
      <c r="Y4199" s="7" t="s">
        <v>41</v>
      </c>
      <c r="Z4199" s="7"/>
      <c r="AA4199" s="7" t="str">
        <f>HYPERLINK("https://miland.ru/api/getInfo/item/2293b4ff-05b7-11f1-a28f-00155d82e908")</f>
        <v>https://miland.ru/api/getInfo/item/2293b4ff-05b7-11f1-a28f-00155d82e908</v>
      </c>
      <c r="AB4199" s="7" t="s">
        <v>42</v>
      </c>
      <c r="AC4199" s="7"/>
      <c r="AD4199" s="7"/>
      <c r="AE4199" s="54"/>
    </row>
    <row r="4200" spans="2:31" s="1" customFormat="1" ht="96.3" customHeight="1" outlineLevel="7">
      <c r="B4200" s="58">
        <v>3354</v>
      </c>
      <c r="C4200" s="7" t="s">
        <v>14847</v>
      </c>
      <c r="D4200" s="71" t="s">
        <v>14848</v>
      </c>
      <c r="E4200" s="71"/>
      <c r="F4200" s="71"/>
      <c r="G4200" s="71"/>
      <c r="H4200" s="8" t="s">
        <v>14849</v>
      </c>
      <c r="I4200" s="9" t="s">
        <v>36</v>
      </c>
      <c r="J4200" s="8"/>
      <c r="K4200" s="6">
        <v>12</v>
      </c>
      <c r="L4200" s="10">
        <v>44.24</v>
      </c>
      <c r="M4200" s="11"/>
      <c r="N4200" s="8">
        <f>L4200*M4200</f>
        <v>0</v>
      </c>
      <c r="O4200" s="12">
        <f>0.072*M4200</f>
        <v>0</v>
      </c>
      <c r="P4200" s="13">
        <f>0.00158*M4200</f>
        <v>0</v>
      </c>
      <c r="Q4200" s="17" t="s">
        <v>37</v>
      </c>
      <c r="R4200" s="8" t="s">
        <v>14850</v>
      </c>
      <c r="S4200" s="8"/>
      <c r="T4200" s="7" t="str">
        <f>HYPERLINK("https://miland.ru/api/getInfo/image/e2d68847-05b6-11f1-a28f-00155d82e908")</f>
        <v>https://miland.ru/api/getInfo/image/e2d68847-05b6-11f1-a28f-00155d82e908</v>
      </c>
      <c r="U4200" s="7"/>
      <c r="V4200" s="7"/>
      <c r="W4200" s="7" t="s">
        <v>378</v>
      </c>
      <c r="X4200" s="7"/>
      <c r="Y4200" s="7" t="s">
        <v>41</v>
      </c>
      <c r="Z4200" s="7"/>
      <c r="AA4200" s="7" t="str">
        <f>HYPERLINK("https://miland.ru/api/getInfo/item/e2d68847-05b6-11f1-a28f-00155d82e908")</f>
        <v>https://miland.ru/api/getInfo/item/e2d68847-05b6-11f1-a28f-00155d82e908</v>
      </c>
      <c r="AB4200" s="7" t="s">
        <v>42</v>
      </c>
      <c r="AC4200" s="7"/>
      <c r="AD4200" s="7"/>
      <c r="AE4200" s="54"/>
    </row>
    <row r="4201" spans="2:31" ht="12" customHeight="1" outlineLevel="5">
      <c r="B4201" s="70" t="s">
        <v>6685</v>
      </c>
      <c r="C4201" s="70"/>
      <c r="D4201" s="70"/>
      <c r="E4201" s="70"/>
      <c r="F4201" s="70"/>
      <c r="G4201" s="70"/>
    </row>
    <row r="4202" spans="2:31" ht="12" customHeight="1" outlineLevel="6">
      <c r="B4202" s="70" t="s">
        <v>6686</v>
      </c>
      <c r="C4202" s="70"/>
      <c r="D4202" s="70"/>
      <c r="E4202" s="70"/>
      <c r="F4202" s="70"/>
      <c r="G4202" s="70"/>
    </row>
    <row r="4203" spans="2:31" s="1" customFormat="1" ht="96.3" customHeight="1" outlineLevel="7">
      <c r="B4203" s="57">
        <v>3355</v>
      </c>
      <c r="C4203" s="21" t="s">
        <v>14851</v>
      </c>
      <c r="D4203" s="72" t="s">
        <v>14852</v>
      </c>
      <c r="E4203" s="72"/>
      <c r="F4203" s="72"/>
      <c r="G4203" s="72"/>
      <c r="H4203" s="22" t="s">
        <v>14853</v>
      </c>
      <c r="I4203" s="23" t="s">
        <v>36</v>
      </c>
      <c r="J4203" s="22"/>
      <c r="K4203" s="20">
        <v>12</v>
      </c>
      <c r="L4203" s="24">
        <v>60.48</v>
      </c>
      <c r="M4203" s="11"/>
      <c r="N4203" s="22">
        <f>L4203*M4203</f>
        <v>0</v>
      </c>
      <c r="O4203" s="28">
        <f>0.65*M4203</f>
        <v>0</v>
      </c>
      <c r="P4203" s="26">
        <f>0.00313*M4203</f>
        <v>0</v>
      </c>
      <c r="Q4203" s="30"/>
      <c r="R4203" s="22" t="s">
        <v>14854</v>
      </c>
      <c r="S4203" s="22" t="s">
        <v>435</v>
      </c>
      <c r="T4203" s="21" t="str">
        <f>HYPERLINK("https://miland.ru/api/getInfo/image/0a808c61-03a6-11ef-a25d-00155d82e908")</f>
        <v>https://miland.ru/api/getInfo/image/0a808c61-03a6-11ef-a25d-00155d82e908</v>
      </c>
      <c r="U4203" s="21"/>
      <c r="V4203" s="21"/>
      <c r="W4203" s="21" t="s">
        <v>378</v>
      </c>
      <c r="X4203" s="21"/>
      <c r="Y4203" s="21" t="s">
        <v>41</v>
      </c>
      <c r="Z4203" s="21"/>
      <c r="AA4203" s="21" t="str">
        <f>HYPERLINK("https://miland.ru/api/getInfo/item/0a808c61-03a6-11ef-a25d-00155d82e908")</f>
        <v>https://miland.ru/api/getInfo/item/0a808c61-03a6-11ef-a25d-00155d82e908</v>
      </c>
      <c r="AB4203" s="21" t="s">
        <v>42</v>
      </c>
      <c r="AC4203" s="21"/>
      <c r="AD4203" s="21"/>
    </row>
    <row r="4204" spans="2:31" s="1" customFormat="1" ht="96.3" customHeight="1" outlineLevel="7">
      <c r="B4204" s="57">
        <v>3356</v>
      </c>
      <c r="C4204" s="21" t="s">
        <v>14855</v>
      </c>
      <c r="D4204" s="72" t="s">
        <v>14856</v>
      </c>
      <c r="E4204" s="72"/>
      <c r="F4204" s="72"/>
      <c r="G4204" s="72"/>
      <c r="H4204" s="22" t="s">
        <v>14857</v>
      </c>
      <c r="I4204" s="23" t="s">
        <v>36</v>
      </c>
      <c r="J4204" s="22"/>
      <c r="K4204" s="20">
        <v>12</v>
      </c>
      <c r="L4204" s="24">
        <v>60.48</v>
      </c>
      <c r="M4204" s="11"/>
      <c r="N4204" s="22">
        <f>L4204*M4204</f>
        <v>0</v>
      </c>
      <c r="O4204" s="28">
        <f>0.65*M4204</f>
        <v>0</v>
      </c>
      <c r="P4204" s="26">
        <f>0.00313*M4204</f>
        <v>0</v>
      </c>
      <c r="Q4204" s="30"/>
      <c r="R4204" s="22" t="s">
        <v>14858</v>
      </c>
      <c r="S4204" s="22" t="s">
        <v>435</v>
      </c>
      <c r="T4204" s="21" t="str">
        <f>HYPERLINK("https://miland.ru/api/getInfo/image/26226ddb-03a6-11ef-a25d-00155d82e908")</f>
        <v>https://miland.ru/api/getInfo/image/26226ddb-03a6-11ef-a25d-00155d82e908</v>
      </c>
      <c r="U4204" s="21"/>
      <c r="V4204" s="21"/>
      <c r="W4204" s="21" t="s">
        <v>378</v>
      </c>
      <c r="X4204" s="21"/>
      <c r="Y4204" s="21" t="s">
        <v>41</v>
      </c>
      <c r="Z4204" s="21"/>
      <c r="AA4204" s="21" t="str">
        <f>HYPERLINK("https://miland.ru/api/getInfo/item/26226ddb-03a6-11ef-a25d-00155d82e908")</f>
        <v>https://miland.ru/api/getInfo/item/26226ddb-03a6-11ef-a25d-00155d82e908</v>
      </c>
      <c r="AB4204" s="21" t="s">
        <v>42</v>
      </c>
      <c r="AC4204" s="21"/>
      <c r="AD4204" s="21"/>
    </row>
    <row r="4205" spans="2:31" s="1" customFormat="1" ht="96.3" customHeight="1" outlineLevel="7">
      <c r="B4205" s="57">
        <v>3357</v>
      </c>
      <c r="C4205" s="21" t="s">
        <v>14859</v>
      </c>
      <c r="D4205" s="72" t="s">
        <v>14860</v>
      </c>
      <c r="E4205" s="72"/>
      <c r="F4205" s="72"/>
      <c r="G4205" s="72"/>
      <c r="H4205" s="22" t="s">
        <v>14861</v>
      </c>
      <c r="I4205" s="23" t="s">
        <v>36</v>
      </c>
      <c r="J4205" s="22"/>
      <c r="K4205" s="20">
        <v>12</v>
      </c>
      <c r="L4205" s="24">
        <v>60.48</v>
      </c>
      <c r="M4205" s="11"/>
      <c r="N4205" s="22">
        <f>L4205*M4205</f>
        <v>0</v>
      </c>
      <c r="O4205" s="28">
        <f>0.65*M4205</f>
        <v>0</v>
      </c>
      <c r="P4205" s="26">
        <f>0.00313*M4205</f>
        <v>0</v>
      </c>
      <c r="Q4205" s="30"/>
      <c r="R4205" s="22" t="s">
        <v>14862</v>
      </c>
      <c r="S4205" s="22" t="s">
        <v>435</v>
      </c>
      <c r="T4205" s="21" t="str">
        <f>HYPERLINK("https://miland.ru/api/getInfo/image/f469428a-03a5-11ef-a25d-00155d82e908")</f>
        <v>https://miland.ru/api/getInfo/image/f469428a-03a5-11ef-a25d-00155d82e908</v>
      </c>
      <c r="U4205" s="21"/>
      <c r="V4205" s="21"/>
      <c r="W4205" s="21" t="s">
        <v>378</v>
      </c>
      <c r="X4205" s="21"/>
      <c r="Y4205" s="21" t="s">
        <v>41</v>
      </c>
      <c r="Z4205" s="21"/>
      <c r="AA4205" s="21" t="str">
        <f>HYPERLINK("https://miland.ru/api/getInfo/item/f469428a-03a5-11ef-a25d-00155d82e908")</f>
        <v>https://miland.ru/api/getInfo/item/f469428a-03a5-11ef-a25d-00155d82e908</v>
      </c>
      <c r="AB4205" s="21" t="s">
        <v>42</v>
      </c>
      <c r="AC4205" s="21"/>
      <c r="AD4205" s="21"/>
    </row>
    <row r="4206" spans="2:31" ht="12" customHeight="1" outlineLevel="5">
      <c r="B4206" s="70" t="s">
        <v>12716</v>
      </c>
      <c r="C4206" s="70"/>
      <c r="D4206" s="70"/>
      <c r="E4206" s="70"/>
      <c r="F4206" s="70"/>
      <c r="G4206" s="70"/>
    </row>
    <row r="4207" spans="2:31" ht="12" customHeight="1" outlineLevel="6">
      <c r="B4207" s="70" t="s">
        <v>7536</v>
      </c>
      <c r="C4207" s="70"/>
      <c r="D4207" s="70"/>
      <c r="E4207" s="70"/>
      <c r="F4207" s="70"/>
      <c r="G4207" s="70"/>
    </row>
    <row r="4208" spans="2:31" ht="12" customHeight="1" outlineLevel="7">
      <c r="B4208" s="70" t="s">
        <v>12999</v>
      </c>
      <c r="C4208" s="70"/>
      <c r="D4208" s="70"/>
      <c r="E4208" s="70"/>
      <c r="F4208" s="70"/>
      <c r="G4208" s="70"/>
    </row>
    <row r="4209" spans="2:31" s="1" customFormat="1" ht="96.3" customHeight="1" outlineLevel="7">
      <c r="B4209" s="58">
        <v>3358</v>
      </c>
      <c r="C4209" s="7" t="s">
        <v>14863</v>
      </c>
      <c r="D4209" s="71" t="s">
        <v>14864</v>
      </c>
      <c r="E4209" s="71"/>
      <c r="F4209" s="71"/>
      <c r="G4209" s="71"/>
      <c r="H4209" s="8" t="s">
        <v>14865</v>
      </c>
      <c r="I4209" s="9" t="s">
        <v>36</v>
      </c>
      <c r="J4209" s="8"/>
      <c r="K4209" s="6">
        <v>12</v>
      </c>
      <c r="L4209" s="10">
        <v>70.73</v>
      </c>
      <c r="M4209" s="11"/>
      <c r="N4209" s="8">
        <f t="shared" ref="N4209:N4223" si="210">L4209*M4209</f>
        <v>0</v>
      </c>
      <c r="O4209" s="18">
        <f>0.07*M4209</f>
        <v>0</v>
      </c>
      <c r="P4209" s="13">
        <f>0.00034*M4209</f>
        <v>0</v>
      </c>
      <c r="Q4209" s="17" t="s">
        <v>37</v>
      </c>
      <c r="R4209" s="8" t="s">
        <v>14866</v>
      </c>
      <c r="S4209" s="8"/>
      <c r="T4209" s="7" t="str">
        <f>HYPERLINK("https://miland.ru/api/getInfo/image/79fd9a3e-7290-11f0-a284-00155d82e908")</f>
        <v>https://miland.ru/api/getInfo/image/79fd9a3e-7290-11f0-a284-00155d82e908</v>
      </c>
      <c r="U4209" s="7"/>
      <c r="V4209" s="7" t="s">
        <v>6525</v>
      </c>
      <c r="W4209" s="7" t="s">
        <v>378</v>
      </c>
      <c r="X4209" s="7"/>
      <c r="Y4209" s="7" t="s">
        <v>41</v>
      </c>
      <c r="Z4209" s="7"/>
      <c r="AA4209" s="7" t="str">
        <f>HYPERLINK("https://miland.ru/api/getInfo/item/79fd9a3e-7290-11f0-a284-00155d82e908")</f>
        <v>https://miland.ru/api/getInfo/item/79fd9a3e-7290-11f0-a284-00155d82e908</v>
      </c>
      <c r="AB4209" s="7" t="s">
        <v>42</v>
      </c>
      <c r="AC4209" s="7"/>
      <c r="AD4209" s="7"/>
      <c r="AE4209" s="54"/>
    </row>
    <row r="4210" spans="2:31" s="1" customFormat="1" ht="96.3" customHeight="1" outlineLevel="7">
      <c r="B4210" s="58">
        <v>3359</v>
      </c>
      <c r="C4210" s="7" t="s">
        <v>14867</v>
      </c>
      <c r="D4210" s="71" t="s">
        <v>14868</v>
      </c>
      <c r="E4210" s="71"/>
      <c r="F4210" s="71"/>
      <c r="G4210" s="71"/>
      <c r="H4210" s="8" t="s">
        <v>14869</v>
      </c>
      <c r="I4210" s="9" t="s">
        <v>36</v>
      </c>
      <c r="J4210" s="8"/>
      <c r="K4210" s="6">
        <v>12</v>
      </c>
      <c r="L4210" s="10">
        <v>70.73</v>
      </c>
      <c r="M4210" s="11"/>
      <c r="N4210" s="8">
        <f t="shared" si="210"/>
        <v>0</v>
      </c>
      <c r="O4210" s="18">
        <f>0.07*M4210</f>
        <v>0</v>
      </c>
      <c r="P4210" s="13">
        <f>0.00034*M4210</f>
        <v>0</v>
      </c>
      <c r="Q4210" s="17" t="s">
        <v>37</v>
      </c>
      <c r="R4210" s="8" t="s">
        <v>14870</v>
      </c>
      <c r="S4210" s="8"/>
      <c r="T4210" s="7" t="str">
        <f>HYPERLINK("https://miland.ru/api/getInfo/image/a663f2ca-7290-11f0-a284-00155d82e908")</f>
        <v>https://miland.ru/api/getInfo/image/a663f2ca-7290-11f0-a284-00155d82e908</v>
      </c>
      <c r="U4210" s="7"/>
      <c r="V4210" s="7" t="s">
        <v>6525</v>
      </c>
      <c r="W4210" s="7" t="s">
        <v>378</v>
      </c>
      <c r="X4210" s="7"/>
      <c r="Y4210" s="7" t="s">
        <v>41</v>
      </c>
      <c r="Z4210" s="7"/>
      <c r="AA4210" s="7" t="str">
        <f>HYPERLINK("https://miland.ru/api/getInfo/item/a663f2ca-7290-11f0-a284-00155d82e908")</f>
        <v>https://miland.ru/api/getInfo/item/a663f2ca-7290-11f0-a284-00155d82e908</v>
      </c>
      <c r="AB4210" s="7" t="s">
        <v>42</v>
      </c>
      <c r="AC4210" s="7"/>
      <c r="AD4210" s="7"/>
      <c r="AE4210" s="54"/>
    </row>
    <row r="4211" spans="2:31" s="1" customFormat="1" ht="96.3" customHeight="1" outlineLevel="7">
      <c r="B4211" s="58">
        <v>3360</v>
      </c>
      <c r="C4211" s="7" t="s">
        <v>14871</v>
      </c>
      <c r="D4211" s="71" t="s">
        <v>14872</v>
      </c>
      <c r="E4211" s="71"/>
      <c r="F4211" s="71"/>
      <c r="G4211" s="71"/>
      <c r="H4211" s="8" t="s">
        <v>14873</v>
      </c>
      <c r="I4211" s="9" t="s">
        <v>36</v>
      </c>
      <c r="J4211" s="8"/>
      <c r="K4211" s="6">
        <v>12</v>
      </c>
      <c r="L4211" s="10">
        <v>70.73</v>
      </c>
      <c r="M4211" s="11"/>
      <c r="N4211" s="8">
        <f t="shared" si="210"/>
        <v>0</v>
      </c>
      <c r="O4211" s="18">
        <f>0.07*M4211</f>
        <v>0</v>
      </c>
      <c r="P4211" s="13">
        <f>0.00034*M4211</f>
        <v>0</v>
      </c>
      <c r="Q4211" s="17" t="s">
        <v>37</v>
      </c>
      <c r="R4211" s="8" t="s">
        <v>14874</v>
      </c>
      <c r="S4211" s="8"/>
      <c r="T4211" s="7" t="str">
        <f>HYPERLINK("https://miland.ru/api/getInfo/image/b9b53323-7290-11f0-a284-00155d82e908")</f>
        <v>https://miland.ru/api/getInfo/image/b9b53323-7290-11f0-a284-00155d82e908</v>
      </c>
      <c r="U4211" s="7"/>
      <c r="V4211" s="7" t="s">
        <v>6525</v>
      </c>
      <c r="W4211" s="7" t="s">
        <v>378</v>
      </c>
      <c r="X4211" s="7"/>
      <c r="Y4211" s="7" t="s">
        <v>41</v>
      </c>
      <c r="Z4211" s="7"/>
      <c r="AA4211" s="7" t="str">
        <f>HYPERLINK("https://miland.ru/api/getInfo/item/b9b53323-7290-11f0-a284-00155d82e908")</f>
        <v>https://miland.ru/api/getInfo/item/b9b53323-7290-11f0-a284-00155d82e908</v>
      </c>
      <c r="AB4211" s="7" t="s">
        <v>42</v>
      </c>
      <c r="AC4211" s="7"/>
      <c r="AD4211" s="7"/>
      <c r="AE4211" s="54"/>
    </row>
    <row r="4212" spans="2:31" s="1" customFormat="1" ht="96.3" customHeight="1" outlineLevel="7">
      <c r="B4212" s="58">
        <v>3361</v>
      </c>
      <c r="C4212" s="7" t="s">
        <v>14875</v>
      </c>
      <c r="D4212" s="71" t="s">
        <v>14876</v>
      </c>
      <c r="E4212" s="71"/>
      <c r="F4212" s="71"/>
      <c r="G4212" s="71"/>
      <c r="H4212" s="8" t="s">
        <v>14877</v>
      </c>
      <c r="I4212" s="9" t="s">
        <v>36</v>
      </c>
      <c r="J4212" s="8"/>
      <c r="K4212" s="6">
        <v>12</v>
      </c>
      <c r="L4212" s="10">
        <v>70.73</v>
      </c>
      <c r="M4212" s="11"/>
      <c r="N4212" s="8">
        <f t="shared" si="210"/>
        <v>0</v>
      </c>
      <c r="O4212" s="12">
        <f>0.071*M4212</f>
        <v>0</v>
      </c>
      <c r="P4212" s="13">
        <f>0.00034*M4212</f>
        <v>0</v>
      </c>
      <c r="Q4212" s="17" t="s">
        <v>37</v>
      </c>
      <c r="R4212" s="8" t="s">
        <v>14878</v>
      </c>
      <c r="S4212" s="8"/>
      <c r="T4212" s="7" t="str">
        <f>HYPERLINK("https://miland.ru/api/getInfo/image/65156531-7290-11f0-a284-00155d82e908")</f>
        <v>https://miland.ru/api/getInfo/image/65156531-7290-11f0-a284-00155d82e908</v>
      </c>
      <c r="U4212" s="7"/>
      <c r="V4212" s="7" t="s">
        <v>6525</v>
      </c>
      <c r="W4212" s="7" t="s">
        <v>378</v>
      </c>
      <c r="X4212" s="7"/>
      <c r="Y4212" s="7" t="s">
        <v>41</v>
      </c>
      <c r="Z4212" s="7"/>
      <c r="AA4212" s="7" t="str">
        <f>HYPERLINK("https://miland.ru/api/getInfo/item/65156531-7290-11f0-a284-00155d82e908")</f>
        <v>https://miland.ru/api/getInfo/item/65156531-7290-11f0-a284-00155d82e908</v>
      </c>
      <c r="AB4212" s="7" t="s">
        <v>42</v>
      </c>
      <c r="AC4212" s="7"/>
      <c r="AD4212" s="7"/>
      <c r="AE4212" s="54"/>
    </row>
    <row r="4213" spans="2:31" s="1" customFormat="1" ht="96.3" customHeight="1" outlineLevel="7">
      <c r="B4213" s="59">
        <v>3362</v>
      </c>
      <c r="C4213" s="35" t="s">
        <v>14879</v>
      </c>
      <c r="D4213" s="73" t="s">
        <v>14880</v>
      </c>
      <c r="E4213" s="73"/>
      <c r="F4213" s="73"/>
      <c r="G4213" s="73"/>
      <c r="H4213" s="36" t="s">
        <v>14881</v>
      </c>
      <c r="I4213" s="56" t="s">
        <v>36</v>
      </c>
      <c r="J4213" s="36"/>
      <c r="K4213" s="34">
        <v>12</v>
      </c>
      <c r="L4213" s="41">
        <v>38.986666666666665</v>
      </c>
      <c r="M4213" s="11"/>
      <c r="N4213" s="36">
        <f t="shared" si="210"/>
        <v>0</v>
      </c>
      <c r="O4213" s="47">
        <f>0.08*M4213</f>
        <v>0</v>
      </c>
      <c r="P4213" s="43">
        <f>0.00018*M4213</f>
        <v>0</v>
      </c>
      <c r="Q4213" s="50"/>
      <c r="R4213" s="36" t="s">
        <v>14882</v>
      </c>
      <c r="S4213" s="36" t="s">
        <v>435</v>
      </c>
      <c r="T4213" s="35" t="str">
        <f>HYPERLINK("https://miland.ru/api/getInfo/image/d64326c7-f543-11ed-a237-00155d82e902")</f>
        <v>https://miland.ru/api/getInfo/image/d64326c7-f543-11ed-a237-00155d82e902</v>
      </c>
      <c r="U4213" s="35"/>
      <c r="V4213" s="35" t="s">
        <v>6525</v>
      </c>
      <c r="W4213" s="35" t="s">
        <v>378</v>
      </c>
      <c r="X4213" s="35"/>
      <c r="Y4213" s="35" t="s">
        <v>41</v>
      </c>
      <c r="Z4213" s="35"/>
      <c r="AA4213" s="35" t="str">
        <f>HYPERLINK("https://miland.ru/api/getInfo/item/d64326c7-f543-11ed-a237-00155d82e902")</f>
        <v>https://miland.ru/api/getInfo/item/d64326c7-f543-11ed-a237-00155d82e902</v>
      </c>
      <c r="AB4213" s="35" t="s">
        <v>42</v>
      </c>
      <c r="AC4213" s="35"/>
      <c r="AD4213" s="35"/>
      <c r="AE4213" s="52" t="s">
        <v>1251</v>
      </c>
    </row>
    <row r="4214" spans="2:31" s="1" customFormat="1" ht="96.3" customHeight="1" outlineLevel="7">
      <c r="B4214" s="59">
        <v>3363</v>
      </c>
      <c r="C4214" s="35" t="s">
        <v>14883</v>
      </c>
      <c r="D4214" s="73" t="s">
        <v>14884</v>
      </c>
      <c r="E4214" s="73"/>
      <c r="F4214" s="73"/>
      <c r="G4214" s="73"/>
      <c r="H4214" s="36" t="s">
        <v>14885</v>
      </c>
      <c r="I4214" s="56" t="s">
        <v>36</v>
      </c>
      <c r="J4214" s="36"/>
      <c r="K4214" s="34">
        <v>12</v>
      </c>
      <c r="L4214" s="41">
        <v>38.986666666666665</v>
      </c>
      <c r="M4214" s="11"/>
      <c r="N4214" s="36">
        <f t="shared" si="210"/>
        <v>0</v>
      </c>
      <c r="O4214" s="42">
        <f>0.076*M4214</f>
        <v>0</v>
      </c>
      <c r="P4214" s="43">
        <f>0.00018*M4214</f>
        <v>0</v>
      </c>
      <c r="Q4214" s="50"/>
      <c r="R4214" s="36" t="s">
        <v>14886</v>
      </c>
      <c r="S4214" s="36" t="s">
        <v>435</v>
      </c>
      <c r="T4214" s="35" t="str">
        <f>HYPERLINK("https://miland.ru/api/getInfo/image/773ac3d7-f543-11ed-a237-00155d82e902")</f>
        <v>https://miland.ru/api/getInfo/image/773ac3d7-f543-11ed-a237-00155d82e902</v>
      </c>
      <c r="U4214" s="35"/>
      <c r="V4214" s="35" t="s">
        <v>6525</v>
      </c>
      <c r="W4214" s="35" t="s">
        <v>378</v>
      </c>
      <c r="X4214" s="35"/>
      <c r="Y4214" s="35" t="s">
        <v>41</v>
      </c>
      <c r="Z4214" s="35"/>
      <c r="AA4214" s="35" t="str">
        <f>HYPERLINK("https://miland.ru/api/getInfo/item/773ac3d7-f543-11ed-a237-00155d82e902")</f>
        <v>https://miland.ru/api/getInfo/item/773ac3d7-f543-11ed-a237-00155d82e902</v>
      </c>
      <c r="AB4214" s="35" t="s">
        <v>42</v>
      </c>
      <c r="AC4214" s="35"/>
      <c r="AD4214" s="35"/>
      <c r="AE4214" s="52" t="s">
        <v>1251</v>
      </c>
    </row>
    <row r="4215" spans="2:31" s="1" customFormat="1" ht="96.3" customHeight="1" outlineLevel="7">
      <c r="B4215" s="59">
        <v>3364</v>
      </c>
      <c r="C4215" s="35" t="s">
        <v>14887</v>
      </c>
      <c r="D4215" s="73" t="s">
        <v>14888</v>
      </c>
      <c r="E4215" s="73"/>
      <c r="F4215" s="73"/>
      <c r="G4215" s="73"/>
      <c r="H4215" s="36" t="s">
        <v>14889</v>
      </c>
      <c r="I4215" s="56" t="s">
        <v>36</v>
      </c>
      <c r="J4215" s="36"/>
      <c r="K4215" s="34">
        <v>12</v>
      </c>
      <c r="L4215" s="41">
        <v>38.479999999999997</v>
      </c>
      <c r="M4215" s="11"/>
      <c r="N4215" s="36">
        <f t="shared" si="210"/>
        <v>0</v>
      </c>
      <c r="O4215" s="47">
        <f>0.08*M4215</f>
        <v>0</v>
      </c>
      <c r="P4215" s="43">
        <f>0.00121*M4215</f>
        <v>0</v>
      </c>
      <c r="Q4215" s="50"/>
      <c r="R4215" s="36" t="s">
        <v>14890</v>
      </c>
      <c r="S4215" s="36" t="s">
        <v>435</v>
      </c>
      <c r="T4215" s="35" t="str">
        <f>HYPERLINK("https://miland.ru/api/getInfo/image/ce6a954c-f542-11ed-a237-00155d82e902")</f>
        <v>https://miland.ru/api/getInfo/image/ce6a954c-f542-11ed-a237-00155d82e902</v>
      </c>
      <c r="U4215" s="35"/>
      <c r="V4215" s="35" t="s">
        <v>6525</v>
      </c>
      <c r="W4215" s="35" t="s">
        <v>378</v>
      </c>
      <c r="X4215" s="35"/>
      <c r="Y4215" s="35" t="s">
        <v>41</v>
      </c>
      <c r="Z4215" s="35"/>
      <c r="AA4215" s="35" t="str">
        <f>HYPERLINK("https://miland.ru/api/getInfo/item/ce6a954c-f542-11ed-a237-00155d82e902")</f>
        <v>https://miland.ru/api/getInfo/item/ce6a954c-f542-11ed-a237-00155d82e902</v>
      </c>
      <c r="AB4215" s="35" t="s">
        <v>42</v>
      </c>
      <c r="AC4215" s="35"/>
      <c r="AD4215" s="35"/>
      <c r="AE4215" s="52" t="s">
        <v>1251</v>
      </c>
    </row>
    <row r="4216" spans="2:31" s="1" customFormat="1" ht="96.3" customHeight="1" outlineLevel="7">
      <c r="B4216" s="57">
        <v>3365</v>
      </c>
      <c r="C4216" s="21" t="s">
        <v>14891</v>
      </c>
      <c r="D4216" s="72" t="s">
        <v>14892</v>
      </c>
      <c r="E4216" s="72"/>
      <c r="F4216" s="72"/>
      <c r="G4216" s="72"/>
      <c r="H4216" s="22" t="s">
        <v>14893</v>
      </c>
      <c r="I4216" s="23" t="s">
        <v>36</v>
      </c>
      <c r="J4216" s="22"/>
      <c r="K4216" s="20">
        <v>12</v>
      </c>
      <c r="L4216" s="24">
        <v>70.73</v>
      </c>
      <c r="M4216" s="11"/>
      <c r="N4216" s="22">
        <f t="shared" si="210"/>
        <v>0</v>
      </c>
      <c r="O4216" s="28">
        <f>0.08*M4216</f>
        <v>0</v>
      </c>
      <c r="P4216" s="26">
        <f>0.00152*M4216</f>
        <v>0</v>
      </c>
      <c r="Q4216" s="30"/>
      <c r="R4216" s="22" t="s">
        <v>14894</v>
      </c>
      <c r="S4216" s="22" t="s">
        <v>435</v>
      </c>
      <c r="T4216" s="21" t="str">
        <f>HYPERLINK("https://miland.ru/api/getInfo/image/98e997cc-19c1-11ef-a25d-00155d82e908")</f>
        <v>https://miland.ru/api/getInfo/image/98e997cc-19c1-11ef-a25d-00155d82e908</v>
      </c>
      <c r="U4216" s="21"/>
      <c r="V4216" s="21" t="s">
        <v>6525</v>
      </c>
      <c r="W4216" s="21" t="s">
        <v>378</v>
      </c>
      <c r="X4216" s="21"/>
      <c r="Y4216" s="21" t="s">
        <v>41</v>
      </c>
      <c r="Z4216" s="21"/>
      <c r="AA4216" s="21" t="str">
        <f>HYPERLINK("https://miland.ru/api/getInfo/item/98e997cc-19c1-11ef-a25d-00155d82e908")</f>
        <v>https://miland.ru/api/getInfo/item/98e997cc-19c1-11ef-a25d-00155d82e908</v>
      </c>
      <c r="AB4216" s="21" t="s">
        <v>42</v>
      </c>
      <c r="AC4216" s="21" t="s">
        <v>14895</v>
      </c>
      <c r="AD4216" s="21"/>
    </row>
    <row r="4217" spans="2:31" s="1" customFormat="1" ht="96.3" customHeight="1" outlineLevel="7">
      <c r="B4217" s="57">
        <v>3366</v>
      </c>
      <c r="C4217" s="21" t="s">
        <v>14896</v>
      </c>
      <c r="D4217" s="72" t="s">
        <v>14897</v>
      </c>
      <c r="E4217" s="72"/>
      <c r="F4217" s="72"/>
      <c r="G4217" s="72"/>
      <c r="H4217" s="22" t="s">
        <v>14898</v>
      </c>
      <c r="I4217" s="23" t="s">
        <v>36</v>
      </c>
      <c r="J4217" s="22"/>
      <c r="K4217" s="20">
        <v>12</v>
      </c>
      <c r="L4217" s="24">
        <v>70.73</v>
      </c>
      <c r="M4217" s="11"/>
      <c r="N4217" s="22">
        <f t="shared" si="210"/>
        <v>0</v>
      </c>
      <c r="O4217" s="25">
        <f>0.077*M4217</f>
        <v>0</v>
      </c>
      <c r="P4217" s="26">
        <f>0.00036*M4217</f>
        <v>0</v>
      </c>
      <c r="Q4217" s="30"/>
      <c r="R4217" s="22" t="s">
        <v>14899</v>
      </c>
      <c r="S4217" s="22" t="s">
        <v>435</v>
      </c>
      <c r="T4217" s="21" t="str">
        <f>HYPERLINK("https://miland.ru/api/getInfo/image/f405503b-19c0-11ef-a25d-00155d82e908")</f>
        <v>https://miland.ru/api/getInfo/image/f405503b-19c0-11ef-a25d-00155d82e908</v>
      </c>
      <c r="U4217" s="21"/>
      <c r="V4217" s="21" t="s">
        <v>6525</v>
      </c>
      <c r="W4217" s="21" t="s">
        <v>378</v>
      </c>
      <c r="X4217" s="21"/>
      <c r="Y4217" s="21" t="s">
        <v>41</v>
      </c>
      <c r="Z4217" s="21"/>
      <c r="AA4217" s="21" t="str">
        <f>HYPERLINK("https://miland.ru/api/getInfo/item/f405503b-19c0-11ef-a25d-00155d82e908")</f>
        <v>https://miland.ru/api/getInfo/item/f405503b-19c0-11ef-a25d-00155d82e908</v>
      </c>
      <c r="AB4217" s="21" t="s">
        <v>42</v>
      </c>
      <c r="AC4217" s="21" t="s">
        <v>14895</v>
      </c>
      <c r="AD4217" s="21"/>
    </row>
    <row r="4218" spans="2:31" s="1" customFormat="1" ht="96.3" customHeight="1" outlineLevel="7">
      <c r="B4218" s="57">
        <v>3367</v>
      </c>
      <c r="C4218" s="21" t="s">
        <v>14900</v>
      </c>
      <c r="D4218" s="72" t="s">
        <v>14901</v>
      </c>
      <c r="E4218" s="72"/>
      <c r="F4218" s="72"/>
      <c r="G4218" s="72"/>
      <c r="H4218" s="22" t="s">
        <v>14902</v>
      </c>
      <c r="I4218" s="27">
        <v>420</v>
      </c>
      <c r="J4218" s="22"/>
      <c r="K4218" s="20">
        <v>12</v>
      </c>
      <c r="L4218" s="24">
        <v>70.73</v>
      </c>
      <c r="M4218" s="11"/>
      <c r="N4218" s="22">
        <f t="shared" si="210"/>
        <v>0</v>
      </c>
      <c r="O4218" s="25">
        <f>0.077*M4218</f>
        <v>0</v>
      </c>
      <c r="P4218" s="26">
        <f>0.00046*M4218</f>
        <v>0</v>
      </c>
      <c r="Q4218" s="30"/>
      <c r="R4218" s="22" t="s">
        <v>14903</v>
      </c>
      <c r="S4218" s="22" t="s">
        <v>435</v>
      </c>
      <c r="T4218" s="21" t="str">
        <f>HYPERLINK("https://miland.ru/api/getInfo/image/c0bb84d5-19c0-11ef-a25d-00155d82e908")</f>
        <v>https://miland.ru/api/getInfo/image/c0bb84d5-19c0-11ef-a25d-00155d82e908</v>
      </c>
      <c r="U4218" s="21"/>
      <c r="V4218" s="21" t="s">
        <v>6525</v>
      </c>
      <c r="W4218" s="21" t="s">
        <v>378</v>
      </c>
      <c r="X4218" s="21"/>
      <c r="Y4218" s="21" t="s">
        <v>41</v>
      </c>
      <c r="Z4218" s="21"/>
      <c r="AA4218" s="21" t="str">
        <f>HYPERLINK("https://miland.ru/api/getInfo/item/c0bb84d5-19c0-11ef-a25d-00155d82e908")</f>
        <v>https://miland.ru/api/getInfo/item/c0bb84d5-19c0-11ef-a25d-00155d82e908</v>
      </c>
      <c r="AB4218" s="21" t="s">
        <v>42</v>
      </c>
      <c r="AC4218" s="21" t="s">
        <v>14895</v>
      </c>
      <c r="AD4218" s="21"/>
    </row>
    <row r="4219" spans="2:31" s="1" customFormat="1" ht="96.3" customHeight="1" outlineLevel="7">
      <c r="B4219" s="57">
        <v>3368</v>
      </c>
      <c r="C4219" s="21" t="s">
        <v>14904</v>
      </c>
      <c r="D4219" s="72" t="s">
        <v>14905</v>
      </c>
      <c r="E4219" s="72"/>
      <c r="F4219" s="72"/>
      <c r="G4219" s="72"/>
      <c r="H4219" s="22" t="s">
        <v>14906</v>
      </c>
      <c r="I4219" s="23" t="s">
        <v>36</v>
      </c>
      <c r="J4219" s="22"/>
      <c r="K4219" s="20">
        <v>12</v>
      </c>
      <c r="L4219" s="24">
        <v>70.73</v>
      </c>
      <c r="M4219" s="11"/>
      <c r="N4219" s="22">
        <f t="shared" si="210"/>
        <v>0</v>
      </c>
      <c r="O4219" s="25">
        <f>0.077*M4219</f>
        <v>0</v>
      </c>
      <c r="P4219" s="26">
        <f>0.00181*M4219</f>
        <v>0</v>
      </c>
      <c r="Q4219" s="30"/>
      <c r="R4219" s="22" t="s">
        <v>14907</v>
      </c>
      <c r="S4219" s="22" t="s">
        <v>435</v>
      </c>
      <c r="T4219" s="21" t="str">
        <f>HYPERLINK("https://miland.ru/api/getInfo/image/4a73a3f4-19c6-11ef-a25d-00155d82e908")</f>
        <v>https://miland.ru/api/getInfo/image/4a73a3f4-19c6-11ef-a25d-00155d82e908</v>
      </c>
      <c r="U4219" s="21"/>
      <c r="V4219" s="21" t="s">
        <v>6525</v>
      </c>
      <c r="W4219" s="21" t="s">
        <v>378</v>
      </c>
      <c r="X4219" s="21"/>
      <c r="Y4219" s="21" t="s">
        <v>41</v>
      </c>
      <c r="Z4219" s="21"/>
      <c r="AA4219" s="21" t="str">
        <f>HYPERLINK("https://miland.ru/api/getInfo/item/4a73a3f4-19c6-11ef-a25d-00155d82e908")</f>
        <v>https://miland.ru/api/getInfo/item/4a73a3f4-19c6-11ef-a25d-00155d82e908</v>
      </c>
      <c r="AB4219" s="21" t="s">
        <v>42</v>
      </c>
      <c r="AC4219" s="21" t="s">
        <v>14895</v>
      </c>
      <c r="AD4219" s="21"/>
    </row>
    <row r="4220" spans="2:31" s="1" customFormat="1" ht="96.3" customHeight="1" outlineLevel="7">
      <c r="B4220" s="57">
        <v>3369</v>
      </c>
      <c r="C4220" s="21" t="s">
        <v>14908</v>
      </c>
      <c r="D4220" s="72" t="s">
        <v>14909</v>
      </c>
      <c r="E4220" s="72"/>
      <c r="F4220" s="72"/>
      <c r="G4220" s="72"/>
      <c r="H4220" s="22" t="s">
        <v>14910</v>
      </c>
      <c r="I4220" s="23" t="s">
        <v>36</v>
      </c>
      <c r="J4220" s="22"/>
      <c r="K4220" s="20">
        <v>12</v>
      </c>
      <c r="L4220" s="24">
        <v>70.73</v>
      </c>
      <c r="M4220" s="11"/>
      <c r="N4220" s="22">
        <f t="shared" si="210"/>
        <v>0</v>
      </c>
      <c r="O4220" s="25">
        <f>0.076*M4220</f>
        <v>0</v>
      </c>
      <c r="P4220" s="26">
        <f>0.00081*M4220</f>
        <v>0</v>
      </c>
      <c r="Q4220" s="30"/>
      <c r="R4220" s="22" t="s">
        <v>14911</v>
      </c>
      <c r="S4220" s="22" t="s">
        <v>435</v>
      </c>
      <c r="T4220" s="21" t="str">
        <f>HYPERLINK("https://miland.ru/api/getInfo/image/1e9a74a3-19c4-11ef-a25d-00155d82e908")</f>
        <v>https://miland.ru/api/getInfo/image/1e9a74a3-19c4-11ef-a25d-00155d82e908</v>
      </c>
      <c r="U4220" s="21"/>
      <c r="V4220" s="21" t="s">
        <v>6525</v>
      </c>
      <c r="W4220" s="21" t="s">
        <v>378</v>
      </c>
      <c r="X4220" s="21"/>
      <c r="Y4220" s="21" t="s">
        <v>41</v>
      </c>
      <c r="Z4220" s="21"/>
      <c r="AA4220" s="21" t="str">
        <f>HYPERLINK("https://miland.ru/api/getInfo/item/1e9a74a3-19c4-11ef-a25d-00155d82e908")</f>
        <v>https://miland.ru/api/getInfo/item/1e9a74a3-19c4-11ef-a25d-00155d82e908</v>
      </c>
      <c r="AB4220" s="21" t="s">
        <v>42</v>
      </c>
      <c r="AC4220" s="21" t="s">
        <v>14895</v>
      </c>
      <c r="AD4220" s="21"/>
    </row>
    <row r="4221" spans="2:31" s="1" customFormat="1" ht="96.3" customHeight="1" outlineLevel="7">
      <c r="B4221" s="57">
        <v>3370</v>
      </c>
      <c r="C4221" s="21" t="s">
        <v>14912</v>
      </c>
      <c r="D4221" s="72" t="s">
        <v>14913</v>
      </c>
      <c r="E4221" s="72"/>
      <c r="F4221" s="72"/>
      <c r="G4221" s="72"/>
      <c r="H4221" s="22" t="s">
        <v>14914</v>
      </c>
      <c r="I4221" s="23" t="s">
        <v>36</v>
      </c>
      <c r="J4221" s="22"/>
      <c r="K4221" s="20">
        <v>12</v>
      </c>
      <c r="L4221" s="24">
        <v>70.73</v>
      </c>
      <c r="M4221" s="11"/>
      <c r="N4221" s="22">
        <f t="shared" si="210"/>
        <v>0</v>
      </c>
      <c r="O4221" s="25">
        <f>0.076*M4221</f>
        <v>0</v>
      </c>
      <c r="P4221" s="26">
        <f>0.00107*M4221</f>
        <v>0</v>
      </c>
      <c r="Q4221" s="30"/>
      <c r="R4221" s="22" t="s">
        <v>14915</v>
      </c>
      <c r="S4221" s="22" t="s">
        <v>435</v>
      </c>
      <c r="T4221" s="21" t="str">
        <f>HYPERLINK("https://miland.ru/api/getInfo/image/2f3b71aa-19c0-11ef-a25d-00155d82e908")</f>
        <v>https://miland.ru/api/getInfo/image/2f3b71aa-19c0-11ef-a25d-00155d82e908</v>
      </c>
      <c r="U4221" s="21"/>
      <c r="V4221" s="21" t="s">
        <v>6525</v>
      </c>
      <c r="W4221" s="21" t="s">
        <v>378</v>
      </c>
      <c r="X4221" s="21"/>
      <c r="Y4221" s="21" t="s">
        <v>41</v>
      </c>
      <c r="Z4221" s="21"/>
      <c r="AA4221" s="21" t="str">
        <f>HYPERLINK("https://miland.ru/api/getInfo/item/2f3b71aa-19c0-11ef-a25d-00155d82e908")</f>
        <v>https://miland.ru/api/getInfo/item/2f3b71aa-19c0-11ef-a25d-00155d82e908</v>
      </c>
      <c r="AB4221" s="21" t="s">
        <v>42</v>
      </c>
      <c r="AC4221" s="21" t="s">
        <v>14895</v>
      </c>
      <c r="AD4221" s="21"/>
    </row>
    <row r="4222" spans="2:31" s="1" customFormat="1" ht="96.3" customHeight="1" outlineLevel="7">
      <c r="B4222" s="57">
        <v>3371</v>
      </c>
      <c r="C4222" s="21" t="s">
        <v>14916</v>
      </c>
      <c r="D4222" s="72" t="s">
        <v>14917</v>
      </c>
      <c r="E4222" s="72"/>
      <c r="F4222" s="72"/>
      <c r="G4222" s="72"/>
      <c r="H4222" s="22" t="s">
        <v>14918</v>
      </c>
      <c r="I4222" s="23" t="s">
        <v>36</v>
      </c>
      <c r="J4222" s="22"/>
      <c r="K4222" s="20">
        <v>12</v>
      </c>
      <c r="L4222" s="24">
        <v>70.73</v>
      </c>
      <c r="M4222" s="11"/>
      <c r="N4222" s="22">
        <f t="shared" si="210"/>
        <v>0</v>
      </c>
      <c r="O4222" s="25">
        <f>0.077*M4222</f>
        <v>0</v>
      </c>
      <c r="P4222" s="26">
        <f>0.00027*M4222</f>
        <v>0</v>
      </c>
      <c r="Q4222" s="30"/>
      <c r="R4222" s="22" t="s">
        <v>14919</v>
      </c>
      <c r="S4222" s="22" t="s">
        <v>435</v>
      </c>
      <c r="T4222" s="21" t="str">
        <f>HYPERLINK("https://miland.ru/api/getInfo/image/b4ebb5c3-19c4-11ef-a25d-00155d82e908")</f>
        <v>https://miland.ru/api/getInfo/image/b4ebb5c3-19c4-11ef-a25d-00155d82e908</v>
      </c>
      <c r="U4222" s="21"/>
      <c r="V4222" s="21" t="s">
        <v>6525</v>
      </c>
      <c r="W4222" s="21" t="s">
        <v>378</v>
      </c>
      <c r="X4222" s="21"/>
      <c r="Y4222" s="21" t="s">
        <v>41</v>
      </c>
      <c r="Z4222" s="21"/>
      <c r="AA4222" s="21" t="str">
        <f>HYPERLINK("https://miland.ru/api/getInfo/item/b4ebb5c3-19c4-11ef-a25d-00155d82e908")</f>
        <v>https://miland.ru/api/getInfo/item/b4ebb5c3-19c4-11ef-a25d-00155d82e908</v>
      </c>
      <c r="AB4222" s="21" t="s">
        <v>42</v>
      </c>
      <c r="AC4222" s="21" t="s">
        <v>14895</v>
      </c>
      <c r="AD4222" s="21"/>
    </row>
    <row r="4223" spans="2:31" s="1" customFormat="1" ht="96.3" customHeight="1" outlineLevel="7">
      <c r="B4223" s="57">
        <v>3372</v>
      </c>
      <c r="C4223" s="21" t="s">
        <v>14920</v>
      </c>
      <c r="D4223" s="72" t="s">
        <v>14921</v>
      </c>
      <c r="E4223" s="72"/>
      <c r="F4223" s="72"/>
      <c r="G4223" s="72"/>
      <c r="H4223" s="22" t="s">
        <v>14922</v>
      </c>
      <c r="I4223" s="27">
        <v>12</v>
      </c>
      <c r="J4223" s="22"/>
      <c r="K4223" s="20">
        <v>12</v>
      </c>
      <c r="L4223" s="24">
        <v>70.73</v>
      </c>
      <c r="M4223" s="11"/>
      <c r="N4223" s="22">
        <f t="shared" si="210"/>
        <v>0</v>
      </c>
      <c r="O4223" s="25">
        <f>0.078*M4223</f>
        <v>0</v>
      </c>
      <c r="P4223" s="26">
        <f>0.00028*M4223</f>
        <v>0</v>
      </c>
      <c r="Q4223" s="30"/>
      <c r="R4223" s="22" t="s">
        <v>14923</v>
      </c>
      <c r="S4223" s="22" t="s">
        <v>435</v>
      </c>
      <c r="T4223" s="21" t="str">
        <f>HYPERLINK("https://miland.ru/api/getInfo/image/6b1f2dd4-19c4-11ef-a25d-00155d82e908")</f>
        <v>https://miland.ru/api/getInfo/image/6b1f2dd4-19c4-11ef-a25d-00155d82e908</v>
      </c>
      <c r="U4223" s="21"/>
      <c r="V4223" s="21" t="s">
        <v>6525</v>
      </c>
      <c r="W4223" s="21" t="s">
        <v>378</v>
      </c>
      <c r="X4223" s="21"/>
      <c r="Y4223" s="21" t="s">
        <v>41</v>
      </c>
      <c r="Z4223" s="21"/>
      <c r="AA4223" s="21" t="str">
        <f>HYPERLINK("https://miland.ru/api/getInfo/item/6b1f2dd4-19c4-11ef-a25d-00155d82e908")</f>
        <v>https://miland.ru/api/getInfo/item/6b1f2dd4-19c4-11ef-a25d-00155d82e908</v>
      </c>
      <c r="AB4223" s="21" t="s">
        <v>42</v>
      </c>
      <c r="AC4223" s="21" t="s">
        <v>14895</v>
      </c>
      <c r="AD4223" s="21"/>
    </row>
    <row r="4224" spans="2:31" ht="12" customHeight="1" outlineLevel="4">
      <c r="B4224" s="70" t="s">
        <v>7650</v>
      </c>
      <c r="C4224" s="70"/>
      <c r="D4224" s="70"/>
      <c r="E4224" s="70"/>
      <c r="F4224" s="70"/>
      <c r="G4224" s="70"/>
    </row>
    <row r="4225" spans="2:31" ht="12" customHeight="1" outlineLevel="5">
      <c r="B4225" s="70" t="s">
        <v>14924</v>
      </c>
      <c r="C4225" s="70"/>
      <c r="D4225" s="70"/>
      <c r="E4225" s="70"/>
      <c r="F4225" s="70"/>
      <c r="G4225" s="70"/>
    </row>
    <row r="4226" spans="2:31" ht="12" customHeight="1" outlineLevel="6">
      <c r="B4226" s="70" t="s">
        <v>14925</v>
      </c>
      <c r="C4226" s="70"/>
      <c r="D4226" s="70"/>
      <c r="E4226" s="70"/>
      <c r="F4226" s="70"/>
      <c r="G4226" s="70"/>
    </row>
    <row r="4227" spans="2:31" s="1" customFormat="1" ht="96.3" customHeight="1" outlineLevel="7">
      <c r="B4227" s="59">
        <v>3373</v>
      </c>
      <c r="C4227" s="35" t="s">
        <v>14926</v>
      </c>
      <c r="D4227" s="73" t="s">
        <v>14927</v>
      </c>
      <c r="E4227" s="73"/>
      <c r="F4227" s="73"/>
      <c r="G4227" s="73"/>
      <c r="H4227" s="36" t="s">
        <v>14928</v>
      </c>
      <c r="I4227" s="56" t="s">
        <v>36</v>
      </c>
      <c r="J4227" s="36"/>
      <c r="K4227" s="34">
        <v>12</v>
      </c>
      <c r="L4227" s="41">
        <v>62.28</v>
      </c>
      <c r="M4227" s="11"/>
      <c r="N4227" s="36">
        <f t="shared" ref="N4227:N4234" si="211">L4227*M4227</f>
        <v>0</v>
      </c>
      <c r="O4227" s="42">
        <f>0.113*M4227</f>
        <v>0</v>
      </c>
      <c r="P4227" s="43">
        <f>0.00038*M4227</f>
        <v>0</v>
      </c>
      <c r="Q4227" s="50"/>
      <c r="R4227" s="36" t="s">
        <v>14929</v>
      </c>
      <c r="S4227" s="36" t="s">
        <v>435</v>
      </c>
      <c r="T4227" s="35" t="str">
        <f>HYPERLINK("https://miland.ru/api/getInfo/image/93b8de24-77c1-11ee-a248-00155d82e902")</f>
        <v>https://miland.ru/api/getInfo/image/93b8de24-77c1-11ee-a248-00155d82e902</v>
      </c>
      <c r="U4227" s="35"/>
      <c r="V4227" s="35" t="s">
        <v>6525</v>
      </c>
      <c r="W4227" s="35" t="s">
        <v>378</v>
      </c>
      <c r="X4227" s="35"/>
      <c r="Y4227" s="35" t="s">
        <v>41</v>
      </c>
      <c r="Z4227" s="35"/>
      <c r="AA4227" s="35" t="str">
        <f>HYPERLINK("https://miland.ru/api/getInfo/item/93b8de24-77c1-11ee-a248-00155d82e902")</f>
        <v>https://miland.ru/api/getInfo/item/93b8de24-77c1-11ee-a248-00155d82e902</v>
      </c>
      <c r="AB4227" s="35" t="s">
        <v>42</v>
      </c>
      <c r="AC4227" s="35" t="s">
        <v>14930</v>
      </c>
      <c r="AD4227" s="35"/>
      <c r="AE4227" s="52" t="s">
        <v>1251</v>
      </c>
    </row>
    <row r="4228" spans="2:31" s="1" customFormat="1" ht="96.3" customHeight="1" outlineLevel="7">
      <c r="B4228" s="59">
        <v>3374</v>
      </c>
      <c r="C4228" s="35" t="s">
        <v>14931</v>
      </c>
      <c r="D4228" s="73" t="s">
        <v>14932</v>
      </c>
      <c r="E4228" s="73"/>
      <c r="F4228" s="73"/>
      <c r="G4228" s="73"/>
      <c r="H4228" s="36" t="s">
        <v>14933</v>
      </c>
      <c r="I4228" s="56" t="s">
        <v>36</v>
      </c>
      <c r="J4228" s="36"/>
      <c r="K4228" s="34">
        <v>12</v>
      </c>
      <c r="L4228" s="41">
        <v>62.28</v>
      </c>
      <c r="M4228" s="11"/>
      <c r="N4228" s="36">
        <f t="shared" si="211"/>
        <v>0</v>
      </c>
      <c r="O4228" s="42">
        <f>0.113*M4228</f>
        <v>0</v>
      </c>
      <c r="P4228" s="43">
        <f>0.00038*M4228</f>
        <v>0</v>
      </c>
      <c r="Q4228" s="50"/>
      <c r="R4228" s="36" t="s">
        <v>14934</v>
      </c>
      <c r="S4228" s="36" t="s">
        <v>435</v>
      </c>
      <c r="T4228" s="35" t="str">
        <f>HYPERLINK("https://miland.ru/api/getInfo/image/4c214234-77c1-11ee-a248-00155d82e902")</f>
        <v>https://miland.ru/api/getInfo/image/4c214234-77c1-11ee-a248-00155d82e902</v>
      </c>
      <c r="U4228" s="35"/>
      <c r="V4228" s="35" t="s">
        <v>6525</v>
      </c>
      <c r="W4228" s="35" t="s">
        <v>378</v>
      </c>
      <c r="X4228" s="35"/>
      <c r="Y4228" s="35" t="s">
        <v>41</v>
      </c>
      <c r="Z4228" s="35"/>
      <c r="AA4228" s="35" t="str">
        <f>HYPERLINK("https://miland.ru/api/getInfo/item/4c214234-77c1-11ee-a248-00155d82e902")</f>
        <v>https://miland.ru/api/getInfo/item/4c214234-77c1-11ee-a248-00155d82e902</v>
      </c>
      <c r="AB4228" s="35" t="s">
        <v>42</v>
      </c>
      <c r="AC4228" s="35" t="s">
        <v>14930</v>
      </c>
      <c r="AD4228" s="35"/>
      <c r="AE4228" s="52" t="s">
        <v>1251</v>
      </c>
    </row>
    <row r="4229" spans="2:31" s="1" customFormat="1" ht="96.3" customHeight="1" outlineLevel="7">
      <c r="B4229" s="59">
        <v>3375</v>
      </c>
      <c r="C4229" s="35" t="s">
        <v>14935</v>
      </c>
      <c r="D4229" s="73" t="s">
        <v>14936</v>
      </c>
      <c r="E4229" s="73"/>
      <c r="F4229" s="73"/>
      <c r="G4229" s="73"/>
      <c r="H4229" s="36" t="s">
        <v>14937</v>
      </c>
      <c r="I4229" s="40">
        <v>144</v>
      </c>
      <c r="J4229" s="36"/>
      <c r="K4229" s="34">
        <v>12</v>
      </c>
      <c r="L4229" s="41">
        <v>62.28</v>
      </c>
      <c r="M4229" s="11"/>
      <c r="N4229" s="36">
        <f t="shared" si="211"/>
        <v>0</v>
      </c>
      <c r="O4229" s="42">
        <f>0.113*M4229</f>
        <v>0</v>
      </c>
      <c r="P4229" s="43">
        <f>0.00038*M4229</f>
        <v>0</v>
      </c>
      <c r="Q4229" s="50"/>
      <c r="R4229" s="36" t="s">
        <v>14938</v>
      </c>
      <c r="S4229" s="36" t="s">
        <v>435</v>
      </c>
      <c r="T4229" s="35" t="str">
        <f>HYPERLINK("https://miland.ru/api/getInfo/image/78060f63-77c1-11ee-a248-00155d82e902")</f>
        <v>https://miland.ru/api/getInfo/image/78060f63-77c1-11ee-a248-00155d82e902</v>
      </c>
      <c r="U4229" s="35"/>
      <c r="V4229" s="35" t="s">
        <v>6525</v>
      </c>
      <c r="W4229" s="35" t="s">
        <v>378</v>
      </c>
      <c r="X4229" s="35"/>
      <c r="Y4229" s="35" t="s">
        <v>41</v>
      </c>
      <c r="Z4229" s="35"/>
      <c r="AA4229" s="35" t="str">
        <f>HYPERLINK("https://miland.ru/api/getInfo/item/78060f63-77c1-11ee-a248-00155d82e902")</f>
        <v>https://miland.ru/api/getInfo/item/78060f63-77c1-11ee-a248-00155d82e902</v>
      </c>
      <c r="AB4229" s="35" t="s">
        <v>42</v>
      </c>
      <c r="AC4229" s="35" t="s">
        <v>14930</v>
      </c>
      <c r="AD4229" s="35"/>
      <c r="AE4229" s="52" t="s">
        <v>1251</v>
      </c>
    </row>
    <row r="4230" spans="2:31" s="1" customFormat="1" ht="96.3" customHeight="1" outlineLevel="7">
      <c r="B4230" s="59">
        <v>3376</v>
      </c>
      <c r="C4230" s="35" t="s">
        <v>14939</v>
      </c>
      <c r="D4230" s="73" t="s">
        <v>14940</v>
      </c>
      <c r="E4230" s="73"/>
      <c r="F4230" s="73"/>
      <c r="G4230" s="73"/>
      <c r="H4230" s="36" t="s">
        <v>14941</v>
      </c>
      <c r="I4230" s="40">
        <v>12</v>
      </c>
      <c r="J4230" s="36"/>
      <c r="K4230" s="34">
        <v>12</v>
      </c>
      <c r="L4230" s="41">
        <v>62.28</v>
      </c>
      <c r="M4230" s="11"/>
      <c r="N4230" s="36">
        <f t="shared" si="211"/>
        <v>0</v>
      </c>
      <c r="O4230" s="42">
        <f>0.113*M4230</f>
        <v>0</v>
      </c>
      <c r="P4230" s="43">
        <f>0.00038*M4230</f>
        <v>0</v>
      </c>
      <c r="Q4230" s="50"/>
      <c r="R4230" s="36" t="s">
        <v>14942</v>
      </c>
      <c r="S4230" s="36" t="s">
        <v>435</v>
      </c>
      <c r="T4230" s="35" t="str">
        <f>HYPERLINK("https://miland.ru/api/getInfo/image/630f3063-77c1-11ee-a248-00155d82e902")</f>
        <v>https://miland.ru/api/getInfo/image/630f3063-77c1-11ee-a248-00155d82e902</v>
      </c>
      <c r="U4230" s="35"/>
      <c r="V4230" s="35" t="s">
        <v>6525</v>
      </c>
      <c r="W4230" s="35" t="s">
        <v>378</v>
      </c>
      <c r="X4230" s="35"/>
      <c r="Y4230" s="35" t="s">
        <v>41</v>
      </c>
      <c r="Z4230" s="35"/>
      <c r="AA4230" s="35" t="str">
        <f>HYPERLINK("https://miland.ru/api/getInfo/item/630f3063-77c1-11ee-a248-00155d82e902")</f>
        <v>https://miland.ru/api/getInfo/item/630f3063-77c1-11ee-a248-00155d82e902</v>
      </c>
      <c r="AB4230" s="35" t="s">
        <v>42</v>
      </c>
      <c r="AC4230" s="35" t="s">
        <v>14930</v>
      </c>
      <c r="AD4230" s="35"/>
      <c r="AE4230" s="52" t="s">
        <v>1251</v>
      </c>
    </row>
    <row r="4231" spans="2:31" s="1" customFormat="1" ht="96.3" customHeight="1" outlineLevel="7">
      <c r="B4231" s="57">
        <v>3377</v>
      </c>
      <c r="C4231" s="21" t="s">
        <v>14943</v>
      </c>
      <c r="D4231" s="72" t="s">
        <v>14944</v>
      </c>
      <c r="E4231" s="72"/>
      <c r="F4231" s="72"/>
      <c r="G4231" s="72"/>
      <c r="H4231" s="22" t="s">
        <v>14945</v>
      </c>
      <c r="I4231" s="27">
        <v>84</v>
      </c>
      <c r="J4231" s="22"/>
      <c r="K4231" s="20">
        <v>12</v>
      </c>
      <c r="L4231" s="24">
        <v>133.08000000000001</v>
      </c>
      <c r="M4231" s="11"/>
      <c r="N4231" s="22">
        <f t="shared" si="211"/>
        <v>0</v>
      </c>
      <c r="O4231" s="25">
        <f>0.104*M4231</f>
        <v>0</v>
      </c>
      <c r="P4231" s="26">
        <f>0.00025*M4231</f>
        <v>0</v>
      </c>
      <c r="Q4231" s="30"/>
      <c r="R4231" s="22" t="s">
        <v>14946</v>
      </c>
      <c r="S4231" s="22" t="s">
        <v>435</v>
      </c>
      <c r="T4231" s="21" t="str">
        <f>HYPERLINK("https://miland.ru/api/getInfo/image/899b4e98-f598-11ee-a25b-00155d82e908")</f>
        <v>https://miland.ru/api/getInfo/image/899b4e98-f598-11ee-a25b-00155d82e908</v>
      </c>
      <c r="U4231" s="21"/>
      <c r="V4231" s="21" t="s">
        <v>6525</v>
      </c>
      <c r="W4231" s="21" t="s">
        <v>378</v>
      </c>
      <c r="X4231" s="21"/>
      <c r="Y4231" s="21" t="s">
        <v>41</v>
      </c>
      <c r="Z4231" s="21"/>
      <c r="AA4231" s="21" t="str">
        <f>HYPERLINK("https://miland.ru/api/getInfo/item/899b4e98-f598-11ee-a25b-00155d82e908")</f>
        <v>https://miland.ru/api/getInfo/item/899b4e98-f598-11ee-a25b-00155d82e908</v>
      </c>
      <c r="AB4231" s="21" t="s">
        <v>42</v>
      </c>
      <c r="AC4231" s="21"/>
      <c r="AD4231" s="21"/>
    </row>
    <row r="4232" spans="2:31" s="1" customFormat="1" ht="96.3" customHeight="1" outlineLevel="7">
      <c r="B4232" s="57">
        <v>3378</v>
      </c>
      <c r="C4232" s="21" t="s">
        <v>14947</v>
      </c>
      <c r="D4232" s="72" t="s">
        <v>14948</v>
      </c>
      <c r="E4232" s="72"/>
      <c r="F4232" s="72"/>
      <c r="G4232" s="72"/>
      <c r="H4232" s="22" t="s">
        <v>14949</v>
      </c>
      <c r="I4232" s="23" t="s">
        <v>36</v>
      </c>
      <c r="J4232" s="22"/>
      <c r="K4232" s="20">
        <v>12</v>
      </c>
      <c r="L4232" s="24">
        <v>133.08000000000001</v>
      </c>
      <c r="M4232" s="11"/>
      <c r="N4232" s="22">
        <f t="shared" si="211"/>
        <v>0</v>
      </c>
      <c r="O4232" s="25">
        <f>0.104*M4232</f>
        <v>0</v>
      </c>
      <c r="P4232" s="26">
        <f>0.00025*M4232</f>
        <v>0</v>
      </c>
      <c r="Q4232" s="30"/>
      <c r="R4232" s="22" t="s">
        <v>14950</v>
      </c>
      <c r="S4232" s="22" t="s">
        <v>435</v>
      </c>
      <c r="T4232" s="21" t="str">
        <f>HYPERLINK("https://miland.ru/api/getInfo/image/520fee06-f598-11ee-a25b-00155d82e908")</f>
        <v>https://miland.ru/api/getInfo/image/520fee06-f598-11ee-a25b-00155d82e908</v>
      </c>
      <c r="U4232" s="21"/>
      <c r="V4232" s="21" t="s">
        <v>6525</v>
      </c>
      <c r="W4232" s="21" t="s">
        <v>378</v>
      </c>
      <c r="X4232" s="21"/>
      <c r="Y4232" s="21" t="s">
        <v>41</v>
      </c>
      <c r="Z4232" s="21"/>
      <c r="AA4232" s="21" t="str">
        <f>HYPERLINK("https://miland.ru/api/getInfo/item/520fee06-f598-11ee-a25b-00155d82e908")</f>
        <v>https://miland.ru/api/getInfo/item/520fee06-f598-11ee-a25b-00155d82e908</v>
      </c>
      <c r="AB4232" s="21" t="s">
        <v>42</v>
      </c>
      <c r="AC4232" s="21"/>
      <c r="AD4232" s="21"/>
    </row>
    <row r="4233" spans="2:31" s="1" customFormat="1" ht="96.3" customHeight="1" outlineLevel="7">
      <c r="B4233" s="57">
        <v>3379</v>
      </c>
      <c r="C4233" s="21" t="s">
        <v>14951</v>
      </c>
      <c r="D4233" s="72" t="s">
        <v>14952</v>
      </c>
      <c r="E4233" s="72"/>
      <c r="F4233" s="72"/>
      <c r="G4233" s="72"/>
      <c r="H4233" s="22" t="s">
        <v>14953</v>
      </c>
      <c r="I4233" s="27">
        <v>120</v>
      </c>
      <c r="J4233" s="22"/>
      <c r="K4233" s="20">
        <v>12</v>
      </c>
      <c r="L4233" s="24">
        <v>133.08000000000001</v>
      </c>
      <c r="M4233" s="11"/>
      <c r="N4233" s="22">
        <f t="shared" si="211"/>
        <v>0</v>
      </c>
      <c r="O4233" s="25">
        <f>0.104*M4233</f>
        <v>0</v>
      </c>
      <c r="P4233" s="26">
        <f>0.00025*M4233</f>
        <v>0</v>
      </c>
      <c r="Q4233" s="30"/>
      <c r="R4233" s="22" t="s">
        <v>14954</v>
      </c>
      <c r="S4233" s="22" t="s">
        <v>435</v>
      </c>
      <c r="T4233" s="21" t="str">
        <f>HYPERLINK("https://miland.ru/api/getInfo/image/ab6b6c98-f597-11ee-a25b-00155d82e908")</f>
        <v>https://miland.ru/api/getInfo/image/ab6b6c98-f597-11ee-a25b-00155d82e908</v>
      </c>
      <c r="U4233" s="21"/>
      <c r="V4233" s="21" t="s">
        <v>6525</v>
      </c>
      <c r="W4233" s="21" t="s">
        <v>378</v>
      </c>
      <c r="X4233" s="21"/>
      <c r="Y4233" s="21" t="s">
        <v>41</v>
      </c>
      <c r="Z4233" s="21"/>
      <c r="AA4233" s="21" t="str">
        <f>HYPERLINK("https://miland.ru/api/getInfo/item/ab6b6c98-f597-11ee-a25b-00155d82e908")</f>
        <v>https://miland.ru/api/getInfo/item/ab6b6c98-f597-11ee-a25b-00155d82e908</v>
      </c>
      <c r="AB4233" s="21" t="s">
        <v>42</v>
      </c>
      <c r="AC4233" s="21"/>
      <c r="AD4233" s="21"/>
    </row>
    <row r="4234" spans="2:31" s="1" customFormat="1" ht="96.3" customHeight="1" outlineLevel="7">
      <c r="B4234" s="57">
        <v>3380</v>
      </c>
      <c r="C4234" s="21" t="s">
        <v>14955</v>
      </c>
      <c r="D4234" s="72" t="s">
        <v>14956</v>
      </c>
      <c r="E4234" s="72"/>
      <c r="F4234" s="72"/>
      <c r="G4234" s="72"/>
      <c r="H4234" s="22" t="s">
        <v>14957</v>
      </c>
      <c r="I4234" s="27">
        <v>60</v>
      </c>
      <c r="J4234" s="22"/>
      <c r="K4234" s="20">
        <v>12</v>
      </c>
      <c r="L4234" s="24">
        <v>133.08000000000001</v>
      </c>
      <c r="M4234" s="11"/>
      <c r="N4234" s="22">
        <f t="shared" si="211"/>
        <v>0</v>
      </c>
      <c r="O4234" s="25">
        <f>0.104*M4234</f>
        <v>0</v>
      </c>
      <c r="P4234" s="26">
        <f>0.00025*M4234</f>
        <v>0</v>
      </c>
      <c r="Q4234" s="30"/>
      <c r="R4234" s="22" t="s">
        <v>14958</v>
      </c>
      <c r="S4234" s="22" t="s">
        <v>435</v>
      </c>
      <c r="T4234" s="21" t="str">
        <f>HYPERLINK("https://miland.ru/api/getInfo/image/e2ca68e1-f598-11ee-a25b-00155d82e908")</f>
        <v>https://miland.ru/api/getInfo/image/e2ca68e1-f598-11ee-a25b-00155d82e908</v>
      </c>
      <c r="U4234" s="21"/>
      <c r="V4234" s="21" t="s">
        <v>6525</v>
      </c>
      <c r="W4234" s="21" t="s">
        <v>378</v>
      </c>
      <c r="X4234" s="21"/>
      <c r="Y4234" s="21" t="s">
        <v>41</v>
      </c>
      <c r="Z4234" s="21"/>
      <c r="AA4234" s="21" t="str">
        <f>HYPERLINK("https://miland.ru/api/getInfo/item/e2ca68e1-f598-11ee-a25b-00155d82e908")</f>
        <v>https://miland.ru/api/getInfo/item/e2ca68e1-f598-11ee-a25b-00155d82e908</v>
      </c>
      <c r="AB4234" s="21" t="s">
        <v>42</v>
      </c>
      <c r="AC4234" s="21"/>
      <c r="AD4234" s="21"/>
    </row>
    <row r="4235" spans="2:31" ht="12" customHeight="1" outlineLevel="6">
      <c r="B4235" s="70" t="s">
        <v>14959</v>
      </c>
      <c r="C4235" s="70"/>
      <c r="D4235" s="70"/>
      <c r="E4235" s="70"/>
      <c r="F4235" s="70"/>
      <c r="G4235" s="70"/>
    </row>
    <row r="4236" spans="2:31" s="1" customFormat="1" ht="96.3" customHeight="1" outlineLevel="7">
      <c r="B4236" s="57">
        <v>3381</v>
      </c>
      <c r="C4236" s="21" t="s">
        <v>14960</v>
      </c>
      <c r="D4236" s="72" t="s">
        <v>14961</v>
      </c>
      <c r="E4236" s="72"/>
      <c r="F4236" s="72"/>
      <c r="G4236" s="72"/>
      <c r="H4236" s="22" t="s">
        <v>14962</v>
      </c>
      <c r="I4236" s="23" t="s">
        <v>36</v>
      </c>
      <c r="J4236" s="22"/>
      <c r="K4236" s="20">
        <v>12</v>
      </c>
      <c r="L4236" s="24">
        <v>111.34</v>
      </c>
      <c r="M4236" s="11"/>
      <c r="N4236" s="22">
        <f>L4236*M4236</f>
        <v>0</v>
      </c>
      <c r="O4236" s="25">
        <f>1.338*M4236</f>
        <v>0</v>
      </c>
      <c r="P4236" s="26">
        <f>0.00749*M4236</f>
        <v>0</v>
      </c>
      <c r="Q4236" s="30"/>
      <c r="R4236" s="22" t="s">
        <v>14963</v>
      </c>
      <c r="S4236" s="22"/>
      <c r="T4236" s="21" t="str">
        <f>HYPERLINK("https://miland.ru/api/getInfo/image/55b3a769-96bc-11ef-a267-00155d82e908")</f>
        <v>https://miland.ru/api/getInfo/image/55b3a769-96bc-11ef-a267-00155d82e908</v>
      </c>
      <c r="U4236" s="21"/>
      <c r="V4236" s="21" t="s">
        <v>6525</v>
      </c>
      <c r="W4236" s="21" t="s">
        <v>378</v>
      </c>
      <c r="X4236" s="21"/>
      <c r="Y4236" s="21" t="s">
        <v>41</v>
      </c>
      <c r="Z4236" s="21"/>
      <c r="AA4236" s="21" t="str">
        <f>HYPERLINK("https://miland.ru/api/getInfo/item/55b3a769-96bc-11ef-a267-00155d82e908")</f>
        <v>https://miland.ru/api/getInfo/item/55b3a769-96bc-11ef-a267-00155d82e908</v>
      </c>
      <c r="AB4236" s="21" t="s">
        <v>42</v>
      </c>
      <c r="AC4236" s="21" t="s">
        <v>14964</v>
      </c>
      <c r="AD4236" s="21"/>
    </row>
    <row r="4237" spans="2:31" s="1" customFormat="1" ht="96.3" customHeight="1" outlineLevel="7">
      <c r="B4237" s="57">
        <v>3382</v>
      </c>
      <c r="C4237" s="21" t="s">
        <v>14965</v>
      </c>
      <c r="D4237" s="72" t="s">
        <v>14966</v>
      </c>
      <c r="E4237" s="72"/>
      <c r="F4237" s="72"/>
      <c r="G4237" s="72"/>
      <c r="H4237" s="22" t="s">
        <v>14967</v>
      </c>
      <c r="I4237" s="27">
        <v>36</v>
      </c>
      <c r="J4237" s="22"/>
      <c r="K4237" s="20">
        <v>12</v>
      </c>
      <c r="L4237" s="24">
        <v>111.34</v>
      </c>
      <c r="M4237" s="11"/>
      <c r="N4237" s="22">
        <f>L4237*M4237</f>
        <v>0</v>
      </c>
      <c r="O4237" s="25">
        <f>0.113*M4237</f>
        <v>0</v>
      </c>
      <c r="P4237" s="26">
        <f>0.00136*M4237</f>
        <v>0</v>
      </c>
      <c r="Q4237" s="30"/>
      <c r="R4237" s="22" t="s">
        <v>14968</v>
      </c>
      <c r="S4237" s="22"/>
      <c r="T4237" s="21" t="str">
        <f>HYPERLINK("https://miland.ru/api/getInfo/image/74cf832a-96bc-11ef-a267-00155d82e908")</f>
        <v>https://miland.ru/api/getInfo/image/74cf832a-96bc-11ef-a267-00155d82e908</v>
      </c>
      <c r="U4237" s="21"/>
      <c r="V4237" s="21" t="s">
        <v>6525</v>
      </c>
      <c r="W4237" s="21" t="s">
        <v>378</v>
      </c>
      <c r="X4237" s="21"/>
      <c r="Y4237" s="21" t="s">
        <v>41</v>
      </c>
      <c r="Z4237" s="21"/>
      <c r="AA4237" s="21" t="str">
        <f>HYPERLINK("https://miland.ru/api/getInfo/item/74cf832a-96bc-11ef-a267-00155d82e908")</f>
        <v>https://miland.ru/api/getInfo/item/74cf832a-96bc-11ef-a267-00155d82e908</v>
      </c>
      <c r="AB4237" s="21" t="s">
        <v>42</v>
      </c>
      <c r="AC4237" s="21" t="s">
        <v>14964</v>
      </c>
      <c r="AD4237" s="21"/>
    </row>
    <row r="4238" spans="2:31" s="1" customFormat="1" ht="96.3" customHeight="1" outlineLevel="7">
      <c r="B4238" s="57">
        <v>3383</v>
      </c>
      <c r="C4238" s="21" t="s">
        <v>14969</v>
      </c>
      <c r="D4238" s="72" t="s">
        <v>14970</v>
      </c>
      <c r="E4238" s="72"/>
      <c r="F4238" s="72"/>
      <c r="G4238" s="72"/>
      <c r="H4238" s="22" t="s">
        <v>14971</v>
      </c>
      <c r="I4238" s="23" t="s">
        <v>36</v>
      </c>
      <c r="J4238" s="22"/>
      <c r="K4238" s="20">
        <v>12</v>
      </c>
      <c r="L4238" s="24">
        <v>111.34</v>
      </c>
      <c r="M4238" s="11"/>
      <c r="N4238" s="22">
        <f>L4238*M4238</f>
        <v>0</v>
      </c>
      <c r="O4238" s="28">
        <f>0.11*M4238</f>
        <v>0</v>
      </c>
      <c r="P4238" s="26">
        <f>0.00212*M4238</f>
        <v>0</v>
      </c>
      <c r="Q4238" s="30"/>
      <c r="R4238" s="22" t="s">
        <v>14972</v>
      </c>
      <c r="S4238" s="22"/>
      <c r="T4238" s="21" t="str">
        <f>HYPERLINK("https://miland.ru/api/getInfo/image/a1d845d0-96bb-11ef-a267-00155d82e908")</f>
        <v>https://miland.ru/api/getInfo/image/a1d845d0-96bb-11ef-a267-00155d82e908</v>
      </c>
      <c r="U4238" s="21"/>
      <c r="V4238" s="21" t="s">
        <v>6525</v>
      </c>
      <c r="W4238" s="21" t="s">
        <v>378</v>
      </c>
      <c r="X4238" s="21"/>
      <c r="Y4238" s="21" t="s">
        <v>41</v>
      </c>
      <c r="Z4238" s="21"/>
      <c r="AA4238" s="21" t="str">
        <f>HYPERLINK("https://miland.ru/api/getInfo/item/a1d845d0-96bb-11ef-a267-00155d82e908")</f>
        <v>https://miland.ru/api/getInfo/item/a1d845d0-96bb-11ef-a267-00155d82e908</v>
      </c>
      <c r="AB4238" s="21" t="s">
        <v>42</v>
      </c>
      <c r="AC4238" s="21" t="s">
        <v>14964</v>
      </c>
      <c r="AD4238" s="21"/>
    </row>
    <row r="4239" spans="2:31" s="1" customFormat="1" ht="96.3" customHeight="1" outlineLevel="7">
      <c r="B4239" s="57">
        <v>3384</v>
      </c>
      <c r="C4239" s="21" t="s">
        <v>14973</v>
      </c>
      <c r="D4239" s="72" t="s">
        <v>14974</v>
      </c>
      <c r="E4239" s="72"/>
      <c r="F4239" s="72"/>
      <c r="G4239" s="72"/>
      <c r="H4239" s="22" t="s">
        <v>14975</v>
      </c>
      <c r="I4239" s="23" t="s">
        <v>36</v>
      </c>
      <c r="J4239" s="22"/>
      <c r="K4239" s="20">
        <v>12</v>
      </c>
      <c r="L4239" s="24">
        <v>111.34</v>
      </c>
      <c r="M4239" s="11"/>
      <c r="N4239" s="22">
        <f>L4239*M4239</f>
        <v>0</v>
      </c>
      <c r="O4239" s="25">
        <f>0.111*M4239</f>
        <v>0</v>
      </c>
      <c r="P4239" s="26">
        <f>0.00173*M4239</f>
        <v>0</v>
      </c>
      <c r="Q4239" s="30"/>
      <c r="R4239" s="22" t="s">
        <v>14976</v>
      </c>
      <c r="S4239" s="22"/>
      <c r="T4239" s="21" t="str">
        <f>HYPERLINK("https://miland.ru/api/getInfo/image/8ff7aba3-edca-11ef-a274-00155d82e908")</f>
        <v>https://miland.ru/api/getInfo/image/8ff7aba3-edca-11ef-a274-00155d82e908</v>
      </c>
      <c r="U4239" s="21"/>
      <c r="V4239" s="21" t="s">
        <v>6525</v>
      </c>
      <c r="W4239" s="21" t="s">
        <v>7657</v>
      </c>
      <c r="X4239" s="21"/>
      <c r="Y4239" s="21" t="s">
        <v>41</v>
      </c>
      <c r="Z4239" s="21"/>
      <c r="AA4239" s="21" t="str">
        <f>HYPERLINK("https://miland.ru/api/getInfo/item/8ff7aba3-edca-11ef-a274-00155d82e908")</f>
        <v>https://miland.ru/api/getInfo/item/8ff7aba3-edca-11ef-a274-00155d82e908</v>
      </c>
      <c r="AB4239" s="21" t="s">
        <v>42</v>
      </c>
      <c r="AC4239" s="21"/>
      <c r="AD4239" s="21"/>
    </row>
    <row r="4240" spans="2:31" s="1" customFormat="1" ht="96.3" customHeight="1" outlineLevel="7">
      <c r="B4240" s="57">
        <v>3385</v>
      </c>
      <c r="C4240" s="21" t="s">
        <v>14977</v>
      </c>
      <c r="D4240" s="72" t="s">
        <v>14978</v>
      </c>
      <c r="E4240" s="72"/>
      <c r="F4240" s="72"/>
      <c r="G4240" s="72"/>
      <c r="H4240" s="22" t="s">
        <v>14979</v>
      </c>
      <c r="I4240" s="23" t="s">
        <v>36</v>
      </c>
      <c r="J4240" s="22"/>
      <c r="K4240" s="20">
        <v>12</v>
      </c>
      <c r="L4240" s="24">
        <v>133.08000000000001</v>
      </c>
      <c r="M4240" s="11"/>
      <c r="N4240" s="22">
        <f>L4240*M4240</f>
        <v>0</v>
      </c>
      <c r="O4240" s="28">
        <f>0.11*M4240</f>
        <v>0</v>
      </c>
      <c r="P4240" s="26">
        <f>0.00072*M4240</f>
        <v>0</v>
      </c>
      <c r="Q4240" s="30"/>
      <c r="R4240" s="22" t="s">
        <v>14980</v>
      </c>
      <c r="S4240" s="22"/>
      <c r="T4240" s="21" t="str">
        <f>HYPERLINK("https://miland.ru/api/getInfo/image/33ce7736-edd6-11ef-a274-00155d82e908")</f>
        <v>https://miland.ru/api/getInfo/image/33ce7736-edd6-11ef-a274-00155d82e908</v>
      </c>
      <c r="U4240" s="21"/>
      <c r="V4240" s="21" t="s">
        <v>6525</v>
      </c>
      <c r="W4240" s="21" t="s">
        <v>7657</v>
      </c>
      <c r="X4240" s="21"/>
      <c r="Y4240" s="21" t="s">
        <v>41</v>
      </c>
      <c r="Z4240" s="21"/>
      <c r="AA4240" s="21" t="str">
        <f>HYPERLINK("https://miland.ru/api/getInfo/item/33ce7736-edd6-11ef-a274-00155d82e908")</f>
        <v>https://miland.ru/api/getInfo/item/33ce7736-edd6-11ef-a274-00155d82e908</v>
      </c>
      <c r="AB4240" s="21" t="s">
        <v>42</v>
      </c>
      <c r="AC4240" s="21"/>
      <c r="AD4240" s="21"/>
    </row>
    <row r="4241" spans="2:31" ht="12" customHeight="1" outlineLevel="6">
      <c r="B4241" s="70" t="s">
        <v>14981</v>
      </c>
      <c r="C4241" s="70"/>
      <c r="D4241" s="70"/>
      <c r="E4241" s="70"/>
      <c r="F4241" s="70"/>
      <c r="G4241" s="70"/>
    </row>
    <row r="4242" spans="2:31" s="1" customFormat="1" ht="96.3" customHeight="1" outlineLevel="7">
      <c r="B4242" s="57">
        <v>3386</v>
      </c>
      <c r="C4242" s="21" t="s">
        <v>14982</v>
      </c>
      <c r="D4242" s="72" t="s">
        <v>14983</v>
      </c>
      <c r="E4242" s="72"/>
      <c r="F4242" s="72"/>
      <c r="G4242" s="72"/>
      <c r="H4242" s="22" t="s">
        <v>14984</v>
      </c>
      <c r="I4242" s="23" t="s">
        <v>36</v>
      </c>
      <c r="J4242" s="22"/>
      <c r="K4242" s="20">
        <v>12</v>
      </c>
      <c r="L4242" s="24">
        <v>133.08000000000001</v>
      </c>
      <c r="M4242" s="11"/>
      <c r="N4242" s="22">
        <f t="shared" ref="N4242:N4250" si="212">L4242*M4242</f>
        <v>0</v>
      </c>
      <c r="O4242" s="25">
        <f>0.109*M4242</f>
        <v>0</v>
      </c>
      <c r="P4242" s="29">
        <f>0.0015*M4242</f>
        <v>0</v>
      </c>
      <c r="Q4242" s="30"/>
      <c r="R4242" s="22" t="s">
        <v>14985</v>
      </c>
      <c r="S4242" s="22"/>
      <c r="T4242" s="21" t="str">
        <f>HYPERLINK("https://miland.ru/api/getInfo/image/097ef718-96bd-11ef-a267-00155d82e908")</f>
        <v>https://miland.ru/api/getInfo/image/097ef718-96bd-11ef-a267-00155d82e908</v>
      </c>
      <c r="U4242" s="21"/>
      <c r="V4242" s="21" t="s">
        <v>6525</v>
      </c>
      <c r="W4242" s="21" t="s">
        <v>378</v>
      </c>
      <c r="X4242" s="21"/>
      <c r="Y4242" s="21" t="s">
        <v>41</v>
      </c>
      <c r="Z4242" s="21"/>
      <c r="AA4242" s="21" t="str">
        <f>HYPERLINK("https://miland.ru/api/getInfo/item/097ef718-96bd-11ef-a267-00155d82e908")</f>
        <v>https://miland.ru/api/getInfo/item/097ef718-96bd-11ef-a267-00155d82e908</v>
      </c>
      <c r="AB4242" s="21" t="s">
        <v>42</v>
      </c>
      <c r="AC4242" s="21" t="s">
        <v>14964</v>
      </c>
      <c r="AD4242" s="21"/>
    </row>
    <row r="4243" spans="2:31" s="1" customFormat="1" ht="96.3" customHeight="1" outlineLevel="7">
      <c r="B4243" s="57">
        <v>3387</v>
      </c>
      <c r="C4243" s="21" t="s">
        <v>14986</v>
      </c>
      <c r="D4243" s="72" t="s">
        <v>14987</v>
      </c>
      <c r="E4243" s="72"/>
      <c r="F4243" s="72"/>
      <c r="G4243" s="72"/>
      <c r="H4243" s="22" t="s">
        <v>14988</v>
      </c>
      <c r="I4243" s="23" t="s">
        <v>36</v>
      </c>
      <c r="J4243" s="22"/>
      <c r="K4243" s="20">
        <v>12</v>
      </c>
      <c r="L4243" s="24">
        <v>133.08000000000001</v>
      </c>
      <c r="M4243" s="11"/>
      <c r="N4243" s="22">
        <f t="shared" si="212"/>
        <v>0</v>
      </c>
      <c r="O4243" s="22">
        <v>0</v>
      </c>
      <c r="P4243" s="22">
        <v>0</v>
      </c>
      <c r="Q4243" s="30"/>
      <c r="R4243" s="22" t="s">
        <v>14989</v>
      </c>
      <c r="S4243" s="22"/>
      <c r="T4243" s="21" t="str">
        <f>HYPERLINK("https://miland.ru/api/getInfo/image/cd240feb-96bc-11ef-a267-00155d82e908")</f>
        <v>https://miland.ru/api/getInfo/image/cd240feb-96bc-11ef-a267-00155d82e908</v>
      </c>
      <c r="U4243" s="21"/>
      <c r="V4243" s="21" t="s">
        <v>6525</v>
      </c>
      <c r="W4243" s="21" t="s">
        <v>378</v>
      </c>
      <c r="X4243" s="21"/>
      <c r="Y4243" s="21" t="s">
        <v>41</v>
      </c>
      <c r="Z4243" s="21"/>
      <c r="AA4243" s="21" t="str">
        <f>HYPERLINK("https://miland.ru/api/getInfo/item/cd240feb-96bc-11ef-a267-00155d82e908")</f>
        <v>https://miland.ru/api/getInfo/item/cd240feb-96bc-11ef-a267-00155d82e908</v>
      </c>
      <c r="AB4243" s="21" t="s">
        <v>42</v>
      </c>
      <c r="AC4243" s="21" t="s">
        <v>14964</v>
      </c>
      <c r="AD4243" s="21"/>
    </row>
    <row r="4244" spans="2:31" s="1" customFormat="1" ht="96.3" customHeight="1" outlineLevel="7">
      <c r="B4244" s="59">
        <v>3388</v>
      </c>
      <c r="C4244" s="35" t="s">
        <v>14990</v>
      </c>
      <c r="D4244" s="73" t="s">
        <v>14991</v>
      </c>
      <c r="E4244" s="73"/>
      <c r="F4244" s="73"/>
      <c r="G4244" s="73"/>
      <c r="H4244" s="36" t="s">
        <v>14992</v>
      </c>
      <c r="I4244" s="40">
        <v>48</v>
      </c>
      <c r="J4244" s="36"/>
      <c r="K4244" s="34">
        <v>12</v>
      </c>
      <c r="L4244" s="41">
        <v>59.333333333333336</v>
      </c>
      <c r="M4244" s="11"/>
      <c r="N4244" s="36">
        <f t="shared" si="212"/>
        <v>0</v>
      </c>
      <c r="O4244" s="42">
        <f>0.103*M4244</f>
        <v>0</v>
      </c>
      <c r="P4244" s="43">
        <f>0.00045*M4244</f>
        <v>0</v>
      </c>
      <c r="Q4244" s="50"/>
      <c r="R4244" s="36" t="s">
        <v>14993</v>
      </c>
      <c r="S4244" s="36" t="s">
        <v>435</v>
      </c>
      <c r="T4244" s="35" t="str">
        <f>HYPERLINK("https://miland.ru/api/getInfo/image/032c573c-7d4f-11ee-a248-00155d82e902")</f>
        <v>https://miland.ru/api/getInfo/image/032c573c-7d4f-11ee-a248-00155d82e902</v>
      </c>
      <c r="U4244" s="35"/>
      <c r="V4244" s="35" t="s">
        <v>6525</v>
      </c>
      <c r="W4244" s="35" t="s">
        <v>378</v>
      </c>
      <c r="X4244" s="35"/>
      <c r="Y4244" s="35" t="s">
        <v>41</v>
      </c>
      <c r="Z4244" s="35"/>
      <c r="AA4244" s="35" t="str">
        <f>HYPERLINK("https://miland.ru/api/getInfo/item/032c573c-7d4f-11ee-a248-00155d82e902")</f>
        <v>https://miland.ru/api/getInfo/item/032c573c-7d4f-11ee-a248-00155d82e902</v>
      </c>
      <c r="AB4244" s="35" t="s">
        <v>42</v>
      </c>
      <c r="AC4244" s="35" t="s">
        <v>14994</v>
      </c>
      <c r="AD4244" s="35"/>
      <c r="AE4244" s="52" t="s">
        <v>1251</v>
      </c>
    </row>
    <row r="4245" spans="2:31" s="1" customFormat="1" ht="96.3" customHeight="1" outlineLevel="7">
      <c r="B4245" s="57">
        <v>3389</v>
      </c>
      <c r="C4245" s="21" t="s">
        <v>14995</v>
      </c>
      <c r="D4245" s="72" t="s">
        <v>14996</v>
      </c>
      <c r="E4245" s="72"/>
      <c r="F4245" s="72"/>
      <c r="G4245" s="72"/>
      <c r="H4245" s="22" t="s">
        <v>14997</v>
      </c>
      <c r="I4245" s="27">
        <v>96</v>
      </c>
      <c r="J4245" s="22"/>
      <c r="K4245" s="20">
        <v>12</v>
      </c>
      <c r="L4245" s="24">
        <v>133.08000000000001</v>
      </c>
      <c r="M4245" s="11"/>
      <c r="N4245" s="22">
        <f t="shared" si="212"/>
        <v>0</v>
      </c>
      <c r="O4245" s="25">
        <f>0.102*M4245</f>
        <v>0</v>
      </c>
      <c r="P4245" s="26">
        <f>0.00051*M4245</f>
        <v>0</v>
      </c>
      <c r="Q4245" s="30"/>
      <c r="R4245" s="22" t="s">
        <v>14998</v>
      </c>
      <c r="S4245" s="22" t="s">
        <v>435</v>
      </c>
      <c r="T4245" s="21" t="str">
        <f>HYPERLINK("https://miland.ru/api/getInfo/image/1a4c59db-7d4f-11ee-a248-00155d82e902")</f>
        <v>https://miland.ru/api/getInfo/image/1a4c59db-7d4f-11ee-a248-00155d82e902</v>
      </c>
      <c r="U4245" s="21"/>
      <c r="V4245" s="21" t="s">
        <v>6525</v>
      </c>
      <c r="W4245" s="21" t="s">
        <v>378</v>
      </c>
      <c r="X4245" s="21"/>
      <c r="Y4245" s="21" t="s">
        <v>41</v>
      </c>
      <c r="Z4245" s="21"/>
      <c r="AA4245" s="21" t="str">
        <f>HYPERLINK("https://miland.ru/api/getInfo/item/1a4c59db-7d4f-11ee-a248-00155d82e902")</f>
        <v>https://miland.ru/api/getInfo/item/1a4c59db-7d4f-11ee-a248-00155d82e902</v>
      </c>
      <c r="AB4245" s="21" t="s">
        <v>42</v>
      </c>
      <c r="AC4245" s="21" t="s">
        <v>14994</v>
      </c>
      <c r="AD4245" s="21"/>
    </row>
    <row r="4246" spans="2:31" s="1" customFormat="1" ht="96.3" customHeight="1" outlineLevel="7">
      <c r="B4246" s="57">
        <v>3390</v>
      </c>
      <c r="C4246" s="21" t="s">
        <v>14999</v>
      </c>
      <c r="D4246" s="72" t="s">
        <v>15000</v>
      </c>
      <c r="E4246" s="72"/>
      <c r="F4246" s="72"/>
      <c r="G4246" s="72"/>
      <c r="H4246" s="22" t="s">
        <v>15001</v>
      </c>
      <c r="I4246" s="23" t="s">
        <v>36</v>
      </c>
      <c r="J4246" s="22"/>
      <c r="K4246" s="20">
        <v>12</v>
      </c>
      <c r="L4246" s="24">
        <v>133.08000000000001</v>
      </c>
      <c r="M4246" s="11"/>
      <c r="N4246" s="22">
        <f t="shared" si="212"/>
        <v>0</v>
      </c>
      <c r="O4246" s="25">
        <f>0.113*M4246</f>
        <v>0</v>
      </c>
      <c r="P4246" s="26">
        <f>0.00038*M4246</f>
        <v>0</v>
      </c>
      <c r="Q4246" s="30"/>
      <c r="R4246" s="22" t="s">
        <v>15002</v>
      </c>
      <c r="S4246" s="22" t="s">
        <v>435</v>
      </c>
      <c r="T4246" s="21" t="str">
        <f>HYPERLINK("https://miland.ru/api/getInfo/image/d91e9958-77c0-11ee-a248-00155d82e902")</f>
        <v>https://miland.ru/api/getInfo/image/d91e9958-77c0-11ee-a248-00155d82e902</v>
      </c>
      <c r="U4246" s="21"/>
      <c r="V4246" s="21" t="s">
        <v>6525</v>
      </c>
      <c r="W4246" s="21" t="s">
        <v>378</v>
      </c>
      <c r="X4246" s="21"/>
      <c r="Y4246" s="21" t="s">
        <v>41</v>
      </c>
      <c r="Z4246" s="21"/>
      <c r="AA4246" s="21" t="str">
        <f>HYPERLINK("https://miland.ru/api/getInfo/item/d91e9958-77c0-11ee-a248-00155d82e902")</f>
        <v>https://miland.ru/api/getInfo/item/d91e9958-77c0-11ee-a248-00155d82e902</v>
      </c>
      <c r="AB4246" s="21" t="s">
        <v>42</v>
      </c>
      <c r="AC4246" s="21" t="s">
        <v>14930</v>
      </c>
      <c r="AD4246" s="21"/>
    </row>
    <row r="4247" spans="2:31" s="1" customFormat="1" ht="96.3" customHeight="1" outlineLevel="7">
      <c r="B4247" s="59">
        <v>3391</v>
      </c>
      <c r="C4247" s="35" t="s">
        <v>15003</v>
      </c>
      <c r="D4247" s="73" t="s">
        <v>15004</v>
      </c>
      <c r="E4247" s="73"/>
      <c r="F4247" s="73"/>
      <c r="G4247" s="73"/>
      <c r="H4247" s="36" t="s">
        <v>15005</v>
      </c>
      <c r="I4247" s="56" t="s">
        <v>36</v>
      </c>
      <c r="J4247" s="36"/>
      <c r="K4247" s="34">
        <v>12</v>
      </c>
      <c r="L4247" s="41">
        <v>59.120000000000005</v>
      </c>
      <c r="M4247" s="11"/>
      <c r="N4247" s="36">
        <f t="shared" si="212"/>
        <v>0</v>
      </c>
      <c r="O4247" s="42">
        <f>0.113*M4247</f>
        <v>0</v>
      </c>
      <c r="P4247" s="43">
        <f>0.00038*M4247</f>
        <v>0</v>
      </c>
      <c r="Q4247" s="50"/>
      <c r="R4247" s="36" t="s">
        <v>15006</v>
      </c>
      <c r="S4247" s="36" t="s">
        <v>435</v>
      </c>
      <c r="T4247" s="35" t="str">
        <f>HYPERLINK("https://miland.ru/api/getInfo/image/34ee2aa5-77c1-11ee-a248-00155d82e902")</f>
        <v>https://miland.ru/api/getInfo/image/34ee2aa5-77c1-11ee-a248-00155d82e902</v>
      </c>
      <c r="U4247" s="35"/>
      <c r="V4247" s="35" t="s">
        <v>6525</v>
      </c>
      <c r="W4247" s="35" t="s">
        <v>378</v>
      </c>
      <c r="X4247" s="35"/>
      <c r="Y4247" s="35" t="s">
        <v>41</v>
      </c>
      <c r="Z4247" s="35"/>
      <c r="AA4247" s="35" t="str">
        <f>HYPERLINK("https://miland.ru/api/getInfo/item/34ee2aa5-77c1-11ee-a248-00155d82e902")</f>
        <v>https://miland.ru/api/getInfo/item/34ee2aa5-77c1-11ee-a248-00155d82e902</v>
      </c>
      <c r="AB4247" s="35" t="s">
        <v>42</v>
      </c>
      <c r="AC4247" s="35" t="s">
        <v>14930</v>
      </c>
      <c r="AD4247" s="35"/>
      <c r="AE4247" s="52" t="s">
        <v>1251</v>
      </c>
    </row>
    <row r="4248" spans="2:31" s="1" customFormat="1" ht="96.3" customHeight="1" outlineLevel="7">
      <c r="B4248" s="59">
        <v>3392</v>
      </c>
      <c r="C4248" s="35" t="s">
        <v>15007</v>
      </c>
      <c r="D4248" s="73" t="s">
        <v>15008</v>
      </c>
      <c r="E4248" s="73"/>
      <c r="F4248" s="73"/>
      <c r="G4248" s="73"/>
      <c r="H4248" s="36" t="s">
        <v>15009</v>
      </c>
      <c r="I4248" s="56" t="s">
        <v>36</v>
      </c>
      <c r="J4248" s="36"/>
      <c r="K4248" s="34">
        <v>12</v>
      </c>
      <c r="L4248" s="41">
        <v>59.120000000000005</v>
      </c>
      <c r="M4248" s="11"/>
      <c r="N4248" s="36">
        <f t="shared" si="212"/>
        <v>0</v>
      </c>
      <c r="O4248" s="42">
        <f>0.113*M4248</f>
        <v>0</v>
      </c>
      <c r="P4248" s="43">
        <f>0.00038*M4248</f>
        <v>0</v>
      </c>
      <c r="Q4248" s="50"/>
      <c r="R4248" s="36" t="s">
        <v>15010</v>
      </c>
      <c r="S4248" s="36" t="s">
        <v>435</v>
      </c>
      <c r="T4248" s="35" t="str">
        <f>HYPERLINK("https://miland.ru/api/getInfo/image/2438e24d-77c1-11ee-a248-00155d82e902")</f>
        <v>https://miland.ru/api/getInfo/image/2438e24d-77c1-11ee-a248-00155d82e902</v>
      </c>
      <c r="U4248" s="35"/>
      <c r="V4248" s="35" t="s">
        <v>6525</v>
      </c>
      <c r="W4248" s="35" t="s">
        <v>378</v>
      </c>
      <c r="X4248" s="35"/>
      <c r="Y4248" s="35" t="s">
        <v>41</v>
      </c>
      <c r="Z4248" s="35"/>
      <c r="AA4248" s="35" t="str">
        <f>HYPERLINK("https://miland.ru/api/getInfo/item/2438e24d-77c1-11ee-a248-00155d82e902")</f>
        <v>https://miland.ru/api/getInfo/item/2438e24d-77c1-11ee-a248-00155d82e902</v>
      </c>
      <c r="AB4248" s="35" t="s">
        <v>42</v>
      </c>
      <c r="AC4248" s="35" t="s">
        <v>14930</v>
      </c>
      <c r="AD4248" s="35"/>
      <c r="AE4248" s="52" t="s">
        <v>1251</v>
      </c>
    </row>
    <row r="4249" spans="2:31" s="1" customFormat="1" ht="96.3" customHeight="1" outlineLevel="7">
      <c r="B4249" s="59">
        <v>3393</v>
      </c>
      <c r="C4249" s="35" t="s">
        <v>15011</v>
      </c>
      <c r="D4249" s="73" t="s">
        <v>15012</v>
      </c>
      <c r="E4249" s="73"/>
      <c r="F4249" s="73"/>
      <c r="G4249" s="73"/>
      <c r="H4249" s="36" t="s">
        <v>15013</v>
      </c>
      <c r="I4249" s="56" t="s">
        <v>36</v>
      </c>
      <c r="J4249" s="36"/>
      <c r="K4249" s="34">
        <v>12</v>
      </c>
      <c r="L4249" s="41">
        <v>59.120000000000005</v>
      </c>
      <c r="M4249" s="11"/>
      <c r="N4249" s="36">
        <f t="shared" si="212"/>
        <v>0</v>
      </c>
      <c r="O4249" s="42">
        <f>0.113*M4249</f>
        <v>0</v>
      </c>
      <c r="P4249" s="43">
        <f>0.00038*M4249</f>
        <v>0</v>
      </c>
      <c r="Q4249" s="50"/>
      <c r="R4249" s="36" t="s">
        <v>15014</v>
      </c>
      <c r="S4249" s="36" t="s">
        <v>435</v>
      </c>
      <c r="T4249" s="35" t="str">
        <f>HYPERLINK("https://miland.ru/api/getInfo/image/fc6d1fe5-77c0-11ee-a248-00155d82e902")</f>
        <v>https://miland.ru/api/getInfo/image/fc6d1fe5-77c0-11ee-a248-00155d82e902</v>
      </c>
      <c r="U4249" s="35"/>
      <c r="V4249" s="35" t="s">
        <v>6525</v>
      </c>
      <c r="W4249" s="35" t="s">
        <v>378</v>
      </c>
      <c r="X4249" s="35"/>
      <c r="Y4249" s="35" t="s">
        <v>41</v>
      </c>
      <c r="Z4249" s="35"/>
      <c r="AA4249" s="35" t="str">
        <f>HYPERLINK("https://miland.ru/api/getInfo/item/fc6d1fe5-77c0-11ee-a248-00155d82e902")</f>
        <v>https://miland.ru/api/getInfo/item/fc6d1fe5-77c0-11ee-a248-00155d82e902</v>
      </c>
      <c r="AB4249" s="35" t="s">
        <v>42</v>
      </c>
      <c r="AC4249" s="35" t="s">
        <v>14930</v>
      </c>
      <c r="AD4249" s="35"/>
      <c r="AE4249" s="52" t="s">
        <v>1251</v>
      </c>
    </row>
    <row r="4250" spans="2:31" s="1" customFormat="1" ht="96.3" customHeight="1" outlineLevel="7">
      <c r="B4250" s="57">
        <v>3394</v>
      </c>
      <c r="C4250" s="21" t="s">
        <v>15015</v>
      </c>
      <c r="D4250" s="72" t="s">
        <v>15016</v>
      </c>
      <c r="E4250" s="72"/>
      <c r="F4250" s="72"/>
      <c r="G4250" s="72"/>
      <c r="H4250" s="22" t="s">
        <v>15017</v>
      </c>
      <c r="I4250" s="23" t="s">
        <v>36</v>
      </c>
      <c r="J4250" s="22"/>
      <c r="K4250" s="20">
        <v>12</v>
      </c>
      <c r="L4250" s="24">
        <v>133.08000000000001</v>
      </c>
      <c r="M4250" s="11"/>
      <c r="N4250" s="22">
        <f t="shared" si="212"/>
        <v>0</v>
      </c>
      <c r="O4250" s="25">
        <f>0.111*M4250</f>
        <v>0</v>
      </c>
      <c r="P4250" s="26">
        <f>0.00089*M4250</f>
        <v>0</v>
      </c>
      <c r="Q4250" s="30"/>
      <c r="R4250" s="22" t="s">
        <v>15018</v>
      </c>
      <c r="S4250" s="22"/>
      <c r="T4250" s="21" t="str">
        <f>HYPERLINK("https://miland.ru/api/getInfo/image/95d662f8-edd7-11ef-a274-00155d82e908")</f>
        <v>https://miland.ru/api/getInfo/image/95d662f8-edd7-11ef-a274-00155d82e908</v>
      </c>
      <c r="U4250" s="21"/>
      <c r="V4250" s="21" t="s">
        <v>6525</v>
      </c>
      <c r="W4250" s="21" t="s">
        <v>7657</v>
      </c>
      <c r="X4250" s="21"/>
      <c r="Y4250" s="21" t="s">
        <v>41</v>
      </c>
      <c r="Z4250" s="21"/>
      <c r="AA4250" s="21" t="str">
        <f>HYPERLINK("https://miland.ru/api/getInfo/item/95d662f8-edd7-11ef-a274-00155d82e908")</f>
        <v>https://miland.ru/api/getInfo/item/95d662f8-edd7-11ef-a274-00155d82e908</v>
      </c>
      <c r="AB4250" s="21" t="s">
        <v>42</v>
      </c>
      <c r="AC4250" s="21"/>
      <c r="AD4250" s="21"/>
    </row>
    <row r="4251" spans="2:31" ht="12" customHeight="1" outlineLevel="6">
      <c r="B4251" s="70" t="s">
        <v>15019</v>
      </c>
      <c r="C4251" s="70"/>
      <c r="D4251" s="70"/>
      <c r="E4251" s="70"/>
      <c r="F4251" s="70"/>
      <c r="G4251" s="70"/>
    </row>
    <row r="4252" spans="2:31" s="1" customFormat="1" ht="96.3" customHeight="1" outlineLevel="7">
      <c r="B4252" s="59">
        <v>3395</v>
      </c>
      <c r="C4252" s="35" t="s">
        <v>15020</v>
      </c>
      <c r="D4252" s="73" t="s">
        <v>15021</v>
      </c>
      <c r="E4252" s="73"/>
      <c r="F4252" s="73"/>
      <c r="G4252" s="73"/>
      <c r="H4252" s="36" t="s">
        <v>15022</v>
      </c>
      <c r="I4252" s="56" t="s">
        <v>36</v>
      </c>
      <c r="J4252" s="36"/>
      <c r="K4252" s="34">
        <v>12</v>
      </c>
      <c r="L4252" s="41">
        <v>62.28</v>
      </c>
      <c r="M4252" s="11"/>
      <c r="N4252" s="36">
        <f t="shared" ref="N4252:N4261" si="213">L4252*M4252</f>
        <v>0</v>
      </c>
      <c r="O4252" s="42">
        <f>0.113*M4252</f>
        <v>0</v>
      </c>
      <c r="P4252" s="43">
        <f>0.00038*M4252</f>
        <v>0</v>
      </c>
      <c r="Q4252" s="50"/>
      <c r="R4252" s="36" t="s">
        <v>15023</v>
      </c>
      <c r="S4252" s="36" t="s">
        <v>435</v>
      </c>
      <c r="T4252" s="35" t="str">
        <f>HYPERLINK("https://miland.ru/api/getInfo/image/d280e11e-77c1-11ee-a248-00155d82e902")</f>
        <v>https://miland.ru/api/getInfo/image/d280e11e-77c1-11ee-a248-00155d82e902</v>
      </c>
      <c r="U4252" s="35"/>
      <c r="V4252" s="35" t="s">
        <v>6525</v>
      </c>
      <c r="W4252" s="35" t="s">
        <v>378</v>
      </c>
      <c r="X4252" s="35"/>
      <c r="Y4252" s="35" t="s">
        <v>41</v>
      </c>
      <c r="Z4252" s="35"/>
      <c r="AA4252" s="35" t="str">
        <f>HYPERLINK("https://miland.ru/api/getInfo/item/d280e11e-77c1-11ee-a248-00155d82e902")</f>
        <v>https://miland.ru/api/getInfo/item/d280e11e-77c1-11ee-a248-00155d82e902</v>
      </c>
      <c r="AB4252" s="35" t="s">
        <v>42</v>
      </c>
      <c r="AC4252" s="35" t="s">
        <v>14930</v>
      </c>
      <c r="AD4252" s="35"/>
      <c r="AE4252" s="52" t="s">
        <v>1251</v>
      </c>
    </row>
    <row r="4253" spans="2:31" s="1" customFormat="1" ht="96.3" customHeight="1" outlineLevel="7">
      <c r="B4253" s="59">
        <v>3396</v>
      </c>
      <c r="C4253" s="35" t="s">
        <v>15024</v>
      </c>
      <c r="D4253" s="73" t="s">
        <v>15025</v>
      </c>
      <c r="E4253" s="73"/>
      <c r="F4253" s="73"/>
      <c r="G4253" s="73"/>
      <c r="H4253" s="36" t="s">
        <v>15026</v>
      </c>
      <c r="I4253" s="56" t="s">
        <v>36</v>
      </c>
      <c r="J4253" s="36"/>
      <c r="K4253" s="34">
        <v>12</v>
      </c>
      <c r="L4253" s="41">
        <v>62.28</v>
      </c>
      <c r="M4253" s="11"/>
      <c r="N4253" s="36">
        <f t="shared" si="213"/>
        <v>0</v>
      </c>
      <c r="O4253" s="42">
        <f>0.113*M4253</f>
        <v>0</v>
      </c>
      <c r="P4253" s="43">
        <f>0.00038*M4253</f>
        <v>0</v>
      </c>
      <c r="Q4253" s="50"/>
      <c r="R4253" s="36" t="s">
        <v>15027</v>
      </c>
      <c r="S4253" s="36" t="s">
        <v>435</v>
      </c>
      <c r="T4253" s="35" t="str">
        <f>HYPERLINK("https://miland.ru/api/getInfo/image/eb4e0c1a-77c1-11ee-a248-00155d82e902")</f>
        <v>https://miland.ru/api/getInfo/image/eb4e0c1a-77c1-11ee-a248-00155d82e902</v>
      </c>
      <c r="U4253" s="35"/>
      <c r="V4253" s="35" t="s">
        <v>6525</v>
      </c>
      <c r="W4253" s="35" t="s">
        <v>378</v>
      </c>
      <c r="X4253" s="35"/>
      <c r="Y4253" s="35" t="s">
        <v>41</v>
      </c>
      <c r="Z4253" s="35"/>
      <c r="AA4253" s="35" t="str">
        <f>HYPERLINK("https://miland.ru/api/getInfo/item/eb4e0c1a-77c1-11ee-a248-00155d82e902")</f>
        <v>https://miland.ru/api/getInfo/item/eb4e0c1a-77c1-11ee-a248-00155d82e902</v>
      </c>
      <c r="AB4253" s="35" t="s">
        <v>42</v>
      </c>
      <c r="AC4253" s="35" t="s">
        <v>14930</v>
      </c>
      <c r="AD4253" s="35"/>
      <c r="AE4253" s="52" t="s">
        <v>1251</v>
      </c>
    </row>
    <row r="4254" spans="2:31" s="1" customFormat="1" ht="96.3" customHeight="1" outlineLevel="7">
      <c r="B4254" s="59">
        <v>3397</v>
      </c>
      <c r="C4254" s="35" t="s">
        <v>15028</v>
      </c>
      <c r="D4254" s="73" t="s">
        <v>15029</v>
      </c>
      <c r="E4254" s="73"/>
      <c r="F4254" s="73"/>
      <c r="G4254" s="73"/>
      <c r="H4254" s="36" t="s">
        <v>15030</v>
      </c>
      <c r="I4254" s="56" t="s">
        <v>36</v>
      </c>
      <c r="J4254" s="36"/>
      <c r="K4254" s="34">
        <v>12</v>
      </c>
      <c r="L4254" s="41">
        <v>62.28</v>
      </c>
      <c r="M4254" s="11"/>
      <c r="N4254" s="36">
        <f t="shared" si="213"/>
        <v>0</v>
      </c>
      <c r="O4254" s="42">
        <f>0.113*M4254</f>
        <v>0</v>
      </c>
      <c r="P4254" s="43">
        <f>0.00038*M4254</f>
        <v>0</v>
      </c>
      <c r="Q4254" s="50"/>
      <c r="R4254" s="36" t="s">
        <v>15031</v>
      </c>
      <c r="S4254" s="36" t="s">
        <v>435</v>
      </c>
      <c r="T4254" s="35" t="str">
        <f>HYPERLINK("https://miland.ru/api/getInfo/image/a9a7b313-77c1-11ee-a248-00155d82e902")</f>
        <v>https://miland.ru/api/getInfo/image/a9a7b313-77c1-11ee-a248-00155d82e902</v>
      </c>
      <c r="U4254" s="35"/>
      <c r="V4254" s="35" t="s">
        <v>6525</v>
      </c>
      <c r="W4254" s="35" t="s">
        <v>378</v>
      </c>
      <c r="X4254" s="35"/>
      <c r="Y4254" s="35" t="s">
        <v>41</v>
      </c>
      <c r="Z4254" s="35"/>
      <c r="AA4254" s="35" t="str">
        <f>HYPERLINK("https://miland.ru/api/getInfo/item/a9a7b313-77c1-11ee-a248-00155d82e902")</f>
        <v>https://miland.ru/api/getInfo/item/a9a7b313-77c1-11ee-a248-00155d82e902</v>
      </c>
      <c r="AB4254" s="35" t="s">
        <v>42</v>
      </c>
      <c r="AC4254" s="35" t="s">
        <v>14930</v>
      </c>
      <c r="AD4254" s="35"/>
      <c r="AE4254" s="52" t="s">
        <v>1251</v>
      </c>
    </row>
    <row r="4255" spans="2:31" s="1" customFormat="1" ht="96.3" customHeight="1" outlineLevel="7">
      <c r="B4255" s="59">
        <v>3398</v>
      </c>
      <c r="C4255" s="35" t="s">
        <v>15032</v>
      </c>
      <c r="D4255" s="73" t="s">
        <v>15033</v>
      </c>
      <c r="E4255" s="73"/>
      <c r="F4255" s="73"/>
      <c r="G4255" s="73"/>
      <c r="H4255" s="36" t="s">
        <v>15034</v>
      </c>
      <c r="I4255" s="56" t="s">
        <v>36</v>
      </c>
      <c r="J4255" s="36"/>
      <c r="K4255" s="34">
        <v>12</v>
      </c>
      <c r="L4255" s="41">
        <v>62.28</v>
      </c>
      <c r="M4255" s="11"/>
      <c r="N4255" s="36">
        <f t="shared" si="213"/>
        <v>0</v>
      </c>
      <c r="O4255" s="42">
        <f>0.113*M4255</f>
        <v>0</v>
      </c>
      <c r="P4255" s="43">
        <f>0.00038*M4255</f>
        <v>0</v>
      </c>
      <c r="Q4255" s="50"/>
      <c r="R4255" s="36" t="s">
        <v>15035</v>
      </c>
      <c r="S4255" s="36" t="s">
        <v>435</v>
      </c>
      <c r="T4255" s="35" t="str">
        <f>HYPERLINK("https://miland.ru/api/getInfo/image/bfa50a00-77c1-11ee-a248-00155d82e902")</f>
        <v>https://miland.ru/api/getInfo/image/bfa50a00-77c1-11ee-a248-00155d82e902</v>
      </c>
      <c r="U4255" s="35"/>
      <c r="V4255" s="35" t="s">
        <v>6525</v>
      </c>
      <c r="W4255" s="35" t="s">
        <v>378</v>
      </c>
      <c r="X4255" s="35"/>
      <c r="Y4255" s="35" t="s">
        <v>41</v>
      </c>
      <c r="Z4255" s="35"/>
      <c r="AA4255" s="35" t="str">
        <f>HYPERLINK("https://miland.ru/api/getInfo/item/bfa50a00-77c1-11ee-a248-00155d82e902")</f>
        <v>https://miland.ru/api/getInfo/item/bfa50a00-77c1-11ee-a248-00155d82e902</v>
      </c>
      <c r="AB4255" s="35" t="s">
        <v>42</v>
      </c>
      <c r="AC4255" s="35" t="s">
        <v>14930</v>
      </c>
      <c r="AD4255" s="35"/>
      <c r="AE4255" s="52" t="s">
        <v>1251</v>
      </c>
    </row>
    <row r="4256" spans="2:31" s="1" customFormat="1" ht="96.3" customHeight="1" outlineLevel="7">
      <c r="B4256" s="57">
        <v>3399</v>
      </c>
      <c r="C4256" s="21" t="s">
        <v>15036</v>
      </c>
      <c r="D4256" s="72" t="s">
        <v>15037</v>
      </c>
      <c r="E4256" s="72"/>
      <c r="F4256" s="72"/>
      <c r="G4256" s="72"/>
      <c r="H4256" s="22" t="s">
        <v>15038</v>
      </c>
      <c r="I4256" s="23" t="s">
        <v>36</v>
      </c>
      <c r="J4256" s="22"/>
      <c r="K4256" s="20">
        <v>12</v>
      </c>
      <c r="L4256" s="24">
        <v>74.760000000000005</v>
      </c>
      <c r="M4256" s="11"/>
      <c r="N4256" s="22">
        <f t="shared" si="213"/>
        <v>0</v>
      </c>
      <c r="O4256" s="25">
        <f>0.125*M4256</f>
        <v>0</v>
      </c>
      <c r="P4256" s="26">
        <f>0.00043*M4256</f>
        <v>0</v>
      </c>
      <c r="Q4256" s="30"/>
      <c r="R4256" s="22" t="s">
        <v>15039</v>
      </c>
      <c r="S4256" s="22"/>
      <c r="T4256" s="21" t="str">
        <f>HYPERLINK("https://miland.ru/api/getInfo/image/6d19c3ee-58ab-11f0-a27f-00155d82e908")</f>
        <v>https://miland.ru/api/getInfo/image/6d19c3ee-58ab-11f0-a27f-00155d82e908</v>
      </c>
      <c r="U4256" s="21"/>
      <c r="V4256" s="21"/>
      <c r="W4256" s="21" t="s">
        <v>7657</v>
      </c>
      <c r="X4256" s="21"/>
      <c r="Y4256" s="21" t="s">
        <v>41</v>
      </c>
      <c r="Z4256" s="21"/>
      <c r="AA4256" s="21" t="str">
        <f>HYPERLINK("https://miland.ru/api/getInfo/item/6d19c3ee-58ab-11f0-a27f-00155d82e908")</f>
        <v>https://miland.ru/api/getInfo/item/6d19c3ee-58ab-11f0-a27f-00155d82e908</v>
      </c>
      <c r="AB4256" s="21" t="s">
        <v>42</v>
      </c>
      <c r="AC4256" s="21"/>
      <c r="AD4256" s="21"/>
    </row>
    <row r="4257" spans="2:31" s="1" customFormat="1" ht="96.3" customHeight="1" outlineLevel="7">
      <c r="B4257" s="57">
        <v>3400</v>
      </c>
      <c r="C4257" s="21" t="s">
        <v>15040</v>
      </c>
      <c r="D4257" s="72" t="s">
        <v>15041</v>
      </c>
      <c r="E4257" s="72"/>
      <c r="F4257" s="72"/>
      <c r="G4257" s="72"/>
      <c r="H4257" s="22" t="s">
        <v>15042</v>
      </c>
      <c r="I4257" s="23" t="s">
        <v>36</v>
      </c>
      <c r="J4257" s="22"/>
      <c r="K4257" s="20">
        <v>12</v>
      </c>
      <c r="L4257" s="24">
        <v>74.760000000000005</v>
      </c>
      <c r="M4257" s="11"/>
      <c r="N4257" s="22">
        <f t="shared" si="213"/>
        <v>0</v>
      </c>
      <c r="O4257" s="25">
        <f>0.125*M4257</f>
        <v>0</v>
      </c>
      <c r="P4257" s="26">
        <f>0.00043*M4257</f>
        <v>0</v>
      </c>
      <c r="Q4257" s="30"/>
      <c r="R4257" s="22" t="s">
        <v>15043</v>
      </c>
      <c r="S4257" s="22"/>
      <c r="T4257" s="21" t="str">
        <f>HYPERLINK("https://miland.ru/api/getInfo/image/acc4cd4c-58ab-11f0-a27f-00155d82e908")</f>
        <v>https://miland.ru/api/getInfo/image/acc4cd4c-58ab-11f0-a27f-00155d82e908</v>
      </c>
      <c r="U4257" s="21"/>
      <c r="V4257" s="21"/>
      <c r="W4257" s="21" t="s">
        <v>7657</v>
      </c>
      <c r="X4257" s="21"/>
      <c r="Y4257" s="21" t="s">
        <v>41</v>
      </c>
      <c r="Z4257" s="21"/>
      <c r="AA4257" s="21" t="str">
        <f>HYPERLINK("https://miland.ru/api/getInfo/item/acc4cd4c-58ab-11f0-a27f-00155d82e908")</f>
        <v>https://miland.ru/api/getInfo/item/acc4cd4c-58ab-11f0-a27f-00155d82e908</v>
      </c>
      <c r="AB4257" s="21" t="s">
        <v>42</v>
      </c>
      <c r="AC4257" s="21"/>
      <c r="AD4257" s="21"/>
    </row>
    <row r="4258" spans="2:31" s="1" customFormat="1" ht="96.3" customHeight="1" outlineLevel="7">
      <c r="B4258" s="57">
        <v>3401</v>
      </c>
      <c r="C4258" s="21" t="s">
        <v>15044</v>
      </c>
      <c r="D4258" s="72" t="s">
        <v>15045</v>
      </c>
      <c r="E4258" s="72"/>
      <c r="F4258" s="72"/>
      <c r="G4258" s="72"/>
      <c r="H4258" s="22" t="s">
        <v>15046</v>
      </c>
      <c r="I4258" s="23" t="s">
        <v>36</v>
      </c>
      <c r="J4258" s="22"/>
      <c r="K4258" s="20">
        <v>12</v>
      </c>
      <c r="L4258" s="24">
        <v>107.63</v>
      </c>
      <c r="M4258" s="11"/>
      <c r="N4258" s="22">
        <f t="shared" si="213"/>
        <v>0</v>
      </c>
      <c r="O4258" s="25">
        <f>0.113*M4258</f>
        <v>0</v>
      </c>
      <c r="P4258" s="26">
        <f>0.00195*M4258</f>
        <v>0</v>
      </c>
      <c r="Q4258" s="30"/>
      <c r="R4258" s="22" t="s">
        <v>15047</v>
      </c>
      <c r="S4258" s="22"/>
      <c r="T4258" s="21" t="str">
        <f>HYPERLINK("https://miland.ru/api/getInfo/image/1f1abc79-edcb-11ef-a274-00155d82e908")</f>
        <v>https://miland.ru/api/getInfo/image/1f1abc79-edcb-11ef-a274-00155d82e908</v>
      </c>
      <c r="U4258" s="21"/>
      <c r="V4258" s="21" t="s">
        <v>6525</v>
      </c>
      <c r="W4258" s="21" t="s">
        <v>7657</v>
      </c>
      <c r="X4258" s="21"/>
      <c r="Y4258" s="21" t="s">
        <v>41</v>
      </c>
      <c r="Z4258" s="21"/>
      <c r="AA4258" s="21" t="str">
        <f>HYPERLINK("https://miland.ru/api/getInfo/item/1f1abc79-edcb-11ef-a274-00155d82e908")</f>
        <v>https://miland.ru/api/getInfo/item/1f1abc79-edcb-11ef-a274-00155d82e908</v>
      </c>
      <c r="AB4258" s="21" t="s">
        <v>42</v>
      </c>
      <c r="AC4258" s="21"/>
      <c r="AD4258" s="21"/>
    </row>
    <row r="4259" spans="2:31" s="1" customFormat="1" ht="96.3" customHeight="1" outlineLevel="7">
      <c r="B4259" s="57">
        <v>3402</v>
      </c>
      <c r="C4259" s="21" t="s">
        <v>15048</v>
      </c>
      <c r="D4259" s="72" t="s">
        <v>15049</v>
      </c>
      <c r="E4259" s="72"/>
      <c r="F4259" s="72"/>
      <c r="G4259" s="72"/>
      <c r="H4259" s="22" t="s">
        <v>15050</v>
      </c>
      <c r="I4259" s="23" t="s">
        <v>36</v>
      </c>
      <c r="J4259" s="22"/>
      <c r="K4259" s="20">
        <v>12</v>
      </c>
      <c r="L4259" s="24">
        <v>107.63</v>
      </c>
      <c r="M4259" s="11"/>
      <c r="N4259" s="22">
        <f t="shared" si="213"/>
        <v>0</v>
      </c>
      <c r="O4259" s="25">
        <f>0.118*M4259</f>
        <v>0</v>
      </c>
      <c r="P4259" s="26">
        <f>0.00075*M4259</f>
        <v>0</v>
      </c>
      <c r="Q4259" s="30"/>
      <c r="R4259" s="22" t="s">
        <v>15051</v>
      </c>
      <c r="S4259" s="22"/>
      <c r="T4259" s="21" t="str">
        <f>HYPERLINK("https://miland.ru/api/getInfo/image/7269505d-edcb-11ef-a274-00155d82e908")</f>
        <v>https://miland.ru/api/getInfo/image/7269505d-edcb-11ef-a274-00155d82e908</v>
      </c>
      <c r="U4259" s="21"/>
      <c r="V4259" s="21" t="s">
        <v>6525</v>
      </c>
      <c r="W4259" s="21" t="s">
        <v>7657</v>
      </c>
      <c r="X4259" s="21"/>
      <c r="Y4259" s="21" t="s">
        <v>41</v>
      </c>
      <c r="Z4259" s="21"/>
      <c r="AA4259" s="21" t="str">
        <f>HYPERLINK("https://miland.ru/api/getInfo/item/7269505d-edcb-11ef-a274-00155d82e908")</f>
        <v>https://miland.ru/api/getInfo/item/7269505d-edcb-11ef-a274-00155d82e908</v>
      </c>
      <c r="AB4259" s="21" t="s">
        <v>42</v>
      </c>
      <c r="AC4259" s="21"/>
      <c r="AD4259" s="21"/>
    </row>
    <row r="4260" spans="2:31" s="1" customFormat="1" ht="96.3" customHeight="1" outlineLevel="7">
      <c r="B4260" s="57">
        <v>3403</v>
      </c>
      <c r="C4260" s="21" t="s">
        <v>15052</v>
      </c>
      <c r="D4260" s="72" t="s">
        <v>15053</v>
      </c>
      <c r="E4260" s="72"/>
      <c r="F4260" s="72"/>
      <c r="G4260" s="72"/>
      <c r="H4260" s="22" t="s">
        <v>15054</v>
      </c>
      <c r="I4260" s="23" t="s">
        <v>36</v>
      </c>
      <c r="J4260" s="22"/>
      <c r="K4260" s="20">
        <v>12</v>
      </c>
      <c r="L4260" s="24">
        <v>74.760000000000005</v>
      </c>
      <c r="M4260" s="11"/>
      <c r="N4260" s="22">
        <f t="shared" si="213"/>
        <v>0</v>
      </c>
      <c r="O4260" s="25">
        <f>0.125*M4260</f>
        <v>0</v>
      </c>
      <c r="P4260" s="26">
        <f>0.00043*M4260</f>
        <v>0</v>
      </c>
      <c r="Q4260" s="30"/>
      <c r="R4260" s="22" t="s">
        <v>15055</v>
      </c>
      <c r="S4260" s="22"/>
      <c r="T4260" s="21" t="str">
        <f>HYPERLINK("https://miland.ru/api/getInfo/image/e4f85887-58ab-11f0-a27f-00155d82e908")</f>
        <v>https://miland.ru/api/getInfo/image/e4f85887-58ab-11f0-a27f-00155d82e908</v>
      </c>
      <c r="U4260" s="21"/>
      <c r="V4260" s="21"/>
      <c r="W4260" s="21" t="s">
        <v>7657</v>
      </c>
      <c r="X4260" s="21"/>
      <c r="Y4260" s="21" t="s">
        <v>41</v>
      </c>
      <c r="Z4260" s="21"/>
      <c r="AA4260" s="21" t="str">
        <f>HYPERLINK("https://miland.ru/api/getInfo/item/e4f85887-58ab-11f0-a27f-00155d82e908")</f>
        <v>https://miland.ru/api/getInfo/item/e4f85887-58ab-11f0-a27f-00155d82e908</v>
      </c>
      <c r="AB4260" s="21" t="s">
        <v>42</v>
      </c>
      <c r="AC4260" s="21"/>
      <c r="AD4260" s="21"/>
    </row>
    <row r="4261" spans="2:31" s="1" customFormat="1" ht="96.3" customHeight="1" outlineLevel="7">
      <c r="B4261" s="57">
        <v>3404</v>
      </c>
      <c r="C4261" s="21" t="s">
        <v>15056</v>
      </c>
      <c r="D4261" s="72" t="s">
        <v>15057</v>
      </c>
      <c r="E4261" s="72"/>
      <c r="F4261" s="72"/>
      <c r="G4261" s="72"/>
      <c r="H4261" s="22" t="s">
        <v>15058</v>
      </c>
      <c r="I4261" s="23" t="s">
        <v>36</v>
      </c>
      <c r="J4261" s="22"/>
      <c r="K4261" s="20">
        <v>12</v>
      </c>
      <c r="L4261" s="24">
        <v>107.63</v>
      </c>
      <c r="M4261" s="11"/>
      <c r="N4261" s="22">
        <f t="shared" si="213"/>
        <v>0</v>
      </c>
      <c r="O4261" s="25">
        <f>0.117*M4261</f>
        <v>0</v>
      </c>
      <c r="P4261" s="26">
        <f>0.00134*M4261</f>
        <v>0</v>
      </c>
      <c r="Q4261" s="30"/>
      <c r="R4261" s="22" t="s">
        <v>15059</v>
      </c>
      <c r="S4261" s="22"/>
      <c r="T4261" s="21" t="str">
        <f>HYPERLINK("https://miland.ru/api/getInfo/image/b2f965b0-edd6-11ef-a274-00155d82e908")</f>
        <v>https://miland.ru/api/getInfo/image/b2f965b0-edd6-11ef-a274-00155d82e908</v>
      </c>
      <c r="U4261" s="21"/>
      <c r="V4261" s="21" t="s">
        <v>6525</v>
      </c>
      <c r="W4261" s="21" t="s">
        <v>7657</v>
      </c>
      <c r="X4261" s="21"/>
      <c r="Y4261" s="21" t="s">
        <v>41</v>
      </c>
      <c r="Z4261" s="21"/>
      <c r="AA4261" s="21" t="str">
        <f>HYPERLINK("https://miland.ru/api/getInfo/item/b2f965b0-edd6-11ef-a274-00155d82e908")</f>
        <v>https://miland.ru/api/getInfo/item/b2f965b0-edd6-11ef-a274-00155d82e908</v>
      </c>
      <c r="AB4261" s="21" t="s">
        <v>42</v>
      </c>
      <c r="AC4261" s="21"/>
      <c r="AD4261" s="21"/>
    </row>
    <row r="4262" spans="2:31" ht="12" customHeight="1" outlineLevel="5">
      <c r="B4262" s="70" t="s">
        <v>15060</v>
      </c>
      <c r="C4262" s="70"/>
      <c r="D4262" s="70"/>
      <c r="E4262" s="70"/>
      <c r="F4262" s="70"/>
      <c r="G4262" s="70"/>
    </row>
    <row r="4263" spans="2:31" s="1" customFormat="1" ht="96.3" customHeight="1" outlineLevel="6">
      <c r="B4263" s="58">
        <v>3405</v>
      </c>
      <c r="C4263" s="7" t="s">
        <v>15061</v>
      </c>
      <c r="D4263" s="71" t="s">
        <v>15062</v>
      </c>
      <c r="E4263" s="71"/>
      <c r="F4263" s="71"/>
      <c r="G4263" s="71"/>
      <c r="H4263" s="8" t="s">
        <v>15063</v>
      </c>
      <c r="I4263" s="9" t="s">
        <v>36</v>
      </c>
      <c r="J4263" s="8"/>
      <c r="K4263" s="6">
        <v>12</v>
      </c>
      <c r="L4263" s="10">
        <v>72.319999999999993</v>
      </c>
      <c r="M4263" s="11"/>
      <c r="N4263" s="8">
        <f>L4263*M4263</f>
        <v>0</v>
      </c>
      <c r="O4263" s="12">
        <f>0.085*M4263</f>
        <v>0</v>
      </c>
      <c r="P4263" s="13">
        <f>0.00086*M4263</f>
        <v>0</v>
      </c>
      <c r="Q4263" s="17" t="s">
        <v>37</v>
      </c>
      <c r="R4263" s="8" t="s">
        <v>15064</v>
      </c>
      <c r="S4263" s="8"/>
      <c r="T4263" s="7" t="str">
        <f>HYPERLINK("https://miland.ru/api/getInfo/image/ba37e007-6930-11f0-a283-00155d82e908")</f>
        <v>https://miland.ru/api/getInfo/image/ba37e007-6930-11f0-a283-00155d82e908</v>
      </c>
      <c r="U4263" s="7"/>
      <c r="V4263" s="7" t="s">
        <v>6525</v>
      </c>
      <c r="W4263" s="7" t="s">
        <v>7657</v>
      </c>
      <c r="X4263" s="7"/>
      <c r="Y4263" s="7" t="s">
        <v>41</v>
      </c>
      <c r="Z4263" s="7"/>
      <c r="AA4263" s="7" t="str">
        <f>HYPERLINK("https://miland.ru/api/getInfo/item/ba37e007-6930-11f0-a283-00155d82e908")</f>
        <v>https://miland.ru/api/getInfo/item/ba37e007-6930-11f0-a283-00155d82e908</v>
      </c>
      <c r="AB4263" s="7" t="s">
        <v>42</v>
      </c>
      <c r="AC4263" s="7"/>
      <c r="AD4263" s="7"/>
      <c r="AE4263" s="54"/>
    </row>
    <row r="4264" spans="2:31" s="1" customFormat="1" ht="96.3" customHeight="1" outlineLevel="6">
      <c r="B4264" s="58">
        <v>3406</v>
      </c>
      <c r="C4264" s="7" t="s">
        <v>15065</v>
      </c>
      <c r="D4264" s="71" t="s">
        <v>15066</v>
      </c>
      <c r="E4264" s="71"/>
      <c r="F4264" s="71"/>
      <c r="G4264" s="71"/>
      <c r="H4264" s="8" t="s">
        <v>15067</v>
      </c>
      <c r="I4264" s="9" t="s">
        <v>36</v>
      </c>
      <c r="J4264" s="8"/>
      <c r="K4264" s="6">
        <v>12</v>
      </c>
      <c r="L4264" s="10">
        <v>72.319999999999993</v>
      </c>
      <c r="M4264" s="11"/>
      <c r="N4264" s="8">
        <f>L4264*M4264</f>
        <v>0</v>
      </c>
      <c r="O4264" s="18">
        <f>0.09*M4264</f>
        <v>0</v>
      </c>
      <c r="P4264" s="13">
        <f>0.00072*M4264</f>
        <v>0</v>
      </c>
      <c r="Q4264" s="17" t="s">
        <v>37</v>
      </c>
      <c r="R4264" s="8" t="s">
        <v>15068</v>
      </c>
      <c r="S4264" s="8"/>
      <c r="T4264" s="7" t="str">
        <f>HYPERLINK("https://miland.ru/api/getInfo/image/0b7542ac-6931-11f0-a283-00155d82e908")</f>
        <v>https://miland.ru/api/getInfo/image/0b7542ac-6931-11f0-a283-00155d82e908</v>
      </c>
      <c r="U4264" s="7"/>
      <c r="V4264" s="7" t="s">
        <v>6525</v>
      </c>
      <c r="W4264" s="7" t="s">
        <v>7657</v>
      </c>
      <c r="X4264" s="7"/>
      <c r="Y4264" s="7" t="s">
        <v>41</v>
      </c>
      <c r="Z4264" s="7"/>
      <c r="AA4264" s="7" t="str">
        <f>HYPERLINK("https://miland.ru/api/getInfo/item/0b7542ac-6931-11f0-a283-00155d82e908")</f>
        <v>https://miland.ru/api/getInfo/item/0b7542ac-6931-11f0-a283-00155d82e908</v>
      </c>
      <c r="AB4264" s="7" t="s">
        <v>42</v>
      </c>
      <c r="AC4264" s="7"/>
      <c r="AD4264" s="7"/>
      <c r="AE4264" s="54"/>
    </row>
    <row r="4265" spans="2:31" s="1" customFormat="1" ht="96.3" customHeight="1" outlineLevel="6">
      <c r="B4265" s="58">
        <v>3407</v>
      </c>
      <c r="C4265" s="7" t="s">
        <v>15069</v>
      </c>
      <c r="D4265" s="71" t="s">
        <v>15070</v>
      </c>
      <c r="E4265" s="71"/>
      <c r="F4265" s="71"/>
      <c r="G4265" s="71"/>
      <c r="H4265" s="8" t="s">
        <v>15071</v>
      </c>
      <c r="I4265" s="9" t="s">
        <v>36</v>
      </c>
      <c r="J4265" s="8"/>
      <c r="K4265" s="6">
        <v>12</v>
      </c>
      <c r="L4265" s="10">
        <v>72.319999999999993</v>
      </c>
      <c r="M4265" s="11"/>
      <c r="N4265" s="8">
        <f>L4265*M4265</f>
        <v>0</v>
      </c>
      <c r="O4265" s="18">
        <f>0.09*M4265</f>
        <v>0</v>
      </c>
      <c r="P4265" s="13">
        <f>0.00072*M4265</f>
        <v>0</v>
      </c>
      <c r="Q4265" s="17" t="s">
        <v>37</v>
      </c>
      <c r="R4265" s="8" t="s">
        <v>15072</v>
      </c>
      <c r="S4265" s="8"/>
      <c r="T4265" s="7" t="str">
        <f>HYPERLINK("https://miland.ru/api/getInfo/image/246ca38f-6931-11f0-a283-00155d82e908")</f>
        <v>https://miland.ru/api/getInfo/image/246ca38f-6931-11f0-a283-00155d82e908</v>
      </c>
      <c r="U4265" s="7"/>
      <c r="V4265" s="7" t="s">
        <v>6525</v>
      </c>
      <c r="W4265" s="7" t="s">
        <v>7657</v>
      </c>
      <c r="X4265" s="7"/>
      <c r="Y4265" s="7" t="s">
        <v>41</v>
      </c>
      <c r="Z4265" s="7"/>
      <c r="AA4265" s="7" t="str">
        <f>HYPERLINK("https://miland.ru/api/getInfo/item/246ca38f-6931-11f0-a283-00155d82e908")</f>
        <v>https://miland.ru/api/getInfo/item/246ca38f-6931-11f0-a283-00155d82e908</v>
      </c>
      <c r="AB4265" s="7" t="s">
        <v>42</v>
      </c>
      <c r="AC4265" s="7"/>
      <c r="AD4265" s="7"/>
      <c r="AE4265" s="54"/>
    </row>
    <row r="4266" spans="2:31" s="1" customFormat="1" ht="96.3" customHeight="1" outlineLevel="6">
      <c r="B4266" s="58">
        <v>3408</v>
      </c>
      <c r="C4266" s="7" t="s">
        <v>15073</v>
      </c>
      <c r="D4266" s="71" t="s">
        <v>15074</v>
      </c>
      <c r="E4266" s="71"/>
      <c r="F4266" s="71"/>
      <c r="G4266" s="71"/>
      <c r="H4266" s="8" t="s">
        <v>15075</v>
      </c>
      <c r="I4266" s="9" t="s">
        <v>36</v>
      </c>
      <c r="J4266" s="8"/>
      <c r="K4266" s="6">
        <v>12</v>
      </c>
      <c r="L4266" s="10">
        <v>72.319999999999993</v>
      </c>
      <c r="M4266" s="11"/>
      <c r="N4266" s="8">
        <f>L4266*M4266</f>
        <v>0</v>
      </c>
      <c r="O4266" s="18">
        <f>0.08*M4266</f>
        <v>0</v>
      </c>
      <c r="P4266" s="13">
        <f>0.01152*M4266</f>
        <v>0</v>
      </c>
      <c r="Q4266" s="17" t="s">
        <v>37</v>
      </c>
      <c r="R4266" s="8" t="s">
        <v>15076</v>
      </c>
      <c r="S4266" s="8"/>
      <c r="T4266" s="7" t="str">
        <f>HYPERLINK("https://miland.ru/api/getInfo/image/65ef2da9-6931-11f0-a283-00155d82e908")</f>
        <v>https://miland.ru/api/getInfo/image/65ef2da9-6931-11f0-a283-00155d82e908</v>
      </c>
      <c r="U4266" s="7"/>
      <c r="V4266" s="7" t="s">
        <v>6525</v>
      </c>
      <c r="W4266" s="7" t="s">
        <v>7657</v>
      </c>
      <c r="X4266" s="7"/>
      <c r="Y4266" s="7" t="s">
        <v>41</v>
      </c>
      <c r="Z4266" s="7"/>
      <c r="AA4266" s="7" t="str">
        <f>HYPERLINK("https://miland.ru/api/getInfo/item/65ef2da9-6931-11f0-a283-00155d82e908")</f>
        <v>https://miland.ru/api/getInfo/item/65ef2da9-6931-11f0-a283-00155d82e908</v>
      </c>
      <c r="AB4266" s="7" t="s">
        <v>42</v>
      </c>
      <c r="AC4266" s="7"/>
      <c r="AD4266" s="7"/>
      <c r="AE4266" s="54"/>
    </row>
    <row r="4267" spans="2:31" ht="12" customHeight="1" outlineLevel="5">
      <c r="B4267" s="70" t="s">
        <v>6685</v>
      </c>
      <c r="C4267" s="70"/>
      <c r="D4267" s="70"/>
      <c r="E4267" s="70"/>
      <c r="F4267" s="70"/>
      <c r="G4267" s="70"/>
    </row>
    <row r="4268" spans="2:31" ht="12" customHeight="1" outlineLevel="6">
      <c r="B4268" s="70" t="s">
        <v>6686</v>
      </c>
      <c r="C4268" s="70"/>
      <c r="D4268" s="70"/>
      <c r="E4268" s="70"/>
      <c r="F4268" s="70"/>
      <c r="G4268" s="70"/>
    </row>
    <row r="4269" spans="2:31" s="1" customFormat="1" ht="96.3" customHeight="1" outlineLevel="7">
      <c r="B4269" s="57">
        <v>3409</v>
      </c>
      <c r="C4269" s="21" t="s">
        <v>15077</v>
      </c>
      <c r="D4269" s="72" t="s">
        <v>15078</v>
      </c>
      <c r="E4269" s="72"/>
      <c r="F4269" s="72"/>
      <c r="G4269" s="72"/>
      <c r="H4269" s="22" t="s">
        <v>15079</v>
      </c>
      <c r="I4269" s="23" t="s">
        <v>36</v>
      </c>
      <c r="J4269" s="22"/>
      <c r="K4269" s="20">
        <v>12</v>
      </c>
      <c r="L4269" s="24">
        <v>73.8</v>
      </c>
      <c r="M4269" s="11"/>
      <c r="N4269" s="22">
        <f>L4269*M4269</f>
        <v>0</v>
      </c>
      <c r="O4269" s="28">
        <f>0.65*M4269</f>
        <v>0</v>
      </c>
      <c r="P4269" s="26">
        <f>0.00313*M4269</f>
        <v>0</v>
      </c>
      <c r="Q4269" s="30"/>
      <c r="R4269" s="22" t="s">
        <v>15080</v>
      </c>
      <c r="S4269" s="22" t="s">
        <v>435</v>
      </c>
      <c r="T4269" s="21" t="str">
        <f>HYPERLINK("https://miland.ru/api/getInfo/image/d6040668-03a6-11ef-a25d-00155d82e908")</f>
        <v>https://miland.ru/api/getInfo/image/d6040668-03a6-11ef-a25d-00155d82e908</v>
      </c>
      <c r="U4269" s="21"/>
      <c r="V4269" s="21"/>
      <c r="W4269" s="21" t="s">
        <v>378</v>
      </c>
      <c r="X4269" s="21"/>
      <c r="Y4269" s="21" t="s">
        <v>41</v>
      </c>
      <c r="Z4269" s="21"/>
      <c r="AA4269" s="21" t="str">
        <f>HYPERLINK("https://miland.ru/api/getInfo/item/d6040668-03a6-11ef-a25d-00155d82e908")</f>
        <v>https://miland.ru/api/getInfo/item/d6040668-03a6-11ef-a25d-00155d82e908</v>
      </c>
      <c r="AB4269" s="21" t="s">
        <v>42</v>
      </c>
      <c r="AC4269" s="21" t="s">
        <v>15081</v>
      </c>
      <c r="AD4269" s="21"/>
    </row>
    <row r="4270" spans="2:31" ht="12" customHeight="1" outlineLevel="5">
      <c r="B4270" s="70" t="s">
        <v>12716</v>
      </c>
      <c r="C4270" s="70"/>
      <c r="D4270" s="70"/>
      <c r="E4270" s="70"/>
      <c r="F4270" s="70"/>
      <c r="G4270" s="70"/>
    </row>
    <row r="4271" spans="2:31" ht="12" customHeight="1" outlineLevel="6">
      <c r="B4271" s="70" t="s">
        <v>7760</v>
      </c>
      <c r="C4271" s="70"/>
      <c r="D4271" s="70"/>
      <c r="E4271" s="70"/>
      <c r="F4271" s="70"/>
      <c r="G4271" s="70"/>
    </row>
    <row r="4272" spans="2:31" s="1" customFormat="1" ht="96.3" customHeight="1" outlineLevel="7">
      <c r="B4272" s="58">
        <v>3410</v>
      </c>
      <c r="C4272" s="7" t="s">
        <v>15082</v>
      </c>
      <c r="D4272" s="71" t="s">
        <v>15083</v>
      </c>
      <c r="E4272" s="71"/>
      <c r="F4272" s="71"/>
      <c r="G4272" s="71"/>
      <c r="H4272" s="8" t="s">
        <v>15084</v>
      </c>
      <c r="I4272" s="9" t="s">
        <v>36</v>
      </c>
      <c r="J4272" s="8"/>
      <c r="K4272" s="6">
        <v>12</v>
      </c>
      <c r="L4272" s="10">
        <v>51.64</v>
      </c>
      <c r="M4272" s="11"/>
      <c r="N4272" s="8">
        <f>L4272*M4272</f>
        <v>0</v>
      </c>
      <c r="O4272" s="12">
        <f>0.065*M4272</f>
        <v>0</v>
      </c>
      <c r="P4272" s="13">
        <f>0.00034*M4272</f>
        <v>0</v>
      </c>
      <c r="Q4272" s="17" t="s">
        <v>37</v>
      </c>
      <c r="R4272" s="8" t="s">
        <v>15085</v>
      </c>
      <c r="S4272" s="8"/>
      <c r="T4272" s="7" t="str">
        <f>HYPERLINK("https://miland.ru/api/getInfo/image/bd7a4ed9-6932-11f0-a283-00155d82e908")</f>
        <v>https://miland.ru/api/getInfo/image/bd7a4ed9-6932-11f0-a283-00155d82e908</v>
      </c>
      <c r="U4272" s="7"/>
      <c r="V4272" s="7" t="s">
        <v>6525</v>
      </c>
      <c r="W4272" s="7" t="s">
        <v>378</v>
      </c>
      <c r="X4272" s="7"/>
      <c r="Y4272" s="7" t="s">
        <v>41</v>
      </c>
      <c r="Z4272" s="7"/>
      <c r="AA4272" s="7" t="str">
        <f>HYPERLINK("https://miland.ru/api/getInfo/item/bd7a4ed9-6932-11f0-a283-00155d82e908")</f>
        <v>https://miland.ru/api/getInfo/item/bd7a4ed9-6932-11f0-a283-00155d82e908</v>
      </c>
      <c r="AB4272" s="7" t="s">
        <v>42</v>
      </c>
      <c r="AC4272" s="7"/>
      <c r="AD4272" s="7"/>
      <c r="AE4272" s="54"/>
    </row>
    <row r="4273" spans="2:31" ht="12" customHeight="1" outlineLevel="7">
      <c r="B4273" s="70" t="s">
        <v>12999</v>
      </c>
      <c r="C4273" s="70"/>
      <c r="D4273" s="70"/>
      <c r="E4273" s="70"/>
      <c r="F4273" s="70"/>
      <c r="G4273" s="70"/>
    </row>
    <row r="4274" spans="2:31" s="1" customFormat="1" ht="96.3" customHeight="1" outlineLevel="7">
      <c r="B4274" s="58">
        <v>3411</v>
      </c>
      <c r="C4274" s="7" t="s">
        <v>15086</v>
      </c>
      <c r="D4274" s="71" t="s">
        <v>15087</v>
      </c>
      <c r="E4274" s="71"/>
      <c r="F4274" s="71"/>
      <c r="G4274" s="71"/>
      <c r="H4274" s="8" t="s">
        <v>15088</v>
      </c>
      <c r="I4274" s="9" t="s">
        <v>36</v>
      </c>
      <c r="J4274" s="8"/>
      <c r="K4274" s="6">
        <v>12</v>
      </c>
      <c r="L4274" s="10">
        <v>66.64</v>
      </c>
      <c r="M4274" s="11"/>
      <c r="N4274" s="8">
        <f t="shared" ref="N4274:N4299" si="214">L4274*M4274</f>
        <v>0</v>
      </c>
      <c r="O4274" s="12">
        <f>0.125*M4274</f>
        <v>0</v>
      </c>
      <c r="P4274" s="13">
        <f>0.00043*M4274</f>
        <v>0</v>
      </c>
      <c r="Q4274" s="17" t="s">
        <v>37</v>
      </c>
      <c r="R4274" s="8" t="s">
        <v>15089</v>
      </c>
      <c r="S4274" s="8"/>
      <c r="T4274" s="7" t="str">
        <f>HYPERLINK("https://miland.ru/api/getInfo/image/c39d7461-58a6-11f0-a27f-00155d82e908")</f>
        <v>https://miland.ru/api/getInfo/image/c39d7461-58a6-11f0-a27f-00155d82e908</v>
      </c>
      <c r="U4274" s="7"/>
      <c r="V4274" s="7"/>
      <c r="W4274" s="7" t="s">
        <v>7657</v>
      </c>
      <c r="X4274" s="7"/>
      <c r="Y4274" s="7" t="s">
        <v>41</v>
      </c>
      <c r="Z4274" s="7"/>
      <c r="AA4274" s="7" t="str">
        <f>HYPERLINK("https://miland.ru/api/getInfo/item/c39d7461-58a6-11f0-a27f-00155d82e908")</f>
        <v>https://miland.ru/api/getInfo/item/c39d7461-58a6-11f0-a27f-00155d82e908</v>
      </c>
      <c r="AB4274" s="7" t="s">
        <v>42</v>
      </c>
      <c r="AC4274" s="7"/>
      <c r="AD4274" s="7"/>
      <c r="AE4274" s="54"/>
    </row>
    <row r="4275" spans="2:31" s="1" customFormat="1" ht="96.3" customHeight="1" outlineLevel="7">
      <c r="B4275" s="58">
        <v>3412</v>
      </c>
      <c r="C4275" s="7" t="s">
        <v>15090</v>
      </c>
      <c r="D4275" s="71" t="s">
        <v>15091</v>
      </c>
      <c r="E4275" s="71"/>
      <c r="F4275" s="71"/>
      <c r="G4275" s="71"/>
      <c r="H4275" s="8" t="s">
        <v>15092</v>
      </c>
      <c r="I4275" s="9" t="s">
        <v>36</v>
      </c>
      <c r="J4275" s="8"/>
      <c r="K4275" s="6">
        <v>12</v>
      </c>
      <c r="L4275" s="10">
        <v>66.64</v>
      </c>
      <c r="M4275" s="11"/>
      <c r="N4275" s="8">
        <f t="shared" si="214"/>
        <v>0</v>
      </c>
      <c r="O4275" s="12">
        <f>0.125*M4275</f>
        <v>0</v>
      </c>
      <c r="P4275" s="13">
        <f>0.00043*M4275</f>
        <v>0</v>
      </c>
      <c r="Q4275" s="17" t="s">
        <v>37</v>
      </c>
      <c r="R4275" s="8" t="s">
        <v>15093</v>
      </c>
      <c r="S4275" s="8"/>
      <c r="T4275" s="7" t="str">
        <f>HYPERLINK("https://miland.ru/api/getInfo/image/28d0d533-58a7-11f0-a27f-00155d82e908")</f>
        <v>https://miland.ru/api/getInfo/image/28d0d533-58a7-11f0-a27f-00155d82e908</v>
      </c>
      <c r="U4275" s="7"/>
      <c r="V4275" s="7"/>
      <c r="W4275" s="7" t="s">
        <v>7657</v>
      </c>
      <c r="X4275" s="7"/>
      <c r="Y4275" s="7" t="s">
        <v>41</v>
      </c>
      <c r="Z4275" s="7"/>
      <c r="AA4275" s="7" t="str">
        <f>HYPERLINK("https://miland.ru/api/getInfo/item/28d0d533-58a7-11f0-a27f-00155d82e908")</f>
        <v>https://miland.ru/api/getInfo/item/28d0d533-58a7-11f0-a27f-00155d82e908</v>
      </c>
      <c r="AB4275" s="7" t="s">
        <v>42</v>
      </c>
      <c r="AC4275" s="7"/>
      <c r="AD4275" s="7"/>
      <c r="AE4275" s="54"/>
    </row>
    <row r="4276" spans="2:31" s="1" customFormat="1" ht="96.3" customHeight="1" outlineLevel="7">
      <c r="B4276" s="58">
        <v>3413</v>
      </c>
      <c r="C4276" s="7" t="s">
        <v>15094</v>
      </c>
      <c r="D4276" s="71" t="s">
        <v>15095</v>
      </c>
      <c r="E4276" s="71"/>
      <c r="F4276" s="71"/>
      <c r="G4276" s="71"/>
      <c r="H4276" s="8" t="s">
        <v>15096</v>
      </c>
      <c r="I4276" s="14">
        <v>468</v>
      </c>
      <c r="J4276" s="8"/>
      <c r="K4276" s="6">
        <v>12</v>
      </c>
      <c r="L4276" s="10">
        <v>66.64</v>
      </c>
      <c r="M4276" s="11"/>
      <c r="N4276" s="8">
        <f t="shared" si="214"/>
        <v>0</v>
      </c>
      <c r="O4276" s="12">
        <f>0.096*M4276</f>
        <v>0</v>
      </c>
      <c r="P4276" s="13">
        <f>0.00015*M4276</f>
        <v>0</v>
      </c>
      <c r="Q4276" s="17" t="s">
        <v>37</v>
      </c>
      <c r="R4276" s="8" t="s">
        <v>15097</v>
      </c>
      <c r="S4276" s="8"/>
      <c r="T4276" s="7" t="str">
        <f>HYPERLINK("https://miland.ru/api/getInfo/image/f7b24bfd-58a6-11f0-a27f-00155d82e908")</f>
        <v>https://miland.ru/api/getInfo/image/f7b24bfd-58a6-11f0-a27f-00155d82e908</v>
      </c>
      <c r="U4276" s="7"/>
      <c r="V4276" s="7"/>
      <c r="W4276" s="7" t="s">
        <v>7657</v>
      </c>
      <c r="X4276" s="7"/>
      <c r="Y4276" s="7" t="s">
        <v>41</v>
      </c>
      <c r="Z4276" s="7"/>
      <c r="AA4276" s="7" t="str">
        <f>HYPERLINK("https://miland.ru/api/getInfo/item/f7b24bfd-58a6-11f0-a27f-00155d82e908")</f>
        <v>https://miland.ru/api/getInfo/item/f7b24bfd-58a6-11f0-a27f-00155d82e908</v>
      </c>
      <c r="AB4276" s="7" t="s">
        <v>42</v>
      </c>
      <c r="AC4276" s="7"/>
      <c r="AD4276" s="7"/>
      <c r="AE4276" s="54"/>
    </row>
    <row r="4277" spans="2:31" s="1" customFormat="1" ht="96.3" customHeight="1" outlineLevel="7">
      <c r="B4277" s="58">
        <v>3414</v>
      </c>
      <c r="C4277" s="7" t="s">
        <v>15098</v>
      </c>
      <c r="D4277" s="71" t="s">
        <v>15099</v>
      </c>
      <c r="E4277" s="71"/>
      <c r="F4277" s="71"/>
      <c r="G4277" s="71"/>
      <c r="H4277" s="8" t="s">
        <v>15100</v>
      </c>
      <c r="I4277" s="9" t="s">
        <v>36</v>
      </c>
      <c r="J4277" s="8"/>
      <c r="K4277" s="6">
        <v>12</v>
      </c>
      <c r="L4277" s="10">
        <v>90.46</v>
      </c>
      <c r="M4277" s="11"/>
      <c r="N4277" s="8">
        <f t="shared" si="214"/>
        <v>0</v>
      </c>
      <c r="O4277" s="12">
        <f>0.088*M4277</f>
        <v>0</v>
      </c>
      <c r="P4277" s="13">
        <f t="shared" ref="P4277:P4282" si="215">0.00058*M4277</f>
        <v>0</v>
      </c>
      <c r="Q4277" s="17" t="s">
        <v>37</v>
      </c>
      <c r="R4277" s="8" t="s">
        <v>15101</v>
      </c>
      <c r="S4277" s="8"/>
      <c r="T4277" s="7" t="str">
        <f>HYPERLINK("https://miland.ru/api/getInfo/image/d72befe3-9def-11f0-a285-00155d82e908")</f>
        <v>https://miland.ru/api/getInfo/image/d72befe3-9def-11f0-a285-00155d82e908</v>
      </c>
      <c r="U4277" s="7"/>
      <c r="V4277" s="7" t="s">
        <v>6525</v>
      </c>
      <c r="W4277" s="7" t="s">
        <v>7657</v>
      </c>
      <c r="X4277" s="7"/>
      <c r="Y4277" s="7" t="s">
        <v>41</v>
      </c>
      <c r="Z4277" s="7"/>
      <c r="AA4277" s="7" t="str">
        <f>HYPERLINK("https://miland.ru/api/getInfo/item/d72befe3-9def-11f0-a285-00155d82e908")</f>
        <v>https://miland.ru/api/getInfo/item/d72befe3-9def-11f0-a285-00155d82e908</v>
      </c>
      <c r="AB4277" s="7" t="s">
        <v>42</v>
      </c>
      <c r="AC4277" s="7"/>
      <c r="AD4277" s="7"/>
      <c r="AE4277" s="54"/>
    </row>
    <row r="4278" spans="2:31" s="1" customFormat="1" ht="96.3" customHeight="1" outlineLevel="7">
      <c r="B4278" s="58">
        <v>3415</v>
      </c>
      <c r="C4278" s="7" t="s">
        <v>15102</v>
      </c>
      <c r="D4278" s="71" t="s">
        <v>15103</v>
      </c>
      <c r="E4278" s="71"/>
      <c r="F4278" s="71"/>
      <c r="G4278" s="71"/>
      <c r="H4278" s="8" t="s">
        <v>15104</v>
      </c>
      <c r="I4278" s="9" t="s">
        <v>36</v>
      </c>
      <c r="J4278" s="8"/>
      <c r="K4278" s="6">
        <v>12</v>
      </c>
      <c r="L4278" s="10">
        <v>90.46</v>
      </c>
      <c r="M4278" s="11"/>
      <c r="N4278" s="8">
        <f t="shared" si="214"/>
        <v>0</v>
      </c>
      <c r="O4278" s="12">
        <f>0.087*M4278</f>
        <v>0</v>
      </c>
      <c r="P4278" s="13">
        <f t="shared" si="215"/>
        <v>0</v>
      </c>
      <c r="Q4278" s="17" t="s">
        <v>37</v>
      </c>
      <c r="R4278" s="8" t="s">
        <v>15105</v>
      </c>
      <c r="S4278" s="8"/>
      <c r="T4278" s="7" t="str">
        <f>HYPERLINK("https://miland.ru/api/getInfo/image/ed553fc7-9def-11f0-a285-00155d82e908")</f>
        <v>https://miland.ru/api/getInfo/image/ed553fc7-9def-11f0-a285-00155d82e908</v>
      </c>
      <c r="U4278" s="7"/>
      <c r="V4278" s="7" t="s">
        <v>6525</v>
      </c>
      <c r="W4278" s="7" t="s">
        <v>7657</v>
      </c>
      <c r="X4278" s="7"/>
      <c r="Y4278" s="7" t="s">
        <v>41</v>
      </c>
      <c r="Z4278" s="7"/>
      <c r="AA4278" s="7" t="str">
        <f>HYPERLINK("https://miland.ru/api/getInfo/item/ed553fc7-9def-11f0-a285-00155d82e908")</f>
        <v>https://miland.ru/api/getInfo/item/ed553fc7-9def-11f0-a285-00155d82e908</v>
      </c>
      <c r="AB4278" s="7" t="s">
        <v>42</v>
      </c>
      <c r="AC4278" s="7"/>
      <c r="AD4278" s="7"/>
      <c r="AE4278" s="54"/>
    </row>
    <row r="4279" spans="2:31" s="1" customFormat="1" ht="96.3" customHeight="1" outlineLevel="7">
      <c r="B4279" s="58">
        <v>3416</v>
      </c>
      <c r="C4279" s="7" t="s">
        <v>15106</v>
      </c>
      <c r="D4279" s="71" t="s">
        <v>15107</v>
      </c>
      <c r="E4279" s="71"/>
      <c r="F4279" s="71"/>
      <c r="G4279" s="71"/>
      <c r="H4279" s="8" t="s">
        <v>15108</v>
      </c>
      <c r="I4279" s="9" t="s">
        <v>36</v>
      </c>
      <c r="J4279" s="8"/>
      <c r="K4279" s="6">
        <v>12</v>
      </c>
      <c r="L4279" s="10">
        <v>90.46</v>
      </c>
      <c r="M4279" s="11"/>
      <c r="N4279" s="8">
        <f t="shared" si="214"/>
        <v>0</v>
      </c>
      <c r="O4279" s="12">
        <f>0.087*M4279</f>
        <v>0</v>
      </c>
      <c r="P4279" s="13">
        <f t="shared" si="215"/>
        <v>0</v>
      </c>
      <c r="Q4279" s="17" t="s">
        <v>37</v>
      </c>
      <c r="R4279" s="8" t="s">
        <v>15109</v>
      </c>
      <c r="S4279" s="8"/>
      <c r="T4279" s="7" t="str">
        <f>HYPERLINK("https://miland.ru/api/getInfo/image/b7ff3090-9def-11f0-a285-00155d82e908")</f>
        <v>https://miland.ru/api/getInfo/image/b7ff3090-9def-11f0-a285-00155d82e908</v>
      </c>
      <c r="U4279" s="7"/>
      <c r="V4279" s="7" t="s">
        <v>6525</v>
      </c>
      <c r="W4279" s="7" t="s">
        <v>7657</v>
      </c>
      <c r="X4279" s="7"/>
      <c r="Y4279" s="7" t="s">
        <v>41</v>
      </c>
      <c r="Z4279" s="7"/>
      <c r="AA4279" s="7" t="str">
        <f>HYPERLINK("https://miland.ru/api/getInfo/item/b7ff3090-9def-11f0-a285-00155d82e908")</f>
        <v>https://miland.ru/api/getInfo/item/b7ff3090-9def-11f0-a285-00155d82e908</v>
      </c>
      <c r="AB4279" s="7" t="s">
        <v>42</v>
      </c>
      <c r="AC4279" s="7"/>
      <c r="AD4279" s="7"/>
      <c r="AE4279" s="54"/>
    </row>
    <row r="4280" spans="2:31" s="1" customFormat="1" ht="96.3" customHeight="1" outlineLevel="7">
      <c r="B4280" s="58">
        <v>3417</v>
      </c>
      <c r="C4280" s="7" t="s">
        <v>15110</v>
      </c>
      <c r="D4280" s="71" t="s">
        <v>15111</v>
      </c>
      <c r="E4280" s="71"/>
      <c r="F4280" s="71"/>
      <c r="G4280" s="71"/>
      <c r="H4280" s="8" t="s">
        <v>15112</v>
      </c>
      <c r="I4280" s="9" t="s">
        <v>36</v>
      </c>
      <c r="J4280" s="8"/>
      <c r="K4280" s="6">
        <v>12</v>
      </c>
      <c r="L4280" s="10">
        <v>90.46</v>
      </c>
      <c r="M4280" s="11"/>
      <c r="N4280" s="8">
        <f t="shared" si="214"/>
        <v>0</v>
      </c>
      <c r="O4280" s="12">
        <f>0.087*M4280</f>
        <v>0</v>
      </c>
      <c r="P4280" s="13">
        <f t="shared" si="215"/>
        <v>0</v>
      </c>
      <c r="Q4280" s="17" t="s">
        <v>37</v>
      </c>
      <c r="R4280" s="8" t="s">
        <v>15113</v>
      </c>
      <c r="S4280" s="8"/>
      <c r="T4280" s="7" t="str">
        <f>HYPERLINK("https://miland.ru/api/getInfo/image/4cc2ab62-728f-11f0-a284-00155d82e908")</f>
        <v>https://miland.ru/api/getInfo/image/4cc2ab62-728f-11f0-a284-00155d82e908</v>
      </c>
      <c r="U4280" s="7"/>
      <c r="V4280" s="7" t="s">
        <v>6525</v>
      </c>
      <c r="W4280" s="7" t="s">
        <v>7657</v>
      </c>
      <c r="X4280" s="7"/>
      <c r="Y4280" s="7" t="s">
        <v>41</v>
      </c>
      <c r="Z4280" s="7"/>
      <c r="AA4280" s="7" t="str">
        <f>HYPERLINK("https://miland.ru/api/getInfo/item/4cc2ab62-728f-11f0-a284-00155d82e908")</f>
        <v>https://miland.ru/api/getInfo/item/4cc2ab62-728f-11f0-a284-00155d82e908</v>
      </c>
      <c r="AB4280" s="7" t="s">
        <v>42</v>
      </c>
      <c r="AC4280" s="7"/>
      <c r="AD4280" s="7"/>
      <c r="AE4280" s="54"/>
    </row>
    <row r="4281" spans="2:31" s="1" customFormat="1" ht="96.3" customHeight="1" outlineLevel="7">
      <c r="B4281" s="58">
        <v>3418</v>
      </c>
      <c r="C4281" s="7" t="s">
        <v>15114</v>
      </c>
      <c r="D4281" s="71" t="s">
        <v>15115</v>
      </c>
      <c r="E4281" s="71"/>
      <c r="F4281" s="71"/>
      <c r="G4281" s="71"/>
      <c r="H4281" s="8" t="s">
        <v>15116</v>
      </c>
      <c r="I4281" s="9" t="s">
        <v>36</v>
      </c>
      <c r="J4281" s="8"/>
      <c r="K4281" s="6">
        <v>12</v>
      </c>
      <c r="L4281" s="10">
        <v>90.46</v>
      </c>
      <c r="M4281" s="11"/>
      <c r="N4281" s="8">
        <f t="shared" si="214"/>
        <v>0</v>
      </c>
      <c r="O4281" s="12">
        <f>0.088*M4281</f>
        <v>0</v>
      </c>
      <c r="P4281" s="13">
        <f t="shared" si="215"/>
        <v>0</v>
      </c>
      <c r="Q4281" s="17" t="s">
        <v>37</v>
      </c>
      <c r="R4281" s="8" t="s">
        <v>15117</v>
      </c>
      <c r="S4281" s="8"/>
      <c r="T4281" s="7" t="str">
        <f>HYPERLINK("https://miland.ru/api/getInfo/image/f5b342ee-728f-11f0-a284-00155d82e908")</f>
        <v>https://miland.ru/api/getInfo/image/f5b342ee-728f-11f0-a284-00155d82e908</v>
      </c>
      <c r="U4281" s="7"/>
      <c r="V4281" s="7" t="s">
        <v>6525</v>
      </c>
      <c r="W4281" s="7" t="s">
        <v>7657</v>
      </c>
      <c r="X4281" s="7"/>
      <c r="Y4281" s="7" t="s">
        <v>41</v>
      </c>
      <c r="Z4281" s="7"/>
      <c r="AA4281" s="7" t="str">
        <f>HYPERLINK("https://miland.ru/api/getInfo/item/f5b342ee-728f-11f0-a284-00155d82e908")</f>
        <v>https://miland.ru/api/getInfo/item/f5b342ee-728f-11f0-a284-00155d82e908</v>
      </c>
      <c r="AB4281" s="7" t="s">
        <v>42</v>
      </c>
      <c r="AC4281" s="7"/>
      <c r="AD4281" s="7"/>
      <c r="AE4281" s="54"/>
    </row>
    <row r="4282" spans="2:31" s="1" customFormat="1" ht="96.3" customHeight="1" outlineLevel="7">
      <c r="B4282" s="58">
        <v>3419</v>
      </c>
      <c r="C4282" s="7" t="s">
        <v>15118</v>
      </c>
      <c r="D4282" s="71" t="s">
        <v>15119</v>
      </c>
      <c r="E4282" s="71"/>
      <c r="F4282" s="71"/>
      <c r="G4282" s="71"/>
      <c r="H4282" s="8" t="s">
        <v>15120</v>
      </c>
      <c r="I4282" s="9" t="s">
        <v>36</v>
      </c>
      <c r="J4282" s="8"/>
      <c r="K4282" s="6">
        <v>12</v>
      </c>
      <c r="L4282" s="10">
        <v>90.46</v>
      </c>
      <c r="M4282" s="11"/>
      <c r="N4282" s="8">
        <f t="shared" si="214"/>
        <v>0</v>
      </c>
      <c r="O4282" s="12">
        <f>0.085*M4282</f>
        <v>0</v>
      </c>
      <c r="P4282" s="13">
        <f t="shared" si="215"/>
        <v>0</v>
      </c>
      <c r="Q4282" s="17" t="s">
        <v>37</v>
      </c>
      <c r="R4282" s="8" t="s">
        <v>15121</v>
      </c>
      <c r="S4282" s="8"/>
      <c r="T4282" s="7" t="str">
        <f>HYPERLINK("https://miland.ru/api/getInfo/image/b9f126df-728f-11f0-a284-00155d82e908")</f>
        <v>https://miland.ru/api/getInfo/image/b9f126df-728f-11f0-a284-00155d82e908</v>
      </c>
      <c r="U4282" s="7"/>
      <c r="V4282" s="7" t="s">
        <v>6525</v>
      </c>
      <c r="W4282" s="7" t="s">
        <v>7657</v>
      </c>
      <c r="X4282" s="7"/>
      <c r="Y4282" s="7" t="s">
        <v>41</v>
      </c>
      <c r="Z4282" s="7"/>
      <c r="AA4282" s="7" t="str">
        <f>HYPERLINK("https://miland.ru/api/getInfo/item/b9f126df-728f-11f0-a284-00155d82e908")</f>
        <v>https://miland.ru/api/getInfo/item/b9f126df-728f-11f0-a284-00155d82e908</v>
      </c>
      <c r="AB4282" s="7" t="s">
        <v>42</v>
      </c>
      <c r="AC4282" s="7"/>
      <c r="AD4282" s="7"/>
      <c r="AE4282" s="54"/>
    </row>
    <row r="4283" spans="2:31" s="1" customFormat="1" ht="96.3" customHeight="1" outlineLevel="7">
      <c r="B4283" s="58">
        <v>3420</v>
      </c>
      <c r="C4283" s="7" t="s">
        <v>15122</v>
      </c>
      <c r="D4283" s="71" t="s">
        <v>15123</v>
      </c>
      <c r="E4283" s="71"/>
      <c r="F4283" s="71"/>
      <c r="G4283" s="71"/>
      <c r="H4283" s="8" t="s">
        <v>15124</v>
      </c>
      <c r="I4283" s="9" t="s">
        <v>36</v>
      </c>
      <c r="J4283" s="8"/>
      <c r="K4283" s="6">
        <v>12</v>
      </c>
      <c r="L4283" s="10">
        <v>90.46</v>
      </c>
      <c r="M4283" s="11"/>
      <c r="N4283" s="8">
        <f t="shared" si="214"/>
        <v>0</v>
      </c>
      <c r="O4283" s="12">
        <f t="shared" ref="O4283:O4289" si="216">0.087*M4283</f>
        <v>0</v>
      </c>
      <c r="P4283" s="13">
        <f>0.01253*M4283</f>
        <v>0</v>
      </c>
      <c r="Q4283" s="17" t="s">
        <v>37</v>
      </c>
      <c r="R4283" s="8" t="s">
        <v>15125</v>
      </c>
      <c r="S4283" s="8"/>
      <c r="T4283" s="7" t="str">
        <f>HYPERLINK("https://miland.ru/api/getInfo/image/3d63e438-7290-11f0-a284-00155d82e908")</f>
        <v>https://miland.ru/api/getInfo/image/3d63e438-7290-11f0-a284-00155d82e908</v>
      </c>
      <c r="U4283" s="7"/>
      <c r="V4283" s="7" t="s">
        <v>6525</v>
      </c>
      <c r="W4283" s="7" t="s">
        <v>7657</v>
      </c>
      <c r="X4283" s="7"/>
      <c r="Y4283" s="7" t="s">
        <v>41</v>
      </c>
      <c r="Z4283" s="7"/>
      <c r="AA4283" s="7" t="str">
        <f>HYPERLINK("https://miland.ru/api/getInfo/item/3d63e438-7290-11f0-a284-00155d82e908")</f>
        <v>https://miland.ru/api/getInfo/item/3d63e438-7290-11f0-a284-00155d82e908</v>
      </c>
      <c r="AB4283" s="7" t="s">
        <v>42</v>
      </c>
      <c r="AC4283" s="7"/>
      <c r="AD4283" s="7"/>
      <c r="AE4283" s="54"/>
    </row>
    <row r="4284" spans="2:31" s="1" customFormat="1" ht="96.3" customHeight="1" outlineLevel="7">
      <c r="B4284" s="58">
        <v>3421</v>
      </c>
      <c r="C4284" s="7" t="s">
        <v>15126</v>
      </c>
      <c r="D4284" s="71" t="s">
        <v>15127</v>
      </c>
      <c r="E4284" s="71"/>
      <c r="F4284" s="71"/>
      <c r="G4284" s="71"/>
      <c r="H4284" s="8" t="s">
        <v>15128</v>
      </c>
      <c r="I4284" s="9" t="s">
        <v>36</v>
      </c>
      <c r="J4284" s="8"/>
      <c r="K4284" s="6">
        <v>12</v>
      </c>
      <c r="L4284" s="10">
        <v>90.46</v>
      </c>
      <c r="M4284" s="11"/>
      <c r="N4284" s="8">
        <f t="shared" si="214"/>
        <v>0</v>
      </c>
      <c r="O4284" s="12">
        <f t="shared" si="216"/>
        <v>0</v>
      </c>
      <c r="P4284" s="13">
        <f t="shared" ref="P4284:P4292" si="217">0.00058*M4284</f>
        <v>0</v>
      </c>
      <c r="Q4284" s="17" t="s">
        <v>37</v>
      </c>
      <c r="R4284" s="8" t="s">
        <v>15129</v>
      </c>
      <c r="S4284" s="8"/>
      <c r="T4284" s="7" t="str">
        <f>HYPERLINK("https://miland.ru/api/getInfo/image/3581df39-728f-11f0-a284-00155d82e908")</f>
        <v>https://miland.ru/api/getInfo/image/3581df39-728f-11f0-a284-00155d82e908</v>
      </c>
      <c r="U4284" s="7"/>
      <c r="V4284" s="7" t="s">
        <v>6525</v>
      </c>
      <c r="W4284" s="7" t="s">
        <v>7657</v>
      </c>
      <c r="X4284" s="7"/>
      <c r="Y4284" s="7" t="s">
        <v>41</v>
      </c>
      <c r="Z4284" s="7"/>
      <c r="AA4284" s="7" t="str">
        <f>HYPERLINK("https://miland.ru/api/getInfo/item/3581df39-728f-11f0-a284-00155d82e908")</f>
        <v>https://miland.ru/api/getInfo/item/3581df39-728f-11f0-a284-00155d82e908</v>
      </c>
      <c r="AB4284" s="7" t="s">
        <v>42</v>
      </c>
      <c r="AC4284" s="7"/>
      <c r="AD4284" s="7"/>
      <c r="AE4284" s="54"/>
    </row>
    <row r="4285" spans="2:31" s="1" customFormat="1" ht="96.3" customHeight="1" outlineLevel="7">
      <c r="B4285" s="58">
        <v>3422</v>
      </c>
      <c r="C4285" s="7" t="s">
        <v>15130</v>
      </c>
      <c r="D4285" s="71" t="s">
        <v>15131</v>
      </c>
      <c r="E4285" s="71"/>
      <c r="F4285" s="71"/>
      <c r="G4285" s="71"/>
      <c r="H4285" s="8" t="s">
        <v>15132</v>
      </c>
      <c r="I4285" s="9" t="s">
        <v>36</v>
      </c>
      <c r="J4285" s="8"/>
      <c r="K4285" s="6">
        <v>12</v>
      </c>
      <c r="L4285" s="10">
        <v>90.46</v>
      </c>
      <c r="M4285" s="11"/>
      <c r="N4285" s="8">
        <f t="shared" si="214"/>
        <v>0</v>
      </c>
      <c r="O4285" s="12">
        <f t="shared" si="216"/>
        <v>0</v>
      </c>
      <c r="P4285" s="13">
        <f t="shared" si="217"/>
        <v>0</v>
      </c>
      <c r="Q4285" s="17" t="s">
        <v>37</v>
      </c>
      <c r="R4285" s="8" t="s">
        <v>15133</v>
      </c>
      <c r="S4285" s="8"/>
      <c r="T4285" s="7" t="str">
        <f>HYPERLINK("https://miland.ru/api/getInfo/image/2874aacb-7290-11f0-a284-00155d82e908")</f>
        <v>https://miland.ru/api/getInfo/image/2874aacb-7290-11f0-a284-00155d82e908</v>
      </c>
      <c r="U4285" s="7"/>
      <c r="V4285" s="7" t="s">
        <v>6525</v>
      </c>
      <c r="W4285" s="7" t="s">
        <v>7657</v>
      </c>
      <c r="X4285" s="7"/>
      <c r="Y4285" s="7" t="s">
        <v>41</v>
      </c>
      <c r="Z4285" s="7"/>
      <c r="AA4285" s="7" t="str">
        <f>HYPERLINK("https://miland.ru/api/getInfo/item/2874aacb-7290-11f0-a284-00155d82e908")</f>
        <v>https://miland.ru/api/getInfo/item/2874aacb-7290-11f0-a284-00155d82e908</v>
      </c>
      <c r="AB4285" s="7" t="s">
        <v>42</v>
      </c>
      <c r="AC4285" s="7"/>
      <c r="AD4285" s="7"/>
      <c r="AE4285" s="54"/>
    </row>
    <row r="4286" spans="2:31" s="1" customFormat="1" ht="96.3" customHeight="1" outlineLevel="7">
      <c r="B4286" s="58">
        <v>3423</v>
      </c>
      <c r="C4286" s="7" t="s">
        <v>15134</v>
      </c>
      <c r="D4286" s="71" t="s">
        <v>15135</v>
      </c>
      <c r="E4286" s="71"/>
      <c r="F4286" s="71"/>
      <c r="G4286" s="71"/>
      <c r="H4286" s="8" t="s">
        <v>15136</v>
      </c>
      <c r="I4286" s="9" t="s">
        <v>36</v>
      </c>
      <c r="J4286" s="8"/>
      <c r="K4286" s="6">
        <v>12</v>
      </c>
      <c r="L4286" s="10">
        <v>90.46</v>
      </c>
      <c r="M4286" s="11"/>
      <c r="N4286" s="8">
        <f t="shared" si="214"/>
        <v>0</v>
      </c>
      <c r="O4286" s="12">
        <f t="shared" si="216"/>
        <v>0</v>
      </c>
      <c r="P4286" s="13">
        <f t="shared" si="217"/>
        <v>0</v>
      </c>
      <c r="Q4286" s="17" t="s">
        <v>37</v>
      </c>
      <c r="R4286" s="8" t="s">
        <v>15137</v>
      </c>
      <c r="S4286" s="8"/>
      <c r="T4286" s="7" t="str">
        <f>HYPERLINK("https://miland.ru/api/getInfo/image/de09f0d1-728f-11f0-a284-00155d82e908")</f>
        <v>https://miland.ru/api/getInfo/image/de09f0d1-728f-11f0-a284-00155d82e908</v>
      </c>
      <c r="U4286" s="7"/>
      <c r="V4286" s="7" t="s">
        <v>6525</v>
      </c>
      <c r="W4286" s="7" t="s">
        <v>7657</v>
      </c>
      <c r="X4286" s="7"/>
      <c r="Y4286" s="7" t="s">
        <v>41</v>
      </c>
      <c r="Z4286" s="7"/>
      <c r="AA4286" s="7" t="str">
        <f>HYPERLINK("https://miland.ru/api/getInfo/item/de09f0d1-728f-11f0-a284-00155d82e908")</f>
        <v>https://miland.ru/api/getInfo/item/de09f0d1-728f-11f0-a284-00155d82e908</v>
      </c>
      <c r="AB4286" s="7" t="s">
        <v>42</v>
      </c>
      <c r="AC4286" s="7"/>
      <c r="AD4286" s="7"/>
      <c r="AE4286" s="54"/>
    </row>
    <row r="4287" spans="2:31" s="1" customFormat="1" ht="96.3" customHeight="1" outlineLevel="7">
      <c r="B4287" s="58">
        <v>3424</v>
      </c>
      <c r="C4287" s="7" t="s">
        <v>15138</v>
      </c>
      <c r="D4287" s="71" t="s">
        <v>15139</v>
      </c>
      <c r="E4287" s="71"/>
      <c r="F4287" s="71"/>
      <c r="G4287" s="71"/>
      <c r="H4287" s="8" t="s">
        <v>15140</v>
      </c>
      <c r="I4287" s="9" t="s">
        <v>36</v>
      </c>
      <c r="J4287" s="8"/>
      <c r="K4287" s="6">
        <v>12</v>
      </c>
      <c r="L4287" s="10">
        <v>90.46</v>
      </c>
      <c r="M4287" s="11"/>
      <c r="N4287" s="8">
        <f t="shared" si="214"/>
        <v>0</v>
      </c>
      <c r="O4287" s="12">
        <f t="shared" si="216"/>
        <v>0</v>
      </c>
      <c r="P4287" s="13">
        <f t="shared" si="217"/>
        <v>0</v>
      </c>
      <c r="Q4287" s="17" t="s">
        <v>37</v>
      </c>
      <c r="R4287" s="8" t="s">
        <v>15141</v>
      </c>
      <c r="S4287" s="8"/>
      <c r="T4287" s="7" t="str">
        <f>HYPERLINK("https://miland.ru/api/getInfo/image/cd951c59-728f-11f0-a284-00155d82e908")</f>
        <v>https://miland.ru/api/getInfo/image/cd951c59-728f-11f0-a284-00155d82e908</v>
      </c>
      <c r="U4287" s="7"/>
      <c r="V4287" s="7" t="s">
        <v>6525</v>
      </c>
      <c r="W4287" s="7" t="s">
        <v>7657</v>
      </c>
      <c r="X4287" s="7"/>
      <c r="Y4287" s="7" t="s">
        <v>41</v>
      </c>
      <c r="Z4287" s="7"/>
      <c r="AA4287" s="7" t="str">
        <f>HYPERLINK("https://miland.ru/api/getInfo/item/cd951c59-728f-11f0-a284-00155d82e908")</f>
        <v>https://miland.ru/api/getInfo/item/cd951c59-728f-11f0-a284-00155d82e908</v>
      </c>
      <c r="AB4287" s="7" t="s">
        <v>42</v>
      </c>
      <c r="AC4287" s="7"/>
      <c r="AD4287" s="7"/>
      <c r="AE4287" s="54"/>
    </row>
    <row r="4288" spans="2:31" s="1" customFormat="1" ht="96.3" customHeight="1" outlineLevel="7">
      <c r="B4288" s="58">
        <v>3425</v>
      </c>
      <c r="C4288" s="7" t="s">
        <v>15142</v>
      </c>
      <c r="D4288" s="71" t="s">
        <v>15143</v>
      </c>
      <c r="E4288" s="71"/>
      <c r="F4288" s="71"/>
      <c r="G4288" s="71"/>
      <c r="H4288" s="8" t="s">
        <v>15144</v>
      </c>
      <c r="I4288" s="9" t="s">
        <v>36</v>
      </c>
      <c r="J4288" s="8"/>
      <c r="K4288" s="6">
        <v>12</v>
      </c>
      <c r="L4288" s="10">
        <v>90.46</v>
      </c>
      <c r="M4288" s="11"/>
      <c r="N4288" s="8">
        <f t="shared" si="214"/>
        <v>0</v>
      </c>
      <c r="O4288" s="12">
        <f t="shared" si="216"/>
        <v>0</v>
      </c>
      <c r="P4288" s="13">
        <f t="shared" si="217"/>
        <v>0</v>
      </c>
      <c r="Q4288" s="17" t="s">
        <v>37</v>
      </c>
      <c r="R4288" s="8" t="s">
        <v>15145</v>
      </c>
      <c r="S4288" s="8"/>
      <c r="T4288" s="7" t="str">
        <f>HYPERLINK("https://miland.ru/api/getInfo/image/8a07955f-728f-11f0-a284-00155d82e908")</f>
        <v>https://miland.ru/api/getInfo/image/8a07955f-728f-11f0-a284-00155d82e908</v>
      </c>
      <c r="U4288" s="7"/>
      <c r="V4288" s="7" t="s">
        <v>6525</v>
      </c>
      <c r="W4288" s="7" t="s">
        <v>7657</v>
      </c>
      <c r="X4288" s="7"/>
      <c r="Y4288" s="7" t="s">
        <v>41</v>
      </c>
      <c r="Z4288" s="7"/>
      <c r="AA4288" s="7" t="str">
        <f>HYPERLINK("https://miland.ru/api/getInfo/item/8a07955f-728f-11f0-a284-00155d82e908")</f>
        <v>https://miland.ru/api/getInfo/item/8a07955f-728f-11f0-a284-00155d82e908</v>
      </c>
      <c r="AB4288" s="7" t="s">
        <v>42</v>
      </c>
      <c r="AC4288" s="7"/>
      <c r="AD4288" s="7"/>
      <c r="AE4288" s="54"/>
    </row>
    <row r="4289" spans="2:31" s="1" customFormat="1" ht="96.3" customHeight="1" outlineLevel="7">
      <c r="B4289" s="58">
        <v>3426</v>
      </c>
      <c r="C4289" s="7" t="s">
        <v>15146</v>
      </c>
      <c r="D4289" s="71" t="s">
        <v>15147</v>
      </c>
      <c r="E4289" s="71"/>
      <c r="F4289" s="71"/>
      <c r="G4289" s="71"/>
      <c r="H4289" s="8" t="s">
        <v>15148</v>
      </c>
      <c r="I4289" s="9" t="s">
        <v>36</v>
      </c>
      <c r="J4289" s="8"/>
      <c r="K4289" s="6">
        <v>12</v>
      </c>
      <c r="L4289" s="10">
        <v>90.46</v>
      </c>
      <c r="M4289" s="11"/>
      <c r="N4289" s="8">
        <f t="shared" si="214"/>
        <v>0</v>
      </c>
      <c r="O4289" s="12">
        <f t="shared" si="216"/>
        <v>0</v>
      </c>
      <c r="P4289" s="13">
        <f t="shared" si="217"/>
        <v>0</v>
      </c>
      <c r="Q4289" s="17" t="s">
        <v>37</v>
      </c>
      <c r="R4289" s="8" t="s">
        <v>15149</v>
      </c>
      <c r="S4289" s="8"/>
      <c r="T4289" s="7" t="str">
        <f>HYPERLINK("https://miland.ru/api/getInfo/image/630c93a3-728f-11f0-a284-00155d82e908")</f>
        <v>https://miland.ru/api/getInfo/image/630c93a3-728f-11f0-a284-00155d82e908</v>
      </c>
      <c r="U4289" s="7"/>
      <c r="V4289" s="7" t="s">
        <v>6525</v>
      </c>
      <c r="W4289" s="7" t="s">
        <v>7657</v>
      </c>
      <c r="X4289" s="7"/>
      <c r="Y4289" s="7" t="s">
        <v>41</v>
      </c>
      <c r="Z4289" s="7"/>
      <c r="AA4289" s="7" t="str">
        <f>HYPERLINK("https://miland.ru/api/getInfo/item/630c93a3-728f-11f0-a284-00155d82e908")</f>
        <v>https://miland.ru/api/getInfo/item/630c93a3-728f-11f0-a284-00155d82e908</v>
      </c>
      <c r="AB4289" s="7" t="s">
        <v>42</v>
      </c>
      <c r="AC4289" s="7"/>
      <c r="AD4289" s="7"/>
      <c r="AE4289" s="54"/>
    </row>
    <row r="4290" spans="2:31" s="1" customFormat="1" ht="96.3" customHeight="1" outlineLevel="7">
      <c r="B4290" s="58">
        <v>3427</v>
      </c>
      <c r="C4290" s="7" t="s">
        <v>15150</v>
      </c>
      <c r="D4290" s="71" t="s">
        <v>15151</v>
      </c>
      <c r="E4290" s="71"/>
      <c r="F4290" s="71"/>
      <c r="G4290" s="71"/>
      <c r="H4290" s="8" t="s">
        <v>15152</v>
      </c>
      <c r="I4290" s="9" t="s">
        <v>36</v>
      </c>
      <c r="J4290" s="8"/>
      <c r="K4290" s="6">
        <v>12</v>
      </c>
      <c r="L4290" s="10">
        <v>90.46</v>
      </c>
      <c r="M4290" s="11"/>
      <c r="N4290" s="8">
        <f t="shared" si="214"/>
        <v>0</v>
      </c>
      <c r="O4290" s="12">
        <f>0.088*M4290</f>
        <v>0</v>
      </c>
      <c r="P4290" s="13">
        <f t="shared" si="217"/>
        <v>0</v>
      </c>
      <c r="Q4290" s="17" t="s">
        <v>37</v>
      </c>
      <c r="R4290" s="8" t="s">
        <v>15153</v>
      </c>
      <c r="S4290" s="8"/>
      <c r="T4290" s="7" t="str">
        <f>HYPERLINK("https://miland.ru/api/getInfo/image/07c880e9-7290-11f0-a284-00155d82e908")</f>
        <v>https://miland.ru/api/getInfo/image/07c880e9-7290-11f0-a284-00155d82e908</v>
      </c>
      <c r="U4290" s="7"/>
      <c r="V4290" s="7" t="s">
        <v>6525</v>
      </c>
      <c r="W4290" s="7" t="s">
        <v>7657</v>
      </c>
      <c r="X4290" s="7"/>
      <c r="Y4290" s="7" t="s">
        <v>41</v>
      </c>
      <c r="Z4290" s="7"/>
      <c r="AA4290" s="7" t="str">
        <f>HYPERLINK("https://miland.ru/api/getInfo/item/07c880e9-7290-11f0-a284-00155d82e908")</f>
        <v>https://miland.ru/api/getInfo/item/07c880e9-7290-11f0-a284-00155d82e908</v>
      </c>
      <c r="AB4290" s="7" t="s">
        <v>42</v>
      </c>
      <c r="AC4290" s="7"/>
      <c r="AD4290" s="7"/>
      <c r="AE4290" s="54"/>
    </row>
    <row r="4291" spans="2:31" s="1" customFormat="1" ht="96.3" customHeight="1" outlineLevel="7">
      <c r="B4291" s="58">
        <v>3428</v>
      </c>
      <c r="C4291" s="7" t="s">
        <v>15154</v>
      </c>
      <c r="D4291" s="71" t="s">
        <v>15155</v>
      </c>
      <c r="E4291" s="71"/>
      <c r="F4291" s="71"/>
      <c r="G4291" s="71"/>
      <c r="H4291" s="8" t="s">
        <v>15156</v>
      </c>
      <c r="I4291" s="9" t="s">
        <v>36</v>
      </c>
      <c r="J4291" s="8"/>
      <c r="K4291" s="6">
        <v>12</v>
      </c>
      <c r="L4291" s="10">
        <v>90.46</v>
      </c>
      <c r="M4291" s="11"/>
      <c r="N4291" s="8">
        <f t="shared" si="214"/>
        <v>0</v>
      </c>
      <c r="O4291" s="12">
        <f>0.087*M4291</f>
        <v>0</v>
      </c>
      <c r="P4291" s="13">
        <f t="shared" si="217"/>
        <v>0</v>
      </c>
      <c r="Q4291" s="17" t="s">
        <v>37</v>
      </c>
      <c r="R4291" s="8" t="s">
        <v>15157</v>
      </c>
      <c r="S4291" s="8"/>
      <c r="T4291" s="7" t="str">
        <f>HYPERLINK("https://miland.ru/api/getInfo/image/7fe80508-9def-11f0-a285-00155d82e908")</f>
        <v>https://miland.ru/api/getInfo/image/7fe80508-9def-11f0-a285-00155d82e908</v>
      </c>
      <c r="U4291" s="7"/>
      <c r="V4291" s="7" t="s">
        <v>6525</v>
      </c>
      <c r="W4291" s="7" t="s">
        <v>7657</v>
      </c>
      <c r="X4291" s="7"/>
      <c r="Y4291" s="7" t="s">
        <v>41</v>
      </c>
      <c r="Z4291" s="7"/>
      <c r="AA4291" s="7" t="str">
        <f>HYPERLINK("https://miland.ru/api/getInfo/item/7fe80508-9def-11f0-a285-00155d82e908")</f>
        <v>https://miland.ru/api/getInfo/item/7fe80508-9def-11f0-a285-00155d82e908</v>
      </c>
      <c r="AB4291" s="7" t="s">
        <v>42</v>
      </c>
      <c r="AC4291" s="7"/>
      <c r="AD4291" s="7"/>
      <c r="AE4291" s="54"/>
    </row>
    <row r="4292" spans="2:31" s="1" customFormat="1" ht="96.3" customHeight="1" outlineLevel="7">
      <c r="B4292" s="58">
        <v>3429</v>
      </c>
      <c r="C4292" s="7" t="s">
        <v>15158</v>
      </c>
      <c r="D4292" s="71" t="s">
        <v>15159</v>
      </c>
      <c r="E4292" s="71"/>
      <c r="F4292" s="71"/>
      <c r="G4292" s="71"/>
      <c r="H4292" s="8" t="s">
        <v>15160</v>
      </c>
      <c r="I4292" s="9" t="s">
        <v>36</v>
      </c>
      <c r="J4292" s="8"/>
      <c r="K4292" s="6">
        <v>12</v>
      </c>
      <c r="L4292" s="10">
        <v>90.46</v>
      </c>
      <c r="M4292" s="11"/>
      <c r="N4292" s="8">
        <f t="shared" si="214"/>
        <v>0</v>
      </c>
      <c r="O4292" s="12">
        <f>0.087*M4292</f>
        <v>0</v>
      </c>
      <c r="P4292" s="13">
        <f t="shared" si="217"/>
        <v>0</v>
      </c>
      <c r="Q4292" s="17" t="s">
        <v>37</v>
      </c>
      <c r="R4292" s="8" t="s">
        <v>15161</v>
      </c>
      <c r="S4292" s="8"/>
      <c r="T4292" s="7" t="str">
        <f>HYPERLINK("https://miland.ru/api/getInfo/image/21cbe3d9-9df0-11f0-a285-00155d82e908")</f>
        <v>https://miland.ru/api/getInfo/image/21cbe3d9-9df0-11f0-a285-00155d82e908</v>
      </c>
      <c r="U4292" s="7"/>
      <c r="V4292" s="7" t="s">
        <v>6525</v>
      </c>
      <c r="W4292" s="7" t="s">
        <v>7657</v>
      </c>
      <c r="X4292" s="7"/>
      <c r="Y4292" s="7" t="s">
        <v>41</v>
      </c>
      <c r="Z4292" s="7"/>
      <c r="AA4292" s="7" t="str">
        <f>HYPERLINK("https://miland.ru/api/getInfo/item/21cbe3d9-9df0-11f0-a285-00155d82e908")</f>
        <v>https://miland.ru/api/getInfo/item/21cbe3d9-9df0-11f0-a285-00155d82e908</v>
      </c>
      <c r="AB4292" s="7" t="s">
        <v>42</v>
      </c>
      <c r="AC4292" s="7"/>
      <c r="AD4292" s="7"/>
      <c r="AE4292" s="54"/>
    </row>
    <row r="4293" spans="2:31" s="1" customFormat="1" ht="96.3" customHeight="1" outlineLevel="7">
      <c r="B4293" s="59">
        <v>3430</v>
      </c>
      <c r="C4293" s="35" t="s">
        <v>15162</v>
      </c>
      <c r="D4293" s="73" t="s">
        <v>15163</v>
      </c>
      <c r="E4293" s="73"/>
      <c r="F4293" s="73"/>
      <c r="G4293" s="73"/>
      <c r="H4293" s="36" t="s">
        <v>15164</v>
      </c>
      <c r="I4293" s="56" t="s">
        <v>36</v>
      </c>
      <c r="J4293" s="36"/>
      <c r="K4293" s="34">
        <v>12</v>
      </c>
      <c r="L4293" s="41">
        <v>47.426666666666669</v>
      </c>
      <c r="M4293" s="11"/>
      <c r="N4293" s="36">
        <f t="shared" si="214"/>
        <v>0</v>
      </c>
      <c r="O4293" s="42">
        <f>0.097*M4293</f>
        <v>0</v>
      </c>
      <c r="P4293" s="55">
        <f>0.0009*M4293</f>
        <v>0</v>
      </c>
      <c r="Q4293" s="50"/>
      <c r="R4293" s="36" t="s">
        <v>15165</v>
      </c>
      <c r="S4293" s="36" t="s">
        <v>435</v>
      </c>
      <c r="T4293" s="35" t="str">
        <f>HYPERLINK("https://miland.ru/api/getInfo/image/73f72be9-f547-11ed-a237-00155d82e902")</f>
        <v>https://miland.ru/api/getInfo/image/73f72be9-f547-11ed-a237-00155d82e902</v>
      </c>
      <c r="U4293" s="35"/>
      <c r="V4293" s="35" t="s">
        <v>6525</v>
      </c>
      <c r="W4293" s="35" t="s">
        <v>378</v>
      </c>
      <c r="X4293" s="35"/>
      <c r="Y4293" s="35" t="s">
        <v>41</v>
      </c>
      <c r="Z4293" s="35"/>
      <c r="AA4293" s="35" t="str">
        <f>HYPERLINK("https://miland.ru/api/getInfo/item/73f72be9-f547-11ed-a237-00155d82e902")</f>
        <v>https://miland.ru/api/getInfo/item/73f72be9-f547-11ed-a237-00155d82e902</v>
      </c>
      <c r="AB4293" s="35" t="s">
        <v>42</v>
      </c>
      <c r="AC4293" s="35"/>
      <c r="AD4293" s="35"/>
      <c r="AE4293" s="52" t="s">
        <v>1251</v>
      </c>
    </row>
    <row r="4294" spans="2:31" s="1" customFormat="1" ht="96.3" customHeight="1" outlineLevel="7">
      <c r="B4294" s="59">
        <v>3431</v>
      </c>
      <c r="C4294" s="35" t="s">
        <v>15166</v>
      </c>
      <c r="D4294" s="73" t="s">
        <v>15167</v>
      </c>
      <c r="E4294" s="73"/>
      <c r="F4294" s="73"/>
      <c r="G4294" s="73"/>
      <c r="H4294" s="36" t="s">
        <v>15168</v>
      </c>
      <c r="I4294" s="56" t="s">
        <v>36</v>
      </c>
      <c r="J4294" s="36"/>
      <c r="K4294" s="34">
        <v>12</v>
      </c>
      <c r="L4294" s="41">
        <v>47.426666666666669</v>
      </c>
      <c r="M4294" s="11"/>
      <c r="N4294" s="36">
        <f t="shared" si="214"/>
        <v>0</v>
      </c>
      <c r="O4294" s="42">
        <f>0.097*M4294</f>
        <v>0</v>
      </c>
      <c r="P4294" s="43">
        <f>0.00059*M4294</f>
        <v>0</v>
      </c>
      <c r="Q4294" s="50"/>
      <c r="R4294" s="36" t="s">
        <v>15169</v>
      </c>
      <c r="S4294" s="36" t="s">
        <v>435</v>
      </c>
      <c r="T4294" s="35" t="str">
        <f>HYPERLINK("https://miland.ru/api/getInfo/image/0c4735cc-f546-11ed-a237-00155d82e902")</f>
        <v>https://miland.ru/api/getInfo/image/0c4735cc-f546-11ed-a237-00155d82e902</v>
      </c>
      <c r="U4294" s="35"/>
      <c r="V4294" s="35" t="s">
        <v>6525</v>
      </c>
      <c r="W4294" s="35" t="s">
        <v>378</v>
      </c>
      <c r="X4294" s="35"/>
      <c r="Y4294" s="35" t="s">
        <v>41</v>
      </c>
      <c r="Z4294" s="35"/>
      <c r="AA4294" s="35" t="str">
        <f>HYPERLINK("https://miland.ru/api/getInfo/item/0c4735cc-f546-11ed-a237-00155d82e902")</f>
        <v>https://miland.ru/api/getInfo/item/0c4735cc-f546-11ed-a237-00155d82e902</v>
      </c>
      <c r="AB4294" s="35" t="s">
        <v>42</v>
      </c>
      <c r="AC4294" s="35"/>
      <c r="AD4294" s="35"/>
      <c r="AE4294" s="52" t="s">
        <v>1251</v>
      </c>
    </row>
    <row r="4295" spans="2:31" s="1" customFormat="1" ht="96.3" customHeight="1" outlineLevel="7">
      <c r="B4295" s="58">
        <v>3432</v>
      </c>
      <c r="C4295" s="7" t="s">
        <v>15170</v>
      </c>
      <c r="D4295" s="71" t="s">
        <v>15171</v>
      </c>
      <c r="E4295" s="71"/>
      <c r="F4295" s="71"/>
      <c r="G4295" s="71"/>
      <c r="H4295" s="8" t="s">
        <v>15172</v>
      </c>
      <c r="I4295" s="9" t="s">
        <v>36</v>
      </c>
      <c r="J4295" s="8"/>
      <c r="K4295" s="6">
        <v>12</v>
      </c>
      <c r="L4295" s="10">
        <v>90.46</v>
      </c>
      <c r="M4295" s="11"/>
      <c r="N4295" s="8">
        <f t="shared" si="214"/>
        <v>0</v>
      </c>
      <c r="O4295" s="12">
        <f>0.087*M4295</f>
        <v>0</v>
      </c>
      <c r="P4295" s="13">
        <f>0.00058*M4295</f>
        <v>0</v>
      </c>
      <c r="Q4295" s="17" t="s">
        <v>37</v>
      </c>
      <c r="R4295" s="8" t="s">
        <v>15173</v>
      </c>
      <c r="S4295" s="8"/>
      <c r="T4295" s="7" t="str">
        <f>HYPERLINK("https://miland.ru/api/getInfo/image/49e645c6-9df0-11f0-a285-00155d82e908")</f>
        <v>https://miland.ru/api/getInfo/image/49e645c6-9df0-11f0-a285-00155d82e908</v>
      </c>
      <c r="U4295" s="7"/>
      <c r="V4295" s="7" t="s">
        <v>6525</v>
      </c>
      <c r="W4295" s="7" t="s">
        <v>7657</v>
      </c>
      <c r="X4295" s="7"/>
      <c r="Y4295" s="7" t="s">
        <v>41</v>
      </c>
      <c r="Z4295" s="7"/>
      <c r="AA4295" s="7" t="str">
        <f>HYPERLINK("https://miland.ru/api/getInfo/item/49e645c6-9df0-11f0-a285-00155d82e908")</f>
        <v>https://miland.ru/api/getInfo/item/49e645c6-9df0-11f0-a285-00155d82e908</v>
      </c>
      <c r="AB4295" s="7" t="s">
        <v>42</v>
      </c>
      <c r="AC4295" s="7"/>
      <c r="AD4295" s="7"/>
      <c r="AE4295" s="54"/>
    </row>
    <row r="4296" spans="2:31" s="1" customFormat="1" ht="96.3" customHeight="1" outlineLevel="7">
      <c r="B4296" s="58">
        <v>3433</v>
      </c>
      <c r="C4296" s="7" t="s">
        <v>15174</v>
      </c>
      <c r="D4296" s="71" t="s">
        <v>15175</v>
      </c>
      <c r="E4296" s="71"/>
      <c r="F4296" s="71"/>
      <c r="G4296" s="71"/>
      <c r="H4296" s="8" t="s">
        <v>15176</v>
      </c>
      <c r="I4296" s="9" t="s">
        <v>36</v>
      </c>
      <c r="J4296" s="8"/>
      <c r="K4296" s="6">
        <v>12</v>
      </c>
      <c r="L4296" s="10">
        <v>90.46</v>
      </c>
      <c r="M4296" s="11"/>
      <c r="N4296" s="8">
        <f t="shared" si="214"/>
        <v>0</v>
      </c>
      <c r="O4296" s="12">
        <f>0.087*M4296</f>
        <v>0</v>
      </c>
      <c r="P4296" s="13">
        <f>0.00058*M4296</f>
        <v>0</v>
      </c>
      <c r="Q4296" s="17" t="s">
        <v>37</v>
      </c>
      <c r="R4296" s="8" t="s">
        <v>15177</v>
      </c>
      <c r="S4296" s="8"/>
      <c r="T4296" s="7" t="str">
        <f>HYPERLINK("https://miland.ru/api/getInfo/image/61549f41-9df0-11f0-a285-00155d82e908")</f>
        <v>https://miland.ru/api/getInfo/image/61549f41-9df0-11f0-a285-00155d82e908</v>
      </c>
      <c r="U4296" s="7"/>
      <c r="V4296" s="7" t="s">
        <v>6525</v>
      </c>
      <c r="W4296" s="7" t="s">
        <v>7657</v>
      </c>
      <c r="X4296" s="7"/>
      <c r="Y4296" s="7" t="s">
        <v>41</v>
      </c>
      <c r="Z4296" s="7"/>
      <c r="AA4296" s="7" t="str">
        <f>HYPERLINK("https://miland.ru/api/getInfo/item/61549f41-9df0-11f0-a285-00155d82e908")</f>
        <v>https://miland.ru/api/getInfo/item/61549f41-9df0-11f0-a285-00155d82e908</v>
      </c>
      <c r="AB4296" s="7" t="s">
        <v>42</v>
      </c>
      <c r="AC4296" s="7"/>
      <c r="AD4296" s="7"/>
      <c r="AE4296" s="54"/>
    </row>
    <row r="4297" spans="2:31" s="1" customFormat="1" ht="96.3" customHeight="1" outlineLevel="7">
      <c r="B4297" s="58">
        <v>3434</v>
      </c>
      <c r="C4297" s="7" t="s">
        <v>15178</v>
      </c>
      <c r="D4297" s="71" t="s">
        <v>15179</v>
      </c>
      <c r="E4297" s="71"/>
      <c r="F4297" s="71"/>
      <c r="G4297" s="71"/>
      <c r="H4297" s="8" t="s">
        <v>15180</v>
      </c>
      <c r="I4297" s="9" t="s">
        <v>36</v>
      </c>
      <c r="J4297" s="8"/>
      <c r="K4297" s="6">
        <v>12</v>
      </c>
      <c r="L4297" s="10">
        <v>90.46</v>
      </c>
      <c r="M4297" s="11"/>
      <c r="N4297" s="8">
        <f t="shared" si="214"/>
        <v>0</v>
      </c>
      <c r="O4297" s="12">
        <f>0.087*M4297</f>
        <v>0</v>
      </c>
      <c r="P4297" s="13">
        <f>0.00058*M4297</f>
        <v>0</v>
      </c>
      <c r="Q4297" s="17" t="s">
        <v>37</v>
      </c>
      <c r="R4297" s="8" t="s">
        <v>15181</v>
      </c>
      <c r="S4297" s="8"/>
      <c r="T4297" s="7" t="str">
        <f>HYPERLINK("https://miland.ru/api/getInfo/image/286cb236-9def-11f0-a285-00155d82e908")</f>
        <v>https://miland.ru/api/getInfo/image/286cb236-9def-11f0-a285-00155d82e908</v>
      </c>
      <c r="U4297" s="7"/>
      <c r="V4297" s="7" t="s">
        <v>6525</v>
      </c>
      <c r="W4297" s="7" t="s">
        <v>7657</v>
      </c>
      <c r="X4297" s="7"/>
      <c r="Y4297" s="7" t="s">
        <v>41</v>
      </c>
      <c r="Z4297" s="7"/>
      <c r="AA4297" s="7" t="str">
        <f>HYPERLINK("https://miland.ru/api/getInfo/item/286cb236-9def-11f0-a285-00155d82e908")</f>
        <v>https://miland.ru/api/getInfo/item/286cb236-9def-11f0-a285-00155d82e908</v>
      </c>
      <c r="AB4297" s="7" t="s">
        <v>42</v>
      </c>
      <c r="AC4297" s="7"/>
      <c r="AD4297" s="7"/>
      <c r="AE4297" s="54"/>
    </row>
    <row r="4298" spans="2:31" s="1" customFormat="1" ht="96.3" customHeight="1" outlineLevel="7">
      <c r="B4298" s="58">
        <v>3435</v>
      </c>
      <c r="C4298" s="7" t="s">
        <v>15182</v>
      </c>
      <c r="D4298" s="71" t="s">
        <v>15183</v>
      </c>
      <c r="E4298" s="71"/>
      <c r="F4298" s="71"/>
      <c r="G4298" s="71"/>
      <c r="H4298" s="8" t="s">
        <v>15184</v>
      </c>
      <c r="I4298" s="9" t="s">
        <v>36</v>
      </c>
      <c r="J4298" s="8"/>
      <c r="K4298" s="6">
        <v>12</v>
      </c>
      <c r="L4298" s="10">
        <v>90.46</v>
      </c>
      <c r="M4298" s="11"/>
      <c r="N4298" s="8">
        <f t="shared" si="214"/>
        <v>0</v>
      </c>
      <c r="O4298" s="12">
        <f>0.088*M4298</f>
        <v>0</v>
      </c>
      <c r="P4298" s="13">
        <f>0.00058*M4298</f>
        <v>0</v>
      </c>
      <c r="Q4298" s="17" t="s">
        <v>37</v>
      </c>
      <c r="R4298" s="8" t="s">
        <v>15185</v>
      </c>
      <c r="S4298" s="8"/>
      <c r="T4298" s="7" t="str">
        <f>HYPERLINK("https://miland.ru/api/getInfo/image/0bc2afd2-9df0-11f0-a285-00155d82e908")</f>
        <v>https://miland.ru/api/getInfo/image/0bc2afd2-9df0-11f0-a285-00155d82e908</v>
      </c>
      <c r="U4298" s="7"/>
      <c r="V4298" s="7" t="s">
        <v>6525</v>
      </c>
      <c r="W4298" s="7" t="s">
        <v>7657</v>
      </c>
      <c r="X4298" s="7"/>
      <c r="Y4298" s="7" t="s">
        <v>41</v>
      </c>
      <c r="Z4298" s="7"/>
      <c r="AA4298" s="7" t="str">
        <f>HYPERLINK("https://miland.ru/api/getInfo/item/0bc2afd2-9df0-11f0-a285-00155d82e908")</f>
        <v>https://miland.ru/api/getInfo/item/0bc2afd2-9df0-11f0-a285-00155d82e908</v>
      </c>
      <c r="AB4298" s="7" t="s">
        <v>42</v>
      </c>
      <c r="AC4298" s="7"/>
      <c r="AD4298" s="7"/>
      <c r="AE4298" s="54"/>
    </row>
    <row r="4299" spans="2:31" s="1" customFormat="1" ht="96.3" customHeight="1" outlineLevel="7">
      <c r="B4299" s="57">
        <v>3436</v>
      </c>
      <c r="C4299" s="21" t="s">
        <v>15186</v>
      </c>
      <c r="D4299" s="72" t="s">
        <v>15187</v>
      </c>
      <c r="E4299" s="72"/>
      <c r="F4299" s="72"/>
      <c r="G4299" s="72"/>
      <c r="H4299" s="22" t="s">
        <v>15188</v>
      </c>
      <c r="I4299" s="23" t="s">
        <v>36</v>
      </c>
      <c r="J4299" s="22"/>
      <c r="K4299" s="20">
        <v>12</v>
      </c>
      <c r="L4299" s="24">
        <v>90.46</v>
      </c>
      <c r="M4299" s="11"/>
      <c r="N4299" s="22">
        <f t="shared" si="214"/>
        <v>0</v>
      </c>
      <c r="O4299" s="25">
        <f>0.095*M4299</f>
        <v>0</v>
      </c>
      <c r="P4299" s="26">
        <f>0.00237*M4299</f>
        <v>0</v>
      </c>
      <c r="Q4299" s="30"/>
      <c r="R4299" s="22" t="s">
        <v>15189</v>
      </c>
      <c r="S4299" s="22" t="s">
        <v>435</v>
      </c>
      <c r="T4299" s="21" t="str">
        <f>HYPERLINK("https://miland.ru/api/getInfo/image/e4794d4a-19c9-11ef-a25d-00155d82e908")</f>
        <v>https://miland.ru/api/getInfo/image/e4794d4a-19c9-11ef-a25d-00155d82e908</v>
      </c>
      <c r="U4299" s="21"/>
      <c r="V4299" s="21" t="s">
        <v>6525</v>
      </c>
      <c r="W4299" s="21" t="s">
        <v>378</v>
      </c>
      <c r="X4299" s="21"/>
      <c r="Y4299" s="21" t="s">
        <v>41</v>
      </c>
      <c r="Z4299" s="21"/>
      <c r="AA4299" s="21" t="str">
        <f>HYPERLINK("https://miland.ru/api/getInfo/item/e4794d4a-19c9-11ef-a25d-00155d82e908")</f>
        <v>https://miland.ru/api/getInfo/item/e4794d4a-19c9-11ef-a25d-00155d82e908</v>
      </c>
      <c r="AB4299" s="21" t="s">
        <v>42</v>
      </c>
      <c r="AC4299" s="21" t="s">
        <v>15190</v>
      </c>
      <c r="AD4299" s="21"/>
    </row>
    <row r="4300" spans="2:31" ht="12" customHeight="1" outlineLevel="4">
      <c r="B4300" s="70" t="s">
        <v>15191</v>
      </c>
      <c r="C4300" s="70"/>
      <c r="D4300" s="70"/>
      <c r="E4300" s="70"/>
      <c r="F4300" s="70"/>
      <c r="G4300" s="70"/>
    </row>
    <row r="4301" spans="2:31" ht="12" customHeight="1" outlineLevel="5">
      <c r="B4301" s="70" t="s">
        <v>15192</v>
      </c>
      <c r="C4301" s="70"/>
      <c r="D4301" s="70"/>
      <c r="E4301" s="70"/>
      <c r="F4301" s="70"/>
      <c r="G4301" s="70"/>
    </row>
    <row r="4302" spans="2:31" s="1" customFormat="1" ht="96.3" customHeight="1" outlineLevel="6">
      <c r="B4302" s="59">
        <v>3437</v>
      </c>
      <c r="C4302" s="35" t="s">
        <v>15193</v>
      </c>
      <c r="D4302" s="73" t="s">
        <v>15194</v>
      </c>
      <c r="E4302" s="73"/>
      <c r="F4302" s="73"/>
      <c r="G4302" s="73"/>
      <c r="H4302" s="36" t="s">
        <v>15195</v>
      </c>
      <c r="I4302" s="56" t="s">
        <v>36</v>
      </c>
      <c r="J4302" s="36"/>
      <c r="K4302" s="34">
        <v>12</v>
      </c>
      <c r="L4302" s="41">
        <v>80.773333333333326</v>
      </c>
      <c r="M4302" s="11"/>
      <c r="N4302" s="36">
        <f>L4302*M4302</f>
        <v>0</v>
      </c>
      <c r="O4302" s="42">
        <f>0.102*M4302</f>
        <v>0</v>
      </c>
      <c r="P4302" s="43">
        <f>0.01504*M4302</f>
        <v>0</v>
      </c>
      <c r="Q4302" s="50" t="s">
        <v>37</v>
      </c>
      <c r="R4302" s="36" t="s">
        <v>15196</v>
      </c>
      <c r="S4302" s="36"/>
      <c r="T4302" s="35" t="str">
        <f>HYPERLINK("https://miland.ru/api/getInfo/image/0051e2c3-6932-11f0-a283-00155d82e908")</f>
        <v>https://miland.ru/api/getInfo/image/0051e2c3-6932-11f0-a283-00155d82e908</v>
      </c>
      <c r="U4302" s="35"/>
      <c r="V4302" s="35" t="s">
        <v>6525</v>
      </c>
      <c r="W4302" s="35" t="s">
        <v>7657</v>
      </c>
      <c r="X4302" s="35"/>
      <c r="Y4302" s="35" t="s">
        <v>41</v>
      </c>
      <c r="Z4302" s="35"/>
      <c r="AA4302" s="35" t="str">
        <f>HYPERLINK("https://miland.ru/api/getInfo/item/0051e2c3-6932-11f0-a283-00155d82e908")</f>
        <v>https://miland.ru/api/getInfo/item/0051e2c3-6932-11f0-a283-00155d82e908</v>
      </c>
      <c r="AB4302" s="35" t="s">
        <v>42</v>
      </c>
      <c r="AC4302" s="35"/>
      <c r="AD4302" s="35"/>
      <c r="AE4302" s="52" t="s">
        <v>9152</v>
      </c>
    </row>
    <row r="4303" spans="2:31" s="1" customFormat="1" ht="96.3" customHeight="1" outlineLevel="6">
      <c r="B4303" s="59">
        <v>3438</v>
      </c>
      <c r="C4303" s="35" t="s">
        <v>15197</v>
      </c>
      <c r="D4303" s="73" t="s">
        <v>15198</v>
      </c>
      <c r="E4303" s="73"/>
      <c r="F4303" s="73"/>
      <c r="G4303" s="73"/>
      <c r="H4303" s="36" t="s">
        <v>15199</v>
      </c>
      <c r="I4303" s="56" t="s">
        <v>36</v>
      </c>
      <c r="J4303" s="36"/>
      <c r="K4303" s="34">
        <v>12</v>
      </c>
      <c r="L4303" s="41">
        <v>80.773333333333326</v>
      </c>
      <c r="M4303" s="11"/>
      <c r="N4303" s="36">
        <f>L4303*M4303</f>
        <v>0</v>
      </c>
      <c r="O4303" s="61">
        <f>0.1*M4303</f>
        <v>0</v>
      </c>
      <c r="P4303" s="43">
        <f>0.00113*M4303</f>
        <v>0</v>
      </c>
      <c r="Q4303" s="50" t="s">
        <v>37</v>
      </c>
      <c r="R4303" s="36" t="s">
        <v>15200</v>
      </c>
      <c r="S4303" s="36"/>
      <c r="T4303" s="35" t="str">
        <f>HYPERLINK("https://miland.ru/api/getInfo/image/29d02394-6932-11f0-a283-00155d82e908")</f>
        <v>https://miland.ru/api/getInfo/image/29d02394-6932-11f0-a283-00155d82e908</v>
      </c>
      <c r="U4303" s="35"/>
      <c r="V4303" s="35" t="s">
        <v>6525</v>
      </c>
      <c r="W4303" s="35" t="s">
        <v>7657</v>
      </c>
      <c r="X4303" s="35"/>
      <c r="Y4303" s="35" t="s">
        <v>41</v>
      </c>
      <c r="Z4303" s="35"/>
      <c r="AA4303" s="35" t="str">
        <f>HYPERLINK("https://miland.ru/api/getInfo/item/29d02394-6932-11f0-a283-00155d82e908")</f>
        <v>https://miland.ru/api/getInfo/item/29d02394-6932-11f0-a283-00155d82e908</v>
      </c>
      <c r="AB4303" s="35" t="s">
        <v>42</v>
      </c>
      <c r="AC4303" s="35"/>
      <c r="AD4303" s="35"/>
      <c r="AE4303" s="52" t="s">
        <v>9152</v>
      </c>
    </row>
    <row r="4304" spans="2:31" s="1" customFormat="1" ht="96.3" customHeight="1" outlineLevel="6">
      <c r="B4304" s="59">
        <v>3439</v>
      </c>
      <c r="C4304" s="35" t="s">
        <v>15201</v>
      </c>
      <c r="D4304" s="73" t="s">
        <v>15202</v>
      </c>
      <c r="E4304" s="73"/>
      <c r="F4304" s="73"/>
      <c r="G4304" s="73"/>
      <c r="H4304" s="36" t="s">
        <v>15203</v>
      </c>
      <c r="I4304" s="56" t="s">
        <v>36</v>
      </c>
      <c r="J4304" s="36"/>
      <c r="K4304" s="34">
        <v>12</v>
      </c>
      <c r="L4304" s="41">
        <v>100.97333333333334</v>
      </c>
      <c r="M4304" s="11"/>
      <c r="N4304" s="36">
        <f>L4304*M4304</f>
        <v>0</v>
      </c>
      <c r="O4304" s="61">
        <f>0.1*M4304</f>
        <v>0</v>
      </c>
      <c r="P4304" s="43">
        <f>0.00094*M4304</f>
        <v>0</v>
      </c>
      <c r="Q4304" s="50" t="s">
        <v>37</v>
      </c>
      <c r="R4304" s="36" t="s">
        <v>15204</v>
      </c>
      <c r="S4304" s="36"/>
      <c r="T4304" s="35" t="str">
        <f>HYPERLINK("https://miland.ru/api/getInfo/image/17479257-6932-11f0-a283-00155d82e908")</f>
        <v>https://miland.ru/api/getInfo/image/17479257-6932-11f0-a283-00155d82e908</v>
      </c>
      <c r="U4304" s="35"/>
      <c r="V4304" s="35" t="s">
        <v>6525</v>
      </c>
      <c r="W4304" s="35" t="s">
        <v>7657</v>
      </c>
      <c r="X4304" s="35"/>
      <c r="Y4304" s="35" t="s">
        <v>41</v>
      </c>
      <c r="Z4304" s="35"/>
      <c r="AA4304" s="35" t="str">
        <f>HYPERLINK("https://miland.ru/api/getInfo/item/17479257-6932-11f0-a283-00155d82e908")</f>
        <v>https://miland.ru/api/getInfo/item/17479257-6932-11f0-a283-00155d82e908</v>
      </c>
      <c r="AB4304" s="35" t="s">
        <v>42</v>
      </c>
      <c r="AC4304" s="35"/>
      <c r="AD4304" s="35"/>
      <c r="AE4304" s="52" t="s">
        <v>1251</v>
      </c>
    </row>
    <row r="4305" spans="2:31" s="1" customFormat="1" ht="96.3" customHeight="1" outlineLevel="6">
      <c r="B4305" s="59">
        <v>3440</v>
      </c>
      <c r="C4305" s="35" t="s">
        <v>15205</v>
      </c>
      <c r="D4305" s="73" t="s">
        <v>15206</v>
      </c>
      <c r="E4305" s="73"/>
      <c r="F4305" s="73"/>
      <c r="G4305" s="73"/>
      <c r="H4305" s="36" t="s">
        <v>15207</v>
      </c>
      <c r="I4305" s="56" t="s">
        <v>36</v>
      </c>
      <c r="J4305" s="36"/>
      <c r="K4305" s="34">
        <v>12</v>
      </c>
      <c r="L4305" s="41">
        <v>80.773333333333326</v>
      </c>
      <c r="M4305" s="11"/>
      <c r="N4305" s="36">
        <f>L4305*M4305</f>
        <v>0</v>
      </c>
      <c r="O4305" s="61">
        <f>0.1*M4305</f>
        <v>0</v>
      </c>
      <c r="P4305" s="43">
        <f>0.00094*M4305</f>
        <v>0</v>
      </c>
      <c r="Q4305" s="50" t="s">
        <v>37</v>
      </c>
      <c r="R4305" s="36" t="s">
        <v>15208</v>
      </c>
      <c r="S4305" s="36"/>
      <c r="T4305" s="35" t="str">
        <f>HYPERLINK("https://miland.ru/api/getInfo/image/c2e12083-6931-11f0-a283-00155d82e908")</f>
        <v>https://miland.ru/api/getInfo/image/c2e12083-6931-11f0-a283-00155d82e908</v>
      </c>
      <c r="U4305" s="35"/>
      <c r="V4305" s="35" t="s">
        <v>6525</v>
      </c>
      <c r="W4305" s="35" t="s">
        <v>7657</v>
      </c>
      <c r="X4305" s="35"/>
      <c r="Y4305" s="35" t="s">
        <v>41</v>
      </c>
      <c r="Z4305" s="35"/>
      <c r="AA4305" s="35" t="str">
        <f>HYPERLINK("https://miland.ru/api/getInfo/item/c2e12083-6931-11f0-a283-00155d82e908")</f>
        <v>https://miland.ru/api/getInfo/item/c2e12083-6931-11f0-a283-00155d82e908</v>
      </c>
      <c r="AB4305" s="35" t="s">
        <v>42</v>
      </c>
      <c r="AC4305" s="35"/>
      <c r="AD4305" s="35"/>
      <c r="AE4305" s="52" t="s">
        <v>9152</v>
      </c>
    </row>
    <row r="4306" spans="2:31" ht="12" customHeight="1" outlineLevel="5">
      <c r="B4306" s="70" t="s">
        <v>15209</v>
      </c>
      <c r="C4306" s="70"/>
      <c r="D4306" s="70"/>
      <c r="E4306" s="70"/>
      <c r="F4306" s="70"/>
      <c r="G4306" s="70"/>
    </row>
    <row r="4307" spans="2:31" ht="12" customHeight="1" outlineLevel="6">
      <c r="B4307" s="70" t="s">
        <v>12999</v>
      </c>
      <c r="C4307" s="70"/>
      <c r="D4307" s="70"/>
      <c r="E4307" s="70"/>
      <c r="F4307" s="70"/>
      <c r="G4307" s="70"/>
    </row>
    <row r="4308" spans="2:31" s="1" customFormat="1" ht="96.3" customHeight="1" outlineLevel="7">
      <c r="B4308" s="58">
        <v>3441</v>
      </c>
      <c r="C4308" s="7" t="s">
        <v>15210</v>
      </c>
      <c r="D4308" s="71" t="s">
        <v>15211</v>
      </c>
      <c r="E4308" s="71"/>
      <c r="F4308" s="71"/>
      <c r="G4308" s="71"/>
      <c r="H4308" s="8" t="s">
        <v>15212</v>
      </c>
      <c r="I4308" s="9" t="s">
        <v>36</v>
      </c>
      <c r="J4308" s="8"/>
      <c r="K4308" s="6">
        <v>12</v>
      </c>
      <c r="L4308" s="10">
        <v>98.32</v>
      </c>
      <c r="M4308" s="11"/>
      <c r="N4308" s="8">
        <f>L4308*M4308</f>
        <v>0</v>
      </c>
      <c r="O4308" s="12">
        <f>0.125*M4308</f>
        <v>0</v>
      </c>
      <c r="P4308" s="13">
        <f>0.00075*M4308</f>
        <v>0</v>
      </c>
      <c r="Q4308" s="17" t="s">
        <v>37</v>
      </c>
      <c r="R4308" s="8" t="s">
        <v>15213</v>
      </c>
      <c r="S4308" s="8"/>
      <c r="T4308" s="7" t="str">
        <f>HYPERLINK("https://miland.ru/api/getInfo/image/d41c48da-7293-11f0-a284-00155d82e908")</f>
        <v>https://miland.ru/api/getInfo/image/d41c48da-7293-11f0-a284-00155d82e908</v>
      </c>
      <c r="U4308" s="7"/>
      <c r="V4308" s="7" t="s">
        <v>6525</v>
      </c>
      <c r="W4308" s="7" t="s">
        <v>7657</v>
      </c>
      <c r="X4308" s="7"/>
      <c r="Y4308" s="7" t="s">
        <v>41</v>
      </c>
      <c r="Z4308" s="7"/>
      <c r="AA4308" s="7" t="str">
        <f>HYPERLINK("https://miland.ru/api/getInfo/item/d41c48da-7293-11f0-a284-00155d82e908")</f>
        <v>https://miland.ru/api/getInfo/item/d41c48da-7293-11f0-a284-00155d82e908</v>
      </c>
      <c r="AB4308" s="7" t="s">
        <v>42</v>
      </c>
      <c r="AC4308" s="7"/>
      <c r="AD4308" s="7"/>
      <c r="AE4308" s="54"/>
    </row>
    <row r="4309" spans="2:31" s="1" customFormat="1" ht="96.3" customHeight="1" outlineLevel="7">
      <c r="B4309" s="58">
        <v>3442</v>
      </c>
      <c r="C4309" s="7" t="s">
        <v>15214</v>
      </c>
      <c r="D4309" s="71" t="s">
        <v>15215</v>
      </c>
      <c r="E4309" s="71"/>
      <c r="F4309" s="71"/>
      <c r="G4309" s="71"/>
      <c r="H4309" s="8" t="s">
        <v>15216</v>
      </c>
      <c r="I4309" s="9" t="s">
        <v>36</v>
      </c>
      <c r="J4309" s="8"/>
      <c r="K4309" s="6">
        <v>12</v>
      </c>
      <c r="L4309" s="10">
        <v>98.32</v>
      </c>
      <c r="M4309" s="11"/>
      <c r="N4309" s="8">
        <f>L4309*M4309</f>
        <v>0</v>
      </c>
      <c r="O4309" s="12">
        <f>0.126*M4309</f>
        <v>0</v>
      </c>
      <c r="P4309" s="13">
        <f>0.00075*M4309</f>
        <v>0</v>
      </c>
      <c r="Q4309" s="17" t="s">
        <v>37</v>
      </c>
      <c r="R4309" s="8" t="s">
        <v>15217</v>
      </c>
      <c r="S4309" s="8"/>
      <c r="T4309" s="7" t="str">
        <f>HYPERLINK("https://miland.ru/api/getInfo/image/fa79a9fd-7293-11f0-a284-00155d82e908")</f>
        <v>https://miland.ru/api/getInfo/image/fa79a9fd-7293-11f0-a284-00155d82e908</v>
      </c>
      <c r="U4309" s="7"/>
      <c r="V4309" s="7" t="s">
        <v>6525</v>
      </c>
      <c r="W4309" s="7" t="s">
        <v>7657</v>
      </c>
      <c r="X4309" s="7"/>
      <c r="Y4309" s="7" t="s">
        <v>41</v>
      </c>
      <c r="Z4309" s="7"/>
      <c r="AA4309" s="7" t="str">
        <f>HYPERLINK("https://miland.ru/api/getInfo/item/fa79a9fd-7293-11f0-a284-00155d82e908")</f>
        <v>https://miland.ru/api/getInfo/item/fa79a9fd-7293-11f0-a284-00155d82e908</v>
      </c>
      <c r="AB4309" s="7" t="s">
        <v>42</v>
      </c>
      <c r="AC4309" s="7"/>
      <c r="AD4309" s="7"/>
      <c r="AE4309" s="54"/>
    </row>
    <row r="4310" spans="2:31" ht="12" customHeight="1" outlineLevel="4">
      <c r="B4310" s="70" t="s">
        <v>15218</v>
      </c>
      <c r="C4310" s="70"/>
      <c r="D4310" s="70"/>
      <c r="E4310" s="70"/>
      <c r="F4310" s="70"/>
      <c r="G4310" s="70"/>
    </row>
    <row r="4311" spans="2:31" ht="12" customHeight="1" outlineLevel="5">
      <c r="B4311" s="70" t="s">
        <v>15219</v>
      </c>
      <c r="C4311" s="70"/>
      <c r="D4311" s="70"/>
      <c r="E4311" s="70"/>
      <c r="F4311" s="70"/>
      <c r="G4311" s="70"/>
    </row>
    <row r="4312" spans="2:31" s="1" customFormat="1" ht="96.3" customHeight="1" outlineLevel="6">
      <c r="B4312" s="58">
        <v>3443</v>
      </c>
      <c r="C4312" s="7" t="s">
        <v>15220</v>
      </c>
      <c r="D4312" s="71" t="s">
        <v>15221</v>
      </c>
      <c r="E4312" s="71"/>
      <c r="F4312" s="71"/>
      <c r="G4312" s="71"/>
      <c r="H4312" s="8" t="s">
        <v>15222</v>
      </c>
      <c r="I4312" s="9" t="s">
        <v>36</v>
      </c>
      <c r="J4312" s="8"/>
      <c r="K4312" s="6">
        <v>12</v>
      </c>
      <c r="L4312" s="10">
        <v>135.9</v>
      </c>
      <c r="M4312" s="11"/>
      <c r="N4312" s="8">
        <f>L4312*M4312</f>
        <v>0</v>
      </c>
      <c r="O4312" s="12">
        <f>0.164*M4312</f>
        <v>0</v>
      </c>
      <c r="P4312" s="13">
        <f>0.04253*M4312</f>
        <v>0</v>
      </c>
      <c r="Q4312" s="17" t="s">
        <v>37</v>
      </c>
      <c r="R4312" s="8" t="s">
        <v>15223</v>
      </c>
      <c r="S4312" s="8"/>
      <c r="T4312" s="7" t="str">
        <f>HYPERLINK("https://miland.ru/api/getInfo/image/4742c5fa-7294-11f0-a284-00155d82e908")</f>
        <v>https://miland.ru/api/getInfo/image/4742c5fa-7294-11f0-a284-00155d82e908</v>
      </c>
      <c r="U4312" s="7"/>
      <c r="V4312" s="7" t="s">
        <v>6525</v>
      </c>
      <c r="W4312" s="7" t="s">
        <v>7657</v>
      </c>
      <c r="X4312" s="7"/>
      <c r="Y4312" s="7" t="s">
        <v>41</v>
      </c>
      <c r="Z4312" s="7"/>
      <c r="AA4312" s="7" t="str">
        <f>HYPERLINK("https://miland.ru/api/getInfo/item/4742c5fa-7294-11f0-a284-00155d82e908")</f>
        <v>https://miland.ru/api/getInfo/item/4742c5fa-7294-11f0-a284-00155d82e908</v>
      </c>
      <c r="AB4312" s="7" t="s">
        <v>42</v>
      </c>
      <c r="AC4312" s="7"/>
      <c r="AD4312" s="7"/>
      <c r="AE4312" s="54"/>
    </row>
    <row r="4313" spans="2:31" s="1" customFormat="1" ht="96.3" customHeight="1" outlineLevel="6">
      <c r="B4313" s="58">
        <v>3444</v>
      </c>
      <c r="C4313" s="7" t="s">
        <v>15224</v>
      </c>
      <c r="D4313" s="71" t="s">
        <v>15225</v>
      </c>
      <c r="E4313" s="71"/>
      <c r="F4313" s="71"/>
      <c r="G4313" s="71"/>
      <c r="H4313" s="8" t="s">
        <v>15226</v>
      </c>
      <c r="I4313" s="9" t="s">
        <v>36</v>
      </c>
      <c r="J4313" s="8"/>
      <c r="K4313" s="6">
        <v>12</v>
      </c>
      <c r="L4313" s="10">
        <v>135.9</v>
      </c>
      <c r="M4313" s="11"/>
      <c r="N4313" s="8">
        <f>L4313*M4313</f>
        <v>0</v>
      </c>
      <c r="O4313" s="12">
        <f>0.161*M4313</f>
        <v>0</v>
      </c>
      <c r="P4313" s="13">
        <f>0.04253*M4313</f>
        <v>0</v>
      </c>
      <c r="Q4313" s="17" t="s">
        <v>37</v>
      </c>
      <c r="R4313" s="8" t="s">
        <v>15227</v>
      </c>
      <c r="S4313" s="8"/>
      <c r="T4313" s="7" t="str">
        <f>HYPERLINK("https://miland.ru/api/getInfo/image/30dcf16f-7294-11f0-a284-00155d82e908")</f>
        <v>https://miland.ru/api/getInfo/image/30dcf16f-7294-11f0-a284-00155d82e908</v>
      </c>
      <c r="U4313" s="7"/>
      <c r="V4313" s="7" t="s">
        <v>6525</v>
      </c>
      <c r="W4313" s="7" t="s">
        <v>7657</v>
      </c>
      <c r="X4313" s="7"/>
      <c r="Y4313" s="7" t="s">
        <v>41</v>
      </c>
      <c r="Z4313" s="7"/>
      <c r="AA4313" s="7" t="str">
        <f>HYPERLINK("https://miland.ru/api/getInfo/item/30dcf16f-7294-11f0-a284-00155d82e908")</f>
        <v>https://miland.ru/api/getInfo/item/30dcf16f-7294-11f0-a284-00155d82e908</v>
      </c>
      <c r="AB4313" s="7" t="s">
        <v>42</v>
      </c>
      <c r="AC4313" s="7"/>
      <c r="AD4313" s="7"/>
      <c r="AE4313" s="54"/>
    </row>
    <row r="4314" spans="2:31" s="1" customFormat="1" ht="96.3" customHeight="1" outlineLevel="6">
      <c r="B4314" s="57">
        <v>3445</v>
      </c>
      <c r="C4314" s="21" t="s">
        <v>15228</v>
      </c>
      <c r="D4314" s="72" t="s">
        <v>15229</v>
      </c>
      <c r="E4314" s="72"/>
      <c r="F4314" s="72"/>
      <c r="G4314" s="72"/>
      <c r="H4314" s="22" t="s">
        <v>15230</v>
      </c>
      <c r="I4314" s="27">
        <v>336</v>
      </c>
      <c r="J4314" s="22"/>
      <c r="K4314" s="20">
        <v>12</v>
      </c>
      <c r="L4314" s="24">
        <v>135.9</v>
      </c>
      <c r="M4314" s="11"/>
      <c r="N4314" s="22">
        <f>L4314*M4314</f>
        <v>0</v>
      </c>
      <c r="O4314" s="25">
        <f>0.173*M4314</f>
        <v>0</v>
      </c>
      <c r="P4314" s="26">
        <f>0.00105*M4314</f>
        <v>0</v>
      </c>
      <c r="Q4314" s="30"/>
      <c r="R4314" s="22" t="s">
        <v>15231</v>
      </c>
      <c r="S4314" s="22" t="s">
        <v>435</v>
      </c>
      <c r="T4314" s="21" t="str">
        <f>HYPERLINK("https://miland.ru/api/getInfo/image/4972176d-5ec9-11ef-a262-00155d82e908")</f>
        <v>https://miland.ru/api/getInfo/image/4972176d-5ec9-11ef-a262-00155d82e908</v>
      </c>
      <c r="U4314" s="21"/>
      <c r="V4314" s="21" t="s">
        <v>6525</v>
      </c>
      <c r="W4314" s="21" t="s">
        <v>378</v>
      </c>
      <c r="X4314" s="21"/>
      <c r="Y4314" s="21" t="s">
        <v>41</v>
      </c>
      <c r="Z4314" s="21"/>
      <c r="AA4314" s="21" t="str">
        <f>HYPERLINK("https://miland.ru/api/getInfo/item/4972176d-5ec9-11ef-a262-00155d82e908")</f>
        <v>https://miland.ru/api/getInfo/item/4972176d-5ec9-11ef-a262-00155d82e908</v>
      </c>
      <c r="AB4314" s="21" t="s">
        <v>42</v>
      </c>
      <c r="AC4314" s="21" t="s">
        <v>15232</v>
      </c>
      <c r="AD4314" s="21"/>
    </row>
    <row r="4315" spans="2:31" ht="12" customHeight="1" outlineLevel="5">
      <c r="B4315" s="70" t="s">
        <v>15233</v>
      </c>
      <c r="C4315" s="70"/>
      <c r="D4315" s="70"/>
      <c r="E4315" s="70"/>
      <c r="F4315" s="70"/>
      <c r="G4315" s="70"/>
    </row>
    <row r="4316" spans="2:31" s="1" customFormat="1" ht="96.3" customHeight="1" outlineLevel="6">
      <c r="B4316" s="58">
        <v>3446</v>
      </c>
      <c r="C4316" s="7" t="s">
        <v>15234</v>
      </c>
      <c r="D4316" s="71" t="s">
        <v>15235</v>
      </c>
      <c r="E4316" s="71"/>
      <c r="F4316" s="71"/>
      <c r="G4316" s="71"/>
      <c r="H4316" s="8" t="s">
        <v>15236</v>
      </c>
      <c r="I4316" s="9" t="s">
        <v>36</v>
      </c>
      <c r="J4316" s="8"/>
      <c r="K4316" s="6">
        <v>12</v>
      </c>
      <c r="L4316" s="10">
        <v>182.75</v>
      </c>
      <c r="M4316" s="11"/>
      <c r="N4316" s="8">
        <f>L4316*M4316</f>
        <v>0</v>
      </c>
      <c r="O4316" s="12">
        <f>0.267*M4316</f>
        <v>0</v>
      </c>
      <c r="P4316" s="13">
        <f>0.00144*M4316</f>
        <v>0</v>
      </c>
      <c r="Q4316" s="17" t="s">
        <v>37</v>
      </c>
      <c r="R4316" s="8" t="s">
        <v>15237</v>
      </c>
      <c r="S4316" s="8"/>
      <c r="T4316" s="7" t="str">
        <f>HYPERLINK("https://miland.ru/api/getInfo/image/9982619f-7294-11f0-a284-00155d82e908")</f>
        <v>https://miland.ru/api/getInfo/image/9982619f-7294-11f0-a284-00155d82e908</v>
      </c>
      <c r="U4316" s="7"/>
      <c r="V4316" s="7" t="s">
        <v>6525</v>
      </c>
      <c r="W4316" s="7" t="s">
        <v>7657</v>
      </c>
      <c r="X4316" s="7"/>
      <c r="Y4316" s="7" t="s">
        <v>41</v>
      </c>
      <c r="Z4316" s="7"/>
      <c r="AA4316" s="7" t="str">
        <f>HYPERLINK("https://miland.ru/api/getInfo/item/9982619f-7294-11f0-a284-00155d82e908")</f>
        <v>https://miland.ru/api/getInfo/item/9982619f-7294-11f0-a284-00155d82e908</v>
      </c>
      <c r="AB4316" s="7" t="s">
        <v>42</v>
      </c>
      <c r="AC4316" s="7"/>
      <c r="AD4316" s="7"/>
      <c r="AE4316" s="54"/>
    </row>
    <row r="4317" spans="2:31" s="1" customFormat="1" ht="96.3" customHeight="1" outlineLevel="6">
      <c r="B4317" s="58">
        <v>3447</v>
      </c>
      <c r="C4317" s="7" t="s">
        <v>15238</v>
      </c>
      <c r="D4317" s="71" t="s">
        <v>15239</v>
      </c>
      <c r="E4317" s="71"/>
      <c r="F4317" s="71"/>
      <c r="G4317" s="71"/>
      <c r="H4317" s="8" t="s">
        <v>15240</v>
      </c>
      <c r="I4317" s="9" t="s">
        <v>36</v>
      </c>
      <c r="J4317" s="8"/>
      <c r="K4317" s="6">
        <v>12</v>
      </c>
      <c r="L4317" s="10">
        <v>182.75</v>
      </c>
      <c r="M4317" s="11"/>
      <c r="N4317" s="8">
        <f>L4317*M4317</f>
        <v>0</v>
      </c>
      <c r="O4317" s="18">
        <f>0.26*M4317</f>
        <v>0</v>
      </c>
      <c r="P4317" s="13">
        <f>0.00144*M4317</f>
        <v>0</v>
      </c>
      <c r="Q4317" s="17" t="s">
        <v>37</v>
      </c>
      <c r="R4317" s="8" t="s">
        <v>15241</v>
      </c>
      <c r="S4317" s="8"/>
      <c r="T4317" s="7" t="str">
        <f>HYPERLINK("https://miland.ru/api/getInfo/image/be97aab7-7294-11f0-a284-00155d82e908")</f>
        <v>https://miland.ru/api/getInfo/image/be97aab7-7294-11f0-a284-00155d82e908</v>
      </c>
      <c r="U4317" s="7"/>
      <c r="V4317" s="7" t="s">
        <v>6525</v>
      </c>
      <c r="W4317" s="7" t="s">
        <v>7657</v>
      </c>
      <c r="X4317" s="7"/>
      <c r="Y4317" s="7" t="s">
        <v>41</v>
      </c>
      <c r="Z4317" s="7"/>
      <c r="AA4317" s="7" t="str">
        <f>HYPERLINK("https://miland.ru/api/getInfo/item/be97aab7-7294-11f0-a284-00155d82e908")</f>
        <v>https://miland.ru/api/getInfo/item/be97aab7-7294-11f0-a284-00155d82e908</v>
      </c>
      <c r="AB4317" s="7" t="s">
        <v>42</v>
      </c>
      <c r="AC4317" s="7"/>
      <c r="AD4317" s="7"/>
      <c r="AE4317" s="54"/>
    </row>
    <row r="4318" spans="2:31" ht="12" customHeight="1" outlineLevel="5">
      <c r="B4318" s="70" t="s">
        <v>15242</v>
      </c>
      <c r="C4318" s="70"/>
      <c r="D4318" s="70"/>
      <c r="E4318" s="70"/>
      <c r="F4318" s="70"/>
      <c r="G4318" s="70"/>
    </row>
    <row r="4319" spans="2:31" s="1" customFormat="1" ht="96.3" customHeight="1" outlineLevel="6">
      <c r="B4319" s="58">
        <v>3448</v>
      </c>
      <c r="C4319" s="7" t="s">
        <v>15243</v>
      </c>
      <c r="D4319" s="71" t="s">
        <v>15244</v>
      </c>
      <c r="E4319" s="71"/>
      <c r="F4319" s="71"/>
      <c r="G4319" s="71"/>
      <c r="H4319" s="8" t="s">
        <v>15245</v>
      </c>
      <c r="I4319" s="9" t="s">
        <v>36</v>
      </c>
      <c r="J4319" s="8"/>
      <c r="K4319" s="6">
        <v>12</v>
      </c>
      <c r="L4319" s="10">
        <v>136.44</v>
      </c>
      <c r="M4319" s="11"/>
      <c r="N4319" s="8">
        <f>L4319*M4319</f>
        <v>0</v>
      </c>
      <c r="O4319" s="12">
        <f>0.198*M4319</f>
        <v>0</v>
      </c>
      <c r="P4319" s="13">
        <f>0.00095*M4319</f>
        <v>0</v>
      </c>
      <c r="Q4319" s="17" t="s">
        <v>37</v>
      </c>
      <c r="R4319" s="8" t="s">
        <v>15246</v>
      </c>
      <c r="S4319" s="8"/>
      <c r="T4319" s="7" t="str">
        <f>HYPERLINK("https://miland.ru/api/getInfo/image/875233d2-7294-11f0-a284-00155d82e908")</f>
        <v>https://miland.ru/api/getInfo/image/875233d2-7294-11f0-a284-00155d82e908</v>
      </c>
      <c r="U4319" s="7"/>
      <c r="V4319" s="7" t="s">
        <v>6525</v>
      </c>
      <c r="W4319" s="7" t="s">
        <v>7657</v>
      </c>
      <c r="X4319" s="7"/>
      <c r="Y4319" s="7" t="s">
        <v>41</v>
      </c>
      <c r="Z4319" s="7"/>
      <c r="AA4319" s="7" t="str">
        <f>HYPERLINK("https://miland.ru/api/getInfo/item/875233d2-7294-11f0-a284-00155d82e908")</f>
        <v>https://miland.ru/api/getInfo/item/875233d2-7294-11f0-a284-00155d82e908</v>
      </c>
      <c r="AB4319" s="7" t="s">
        <v>42</v>
      </c>
      <c r="AC4319" s="7"/>
      <c r="AD4319" s="7"/>
      <c r="AE4319" s="54"/>
    </row>
    <row r="4320" spans="2:31" s="1" customFormat="1" ht="96.3" customHeight="1" outlineLevel="6">
      <c r="B4320" s="58">
        <v>3449</v>
      </c>
      <c r="C4320" s="7" t="s">
        <v>15247</v>
      </c>
      <c r="D4320" s="71" t="s">
        <v>15248</v>
      </c>
      <c r="E4320" s="71"/>
      <c r="F4320" s="71"/>
      <c r="G4320" s="71"/>
      <c r="H4320" s="8" t="s">
        <v>15249</v>
      </c>
      <c r="I4320" s="9" t="s">
        <v>36</v>
      </c>
      <c r="J4320" s="8"/>
      <c r="K4320" s="6">
        <v>12</v>
      </c>
      <c r="L4320" s="10">
        <v>136.44</v>
      </c>
      <c r="M4320" s="11"/>
      <c r="N4320" s="8">
        <f>L4320*M4320</f>
        <v>0</v>
      </c>
      <c r="O4320" s="12">
        <f>0.197*M4320</f>
        <v>0</v>
      </c>
      <c r="P4320" s="13">
        <f>0.00119*M4320</f>
        <v>0</v>
      </c>
      <c r="Q4320" s="17" t="s">
        <v>37</v>
      </c>
      <c r="R4320" s="8" t="s">
        <v>15250</v>
      </c>
      <c r="S4320" s="8"/>
      <c r="T4320" s="7" t="str">
        <f>HYPERLINK("https://miland.ru/api/getInfo/image/6dcf9457-7294-11f0-a284-00155d82e908")</f>
        <v>https://miland.ru/api/getInfo/image/6dcf9457-7294-11f0-a284-00155d82e908</v>
      </c>
      <c r="U4320" s="7"/>
      <c r="V4320" s="7" t="s">
        <v>6525</v>
      </c>
      <c r="W4320" s="7" t="s">
        <v>7657</v>
      </c>
      <c r="X4320" s="7"/>
      <c r="Y4320" s="7" t="s">
        <v>41</v>
      </c>
      <c r="Z4320" s="7"/>
      <c r="AA4320" s="7" t="str">
        <f>HYPERLINK("https://miland.ru/api/getInfo/item/6dcf9457-7294-11f0-a284-00155d82e908")</f>
        <v>https://miland.ru/api/getInfo/item/6dcf9457-7294-11f0-a284-00155d82e908</v>
      </c>
      <c r="AB4320" s="7" t="s">
        <v>42</v>
      </c>
      <c r="AC4320" s="7"/>
      <c r="AD4320" s="7"/>
      <c r="AE4320" s="54"/>
    </row>
    <row r="4321" spans="2:31" ht="12" customHeight="1" outlineLevel="4">
      <c r="B4321" s="70" t="s">
        <v>15251</v>
      </c>
      <c r="C4321" s="70"/>
      <c r="D4321" s="70"/>
      <c r="E4321" s="70"/>
      <c r="F4321" s="70"/>
      <c r="G4321" s="70"/>
    </row>
    <row r="4322" spans="2:31" s="1" customFormat="1" ht="33" customHeight="1" outlineLevel="5">
      <c r="B4322" s="57">
        <v>3450</v>
      </c>
      <c r="C4322" s="21" t="s">
        <v>15252</v>
      </c>
      <c r="D4322" s="72" t="s">
        <v>15253</v>
      </c>
      <c r="E4322" s="72"/>
      <c r="F4322" s="72"/>
      <c r="G4322" s="72"/>
      <c r="H4322" s="22"/>
      <c r="I4322" s="27">
        <v>360</v>
      </c>
      <c r="J4322" s="22"/>
      <c r="K4322" s="20">
        <v>120</v>
      </c>
      <c r="L4322" s="24">
        <v>28.19</v>
      </c>
      <c r="M4322" s="11"/>
      <c r="N4322" s="22">
        <f>L4322*M4322</f>
        <v>0</v>
      </c>
      <c r="O4322" s="25">
        <f>0.023*M4322</f>
        <v>0</v>
      </c>
      <c r="P4322" s="26">
        <f>0.00009*M4322</f>
        <v>0</v>
      </c>
      <c r="Q4322" s="30"/>
      <c r="R4322" s="22"/>
      <c r="S4322" s="22"/>
      <c r="T4322" s="21"/>
      <c r="U4322" s="21"/>
      <c r="V4322" s="21"/>
      <c r="W4322" s="21"/>
      <c r="X4322" s="21"/>
      <c r="Y4322" s="21" t="s">
        <v>41</v>
      </c>
      <c r="Z4322" s="21"/>
      <c r="AA4322" s="21"/>
      <c r="AB4322" s="21" t="s">
        <v>42</v>
      </c>
      <c r="AC4322" s="21"/>
      <c r="AD4322" s="21" t="s">
        <v>15254</v>
      </c>
    </row>
    <row r="4323" spans="2:31" s="1" customFormat="1" ht="33" customHeight="1" outlineLevel="5">
      <c r="B4323" s="57">
        <v>3451</v>
      </c>
      <c r="C4323" s="21" t="s">
        <v>15255</v>
      </c>
      <c r="D4323" s="72" t="s">
        <v>15256</v>
      </c>
      <c r="E4323" s="72"/>
      <c r="F4323" s="72"/>
      <c r="G4323" s="72"/>
      <c r="H4323" s="22"/>
      <c r="I4323" s="27">
        <v>120</v>
      </c>
      <c r="J4323" s="22"/>
      <c r="K4323" s="20">
        <v>120</v>
      </c>
      <c r="L4323" s="24">
        <v>57.42</v>
      </c>
      <c r="M4323" s="11"/>
      <c r="N4323" s="22">
        <f>L4323*M4323</f>
        <v>0</v>
      </c>
      <c r="O4323" s="25">
        <f>0.058*M4323</f>
        <v>0</v>
      </c>
      <c r="P4323" s="26">
        <f>0.00069*M4323</f>
        <v>0</v>
      </c>
      <c r="Q4323" s="30"/>
      <c r="R4323" s="22"/>
      <c r="S4323" s="22"/>
      <c r="T4323" s="21"/>
      <c r="U4323" s="21"/>
      <c r="V4323" s="21"/>
      <c r="W4323" s="21"/>
      <c r="X4323" s="21"/>
      <c r="Y4323" s="21" t="s">
        <v>41</v>
      </c>
      <c r="Z4323" s="21"/>
      <c r="AA4323" s="21"/>
      <c r="AB4323" s="21" t="s">
        <v>42</v>
      </c>
      <c r="AC4323" s="21"/>
      <c r="AD4323" s="21" t="s">
        <v>15257</v>
      </c>
    </row>
    <row r="4324" spans="2:31" s="1" customFormat="1" ht="33" customHeight="1" outlineLevel="5">
      <c r="B4324" s="57">
        <v>3452</v>
      </c>
      <c r="C4324" s="21" t="s">
        <v>15258</v>
      </c>
      <c r="D4324" s="72" t="s">
        <v>15259</v>
      </c>
      <c r="E4324" s="72"/>
      <c r="F4324" s="72"/>
      <c r="G4324" s="72"/>
      <c r="H4324" s="22"/>
      <c r="I4324" s="27">
        <v>120</v>
      </c>
      <c r="J4324" s="22"/>
      <c r="K4324" s="20">
        <v>120</v>
      </c>
      <c r="L4324" s="24">
        <v>57.42</v>
      </c>
      <c r="M4324" s="11"/>
      <c r="N4324" s="22">
        <f>L4324*M4324</f>
        <v>0</v>
      </c>
      <c r="O4324" s="25">
        <f>0.055*M4324</f>
        <v>0</v>
      </c>
      <c r="P4324" s="26">
        <f>0.00069*M4324</f>
        <v>0</v>
      </c>
      <c r="Q4324" s="30"/>
      <c r="R4324" s="22"/>
      <c r="S4324" s="22"/>
      <c r="T4324" s="21"/>
      <c r="U4324" s="21"/>
      <c r="V4324" s="21"/>
      <c r="W4324" s="21"/>
      <c r="X4324" s="21"/>
      <c r="Y4324" s="21" t="s">
        <v>41</v>
      </c>
      <c r="Z4324" s="21"/>
      <c r="AA4324" s="21"/>
      <c r="AB4324" s="21" t="s">
        <v>42</v>
      </c>
      <c r="AC4324" s="21"/>
      <c r="AD4324" s="21" t="s">
        <v>15260</v>
      </c>
    </row>
    <row r="4325" spans="2:31" s="1" customFormat="1" ht="33" customHeight="1" outlineLevel="5">
      <c r="B4325" s="57">
        <v>3453</v>
      </c>
      <c r="C4325" s="21" t="s">
        <v>15261</v>
      </c>
      <c r="D4325" s="72" t="s">
        <v>15262</v>
      </c>
      <c r="E4325" s="72"/>
      <c r="F4325" s="72"/>
      <c r="G4325" s="72"/>
      <c r="H4325" s="22"/>
      <c r="I4325" s="27">
        <v>240</v>
      </c>
      <c r="J4325" s="22"/>
      <c r="K4325" s="20">
        <v>24</v>
      </c>
      <c r="L4325" s="24">
        <v>27.16</v>
      </c>
      <c r="M4325" s="11"/>
      <c r="N4325" s="22">
        <f>L4325*M4325</f>
        <v>0</v>
      </c>
      <c r="O4325" s="25">
        <f>0.017*M4325</f>
        <v>0</v>
      </c>
      <c r="P4325" s="29">
        <f>0.0001*M4325</f>
        <v>0</v>
      </c>
      <c r="Q4325" s="30"/>
      <c r="R4325" s="22"/>
      <c r="S4325" s="22"/>
      <c r="T4325" s="21"/>
      <c r="U4325" s="21"/>
      <c r="V4325" s="21"/>
      <c r="W4325" s="21"/>
      <c r="X4325" s="21"/>
      <c r="Y4325" s="21" t="s">
        <v>41</v>
      </c>
      <c r="Z4325" s="21"/>
      <c r="AA4325" s="21"/>
      <c r="AB4325" s="21" t="s">
        <v>42</v>
      </c>
      <c r="AC4325" s="21"/>
      <c r="AD4325" s="21" t="s">
        <v>15263</v>
      </c>
    </row>
    <row r="4326" spans="2:31" ht="12" customHeight="1" outlineLevel="3">
      <c r="B4326" s="70" t="s">
        <v>7831</v>
      </c>
      <c r="C4326" s="70"/>
      <c r="D4326" s="70"/>
      <c r="E4326" s="70"/>
      <c r="F4326" s="70"/>
      <c r="G4326" s="70"/>
    </row>
    <row r="4327" spans="2:31" ht="12" customHeight="1" outlineLevel="4">
      <c r="B4327" s="70" t="s">
        <v>15264</v>
      </c>
      <c r="C4327" s="70"/>
      <c r="D4327" s="70"/>
      <c r="E4327" s="70"/>
      <c r="F4327" s="70"/>
      <c r="G4327" s="70"/>
    </row>
    <row r="4328" spans="2:31" ht="12" customHeight="1" outlineLevel="5">
      <c r="B4328" s="70" t="s">
        <v>15265</v>
      </c>
      <c r="C4328" s="70"/>
      <c r="D4328" s="70"/>
      <c r="E4328" s="70"/>
      <c r="F4328" s="70"/>
      <c r="G4328" s="70"/>
    </row>
    <row r="4329" spans="2:31" s="1" customFormat="1" ht="96.3" customHeight="1" outlineLevel="6">
      <c r="B4329" s="57">
        <v>3454</v>
      </c>
      <c r="C4329" s="21" t="s">
        <v>15266</v>
      </c>
      <c r="D4329" s="72" t="s">
        <v>15267</v>
      </c>
      <c r="E4329" s="72"/>
      <c r="F4329" s="72"/>
      <c r="G4329" s="72"/>
      <c r="H4329" s="22" t="s">
        <v>15268</v>
      </c>
      <c r="I4329" s="23" t="s">
        <v>36</v>
      </c>
      <c r="J4329" s="22"/>
      <c r="K4329" s="20">
        <v>100</v>
      </c>
      <c r="L4329" s="24">
        <v>4.4800000000000004</v>
      </c>
      <c r="M4329" s="11"/>
      <c r="N4329" s="22">
        <f>L4329*M4329</f>
        <v>0</v>
      </c>
      <c r="O4329" s="25">
        <f>0.018*M4329</f>
        <v>0</v>
      </c>
      <c r="P4329" s="26">
        <f>0.00018*M4329</f>
        <v>0</v>
      </c>
      <c r="Q4329" s="30"/>
      <c r="R4329" s="22" t="s">
        <v>15269</v>
      </c>
      <c r="S4329" s="22"/>
      <c r="T4329" s="21" t="str">
        <f>HYPERLINK("https://miland.ru/api/getInfo/image/37f54502-a06c-11ed-a22f-00155d82e902")</f>
        <v>https://miland.ru/api/getInfo/image/37f54502-a06c-11ed-a22f-00155d82e902</v>
      </c>
      <c r="U4329" s="21"/>
      <c r="V4329" s="21" t="s">
        <v>7848</v>
      </c>
      <c r="W4329" s="21" t="s">
        <v>408</v>
      </c>
      <c r="X4329" s="21"/>
      <c r="Y4329" s="21" t="s">
        <v>41</v>
      </c>
      <c r="Z4329" s="21"/>
      <c r="AA4329" s="21" t="str">
        <f>HYPERLINK("https://miland.ru/api/getInfo/item/37f54502-a06c-11ed-a22f-00155d82e902")</f>
        <v>https://miland.ru/api/getInfo/item/37f54502-a06c-11ed-a22f-00155d82e902</v>
      </c>
      <c r="AB4329" s="21" t="s">
        <v>50</v>
      </c>
      <c r="AC4329" s="21" t="s">
        <v>15270</v>
      </c>
      <c r="AD4329" s="21"/>
    </row>
    <row r="4330" spans="2:31" s="1" customFormat="1" ht="96.3" customHeight="1" outlineLevel="6">
      <c r="B4330" s="57">
        <v>3455</v>
      </c>
      <c r="C4330" s="21" t="s">
        <v>15271</v>
      </c>
      <c r="D4330" s="72" t="s">
        <v>15272</v>
      </c>
      <c r="E4330" s="72"/>
      <c r="F4330" s="72"/>
      <c r="G4330" s="72"/>
      <c r="H4330" s="22" t="s">
        <v>15273</v>
      </c>
      <c r="I4330" s="23" t="s">
        <v>36</v>
      </c>
      <c r="J4330" s="22"/>
      <c r="K4330" s="20">
        <v>100</v>
      </c>
      <c r="L4330" s="24">
        <v>4.4800000000000004</v>
      </c>
      <c r="M4330" s="11"/>
      <c r="N4330" s="22">
        <f>L4330*M4330</f>
        <v>0</v>
      </c>
      <c r="O4330" s="25">
        <f>0.027*M4330</f>
        <v>0</v>
      </c>
      <c r="P4330" s="26">
        <f>0.00005*M4330</f>
        <v>0</v>
      </c>
      <c r="Q4330" s="30"/>
      <c r="R4330" s="22" t="s">
        <v>15274</v>
      </c>
      <c r="S4330" s="22"/>
      <c r="T4330" s="21" t="str">
        <f>HYPERLINK("https://miland.ru/api/getInfo/image/2296d31c-a026-11ef-a267-00155d82e908")</f>
        <v>https://miland.ru/api/getInfo/image/2296d31c-a026-11ef-a267-00155d82e908</v>
      </c>
      <c r="U4330" s="21"/>
      <c r="V4330" s="21" t="s">
        <v>7848</v>
      </c>
      <c r="W4330" s="21" t="s">
        <v>408</v>
      </c>
      <c r="X4330" s="21"/>
      <c r="Y4330" s="21" t="s">
        <v>41</v>
      </c>
      <c r="Z4330" s="21"/>
      <c r="AA4330" s="21" t="str">
        <f>HYPERLINK("https://miland.ru/api/getInfo/item/2296d31c-a026-11ef-a267-00155d82e908")</f>
        <v>https://miland.ru/api/getInfo/item/2296d31c-a026-11ef-a267-00155d82e908</v>
      </c>
      <c r="AB4330" s="21" t="s">
        <v>50</v>
      </c>
      <c r="AC4330" s="21" t="s">
        <v>15275</v>
      </c>
      <c r="AD4330" s="21"/>
    </row>
    <row r="4331" spans="2:31" s="1" customFormat="1" ht="96.3" customHeight="1" outlineLevel="6">
      <c r="B4331" s="57">
        <v>3456</v>
      </c>
      <c r="C4331" s="21" t="s">
        <v>15276</v>
      </c>
      <c r="D4331" s="72" t="s">
        <v>15277</v>
      </c>
      <c r="E4331" s="72"/>
      <c r="F4331" s="72"/>
      <c r="G4331" s="72"/>
      <c r="H4331" s="22" t="s">
        <v>15278</v>
      </c>
      <c r="I4331" s="27">
        <v>100</v>
      </c>
      <c r="J4331" s="22"/>
      <c r="K4331" s="20">
        <v>100</v>
      </c>
      <c r="L4331" s="24">
        <v>4.4800000000000004</v>
      </c>
      <c r="M4331" s="11"/>
      <c r="N4331" s="22">
        <f>L4331*M4331</f>
        <v>0</v>
      </c>
      <c r="O4331" s="25">
        <f>0.002*M4331</f>
        <v>0</v>
      </c>
      <c r="P4331" s="26">
        <f>0.00005*M4331</f>
        <v>0</v>
      </c>
      <c r="Q4331" s="30"/>
      <c r="R4331" s="22" t="s">
        <v>15279</v>
      </c>
      <c r="S4331" s="22"/>
      <c r="T4331" s="21" t="str">
        <f>HYPERLINK("https://miland.ru/api/getInfo/image/a22dfb55-2e76-11ed-a216-ac1f6b442185")</f>
        <v>https://miland.ru/api/getInfo/image/a22dfb55-2e76-11ed-a216-ac1f6b442185</v>
      </c>
      <c r="U4331" s="21"/>
      <c r="V4331" s="21" t="s">
        <v>7848</v>
      </c>
      <c r="W4331" s="21" t="s">
        <v>408</v>
      </c>
      <c r="X4331" s="21"/>
      <c r="Y4331" s="21" t="s">
        <v>41</v>
      </c>
      <c r="Z4331" s="21"/>
      <c r="AA4331" s="21" t="str">
        <f>HYPERLINK("https://miland.ru/api/getInfo/item/a22dfb55-2e76-11ed-a216-ac1f6b442185")</f>
        <v>https://miland.ru/api/getInfo/item/a22dfb55-2e76-11ed-a216-ac1f6b442185</v>
      </c>
      <c r="AB4331" s="21" t="s">
        <v>50</v>
      </c>
      <c r="AC4331" s="21" t="s">
        <v>15275</v>
      </c>
      <c r="AD4331" s="21"/>
    </row>
    <row r="4332" spans="2:31" ht="12" customHeight="1" outlineLevel="5">
      <c r="B4332" s="70" t="s">
        <v>15280</v>
      </c>
      <c r="C4332" s="70"/>
      <c r="D4332" s="70"/>
      <c r="E4332" s="70"/>
      <c r="F4332" s="70"/>
      <c r="G4332" s="70"/>
    </row>
    <row r="4333" spans="2:31" s="1" customFormat="1" ht="96.3" customHeight="1" outlineLevel="6">
      <c r="B4333" s="57">
        <v>3457</v>
      </c>
      <c r="C4333" s="21" t="s">
        <v>15281</v>
      </c>
      <c r="D4333" s="72" t="s">
        <v>15282</v>
      </c>
      <c r="E4333" s="72"/>
      <c r="F4333" s="72"/>
      <c r="G4333" s="72"/>
      <c r="H4333" s="22" t="s">
        <v>15283</v>
      </c>
      <c r="I4333" s="23" t="s">
        <v>36</v>
      </c>
      <c r="J4333" s="22"/>
      <c r="K4333" s="20">
        <v>100</v>
      </c>
      <c r="L4333" s="24">
        <v>5.37</v>
      </c>
      <c r="M4333" s="11"/>
      <c r="N4333" s="22">
        <f t="shared" ref="N4333:N4352" si="218">L4333*M4333</f>
        <v>0</v>
      </c>
      <c r="O4333" s="25">
        <f>0.003*M4333</f>
        <v>0</v>
      </c>
      <c r="P4333" s="26">
        <f>0.00012*M4333</f>
        <v>0</v>
      </c>
      <c r="Q4333" s="30"/>
      <c r="R4333" s="22" t="s">
        <v>15284</v>
      </c>
      <c r="S4333" s="22"/>
      <c r="T4333" s="21" t="str">
        <f>HYPERLINK("https://miland.ru/api/getInfo/image/a9a2c35b-1460-11f0-a279-00155d82e908")</f>
        <v>https://miland.ru/api/getInfo/image/a9a2c35b-1460-11f0-a279-00155d82e908</v>
      </c>
      <c r="U4333" s="21"/>
      <c r="V4333" s="21" t="s">
        <v>7848</v>
      </c>
      <c r="W4333" s="21" t="s">
        <v>408</v>
      </c>
      <c r="X4333" s="21"/>
      <c r="Y4333" s="21" t="s">
        <v>41</v>
      </c>
      <c r="Z4333" s="21"/>
      <c r="AA4333" s="21" t="str">
        <f>HYPERLINK("https://miland.ru/api/getInfo/item/a9a2c35b-1460-11f0-a279-00155d82e908")</f>
        <v>https://miland.ru/api/getInfo/item/a9a2c35b-1460-11f0-a279-00155d82e908</v>
      </c>
      <c r="AB4333" s="21" t="s">
        <v>50</v>
      </c>
      <c r="AC4333" s="21"/>
      <c r="AD4333" s="21"/>
    </row>
    <row r="4334" spans="2:31" s="1" customFormat="1" ht="96.3" customHeight="1" outlineLevel="6">
      <c r="B4334" s="57">
        <v>3458</v>
      </c>
      <c r="C4334" s="21" t="s">
        <v>15285</v>
      </c>
      <c r="D4334" s="72" t="s">
        <v>15286</v>
      </c>
      <c r="E4334" s="72"/>
      <c r="F4334" s="72"/>
      <c r="G4334" s="72"/>
      <c r="H4334" s="22" t="s">
        <v>15287</v>
      </c>
      <c r="I4334" s="23" t="s">
        <v>36</v>
      </c>
      <c r="J4334" s="22"/>
      <c r="K4334" s="20">
        <v>100</v>
      </c>
      <c r="L4334" s="24">
        <v>5.25</v>
      </c>
      <c r="M4334" s="11"/>
      <c r="N4334" s="22">
        <f t="shared" si="218"/>
        <v>0</v>
      </c>
      <c r="O4334" s="25">
        <f>0.003*M4334</f>
        <v>0</v>
      </c>
      <c r="P4334" s="26">
        <f>0.00006*M4334</f>
        <v>0</v>
      </c>
      <c r="Q4334" s="30"/>
      <c r="R4334" s="22" t="s">
        <v>15288</v>
      </c>
      <c r="S4334" s="22"/>
      <c r="T4334" s="21" t="str">
        <f>HYPERLINK("https://miland.ru/api/getInfo/image/95a28021-01b9-11ec-a20e-ac1f6b442185")</f>
        <v>https://miland.ru/api/getInfo/image/95a28021-01b9-11ec-a20e-ac1f6b442185</v>
      </c>
      <c r="U4334" s="21"/>
      <c r="V4334" s="21" t="s">
        <v>7848</v>
      </c>
      <c r="W4334" s="21" t="s">
        <v>408</v>
      </c>
      <c r="X4334" s="21"/>
      <c r="Y4334" s="21" t="s">
        <v>41</v>
      </c>
      <c r="Z4334" s="21"/>
      <c r="AA4334" s="21" t="str">
        <f>HYPERLINK("https://miland.ru/api/getInfo/item/95a28021-01b9-11ec-a20e-ac1f6b442185")</f>
        <v>https://miland.ru/api/getInfo/item/95a28021-01b9-11ec-a20e-ac1f6b442185</v>
      </c>
      <c r="AB4334" s="21" t="s">
        <v>50</v>
      </c>
      <c r="AC4334" s="21" t="s">
        <v>15289</v>
      </c>
      <c r="AD4334" s="21"/>
    </row>
    <row r="4335" spans="2:31" s="1" customFormat="1" ht="96.3" customHeight="1" outlineLevel="6">
      <c r="B4335" s="58">
        <v>3459</v>
      </c>
      <c r="C4335" s="7" t="s">
        <v>15290</v>
      </c>
      <c r="D4335" s="71" t="s">
        <v>15291</v>
      </c>
      <c r="E4335" s="71"/>
      <c r="F4335" s="71"/>
      <c r="G4335" s="71"/>
      <c r="H4335" s="8" t="s">
        <v>15292</v>
      </c>
      <c r="I4335" s="9" t="s">
        <v>36</v>
      </c>
      <c r="J4335" s="8"/>
      <c r="K4335" s="6">
        <v>100</v>
      </c>
      <c r="L4335" s="10">
        <v>4.88</v>
      </c>
      <c r="M4335" s="11"/>
      <c r="N4335" s="8">
        <f t="shared" si="218"/>
        <v>0</v>
      </c>
      <c r="O4335" s="12">
        <f>0.004*M4335</f>
        <v>0</v>
      </c>
      <c r="P4335" s="13">
        <f>0.00006*M4335</f>
        <v>0</v>
      </c>
      <c r="Q4335" s="17" t="s">
        <v>37</v>
      </c>
      <c r="R4335" s="8" t="s">
        <v>15293</v>
      </c>
      <c r="S4335" s="8"/>
      <c r="T4335" s="7" t="str">
        <f>HYPERLINK("https://miland.ru/api/getInfo/image/901cad08-715a-11f1-a29a-00155d82e908")</f>
        <v>https://miland.ru/api/getInfo/image/901cad08-715a-11f1-a29a-00155d82e908</v>
      </c>
      <c r="U4335" s="7"/>
      <c r="V4335" s="7"/>
      <c r="W4335" s="7" t="s">
        <v>408</v>
      </c>
      <c r="X4335" s="7"/>
      <c r="Y4335" s="7" t="s">
        <v>41</v>
      </c>
      <c r="Z4335" s="7"/>
      <c r="AA4335" s="7" t="str">
        <f>HYPERLINK("https://miland.ru/api/getInfo/item/901cad08-715a-11f1-a29a-00155d82e908")</f>
        <v>https://miland.ru/api/getInfo/item/901cad08-715a-11f1-a29a-00155d82e908</v>
      </c>
      <c r="AB4335" s="7" t="s">
        <v>50</v>
      </c>
      <c r="AC4335" s="7"/>
      <c r="AD4335" s="7"/>
      <c r="AE4335" s="54"/>
    </row>
    <row r="4336" spans="2:31" s="1" customFormat="1" ht="96.3" customHeight="1" outlineLevel="6">
      <c r="B4336" s="57">
        <v>3460</v>
      </c>
      <c r="C4336" s="21" t="s">
        <v>15294</v>
      </c>
      <c r="D4336" s="72" t="s">
        <v>15295</v>
      </c>
      <c r="E4336" s="72"/>
      <c r="F4336" s="72"/>
      <c r="G4336" s="72"/>
      <c r="H4336" s="22" t="s">
        <v>15296</v>
      </c>
      <c r="I4336" s="23" t="s">
        <v>36</v>
      </c>
      <c r="J4336" s="22"/>
      <c r="K4336" s="20">
        <v>100</v>
      </c>
      <c r="L4336" s="24">
        <v>5.25</v>
      </c>
      <c r="M4336" s="11"/>
      <c r="N4336" s="22">
        <f t="shared" si="218"/>
        <v>0</v>
      </c>
      <c r="O4336" s="25">
        <f>0.003*M4336</f>
        <v>0</v>
      </c>
      <c r="P4336" s="26">
        <f>0.00012*M4336</f>
        <v>0</v>
      </c>
      <c r="Q4336" s="30"/>
      <c r="R4336" s="22" t="s">
        <v>15297</v>
      </c>
      <c r="S4336" s="22"/>
      <c r="T4336" s="21" t="str">
        <f>HYPERLINK("https://miland.ru/api/getInfo/image/4b100eff-cc3e-11f0-a28a-00155d82e908")</f>
        <v>https://miland.ru/api/getInfo/image/4b100eff-cc3e-11f0-a28a-00155d82e908</v>
      </c>
      <c r="U4336" s="21"/>
      <c r="V4336" s="21"/>
      <c r="W4336" s="21" t="s">
        <v>408</v>
      </c>
      <c r="X4336" s="21"/>
      <c r="Y4336" s="21" t="s">
        <v>41</v>
      </c>
      <c r="Z4336" s="21"/>
      <c r="AA4336" s="21" t="str">
        <f>HYPERLINK("https://miland.ru/api/getInfo/item/4b100eff-cc3e-11f0-a28a-00155d82e908")</f>
        <v>https://miland.ru/api/getInfo/item/4b100eff-cc3e-11f0-a28a-00155d82e908</v>
      </c>
      <c r="AB4336" s="21" t="s">
        <v>50</v>
      </c>
      <c r="AC4336" s="21"/>
      <c r="AD4336" s="21"/>
    </row>
    <row r="4337" spans="2:31" s="1" customFormat="1" ht="96.3" customHeight="1" outlineLevel="6">
      <c r="B4337" s="57">
        <v>3461</v>
      </c>
      <c r="C4337" s="21" t="s">
        <v>15298</v>
      </c>
      <c r="D4337" s="72" t="s">
        <v>15299</v>
      </c>
      <c r="E4337" s="72"/>
      <c r="F4337" s="72"/>
      <c r="G4337" s="72"/>
      <c r="H4337" s="22" t="s">
        <v>15300</v>
      </c>
      <c r="I4337" s="23" t="s">
        <v>36</v>
      </c>
      <c r="J4337" s="22"/>
      <c r="K4337" s="20">
        <v>100</v>
      </c>
      <c r="L4337" s="24">
        <v>5.37</v>
      </c>
      <c r="M4337" s="11"/>
      <c r="N4337" s="22">
        <f t="shared" si="218"/>
        <v>0</v>
      </c>
      <c r="O4337" s="25">
        <f>0.003*M4337</f>
        <v>0</v>
      </c>
      <c r="P4337" s="26">
        <f>0.00012*M4337</f>
        <v>0</v>
      </c>
      <c r="Q4337" s="30"/>
      <c r="R4337" s="22" t="s">
        <v>15301</v>
      </c>
      <c r="S4337" s="22"/>
      <c r="T4337" s="21" t="str">
        <f>HYPERLINK("https://miland.ru/api/getInfo/image/b465add9-1461-11f0-a279-00155d82e908")</f>
        <v>https://miland.ru/api/getInfo/image/b465add9-1461-11f0-a279-00155d82e908</v>
      </c>
      <c r="U4337" s="21"/>
      <c r="V4337" s="21" t="s">
        <v>7848</v>
      </c>
      <c r="W4337" s="21" t="s">
        <v>408</v>
      </c>
      <c r="X4337" s="21"/>
      <c r="Y4337" s="21" t="s">
        <v>41</v>
      </c>
      <c r="Z4337" s="21"/>
      <c r="AA4337" s="21" t="str">
        <f>HYPERLINK("https://miland.ru/api/getInfo/item/b465add9-1461-11f0-a279-00155d82e908")</f>
        <v>https://miland.ru/api/getInfo/item/b465add9-1461-11f0-a279-00155d82e908</v>
      </c>
      <c r="AB4337" s="21" t="s">
        <v>50</v>
      </c>
      <c r="AC4337" s="21"/>
      <c r="AD4337" s="21"/>
    </row>
    <row r="4338" spans="2:31" s="1" customFormat="1" ht="96.3" customHeight="1" outlineLevel="6">
      <c r="B4338" s="57">
        <v>3462</v>
      </c>
      <c r="C4338" s="21" t="s">
        <v>15302</v>
      </c>
      <c r="D4338" s="72" t="s">
        <v>15303</v>
      </c>
      <c r="E4338" s="72"/>
      <c r="F4338" s="72"/>
      <c r="G4338" s="72"/>
      <c r="H4338" s="22" t="s">
        <v>15304</v>
      </c>
      <c r="I4338" s="23" t="s">
        <v>36</v>
      </c>
      <c r="J4338" s="22"/>
      <c r="K4338" s="20">
        <v>100</v>
      </c>
      <c r="L4338" s="24">
        <v>5.25</v>
      </c>
      <c r="M4338" s="11"/>
      <c r="N4338" s="22">
        <f t="shared" si="218"/>
        <v>0</v>
      </c>
      <c r="O4338" s="25">
        <f>0.003*M4338</f>
        <v>0</v>
      </c>
      <c r="P4338" s="26">
        <f>0.00018*M4338</f>
        <v>0</v>
      </c>
      <c r="Q4338" s="30"/>
      <c r="R4338" s="22" t="s">
        <v>15305</v>
      </c>
      <c r="S4338" s="22"/>
      <c r="T4338" s="21" t="str">
        <f>HYPERLINK("https://miland.ru/api/getInfo/image/ad98b844-2e77-11ed-a216-ac1f6b442185")</f>
        <v>https://miland.ru/api/getInfo/image/ad98b844-2e77-11ed-a216-ac1f6b442185</v>
      </c>
      <c r="U4338" s="21"/>
      <c r="V4338" s="21" t="s">
        <v>7848</v>
      </c>
      <c r="W4338" s="21" t="s">
        <v>408</v>
      </c>
      <c r="X4338" s="21"/>
      <c r="Y4338" s="21" t="s">
        <v>41</v>
      </c>
      <c r="Z4338" s="21"/>
      <c r="AA4338" s="21" t="str">
        <f>HYPERLINK("https://miland.ru/api/getInfo/item/ad98b844-2e77-11ed-a216-ac1f6b442185")</f>
        <v>https://miland.ru/api/getInfo/item/ad98b844-2e77-11ed-a216-ac1f6b442185</v>
      </c>
      <c r="AB4338" s="21" t="s">
        <v>50</v>
      </c>
      <c r="AC4338" s="21" t="s">
        <v>7849</v>
      </c>
      <c r="AD4338" s="21"/>
    </row>
    <row r="4339" spans="2:31" s="1" customFormat="1" ht="96.3" customHeight="1" outlineLevel="6">
      <c r="B4339" s="57">
        <v>3463</v>
      </c>
      <c r="C4339" s="21" t="s">
        <v>15306</v>
      </c>
      <c r="D4339" s="72" t="s">
        <v>15307</v>
      </c>
      <c r="E4339" s="72"/>
      <c r="F4339" s="72"/>
      <c r="G4339" s="72"/>
      <c r="H4339" s="22" t="s">
        <v>15308</v>
      </c>
      <c r="I4339" s="23" t="s">
        <v>36</v>
      </c>
      <c r="J4339" s="22"/>
      <c r="K4339" s="20">
        <v>100</v>
      </c>
      <c r="L4339" s="24">
        <v>5.35</v>
      </c>
      <c r="M4339" s="11"/>
      <c r="N4339" s="22">
        <f t="shared" si="218"/>
        <v>0</v>
      </c>
      <c r="O4339" s="25">
        <f>0.003*M4339</f>
        <v>0</v>
      </c>
      <c r="P4339" s="26">
        <f>0.00018*M4339</f>
        <v>0</v>
      </c>
      <c r="Q4339" s="30"/>
      <c r="R4339" s="22" t="s">
        <v>15309</v>
      </c>
      <c r="S4339" s="22"/>
      <c r="T4339" s="21" t="str">
        <f>HYPERLINK("https://miland.ru/api/getInfo/image/9ffe3f79-2dd1-11ed-a216-ac1f6b442185")</f>
        <v>https://miland.ru/api/getInfo/image/9ffe3f79-2dd1-11ed-a216-ac1f6b442185</v>
      </c>
      <c r="U4339" s="21"/>
      <c r="V4339" s="21" t="s">
        <v>7848</v>
      </c>
      <c r="W4339" s="21" t="s">
        <v>408</v>
      </c>
      <c r="X4339" s="21"/>
      <c r="Y4339" s="21" t="s">
        <v>41</v>
      </c>
      <c r="Z4339" s="21"/>
      <c r="AA4339" s="21" t="str">
        <f>HYPERLINK("https://miland.ru/api/getInfo/item/9ffe3f79-2dd1-11ed-a216-ac1f6b442185")</f>
        <v>https://miland.ru/api/getInfo/item/9ffe3f79-2dd1-11ed-a216-ac1f6b442185</v>
      </c>
      <c r="AB4339" s="21" t="s">
        <v>50</v>
      </c>
      <c r="AC4339" s="21" t="s">
        <v>15310</v>
      </c>
      <c r="AD4339" s="21"/>
    </row>
    <row r="4340" spans="2:31" s="1" customFormat="1" ht="96.3" customHeight="1" outlineLevel="6">
      <c r="B4340" s="58">
        <v>3464</v>
      </c>
      <c r="C4340" s="7" t="s">
        <v>15311</v>
      </c>
      <c r="D4340" s="71" t="s">
        <v>15312</v>
      </c>
      <c r="E4340" s="71"/>
      <c r="F4340" s="71"/>
      <c r="G4340" s="71"/>
      <c r="H4340" s="8" t="s">
        <v>15313</v>
      </c>
      <c r="I4340" s="9" t="s">
        <v>36</v>
      </c>
      <c r="J4340" s="8"/>
      <c r="K4340" s="6">
        <v>150</v>
      </c>
      <c r="L4340" s="10">
        <v>4.88</v>
      </c>
      <c r="M4340" s="11"/>
      <c r="N4340" s="8">
        <f t="shared" si="218"/>
        <v>0</v>
      </c>
      <c r="O4340" s="8">
        <v>0</v>
      </c>
      <c r="P4340" s="8">
        <v>0</v>
      </c>
      <c r="Q4340" s="17" t="s">
        <v>37</v>
      </c>
      <c r="R4340" s="8" t="s">
        <v>15314</v>
      </c>
      <c r="S4340" s="8"/>
      <c r="T4340" s="7" t="str">
        <f>HYPERLINK("https://miland.ru/api/getInfo/image/0787312d-139f-11f1-a28f-00155d82e908")</f>
        <v>https://miland.ru/api/getInfo/image/0787312d-139f-11f1-a28f-00155d82e908</v>
      </c>
      <c r="U4340" s="7"/>
      <c r="V4340" s="7"/>
      <c r="W4340" s="7" t="s">
        <v>408</v>
      </c>
      <c r="X4340" s="7"/>
      <c r="Y4340" s="7" t="s">
        <v>41</v>
      </c>
      <c r="Z4340" s="7"/>
      <c r="AA4340" s="7" t="str">
        <f>HYPERLINK("https://miland.ru/api/getInfo/item/0787312d-139f-11f1-a28f-00155d82e908")</f>
        <v>https://miland.ru/api/getInfo/item/0787312d-139f-11f1-a28f-00155d82e908</v>
      </c>
      <c r="AB4340" s="7" t="s">
        <v>50</v>
      </c>
      <c r="AC4340" s="7"/>
      <c r="AD4340" s="7"/>
      <c r="AE4340" s="54"/>
    </row>
    <row r="4341" spans="2:31" s="1" customFormat="1" ht="96.3" customHeight="1" outlineLevel="6">
      <c r="B4341" s="57">
        <v>3465</v>
      </c>
      <c r="C4341" s="21" t="s">
        <v>15315</v>
      </c>
      <c r="D4341" s="72" t="s">
        <v>15316</v>
      </c>
      <c r="E4341" s="72"/>
      <c r="F4341" s="72"/>
      <c r="G4341" s="72"/>
      <c r="H4341" s="22" t="s">
        <v>15317</v>
      </c>
      <c r="I4341" s="23" t="s">
        <v>36</v>
      </c>
      <c r="J4341" s="22"/>
      <c r="K4341" s="20">
        <v>100</v>
      </c>
      <c r="L4341" s="24">
        <v>5.25</v>
      </c>
      <c r="M4341" s="11"/>
      <c r="N4341" s="22">
        <f t="shared" si="218"/>
        <v>0</v>
      </c>
      <c r="O4341" s="25">
        <f>0.003*M4341</f>
        <v>0</v>
      </c>
      <c r="P4341" s="26">
        <f>0.00006*M4341</f>
        <v>0</v>
      </c>
      <c r="Q4341" s="30"/>
      <c r="R4341" s="22" t="s">
        <v>15318</v>
      </c>
      <c r="S4341" s="22"/>
      <c r="T4341" s="21" t="str">
        <f>HYPERLINK("https://miland.ru/api/getInfo/image/626d3d89-1464-11f0-a279-00155d82e908")</f>
        <v>https://miland.ru/api/getInfo/image/626d3d89-1464-11f0-a279-00155d82e908</v>
      </c>
      <c r="U4341" s="21"/>
      <c r="V4341" s="21" t="s">
        <v>7848</v>
      </c>
      <c r="W4341" s="21" t="s">
        <v>408</v>
      </c>
      <c r="X4341" s="21"/>
      <c r="Y4341" s="21" t="s">
        <v>41</v>
      </c>
      <c r="Z4341" s="21"/>
      <c r="AA4341" s="21" t="str">
        <f>HYPERLINK("https://miland.ru/api/getInfo/item/626d3d89-1464-11f0-a279-00155d82e908")</f>
        <v>https://miland.ru/api/getInfo/item/626d3d89-1464-11f0-a279-00155d82e908</v>
      </c>
      <c r="AB4341" s="21" t="s">
        <v>50</v>
      </c>
      <c r="AC4341" s="21"/>
      <c r="AD4341" s="21"/>
    </row>
    <row r="4342" spans="2:31" s="1" customFormat="1" ht="96.3" customHeight="1" outlineLevel="6">
      <c r="B4342" s="57">
        <v>3466</v>
      </c>
      <c r="C4342" s="21" t="s">
        <v>15319</v>
      </c>
      <c r="D4342" s="72" t="s">
        <v>15320</v>
      </c>
      <c r="E4342" s="72"/>
      <c r="F4342" s="72"/>
      <c r="G4342" s="72"/>
      <c r="H4342" s="22" t="s">
        <v>15321</v>
      </c>
      <c r="I4342" s="23" t="s">
        <v>36</v>
      </c>
      <c r="J4342" s="22"/>
      <c r="K4342" s="20">
        <v>100</v>
      </c>
      <c r="L4342" s="24">
        <v>5.25</v>
      </c>
      <c r="M4342" s="11"/>
      <c r="N4342" s="22">
        <f t="shared" si="218"/>
        <v>0</v>
      </c>
      <c r="O4342" s="25">
        <f>0.003*M4342</f>
        <v>0</v>
      </c>
      <c r="P4342" s="26">
        <f>0.00006*M4342</f>
        <v>0</v>
      </c>
      <c r="Q4342" s="30"/>
      <c r="R4342" s="22" t="s">
        <v>15322</v>
      </c>
      <c r="S4342" s="22"/>
      <c r="T4342" s="21" t="str">
        <f>HYPERLINK("https://miland.ru/api/getInfo/image/f39bef15-cc3c-11f0-a28a-00155d82e908")</f>
        <v>https://miland.ru/api/getInfo/image/f39bef15-cc3c-11f0-a28a-00155d82e908</v>
      </c>
      <c r="U4342" s="21"/>
      <c r="V4342" s="21"/>
      <c r="W4342" s="21" t="s">
        <v>408</v>
      </c>
      <c r="X4342" s="21"/>
      <c r="Y4342" s="21" t="s">
        <v>41</v>
      </c>
      <c r="Z4342" s="21"/>
      <c r="AA4342" s="21" t="str">
        <f>HYPERLINK("https://miland.ru/api/getInfo/item/f39bef15-cc3c-11f0-a28a-00155d82e908")</f>
        <v>https://miland.ru/api/getInfo/item/f39bef15-cc3c-11f0-a28a-00155d82e908</v>
      </c>
      <c r="AB4342" s="21" t="s">
        <v>50</v>
      </c>
      <c r="AC4342" s="21"/>
      <c r="AD4342" s="21"/>
    </row>
    <row r="4343" spans="2:31" s="1" customFormat="1" ht="96.3" customHeight="1" outlineLevel="6">
      <c r="B4343" s="57">
        <v>3467</v>
      </c>
      <c r="C4343" s="21" t="s">
        <v>15323</v>
      </c>
      <c r="D4343" s="72" t="s">
        <v>15324</v>
      </c>
      <c r="E4343" s="72"/>
      <c r="F4343" s="72"/>
      <c r="G4343" s="72"/>
      <c r="H4343" s="22" t="s">
        <v>15325</v>
      </c>
      <c r="I4343" s="23" t="s">
        <v>36</v>
      </c>
      <c r="J4343" s="22"/>
      <c r="K4343" s="20">
        <v>100</v>
      </c>
      <c r="L4343" s="24">
        <v>5.35</v>
      </c>
      <c r="M4343" s="11"/>
      <c r="N4343" s="22">
        <f t="shared" si="218"/>
        <v>0</v>
      </c>
      <c r="O4343" s="25">
        <f>0.004*M4343</f>
        <v>0</v>
      </c>
      <c r="P4343" s="26">
        <f>0.00018*M4343</f>
        <v>0</v>
      </c>
      <c r="Q4343" s="30"/>
      <c r="R4343" s="22" t="s">
        <v>15326</v>
      </c>
      <c r="S4343" s="22"/>
      <c r="T4343" s="21" t="str">
        <f>HYPERLINK("https://miland.ru/api/getInfo/image/4ac667bc-1477-11f0-a279-00155d82e908")</f>
        <v>https://miland.ru/api/getInfo/image/4ac667bc-1477-11f0-a279-00155d82e908</v>
      </c>
      <c r="U4343" s="21"/>
      <c r="V4343" s="21" t="s">
        <v>7848</v>
      </c>
      <c r="W4343" s="21" t="s">
        <v>408</v>
      </c>
      <c r="X4343" s="21"/>
      <c r="Y4343" s="21" t="s">
        <v>41</v>
      </c>
      <c r="Z4343" s="21"/>
      <c r="AA4343" s="21" t="str">
        <f>HYPERLINK("https://miland.ru/api/getInfo/item/4ac667bc-1477-11f0-a279-00155d82e908")</f>
        <v>https://miland.ru/api/getInfo/item/4ac667bc-1477-11f0-a279-00155d82e908</v>
      </c>
      <c r="AB4343" s="21" t="s">
        <v>50</v>
      </c>
      <c r="AC4343" s="21"/>
      <c r="AD4343" s="21"/>
    </row>
    <row r="4344" spans="2:31" s="1" customFormat="1" ht="96.3" customHeight="1" outlineLevel="6">
      <c r="B4344" s="57">
        <v>3468</v>
      </c>
      <c r="C4344" s="21" t="s">
        <v>15327</v>
      </c>
      <c r="D4344" s="72" t="s">
        <v>15328</v>
      </c>
      <c r="E4344" s="72"/>
      <c r="F4344" s="72"/>
      <c r="G4344" s="72"/>
      <c r="H4344" s="22" t="s">
        <v>15329</v>
      </c>
      <c r="I4344" s="23" t="s">
        <v>36</v>
      </c>
      <c r="J4344" s="22"/>
      <c r="K4344" s="20">
        <v>100</v>
      </c>
      <c r="L4344" s="24">
        <v>5.25</v>
      </c>
      <c r="M4344" s="11"/>
      <c r="N4344" s="22">
        <f t="shared" si="218"/>
        <v>0</v>
      </c>
      <c r="O4344" s="25">
        <f>0.018*M4344</f>
        <v>0</v>
      </c>
      <c r="P4344" s="26">
        <f>0.00018*M4344</f>
        <v>0</v>
      </c>
      <c r="Q4344" s="30"/>
      <c r="R4344" s="22" t="s">
        <v>15330</v>
      </c>
      <c r="S4344" s="22"/>
      <c r="T4344" s="21" t="str">
        <f>HYPERLINK("https://miland.ru/api/getInfo/image/68f1a61c-1463-11f0-a279-00155d82e908")</f>
        <v>https://miland.ru/api/getInfo/image/68f1a61c-1463-11f0-a279-00155d82e908</v>
      </c>
      <c r="U4344" s="21"/>
      <c r="V4344" s="21" t="s">
        <v>7848</v>
      </c>
      <c r="W4344" s="21" t="s">
        <v>408</v>
      </c>
      <c r="X4344" s="21"/>
      <c r="Y4344" s="21" t="s">
        <v>41</v>
      </c>
      <c r="Z4344" s="21"/>
      <c r="AA4344" s="21" t="str">
        <f>HYPERLINK("https://miland.ru/api/getInfo/item/68f1a61c-1463-11f0-a279-00155d82e908")</f>
        <v>https://miland.ru/api/getInfo/item/68f1a61c-1463-11f0-a279-00155d82e908</v>
      </c>
      <c r="AB4344" s="21" t="s">
        <v>50</v>
      </c>
      <c r="AC4344" s="21"/>
      <c r="AD4344" s="21"/>
    </row>
    <row r="4345" spans="2:31" s="1" customFormat="1" ht="96.3" customHeight="1" outlineLevel="6">
      <c r="B4345" s="57">
        <v>3469</v>
      </c>
      <c r="C4345" s="21" t="s">
        <v>15331</v>
      </c>
      <c r="D4345" s="72" t="s">
        <v>15332</v>
      </c>
      <c r="E4345" s="72"/>
      <c r="F4345" s="72"/>
      <c r="G4345" s="72"/>
      <c r="H4345" s="22" t="s">
        <v>15333</v>
      </c>
      <c r="I4345" s="23" t="s">
        <v>36</v>
      </c>
      <c r="J4345" s="22"/>
      <c r="K4345" s="20">
        <v>100</v>
      </c>
      <c r="L4345" s="24">
        <v>5.37</v>
      </c>
      <c r="M4345" s="11"/>
      <c r="N4345" s="22">
        <f t="shared" si="218"/>
        <v>0</v>
      </c>
      <c r="O4345" s="25">
        <f>0.003*M4345</f>
        <v>0</v>
      </c>
      <c r="P4345" s="26">
        <f>0.00012*M4345</f>
        <v>0</v>
      </c>
      <c r="Q4345" s="30"/>
      <c r="R4345" s="22" t="s">
        <v>15334</v>
      </c>
      <c r="S4345" s="22"/>
      <c r="T4345" s="21" t="str">
        <f>HYPERLINK("https://miland.ru/api/getInfo/image/3678325e-c3dc-11ed-a230-00155d82e902")</f>
        <v>https://miland.ru/api/getInfo/image/3678325e-c3dc-11ed-a230-00155d82e902</v>
      </c>
      <c r="U4345" s="21"/>
      <c r="V4345" s="21" t="s">
        <v>7848</v>
      </c>
      <c r="W4345" s="21" t="s">
        <v>408</v>
      </c>
      <c r="X4345" s="21"/>
      <c r="Y4345" s="21" t="s">
        <v>41</v>
      </c>
      <c r="Z4345" s="21"/>
      <c r="AA4345" s="21" t="str">
        <f>HYPERLINK("https://miland.ru/api/getInfo/item/3678325e-c3dc-11ed-a230-00155d82e902")</f>
        <v>https://miland.ru/api/getInfo/item/3678325e-c3dc-11ed-a230-00155d82e902</v>
      </c>
      <c r="AB4345" s="21" t="s">
        <v>50</v>
      </c>
      <c r="AC4345" s="21"/>
      <c r="AD4345" s="21"/>
    </row>
    <row r="4346" spans="2:31" s="1" customFormat="1" ht="96.3" customHeight="1" outlineLevel="6">
      <c r="B4346" s="57">
        <v>3470</v>
      </c>
      <c r="C4346" s="21" t="s">
        <v>15335</v>
      </c>
      <c r="D4346" s="72" t="s">
        <v>15336</v>
      </c>
      <c r="E4346" s="72"/>
      <c r="F4346" s="72"/>
      <c r="G4346" s="72"/>
      <c r="H4346" s="22" t="s">
        <v>15337</v>
      </c>
      <c r="I4346" s="23" t="s">
        <v>36</v>
      </c>
      <c r="J4346" s="22"/>
      <c r="K4346" s="20">
        <v>100</v>
      </c>
      <c r="L4346" s="24">
        <v>5.35</v>
      </c>
      <c r="M4346" s="11"/>
      <c r="N4346" s="22">
        <f t="shared" si="218"/>
        <v>0</v>
      </c>
      <c r="O4346" s="25">
        <f>0.003*M4346</f>
        <v>0</v>
      </c>
      <c r="P4346" s="26">
        <f>0.00018*M4346</f>
        <v>0</v>
      </c>
      <c r="Q4346" s="30"/>
      <c r="R4346" s="22" t="s">
        <v>15338</v>
      </c>
      <c r="S4346" s="22"/>
      <c r="T4346" s="21" t="str">
        <f>HYPERLINK("https://miland.ru/api/getInfo/image/cbb65720-b98e-11ed-a230-00155d82e902")</f>
        <v>https://miland.ru/api/getInfo/image/cbb65720-b98e-11ed-a230-00155d82e902</v>
      </c>
      <c r="U4346" s="21"/>
      <c r="V4346" s="21" t="s">
        <v>7848</v>
      </c>
      <c r="W4346" s="21" t="s">
        <v>408</v>
      </c>
      <c r="X4346" s="21"/>
      <c r="Y4346" s="21" t="s">
        <v>41</v>
      </c>
      <c r="Z4346" s="21"/>
      <c r="AA4346" s="21" t="str">
        <f>HYPERLINK("https://miland.ru/api/getInfo/item/cbb65720-b98e-11ed-a230-00155d82e902")</f>
        <v>https://miland.ru/api/getInfo/item/cbb65720-b98e-11ed-a230-00155d82e902</v>
      </c>
      <c r="AB4346" s="21" t="s">
        <v>50</v>
      </c>
      <c r="AC4346" s="21"/>
      <c r="AD4346" s="21"/>
    </row>
    <row r="4347" spans="2:31" s="1" customFormat="1" ht="96.3" customHeight="1" outlineLevel="6">
      <c r="B4347" s="58">
        <v>3471</v>
      </c>
      <c r="C4347" s="7" t="s">
        <v>15339</v>
      </c>
      <c r="D4347" s="71" t="s">
        <v>15340</v>
      </c>
      <c r="E4347" s="71"/>
      <c r="F4347" s="71"/>
      <c r="G4347" s="71"/>
      <c r="H4347" s="8" t="s">
        <v>15341</v>
      </c>
      <c r="I4347" s="9" t="s">
        <v>36</v>
      </c>
      <c r="J4347" s="8"/>
      <c r="K4347" s="6">
        <v>150</v>
      </c>
      <c r="L4347" s="10">
        <v>4.88</v>
      </c>
      <c r="M4347" s="11"/>
      <c r="N4347" s="8">
        <f t="shared" si="218"/>
        <v>0</v>
      </c>
      <c r="O4347" s="8">
        <v>0</v>
      </c>
      <c r="P4347" s="8">
        <v>0</v>
      </c>
      <c r="Q4347" s="17" t="s">
        <v>37</v>
      </c>
      <c r="R4347" s="8" t="s">
        <v>15342</v>
      </c>
      <c r="S4347" s="8"/>
      <c r="T4347" s="7" t="str">
        <f>HYPERLINK("https://miland.ru/api/getInfo/image/e178c4d0-139e-11f1-a28f-00155d82e908")</f>
        <v>https://miland.ru/api/getInfo/image/e178c4d0-139e-11f1-a28f-00155d82e908</v>
      </c>
      <c r="U4347" s="7"/>
      <c r="V4347" s="7"/>
      <c r="W4347" s="7" t="s">
        <v>408</v>
      </c>
      <c r="X4347" s="7"/>
      <c r="Y4347" s="7" t="s">
        <v>41</v>
      </c>
      <c r="Z4347" s="7"/>
      <c r="AA4347" s="7" t="str">
        <f>HYPERLINK("https://miland.ru/api/getInfo/item/e178c4d0-139e-11f1-a28f-00155d82e908")</f>
        <v>https://miland.ru/api/getInfo/item/e178c4d0-139e-11f1-a28f-00155d82e908</v>
      </c>
      <c r="AB4347" s="7" t="s">
        <v>50</v>
      </c>
      <c r="AC4347" s="7"/>
      <c r="AD4347" s="7"/>
      <c r="AE4347" s="54"/>
    </row>
    <row r="4348" spans="2:31" s="1" customFormat="1" ht="96.3" customHeight="1" outlineLevel="6">
      <c r="B4348" s="57">
        <v>3472</v>
      </c>
      <c r="C4348" s="21" t="s">
        <v>15343</v>
      </c>
      <c r="D4348" s="72" t="s">
        <v>15344</v>
      </c>
      <c r="E4348" s="72"/>
      <c r="F4348" s="72"/>
      <c r="G4348" s="72"/>
      <c r="H4348" s="22" t="s">
        <v>15345</v>
      </c>
      <c r="I4348" s="23" t="s">
        <v>36</v>
      </c>
      <c r="J4348" s="22"/>
      <c r="K4348" s="20">
        <v>100</v>
      </c>
      <c r="L4348" s="24">
        <v>5.25</v>
      </c>
      <c r="M4348" s="11"/>
      <c r="N4348" s="22">
        <f t="shared" si="218"/>
        <v>0</v>
      </c>
      <c r="O4348" s="25">
        <f>0.004*M4348</f>
        <v>0</v>
      </c>
      <c r="P4348" s="26">
        <f>0.00006*M4348</f>
        <v>0</v>
      </c>
      <c r="Q4348" s="30"/>
      <c r="R4348" s="22" t="s">
        <v>15346</v>
      </c>
      <c r="S4348" s="22"/>
      <c r="T4348" s="21" t="str">
        <f>HYPERLINK("https://miland.ru/api/getInfo/image/37175c45-2e78-11ed-a216-ac1f6b442185")</f>
        <v>https://miland.ru/api/getInfo/image/37175c45-2e78-11ed-a216-ac1f6b442185</v>
      </c>
      <c r="U4348" s="21"/>
      <c r="V4348" s="21" t="s">
        <v>7848</v>
      </c>
      <c r="W4348" s="21" t="s">
        <v>408</v>
      </c>
      <c r="X4348" s="21"/>
      <c r="Y4348" s="21" t="s">
        <v>41</v>
      </c>
      <c r="Z4348" s="21"/>
      <c r="AA4348" s="21" t="str">
        <f>HYPERLINK("https://miland.ru/api/getInfo/item/37175c45-2e78-11ed-a216-ac1f6b442185")</f>
        <v>https://miland.ru/api/getInfo/item/37175c45-2e78-11ed-a216-ac1f6b442185</v>
      </c>
      <c r="AB4348" s="21" t="s">
        <v>50</v>
      </c>
      <c r="AC4348" s="21" t="s">
        <v>7849</v>
      </c>
      <c r="AD4348" s="21"/>
    </row>
    <row r="4349" spans="2:31" s="1" customFormat="1" ht="96.3" customHeight="1" outlineLevel="6">
      <c r="B4349" s="58">
        <v>3473</v>
      </c>
      <c r="C4349" s="7" t="s">
        <v>15347</v>
      </c>
      <c r="D4349" s="71" t="s">
        <v>15348</v>
      </c>
      <c r="E4349" s="71"/>
      <c r="F4349" s="71"/>
      <c r="G4349" s="71"/>
      <c r="H4349" s="8" t="s">
        <v>15349</v>
      </c>
      <c r="I4349" s="9" t="s">
        <v>36</v>
      </c>
      <c r="J4349" s="8"/>
      <c r="K4349" s="6">
        <v>150</v>
      </c>
      <c r="L4349" s="10">
        <v>4.88</v>
      </c>
      <c r="M4349" s="11"/>
      <c r="N4349" s="8">
        <f t="shared" si="218"/>
        <v>0</v>
      </c>
      <c r="O4349" s="8">
        <v>0</v>
      </c>
      <c r="P4349" s="8">
        <v>0</v>
      </c>
      <c r="Q4349" s="17" t="s">
        <v>37</v>
      </c>
      <c r="R4349" s="8" t="s">
        <v>15350</v>
      </c>
      <c r="S4349" s="8"/>
      <c r="T4349" s="7" t="str">
        <f>HYPERLINK("https://miland.ru/api/getInfo/image/94b9511c-139e-11f1-a28f-00155d82e908")</f>
        <v>https://miland.ru/api/getInfo/image/94b9511c-139e-11f1-a28f-00155d82e908</v>
      </c>
      <c r="U4349" s="7"/>
      <c r="V4349" s="7"/>
      <c r="W4349" s="7" t="s">
        <v>408</v>
      </c>
      <c r="X4349" s="7"/>
      <c r="Y4349" s="7" t="s">
        <v>41</v>
      </c>
      <c r="Z4349" s="7"/>
      <c r="AA4349" s="7" t="str">
        <f>HYPERLINK("https://miland.ru/api/getInfo/item/94b9511c-139e-11f1-a28f-00155d82e908")</f>
        <v>https://miland.ru/api/getInfo/item/94b9511c-139e-11f1-a28f-00155d82e908</v>
      </c>
      <c r="AB4349" s="7" t="s">
        <v>50</v>
      </c>
      <c r="AC4349" s="7"/>
      <c r="AD4349" s="7"/>
      <c r="AE4349" s="54"/>
    </row>
    <row r="4350" spans="2:31" s="1" customFormat="1" ht="96.3" customHeight="1" outlineLevel="6">
      <c r="B4350" s="57">
        <v>3474</v>
      </c>
      <c r="C4350" s="21" t="s">
        <v>15351</v>
      </c>
      <c r="D4350" s="72" t="s">
        <v>15352</v>
      </c>
      <c r="E4350" s="72"/>
      <c r="F4350" s="72"/>
      <c r="G4350" s="72"/>
      <c r="H4350" s="22" t="s">
        <v>15353</v>
      </c>
      <c r="I4350" s="23" t="s">
        <v>36</v>
      </c>
      <c r="J4350" s="22"/>
      <c r="K4350" s="20">
        <v>100</v>
      </c>
      <c r="L4350" s="24">
        <v>5.35</v>
      </c>
      <c r="M4350" s="11"/>
      <c r="N4350" s="22">
        <f t="shared" si="218"/>
        <v>0</v>
      </c>
      <c r="O4350" s="25">
        <f>0.003*M4350</f>
        <v>0</v>
      </c>
      <c r="P4350" s="26">
        <f>0.00018*M4350</f>
        <v>0</v>
      </c>
      <c r="Q4350" s="30"/>
      <c r="R4350" s="22" t="s">
        <v>15354</v>
      </c>
      <c r="S4350" s="22"/>
      <c r="T4350" s="21" t="str">
        <f>HYPERLINK("https://miland.ru/api/getInfo/image/12db3ef0-b98f-11ed-a230-00155d82e902")</f>
        <v>https://miland.ru/api/getInfo/image/12db3ef0-b98f-11ed-a230-00155d82e902</v>
      </c>
      <c r="U4350" s="21"/>
      <c r="V4350" s="21" t="s">
        <v>7848</v>
      </c>
      <c r="W4350" s="21" t="s">
        <v>408</v>
      </c>
      <c r="X4350" s="21"/>
      <c r="Y4350" s="21" t="s">
        <v>41</v>
      </c>
      <c r="Z4350" s="21"/>
      <c r="AA4350" s="21" t="str">
        <f>HYPERLINK("https://miland.ru/api/getInfo/item/12db3ef0-b98f-11ed-a230-00155d82e902")</f>
        <v>https://miland.ru/api/getInfo/item/12db3ef0-b98f-11ed-a230-00155d82e902</v>
      </c>
      <c r="AB4350" s="21" t="s">
        <v>50</v>
      </c>
      <c r="AC4350" s="21"/>
      <c r="AD4350" s="21"/>
    </row>
    <row r="4351" spans="2:31" s="1" customFormat="1" ht="96.3" customHeight="1" outlineLevel="6">
      <c r="B4351" s="57">
        <v>3475</v>
      </c>
      <c r="C4351" s="21" t="s">
        <v>15355</v>
      </c>
      <c r="D4351" s="72" t="s">
        <v>15356</v>
      </c>
      <c r="E4351" s="72"/>
      <c r="F4351" s="72"/>
      <c r="G4351" s="72"/>
      <c r="H4351" s="22" t="s">
        <v>15357</v>
      </c>
      <c r="I4351" s="23" t="s">
        <v>36</v>
      </c>
      <c r="J4351" s="22"/>
      <c r="K4351" s="20">
        <v>100</v>
      </c>
      <c r="L4351" s="24">
        <v>5.37</v>
      </c>
      <c r="M4351" s="11"/>
      <c r="N4351" s="22">
        <f t="shared" si="218"/>
        <v>0</v>
      </c>
      <c r="O4351" s="25">
        <f>0.003*M4351</f>
        <v>0</v>
      </c>
      <c r="P4351" s="26">
        <f>0.00012*M4351</f>
        <v>0</v>
      </c>
      <c r="Q4351" s="30"/>
      <c r="R4351" s="22" t="s">
        <v>15358</v>
      </c>
      <c r="S4351" s="22"/>
      <c r="T4351" s="21" t="str">
        <f>HYPERLINK("https://miland.ru/api/getInfo/image/889c3db5-63c5-11ec-a20f-ac1f6b442185")</f>
        <v>https://miland.ru/api/getInfo/image/889c3db5-63c5-11ec-a20f-ac1f6b442185</v>
      </c>
      <c r="U4351" s="21"/>
      <c r="V4351" s="21" t="s">
        <v>7848</v>
      </c>
      <c r="W4351" s="21" t="s">
        <v>408</v>
      </c>
      <c r="X4351" s="21"/>
      <c r="Y4351" s="21" t="s">
        <v>41</v>
      </c>
      <c r="Z4351" s="21"/>
      <c r="AA4351" s="21" t="str">
        <f>HYPERLINK("https://miland.ru/api/getInfo/item/889c3db5-63c5-11ec-a20f-ac1f6b442185")</f>
        <v>https://miland.ru/api/getInfo/item/889c3db5-63c5-11ec-a20f-ac1f6b442185</v>
      </c>
      <c r="AB4351" s="21" t="s">
        <v>50</v>
      </c>
      <c r="AC4351" s="21" t="s">
        <v>15359</v>
      </c>
      <c r="AD4351" s="21"/>
    </row>
    <row r="4352" spans="2:31" s="1" customFormat="1" ht="96.3" customHeight="1" outlineLevel="6">
      <c r="B4352" s="57">
        <v>3476</v>
      </c>
      <c r="C4352" s="21" t="s">
        <v>15360</v>
      </c>
      <c r="D4352" s="72" t="s">
        <v>15361</v>
      </c>
      <c r="E4352" s="72"/>
      <c r="F4352" s="72"/>
      <c r="G4352" s="72"/>
      <c r="H4352" s="22" t="s">
        <v>15362</v>
      </c>
      <c r="I4352" s="23" t="s">
        <v>36</v>
      </c>
      <c r="J4352" s="22"/>
      <c r="K4352" s="20">
        <v>100</v>
      </c>
      <c r="L4352" s="24">
        <v>5.37</v>
      </c>
      <c r="M4352" s="11"/>
      <c r="N4352" s="22">
        <f t="shared" si="218"/>
        <v>0</v>
      </c>
      <c r="O4352" s="25">
        <f>0.003*M4352</f>
        <v>0</v>
      </c>
      <c r="P4352" s="26">
        <f>0.00012*M4352</f>
        <v>0</v>
      </c>
      <c r="Q4352" s="30"/>
      <c r="R4352" s="22" t="s">
        <v>15363</v>
      </c>
      <c r="S4352" s="22"/>
      <c r="T4352" s="21" t="str">
        <f>HYPERLINK("https://miland.ru/api/getInfo/image/9906bfec-63c8-11ec-a20f-ac1f6b442185")</f>
        <v>https://miland.ru/api/getInfo/image/9906bfec-63c8-11ec-a20f-ac1f6b442185</v>
      </c>
      <c r="U4352" s="21"/>
      <c r="V4352" s="21" t="s">
        <v>7848</v>
      </c>
      <c r="W4352" s="21" t="s">
        <v>408</v>
      </c>
      <c r="X4352" s="21"/>
      <c r="Y4352" s="21" t="s">
        <v>41</v>
      </c>
      <c r="Z4352" s="21"/>
      <c r="AA4352" s="21" t="str">
        <f>HYPERLINK("https://miland.ru/api/getInfo/item/9906bfec-63c8-11ec-a20f-ac1f6b442185")</f>
        <v>https://miland.ru/api/getInfo/item/9906bfec-63c8-11ec-a20f-ac1f6b442185</v>
      </c>
      <c r="AB4352" s="21" t="s">
        <v>50</v>
      </c>
      <c r="AC4352" s="21" t="s">
        <v>15359</v>
      </c>
      <c r="AD4352" s="21"/>
    </row>
    <row r="4353" spans="2:30" ht="12" customHeight="1" outlineLevel="6">
      <c r="B4353" s="70" t="s">
        <v>6685</v>
      </c>
      <c r="C4353" s="70"/>
      <c r="D4353" s="70"/>
      <c r="E4353" s="70"/>
      <c r="F4353" s="70"/>
      <c r="G4353" s="70"/>
    </row>
    <row r="4354" spans="2:30" ht="12" customHeight="1" outlineLevel="7">
      <c r="B4354" s="70" t="s">
        <v>6686</v>
      </c>
      <c r="C4354" s="70"/>
      <c r="D4354" s="70"/>
      <c r="E4354" s="70"/>
      <c r="F4354" s="70"/>
      <c r="G4354" s="70"/>
    </row>
    <row r="4355" spans="2:30" s="1" customFormat="1" ht="96.3" customHeight="1" outlineLevel="7">
      <c r="B4355" s="57">
        <v>3477</v>
      </c>
      <c r="C4355" s="21" t="s">
        <v>15364</v>
      </c>
      <c r="D4355" s="72" t="s">
        <v>15365</v>
      </c>
      <c r="E4355" s="72"/>
      <c r="F4355" s="72"/>
      <c r="G4355" s="72"/>
      <c r="H4355" s="22" t="s">
        <v>15366</v>
      </c>
      <c r="I4355" s="23" t="s">
        <v>36</v>
      </c>
      <c r="J4355" s="22"/>
      <c r="K4355" s="20">
        <v>100</v>
      </c>
      <c r="L4355" s="24">
        <v>6.75</v>
      </c>
      <c r="M4355" s="11"/>
      <c r="N4355" s="22">
        <f>L4355*M4355</f>
        <v>0</v>
      </c>
      <c r="O4355" s="25">
        <f>0.003*M4355</f>
        <v>0</v>
      </c>
      <c r="P4355" s="26">
        <f>0.00006*M4355</f>
        <v>0</v>
      </c>
      <c r="Q4355" s="30"/>
      <c r="R4355" s="22" t="s">
        <v>15367</v>
      </c>
      <c r="S4355" s="22"/>
      <c r="T4355" s="21" t="str">
        <f>HYPERLINK("https://miland.ru/api/getInfo/image/f47202c0-4b7e-11f0-a27c-00155d82e908")</f>
        <v>https://miland.ru/api/getInfo/image/f47202c0-4b7e-11f0-a27c-00155d82e908</v>
      </c>
      <c r="U4355" s="21"/>
      <c r="V4355" s="21" t="s">
        <v>7876</v>
      </c>
      <c r="W4355" s="21" t="s">
        <v>408</v>
      </c>
      <c r="X4355" s="21"/>
      <c r="Y4355" s="21" t="s">
        <v>41</v>
      </c>
      <c r="Z4355" s="21"/>
      <c r="AA4355" s="21" t="str">
        <f>HYPERLINK("https://miland.ru/api/getInfo/item/f47202c0-4b7e-11f0-a27c-00155d82e908")</f>
        <v>https://miland.ru/api/getInfo/item/f47202c0-4b7e-11f0-a27c-00155d82e908</v>
      </c>
      <c r="AB4355" s="21" t="s">
        <v>50</v>
      </c>
      <c r="AC4355" s="21"/>
      <c r="AD4355" s="21"/>
    </row>
    <row r="4356" spans="2:30" ht="12" customHeight="1" outlineLevel="5">
      <c r="B4356" s="70" t="s">
        <v>15368</v>
      </c>
      <c r="C4356" s="70"/>
      <c r="D4356" s="70"/>
      <c r="E4356" s="70"/>
      <c r="F4356" s="70"/>
      <c r="G4356" s="70"/>
    </row>
    <row r="4357" spans="2:30" s="1" customFormat="1" ht="96.3" customHeight="1" outlineLevel="6">
      <c r="B4357" s="57">
        <v>3478</v>
      </c>
      <c r="C4357" s="21" t="s">
        <v>15369</v>
      </c>
      <c r="D4357" s="72" t="s">
        <v>15370</v>
      </c>
      <c r="E4357" s="72"/>
      <c r="F4357" s="72"/>
      <c r="G4357" s="72"/>
      <c r="H4357" s="22" t="s">
        <v>15371</v>
      </c>
      <c r="I4357" s="27">
        <v>350</v>
      </c>
      <c r="J4357" s="22"/>
      <c r="K4357" s="20">
        <v>25</v>
      </c>
      <c r="L4357" s="24">
        <v>21.34</v>
      </c>
      <c r="M4357" s="11"/>
      <c r="N4357" s="22">
        <f>L4357*M4357</f>
        <v>0</v>
      </c>
      <c r="O4357" s="28">
        <f>0.02*M4357</f>
        <v>0</v>
      </c>
      <c r="P4357" s="26">
        <f>0.00018*M4357</f>
        <v>0</v>
      </c>
      <c r="Q4357" s="30"/>
      <c r="R4357" s="22" t="s">
        <v>15372</v>
      </c>
      <c r="S4357" s="22" t="s">
        <v>435</v>
      </c>
      <c r="T4357" s="21" t="str">
        <f>HYPERLINK("https://miland.ru/api/getInfo/image/7e28c160-174a-11ee-a23b-00155d82e902")</f>
        <v>https://miland.ru/api/getInfo/image/7e28c160-174a-11ee-a23b-00155d82e902</v>
      </c>
      <c r="U4357" s="21"/>
      <c r="V4357" s="21" t="s">
        <v>7848</v>
      </c>
      <c r="W4357" s="21" t="s">
        <v>408</v>
      </c>
      <c r="X4357" s="21"/>
      <c r="Y4357" s="21" t="s">
        <v>41</v>
      </c>
      <c r="Z4357" s="21"/>
      <c r="AA4357" s="21" t="str">
        <f>HYPERLINK("https://miland.ru/api/getInfo/item/7e28c160-174a-11ee-a23b-00155d82e902")</f>
        <v>https://miland.ru/api/getInfo/item/7e28c160-174a-11ee-a23b-00155d82e902</v>
      </c>
      <c r="AB4357" s="21" t="s">
        <v>50</v>
      </c>
      <c r="AC4357" s="21" t="s">
        <v>15373</v>
      </c>
      <c r="AD4357" s="21"/>
    </row>
    <row r="4358" spans="2:30" ht="12" customHeight="1" outlineLevel="5">
      <c r="B4358" s="70" t="s">
        <v>15374</v>
      </c>
      <c r="C4358" s="70"/>
      <c r="D4358" s="70"/>
      <c r="E4358" s="70"/>
      <c r="F4358" s="70"/>
      <c r="G4358" s="70"/>
    </row>
    <row r="4359" spans="2:30" s="1" customFormat="1" ht="96.3" customHeight="1" outlineLevel="6">
      <c r="B4359" s="57">
        <v>3479</v>
      </c>
      <c r="C4359" s="21" t="s">
        <v>15375</v>
      </c>
      <c r="D4359" s="72" t="s">
        <v>15376</v>
      </c>
      <c r="E4359" s="72"/>
      <c r="F4359" s="72"/>
      <c r="G4359" s="72"/>
      <c r="H4359" s="22" t="s">
        <v>15377</v>
      </c>
      <c r="I4359" s="27">
        <v>25</v>
      </c>
      <c r="J4359" s="22"/>
      <c r="K4359" s="20">
        <v>25</v>
      </c>
      <c r="L4359" s="24">
        <v>34.590000000000003</v>
      </c>
      <c r="M4359" s="11"/>
      <c r="N4359" s="22">
        <f>L4359*M4359</f>
        <v>0</v>
      </c>
      <c r="O4359" s="25">
        <f>0.022*M4359</f>
        <v>0</v>
      </c>
      <c r="P4359" s="26">
        <f>0.00033*M4359</f>
        <v>0</v>
      </c>
      <c r="Q4359" s="30"/>
      <c r="R4359" s="22" t="s">
        <v>15378</v>
      </c>
      <c r="S4359" s="22"/>
      <c r="T4359" s="21" t="str">
        <f>HYPERLINK("https://miland.ru/api/getInfo/image/31053403-2f02-11eb-a25d-ac1f6b442184")</f>
        <v>https://miland.ru/api/getInfo/image/31053403-2f02-11eb-a25d-ac1f6b442184</v>
      </c>
      <c r="U4359" s="21"/>
      <c r="V4359" s="21" t="s">
        <v>7848</v>
      </c>
      <c r="W4359" s="21" t="s">
        <v>408</v>
      </c>
      <c r="X4359" s="21"/>
      <c r="Y4359" s="21" t="s">
        <v>41</v>
      </c>
      <c r="Z4359" s="21"/>
      <c r="AA4359" s="21" t="str">
        <f>HYPERLINK("https://miland.ru/api/getInfo/item/31053403-2f02-11eb-a25d-ac1f6b442184")</f>
        <v>https://miland.ru/api/getInfo/item/31053403-2f02-11eb-a25d-ac1f6b442184</v>
      </c>
      <c r="AB4359" s="21" t="s">
        <v>50</v>
      </c>
      <c r="AC4359" s="21" t="s">
        <v>15379</v>
      </c>
      <c r="AD4359" s="21"/>
    </row>
    <row r="4360" spans="2:30" s="1" customFormat="1" ht="96.3" customHeight="1" outlineLevel="6">
      <c r="B4360" s="57">
        <v>3480</v>
      </c>
      <c r="C4360" s="21" t="s">
        <v>15380</v>
      </c>
      <c r="D4360" s="72" t="s">
        <v>15381</v>
      </c>
      <c r="E4360" s="72"/>
      <c r="F4360" s="72"/>
      <c r="G4360" s="72"/>
      <c r="H4360" s="22" t="s">
        <v>15382</v>
      </c>
      <c r="I4360" s="27">
        <v>25</v>
      </c>
      <c r="J4360" s="22"/>
      <c r="K4360" s="20">
        <v>25</v>
      </c>
      <c r="L4360" s="24">
        <v>34.590000000000003</v>
      </c>
      <c r="M4360" s="11"/>
      <c r="N4360" s="22">
        <f>L4360*M4360</f>
        <v>0</v>
      </c>
      <c r="O4360" s="25">
        <f>0.022*M4360</f>
        <v>0</v>
      </c>
      <c r="P4360" s="26">
        <f>0.00033*M4360</f>
        <v>0</v>
      </c>
      <c r="Q4360" s="30"/>
      <c r="R4360" s="22" t="s">
        <v>15383</v>
      </c>
      <c r="S4360" s="22"/>
      <c r="T4360" s="21" t="str">
        <f>HYPERLINK("https://miland.ru/api/getInfo/image/1164cfd8-4731-11ee-a243-00155d82e902")</f>
        <v>https://miland.ru/api/getInfo/image/1164cfd8-4731-11ee-a243-00155d82e902</v>
      </c>
      <c r="U4360" s="21"/>
      <c r="V4360" s="21" t="s">
        <v>7848</v>
      </c>
      <c r="W4360" s="21" t="s">
        <v>408</v>
      </c>
      <c r="X4360" s="21"/>
      <c r="Y4360" s="21" t="s">
        <v>41</v>
      </c>
      <c r="Z4360" s="21"/>
      <c r="AA4360" s="21" t="str">
        <f>HYPERLINK("https://miland.ru/api/getInfo/item/1164cfd8-4731-11ee-a243-00155d82e902")</f>
        <v>https://miland.ru/api/getInfo/item/1164cfd8-4731-11ee-a243-00155d82e902</v>
      </c>
      <c r="AB4360" s="21" t="s">
        <v>50</v>
      </c>
      <c r="AC4360" s="21" t="s">
        <v>15384</v>
      </c>
      <c r="AD4360" s="21"/>
    </row>
    <row r="4361" spans="2:30" ht="12" customHeight="1" outlineLevel="5">
      <c r="B4361" s="70" t="s">
        <v>7954</v>
      </c>
      <c r="C4361" s="70"/>
      <c r="D4361" s="70"/>
      <c r="E4361" s="70"/>
      <c r="F4361" s="70"/>
      <c r="G4361" s="70"/>
    </row>
    <row r="4362" spans="2:30" s="1" customFormat="1" ht="96.3" customHeight="1" outlineLevel="6">
      <c r="B4362" s="57">
        <v>3481</v>
      </c>
      <c r="C4362" s="21" t="s">
        <v>15385</v>
      </c>
      <c r="D4362" s="72" t="s">
        <v>15386</v>
      </c>
      <c r="E4362" s="72"/>
      <c r="F4362" s="72"/>
      <c r="G4362" s="72"/>
      <c r="H4362" s="22" t="s">
        <v>15387</v>
      </c>
      <c r="I4362" s="23" t="s">
        <v>36</v>
      </c>
      <c r="J4362" s="22"/>
      <c r="K4362" s="20">
        <v>25</v>
      </c>
      <c r="L4362" s="24">
        <v>27.61</v>
      </c>
      <c r="M4362" s="11"/>
      <c r="N4362" s="22">
        <f t="shared" ref="N4362:N4367" si="219">L4362*M4362</f>
        <v>0</v>
      </c>
      <c r="O4362" s="25">
        <f>0.021*M4362</f>
        <v>0</v>
      </c>
      <c r="P4362" s="26">
        <f>0.00036*M4362</f>
        <v>0</v>
      </c>
      <c r="Q4362" s="30"/>
      <c r="R4362" s="22" t="s">
        <v>15388</v>
      </c>
      <c r="S4362" s="22"/>
      <c r="T4362" s="21" t="str">
        <f>HYPERLINK("https://miland.ru/api/getInfo/image/e5ff0d52-2e99-11ed-a216-ac1f6b442185")</f>
        <v>https://miland.ru/api/getInfo/image/e5ff0d52-2e99-11ed-a216-ac1f6b442185</v>
      </c>
      <c r="U4362" s="21"/>
      <c r="V4362" s="21" t="s">
        <v>7848</v>
      </c>
      <c r="W4362" s="21" t="s">
        <v>408</v>
      </c>
      <c r="X4362" s="21"/>
      <c r="Y4362" s="21" t="s">
        <v>41</v>
      </c>
      <c r="Z4362" s="21"/>
      <c r="AA4362" s="21" t="str">
        <f>HYPERLINK("https://miland.ru/api/getInfo/item/e5ff0d52-2e99-11ed-a216-ac1f6b442185")</f>
        <v>https://miland.ru/api/getInfo/item/e5ff0d52-2e99-11ed-a216-ac1f6b442185</v>
      </c>
      <c r="AB4362" s="21" t="s">
        <v>50</v>
      </c>
      <c r="AC4362" s="21" t="s">
        <v>15389</v>
      </c>
      <c r="AD4362" s="21"/>
    </row>
    <row r="4363" spans="2:30" s="1" customFormat="1" ht="96.3" customHeight="1" outlineLevel="6">
      <c r="B4363" s="57">
        <v>3482</v>
      </c>
      <c r="C4363" s="21" t="s">
        <v>15390</v>
      </c>
      <c r="D4363" s="72" t="s">
        <v>15391</v>
      </c>
      <c r="E4363" s="72"/>
      <c r="F4363" s="72"/>
      <c r="G4363" s="72"/>
      <c r="H4363" s="22" t="s">
        <v>15392</v>
      </c>
      <c r="I4363" s="27">
        <v>50</v>
      </c>
      <c r="J4363" s="22"/>
      <c r="K4363" s="20">
        <v>50</v>
      </c>
      <c r="L4363" s="24">
        <v>24.45</v>
      </c>
      <c r="M4363" s="11"/>
      <c r="N4363" s="22">
        <f t="shared" si="219"/>
        <v>0</v>
      </c>
      <c r="O4363" s="25">
        <f>0.018*M4363</f>
        <v>0</v>
      </c>
      <c r="P4363" s="26">
        <f>0.00056*M4363</f>
        <v>0</v>
      </c>
      <c r="Q4363" s="30"/>
      <c r="R4363" s="22" t="s">
        <v>15393</v>
      </c>
      <c r="S4363" s="22"/>
      <c r="T4363" s="21" t="str">
        <f>HYPERLINK("https://miland.ru/api/getInfo/image/023934f0-7504-11ec-a210-ac1f6b442185")</f>
        <v>https://miland.ru/api/getInfo/image/023934f0-7504-11ec-a210-ac1f6b442185</v>
      </c>
      <c r="U4363" s="21"/>
      <c r="V4363" s="21" t="s">
        <v>7848</v>
      </c>
      <c r="W4363" s="21" t="s">
        <v>408</v>
      </c>
      <c r="X4363" s="21"/>
      <c r="Y4363" s="21" t="s">
        <v>41</v>
      </c>
      <c r="Z4363" s="21"/>
      <c r="AA4363" s="21" t="str">
        <f>HYPERLINK("https://miland.ru/api/getInfo/item/023934f0-7504-11ec-a210-ac1f6b442185")</f>
        <v>https://miland.ru/api/getInfo/item/023934f0-7504-11ec-a210-ac1f6b442185</v>
      </c>
      <c r="AB4363" s="21" t="s">
        <v>50</v>
      </c>
      <c r="AC4363" s="21" t="s">
        <v>15394</v>
      </c>
      <c r="AD4363" s="21"/>
    </row>
    <row r="4364" spans="2:30" s="1" customFormat="1" ht="96.3" customHeight="1" outlineLevel="6">
      <c r="B4364" s="57">
        <v>3483</v>
      </c>
      <c r="C4364" s="21" t="s">
        <v>15395</v>
      </c>
      <c r="D4364" s="72" t="s">
        <v>15396</v>
      </c>
      <c r="E4364" s="72"/>
      <c r="F4364" s="72"/>
      <c r="G4364" s="72"/>
      <c r="H4364" s="22" t="s">
        <v>15397</v>
      </c>
      <c r="I4364" s="23" t="s">
        <v>36</v>
      </c>
      <c r="J4364" s="22"/>
      <c r="K4364" s="20">
        <v>25</v>
      </c>
      <c r="L4364" s="24">
        <v>13.37</v>
      </c>
      <c r="M4364" s="11"/>
      <c r="N4364" s="22">
        <f t="shared" si="219"/>
        <v>0</v>
      </c>
      <c r="O4364" s="25">
        <f>0.014*M4364</f>
        <v>0</v>
      </c>
      <c r="P4364" s="26">
        <f>0.00052*M4364</f>
        <v>0</v>
      </c>
      <c r="Q4364" s="30"/>
      <c r="R4364" s="22" t="s">
        <v>15398</v>
      </c>
      <c r="S4364" s="22"/>
      <c r="T4364" s="21" t="str">
        <f>HYPERLINK("https://miland.ru/api/getInfo/image/58dfa048-1466-11f0-a279-00155d82e908")</f>
        <v>https://miland.ru/api/getInfo/image/58dfa048-1466-11f0-a279-00155d82e908</v>
      </c>
      <c r="U4364" s="21"/>
      <c r="V4364" s="21" t="s">
        <v>7848</v>
      </c>
      <c r="W4364" s="21" t="s">
        <v>408</v>
      </c>
      <c r="X4364" s="21"/>
      <c r="Y4364" s="21" t="s">
        <v>41</v>
      </c>
      <c r="Z4364" s="21"/>
      <c r="AA4364" s="21" t="str">
        <f>HYPERLINK("https://miland.ru/api/getInfo/item/58dfa048-1466-11f0-a279-00155d82e908")</f>
        <v>https://miland.ru/api/getInfo/item/58dfa048-1466-11f0-a279-00155d82e908</v>
      </c>
      <c r="AB4364" s="21" t="s">
        <v>50</v>
      </c>
      <c r="AC4364" s="21"/>
      <c r="AD4364" s="21"/>
    </row>
    <row r="4365" spans="2:30" s="1" customFormat="1" ht="96.3" customHeight="1" outlineLevel="6">
      <c r="B4365" s="57">
        <v>3484</v>
      </c>
      <c r="C4365" s="21" t="s">
        <v>15399</v>
      </c>
      <c r="D4365" s="72" t="s">
        <v>15400</v>
      </c>
      <c r="E4365" s="72"/>
      <c r="F4365" s="72"/>
      <c r="G4365" s="72"/>
      <c r="H4365" s="22" t="s">
        <v>15401</v>
      </c>
      <c r="I4365" s="23" t="s">
        <v>36</v>
      </c>
      <c r="J4365" s="22"/>
      <c r="K4365" s="20">
        <v>25</v>
      </c>
      <c r="L4365" s="24">
        <v>27.61</v>
      </c>
      <c r="M4365" s="11"/>
      <c r="N4365" s="22">
        <f t="shared" si="219"/>
        <v>0</v>
      </c>
      <c r="O4365" s="25">
        <f>0.021*M4365</f>
        <v>0</v>
      </c>
      <c r="P4365" s="26">
        <f>0.00018*M4365</f>
        <v>0</v>
      </c>
      <c r="Q4365" s="30"/>
      <c r="R4365" s="22" t="s">
        <v>15402</v>
      </c>
      <c r="S4365" s="22"/>
      <c r="T4365" s="21" t="str">
        <f>HYPERLINK("https://miland.ru/api/getInfo/image/18ac6850-2e99-11ed-a216-ac1f6b442185")</f>
        <v>https://miland.ru/api/getInfo/image/18ac6850-2e99-11ed-a216-ac1f6b442185</v>
      </c>
      <c r="U4365" s="21"/>
      <c r="V4365" s="21" t="s">
        <v>7848</v>
      </c>
      <c r="W4365" s="21" t="s">
        <v>408</v>
      </c>
      <c r="X4365" s="21"/>
      <c r="Y4365" s="21" t="s">
        <v>41</v>
      </c>
      <c r="Z4365" s="21"/>
      <c r="AA4365" s="21" t="str">
        <f>HYPERLINK("https://miland.ru/api/getInfo/item/18ac6850-2e99-11ed-a216-ac1f6b442185")</f>
        <v>https://miland.ru/api/getInfo/item/18ac6850-2e99-11ed-a216-ac1f6b442185</v>
      </c>
      <c r="AB4365" s="21" t="s">
        <v>50</v>
      </c>
      <c r="AC4365" s="21" t="s">
        <v>15389</v>
      </c>
      <c r="AD4365" s="21"/>
    </row>
    <row r="4366" spans="2:30" s="1" customFormat="1" ht="96.3" customHeight="1" outlineLevel="6">
      <c r="B4366" s="57">
        <v>3485</v>
      </c>
      <c r="C4366" s="21" t="s">
        <v>15403</v>
      </c>
      <c r="D4366" s="72" t="s">
        <v>15404</v>
      </c>
      <c r="E4366" s="72"/>
      <c r="F4366" s="72"/>
      <c r="G4366" s="72"/>
      <c r="H4366" s="22" t="s">
        <v>15405</v>
      </c>
      <c r="I4366" s="23" t="s">
        <v>36</v>
      </c>
      <c r="J4366" s="22"/>
      <c r="K4366" s="20">
        <v>25</v>
      </c>
      <c r="L4366" s="24">
        <v>27.61</v>
      </c>
      <c r="M4366" s="11"/>
      <c r="N4366" s="22">
        <f t="shared" si="219"/>
        <v>0</v>
      </c>
      <c r="O4366" s="28">
        <f>0.02*M4366</f>
        <v>0</v>
      </c>
      <c r="P4366" s="26">
        <f>0.00036*M4366</f>
        <v>0</v>
      </c>
      <c r="Q4366" s="30"/>
      <c r="R4366" s="22" t="s">
        <v>15406</v>
      </c>
      <c r="S4366" s="22"/>
      <c r="T4366" s="21" t="str">
        <f>HYPERLINK("https://miland.ru/api/getInfo/image/3516f5e8-63cf-11ec-a20f-ac1f6b442185")</f>
        <v>https://miland.ru/api/getInfo/image/3516f5e8-63cf-11ec-a20f-ac1f6b442185</v>
      </c>
      <c r="U4366" s="21"/>
      <c r="V4366" s="21" t="s">
        <v>7848</v>
      </c>
      <c r="W4366" s="21" t="s">
        <v>408</v>
      </c>
      <c r="X4366" s="21"/>
      <c r="Y4366" s="21" t="s">
        <v>41</v>
      </c>
      <c r="Z4366" s="21"/>
      <c r="AA4366" s="21" t="str">
        <f>HYPERLINK("https://miland.ru/api/getInfo/item/3516f5e8-63cf-11ec-a20f-ac1f6b442185")</f>
        <v>https://miland.ru/api/getInfo/item/3516f5e8-63cf-11ec-a20f-ac1f6b442185</v>
      </c>
      <c r="AB4366" s="21" t="s">
        <v>50</v>
      </c>
      <c r="AC4366" s="21" t="s">
        <v>15407</v>
      </c>
      <c r="AD4366" s="21"/>
    </row>
    <row r="4367" spans="2:30" s="1" customFormat="1" ht="96.3" customHeight="1" outlineLevel="6">
      <c r="B4367" s="57">
        <v>3486</v>
      </c>
      <c r="C4367" s="21" t="s">
        <v>15408</v>
      </c>
      <c r="D4367" s="72" t="s">
        <v>15409</v>
      </c>
      <c r="E4367" s="72"/>
      <c r="F4367" s="72"/>
      <c r="G4367" s="72"/>
      <c r="H4367" s="22" t="s">
        <v>15410</v>
      </c>
      <c r="I4367" s="23" t="s">
        <v>36</v>
      </c>
      <c r="J4367" s="22"/>
      <c r="K4367" s="20">
        <v>50</v>
      </c>
      <c r="L4367" s="24">
        <v>13.37</v>
      </c>
      <c r="M4367" s="11"/>
      <c r="N4367" s="22">
        <f t="shared" si="219"/>
        <v>0</v>
      </c>
      <c r="O4367" s="25">
        <f>0.011*M4367</f>
        <v>0</v>
      </c>
      <c r="P4367" s="26">
        <f>0.00034*M4367</f>
        <v>0</v>
      </c>
      <c r="Q4367" s="30"/>
      <c r="R4367" s="22" t="s">
        <v>15411</v>
      </c>
      <c r="S4367" s="22"/>
      <c r="T4367" s="21" t="str">
        <f>HYPERLINK("https://miland.ru/api/getInfo/image/9ec799c2-63ce-11ec-a20f-ac1f6b442185")</f>
        <v>https://miland.ru/api/getInfo/image/9ec799c2-63ce-11ec-a20f-ac1f6b442185</v>
      </c>
      <c r="U4367" s="21"/>
      <c r="V4367" s="21" t="s">
        <v>7848</v>
      </c>
      <c r="W4367" s="21" t="s">
        <v>408</v>
      </c>
      <c r="X4367" s="21"/>
      <c r="Y4367" s="21" t="s">
        <v>41</v>
      </c>
      <c r="Z4367" s="21"/>
      <c r="AA4367" s="21" t="str">
        <f>HYPERLINK("https://miland.ru/api/getInfo/item/9ec799c2-63ce-11ec-a20f-ac1f6b442185")</f>
        <v>https://miland.ru/api/getInfo/item/9ec799c2-63ce-11ec-a20f-ac1f6b442185</v>
      </c>
      <c r="AB4367" s="21" t="s">
        <v>50</v>
      </c>
      <c r="AC4367" s="21" t="s">
        <v>15412</v>
      </c>
      <c r="AD4367" s="21"/>
    </row>
    <row r="4368" spans="2:30" ht="12" customHeight="1" outlineLevel="5">
      <c r="B4368" s="70" t="s">
        <v>15413</v>
      </c>
      <c r="C4368" s="70"/>
      <c r="D4368" s="70"/>
      <c r="E4368" s="70"/>
      <c r="F4368" s="70"/>
      <c r="G4368" s="70"/>
    </row>
    <row r="4369" spans="2:31" s="1" customFormat="1" ht="96.3" customHeight="1" outlineLevel="6">
      <c r="B4369" s="58">
        <v>3487</v>
      </c>
      <c r="C4369" s="7" t="s">
        <v>15414</v>
      </c>
      <c r="D4369" s="71" t="s">
        <v>15415</v>
      </c>
      <c r="E4369" s="71"/>
      <c r="F4369" s="71"/>
      <c r="G4369" s="71"/>
      <c r="H4369" s="8" t="s">
        <v>15416</v>
      </c>
      <c r="I4369" s="9" t="s">
        <v>36</v>
      </c>
      <c r="J4369" s="8"/>
      <c r="K4369" s="6">
        <v>25</v>
      </c>
      <c r="L4369" s="10">
        <v>18.59</v>
      </c>
      <c r="M4369" s="11"/>
      <c r="N4369" s="8">
        <f t="shared" ref="N4369:N4382" si="220">L4369*M4369</f>
        <v>0</v>
      </c>
      <c r="O4369" s="12">
        <f>0.013*M4369</f>
        <v>0</v>
      </c>
      <c r="P4369" s="13">
        <f>0.00024*M4369</f>
        <v>0</v>
      </c>
      <c r="Q4369" s="17" t="s">
        <v>37</v>
      </c>
      <c r="R4369" s="8" t="s">
        <v>15417</v>
      </c>
      <c r="S4369" s="8"/>
      <c r="T4369" s="7" t="str">
        <f>HYPERLINK("https://miland.ru/api/getInfo/image/8502599f-715b-11f1-a29a-00155d82e908")</f>
        <v>https://miland.ru/api/getInfo/image/8502599f-715b-11f1-a29a-00155d82e908</v>
      </c>
      <c r="U4369" s="7"/>
      <c r="V4369" s="7"/>
      <c r="W4369" s="7" t="s">
        <v>408</v>
      </c>
      <c r="X4369" s="7"/>
      <c r="Y4369" s="7" t="s">
        <v>41</v>
      </c>
      <c r="Z4369" s="7"/>
      <c r="AA4369" s="7" t="str">
        <f>HYPERLINK("https://miland.ru/api/getInfo/item/8502599f-715b-11f1-a29a-00155d82e908")</f>
        <v>https://miland.ru/api/getInfo/item/8502599f-715b-11f1-a29a-00155d82e908</v>
      </c>
      <c r="AB4369" s="7" t="s">
        <v>50</v>
      </c>
      <c r="AC4369" s="7"/>
      <c r="AD4369" s="7"/>
      <c r="AE4369" s="54"/>
    </row>
    <row r="4370" spans="2:31" s="1" customFormat="1" ht="96.3" customHeight="1" outlineLevel="6">
      <c r="B4370" s="58">
        <v>3488</v>
      </c>
      <c r="C4370" s="7" t="s">
        <v>15418</v>
      </c>
      <c r="D4370" s="71" t="s">
        <v>15419</v>
      </c>
      <c r="E4370" s="71"/>
      <c r="F4370" s="71"/>
      <c r="G4370" s="71"/>
      <c r="H4370" s="8" t="s">
        <v>15420</v>
      </c>
      <c r="I4370" s="9" t="s">
        <v>36</v>
      </c>
      <c r="J4370" s="8"/>
      <c r="K4370" s="6">
        <v>25</v>
      </c>
      <c r="L4370" s="10">
        <v>18.59</v>
      </c>
      <c r="M4370" s="11"/>
      <c r="N4370" s="8">
        <f t="shared" si="220"/>
        <v>0</v>
      </c>
      <c r="O4370" s="12">
        <f>0.013*M4370</f>
        <v>0</v>
      </c>
      <c r="P4370" s="13">
        <f>0.00012*M4370</f>
        <v>0</v>
      </c>
      <c r="Q4370" s="17" t="s">
        <v>37</v>
      </c>
      <c r="R4370" s="8" t="s">
        <v>15421</v>
      </c>
      <c r="S4370" s="8"/>
      <c r="T4370" s="7" t="str">
        <f>HYPERLINK("https://miland.ru/api/getInfo/image/f5d0db98-715c-11f1-a29a-00155d82e908")</f>
        <v>https://miland.ru/api/getInfo/image/f5d0db98-715c-11f1-a29a-00155d82e908</v>
      </c>
      <c r="U4370" s="7"/>
      <c r="V4370" s="7"/>
      <c r="W4370" s="7" t="s">
        <v>408</v>
      </c>
      <c r="X4370" s="7"/>
      <c r="Y4370" s="7" t="s">
        <v>41</v>
      </c>
      <c r="Z4370" s="7"/>
      <c r="AA4370" s="7" t="str">
        <f>HYPERLINK("https://miland.ru/api/getInfo/item/f5d0db98-715c-11f1-a29a-00155d82e908")</f>
        <v>https://miland.ru/api/getInfo/item/f5d0db98-715c-11f1-a29a-00155d82e908</v>
      </c>
      <c r="AB4370" s="7" t="s">
        <v>50</v>
      </c>
      <c r="AC4370" s="7"/>
      <c r="AD4370" s="7"/>
      <c r="AE4370" s="54"/>
    </row>
    <row r="4371" spans="2:31" s="1" customFormat="1" ht="96.3" customHeight="1" outlineLevel="6">
      <c r="B4371" s="57">
        <v>3489</v>
      </c>
      <c r="C4371" s="21" t="s">
        <v>15422</v>
      </c>
      <c r="D4371" s="72" t="s">
        <v>15423</v>
      </c>
      <c r="E4371" s="72"/>
      <c r="F4371" s="72"/>
      <c r="G4371" s="72"/>
      <c r="H4371" s="22" t="s">
        <v>15424</v>
      </c>
      <c r="I4371" s="23" t="s">
        <v>36</v>
      </c>
      <c r="J4371" s="22"/>
      <c r="K4371" s="20">
        <v>25</v>
      </c>
      <c r="L4371" s="24">
        <v>19.13</v>
      </c>
      <c r="M4371" s="11"/>
      <c r="N4371" s="22">
        <f t="shared" si="220"/>
        <v>0</v>
      </c>
      <c r="O4371" s="25">
        <f>0.025*M4371</f>
        <v>0</v>
      </c>
      <c r="P4371" s="26">
        <f>0.00036*M4371</f>
        <v>0</v>
      </c>
      <c r="Q4371" s="30"/>
      <c r="R4371" s="22" t="s">
        <v>15425</v>
      </c>
      <c r="S4371" s="22"/>
      <c r="T4371" s="21" t="str">
        <f>HYPERLINK("https://miland.ru/api/getInfo/image/c9e8afc8-2e9b-11ed-a216-ac1f6b442185")</f>
        <v>https://miland.ru/api/getInfo/image/c9e8afc8-2e9b-11ed-a216-ac1f6b442185</v>
      </c>
      <c r="U4371" s="21"/>
      <c r="V4371" s="21" t="s">
        <v>7848</v>
      </c>
      <c r="W4371" s="21" t="s">
        <v>408</v>
      </c>
      <c r="X4371" s="21"/>
      <c r="Y4371" s="21" t="s">
        <v>41</v>
      </c>
      <c r="Z4371" s="21"/>
      <c r="AA4371" s="21" t="str">
        <f>HYPERLINK("https://miland.ru/api/getInfo/item/c9e8afc8-2e9b-11ed-a216-ac1f6b442185")</f>
        <v>https://miland.ru/api/getInfo/item/c9e8afc8-2e9b-11ed-a216-ac1f6b442185</v>
      </c>
      <c r="AB4371" s="21" t="s">
        <v>50</v>
      </c>
      <c r="AC4371" s="21" t="s">
        <v>15426</v>
      </c>
      <c r="AD4371" s="21"/>
    </row>
    <row r="4372" spans="2:31" s="1" customFormat="1" ht="96.3" customHeight="1" outlineLevel="6">
      <c r="B4372" s="58">
        <v>3490</v>
      </c>
      <c r="C4372" s="7" t="s">
        <v>15427</v>
      </c>
      <c r="D4372" s="71" t="s">
        <v>15428</v>
      </c>
      <c r="E4372" s="71"/>
      <c r="F4372" s="71"/>
      <c r="G4372" s="71"/>
      <c r="H4372" s="8" t="s">
        <v>15429</v>
      </c>
      <c r="I4372" s="9" t="s">
        <v>36</v>
      </c>
      <c r="J4372" s="8"/>
      <c r="K4372" s="6">
        <v>50</v>
      </c>
      <c r="L4372" s="10">
        <v>15.84</v>
      </c>
      <c r="M4372" s="11"/>
      <c r="N4372" s="8">
        <f t="shared" si="220"/>
        <v>0</v>
      </c>
      <c r="O4372" s="8">
        <v>0</v>
      </c>
      <c r="P4372" s="8">
        <v>0</v>
      </c>
      <c r="Q4372" s="17" t="s">
        <v>37</v>
      </c>
      <c r="R4372" s="8" t="s">
        <v>15430</v>
      </c>
      <c r="S4372" s="8"/>
      <c r="T4372" s="7" t="str">
        <f>HYPERLINK("https://miland.ru/api/getInfo/image/39f96706-139f-11f1-a28f-00155d82e908")</f>
        <v>https://miland.ru/api/getInfo/image/39f96706-139f-11f1-a28f-00155d82e908</v>
      </c>
      <c r="U4372" s="7"/>
      <c r="V4372" s="7"/>
      <c r="W4372" s="7" t="s">
        <v>408</v>
      </c>
      <c r="X4372" s="7"/>
      <c r="Y4372" s="7" t="s">
        <v>41</v>
      </c>
      <c r="Z4372" s="7"/>
      <c r="AA4372" s="7" t="str">
        <f>HYPERLINK("https://miland.ru/api/getInfo/item/39f96706-139f-11f1-a28f-00155d82e908")</f>
        <v>https://miland.ru/api/getInfo/item/39f96706-139f-11f1-a28f-00155d82e908</v>
      </c>
      <c r="AB4372" s="7" t="s">
        <v>50</v>
      </c>
      <c r="AC4372" s="7"/>
      <c r="AD4372" s="7"/>
      <c r="AE4372" s="54"/>
    </row>
    <row r="4373" spans="2:31" s="1" customFormat="1" ht="96.3" customHeight="1" outlineLevel="6">
      <c r="B4373" s="58">
        <v>3491</v>
      </c>
      <c r="C4373" s="7" t="s">
        <v>15431</v>
      </c>
      <c r="D4373" s="71" t="s">
        <v>15432</v>
      </c>
      <c r="E4373" s="71"/>
      <c r="F4373" s="71"/>
      <c r="G4373" s="71"/>
      <c r="H4373" s="8" t="s">
        <v>15433</v>
      </c>
      <c r="I4373" s="9" t="s">
        <v>36</v>
      </c>
      <c r="J4373" s="8"/>
      <c r="K4373" s="6">
        <v>50</v>
      </c>
      <c r="L4373" s="10">
        <v>15.84</v>
      </c>
      <c r="M4373" s="11"/>
      <c r="N4373" s="8">
        <f t="shared" si="220"/>
        <v>0</v>
      </c>
      <c r="O4373" s="12">
        <f>0.014*M4373</f>
        <v>0</v>
      </c>
      <c r="P4373" s="13">
        <f>0.00035*M4373</f>
        <v>0</v>
      </c>
      <c r="Q4373" s="17" t="s">
        <v>37</v>
      </c>
      <c r="R4373" s="8" t="s">
        <v>15434</v>
      </c>
      <c r="S4373" s="8"/>
      <c r="T4373" s="7" t="str">
        <f>HYPERLINK("https://miland.ru/api/getInfo/image/8b6ecf6b-139f-11f1-a28f-00155d82e908")</f>
        <v>https://miland.ru/api/getInfo/image/8b6ecf6b-139f-11f1-a28f-00155d82e908</v>
      </c>
      <c r="U4373" s="7"/>
      <c r="V4373" s="7"/>
      <c r="W4373" s="7" t="s">
        <v>408</v>
      </c>
      <c r="X4373" s="7"/>
      <c r="Y4373" s="7" t="s">
        <v>41</v>
      </c>
      <c r="Z4373" s="7"/>
      <c r="AA4373" s="7" t="str">
        <f>HYPERLINK("https://miland.ru/api/getInfo/item/8b6ecf6b-139f-11f1-a28f-00155d82e908")</f>
        <v>https://miland.ru/api/getInfo/item/8b6ecf6b-139f-11f1-a28f-00155d82e908</v>
      </c>
      <c r="AB4373" s="7" t="s">
        <v>50</v>
      </c>
      <c r="AC4373" s="7"/>
      <c r="AD4373" s="7"/>
      <c r="AE4373" s="54"/>
    </row>
    <row r="4374" spans="2:31" s="1" customFormat="1" ht="96.3" customHeight="1" outlineLevel="6">
      <c r="B4374" s="57">
        <v>3492</v>
      </c>
      <c r="C4374" s="21" t="s">
        <v>15435</v>
      </c>
      <c r="D4374" s="72" t="s">
        <v>15436</v>
      </c>
      <c r="E4374" s="72"/>
      <c r="F4374" s="72"/>
      <c r="G4374" s="72"/>
      <c r="H4374" s="22" t="s">
        <v>15437</v>
      </c>
      <c r="I4374" s="23" t="s">
        <v>36</v>
      </c>
      <c r="J4374" s="22"/>
      <c r="K4374" s="20">
        <v>50</v>
      </c>
      <c r="L4374" s="24">
        <v>20.329999999999998</v>
      </c>
      <c r="M4374" s="11"/>
      <c r="N4374" s="22">
        <f t="shared" si="220"/>
        <v>0</v>
      </c>
      <c r="O4374" s="25">
        <f>0.014*M4374</f>
        <v>0</v>
      </c>
      <c r="P4374" s="26">
        <f>0.00037*M4374</f>
        <v>0</v>
      </c>
      <c r="Q4374" s="30"/>
      <c r="R4374" s="22" t="s">
        <v>15438</v>
      </c>
      <c r="S4374" s="22"/>
      <c r="T4374" s="21" t="str">
        <f>HYPERLINK("https://miland.ru/api/getInfo/image/76fd9e40-1478-11f0-a279-00155d82e908")</f>
        <v>https://miland.ru/api/getInfo/image/76fd9e40-1478-11f0-a279-00155d82e908</v>
      </c>
      <c r="U4374" s="21"/>
      <c r="V4374" s="21" t="s">
        <v>7848</v>
      </c>
      <c r="W4374" s="21" t="s">
        <v>408</v>
      </c>
      <c r="X4374" s="21"/>
      <c r="Y4374" s="21" t="s">
        <v>41</v>
      </c>
      <c r="Z4374" s="21"/>
      <c r="AA4374" s="21" t="str">
        <f>HYPERLINK("https://miland.ru/api/getInfo/item/76fd9e40-1478-11f0-a279-00155d82e908")</f>
        <v>https://miland.ru/api/getInfo/item/76fd9e40-1478-11f0-a279-00155d82e908</v>
      </c>
      <c r="AB4374" s="21" t="s">
        <v>50</v>
      </c>
      <c r="AC4374" s="21"/>
      <c r="AD4374" s="21"/>
    </row>
    <row r="4375" spans="2:31" s="1" customFormat="1" ht="96.3" customHeight="1" outlineLevel="6">
      <c r="B4375" s="57">
        <v>3493</v>
      </c>
      <c r="C4375" s="21" t="s">
        <v>15439</v>
      </c>
      <c r="D4375" s="72" t="s">
        <v>15440</v>
      </c>
      <c r="E4375" s="72"/>
      <c r="F4375" s="72"/>
      <c r="G4375" s="72"/>
      <c r="H4375" s="22" t="s">
        <v>15441</v>
      </c>
      <c r="I4375" s="23" t="s">
        <v>36</v>
      </c>
      <c r="J4375" s="22"/>
      <c r="K4375" s="20">
        <v>50</v>
      </c>
      <c r="L4375" s="24">
        <v>11.35</v>
      </c>
      <c r="M4375" s="11"/>
      <c r="N4375" s="22">
        <f t="shared" si="220"/>
        <v>0</v>
      </c>
      <c r="O4375" s="25">
        <f>0.008*M4375</f>
        <v>0</v>
      </c>
      <c r="P4375" s="26">
        <f>0.00012*M4375</f>
        <v>0</v>
      </c>
      <c r="Q4375" s="30"/>
      <c r="R4375" s="22" t="s">
        <v>15442</v>
      </c>
      <c r="S4375" s="22"/>
      <c r="T4375" s="21" t="str">
        <f>HYPERLINK("https://miland.ru/api/getInfo/image/084e066f-2dd1-11ed-a216-ac1f6b442185")</f>
        <v>https://miland.ru/api/getInfo/image/084e066f-2dd1-11ed-a216-ac1f6b442185</v>
      </c>
      <c r="U4375" s="21"/>
      <c r="V4375" s="21" t="s">
        <v>7848</v>
      </c>
      <c r="W4375" s="21" t="s">
        <v>408</v>
      </c>
      <c r="X4375" s="21"/>
      <c r="Y4375" s="21" t="s">
        <v>41</v>
      </c>
      <c r="Z4375" s="21"/>
      <c r="AA4375" s="21" t="str">
        <f>HYPERLINK("https://miland.ru/api/getInfo/item/084e066f-2dd1-11ed-a216-ac1f6b442185")</f>
        <v>https://miland.ru/api/getInfo/item/084e066f-2dd1-11ed-a216-ac1f6b442185</v>
      </c>
      <c r="AB4375" s="21" t="s">
        <v>50</v>
      </c>
      <c r="AC4375" s="21" t="s">
        <v>15443</v>
      </c>
      <c r="AD4375" s="21"/>
    </row>
    <row r="4376" spans="2:31" s="1" customFormat="1" ht="96.3" customHeight="1" outlineLevel="6">
      <c r="B4376" s="57">
        <v>3494</v>
      </c>
      <c r="C4376" s="21" t="s">
        <v>15444</v>
      </c>
      <c r="D4376" s="72" t="s">
        <v>15445</v>
      </c>
      <c r="E4376" s="72"/>
      <c r="F4376" s="72"/>
      <c r="G4376" s="72"/>
      <c r="H4376" s="22" t="s">
        <v>15446</v>
      </c>
      <c r="I4376" s="23" t="s">
        <v>36</v>
      </c>
      <c r="J4376" s="22"/>
      <c r="K4376" s="20">
        <v>50</v>
      </c>
      <c r="L4376" s="24">
        <v>20.14</v>
      </c>
      <c r="M4376" s="11"/>
      <c r="N4376" s="22">
        <f t="shared" si="220"/>
        <v>0</v>
      </c>
      <c r="O4376" s="25">
        <f>0.032*M4376</f>
        <v>0</v>
      </c>
      <c r="P4376" s="26">
        <f>0.00038*M4376</f>
        <v>0</v>
      </c>
      <c r="Q4376" s="30"/>
      <c r="R4376" s="22" t="s">
        <v>15447</v>
      </c>
      <c r="S4376" s="22"/>
      <c r="T4376" s="21" t="str">
        <f>HYPERLINK("https://miland.ru/api/getInfo/image/2ea1481a-a028-11ef-a267-00155d82e908")</f>
        <v>https://miland.ru/api/getInfo/image/2ea1481a-a028-11ef-a267-00155d82e908</v>
      </c>
      <c r="U4376" s="21"/>
      <c r="V4376" s="21" t="s">
        <v>7848</v>
      </c>
      <c r="W4376" s="21" t="s">
        <v>408</v>
      </c>
      <c r="X4376" s="21"/>
      <c r="Y4376" s="21" t="s">
        <v>41</v>
      </c>
      <c r="Z4376" s="21"/>
      <c r="AA4376" s="21" t="str">
        <f>HYPERLINK("https://miland.ru/api/getInfo/item/2ea1481a-a028-11ef-a267-00155d82e908")</f>
        <v>https://miland.ru/api/getInfo/item/2ea1481a-a028-11ef-a267-00155d82e908</v>
      </c>
      <c r="AB4376" s="21" t="s">
        <v>50</v>
      </c>
      <c r="AC4376" s="21" t="s">
        <v>15448</v>
      </c>
      <c r="AD4376" s="21"/>
    </row>
    <row r="4377" spans="2:31" s="1" customFormat="1" ht="96.3" customHeight="1" outlineLevel="6">
      <c r="B4377" s="58">
        <v>3495</v>
      </c>
      <c r="C4377" s="7" t="s">
        <v>15449</v>
      </c>
      <c r="D4377" s="71" t="s">
        <v>15450</v>
      </c>
      <c r="E4377" s="71"/>
      <c r="F4377" s="71"/>
      <c r="G4377" s="71"/>
      <c r="H4377" s="8" t="s">
        <v>15451</v>
      </c>
      <c r="I4377" s="9" t="s">
        <v>36</v>
      </c>
      <c r="J4377" s="8"/>
      <c r="K4377" s="6">
        <v>50</v>
      </c>
      <c r="L4377" s="10">
        <v>15.84</v>
      </c>
      <c r="M4377" s="11"/>
      <c r="N4377" s="8">
        <f t="shared" si="220"/>
        <v>0</v>
      </c>
      <c r="O4377" s="8">
        <v>0</v>
      </c>
      <c r="P4377" s="8">
        <v>0</v>
      </c>
      <c r="Q4377" s="17" t="s">
        <v>37</v>
      </c>
      <c r="R4377" s="8" t="s">
        <v>15452</v>
      </c>
      <c r="S4377" s="8"/>
      <c r="T4377" s="7" t="str">
        <f>HYPERLINK("https://miland.ru/api/getInfo/image/79ce99f1-139f-11f1-a28f-00155d82e908")</f>
        <v>https://miland.ru/api/getInfo/image/79ce99f1-139f-11f1-a28f-00155d82e908</v>
      </c>
      <c r="U4377" s="7"/>
      <c r="V4377" s="7"/>
      <c r="W4377" s="7" t="s">
        <v>408</v>
      </c>
      <c r="X4377" s="7"/>
      <c r="Y4377" s="7" t="s">
        <v>41</v>
      </c>
      <c r="Z4377" s="7"/>
      <c r="AA4377" s="7" t="str">
        <f>HYPERLINK("https://miland.ru/api/getInfo/item/79ce99f1-139f-11f1-a28f-00155d82e908")</f>
        <v>https://miland.ru/api/getInfo/item/79ce99f1-139f-11f1-a28f-00155d82e908</v>
      </c>
      <c r="AB4377" s="7" t="s">
        <v>50</v>
      </c>
      <c r="AC4377" s="7"/>
      <c r="AD4377" s="7"/>
      <c r="AE4377" s="54"/>
    </row>
    <row r="4378" spans="2:31" s="1" customFormat="1" ht="96.3" customHeight="1" outlineLevel="6">
      <c r="B4378" s="57">
        <v>3496</v>
      </c>
      <c r="C4378" s="21" t="s">
        <v>15453</v>
      </c>
      <c r="D4378" s="72" t="s">
        <v>15454</v>
      </c>
      <c r="E4378" s="72"/>
      <c r="F4378" s="72"/>
      <c r="G4378" s="72"/>
      <c r="H4378" s="22" t="s">
        <v>15455</v>
      </c>
      <c r="I4378" s="23" t="s">
        <v>36</v>
      </c>
      <c r="J4378" s="22"/>
      <c r="K4378" s="20">
        <v>50</v>
      </c>
      <c r="L4378" s="24">
        <v>11.35</v>
      </c>
      <c r="M4378" s="11"/>
      <c r="N4378" s="22">
        <f t="shared" si="220"/>
        <v>0</v>
      </c>
      <c r="O4378" s="25">
        <f>0.007*M4378</f>
        <v>0</v>
      </c>
      <c r="P4378" s="26">
        <f>0.00035*M4378</f>
        <v>0</v>
      </c>
      <c r="Q4378" s="30"/>
      <c r="R4378" s="22" t="s">
        <v>15456</v>
      </c>
      <c r="S4378" s="22"/>
      <c r="T4378" s="21" t="str">
        <f>HYPERLINK("https://miland.ru/api/getInfo/image/16cd4c64-92a2-11ef-a265-00155d82e908")</f>
        <v>https://miland.ru/api/getInfo/image/16cd4c64-92a2-11ef-a265-00155d82e908</v>
      </c>
      <c r="U4378" s="21"/>
      <c r="V4378" s="21" t="s">
        <v>7848</v>
      </c>
      <c r="W4378" s="21" t="s">
        <v>408</v>
      </c>
      <c r="X4378" s="21"/>
      <c r="Y4378" s="21" t="s">
        <v>41</v>
      </c>
      <c r="Z4378" s="21"/>
      <c r="AA4378" s="21" t="str">
        <f>HYPERLINK("https://miland.ru/api/getInfo/item/16cd4c64-92a2-11ef-a265-00155d82e908")</f>
        <v>https://miland.ru/api/getInfo/item/16cd4c64-92a2-11ef-a265-00155d82e908</v>
      </c>
      <c r="AB4378" s="21" t="s">
        <v>50</v>
      </c>
      <c r="AC4378" s="21" t="s">
        <v>15443</v>
      </c>
      <c r="AD4378" s="21"/>
    </row>
    <row r="4379" spans="2:31" s="1" customFormat="1" ht="96.3" customHeight="1" outlineLevel="6">
      <c r="B4379" s="57">
        <v>3497</v>
      </c>
      <c r="C4379" s="21" t="s">
        <v>15457</v>
      </c>
      <c r="D4379" s="72" t="s">
        <v>15458</v>
      </c>
      <c r="E4379" s="72"/>
      <c r="F4379" s="72"/>
      <c r="G4379" s="72"/>
      <c r="H4379" s="22" t="s">
        <v>15459</v>
      </c>
      <c r="I4379" s="23" t="s">
        <v>36</v>
      </c>
      <c r="J4379" s="22"/>
      <c r="K4379" s="20">
        <v>50</v>
      </c>
      <c r="L4379" s="24">
        <v>20.14</v>
      </c>
      <c r="M4379" s="11"/>
      <c r="N4379" s="22">
        <f t="shared" si="220"/>
        <v>0</v>
      </c>
      <c r="O4379" s="25">
        <f>0.015*M4379</f>
        <v>0</v>
      </c>
      <c r="P4379" s="26">
        <f>0.00037*M4379</f>
        <v>0</v>
      </c>
      <c r="Q4379" s="30"/>
      <c r="R4379" s="22" t="s">
        <v>15460</v>
      </c>
      <c r="S4379" s="22"/>
      <c r="T4379" s="21" t="str">
        <f>HYPERLINK("https://miland.ru/api/getInfo/image/1c7f2f85-cc4e-11f0-a28a-00155d82e908")</f>
        <v>https://miland.ru/api/getInfo/image/1c7f2f85-cc4e-11f0-a28a-00155d82e908</v>
      </c>
      <c r="U4379" s="21"/>
      <c r="V4379" s="21"/>
      <c r="W4379" s="21" t="s">
        <v>408</v>
      </c>
      <c r="X4379" s="21"/>
      <c r="Y4379" s="21" t="s">
        <v>41</v>
      </c>
      <c r="Z4379" s="21"/>
      <c r="AA4379" s="21" t="str">
        <f>HYPERLINK("https://miland.ru/api/getInfo/item/1c7f2f85-cc4e-11f0-a28a-00155d82e908")</f>
        <v>https://miland.ru/api/getInfo/item/1c7f2f85-cc4e-11f0-a28a-00155d82e908</v>
      </c>
      <c r="AB4379" s="21" t="s">
        <v>50</v>
      </c>
      <c r="AC4379" s="21"/>
      <c r="AD4379" s="21"/>
    </row>
    <row r="4380" spans="2:31" s="1" customFormat="1" ht="96.3" customHeight="1" outlineLevel="6">
      <c r="B4380" s="57">
        <v>3498</v>
      </c>
      <c r="C4380" s="21" t="s">
        <v>15461</v>
      </c>
      <c r="D4380" s="72" t="s">
        <v>15462</v>
      </c>
      <c r="E4380" s="72"/>
      <c r="F4380" s="72"/>
      <c r="G4380" s="72"/>
      <c r="H4380" s="22" t="s">
        <v>15463</v>
      </c>
      <c r="I4380" s="23" t="s">
        <v>36</v>
      </c>
      <c r="J4380" s="22"/>
      <c r="K4380" s="20">
        <v>25</v>
      </c>
      <c r="L4380" s="24">
        <v>19.13</v>
      </c>
      <c r="M4380" s="11"/>
      <c r="N4380" s="22">
        <f t="shared" si="220"/>
        <v>0</v>
      </c>
      <c r="O4380" s="25">
        <f>0.016*M4380</f>
        <v>0</v>
      </c>
      <c r="P4380" s="26">
        <f>0.00024*M4380</f>
        <v>0</v>
      </c>
      <c r="Q4380" s="30"/>
      <c r="R4380" s="22" t="s">
        <v>15464</v>
      </c>
      <c r="S4380" s="22"/>
      <c r="T4380" s="21" t="str">
        <f>HYPERLINK("https://miland.ru/api/getInfo/image/096aabba-3cec-11ee-a241-00155d82e902")</f>
        <v>https://miland.ru/api/getInfo/image/096aabba-3cec-11ee-a241-00155d82e902</v>
      </c>
      <c r="U4380" s="21"/>
      <c r="V4380" s="21" t="s">
        <v>7848</v>
      </c>
      <c r="W4380" s="21" t="s">
        <v>408</v>
      </c>
      <c r="X4380" s="21"/>
      <c r="Y4380" s="21" t="s">
        <v>41</v>
      </c>
      <c r="Z4380" s="21"/>
      <c r="AA4380" s="21" t="str">
        <f>HYPERLINK("https://miland.ru/api/getInfo/item/096aabba-3cec-11ee-a241-00155d82e902")</f>
        <v>https://miland.ru/api/getInfo/item/096aabba-3cec-11ee-a241-00155d82e902</v>
      </c>
      <c r="AB4380" s="21" t="s">
        <v>50</v>
      </c>
      <c r="AC4380" s="21"/>
      <c r="AD4380" s="21"/>
    </row>
    <row r="4381" spans="2:31" s="1" customFormat="1" ht="96.3" customHeight="1" outlineLevel="6">
      <c r="B4381" s="57">
        <v>3499</v>
      </c>
      <c r="C4381" s="21" t="s">
        <v>15465</v>
      </c>
      <c r="D4381" s="72" t="s">
        <v>15466</v>
      </c>
      <c r="E4381" s="72"/>
      <c r="F4381" s="72"/>
      <c r="G4381" s="72"/>
      <c r="H4381" s="22" t="s">
        <v>15467</v>
      </c>
      <c r="I4381" s="27">
        <v>400</v>
      </c>
      <c r="J4381" s="22"/>
      <c r="K4381" s="20">
        <v>50</v>
      </c>
      <c r="L4381" s="24">
        <v>20.14</v>
      </c>
      <c r="M4381" s="11"/>
      <c r="N4381" s="22">
        <f t="shared" si="220"/>
        <v>0</v>
      </c>
      <c r="O4381" s="25">
        <f>0.016*M4381</f>
        <v>0</v>
      </c>
      <c r="P4381" s="26">
        <f>0.00037*M4381</f>
        <v>0</v>
      </c>
      <c r="Q4381" s="30"/>
      <c r="R4381" s="22" t="s">
        <v>15468</v>
      </c>
      <c r="S4381" s="22"/>
      <c r="T4381" s="21" t="str">
        <f>HYPERLINK("https://miland.ru/api/getInfo/image/b0196fcb-4733-11ee-a243-00155d82e902")</f>
        <v>https://miland.ru/api/getInfo/image/b0196fcb-4733-11ee-a243-00155d82e902</v>
      </c>
      <c r="U4381" s="21"/>
      <c r="V4381" s="21" t="s">
        <v>7848</v>
      </c>
      <c r="W4381" s="21" t="s">
        <v>408</v>
      </c>
      <c r="X4381" s="21"/>
      <c r="Y4381" s="21" t="s">
        <v>41</v>
      </c>
      <c r="Z4381" s="21"/>
      <c r="AA4381" s="21" t="str">
        <f>HYPERLINK("https://miland.ru/api/getInfo/item/b0196fcb-4733-11ee-a243-00155d82e902")</f>
        <v>https://miland.ru/api/getInfo/item/b0196fcb-4733-11ee-a243-00155d82e902</v>
      </c>
      <c r="AB4381" s="21" t="s">
        <v>50</v>
      </c>
      <c r="AC4381" s="21" t="s">
        <v>15469</v>
      </c>
      <c r="AD4381" s="21"/>
    </row>
    <row r="4382" spans="2:31" s="1" customFormat="1" ht="96.3" customHeight="1" outlineLevel="6">
      <c r="B4382" s="57">
        <v>3500</v>
      </c>
      <c r="C4382" s="21" t="s">
        <v>15470</v>
      </c>
      <c r="D4382" s="72" t="s">
        <v>15471</v>
      </c>
      <c r="E4382" s="72"/>
      <c r="F4382" s="72"/>
      <c r="G4382" s="72"/>
      <c r="H4382" s="22" t="s">
        <v>15472</v>
      </c>
      <c r="I4382" s="23" t="s">
        <v>36</v>
      </c>
      <c r="J4382" s="22"/>
      <c r="K4382" s="20">
        <v>50</v>
      </c>
      <c r="L4382" s="24">
        <v>11.29</v>
      </c>
      <c r="M4382" s="11"/>
      <c r="N4382" s="22">
        <f t="shared" si="220"/>
        <v>0</v>
      </c>
      <c r="O4382" s="25">
        <f>0.009*M4382</f>
        <v>0</v>
      </c>
      <c r="P4382" s="26">
        <f>0.00037*M4382</f>
        <v>0</v>
      </c>
      <c r="Q4382" s="30"/>
      <c r="R4382" s="22" t="s">
        <v>15473</v>
      </c>
      <c r="S4382" s="22"/>
      <c r="T4382" s="21" t="str">
        <f>HYPERLINK("https://miland.ru/api/getInfo/image/09618bc8-4735-11ee-a243-00155d82e902")</f>
        <v>https://miland.ru/api/getInfo/image/09618bc8-4735-11ee-a243-00155d82e902</v>
      </c>
      <c r="U4382" s="21"/>
      <c r="V4382" s="21" t="s">
        <v>7848</v>
      </c>
      <c r="W4382" s="21" t="s">
        <v>408</v>
      </c>
      <c r="X4382" s="21"/>
      <c r="Y4382" s="21" t="s">
        <v>41</v>
      </c>
      <c r="Z4382" s="21"/>
      <c r="AA4382" s="21" t="str">
        <f>HYPERLINK("https://miland.ru/api/getInfo/item/09618bc8-4735-11ee-a243-00155d82e902")</f>
        <v>https://miland.ru/api/getInfo/item/09618bc8-4735-11ee-a243-00155d82e902</v>
      </c>
      <c r="AB4382" s="21" t="s">
        <v>50</v>
      </c>
      <c r="AC4382" s="21" t="s">
        <v>15474</v>
      </c>
      <c r="AD4382" s="21"/>
    </row>
    <row r="4383" spans="2:31" ht="12" customHeight="1" outlineLevel="6">
      <c r="B4383" s="70" t="s">
        <v>6685</v>
      </c>
      <c r="C4383" s="70"/>
      <c r="D4383" s="70"/>
      <c r="E4383" s="70"/>
      <c r="F4383" s="70"/>
      <c r="G4383" s="70"/>
    </row>
    <row r="4384" spans="2:31" ht="12" customHeight="1" outlineLevel="7">
      <c r="B4384" s="70" t="s">
        <v>6686</v>
      </c>
      <c r="C4384" s="70"/>
      <c r="D4384" s="70"/>
      <c r="E4384" s="70"/>
      <c r="F4384" s="70"/>
      <c r="G4384" s="70"/>
    </row>
    <row r="4385" spans="2:30" s="1" customFormat="1" ht="96.3" customHeight="1" outlineLevel="7">
      <c r="B4385" s="57">
        <v>3501</v>
      </c>
      <c r="C4385" s="21" t="s">
        <v>15475</v>
      </c>
      <c r="D4385" s="72" t="s">
        <v>15476</v>
      </c>
      <c r="E4385" s="72"/>
      <c r="F4385" s="72"/>
      <c r="G4385" s="72"/>
      <c r="H4385" s="22" t="s">
        <v>15477</v>
      </c>
      <c r="I4385" s="23" t="s">
        <v>36</v>
      </c>
      <c r="J4385" s="22"/>
      <c r="K4385" s="20">
        <v>50</v>
      </c>
      <c r="L4385" s="24">
        <v>21.98</v>
      </c>
      <c r="M4385" s="11"/>
      <c r="N4385" s="22">
        <f>L4385*M4385</f>
        <v>0</v>
      </c>
      <c r="O4385" s="25">
        <f>0.013*M4385</f>
        <v>0</v>
      </c>
      <c r="P4385" s="26">
        <f>0.00024*M4385</f>
        <v>0</v>
      </c>
      <c r="Q4385" s="30"/>
      <c r="R4385" s="22" t="s">
        <v>15478</v>
      </c>
      <c r="S4385" s="22"/>
      <c r="T4385" s="21" t="str">
        <f>HYPERLINK("https://miland.ru/api/getInfo/image/b4aab847-4b80-11f0-a27c-00155d82e908")</f>
        <v>https://miland.ru/api/getInfo/image/b4aab847-4b80-11f0-a27c-00155d82e908</v>
      </c>
      <c r="U4385" s="21"/>
      <c r="V4385" s="21" t="s">
        <v>7876</v>
      </c>
      <c r="W4385" s="21" t="s">
        <v>408</v>
      </c>
      <c r="X4385" s="21"/>
      <c r="Y4385" s="21" t="s">
        <v>41</v>
      </c>
      <c r="Z4385" s="21"/>
      <c r="AA4385" s="21" t="str">
        <f>HYPERLINK("https://miland.ru/api/getInfo/item/b4aab847-4b80-11f0-a27c-00155d82e908")</f>
        <v>https://miland.ru/api/getInfo/item/b4aab847-4b80-11f0-a27c-00155d82e908</v>
      </c>
      <c r="AB4385" s="21" t="s">
        <v>50</v>
      </c>
      <c r="AC4385" s="21"/>
      <c r="AD4385" s="21"/>
    </row>
    <row r="4386" spans="2:30" s="1" customFormat="1" ht="96.3" customHeight="1" outlineLevel="7">
      <c r="B4386" s="57">
        <v>3502</v>
      </c>
      <c r="C4386" s="21" t="s">
        <v>15475</v>
      </c>
      <c r="D4386" s="72" t="s">
        <v>15476</v>
      </c>
      <c r="E4386" s="72"/>
      <c r="F4386" s="72"/>
      <c r="G4386" s="72"/>
      <c r="H4386" s="22" t="s">
        <v>15477</v>
      </c>
      <c r="I4386" s="23" t="s">
        <v>36</v>
      </c>
      <c r="J4386" s="22"/>
      <c r="K4386" s="20">
        <v>50</v>
      </c>
      <c r="L4386" s="24">
        <v>21.98</v>
      </c>
      <c r="M4386" s="11"/>
      <c r="N4386" s="22">
        <f>L4386*M4386</f>
        <v>0</v>
      </c>
      <c r="O4386" s="25">
        <f>0.013*M4386</f>
        <v>0</v>
      </c>
      <c r="P4386" s="26">
        <f>0.00024*M4386</f>
        <v>0</v>
      </c>
      <c r="Q4386" s="30"/>
      <c r="R4386" s="22" t="s">
        <v>15478</v>
      </c>
      <c r="S4386" s="22"/>
      <c r="T4386" s="21" t="str">
        <f>HYPERLINK("https://miland.ru/api/getInfo/image/b4aab847-4b80-11f0-a27c-00155d82e908")</f>
        <v>https://miland.ru/api/getInfo/image/b4aab847-4b80-11f0-a27c-00155d82e908</v>
      </c>
      <c r="U4386" s="21"/>
      <c r="V4386" s="21" t="s">
        <v>7876</v>
      </c>
      <c r="W4386" s="21" t="s">
        <v>408</v>
      </c>
      <c r="X4386" s="21"/>
      <c r="Y4386" s="21" t="s">
        <v>41</v>
      </c>
      <c r="Z4386" s="21"/>
      <c r="AA4386" s="21" t="str">
        <f>HYPERLINK("https://miland.ru/api/getInfo/item/b4aab847-4b80-11f0-a27c-00155d82e908")</f>
        <v>https://miland.ru/api/getInfo/item/b4aab847-4b80-11f0-a27c-00155d82e908</v>
      </c>
      <c r="AB4386" s="21" t="s">
        <v>50</v>
      </c>
      <c r="AC4386" s="21"/>
      <c r="AD4386" s="21"/>
    </row>
    <row r="4387" spans="2:30" ht="12" customHeight="1" outlineLevel="5">
      <c r="B4387" s="70" t="s">
        <v>15479</v>
      </c>
      <c r="C4387" s="70"/>
      <c r="D4387" s="70"/>
      <c r="E4387" s="70"/>
      <c r="F4387" s="70"/>
      <c r="G4387" s="70"/>
    </row>
    <row r="4388" spans="2:30" s="1" customFormat="1" ht="96.3" customHeight="1" outlineLevel="6">
      <c r="B4388" s="57">
        <v>3503</v>
      </c>
      <c r="C4388" s="21" t="s">
        <v>15480</v>
      </c>
      <c r="D4388" s="72" t="s">
        <v>15481</v>
      </c>
      <c r="E4388" s="72"/>
      <c r="F4388" s="72"/>
      <c r="G4388" s="72"/>
      <c r="H4388" s="22" t="s">
        <v>15482</v>
      </c>
      <c r="I4388" s="23" t="s">
        <v>36</v>
      </c>
      <c r="J4388" s="22"/>
      <c r="K4388" s="20">
        <v>25</v>
      </c>
      <c r="L4388" s="24">
        <v>28.22</v>
      </c>
      <c r="M4388" s="11"/>
      <c r="N4388" s="22">
        <f t="shared" ref="N4388:N4395" si="221">L4388*M4388</f>
        <v>0</v>
      </c>
      <c r="O4388" s="28">
        <f>0.02*M4388</f>
        <v>0</v>
      </c>
      <c r="P4388" s="26">
        <f>0.00051*M4388</f>
        <v>0</v>
      </c>
      <c r="Q4388" s="30"/>
      <c r="R4388" s="22" t="s">
        <v>15483</v>
      </c>
      <c r="S4388" s="22"/>
      <c r="T4388" s="21" t="str">
        <f>HYPERLINK("https://miland.ru/api/getInfo/image/04213a8b-92a4-11ef-a265-00155d82e908")</f>
        <v>https://miland.ru/api/getInfo/image/04213a8b-92a4-11ef-a265-00155d82e908</v>
      </c>
      <c r="U4388" s="21"/>
      <c r="V4388" s="21" t="s">
        <v>7848</v>
      </c>
      <c r="W4388" s="21" t="s">
        <v>408</v>
      </c>
      <c r="X4388" s="21"/>
      <c r="Y4388" s="21" t="s">
        <v>41</v>
      </c>
      <c r="Z4388" s="21"/>
      <c r="AA4388" s="21" t="str">
        <f>HYPERLINK("https://miland.ru/api/getInfo/item/04213a8b-92a4-11ef-a265-00155d82e908")</f>
        <v>https://miland.ru/api/getInfo/item/04213a8b-92a4-11ef-a265-00155d82e908</v>
      </c>
      <c r="AB4388" s="21" t="s">
        <v>50</v>
      </c>
      <c r="AC4388" s="21" t="s">
        <v>15484</v>
      </c>
      <c r="AD4388" s="21"/>
    </row>
    <row r="4389" spans="2:30" s="1" customFormat="1" ht="96.3" customHeight="1" outlineLevel="6">
      <c r="B4389" s="57">
        <v>3504</v>
      </c>
      <c r="C4389" s="21" t="s">
        <v>15485</v>
      </c>
      <c r="D4389" s="72" t="s">
        <v>15486</v>
      </c>
      <c r="E4389" s="72"/>
      <c r="F4389" s="72"/>
      <c r="G4389" s="72"/>
      <c r="H4389" s="22" t="s">
        <v>15487</v>
      </c>
      <c r="I4389" s="27">
        <v>350</v>
      </c>
      <c r="J4389" s="22"/>
      <c r="K4389" s="20">
        <v>50</v>
      </c>
      <c r="L4389" s="24">
        <v>26.89</v>
      </c>
      <c r="M4389" s="11"/>
      <c r="N4389" s="22">
        <f t="shared" si="221"/>
        <v>0</v>
      </c>
      <c r="O4389" s="25">
        <f>0.019*M4389</f>
        <v>0</v>
      </c>
      <c r="P4389" s="26">
        <f>0.00051*M4389</f>
        <v>0</v>
      </c>
      <c r="Q4389" s="30"/>
      <c r="R4389" s="22" t="s">
        <v>15488</v>
      </c>
      <c r="S4389" s="22"/>
      <c r="T4389" s="21" t="str">
        <f>HYPERLINK("https://miland.ru/api/getInfo/image/144a4879-cc52-11f0-a28a-00155d82e908")</f>
        <v>https://miland.ru/api/getInfo/image/144a4879-cc52-11f0-a28a-00155d82e908</v>
      </c>
      <c r="U4389" s="21"/>
      <c r="V4389" s="21"/>
      <c r="W4389" s="21" t="s">
        <v>408</v>
      </c>
      <c r="X4389" s="21"/>
      <c r="Y4389" s="21" t="s">
        <v>41</v>
      </c>
      <c r="Z4389" s="21"/>
      <c r="AA4389" s="21" t="str">
        <f>HYPERLINK("https://miland.ru/api/getInfo/item/144a4879-cc52-11f0-a28a-00155d82e908")</f>
        <v>https://miland.ru/api/getInfo/item/144a4879-cc52-11f0-a28a-00155d82e908</v>
      </c>
      <c r="AB4389" s="21" t="s">
        <v>50</v>
      </c>
      <c r="AC4389" s="21"/>
      <c r="AD4389" s="21"/>
    </row>
    <row r="4390" spans="2:30" s="1" customFormat="1" ht="96.3" customHeight="1" outlineLevel="6">
      <c r="B4390" s="57">
        <v>3505</v>
      </c>
      <c r="C4390" s="21" t="s">
        <v>15489</v>
      </c>
      <c r="D4390" s="72" t="s">
        <v>15490</v>
      </c>
      <c r="E4390" s="72"/>
      <c r="F4390" s="72"/>
      <c r="G4390" s="72"/>
      <c r="H4390" s="22" t="s">
        <v>15491</v>
      </c>
      <c r="I4390" s="27">
        <v>350</v>
      </c>
      <c r="J4390" s="22"/>
      <c r="K4390" s="20">
        <v>50</v>
      </c>
      <c r="L4390" s="24">
        <v>26.89</v>
      </c>
      <c r="M4390" s="11"/>
      <c r="N4390" s="22">
        <f t="shared" si="221"/>
        <v>0</v>
      </c>
      <c r="O4390" s="28">
        <f>0.02*M4390</f>
        <v>0</v>
      </c>
      <c r="P4390" s="26">
        <f>0.00051*M4390</f>
        <v>0</v>
      </c>
      <c r="Q4390" s="30"/>
      <c r="R4390" s="22" t="s">
        <v>15492</v>
      </c>
      <c r="S4390" s="22"/>
      <c r="T4390" s="21" t="str">
        <f>HYPERLINK("https://miland.ru/api/getInfo/image/0867c6f9-2e81-11ed-a216-ac1f6b442185")</f>
        <v>https://miland.ru/api/getInfo/image/0867c6f9-2e81-11ed-a216-ac1f6b442185</v>
      </c>
      <c r="U4390" s="21"/>
      <c r="V4390" s="21" t="s">
        <v>7848</v>
      </c>
      <c r="W4390" s="21" t="s">
        <v>408</v>
      </c>
      <c r="X4390" s="21"/>
      <c r="Y4390" s="21" t="s">
        <v>41</v>
      </c>
      <c r="Z4390" s="21"/>
      <c r="AA4390" s="21" t="str">
        <f>HYPERLINK("https://miland.ru/api/getInfo/item/0867c6f9-2e81-11ed-a216-ac1f6b442185")</f>
        <v>https://miland.ru/api/getInfo/item/0867c6f9-2e81-11ed-a216-ac1f6b442185</v>
      </c>
      <c r="AB4390" s="21" t="s">
        <v>50</v>
      </c>
      <c r="AC4390" s="21" t="s">
        <v>7992</v>
      </c>
      <c r="AD4390" s="21"/>
    </row>
    <row r="4391" spans="2:30" s="1" customFormat="1" ht="96.3" customHeight="1" outlineLevel="6">
      <c r="B4391" s="57">
        <v>3506</v>
      </c>
      <c r="C4391" s="21" t="s">
        <v>15493</v>
      </c>
      <c r="D4391" s="72" t="s">
        <v>15494</v>
      </c>
      <c r="E4391" s="72"/>
      <c r="F4391" s="72"/>
      <c r="G4391" s="72"/>
      <c r="H4391" s="22" t="s">
        <v>15495</v>
      </c>
      <c r="I4391" s="23" t="s">
        <v>36</v>
      </c>
      <c r="J4391" s="22"/>
      <c r="K4391" s="20">
        <v>50</v>
      </c>
      <c r="L4391" s="24">
        <v>32.76</v>
      </c>
      <c r="M4391" s="11"/>
      <c r="N4391" s="22">
        <f t="shared" si="221"/>
        <v>0</v>
      </c>
      <c r="O4391" s="25">
        <f>0.022*M4391</f>
        <v>0</v>
      </c>
      <c r="P4391" s="26">
        <f>0.00051*M4391</f>
        <v>0</v>
      </c>
      <c r="Q4391" s="30"/>
      <c r="R4391" s="22" t="s">
        <v>15496</v>
      </c>
      <c r="S4391" s="22"/>
      <c r="T4391" s="21" t="str">
        <f>HYPERLINK("https://miland.ru/api/getInfo/image/d081cab1-cc52-11f0-a28a-00155d82e908")</f>
        <v>https://miland.ru/api/getInfo/image/d081cab1-cc52-11f0-a28a-00155d82e908</v>
      </c>
      <c r="U4391" s="21"/>
      <c r="V4391" s="21"/>
      <c r="W4391" s="21" t="s">
        <v>408</v>
      </c>
      <c r="X4391" s="21"/>
      <c r="Y4391" s="21" t="s">
        <v>41</v>
      </c>
      <c r="Z4391" s="21"/>
      <c r="AA4391" s="21" t="str">
        <f>HYPERLINK("https://miland.ru/api/getInfo/item/d081cab1-cc52-11f0-a28a-00155d82e908")</f>
        <v>https://miland.ru/api/getInfo/item/d081cab1-cc52-11f0-a28a-00155d82e908</v>
      </c>
      <c r="AB4391" s="21" t="s">
        <v>50</v>
      </c>
      <c r="AC4391" s="21"/>
      <c r="AD4391" s="21"/>
    </row>
    <row r="4392" spans="2:30" s="1" customFormat="1" ht="96.3" customHeight="1" outlineLevel="6">
      <c r="B4392" s="57">
        <v>3507</v>
      </c>
      <c r="C4392" s="21" t="s">
        <v>15497</v>
      </c>
      <c r="D4392" s="72" t="s">
        <v>15498</v>
      </c>
      <c r="E4392" s="72"/>
      <c r="F4392" s="72"/>
      <c r="G4392" s="72"/>
      <c r="H4392" s="22" t="s">
        <v>15499</v>
      </c>
      <c r="I4392" s="27">
        <v>50</v>
      </c>
      <c r="J4392" s="22"/>
      <c r="K4392" s="20">
        <v>50</v>
      </c>
      <c r="L4392" s="24">
        <v>32.76</v>
      </c>
      <c r="M4392" s="11"/>
      <c r="N4392" s="22">
        <f t="shared" si="221"/>
        <v>0</v>
      </c>
      <c r="O4392" s="25">
        <f>0.021*M4392</f>
        <v>0</v>
      </c>
      <c r="P4392" s="26">
        <f>0.00051*M4392</f>
        <v>0</v>
      </c>
      <c r="Q4392" s="30"/>
      <c r="R4392" s="22" t="s">
        <v>15500</v>
      </c>
      <c r="S4392" s="22"/>
      <c r="T4392" s="21" t="str">
        <f>HYPERLINK("https://miland.ru/api/getInfo/image/e031ad97-60db-11e9-a224-ac1f6b442184")</f>
        <v>https://miland.ru/api/getInfo/image/e031ad97-60db-11e9-a224-ac1f6b442184</v>
      </c>
      <c r="U4392" s="21"/>
      <c r="V4392" s="21" t="s">
        <v>7848</v>
      </c>
      <c r="W4392" s="21" t="s">
        <v>408</v>
      </c>
      <c r="X4392" s="21"/>
      <c r="Y4392" s="21" t="s">
        <v>41</v>
      </c>
      <c r="Z4392" s="21"/>
      <c r="AA4392" s="21" t="str">
        <f>HYPERLINK("https://miland.ru/api/getInfo/item/e031ad97-60db-11e9-a224-ac1f6b442184")</f>
        <v>https://miland.ru/api/getInfo/item/e031ad97-60db-11e9-a224-ac1f6b442184</v>
      </c>
      <c r="AB4392" s="21" t="s">
        <v>50</v>
      </c>
      <c r="AC4392" s="21" t="s">
        <v>15501</v>
      </c>
      <c r="AD4392" s="21"/>
    </row>
    <row r="4393" spans="2:30" s="1" customFormat="1" ht="96.3" customHeight="1" outlineLevel="6">
      <c r="B4393" s="57">
        <v>3508</v>
      </c>
      <c r="C4393" s="21" t="s">
        <v>15502</v>
      </c>
      <c r="D4393" s="72" t="s">
        <v>15503</v>
      </c>
      <c r="E4393" s="72"/>
      <c r="F4393" s="72"/>
      <c r="G4393" s="72"/>
      <c r="H4393" s="22" t="s">
        <v>15504</v>
      </c>
      <c r="I4393" s="23" t="s">
        <v>36</v>
      </c>
      <c r="J4393" s="22"/>
      <c r="K4393" s="20">
        <v>25</v>
      </c>
      <c r="L4393" s="24">
        <v>28.22</v>
      </c>
      <c r="M4393" s="11"/>
      <c r="N4393" s="22">
        <f t="shared" si="221"/>
        <v>0</v>
      </c>
      <c r="O4393" s="28">
        <f>0.02*M4393</f>
        <v>0</v>
      </c>
      <c r="P4393" s="26">
        <f>0.00005*M4393</f>
        <v>0</v>
      </c>
      <c r="Q4393" s="30"/>
      <c r="R4393" s="22" t="s">
        <v>15505</v>
      </c>
      <c r="S4393" s="22"/>
      <c r="T4393" s="21" t="str">
        <f>HYPERLINK("https://miland.ru/api/getInfo/image/f56f9894-92a4-11ef-a265-00155d82e908")</f>
        <v>https://miland.ru/api/getInfo/image/f56f9894-92a4-11ef-a265-00155d82e908</v>
      </c>
      <c r="U4393" s="21"/>
      <c r="V4393" s="21" t="s">
        <v>7848</v>
      </c>
      <c r="W4393" s="21" t="s">
        <v>408</v>
      </c>
      <c r="X4393" s="21"/>
      <c r="Y4393" s="21" t="s">
        <v>41</v>
      </c>
      <c r="Z4393" s="21"/>
      <c r="AA4393" s="21" t="str">
        <f>HYPERLINK("https://miland.ru/api/getInfo/item/f56f9894-92a4-11ef-a265-00155d82e908")</f>
        <v>https://miland.ru/api/getInfo/item/f56f9894-92a4-11ef-a265-00155d82e908</v>
      </c>
      <c r="AB4393" s="21" t="s">
        <v>50</v>
      </c>
      <c r="AC4393" s="21" t="s">
        <v>15484</v>
      </c>
      <c r="AD4393" s="21"/>
    </row>
    <row r="4394" spans="2:30" s="1" customFormat="1" ht="96.3" customHeight="1" outlineLevel="6">
      <c r="B4394" s="57">
        <v>3509</v>
      </c>
      <c r="C4394" s="21" t="s">
        <v>15506</v>
      </c>
      <c r="D4394" s="72" t="s">
        <v>15507</v>
      </c>
      <c r="E4394" s="72"/>
      <c r="F4394" s="72"/>
      <c r="G4394" s="72"/>
      <c r="H4394" s="22" t="s">
        <v>15508</v>
      </c>
      <c r="I4394" s="23" t="s">
        <v>36</v>
      </c>
      <c r="J4394" s="22"/>
      <c r="K4394" s="20">
        <v>50</v>
      </c>
      <c r="L4394" s="24">
        <v>20.23</v>
      </c>
      <c r="M4394" s="11"/>
      <c r="N4394" s="22">
        <f t="shared" si="221"/>
        <v>0</v>
      </c>
      <c r="O4394" s="25">
        <f>0.015*M4394</f>
        <v>0</v>
      </c>
      <c r="P4394" s="26">
        <f>0.00051*M4394</f>
        <v>0</v>
      </c>
      <c r="Q4394" s="30"/>
      <c r="R4394" s="22" t="s">
        <v>15509</v>
      </c>
      <c r="S4394" s="22"/>
      <c r="T4394" s="21" t="str">
        <f>HYPERLINK("https://miland.ru/api/getInfo/image/ac64a46c-4574-11ee-a243-00155d82e902")</f>
        <v>https://miland.ru/api/getInfo/image/ac64a46c-4574-11ee-a243-00155d82e902</v>
      </c>
      <c r="U4394" s="21"/>
      <c r="V4394" s="21" t="s">
        <v>7848</v>
      </c>
      <c r="W4394" s="21" t="s">
        <v>408</v>
      </c>
      <c r="X4394" s="21"/>
      <c r="Y4394" s="21" t="s">
        <v>41</v>
      </c>
      <c r="Z4394" s="21"/>
      <c r="AA4394" s="21" t="str">
        <f>HYPERLINK("https://miland.ru/api/getInfo/item/ac64a46c-4574-11ee-a243-00155d82e902")</f>
        <v>https://miland.ru/api/getInfo/item/ac64a46c-4574-11ee-a243-00155d82e902</v>
      </c>
      <c r="AB4394" s="21" t="s">
        <v>50</v>
      </c>
      <c r="AC4394" s="21" t="s">
        <v>15510</v>
      </c>
      <c r="AD4394" s="21"/>
    </row>
    <row r="4395" spans="2:30" s="1" customFormat="1" ht="96.3" customHeight="1" outlineLevel="6">
      <c r="B4395" s="57">
        <v>3510</v>
      </c>
      <c r="C4395" s="21" t="s">
        <v>15511</v>
      </c>
      <c r="D4395" s="72" t="s">
        <v>15512</v>
      </c>
      <c r="E4395" s="72"/>
      <c r="F4395" s="72"/>
      <c r="G4395" s="72"/>
      <c r="H4395" s="22" t="s">
        <v>15513</v>
      </c>
      <c r="I4395" s="23" t="s">
        <v>36</v>
      </c>
      <c r="J4395" s="22"/>
      <c r="K4395" s="20">
        <v>50</v>
      </c>
      <c r="L4395" s="24">
        <v>20.23</v>
      </c>
      <c r="M4395" s="11"/>
      <c r="N4395" s="22">
        <f t="shared" si="221"/>
        <v>0</v>
      </c>
      <c r="O4395" s="25">
        <f>0.016*M4395</f>
        <v>0</v>
      </c>
      <c r="P4395" s="26">
        <f>0.00034*M4395</f>
        <v>0</v>
      </c>
      <c r="Q4395" s="30"/>
      <c r="R4395" s="22" t="s">
        <v>15514</v>
      </c>
      <c r="S4395" s="22"/>
      <c r="T4395" s="21" t="str">
        <f>HYPERLINK("https://miland.ru/api/getInfo/image/185a4cbd-4575-11ee-a243-00155d82e902")</f>
        <v>https://miland.ru/api/getInfo/image/185a4cbd-4575-11ee-a243-00155d82e902</v>
      </c>
      <c r="U4395" s="21"/>
      <c r="V4395" s="21" t="s">
        <v>7848</v>
      </c>
      <c r="W4395" s="21" t="s">
        <v>408</v>
      </c>
      <c r="X4395" s="21"/>
      <c r="Y4395" s="21" t="s">
        <v>41</v>
      </c>
      <c r="Z4395" s="21"/>
      <c r="AA4395" s="21" t="str">
        <f>HYPERLINK("https://miland.ru/api/getInfo/item/185a4cbd-4575-11ee-a243-00155d82e902")</f>
        <v>https://miland.ru/api/getInfo/item/185a4cbd-4575-11ee-a243-00155d82e902</v>
      </c>
      <c r="AB4395" s="21" t="s">
        <v>50</v>
      </c>
      <c r="AC4395" s="21" t="s">
        <v>15510</v>
      </c>
      <c r="AD4395" s="21"/>
    </row>
    <row r="4396" spans="2:30" ht="12" customHeight="1" outlineLevel="4">
      <c r="B4396" s="70" t="s">
        <v>15515</v>
      </c>
      <c r="C4396" s="70"/>
      <c r="D4396" s="70"/>
      <c r="E4396" s="70"/>
      <c r="F4396" s="70"/>
      <c r="G4396" s="70"/>
    </row>
    <row r="4397" spans="2:30" ht="12" customHeight="1" outlineLevel="5">
      <c r="B4397" s="70" t="s">
        <v>8014</v>
      </c>
      <c r="C4397" s="70"/>
      <c r="D4397" s="70"/>
      <c r="E4397" s="70"/>
      <c r="F4397" s="70"/>
      <c r="G4397" s="70"/>
    </row>
    <row r="4398" spans="2:30" s="1" customFormat="1" ht="96.3" customHeight="1" outlineLevel="6">
      <c r="B4398" s="57">
        <v>3511</v>
      </c>
      <c r="C4398" s="21" t="s">
        <v>15516</v>
      </c>
      <c r="D4398" s="72" t="s">
        <v>15517</v>
      </c>
      <c r="E4398" s="72"/>
      <c r="F4398" s="72"/>
      <c r="G4398" s="72"/>
      <c r="H4398" s="22" t="s">
        <v>15518</v>
      </c>
      <c r="I4398" s="23" t="s">
        <v>36</v>
      </c>
      <c r="J4398" s="22"/>
      <c r="K4398" s="20">
        <v>50</v>
      </c>
      <c r="L4398" s="24">
        <v>15.41</v>
      </c>
      <c r="M4398" s="11"/>
      <c r="N4398" s="22">
        <f>L4398*M4398</f>
        <v>0</v>
      </c>
      <c r="O4398" s="25">
        <f>0.011*M4398</f>
        <v>0</v>
      </c>
      <c r="P4398" s="26">
        <f>0.00029*M4398</f>
        <v>0</v>
      </c>
      <c r="Q4398" s="30"/>
      <c r="R4398" s="22" t="s">
        <v>15519</v>
      </c>
      <c r="S4398" s="22"/>
      <c r="T4398" s="21" t="str">
        <f>HYPERLINK("https://miland.ru/api/getInfo/image/cefc6941-3ced-11ee-a241-00155d82e902")</f>
        <v>https://miland.ru/api/getInfo/image/cefc6941-3ced-11ee-a241-00155d82e902</v>
      </c>
      <c r="U4398" s="21"/>
      <c r="V4398" s="21" t="s">
        <v>7848</v>
      </c>
      <c r="W4398" s="21" t="s">
        <v>408</v>
      </c>
      <c r="X4398" s="21"/>
      <c r="Y4398" s="21" t="s">
        <v>41</v>
      </c>
      <c r="Z4398" s="21"/>
      <c r="AA4398" s="21" t="str">
        <f>HYPERLINK("https://miland.ru/api/getInfo/item/cefc6941-3ced-11ee-a241-00155d82e902")</f>
        <v>https://miland.ru/api/getInfo/item/cefc6941-3ced-11ee-a241-00155d82e902</v>
      </c>
      <c r="AB4398" s="21" t="s">
        <v>50</v>
      </c>
      <c r="AC4398" s="21"/>
      <c r="AD4398" s="21"/>
    </row>
    <row r="4399" spans="2:30" ht="12" customHeight="1" outlineLevel="5">
      <c r="B4399" s="70" t="s">
        <v>15520</v>
      </c>
      <c r="C4399" s="70"/>
      <c r="D4399" s="70"/>
      <c r="E4399" s="70"/>
      <c r="F4399" s="70"/>
      <c r="G4399" s="70"/>
    </row>
    <row r="4400" spans="2:30" s="1" customFormat="1" ht="96.3" customHeight="1" outlineLevel="6">
      <c r="B4400" s="57">
        <v>3512</v>
      </c>
      <c r="C4400" s="21" t="s">
        <v>15521</v>
      </c>
      <c r="D4400" s="72" t="s">
        <v>15522</v>
      </c>
      <c r="E4400" s="72"/>
      <c r="F4400" s="72"/>
      <c r="G4400" s="72"/>
      <c r="H4400" s="22" t="s">
        <v>15523</v>
      </c>
      <c r="I4400" s="27">
        <v>250</v>
      </c>
      <c r="J4400" s="22"/>
      <c r="K4400" s="20">
        <v>50</v>
      </c>
      <c r="L4400" s="24">
        <v>17.53</v>
      </c>
      <c r="M4400" s="11"/>
      <c r="N4400" s="22">
        <f>L4400*M4400</f>
        <v>0</v>
      </c>
      <c r="O4400" s="25">
        <f>0.013*M4400</f>
        <v>0</v>
      </c>
      <c r="P4400" s="26">
        <f>0.00048*M4400</f>
        <v>0</v>
      </c>
      <c r="Q4400" s="30"/>
      <c r="R4400" s="22" t="s">
        <v>15524</v>
      </c>
      <c r="S4400" s="22"/>
      <c r="T4400" s="21" t="str">
        <f>HYPERLINK("https://miland.ru/api/getInfo/image/e13b186b-4739-11ee-a243-00155d82e902")</f>
        <v>https://miland.ru/api/getInfo/image/e13b186b-4739-11ee-a243-00155d82e902</v>
      </c>
      <c r="U4400" s="21"/>
      <c r="V4400" s="21" t="s">
        <v>7848</v>
      </c>
      <c r="W4400" s="21" t="s">
        <v>408</v>
      </c>
      <c r="X4400" s="21"/>
      <c r="Y4400" s="21" t="s">
        <v>41</v>
      </c>
      <c r="Z4400" s="21"/>
      <c r="AA4400" s="21" t="str">
        <f>HYPERLINK("https://miland.ru/api/getInfo/item/e13b186b-4739-11ee-a243-00155d82e902")</f>
        <v>https://miland.ru/api/getInfo/item/e13b186b-4739-11ee-a243-00155d82e902</v>
      </c>
      <c r="AB4400" s="21" t="s">
        <v>50</v>
      </c>
      <c r="AC4400" s="21" t="s">
        <v>15525</v>
      </c>
      <c r="AD4400" s="21"/>
    </row>
    <row r="4401" spans="2:31" ht="12" customHeight="1" outlineLevel="5">
      <c r="B4401" s="70" t="s">
        <v>15526</v>
      </c>
      <c r="C4401" s="70"/>
      <c r="D4401" s="70"/>
      <c r="E4401" s="70"/>
      <c r="F4401" s="70"/>
      <c r="G4401" s="70"/>
    </row>
    <row r="4402" spans="2:31" s="1" customFormat="1" ht="96.3" customHeight="1" outlineLevel="6">
      <c r="B4402" s="57">
        <v>3513</v>
      </c>
      <c r="C4402" s="21" t="s">
        <v>15527</v>
      </c>
      <c r="D4402" s="72" t="s">
        <v>15528</v>
      </c>
      <c r="E4402" s="72"/>
      <c r="F4402" s="72"/>
      <c r="G4402" s="72"/>
      <c r="H4402" s="22" t="s">
        <v>15529</v>
      </c>
      <c r="I4402" s="23" t="s">
        <v>36</v>
      </c>
      <c r="J4402" s="22"/>
      <c r="K4402" s="20">
        <v>25</v>
      </c>
      <c r="L4402" s="24">
        <v>17.190000000000001</v>
      </c>
      <c r="M4402" s="11"/>
      <c r="N4402" s="22">
        <f>L4402*M4402</f>
        <v>0</v>
      </c>
      <c r="O4402" s="25">
        <f>0.013*M4402</f>
        <v>0</v>
      </c>
      <c r="P4402" s="26">
        <f>0.00046*M4402</f>
        <v>0</v>
      </c>
      <c r="Q4402" s="30"/>
      <c r="R4402" s="22" t="s">
        <v>15530</v>
      </c>
      <c r="S4402" s="22"/>
      <c r="T4402" s="21" t="str">
        <f>HYPERLINK("https://miland.ru/api/getInfo/image/bfa3340b-2e9e-11ed-a216-ac1f6b442185")</f>
        <v>https://miland.ru/api/getInfo/image/bfa3340b-2e9e-11ed-a216-ac1f6b442185</v>
      </c>
      <c r="U4402" s="21"/>
      <c r="V4402" s="21" t="s">
        <v>7848</v>
      </c>
      <c r="W4402" s="21" t="s">
        <v>408</v>
      </c>
      <c r="X4402" s="21"/>
      <c r="Y4402" s="21" t="s">
        <v>41</v>
      </c>
      <c r="Z4402" s="21"/>
      <c r="AA4402" s="21" t="str">
        <f>HYPERLINK("https://miland.ru/api/getInfo/item/bfa3340b-2e9e-11ed-a216-ac1f6b442185")</f>
        <v>https://miland.ru/api/getInfo/item/bfa3340b-2e9e-11ed-a216-ac1f6b442185</v>
      </c>
      <c r="AB4402" s="21" t="s">
        <v>50</v>
      </c>
      <c r="AC4402" s="21" t="s">
        <v>15531</v>
      </c>
      <c r="AD4402" s="21"/>
    </row>
    <row r="4403" spans="2:31" s="1" customFormat="1" ht="96.3" customHeight="1" outlineLevel="6">
      <c r="B4403" s="57">
        <v>3514</v>
      </c>
      <c r="C4403" s="21" t="s">
        <v>15532</v>
      </c>
      <c r="D4403" s="72" t="s">
        <v>15533</v>
      </c>
      <c r="E4403" s="72"/>
      <c r="F4403" s="72"/>
      <c r="G4403" s="72"/>
      <c r="H4403" s="22" t="s">
        <v>15534</v>
      </c>
      <c r="I4403" s="27">
        <v>50</v>
      </c>
      <c r="J4403" s="22"/>
      <c r="K4403" s="20">
        <v>50</v>
      </c>
      <c r="L4403" s="24">
        <v>29.36</v>
      </c>
      <c r="M4403" s="11"/>
      <c r="N4403" s="22">
        <f>L4403*M4403</f>
        <v>0</v>
      </c>
      <c r="O4403" s="25">
        <f>0.022*M4403</f>
        <v>0</v>
      </c>
      <c r="P4403" s="26">
        <f>0.00014*M4403</f>
        <v>0</v>
      </c>
      <c r="Q4403" s="30"/>
      <c r="R4403" s="22" t="s">
        <v>15535</v>
      </c>
      <c r="S4403" s="22"/>
      <c r="T4403" s="21" t="str">
        <f>HYPERLINK("https://miland.ru/api/getInfo/image/ec29c6c3-1eee-11e9-a21c-ac1f6b442184")</f>
        <v>https://miland.ru/api/getInfo/image/ec29c6c3-1eee-11e9-a21c-ac1f6b442184</v>
      </c>
      <c r="U4403" s="21"/>
      <c r="V4403" s="21" t="s">
        <v>7848</v>
      </c>
      <c r="W4403" s="21" t="s">
        <v>408</v>
      </c>
      <c r="X4403" s="21"/>
      <c r="Y4403" s="21" t="s">
        <v>41</v>
      </c>
      <c r="Z4403" s="21"/>
      <c r="AA4403" s="21" t="str">
        <f>HYPERLINK("https://miland.ru/api/getInfo/item/ec29c6c3-1eee-11e9-a21c-ac1f6b442184")</f>
        <v>https://miland.ru/api/getInfo/item/ec29c6c3-1eee-11e9-a21c-ac1f6b442184</v>
      </c>
      <c r="AB4403" s="21" t="s">
        <v>50</v>
      </c>
      <c r="AC4403" s="21" t="s">
        <v>15536</v>
      </c>
      <c r="AD4403" s="21"/>
    </row>
    <row r="4404" spans="2:31" ht="12" customHeight="1" outlineLevel="5">
      <c r="B4404" s="70" t="s">
        <v>8062</v>
      </c>
      <c r="C4404" s="70"/>
      <c r="D4404" s="70"/>
      <c r="E4404" s="70"/>
      <c r="F4404" s="70"/>
      <c r="G4404" s="70"/>
    </row>
    <row r="4405" spans="2:31" s="1" customFormat="1" ht="33" customHeight="1" outlineLevel="6">
      <c r="B4405" s="57">
        <v>3515</v>
      </c>
      <c r="C4405" s="21" t="s">
        <v>15537</v>
      </c>
      <c r="D4405" s="72" t="s">
        <v>15538</v>
      </c>
      <c r="E4405" s="72"/>
      <c r="F4405" s="72"/>
      <c r="G4405" s="72"/>
      <c r="H4405" s="22" t="s">
        <v>15539</v>
      </c>
      <c r="I4405" s="23" t="s">
        <v>36</v>
      </c>
      <c r="J4405" s="22"/>
      <c r="K4405" s="20">
        <v>50</v>
      </c>
      <c r="L4405" s="24">
        <v>11.1</v>
      </c>
      <c r="M4405" s="11"/>
      <c r="N4405" s="22">
        <f>L4405*M4405</f>
        <v>0</v>
      </c>
      <c r="O4405" s="25">
        <f>0.018*M4405</f>
        <v>0</v>
      </c>
      <c r="P4405" s="26">
        <f>0.00018*M4405</f>
        <v>0</v>
      </c>
      <c r="Q4405" s="30"/>
      <c r="R4405" s="22" t="s">
        <v>15540</v>
      </c>
      <c r="S4405" s="22"/>
      <c r="T4405" s="21"/>
      <c r="U4405" s="21"/>
      <c r="V4405" s="21"/>
      <c r="W4405" s="21" t="s">
        <v>408</v>
      </c>
      <c r="X4405" s="21"/>
      <c r="Y4405" s="21" t="s">
        <v>41</v>
      </c>
      <c r="Z4405" s="21"/>
      <c r="AA4405" s="21"/>
      <c r="AB4405" s="21" t="s">
        <v>50</v>
      </c>
      <c r="AC4405" s="21"/>
      <c r="AD4405" s="21"/>
    </row>
    <row r="4406" spans="2:31" ht="12" customHeight="1" outlineLevel="4">
      <c r="B4406" s="70" t="s">
        <v>15541</v>
      </c>
      <c r="C4406" s="70"/>
      <c r="D4406" s="70"/>
      <c r="E4406" s="70"/>
      <c r="F4406" s="70"/>
      <c r="G4406" s="70"/>
    </row>
    <row r="4407" spans="2:31" s="1" customFormat="1" ht="96.3" customHeight="1" outlineLevel="5">
      <c r="B4407" s="58">
        <v>3516</v>
      </c>
      <c r="C4407" s="7" t="s">
        <v>15542</v>
      </c>
      <c r="D4407" s="71" t="s">
        <v>15543</v>
      </c>
      <c r="E4407" s="71"/>
      <c r="F4407" s="71"/>
      <c r="G4407" s="71"/>
      <c r="H4407" s="8" t="s">
        <v>15544</v>
      </c>
      <c r="I4407" s="14">
        <v>450</v>
      </c>
      <c r="J4407" s="8"/>
      <c r="K4407" s="6">
        <v>25</v>
      </c>
      <c r="L4407" s="10">
        <v>86.42</v>
      </c>
      <c r="M4407" s="11"/>
      <c r="N4407" s="8">
        <f t="shared" ref="N4407:N4413" si="222">L4407*M4407</f>
        <v>0</v>
      </c>
      <c r="O4407" s="12">
        <f>0.072*M4407</f>
        <v>0</v>
      </c>
      <c r="P4407" s="13">
        <f>0.00068*M4407</f>
        <v>0</v>
      </c>
      <c r="Q4407" s="17" t="s">
        <v>37</v>
      </c>
      <c r="R4407" s="8" t="s">
        <v>15545</v>
      </c>
      <c r="S4407" s="8"/>
      <c r="T4407" s="7" t="str">
        <f>HYPERLINK("https://miland.ru/api/getInfo/image/94f313ef-21dc-11f1-a290-00155d82e908")</f>
        <v>https://miland.ru/api/getInfo/image/94f313ef-21dc-11f1-a290-00155d82e908</v>
      </c>
      <c r="U4407" s="7"/>
      <c r="V4407" s="7"/>
      <c r="W4407" s="7" t="s">
        <v>408</v>
      </c>
      <c r="X4407" s="7"/>
      <c r="Y4407" s="7" t="s">
        <v>41</v>
      </c>
      <c r="Z4407" s="7"/>
      <c r="AA4407" s="7" t="str">
        <f>HYPERLINK("https://miland.ru/api/getInfo/item/94f313ef-21dc-11f1-a290-00155d82e908")</f>
        <v>https://miland.ru/api/getInfo/item/94f313ef-21dc-11f1-a290-00155d82e908</v>
      </c>
      <c r="AB4407" s="7" t="s">
        <v>50</v>
      </c>
      <c r="AC4407" s="7"/>
      <c r="AD4407" s="7"/>
      <c r="AE4407" s="54"/>
    </row>
    <row r="4408" spans="2:31" s="1" customFormat="1" ht="96.3" customHeight="1" outlineLevel="5">
      <c r="B4408" s="58">
        <v>3517</v>
      </c>
      <c r="C4408" s="7" t="s">
        <v>15546</v>
      </c>
      <c r="D4408" s="71" t="s">
        <v>15547</v>
      </c>
      <c r="E4408" s="71"/>
      <c r="F4408" s="71"/>
      <c r="G4408" s="71"/>
      <c r="H4408" s="8" t="s">
        <v>15548</v>
      </c>
      <c r="I4408" s="14">
        <v>425</v>
      </c>
      <c r="J4408" s="8"/>
      <c r="K4408" s="6">
        <v>25</v>
      </c>
      <c r="L4408" s="10">
        <v>64.39</v>
      </c>
      <c r="M4408" s="11"/>
      <c r="N4408" s="8">
        <f t="shared" si="222"/>
        <v>0</v>
      </c>
      <c r="O4408" s="12">
        <f>0.061*M4408</f>
        <v>0</v>
      </c>
      <c r="P4408" s="16">
        <f>0.0006*M4408</f>
        <v>0</v>
      </c>
      <c r="Q4408" s="17" t="s">
        <v>37</v>
      </c>
      <c r="R4408" s="8" t="s">
        <v>15549</v>
      </c>
      <c r="S4408" s="8"/>
      <c r="T4408" s="7" t="str">
        <f>HYPERLINK("https://miland.ru/api/getInfo/image/b01f7a90-21dd-11f1-a290-00155d82e908")</f>
        <v>https://miland.ru/api/getInfo/image/b01f7a90-21dd-11f1-a290-00155d82e908</v>
      </c>
      <c r="U4408" s="7"/>
      <c r="V4408" s="7"/>
      <c r="W4408" s="7" t="s">
        <v>408</v>
      </c>
      <c r="X4408" s="7"/>
      <c r="Y4408" s="7" t="s">
        <v>41</v>
      </c>
      <c r="Z4408" s="7"/>
      <c r="AA4408" s="7" t="str">
        <f>HYPERLINK("https://miland.ru/api/getInfo/item/b01f7a90-21dd-11f1-a290-00155d82e908")</f>
        <v>https://miland.ru/api/getInfo/item/b01f7a90-21dd-11f1-a290-00155d82e908</v>
      </c>
      <c r="AB4408" s="7" t="s">
        <v>50</v>
      </c>
      <c r="AC4408" s="7"/>
      <c r="AD4408" s="7"/>
      <c r="AE4408" s="54"/>
    </row>
    <row r="4409" spans="2:31" s="1" customFormat="1" ht="96.3" customHeight="1" outlineLevel="5">
      <c r="B4409" s="57">
        <v>3518</v>
      </c>
      <c r="C4409" s="21" t="s">
        <v>15550</v>
      </c>
      <c r="D4409" s="72" t="s">
        <v>15551</v>
      </c>
      <c r="E4409" s="72"/>
      <c r="F4409" s="72"/>
      <c r="G4409" s="72"/>
      <c r="H4409" s="22" t="s">
        <v>15552</v>
      </c>
      <c r="I4409" s="27">
        <v>175</v>
      </c>
      <c r="J4409" s="22"/>
      <c r="K4409" s="20">
        <v>25</v>
      </c>
      <c r="L4409" s="24">
        <v>64.39</v>
      </c>
      <c r="M4409" s="11"/>
      <c r="N4409" s="22">
        <f t="shared" si="222"/>
        <v>0</v>
      </c>
      <c r="O4409" s="25">
        <f>0.069*M4409</f>
        <v>0</v>
      </c>
      <c r="P4409" s="29">
        <f>0.0003*M4409</f>
        <v>0</v>
      </c>
      <c r="Q4409" s="30"/>
      <c r="R4409" s="22" t="s">
        <v>15553</v>
      </c>
      <c r="S4409" s="22"/>
      <c r="T4409" s="21" t="str">
        <f>HYPERLINK("https://miland.ru/api/getInfo/image/73045faf-63d5-11ec-a20f-ac1f6b442185")</f>
        <v>https://miland.ru/api/getInfo/image/73045faf-63d5-11ec-a20f-ac1f6b442185</v>
      </c>
      <c r="U4409" s="21"/>
      <c r="V4409" s="21" t="s">
        <v>7848</v>
      </c>
      <c r="W4409" s="21" t="s">
        <v>408</v>
      </c>
      <c r="X4409" s="21"/>
      <c r="Y4409" s="21" t="s">
        <v>41</v>
      </c>
      <c r="Z4409" s="21"/>
      <c r="AA4409" s="21" t="str">
        <f>HYPERLINK("https://miland.ru/api/getInfo/item/73045faf-63d5-11ec-a20f-ac1f6b442185")</f>
        <v>https://miland.ru/api/getInfo/item/73045faf-63d5-11ec-a20f-ac1f6b442185</v>
      </c>
      <c r="AB4409" s="21" t="s">
        <v>50</v>
      </c>
      <c r="AC4409" s="21" t="s">
        <v>15554</v>
      </c>
      <c r="AD4409" s="21"/>
    </row>
    <row r="4410" spans="2:31" s="1" customFormat="1" ht="96.3" customHeight="1" outlineLevel="5">
      <c r="B4410" s="57">
        <v>3519</v>
      </c>
      <c r="C4410" s="21" t="s">
        <v>15555</v>
      </c>
      <c r="D4410" s="72" t="s">
        <v>15556</v>
      </c>
      <c r="E4410" s="72"/>
      <c r="F4410" s="72"/>
      <c r="G4410" s="72"/>
      <c r="H4410" s="22" t="s">
        <v>15557</v>
      </c>
      <c r="I4410" s="23" t="s">
        <v>36</v>
      </c>
      <c r="J4410" s="22"/>
      <c r="K4410" s="20">
        <v>25</v>
      </c>
      <c r="L4410" s="24">
        <v>64.39</v>
      </c>
      <c r="M4410" s="11"/>
      <c r="N4410" s="22">
        <f t="shared" si="222"/>
        <v>0</v>
      </c>
      <c r="O4410" s="25">
        <f>0.053*M4410</f>
        <v>0</v>
      </c>
      <c r="P4410" s="29">
        <f>0.0006*M4410</f>
        <v>0</v>
      </c>
      <c r="Q4410" s="30"/>
      <c r="R4410" s="22" t="s">
        <v>15558</v>
      </c>
      <c r="S4410" s="22"/>
      <c r="T4410" s="21" t="str">
        <f>HYPERLINK("https://miland.ru/api/getInfo/image/9526d820-63d5-11ec-a20f-ac1f6b442185")</f>
        <v>https://miland.ru/api/getInfo/image/9526d820-63d5-11ec-a20f-ac1f6b442185</v>
      </c>
      <c r="U4410" s="21"/>
      <c r="V4410" s="21" t="s">
        <v>7848</v>
      </c>
      <c r="W4410" s="21" t="s">
        <v>408</v>
      </c>
      <c r="X4410" s="21"/>
      <c r="Y4410" s="21" t="s">
        <v>41</v>
      </c>
      <c r="Z4410" s="21"/>
      <c r="AA4410" s="21" t="str">
        <f>HYPERLINK("https://miland.ru/api/getInfo/item/9526d820-63d5-11ec-a20f-ac1f6b442185")</f>
        <v>https://miland.ru/api/getInfo/item/9526d820-63d5-11ec-a20f-ac1f6b442185</v>
      </c>
      <c r="AB4410" s="21" t="s">
        <v>50</v>
      </c>
      <c r="AC4410" s="21" t="s">
        <v>15554</v>
      </c>
      <c r="AD4410" s="21"/>
    </row>
    <row r="4411" spans="2:31" s="1" customFormat="1" ht="96.3" customHeight="1" outlineLevel="5">
      <c r="B4411" s="57">
        <v>3520</v>
      </c>
      <c r="C4411" s="21" t="s">
        <v>15559</v>
      </c>
      <c r="D4411" s="72" t="s">
        <v>15560</v>
      </c>
      <c r="E4411" s="72"/>
      <c r="F4411" s="72"/>
      <c r="G4411" s="72"/>
      <c r="H4411" s="22" t="s">
        <v>15561</v>
      </c>
      <c r="I4411" s="23" t="s">
        <v>36</v>
      </c>
      <c r="J4411" s="22"/>
      <c r="K4411" s="20">
        <v>25</v>
      </c>
      <c r="L4411" s="24">
        <v>64.39</v>
      </c>
      <c r="M4411" s="11"/>
      <c r="N4411" s="22">
        <f t="shared" si="222"/>
        <v>0</v>
      </c>
      <c r="O4411" s="25">
        <f>0.055*M4411</f>
        <v>0</v>
      </c>
      <c r="P4411" s="29">
        <f>0.0006*M4411</f>
        <v>0</v>
      </c>
      <c r="Q4411" s="30"/>
      <c r="R4411" s="22" t="s">
        <v>15562</v>
      </c>
      <c r="S4411" s="22"/>
      <c r="T4411" s="21" t="str">
        <f>HYPERLINK("https://miland.ru/api/getInfo/image/e81b24aa-63d5-11ec-a20f-ac1f6b442185")</f>
        <v>https://miland.ru/api/getInfo/image/e81b24aa-63d5-11ec-a20f-ac1f6b442185</v>
      </c>
      <c r="U4411" s="21"/>
      <c r="V4411" s="21" t="s">
        <v>7848</v>
      </c>
      <c r="W4411" s="21" t="s">
        <v>408</v>
      </c>
      <c r="X4411" s="21"/>
      <c r="Y4411" s="21" t="s">
        <v>41</v>
      </c>
      <c r="Z4411" s="21"/>
      <c r="AA4411" s="21" t="str">
        <f>HYPERLINK("https://miland.ru/api/getInfo/item/e81b24aa-63d5-11ec-a20f-ac1f6b442185")</f>
        <v>https://miland.ru/api/getInfo/item/e81b24aa-63d5-11ec-a20f-ac1f6b442185</v>
      </c>
      <c r="AB4411" s="21" t="s">
        <v>50</v>
      </c>
      <c r="AC4411" s="21" t="s">
        <v>15554</v>
      </c>
      <c r="AD4411" s="21"/>
    </row>
    <row r="4412" spans="2:31" s="1" customFormat="1" ht="96.3" customHeight="1" outlineLevel="5">
      <c r="B4412" s="57">
        <v>3521</v>
      </c>
      <c r="C4412" s="21" t="s">
        <v>15563</v>
      </c>
      <c r="D4412" s="72" t="s">
        <v>15564</v>
      </c>
      <c r="E4412" s="72"/>
      <c r="F4412" s="72"/>
      <c r="G4412" s="72"/>
      <c r="H4412" s="22" t="s">
        <v>15565</v>
      </c>
      <c r="I4412" s="27">
        <v>225</v>
      </c>
      <c r="J4412" s="22"/>
      <c r="K4412" s="20">
        <v>25</v>
      </c>
      <c r="L4412" s="24">
        <v>21.24</v>
      </c>
      <c r="M4412" s="11"/>
      <c r="N4412" s="22">
        <f t="shared" si="222"/>
        <v>0</v>
      </c>
      <c r="O4412" s="25">
        <f>0.055*M4412</f>
        <v>0</v>
      </c>
      <c r="P4412" s="26">
        <f>0.00127*M4412</f>
        <v>0</v>
      </c>
      <c r="Q4412" s="30"/>
      <c r="R4412" s="22"/>
      <c r="S4412" s="22"/>
      <c r="T4412" s="21" t="str">
        <f>HYPERLINK("https://miland.ru/api/getInfo/image/0dbfc1a4-1ff2-11ea-a237-ac1f6b442184")</f>
        <v>https://miland.ru/api/getInfo/image/0dbfc1a4-1ff2-11ea-a237-ac1f6b442184</v>
      </c>
      <c r="U4412" s="21"/>
      <c r="V4412" s="21" t="s">
        <v>7848</v>
      </c>
      <c r="W4412" s="21" t="s">
        <v>408</v>
      </c>
      <c r="X4412" s="21"/>
      <c r="Y4412" s="21" t="s">
        <v>41</v>
      </c>
      <c r="Z4412" s="21"/>
      <c r="AA4412" s="21" t="str">
        <f>HYPERLINK("https://miland.ru/api/getInfo/item/0dbfc1a4-1ff2-11ea-a237-ac1f6b442184")</f>
        <v>https://miland.ru/api/getInfo/item/0dbfc1a4-1ff2-11ea-a237-ac1f6b442184</v>
      </c>
      <c r="AB4412" s="21" t="s">
        <v>50</v>
      </c>
      <c r="AC4412" s="21" t="s">
        <v>15566</v>
      </c>
      <c r="AD4412" s="21"/>
    </row>
    <row r="4413" spans="2:31" s="1" customFormat="1" ht="33" customHeight="1" outlineLevel="5">
      <c r="B4413" s="57">
        <v>3522</v>
      </c>
      <c r="C4413" s="21" t="s">
        <v>15567</v>
      </c>
      <c r="D4413" s="72" t="s">
        <v>15568</v>
      </c>
      <c r="E4413" s="72"/>
      <c r="F4413" s="72"/>
      <c r="G4413" s="72"/>
      <c r="H4413" s="22" t="s">
        <v>15569</v>
      </c>
      <c r="I4413" s="27">
        <v>100</v>
      </c>
      <c r="J4413" s="22"/>
      <c r="K4413" s="20">
        <v>25</v>
      </c>
      <c r="L4413" s="24">
        <v>62.44</v>
      </c>
      <c r="M4413" s="11"/>
      <c r="N4413" s="22">
        <f t="shared" si="222"/>
        <v>0</v>
      </c>
      <c r="O4413" s="25">
        <f>0.055*M4413</f>
        <v>0</v>
      </c>
      <c r="P4413" s="29">
        <f>0.0006*M4413</f>
        <v>0</v>
      </c>
      <c r="Q4413" s="30"/>
      <c r="R4413" s="22" t="s">
        <v>15570</v>
      </c>
      <c r="S4413" s="22"/>
      <c r="T4413" s="21"/>
      <c r="U4413" s="21"/>
      <c r="V4413" s="21"/>
      <c r="W4413" s="21" t="s">
        <v>408</v>
      </c>
      <c r="X4413" s="21"/>
      <c r="Y4413" s="21" t="s">
        <v>41</v>
      </c>
      <c r="Z4413" s="21"/>
      <c r="AA4413" s="21"/>
      <c r="AB4413" s="21" t="s">
        <v>50</v>
      </c>
      <c r="AC4413" s="21"/>
      <c r="AD4413" s="21"/>
    </row>
    <row r="4414" spans="2:31" ht="12" customHeight="1" outlineLevel="3">
      <c r="B4414" s="70" t="s">
        <v>15571</v>
      </c>
      <c r="C4414" s="70"/>
      <c r="D4414" s="70"/>
      <c r="E4414" s="70"/>
      <c r="F4414" s="70"/>
      <c r="G4414" s="70"/>
    </row>
    <row r="4415" spans="2:31" ht="12" customHeight="1" outlineLevel="4">
      <c r="B4415" s="70" t="s">
        <v>15572</v>
      </c>
      <c r="C4415" s="70"/>
      <c r="D4415" s="70"/>
      <c r="E4415" s="70"/>
      <c r="F4415" s="70"/>
      <c r="G4415" s="70"/>
    </row>
    <row r="4416" spans="2:31" s="1" customFormat="1" ht="96.3" customHeight="1" outlineLevel="5">
      <c r="B4416" s="59">
        <v>3523</v>
      </c>
      <c r="C4416" s="35" t="s">
        <v>15573</v>
      </c>
      <c r="D4416" s="73" t="s">
        <v>15574</v>
      </c>
      <c r="E4416" s="73"/>
      <c r="F4416" s="73"/>
      <c r="G4416" s="73"/>
      <c r="H4416" s="36" t="s">
        <v>15575</v>
      </c>
      <c r="I4416" s="56" t="s">
        <v>36</v>
      </c>
      <c r="J4416" s="36"/>
      <c r="K4416" s="34">
        <v>3</v>
      </c>
      <c r="L4416" s="41">
        <v>160.72</v>
      </c>
      <c r="M4416" s="11"/>
      <c r="N4416" s="36">
        <f t="shared" ref="N4416:N4434" si="223">L4416*M4416</f>
        <v>0</v>
      </c>
      <c r="O4416" s="42">
        <f>0.091*M4416</f>
        <v>0</v>
      </c>
      <c r="P4416" s="43">
        <f>0.00062*M4416</f>
        <v>0</v>
      </c>
      <c r="Q4416" s="50" t="s">
        <v>37</v>
      </c>
      <c r="R4416" s="36" t="s">
        <v>15576</v>
      </c>
      <c r="S4416" s="36"/>
      <c r="T4416" s="35" t="str">
        <f>HYPERLINK("https://miland.ru/api/getInfo/image/a2a02a04-afef-11f0-a286-00155d82e908")</f>
        <v>https://miland.ru/api/getInfo/image/a2a02a04-afef-11f0-a286-00155d82e908</v>
      </c>
      <c r="U4416" s="35"/>
      <c r="V4416" s="35"/>
      <c r="W4416" s="35" t="s">
        <v>408</v>
      </c>
      <c r="X4416" s="35"/>
      <c r="Y4416" s="35" t="s">
        <v>41</v>
      </c>
      <c r="Z4416" s="35"/>
      <c r="AA4416" s="35" t="str">
        <f>HYPERLINK("https://miland.ru/api/getInfo/item/a2a02a04-afef-11f0-a286-00155d82e908")</f>
        <v>https://miland.ru/api/getInfo/item/a2a02a04-afef-11f0-a286-00155d82e908</v>
      </c>
      <c r="AB4416" s="35" t="s">
        <v>42</v>
      </c>
      <c r="AC4416" s="35"/>
      <c r="AD4416" s="35"/>
      <c r="AE4416" s="52" t="s">
        <v>9152</v>
      </c>
    </row>
    <row r="4417" spans="2:31" s="1" customFormat="1" ht="96.3" customHeight="1" outlineLevel="5">
      <c r="B4417" s="59">
        <v>3524</v>
      </c>
      <c r="C4417" s="35" t="s">
        <v>15577</v>
      </c>
      <c r="D4417" s="73" t="s">
        <v>15578</v>
      </c>
      <c r="E4417" s="73"/>
      <c r="F4417" s="73"/>
      <c r="G4417" s="73"/>
      <c r="H4417" s="36" t="s">
        <v>15579</v>
      </c>
      <c r="I4417" s="56" t="s">
        <v>36</v>
      </c>
      <c r="J4417" s="36"/>
      <c r="K4417" s="34">
        <v>3</v>
      </c>
      <c r="L4417" s="41">
        <v>160.72</v>
      </c>
      <c r="M4417" s="11"/>
      <c r="N4417" s="36">
        <f t="shared" si="223"/>
        <v>0</v>
      </c>
      <c r="O4417" s="42">
        <f>0.088*M4417</f>
        <v>0</v>
      </c>
      <c r="P4417" s="43">
        <f>0.00039*M4417</f>
        <v>0</v>
      </c>
      <c r="Q4417" s="50" t="s">
        <v>37</v>
      </c>
      <c r="R4417" s="36" t="s">
        <v>15580</v>
      </c>
      <c r="S4417" s="36"/>
      <c r="T4417" s="35" t="str">
        <f>HYPERLINK("https://miland.ru/api/getInfo/image/6b428621-afef-11f0-a286-00155d82e908")</f>
        <v>https://miland.ru/api/getInfo/image/6b428621-afef-11f0-a286-00155d82e908</v>
      </c>
      <c r="U4417" s="35"/>
      <c r="V4417" s="35"/>
      <c r="W4417" s="35" t="s">
        <v>408</v>
      </c>
      <c r="X4417" s="35"/>
      <c r="Y4417" s="35" t="s">
        <v>41</v>
      </c>
      <c r="Z4417" s="35"/>
      <c r="AA4417" s="35" t="str">
        <f>HYPERLINK("https://miland.ru/api/getInfo/item/6b428621-afef-11f0-a286-00155d82e908")</f>
        <v>https://miland.ru/api/getInfo/item/6b428621-afef-11f0-a286-00155d82e908</v>
      </c>
      <c r="AB4417" s="35" t="s">
        <v>42</v>
      </c>
      <c r="AC4417" s="35"/>
      <c r="AD4417" s="35"/>
      <c r="AE4417" s="52" t="s">
        <v>9152</v>
      </c>
    </row>
    <row r="4418" spans="2:31" s="1" customFormat="1" ht="96.3" customHeight="1" outlineLevel="5">
      <c r="B4418" s="59">
        <v>3525</v>
      </c>
      <c r="C4418" s="35" t="s">
        <v>15581</v>
      </c>
      <c r="D4418" s="73" t="s">
        <v>15582</v>
      </c>
      <c r="E4418" s="73"/>
      <c r="F4418" s="73"/>
      <c r="G4418" s="73"/>
      <c r="H4418" s="36" t="s">
        <v>15583</v>
      </c>
      <c r="I4418" s="56" t="s">
        <v>36</v>
      </c>
      <c r="J4418" s="36"/>
      <c r="K4418" s="34">
        <v>3</v>
      </c>
      <c r="L4418" s="41">
        <v>160.72</v>
      </c>
      <c r="M4418" s="11"/>
      <c r="N4418" s="36">
        <f t="shared" si="223"/>
        <v>0</v>
      </c>
      <c r="O4418" s="42">
        <f>0.083*M4418</f>
        <v>0</v>
      </c>
      <c r="P4418" s="43">
        <f>0.00051*M4418</f>
        <v>0</v>
      </c>
      <c r="Q4418" s="50" t="s">
        <v>37</v>
      </c>
      <c r="R4418" s="36" t="s">
        <v>15584</v>
      </c>
      <c r="S4418" s="36"/>
      <c r="T4418" s="35" t="str">
        <f>HYPERLINK("https://miland.ru/api/getInfo/image/23ffc3a3-aff0-11f0-a286-00155d82e908")</f>
        <v>https://miland.ru/api/getInfo/image/23ffc3a3-aff0-11f0-a286-00155d82e908</v>
      </c>
      <c r="U4418" s="35"/>
      <c r="V4418" s="35"/>
      <c r="W4418" s="35" t="s">
        <v>408</v>
      </c>
      <c r="X4418" s="35"/>
      <c r="Y4418" s="35" t="s">
        <v>41</v>
      </c>
      <c r="Z4418" s="35"/>
      <c r="AA4418" s="35" t="str">
        <f>HYPERLINK("https://miland.ru/api/getInfo/item/23ffc3a3-aff0-11f0-a286-00155d82e908")</f>
        <v>https://miland.ru/api/getInfo/item/23ffc3a3-aff0-11f0-a286-00155d82e908</v>
      </c>
      <c r="AB4418" s="35" t="s">
        <v>42</v>
      </c>
      <c r="AC4418" s="35"/>
      <c r="AD4418" s="35"/>
      <c r="AE4418" s="52" t="s">
        <v>9152</v>
      </c>
    </row>
    <row r="4419" spans="2:31" s="1" customFormat="1" ht="96.3" customHeight="1" outlineLevel="5">
      <c r="B4419" s="59">
        <v>3526</v>
      </c>
      <c r="C4419" s="35" t="s">
        <v>15585</v>
      </c>
      <c r="D4419" s="73" t="s">
        <v>15586</v>
      </c>
      <c r="E4419" s="73"/>
      <c r="F4419" s="73"/>
      <c r="G4419" s="73"/>
      <c r="H4419" s="36" t="s">
        <v>15587</v>
      </c>
      <c r="I4419" s="56" t="s">
        <v>36</v>
      </c>
      <c r="J4419" s="36"/>
      <c r="K4419" s="34">
        <v>3</v>
      </c>
      <c r="L4419" s="41">
        <v>160.72</v>
      </c>
      <c r="M4419" s="11"/>
      <c r="N4419" s="36">
        <f t="shared" si="223"/>
        <v>0</v>
      </c>
      <c r="O4419" s="42">
        <f>0.104*M4419</f>
        <v>0</v>
      </c>
      <c r="P4419" s="43">
        <f>0.00027*M4419</f>
        <v>0</v>
      </c>
      <c r="Q4419" s="50" t="s">
        <v>37</v>
      </c>
      <c r="R4419" s="36" t="s">
        <v>15588</v>
      </c>
      <c r="S4419" s="36"/>
      <c r="T4419" s="35" t="str">
        <f>HYPERLINK("https://miland.ru/api/getInfo/image/ef2dcbf2-afef-11f0-a286-00155d82e908")</f>
        <v>https://miland.ru/api/getInfo/image/ef2dcbf2-afef-11f0-a286-00155d82e908</v>
      </c>
      <c r="U4419" s="35"/>
      <c r="V4419" s="35"/>
      <c r="W4419" s="35" t="s">
        <v>408</v>
      </c>
      <c r="X4419" s="35"/>
      <c r="Y4419" s="35" t="s">
        <v>41</v>
      </c>
      <c r="Z4419" s="35"/>
      <c r="AA4419" s="35" t="str">
        <f>HYPERLINK("https://miland.ru/api/getInfo/item/ef2dcbf2-afef-11f0-a286-00155d82e908")</f>
        <v>https://miland.ru/api/getInfo/item/ef2dcbf2-afef-11f0-a286-00155d82e908</v>
      </c>
      <c r="AB4419" s="35" t="s">
        <v>42</v>
      </c>
      <c r="AC4419" s="35"/>
      <c r="AD4419" s="35"/>
      <c r="AE4419" s="52" t="s">
        <v>9152</v>
      </c>
    </row>
    <row r="4420" spans="2:31" s="1" customFormat="1" ht="96.3" customHeight="1" outlineLevel="5">
      <c r="B4420" s="59">
        <v>3527</v>
      </c>
      <c r="C4420" s="35" t="s">
        <v>15589</v>
      </c>
      <c r="D4420" s="73" t="s">
        <v>15590</v>
      </c>
      <c r="E4420" s="73"/>
      <c r="F4420" s="73"/>
      <c r="G4420" s="73"/>
      <c r="H4420" s="36" t="s">
        <v>15591</v>
      </c>
      <c r="I4420" s="56" t="s">
        <v>36</v>
      </c>
      <c r="J4420" s="36"/>
      <c r="K4420" s="34">
        <v>3</v>
      </c>
      <c r="L4420" s="41">
        <v>160.72</v>
      </c>
      <c r="M4420" s="11"/>
      <c r="N4420" s="36">
        <f t="shared" si="223"/>
        <v>0</v>
      </c>
      <c r="O4420" s="42">
        <f>0.104*M4420</f>
        <v>0</v>
      </c>
      <c r="P4420" s="43">
        <f>0.00027*M4420</f>
        <v>0</v>
      </c>
      <c r="Q4420" s="50" t="s">
        <v>37</v>
      </c>
      <c r="R4420" s="36" t="s">
        <v>15592</v>
      </c>
      <c r="S4420" s="36"/>
      <c r="T4420" s="35" t="str">
        <f>HYPERLINK("https://miland.ru/api/getInfo/image/81bdb7d7-afef-11f0-a286-00155d82e908")</f>
        <v>https://miland.ru/api/getInfo/image/81bdb7d7-afef-11f0-a286-00155d82e908</v>
      </c>
      <c r="U4420" s="35"/>
      <c r="V4420" s="35"/>
      <c r="W4420" s="35" t="s">
        <v>408</v>
      </c>
      <c r="X4420" s="35"/>
      <c r="Y4420" s="35" t="s">
        <v>41</v>
      </c>
      <c r="Z4420" s="35"/>
      <c r="AA4420" s="35" t="str">
        <f>HYPERLINK("https://miland.ru/api/getInfo/item/81bdb7d7-afef-11f0-a286-00155d82e908")</f>
        <v>https://miland.ru/api/getInfo/item/81bdb7d7-afef-11f0-a286-00155d82e908</v>
      </c>
      <c r="AB4420" s="35" t="s">
        <v>42</v>
      </c>
      <c r="AC4420" s="35"/>
      <c r="AD4420" s="35"/>
      <c r="AE4420" s="52" t="s">
        <v>9152</v>
      </c>
    </row>
    <row r="4421" spans="2:31" s="1" customFormat="1" ht="96.3" customHeight="1" outlineLevel="5">
      <c r="B4421" s="59">
        <v>3528</v>
      </c>
      <c r="C4421" s="35" t="s">
        <v>15593</v>
      </c>
      <c r="D4421" s="73" t="s">
        <v>15594</v>
      </c>
      <c r="E4421" s="73"/>
      <c r="F4421" s="73"/>
      <c r="G4421" s="73"/>
      <c r="H4421" s="36" t="s">
        <v>15595</v>
      </c>
      <c r="I4421" s="56" t="s">
        <v>36</v>
      </c>
      <c r="J4421" s="36"/>
      <c r="K4421" s="34">
        <v>3</v>
      </c>
      <c r="L4421" s="41">
        <v>160.72</v>
      </c>
      <c r="M4421" s="11"/>
      <c r="N4421" s="36">
        <f t="shared" si="223"/>
        <v>0</v>
      </c>
      <c r="O4421" s="42">
        <f>0.083*M4421</f>
        <v>0</v>
      </c>
      <c r="P4421" s="43">
        <f>0.00051*M4421</f>
        <v>0</v>
      </c>
      <c r="Q4421" s="50" t="s">
        <v>37</v>
      </c>
      <c r="R4421" s="36" t="s">
        <v>15596</v>
      </c>
      <c r="S4421" s="36"/>
      <c r="T4421" s="35" t="str">
        <f>HYPERLINK("https://miland.ru/api/getInfo/image/08203780-aff0-11f0-a286-00155d82e908")</f>
        <v>https://miland.ru/api/getInfo/image/08203780-aff0-11f0-a286-00155d82e908</v>
      </c>
      <c r="U4421" s="35"/>
      <c r="V4421" s="35"/>
      <c r="W4421" s="35" t="s">
        <v>408</v>
      </c>
      <c r="X4421" s="35"/>
      <c r="Y4421" s="35" t="s">
        <v>41</v>
      </c>
      <c r="Z4421" s="35"/>
      <c r="AA4421" s="35" t="str">
        <f>HYPERLINK("https://miland.ru/api/getInfo/item/08203780-aff0-11f0-a286-00155d82e908")</f>
        <v>https://miland.ru/api/getInfo/item/08203780-aff0-11f0-a286-00155d82e908</v>
      </c>
      <c r="AB4421" s="35" t="s">
        <v>42</v>
      </c>
      <c r="AC4421" s="35"/>
      <c r="AD4421" s="35"/>
      <c r="AE4421" s="52" t="s">
        <v>9152</v>
      </c>
    </row>
    <row r="4422" spans="2:31" s="1" customFormat="1" ht="96.3" customHeight="1" outlineLevel="5">
      <c r="B4422" s="59">
        <v>3529</v>
      </c>
      <c r="C4422" s="35" t="s">
        <v>15597</v>
      </c>
      <c r="D4422" s="73" t="s">
        <v>15598</v>
      </c>
      <c r="E4422" s="73"/>
      <c r="F4422" s="73"/>
      <c r="G4422" s="73"/>
      <c r="H4422" s="36" t="s">
        <v>15599</v>
      </c>
      <c r="I4422" s="56" t="s">
        <v>36</v>
      </c>
      <c r="J4422" s="36"/>
      <c r="K4422" s="34">
        <v>3</v>
      </c>
      <c r="L4422" s="41">
        <v>160.72</v>
      </c>
      <c r="M4422" s="11"/>
      <c r="N4422" s="36">
        <f t="shared" si="223"/>
        <v>0</v>
      </c>
      <c r="O4422" s="42">
        <f>0.104*M4422</f>
        <v>0</v>
      </c>
      <c r="P4422" s="43">
        <f>0.00027*M4422</f>
        <v>0</v>
      </c>
      <c r="Q4422" s="50" t="s">
        <v>37</v>
      </c>
      <c r="R4422" s="36" t="s">
        <v>15600</v>
      </c>
      <c r="S4422" s="36"/>
      <c r="T4422" s="35" t="str">
        <f>HYPERLINK("https://miland.ru/api/getInfo/image/447e9ab0-aff0-11f0-a286-00155d82e908")</f>
        <v>https://miland.ru/api/getInfo/image/447e9ab0-aff0-11f0-a286-00155d82e908</v>
      </c>
      <c r="U4422" s="35"/>
      <c r="V4422" s="35"/>
      <c r="W4422" s="35" t="s">
        <v>408</v>
      </c>
      <c r="X4422" s="35"/>
      <c r="Y4422" s="35" t="s">
        <v>41</v>
      </c>
      <c r="Z4422" s="35"/>
      <c r="AA4422" s="35" t="str">
        <f>HYPERLINK("https://miland.ru/api/getInfo/item/447e9ab0-aff0-11f0-a286-00155d82e908")</f>
        <v>https://miland.ru/api/getInfo/item/447e9ab0-aff0-11f0-a286-00155d82e908</v>
      </c>
      <c r="AB4422" s="35" t="s">
        <v>42</v>
      </c>
      <c r="AC4422" s="35"/>
      <c r="AD4422" s="35"/>
      <c r="AE4422" s="52" t="s">
        <v>9152</v>
      </c>
    </row>
    <row r="4423" spans="2:31" s="1" customFormat="1" ht="96.3" customHeight="1" outlineLevel="5">
      <c r="B4423" s="59">
        <v>3530</v>
      </c>
      <c r="C4423" s="35" t="s">
        <v>15601</v>
      </c>
      <c r="D4423" s="73" t="s">
        <v>15602</v>
      </c>
      <c r="E4423" s="73"/>
      <c r="F4423" s="73"/>
      <c r="G4423" s="73"/>
      <c r="H4423" s="36" t="s">
        <v>15603</v>
      </c>
      <c r="I4423" s="56" t="s">
        <v>36</v>
      </c>
      <c r="J4423" s="36"/>
      <c r="K4423" s="34">
        <v>3</v>
      </c>
      <c r="L4423" s="41">
        <v>160.72</v>
      </c>
      <c r="M4423" s="11"/>
      <c r="N4423" s="36">
        <f t="shared" si="223"/>
        <v>0</v>
      </c>
      <c r="O4423" s="42">
        <f>0.083*M4423</f>
        <v>0</v>
      </c>
      <c r="P4423" s="43">
        <f>0.00051*M4423</f>
        <v>0</v>
      </c>
      <c r="Q4423" s="50" t="s">
        <v>37</v>
      </c>
      <c r="R4423" s="36" t="s">
        <v>15604</v>
      </c>
      <c r="S4423" s="36"/>
      <c r="T4423" s="35" t="str">
        <f>HYPERLINK("https://miland.ru/api/getInfo/image/cec0fa48-aff0-11f0-a286-00155d82e908")</f>
        <v>https://miland.ru/api/getInfo/image/cec0fa48-aff0-11f0-a286-00155d82e908</v>
      </c>
      <c r="U4423" s="35"/>
      <c r="V4423" s="35"/>
      <c r="W4423" s="35" t="s">
        <v>408</v>
      </c>
      <c r="X4423" s="35"/>
      <c r="Y4423" s="35" t="s">
        <v>41</v>
      </c>
      <c r="Z4423" s="35"/>
      <c r="AA4423" s="35" t="str">
        <f>HYPERLINK("https://miland.ru/api/getInfo/item/cec0fa48-aff0-11f0-a286-00155d82e908")</f>
        <v>https://miland.ru/api/getInfo/item/cec0fa48-aff0-11f0-a286-00155d82e908</v>
      </c>
      <c r="AB4423" s="35" t="s">
        <v>42</v>
      </c>
      <c r="AC4423" s="35"/>
      <c r="AD4423" s="35"/>
      <c r="AE4423" s="52" t="s">
        <v>9152</v>
      </c>
    </row>
    <row r="4424" spans="2:31" s="1" customFormat="1" ht="96.3" customHeight="1" outlineLevel="5">
      <c r="B4424" s="59">
        <v>3531</v>
      </c>
      <c r="C4424" s="35" t="s">
        <v>15605</v>
      </c>
      <c r="D4424" s="73" t="s">
        <v>15606</v>
      </c>
      <c r="E4424" s="73"/>
      <c r="F4424" s="73"/>
      <c r="G4424" s="73"/>
      <c r="H4424" s="36" t="s">
        <v>15607</v>
      </c>
      <c r="I4424" s="56" t="s">
        <v>36</v>
      </c>
      <c r="J4424" s="36"/>
      <c r="K4424" s="34">
        <v>3</v>
      </c>
      <c r="L4424" s="41">
        <v>160.72</v>
      </c>
      <c r="M4424" s="11"/>
      <c r="N4424" s="36">
        <f t="shared" si="223"/>
        <v>0</v>
      </c>
      <c r="O4424" s="42">
        <f>0.083*M4424</f>
        <v>0</v>
      </c>
      <c r="P4424" s="43">
        <f>0.00051*M4424</f>
        <v>0</v>
      </c>
      <c r="Q4424" s="50" t="s">
        <v>37</v>
      </c>
      <c r="R4424" s="36" t="s">
        <v>15608</v>
      </c>
      <c r="S4424" s="36"/>
      <c r="T4424" s="35" t="str">
        <f>HYPERLINK("https://miland.ru/api/getInfo/image/bd3b0094-afef-11f0-a286-00155d82e908")</f>
        <v>https://miland.ru/api/getInfo/image/bd3b0094-afef-11f0-a286-00155d82e908</v>
      </c>
      <c r="U4424" s="35"/>
      <c r="V4424" s="35"/>
      <c r="W4424" s="35" t="s">
        <v>408</v>
      </c>
      <c r="X4424" s="35"/>
      <c r="Y4424" s="35" t="s">
        <v>41</v>
      </c>
      <c r="Z4424" s="35"/>
      <c r="AA4424" s="35" t="str">
        <f>HYPERLINK("https://miland.ru/api/getInfo/item/bd3b0094-afef-11f0-a286-00155d82e908")</f>
        <v>https://miland.ru/api/getInfo/item/bd3b0094-afef-11f0-a286-00155d82e908</v>
      </c>
      <c r="AB4424" s="35" t="s">
        <v>42</v>
      </c>
      <c r="AC4424" s="35"/>
      <c r="AD4424" s="35"/>
      <c r="AE4424" s="52" t="s">
        <v>9152</v>
      </c>
    </row>
    <row r="4425" spans="2:31" s="1" customFormat="1" ht="96.3" customHeight="1" outlineLevel="5">
      <c r="B4425" s="57">
        <v>3532</v>
      </c>
      <c r="C4425" s="21" t="s">
        <v>15609</v>
      </c>
      <c r="D4425" s="72" t="s">
        <v>15610</v>
      </c>
      <c r="E4425" s="72"/>
      <c r="F4425" s="72"/>
      <c r="G4425" s="72"/>
      <c r="H4425" s="22" t="s">
        <v>15611</v>
      </c>
      <c r="I4425" s="27">
        <v>421</v>
      </c>
      <c r="J4425" s="22"/>
      <c r="K4425" s="20">
        <v>3</v>
      </c>
      <c r="L4425" s="24">
        <v>251.13</v>
      </c>
      <c r="M4425" s="11"/>
      <c r="N4425" s="22">
        <f t="shared" si="223"/>
        <v>0</v>
      </c>
      <c r="O4425" s="25">
        <f>0.095*M4425</f>
        <v>0</v>
      </c>
      <c r="P4425" s="26">
        <f>0.00037*M4425</f>
        <v>0</v>
      </c>
      <c r="Q4425" s="30"/>
      <c r="R4425" s="22" t="s">
        <v>15612</v>
      </c>
      <c r="S4425" s="22"/>
      <c r="T4425" s="21" t="str">
        <f>HYPERLINK("https://miland.ru/api/getInfo/image/3ae4977d-324b-11f0-a27c-00155d82e908")</f>
        <v>https://miland.ru/api/getInfo/image/3ae4977d-324b-11f0-a27c-00155d82e908</v>
      </c>
      <c r="U4425" s="21"/>
      <c r="V4425" s="21"/>
      <c r="W4425" s="21" t="s">
        <v>408</v>
      </c>
      <c r="X4425" s="21"/>
      <c r="Y4425" s="21" t="s">
        <v>41</v>
      </c>
      <c r="Z4425" s="21"/>
      <c r="AA4425" s="21" t="str">
        <f>HYPERLINK("https://miland.ru/api/getInfo/item/3ae4977d-324b-11f0-a27c-00155d82e908")</f>
        <v>https://miland.ru/api/getInfo/item/3ae4977d-324b-11f0-a27c-00155d82e908</v>
      </c>
      <c r="AB4425" s="21" t="s">
        <v>42</v>
      </c>
      <c r="AC4425" s="21"/>
      <c r="AD4425" s="21"/>
    </row>
    <row r="4426" spans="2:31" s="1" customFormat="1" ht="96.3" customHeight="1" outlineLevel="5">
      <c r="B4426" s="57">
        <v>3533</v>
      </c>
      <c r="C4426" s="21" t="s">
        <v>15613</v>
      </c>
      <c r="D4426" s="72" t="s">
        <v>15614</v>
      </c>
      <c r="E4426" s="72"/>
      <c r="F4426" s="72"/>
      <c r="G4426" s="72"/>
      <c r="H4426" s="22" t="s">
        <v>15615</v>
      </c>
      <c r="I4426" s="23" t="s">
        <v>36</v>
      </c>
      <c r="J4426" s="22"/>
      <c r="K4426" s="20">
        <v>3</v>
      </c>
      <c r="L4426" s="24">
        <v>251.13</v>
      </c>
      <c r="M4426" s="11"/>
      <c r="N4426" s="22">
        <f t="shared" si="223"/>
        <v>0</v>
      </c>
      <c r="O4426" s="25">
        <f>0.088*M4426</f>
        <v>0</v>
      </c>
      <c r="P4426" s="26">
        <f>0.00015*M4426</f>
        <v>0</v>
      </c>
      <c r="Q4426" s="30"/>
      <c r="R4426" s="22" t="s">
        <v>15616</v>
      </c>
      <c r="S4426" s="22"/>
      <c r="T4426" s="21" t="str">
        <f>HYPERLINK("https://miland.ru/api/getInfo/image/f273b861-324b-11f0-a27c-00155d82e908")</f>
        <v>https://miland.ru/api/getInfo/image/f273b861-324b-11f0-a27c-00155d82e908</v>
      </c>
      <c r="U4426" s="21"/>
      <c r="V4426" s="21"/>
      <c r="W4426" s="21" t="s">
        <v>408</v>
      </c>
      <c r="X4426" s="21"/>
      <c r="Y4426" s="21" t="s">
        <v>41</v>
      </c>
      <c r="Z4426" s="21"/>
      <c r="AA4426" s="21" t="str">
        <f>HYPERLINK("https://miland.ru/api/getInfo/item/f273b861-324b-11f0-a27c-00155d82e908")</f>
        <v>https://miland.ru/api/getInfo/item/f273b861-324b-11f0-a27c-00155d82e908</v>
      </c>
      <c r="AB4426" s="21" t="s">
        <v>42</v>
      </c>
      <c r="AC4426" s="21"/>
      <c r="AD4426" s="21"/>
    </row>
    <row r="4427" spans="2:31" s="1" customFormat="1" ht="96.3" customHeight="1" outlineLevel="5">
      <c r="B4427" s="59">
        <v>3534</v>
      </c>
      <c r="C4427" s="35" t="s">
        <v>15617</v>
      </c>
      <c r="D4427" s="73" t="s">
        <v>15618</v>
      </c>
      <c r="E4427" s="73"/>
      <c r="F4427" s="73"/>
      <c r="G4427" s="73"/>
      <c r="H4427" s="36" t="s">
        <v>15619</v>
      </c>
      <c r="I4427" s="56" t="s">
        <v>36</v>
      </c>
      <c r="J4427" s="36"/>
      <c r="K4427" s="34">
        <v>3</v>
      </c>
      <c r="L4427" s="41">
        <v>160.72</v>
      </c>
      <c r="M4427" s="11"/>
      <c r="N4427" s="36">
        <f t="shared" si="223"/>
        <v>0</v>
      </c>
      <c r="O4427" s="42">
        <f>0.091*M4427</f>
        <v>0</v>
      </c>
      <c r="P4427" s="43">
        <f>0.00044*M4427</f>
        <v>0</v>
      </c>
      <c r="Q4427" s="50" t="s">
        <v>37</v>
      </c>
      <c r="R4427" s="36" t="s">
        <v>15620</v>
      </c>
      <c r="S4427" s="36"/>
      <c r="T4427" s="35" t="str">
        <f>HYPERLINK("https://miland.ru/api/getInfo/image/5782a504-afef-11f0-a286-00155d82e908")</f>
        <v>https://miland.ru/api/getInfo/image/5782a504-afef-11f0-a286-00155d82e908</v>
      </c>
      <c r="U4427" s="35"/>
      <c r="V4427" s="35"/>
      <c r="W4427" s="35" t="s">
        <v>408</v>
      </c>
      <c r="X4427" s="35"/>
      <c r="Y4427" s="35" t="s">
        <v>41</v>
      </c>
      <c r="Z4427" s="35"/>
      <c r="AA4427" s="35" t="str">
        <f>HYPERLINK("https://miland.ru/api/getInfo/item/5782a504-afef-11f0-a286-00155d82e908")</f>
        <v>https://miland.ru/api/getInfo/item/5782a504-afef-11f0-a286-00155d82e908</v>
      </c>
      <c r="AB4427" s="35" t="s">
        <v>42</v>
      </c>
      <c r="AC4427" s="35"/>
      <c r="AD4427" s="35"/>
      <c r="AE4427" s="52" t="s">
        <v>9152</v>
      </c>
    </row>
    <row r="4428" spans="2:31" s="1" customFormat="1" ht="96.3" customHeight="1" outlineLevel="5">
      <c r="B4428" s="59">
        <v>3535</v>
      </c>
      <c r="C4428" s="35" t="s">
        <v>15621</v>
      </c>
      <c r="D4428" s="73" t="s">
        <v>15622</v>
      </c>
      <c r="E4428" s="73"/>
      <c r="F4428" s="73"/>
      <c r="G4428" s="73"/>
      <c r="H4428" s="36" t="s">
        <v>15623</v>
      </c>
      <c r="I4428" s="56" t="s">
        <v>36</v>
      </c>
      <c r="J4428" s="36"/>
      <c r="K4428" s="34">
        <v>3</v>
      </c>
      <c r="L4428" s="41">
        <v>160.72</v>
      </c>
      <c r="M4428" s="11"/>
      <c r="N4428" s="36">
        <f t="shared" si="223"/>
        <v>0</v>
      </c>
      <c r="O4428" s="42">
        <f>0.104*M4428</f>
        <v>0</v>
      </c>
      <c r="P4428" s="43">
        <f>0.00027*M4428</f>
        <v>0</v>
      </c>
      <c r="Q4428" s="50"/>
      <c r="R4428" s="36" t="s">
        <v>15624</v>
      </c>
      <c r="S4428" s="36"/>
      <c r="T4428" s="35" t="str">
        <f>HYPERLINK("https://miland.ru/api/getInfo/image/0e1c5a5f-77b7-11ee-a248-00155d82e902")</f>
        <v>https://miland.ru/api/getInfo/image/0e1c5a5f-77b7-11ee-a248-00155d82e902</v>
      </c>
      <c r="U4428" s="35"/>
      <c r="V4428" s="35" t="s">
        <v>7848</v>
      </c>
      <c r="W4428" s="35" t="s">
        <v>408</v>
      </c>
      <c r="X4428" s="35"/>
      <c r="Y4428" s="35" t="s">
        <v>41</v>
      </c>
      <c r="Z4428" s="35"/>
      <c r="AA4428" s="35" t="str">
        <f>HYPERLINK("https://miland.ru/api/getInfo/item/0e1c5a5f-77b7-11ee-a248-00155d82e902")</f>
        <v>https://miland.ru/api/getInfo/item/0e1c5a5f-77b7-11ee-a248-00155d82e902</v>
      </c>
      <c r="AB4428" s="35" t="s">
        <v>42</v>
      </c>
      <c r="AC4428" s="35" t="s">
        <v>15625</v>
      </c>
      <c r="AD4428" s="35"/>
      <c r="AE4428" s="52" t="s">
        <v>9152</v>
      </c>
    </row>
    <row r="4429" spans="2:31" s="1" customFormat="1" ht="96.3" customHeight="1" outlineLevel="5">
      <c r="B4429" s="59">
        <v>3536</v>
      </c>
      <c r="C4429" s="35" t="s">
        <v>15626</v>
      </c>
      <c r="D4429" s="73" t="s">
        <v>15627</v>
      </c>
      <c r="E4429" s="73"/>
      <c r="F4429" s="73"/>
      <c r="G4429" s="73"/>
      <c r="H4429" s="36" t="s">
        <v>15628</v>
      </c>
      <c r="I4429" s="56" t="s">
        <v>36</v>
      </c>
      <c r="J4429" s="36"/>
      <c r="K4429" s="34">
        <v>3</v>
      </c>
      <c r="L4429" s="41">
        <v>160.72</v>
      </c>
      <c r="M4429" s="11"/>
      <c r="N4429" s="36">
        <f t="shared" si="223"/>
        <v>0</v>
      </c>
      <c r="O4429" s="42">
        <f>0.085*M4429</f>
        <v>0</v>
      </c>
      <c r="P4429" s="43">
        <f>0.00037*M4429</f>
        <v>0</v>
      </c>
      <c r="Q4429" s="50" t="s">
        <v>37</v>
      </c>
      <c r="R4429" s="36" t="s">
        <v>15629</v>
      </c>
      <c r="S4429" s="36"/>
      <c r="T4429" s="35" t="str">
        <f>HYPERLINK("https://miland.ru/api/getInfo/image/16753f93-afef-11f0-a286-00155d82e908")</f>
        <v>https://miland.ru/api/getInfo/image/16753f93-afef-11f0-a286-00155d82e908</v>
      </c>
      <c r="U4429" s="35"/>
      <c r="V4429" s="35"/>
      <c r="W4429" s="35" t="s">
        <v>408</v>
      </c>
      <c r="X4429" s="35"/>
      <c r="Y4429" s="35" t="s">
        <v>41</v>
      </c>
      <c r="Z4429" s="35"/>
      <c r="AA4429" s="35" t="str">
        <f>HYPERLINK("https://miland.ru/api/getInfo/item/16753f93-afef-11f0-a286-00155d82e908")</f>
        <v>https://miland.ru/api/getInfo/item/16753f93-afef-11f0-a286-00155d82e908</v>
      </c>
      <c r="AB4429" s="35" t="s">
        <v>42</v>
      </c>
      <c r="AC4429" s="35"/>
      <c r="AD4429" s="35"/>
      <c r="AE4429" s="52" t="s">
        <v>9152</v>
      </c>
    </row>
    <row r="4430" spans="2:31" s="1" customFormat="1" ht="96.3" customHeight="1" outlineLevel="5">
      <c r="B4430" s="57">
        <v>3537</v>
      </c>
      <c r="C4430" s="21" t="s">
        <v>15630</v>
      </c>
      <c r="D4430" s="72" t="s">
        <v>15631</v>
      </c>
      <c r="E4430" s="72"/>
      <c r="F4430" s="72"/>
      <c r="G4430" s="72"/>
      <c r="H4430" s="22" t="s">
        <v>15632</v>
      </c>
      <c r="I4430" s="27">
        <v>271</v>
      </c>
      <c r="J4430" s="22"/>
      <c r="K4430" s="20">
        <v>3</v>
      </c>
      <c r="L4430" s="24">
        <v>251.13</v>
      </c>
      <c r="M4430" s="11"/>
      <c r="N4430" s="22">
        <f t="shared" si="223"/>
        <v>0</v>
      </c>
      <c r="O4430" s="25">
        <f>0.094*M4430</f>
        <v>0</v>
      </c>
      <c r="P4430" s="26">
        <f>0.00046*M4430</f>
        <v>0</v>
      </c>
      <c r="Q4430" s="30"/>
      <c r="R4430" s="22" t="s">
        <v>15633</v>
      </c>
      <c r="S4430" s="22"/>
      <c r="T4430" s="21" t="str">
        <f>HYPERLINK("https://miland.ru/api/getInfo/image/2ce312ee-324c-11f0-a27c-00155d82e908")</f>
        <v>https://miland.ru/api/getInfo/image/2ce312ee-324c-11f0-a27c-00155d82e908</v>
      </c>
      <c r="U4430" s="21"/>
      <c r="V4430" s="21"/>
      <c r="W4430" s="21" t="s">
        <v>408</v>
      </c>
      <c r="X4430" s="21"/>
      <c r="Y4430" s="21" t="s">
        <v>41</v>
      </c>
      <c r="Z4430" s="21"/>
      <c r="AA4430" s="21" t="str">
        <f>HYPERLINK("https://miland.ru/api/getInfo/item/2ce312ee-324c-11f0-a27c-00155d82e908")</f>
        <v>https://miland.ru/api/getInfo/item/2ce312ee-324c-11f0-a27c-00155d82e908</v>
      </c>
      <c r="AB4430" s="21" t="s">
        <v>42</v>
      </c>
      <c r="AC4430" s="21"/>
      <c r="AD4430" s="21"/>
    </row>
    <row r="4431" spans="2:31" s="1" customFormat="1" ht="96.3" customHeight="1" outlineLevel="5">
      <c r="B4431" s="57">
        <v>3538</v>
      </c>
      <c r="C4431" s="21" t="s">
        <v>15634</v>
      </c>
      <c r="D4431" s="72" t="s">
        <v>15635</v>
      </c>
      <c r="E4431" s="72"/>
      <c r="F4431" s="72"/>
      <c r="G4431" s="72"/>
      <c r="H4431" s="22" t="s">
        <v>15636</v>
      </c>
      <c r="I4431" s="23" t="s">
        <v>36</v>
      </c>
      <c r="J4431" s="22"/>
      <c r="K4431" s="20">
        <v>3</v>
      </c>
      <c r="L4431" s="24">
        <v>251.13</v>
      </c>
      <c r="M4431" s="11"/>
      <c r="N4431" s="22">
        <f t="shared" si="223"/>
        <v>0</v>
      </c>
      <c r="O4431" s="25">
        <f>0.088*M4431</f>
        <v>0</v>
      </c>
      <c r="P4431" s="26">
        <f>0.00016*M4431</f>
        <v>0</v>
      </c>
      <c r="Q4431" s="30"/>
      <c r="R4431" s="22" t="s">
        <v>15637</v>
      </c>
      <c r="S4431" s="22"/>
      <c r="T4431" s="21" t="str">
        <f>HYPERLINK("https://miland.ru/api/getInfo/image/b1944095-324b-11f0-a27c-00155d82e908")</f>
        <v>https://miland.ru/api/getInfo/image/b1944095-324b-11f0-a27c-00155d82e908</v>
      </c>
      <c r="U4431" s="21"/>
      <c r="V4431" s="21"/>
      <c r="W4431" s="21" t="s">
        <v>408</v>
      </c>
      <c r="X4431" s="21"/>
      <c r="Y4431" s="21" t="s">
        <v>41</v>
      </c>
      <c r="Z4431" s="21"/>
      <c r="AA4431" s="21" t="str">
        <f>HYPERLINK("https://miland.ru/api/getInfo/item/b1944095-324b-11f0-a27c-00155d82e908")</f>
        <v>https://miland.ru/api/getInfo/item/b1944095-324b-11f0-a27c-00155d82e908</v>
      </c>
      <c r="AB4431" s="21" t="s">
        <v>42</v>
      </c>
      <c r="AC4431" s="21"/>
      <c r="AD4431" s="21"/>
    </row>
    <row r="4432" spans="2:31" s="1" customFormat="1" ht="96.3" customHeight="1" outlineLevel="5">
      <c r="B4432" s="59">
        <v>3539</v>
      </c>
      <c r="C4432" s="35" t="s">
        <v>15638</v>
      </c>
      <c r="D4432" s="73" t="s">
        <v>15639</v>
      </c>
      <c r="E4432" s="73"/>
      <c r="F4432" s="73"/>
      <c r="G4432" s="73"/>
      <c r="H4432" s="36" t="s">
        <v>15640</v>
      </c>
      <c r="I4432" s="56" t="s">
        <v>36</v>
      </c>
      <c r="J4432" s="36"/>
      <c r="K4432" s="34">
        <v>3</v>
      </c>
      <c r="L4432" s="41">
        <v>160.72</v>
      </c>
      <c r="M4432" s="11"/>
      <c r="N4432" s="36">
        <f t="shared" si="223"/>
        <v>0</v>
      </c>
      <c r="O4432" s="42">
        <f>0.104*M4432</f>
        <v>0</v>
      </c>
      <c r="P4432" s="43">
        <f>0.00027*M4432</f>
        <v>0</v>
      </c>
      <c r="Q4432" s="50"/>
      <c r="R4432" s="36" t="s">
        <v>15641</v>
      </c>
      <c r="S4432" s="36"/>
      <c r="T4432" s="35" t="str">
        <f>HYPERLINK("https://miland.ru/api/getInfo/image/d207debd-77b6-11ee-a248-00155d82e902")</f>
        <v>https://miland.ru/api/getInfo/image/d207debd-77b6-11ee-a248-00155d82e902</v>
      </c>
      <c r="U4432" s="35"/>
      <c r="V4432" s="35" t="s">
        <v>7848</v>
      </c>
      <c r="W4432" s="35" t="s">
        <v>408</v>
      </c>
      <c r="X4432" s="35"/>
      <c r="Y4432" s="35" t="s">
        <v>41</v>
      </c>
      <c r="Z4432" s="35"/>
      <c r="AA4432" s="35" t="str">
        <f>HYPERLINK("https://miland.ru/api/getInfo/item/d207debd-77b6-11ee-a248-00155d82e902")</f>
        <v>https://miland.ru/api/getInfo/item/d207debd-77b6-11ee-a248-00155d82e902</v>
      </c>
      <c r="AB4432" s="35" t="s">
        <v>42</v>
      </c>
      <c r="AC4432" s="35" t="s">
        <v>15625</v>
      </c>
      <c r="AD4432" s="35"/>
      <c r="AE4432" s="52" t="s">
        <v>9152</v>
      </c>
    </row>
    <row r="4433" spans="2:31" s="1" customFormat="1" ht="96.3" customHeight="1" outlineLevel="5">
      <c r="B4433" s="59">
        <v>3540</v>
      </c>
      <c r="C4433" s="35" t="s">
        <v>15642</v>
      </c>
      <c r="D4433" s="73" t="s">
        <v>15643</v>
      </c>
      <c r="E4433" s="73"/>
      <c r="F4433" s="73"/>
      <c r="G4433" s="73"/>
      <c r="H4433" s="36" t="s">
        <v>15644</v>
      </c>
      <c r="I4433" s="56" t="s">
        <v>36</v>
      </c>
      <c r="J4433" s="36"/>
      <c r="K4433" s="34">
        <v>3</v>
      </c>
      <c r="L4433" s="41">
        <v>160.72</v>
      </c>
      <c r="M4433" s="11"/>
      <c r="N4433" s="36">
        <f t="shared" si="223"/>
        <v>0</v>
      </c>
      <c r="O4433" s="42">
        <f>0.083*M4433</f>
        <v>0</v>
      </c>
      <c r="P4433" s="43">
        <f>0.00029*M4433</f>
        <v>0</v>
      </c>
      <c r="Q4433" s="50"/>
      <c r="R4433" s="36" t="s">
        <v>15645</v>
      </c>
      <c r="S4433" s="36"/>
      <c r="T4433" s="35" t="str">
        <f>HYPERLINK("https://miland.ru/api/getInfo/image/f6ee1308-77b6-11ee-a248-00155d82e902")</f>
        <v>https://miland.ru/api/getInfo/image/f6ee1308-77b6-11ee-a248-00155d82e902</v>
      </c>
      <c r="U4433" s="35"/>
      <c r="V4433" s="35" t="s">
        <v>7848</v>
      </c>
      <c r="W4433" s="35" t="s">
        <v>408</v>
      </c>
      <c r="X4433" s="35"/>
      <c r="Y4433" s="35" t="s">
        <v>41</v>
      </c>
      <c r="Z4433" s="35"/>
      <c r="AA4433" s="35" t="str">
        <f>HYPERLINK("https://miland.ru/api/getInfo/item/f6ee1308-77b6-11ee-a248-00155d82e902")</f>
        <v>https://miland.ru/api/getInfo/item/f6ee1308-77b6-11ee-a248-00155d82e902</v>
      </c>
      <c r="AB4433" s="35" t="s">
        <v>42</v>
      </c>
      <c r="AC4433" s="35" t="s">
        <v>15625</v>
      </c>
      <c r="AD4433" s="35"/>
      <c r="AE4433" s="52" t="s">
        <v>9152</v>
      </c>
    </row>
    <row r="4434" spans="2:31" s="1" customFormat="1" ht="96.3" customHeight="1" outlineLevel="5">
      <c r="B4434" s="59">
        <v>3541</v>
      </c>
      <c r="C4434" s="35" t="s">
        <v>15646</v>
      </c>
      <c r="D4434" s="73" t="s">
        <v>15647</v>
      </c>
      <c r="E4434" s="73"/>
      <c r="F4434" s="73"/>
      <c r="G4434" s="73"/>
      <c r="H4434" s="36" t="s">
        <v>15648</v>
      </c>
      <c r="I4434" s="56" t="s">
        <v>36</v>
      </c>
      <c r="J4434" s="36"/>
      <c r="K4434" s="34">
        <v>3</v>
      </c>
      <c r="L4434" s="41">
        <v>160.72</v>
      </c>
      <c r="M4434" s="11"/>
      <c r="N4434" s="36">
        <f t="shared" si="223"/>
        <v>0</v>
      </c>
      <c r="O4434" s="42">
        <f>0.085*M4434</f>
        <v>0</v>
      </c>
      <c r="P4434" s="36">
        <v>0</v>
      </c>
      <c r="Q4434" s="50"/>
      <c r="R4434" s="36" t="s">
        <v>15649</v>
      </c>
      <c r="S4434" s="36"/>
      <c r="T4434" s="35" t="str">
        <f>HYPERLINK("https://miland.ru/api/getInfo/image/7523d958-77b6-11ee-a248-00155d82e902")</f>
        <v>https://miland.ru/api/getInfo/image/7523d958-77b6-11ee-a248-00155d82e902</v>
      </c>
      <c r="U4434" s="35"/>
      <c r="V4434" s="35" t="s">
        <v>7848</v>
      </c>
      <c r="W4434" s="35" t="s">
        <v>408</v>
      </c>
      <c r="X4434" s="35"/>
      <c r="Y4434" s="35" t="s">
        <v>41</v>
      </c>
      <c r="Z4434" s="35"/>
      <c r="AA4434" s="35" t="str">
        <f>HYPERLINK("https://miland.ru/api/getInfo/item/7523d958-77b6-11ee-a248-00155d82e902")</f>
        <v>https://miland.ru/api/getInfo/item/7523d958-77b6-11ee-a248-00155d82e902</v>
      </c>
      <c r="AB4434" s="35" t="s">
        <v>42</v>
      </c>
      <c r="AC4434" s="35" t="s">
        <v>15625</v>
      </c>
      <c r="AD4434" s="35"/>
      <c r="AE4434" s="52" t="s">
        <v>9152</v>
      </c>
    </row>
    <row r="4435" spans="2:31" ht="12" customHeight="1" outlineLevel="2">
      <c r="B4435" s="69" t="s">
        <v>15650</v>
      </c>
      <c r="C4435" s="69"/>
      <c r="D4435" s="69"/>
      <c r="E4435" s="69"/>
      <c r="F4435" s="69"/>
      <c r="G4435" s="69"/>
    </row>
    <row r="4436" spans="2:31" ht="12" customHeight="1" outlineLevel="3">
      <c r="B4436" s="70" t="s">
        <v>15651</v>
      </c>
      <c r="C4436" s="70"/>
      <c r="D4436" s="70"/>
      <c r="E4436" s="70"/>
      <c r="F4436" s="70"/>
      <c r="G4436" s="70"/>
    </row>
    <row r="4437" spans="2:31" ht="12" customHeight="1" outlineLevel="4">
      <c r="B4437" s="70" t="s">
        <v>6556</v>
      </c>
      <c r="C4437" s="70"/>
      <c r="D4437" s="70"/>
      <c r="E4437" s="70"/>
      <c r="F4437" s="70"/>
      <c r="G4437" s="70"/>
    </row>
    <row r="4438" spans="2:31" s="1" customFormat="1" ht="96.3" customHeight="1" outlineLevel="5">
      <c r="B4438" s="59">
        <v>3542</v>
      </c>
      <c r="C4438" s="35" t="s">
        <v>15652</v>
      </c>
      <c r="D4438" s="73" t="s">
        <v>15653</v>
      </c>
      <c r="E4438" s="73"/>
      <c r="F4438" s="73"/>
      <c r="G4438" s="73"/>
      <c r="H4438" s="36" t="s">
        <v>15654</v>
      </c>
      <c r="I4438" s="40">
        <v>382</v>
      </c>
      <c r="J4438" s="36"/>
      <c r="K4438" s="34">
        <v>2</v>
      </c>
      <c r="L4438" s="41">
        <v>365.18666666666667</v>
      </c>
      <c r="M4438" s="11"/>
      <c r="N4438" s="36">
        <f t="shared" ref="N4438:N4470" si="224">L4438*M4438</f>
        <v>0</v>
      </c>
      <c r="O4438" s="42">
        <f>0.593*M4438</f>
        <v>0</v>
      </c>
      <c r="P4438" s="43">
        <f>0.00076*M4438</f>
        <v>0</v>
      </c>
      <c r="Q4438" s="50" t="s">
        <v>37</v>
      </c>
      <c r="R4438" s="36" t="s">
        <v>15655</v>
      </c>
      <c r="S4438" s="36"/>
      <c r="T4438" s="35" t="str">
        <f>HYPERLINK("https://miland.ru/api/getInfo/image/06ce77f5-1171-11f1-a28f-00155d82e908")</f>
        <v>https://miland.ru/api/getInfo/image/06ce77f5-1171-11f1-a28f-00155d82e908</v>
      </c>
      <c r="U4438" s="35"/>
      <c r="V4438" s="35" t="s">
        <v>8245</v>
      </c>
      <c r="W4438" s="35" t="s">
        <v>8246</v>
      </c>
      <c r="X4438" s="35"/>
      <c r="Y4438" s="35" t="s">
        <v>41</v>
      </c>
      <c r="Z4438" s="35"/>
      <c r="AA4438" s="35" t="str">
        <f>HYPERLINK("https://miland.ru/api/getInfo/item/06ce77f5-1171-11f1-a28f-00155d82e908")</f>
        <v>https://miland.ru/api/getInfo/item/06ce77f5-1171-11f1-a28f-00155d82e908</v>
      </c>
      <c r="AB4438" s="35" t="s">
        <v>50</v>
      </c>
      <c r="AC4438" s="35"/>
      <c r="AD4438" s="35"/>
      <c r="AE4438" s="52" t="s">
        <v>1251</v>
      </c>
    </row>
    <row r="4439" spans="2:31" s="1" customFormat="1" ht="96.3" customHeight="1" outlineLevel="5">
      <c r="B4439" s="59">
        <v>3543</v>
      </c>
      <c r="C4439" s="35" t="s">
        <v>15656</v>
      </c>
      <c r="D4439" s="73" t="s">
        <v>15657</v>
      </c>
      <c r="E4439" s="73"/>
      <c r="F4439" s="73"/>
      <c r="G4439" s="73"/>
      <c r="H4439" s="36" t="s">
        <v>15658</v>
      </c>
      <c r="I4439" s="56" t="s">
        <v>36</v>
      </c>
      <c r="J4439" s="36"/>
      <c r="K4439" s="34">
        <v>2</v>
      </c>
      <c r="L4439" s="41">
        <v>365.18666666666667</v>
      </c>
      <c r="M4439" s="11"/>
      <c r="N4439" s="36">
        <f t="shared" si="224"/>
        <v>0</v>
      </c>
      <c r="O4439" s="42">
        <f>0.563*M4439</f>
        <v>0</v>
      </c>
      <c r="P4439" s="43">
        <f>0.00076*M4439</f>
        <v>0</v>
      </c>
      <c r="Q4439" s="50" t="s">
        <v>37</v>
      </c>
      <c r="R4439" s="36" t="s">
        <v>15659</v>
      </c>
      <c r="S4439" s="36"/>
      <c r="T4439" s="35" t="str">
        <f>HYPERLINK("https://miland.ru/api/getInfo/image/06238dbf-1172-11f1-a28f-00155d82e908")</f>
        <v>https://miland.ru/api/getInfo/image/06238dbf-1172-11f1-a28f-00155d82e908</v>
      </c>
      <c r="U4439" s="35"/>
      <c r="V4439" s="35" t="s">
        <v>8245</v>
      </c>
      <c r="W4439" s="35" t="s">
        <v>8246</v>
      </c>
      <c r="X4439" s="35"/>
      <c r="Y4439" s="35" t="s">
        <v>41</v>
      </c>
      <c r="Z4439" s="35"/>
      <c r="AA4439" s="35" t="str">
        <f>HYPERLINK("https://miland.ru/api/getInfo/item/06238dbf-1172-11f1-a28f-00155d82e908")</f>
        <v>https://miland.ru/api/getInfo/item/06238dbf-1172-11f1-a28f-00155d82e908</v>
      </c>
      <c r="AB4439" s="35" t="s">
        <v>50</v>
      </c>
      <c r="AC4439" s="35"/>
      <c r="AD4439" s="35"/>
      <c r="AE4439" s="52" t="s">
        <v>1251</v>
      </c>
    </row>
    <row r="4440" spans="2:31" s="1" customFormat="1" ht="96.3" customHeight="1" outlineLevel="5">
      <c r="B4440" s="59">
        <v>3544</v>
      </c>
      <c r="C4440" s="35" t="s">
        <v>15660</v>
      </c>
      <c r="D4440" s="73" t="s">
        <v>15661</v>
      </c>
      <c r="E4440" s="73"/>
      <c r="F4440" s="73"/>
      <c r="G4440" s="73"/>
      <c r="H4440" s="36" t="s">
        <v>15662</v>
      </c>
      <c r="I4440" s="40">
        <v>394</v>
      </c>
      <c r="J4440" s="36"/>
      <c r="K4440" s="34">
        <v>2</v>
      </c>
      <c r="L4440" s="41">
        <v>365.18666666666667</v>
      </c>
      <c r="M4440" s="11"/>
      <c r="N4440" s="36">
        <f t="shared" si="224"/>
        <v>0</v>
      </c>
      <c r="O4440" s="42">
        <f>0.563*M4440</f>
        <v>0</v>
      </c>
      <c r="P4440" s="43">
        <f>0.00076*M4440</f>
        <v>0</v>
      </c>
      <c r="Q4440" s="50" t="s">
        <v>37</v>
      </c>
      <c r="R4440" s="36" t="s">
        <v>15663</v>
      </c>
      <c r="S4440" s="36"/>
      <c r="T4440" s="35" t="str">
        <f>HYPERLINK("https://miland.ru/api/getInfo/image/a00f0d99-1170-11f1-a28f-00155d82e908")</f>
        <v>https://miland.ru/api/getInfo/image/a00f0d99-1170-11f1-a28f-00155d82e908</v>
      </c>
      <c r="U4440" s="35"/>
      <c r="V4440" s="35" t="s">
        <v>8245</v>
      </c>
      <c r="W4440" s="35" t="s">
        <v>8246</v>
      </c>
      <c r="X4440" s="35"/>
      <c r="Y4440" s="35" t="s">
        <v>41</v>
      </c>
      <c r="Z4440" s="35"/>
      <c r="AA4440" s="35" t="str">
        <f>HYPERLINK("https://miland.ru/api/getInfo/item/a00f0d99-1170-11f1-a28f-00155d82e908")</f>
        <v>https://miland.ru/api/getInfo/item/a00f0d99-1170-11f1-a28f-00155d82e908</v>
      </c>
      <c r="AB4440" s="35" t="s">
        <v>50</v>
      </c>
      <c r="AC4440" s="35"/>
      <c r="AD4440" s="35"/>
      <c r="AE4440" s="52" t="s">
        <v>1251</v>
      </c>
    </row>
    <row r="4441" spans="2:31" s="1" customFormat="1" ht="96.3" customHeight="1" outlineLevel="5">
      <c r="B4441" s="59">
        <v>3545</v>
      </c>
      <c r="C4441" s="35" t="s">
        <v>15664</v>
      </c>
      <c r="D4441" s="73" t="s">
        <v>15665</v>
      </c>
      <c r="E4441" s="73"/>
      <c r="F4441" s="73"/>
      <c r="G4441" s="73"/>
      <c r="H4441" s="36" t="s">
        <v>15666</v>
      </c>
      <c r="I4441" s="40">
        <v>386</v>
      </c>
      <c r="J4441" s="36"/>
      <c r="K4441" s="34">
        <v>2</v>
      </c>
      <c r="L4441" s="41">
        <v>365.18666666666667</v>
      </c>
      <c r="M4441" s="11"/>
      <c r="N4441" s="36">
        <f t="shared" si="224"/>
        <v>0</v>
      </c>
      <c r="O4441" s="42">
        <f>0.486*M4441</f>
        <v>0</v>
      </c>
      <c r="P4441" s="43">
        <f>0.00119*M4441</f>
        <v>0</v>
      </c>
      <c r="Q4441" s="50" t="s">
        <v>37</v>
      </c>
      <c r="R4441" s="36" t="s">
        <v>15667</v>
      </c>
      <c r="S4441" s="36"/>
      <c r="T4441" s="35" t="str">
        <f>HYPERLINK("https://miland.ru/api/getInfo/image/7cf4e4f6-1170-11f1-a28f-00155d82e908")</f>
        <v>https://miland.ru/api/getInfo/image/7cf4e4f6-1170-11f1-a28f-00155d82e908</v>
      </c>
      <c r="U4441" s="35"/>
      <c r="V4441" s="35" t="s">
        <v>8245</v>
      </c>
      <c r="W4441" s="35" t="s">
        <v>8246</v>
      </c>
      <c r="X4441" s="35"/>
      <c r="Y4441" s="35" t="s">
        <v>41</v>
      </c>
      <c r="Z4441" s="35"/>
      <c r="AA4441" s="35" t="str">
        <f>HYPERLINK("https://miland.ru/api/getInfo/item/7cf4e4f6-1170-11f1-a28f-00155d82e908")</f>
        <v>https://miland.ru/api/getInfo/item/7cf4e4f6-1170-11f1-a28f-00155d82e908</v>
      </c>
      <c r="AB4441" s="35" t="s">
        <v>50</v>
      </c>
      <c r="AC4441" s="35"/>
      <c r="AD4441" s="35"/>
      <c r="AE4441" s="52" t="s">
        <v>1251</v>
      </c>
    </row>
    <row r="4442" spans="2:31" s="1" customFormat="1" ht="96.3" customHeight="1" outlineLevel="5">
      <c r="B4442" s="59">
        <v>3546</v>
      </c>
      <c r="C4442" s="35" t="s">
        <v>15668</v>
      </c>
      <c r="D4442" s="73" t="s">
        <v>15669</v>
      </c>
      <c r="E4442" s="73"/>
      <c r="F4442" s="73"/>
      <c r="G4442" s="73"/>
      <c r="H4442" s="36" t="s">
        <v>15670</v>
      </c>
      <c r="I4442" s="40">
        <v>351</v>
      </c>
      <c r="J4442" s="36"/>
      <c r="K4442" s="34">
        <v>2</v>
      </c>
      <c r="L4442" s="41">
        <v>365.18666666666667</v>
      </c>
      <c r="M4442" s="11"/>
      <c r="N4442" s="36">
        <f t="shared" si="224"/>
        <v>0</v>
      </c>
      <c r="O4442" s="42">
        <f>0.563*M4442</f>
        <v>0</v>
      </c>
      <c r="P4442" s="43">
        <f>0.00076*M4442</f>
        <v>0</v>
      </c>
      <c r="Q4442" s="50" t="s">
        <v>37</v>
      </c>
      <c r="R4442" s="36" t="s">
        <v>15671</v>
      </c>
      <c r="S4442" s="36"/>
      <c r="T4442" s="35" t="str">
        <f>HYPERLINK("https://miland.ru/api/getInfo/image/1008511c-1174-11f1-a28f-00155d82e908")</f>
        <v>https://miland.ru/api/getInfo/image/1008511c-1174-11f1-a28f-00155d82e908</v>
      </c>
      <c r="U4442" s="35"/>
      <c r="V4442" s="35" t="s">
        <v>8245</v>
      </c>
      <c r="W4442" s="35" t="s">
        <v>8246</v>
      </c>
      <c r="X4442" s="35"/>
      <c r="Y4442" s="35" t="s">
        <v>41</v>
      </c>
      <c r="Z4442" s="35"/>
      <c r="AA4442" s="35" t="str">
        <f>HYPERLINK("https://miland.ru/api/getInfo/item/1008511c-1174-11f1-a28f-00155d82e908")</f>
        <v>https://miland.ru/api/getInfo/item/1008511c-1174-11f1-a28f-00155d82e908</v>
      </c>
      <c r="AB4442" s="35" t="s">
        <v>50</v>
      </c>
      <c r="AC4442" s="35"/>
      <c r="AD4442" s="35"/>
      <c r="AE4442" s="52" t="s">
        <v>1251</v>
      </c>
    </row>
    <row r="4443" spans="2:31" s="1" customFormat="1" ht="96.3" customHeight="1" outlineLevel="5">
      <c r="B4443" s="59">
        <v>3547</v>
      </c>
      <c r="C4443" s="35" t="s">
        <v>15672</v>
      </c>
      <c r="D4443" s="73" t="s">
        <v>15673</v>
      </c>
      <c r="E4443" s="73"/>
      <c r="F4443" s="73"/>
      <c r="G4443" s="73"/>
      <c r="H4443" s="36" t="s">
        <v>15674</v>
      </c>
      <c r="I4443" s="40">
        <v>391</v>
      </c>
      <c r="J4443" s="36"/>
      <c r="K4443" s="34">
        <v>2</v>
      </c>
      <c r="L4443" s="41">
        <v>365.18666666666667</v>
      </c>
      <c r="M4443" s="11"/>
      <c r="N4443" s="36">
        <f t="shared" si="224"/>
        <v>0</v>
      </c>
      <c r="O4443" s="47">
        <f>0.47*M4443</f>
        <v>0</v>
      </c>
      <c r="P4443" s="55">
        <f>0.0007*M4443</f>
        <v>0</v>
      </c>
      <c r="Q4443" s="50" t="s">
        <v>37</v>
      </c>
      <c r="R4443" s="36" t="s">
        <v>15675</v>
      </c>
      <c r="S4443" s="36"/>
      <c r="T4443" s="35" t="str">
        <f>HYPERLINK("https://miland.ru/api/getInfo/image/211e4b77-1171-11f1-a28f-00155d82e908")</f>
        <v>https://miland.ru/api/getInfo/image/211e4b77-1171-11f1-a28f-00155d82e908</v>
      </c>
      <c r="U4443" s="35"/>
      <c r="V4443" s="35" t="s">
        <v>8245</v>
      </c>
      <c r="W4443" s="35" t="s">
        <v>8246</v>
      </c>
      <c r="X4443" s="35"/>
      <c r="Y4443" s="35" t="s">
        <v>41</v>
      </c>
      <c r="Z4443" s="35"/>
      <c r="AA4443" s="35" t="str">
        <f>HYPERLINK("https://miland.ru/api/getInfo/item/211e4b77-1171-11f1-a28f-00155d82e908")</f>
        <v>https://miland.ru/api/getInfo/item/211e4b77-1171-11f1-a28f-00155d82e908</v>
      </c>
      <c r="AB4443" s="35" t="s">
        <v>50</v>
      </c>
      <c r="AC4443" s="35"/>
      <c r="AD4443" s="35"/>
      <c r="AE4443" s="52" t="s">
        <v>1251</v>
      </c>
    </row>
    <row r="4444" spans="2:31" s="1" customFormat="1" ht="96.3" customHeight="1" outlineLevel="5">
      <c r="B4444" s="59">
        <v>3548</v>
      </c>
      <c r="C4444" s="35" t="s">
        <v>15676</v>
      </c>
      <c r="D4444" s="73" t="s">
        <v>15677</v>
      </c>
      <c r="E4444" s="73"/>
      <c r="F4444" s="73"/>
      <c r="G4444" s="73"/>
      <c r="H4444" s="36" t="s">
        <v>15678</v>
      </c>
      <c r="I4444" s="40">
        <v>394</v>
      </c>
      <c r="J4444" s="36"/>
      <c r="K4444" s="34">
        <v>2</v>
      </c>
      <c r="L4444" s="41">
        <v>365.18666666666667</v>
      </c>
      <c r="M4444" s="11"/>
      <c r="N4444" s="36">
        <f t="shared" si="224"/>
        <v>0</v>
      </c>
      <c r="O4444" s="42">
        <f>0.479*M4444</f>
        <v>0</v>
      </c>
      <c r="P4444" s="62">
        <f>8*M4444</f>
        <v>0</v>
      </c>
      <c r="Q4444" s="50" t="s">
        <v>37</v>
      </c>
      <c r="R4444" s="36" t="s">
        <v>15679</v>
      </c>
      <c r="S4444" s="36"/>
      <c r="T4444" s="35" t="str">
        <f>HYPERLINK("https://miland.ru/api/getInfo/image/210b4330-1172-11f1-a28f-00155d82e908")</f>
        <v>https://miland.ru/api/getInfo/image/210b4330-1172-11f1-a28f-00155d82e908</v>
      </c>
      <c r="U4444" s="35"/>
      <c r="V4444" s="35" t="s">
        <v>8245</v>
      </c>
      <c r="W4444" s="35" t="s">
        <v>8246</v>
      </c>
      <c r="X4444" s="35"/>
      <c r="Y4444" s="35" t="s">
        <v>41</v>
      </c>
      <c r="Z4444" s="35"/>
      <c r="AA4444" s="35" t="str">
        <f>HYPERLINK("https://miland.ru/api/getInfo/item/210b4330-1172-11f1-a28f-00155d82e908")</f>
        <v>https://miland.ru/api/getInfo/item/210b4330-1172-11f1-a28f-00155d82e908</v>
      </c>
      <c r="AB4444" s="35" t="s">
        <v>50</v>
      </c>
      <c r="AC4444" s="35"/>
      <c r="AD4444" s="35"/>
      <c r="AE4444" s="52" t="s">
        <v>1251</v>
      </c>
    </row>
    <row r="4445" spans="2:31" s="1" customFormat="1" ht="96.3" customHeight="1" outlineLevel="5">
      <c r="B4445" s="59">
        <v>3549</v>
      </c>
      <c r="C4445" s="35" t="s">
        <v>15680</v>
      </c>
      <c r="D4445" s="73" t="s">
        <v>15681</v>
      </c>
      <c r="E4445" s="73"/>
      <c r="F4445" s="73"/>
      <c r="G4445" s="73"/>
      <c r="H4445" s="36" t="s">
        <v>15682</v>
      </c>
      <c r="I4445" s="40">
        <v>367</v>
      </c>
      <c r="J4445" s="36"/>
      <c r="K4445" s="34">
        <v>2</v>
      </c>
      <c r="L4445" s="41">
        <v>365.18666666666667</v>
      </c>
      <c r="M4445" s="11"/>
      <c r="N4445" s="36">
        <f t="shared" si="224"/>
        <v>0</v>
      </c>
      <c r="O4445" s="42">
        <f>0.593*M4445</f>
        <v>0</v>
      </c>
      <c r="P4445" s="43">
        <f>0.00076*M4445</f>
        <v>0</v>
      </c>
      <c r="Q4445" s="50" t="s">
        <v>37</v>
      </c>
      <c r="R4445" s="36" t="s">
        <v>15683</v>
      </c>
      <c r="S4445" s="36"/>
      <c r="T4445" s="35" t="str">
        <f>HYPERLINK("https://miland.ru/api/getInfo/image/853598f7-1165-11f1-a28f-00155d82e908")</f>
        <v>https://miland.ru/api/getInfo/image/853598f7-1165-11f1-a28f-00155d82e908</v>
      </c>
      <c r="U4445" s="35"/>
      <c r="V4445" s="35" t="s">
        <v>8245</v>
      </c>
      <c r="W4445" s="35" t="s">
        <v>8246</v>
      </c>
      <c r="X4445" s="35"/>
      <c r="Y4445" s="35" t="s">
        <v>41</v>
      </c>
      <c r="Z4445" s="35"/>
      <c r="AA4445" s="35" t="str">
        <f>HYPERLINK("https://miland.ru/api/getInfo/item/853598f7-1165-11f1-a28f-00155d82e908")</f>
        <v>https://miland.ru/api/getInfo/item/853598f7-1165-11f1-a28f-00155d82e908</v>
      </c>
      <c r="AB4445" s="35" t="s">
        <v>50</v>
      </c>
      <c r="AC4445" s="35"/>
      <c r="AD4445" s="35"/>
      <c r="AE4445" s="52" t="s">
        <v>1251</v>
      </c>
    </row>
    <row r="4446" spans="2:31" s="1" customFormat="1" ht="96.3" customHeight="1" outlineLevel="5">
      <c r="B4446" s="59">
        <v>3550</v>
      </c>
      <c r="C4446" s="35" t="s">
        <v>15684</v>
      </c>
      <c r="D4446" s="73" t="s">
        <v>15685</v>
      </c>
      <c r="E4446" s="73"/>
      <c r="F4446" s="73"/>
      <c r="G4446" s="73"/>
      <c r="H4446" s="36" t="s">
        <v>15686</v>
      </c>
      <c r="I4446" s="40">
        <v>366</v>
      </c>
      <c r="J4446" s="36"/>
      <c r="K4446" s="34">
        <v>2</v>
      </c>
      <c r="L4446" s="41">
        <v>365.18666666666667</v>
      </c>
      <c r="M4446" s="11"/>
      <c r="N4446" s="36">
        <f t="shared" si="224"/>
        <v>0</v>
      </c>
      <c r="O4446" s="47">
        <f>0.47*M4446</f>
        <v>0</v>
      </c>
      <c r="P4446" s="55">
        <f>0.0007*M4446</f>
        <v>0</v>
      </c>
      <c r="Q4446" s="50" t="s">
        <v>37</v>
      </c>
      <c r="R4446" s="36" t="s">
        <v>15687</v>
      </c>
      <c r="S4446" s="36"/>
      <c r="T4446" s="35" t="str">
        <f>HYPERLINK("https://miland.ru/api/getInfo/image/39e22b39-1171-11f1-a28f-00155d82e908")</f>
        <v>https://miland.ru/api/getInfo/image/39e22b39-1171-11f1-a28f-00155d82e908</v>
      </c>
      <c r="U4446" s="35"/>
      <c r="V4446" s="35" t="s">
        <v>8245</v>
      </c>
      <c r="W4446" s="35" t="s">
        <v>8246</v>
      </c>
      <c r="X4446" s="35"/>
      <c r="Y4446" s="35" t="s">
        <v>41</v>
      </c>
      <c r="Z4446" s="35"/>
      <c r="AA4446" s="35" t="str">
        <f>HYPERLINK("https://miland.ru/api/getInfo/item/39e22b39-1171-11f1-a28f-00155d82e908")</f>
        <v>https://miland.ru/api/getInfo/item/39e22b39-1171-11f1-a28f-00155d82e908</v>
      </c>
      <c r="AB4446" s="35" t="s">
        <v>50</v>
      </c>
      <c r="AC4446" s="35"/>
      <c r="AD4446" s="35"/>
      <c r="AE4446" s="52" t="s">
        <v>1251</v>
      </c>
    </row>
    <row r="4447" spans="2:31" s="1" customFormat="1" ht="96.3" customHeight="1" outlineLevel="5">
      <c r="B4447" s="59">
        <v>3551</v>
      </c>
      <c r="C4447" s="35" t="s">
        <v>15688</v>
      </c>
      <c r="D4447" s="73" t="s">
        <v>15689</v>
      </c>
      <c r="E4447" s="73"/>
      <c r="F4447" s="73"/>
      <c r="G4447" s="73"/>
      <c r="H4447" s="36" t="s">
        <v>15690</v>
      </c>
      <c r="I4447" s="40">
        <v>346</v>
      </c>
      <c r="J4447" s="36"/>
      <c r="K4447" s="34">
        <v>2</v>
      </c>
      <c r="L4447" s="41">
        <v>365.18666666666667</v>
      </c>
      <c r="M4447" s="11"/>
      <c r="N4447" s="36">
        <f t="shared" si="224"/>
        <v>0</v>
      </c>
      <c r="O4447" s="42">
        <f>0.563*M4447</f>
        <v>0</v>
      </c>
      <c r="P4447" s="43">
        <f>0.00076*M4447</f>
        <v>0</v>
      </c>
      <c r="Q4447" s="50" t="s">
        <v>37</v>
      </c>
      <c r="R4447" s="36" t="s">
        <v>15691</v>
      </c>
      <c r="S4447" s="36"/>
      <c r="T4447" s="35" t="str">
        <f>HYPERLINK("https://miland.ru/api/getInfo/image/eb7a833c-1173-11f1-a28f-00155d82e908")</f>
        <v>https://miland.ru/api/getInfo/image/eb7a833c-1173-11f1-a28f-00155d82e908</v>
      </c>
      <c r="U4447" s="35"/>
      <c r="V4447" s="35" t="s">
        <v>8245</v>
      </c>
      <c r="W4447" s="35" t="s">
        <v>8246</v>
      </c>
      <c r="X4447" s="35"/>
      <c r="Y4447" s="35" t="s">
        <v>41</v>
      </c>
      <c r="Z4447" s="35"/>
      <c r="AA4447" s="35" t="str">
        <f>HYPERLINK("https://miland.ru/api/getInfo/item/eb7a833c-1173-11f1-a28f-00155d82e908")</f>
        <v>https://miland.ru/api/getInfo/item/eb7a833c-1173-11f1-a28f-00155d82e908</v>
      </c>
      <c r="AB4447" s="35" t="s">
        <v>50</v>
      </c>
      <c r="AC4447" s="35"/>
      <c r="AD4447" s="35"/>
      <c r="AE4447" s="52" t="s">
        <v>1251</v>
      </c>
    </row>
    <row r="4448" spans="2:31" s="1" customFormat="1" ht="96.3" customHeight="1" outlineLevel="5">
      <c r="B4448" s="59">
        <v>3552</v>
      </c>
      <c r="C4448" s="35" t="s">
        <v>15692</v>
      </c>
      <c r="D4448" s="73" t="s">
        <v>15693</v>
      </c>
      <c r="E4448" s="73"/>
      <c r="F4448" s="73"/>
      <c r="G4448" s="73"/>
      <c r="H4448" s="36" t="s">
        <v>15694</v>
      </c>
      <c r="I4448" s="40">
        <v>386</v>
      </c>
      <c r="J4448" s="36"/>
      <c r="K4448" s="34">
        <v>2</v>
      </c>
      <c r="L4448" s="41">
        <v>365.18666666666667</v>
      </c>
      <c r="M4448" s="11"/>
      <c r="N4448" s="36">
        <f t="shared" si="224"/>
        <v>0</v>
      </c>
      <c r="O4448" s="47">
        <f>0.47*M4448</f>
        <v>0</v>
      </c>
      <c r="P4448" s="55">
        <f>0.0007*M4448</f>
        <v>0</v>
      </c>
      <c r="Q4448" s="50" t="s">
        <v>37</v>
      </c>
      <c r="R4448" s="36" t="s">
        <v>15695</v>
      </c>
      <c r="S4448" s="36"/>
      <c r="T4448" s="35" t="str">
        <f>HYPERLINK("https://miland.ru/api/getInfo/image/8c8f64e4-1171-11f1-a28f-00155d82e908")</f>
        <v>https://miland.ru/api/getInfo/image/8c8f64e4-1171-11f1-a28f-00155d82e908</v>
      </c>
      <c r="U4448" s="35"/>
      <c r="V4448" s="35" t="s">
        <v>8245</v>
      </c>
      <c r="W4448" s="35" t="s">
        <v>8246</v>
      </c>
      <c r="X4448" s="35"/>
      <c r="Y4448" s="35" t="s">
        <v>41</v>
      </c>
      <c r="Z4448" s="35"/>
      <c r="AA4448" s="35" t="str">
        <f>HYPERLINK("https://miland.ru/api/getInfo/item/8c8f64e4-1171-11f1-a28f-00155d82e908")</f>
        <v>https://miland.ru/api/getInfo/item/8c8f64e4-1171-11f1-a28f-00155d82e908</v>
      </c>
      <c r="AB4448" s="35" t="s">
        <v>50</v>
      </c>
      <c r="AC4448" s="35"/>
      <c r="AD4448" s="35"/>
      <c r="AE4448" s="52" t="s">
        <v>1251</v>
      </c>
    </row>
    <row r="4449" spans="2:31" s="1" customFormat="1" ht="96.3" customHeight="1" outlineLevel="5">
      <c r="B4449" s="59">
        <v>3553</v>
      </c>
      <c r="C4449" s="35" t="s">
        <v>15696</v>
      </c>
      <c r="D4449" s="73" t="s">
        <v>15697</v>
      </c>
      <c r="E4449" s="73"/>
      <c r="F4449" s="73"/>
      <c r="G4449" s="73"/>
      <c r="H4449" s="36" t="s">
        <v>15698</v>
      </c>
      <c r="I4449" s="40">
        <v>325</v>
      </c>
      <c r="J4449" s="36"/>
      <c r="K4449" s="34">
        <v>2</v>
      </c>
      <c r="L4449" s="41">
        <v>365.18666666666667</v>
      </c>
      <c r="M4449" s="11"/>
      <c r="N4449" s="36">
        <f t="shared" si="224"/>
        <v>0</v>
      </c>
      <c r="O4449" s="42">
        <f>0.563*M4449</f>
        <v>0</v>
      </c>
      <c r="P4449" s="43">
        <f>0.00076*M4449</f>
        <v>0</v>
      </c>
      <c r="Q4449" s="50" t="s">
        <v>37</v>
      </c>
      <c r="R4449" s="36" t="s">
        <v>15699</v>
      </c>
      <c r="S4449" s="36"/>
      <c r="T4449" s="35" t="str">
        <f>HYPERLINK("https://miland.ru/api/getInfo/image/ab48bcbf-1171-11f1-a28f-00155d82e908")</f>
        <v>https://miland.ru/api/getInfo/image/ab48bcbf-1171-11f1-a28f-00155d82e908</v>
      </c>
      <c r="U4449" s="35"/>
      <c r="V4449" s="35" t="s">
        <v>8245</v>
      </c>
      <c r="W4449" s="35" t="s">
        <v>8246</v>
      </c>
      <c r="X4449" s="35"/>
      <c r="Y4449" s="35" t="s">
        <v>41</v>
      </c>
      <c r="Z4449" s="35"/>
      <c r="AA4449" s="35" t="str">
        <f>HYPERLINK("https://miland.ru/api/getInfo/item/ab48bcbf-1171-11f1-a28f-00155d82e908")</f>
        <v>https://miland.ru/api/getInfo/item/ab48bcbf-1171-11f1-a28f-00155d82e908</v>
      </c>
      <c r="AB4449" s="35" t="s">
        <v>50</v>
      </c>
      <c r="AC4449" s="35"/>
      <c r="AD4449" s="35"/>
      <c r="AE4449" s="52" t="s">
        <v>1251</v>
      </c>
    </row>
    <row r="4450" spans="2:31" s="1" customFormat="1" ht="96.3" customHeight="1" outlineLevel="5">
      <c r="B4450" s="59">
        <v>3554</v>
      </c>
      <c r="C4450" s="35" t="s">
        <v>15700</v>
      </c>
      <c r="D4450" s="73" t="s">
        <v>15701</v>
      </c>
      <c r="E4450" s="73"/>
      <c r="F4450" s="73"/>
      <c r="G4450" s="73"/>
      <c r="H4450" s="36" t="s">
        <v>15702</v>
      </c>
      <c r="I4450" s="40">
        <v>10</v>
      </c>
      <c r="J4450" s="36"/>
      <c r="K4450" s="34">
        <v>2</v>
      </c>
      <c r="L4450" s="41">
        <v>365.18666666666667</v>
      </c>
      <c r="M4450" s="11"/>
      <c r="N4450" s="36">
        <f t="shared" si="224"/>
        <v>0</v>
      </c>
      <c r="O4450" s="42">
        <f>0.485*M4450</f>
        <v>0</v>
      </c>
      <c r="P4450" s="55">
        <f>0.0009*M4450</f>
        <v>0</v>
      </c>
      <c r="Q4450" s="50"/>
      <c r="R4450" s="36" t="s">
        <v>15703</v>
      </c>
      <c r="S4450" s="36" t="s">
        <v>435</v>
      </c>
      <c r="T4450" s="35" t="str">
        <f>HYPERLINK("https://miland.ru/api/getInfo/image/af6d5aa8-f8fb-11ef-a274-00155d82e908")</f>
        <v>https://miland.ru/api/getInfo/image/af6d5aa8-f8fb-11ef-a274-00155d82e908</v>
      </c>
      <c r="U4450" s="35"/>
      <c r="V4450" s="35" t="s">
        <v>8245</v>
      </c>
      <c r="W4450" s="35" t="s">
        <v>8246</v>
      </c>
      <c r="X4450" s="35"/>
      <c r="Y4450" s="35" t="s">
        <v>41</v>
      </c>
      <c r="Z4450" s="35"/>
      <c r="AA4450" s="35" t="str">
        <f>HYPERLINK("https://miland.ru/api/getInfo/item/af6d5aa8-f8fb-11ef-a274-00155d82e908")</f>
        <v>https://miland.ru/api/getInfo/item/af6d5aa8-f8fb-11ef-a274-00155d82e908</v>
      </c>
      <c r="AB4450" s="35" t="s">
        <v>50</v>
      </c>
      <c r="AC4450" s="35" t="s">
        <v>8111</v>
      </c>
      <c r="AD4450" s="35"/>
      <c r="AE4450" s="52" t="s">
        <v>1251</v>
      </c>
    </row>
    <row r="4451" spans="2:31" s="1" customFormat="1" ht="96.3" customHeight="1" outlineLevel="5">
      <c r="B4451" s="59">
        <v>3555</v>
      </c>
      <c r="C4451" s="35" t="s">
        <v>15704</v>
      </c>
      <c r="D4451" s="73" t="s">
        <v>15705</v>
      </c>
      <c r="E4451" s="73"/>
      <c r="F4451" s="73"/>
      <c r="G4451" s="73"/>
      <c r="H4451" s="36" t="s">
        <v>15706</v>
      </c>
      <c r="I4451" s="40">
        <v>76</v>
      </c>
      <c r="J4451" s="36"/>
      <c r="K4451" s="34">
        <v>2</v>
      </c>
      <c r="L4451" s="41">
        <v>365.18666666666667</v>
      </c>
      <c r="M4451" s="11"/>
      <c r="N4451" s="36">
        <f t="shared" si="224"/>
        <v>0</v>
      </c>
      <c r="O4451" s="42">
        <f>0.479*M4451</f>
        <v>0</v>
      </c>
      <c r="P4451" s="43">
        <f>0.00081*M4451</f>
        <v>0</v>
      </c>
      <c r="Q4451" s="50"/>
      <c r="R4451" s="36" t="s">
        <v>15707</v>
      </c>
      <c r="S4451" s="36" t="s">
        <v>435</v>
      </c>
      <c r="T4451" s="35" t="str">
        <f>HYPERLINK("https://miland.ru/api/getInfo/image/cc75a6ae-f00d-11ee-a25b-00155d82e908")</f>
        <v>https://miland.ru/api/getInfo/image/cc75a6ae-f00d-11ee-a25b-00155d82e908</v>
      </c>
      <c r="U4451" s="35"/>
      <c r="V4451" s="35" t="s">
        <v>8245</v>
      </c>
      <c r="W4451" s="35" t="s">
        <v>8246</v>
      </c>
      <c r="X4451" s="35"/>
      <c r="Y4451" s="35" t="s">
        <v>41</v>
      </c>
      <c r="Z4451" s="35"/>
      <c r="AA4451" s="35" t="str">
        <f>HYPERLINK("https://miland.ru/api/getInfo/item/cc75a6ae-f00d-11ee-a25b-00155d82e908")</f>
        <v>https://miland.ru/api/getInfo/item/cc75a6ae-f00d-11ee-a25b-00155d82e908</v>
      </c>
      <c r="AB4451" s="35" t="s">
        <v>50</v>
      </c>
      <c r="AC4451" s="35" t="s">
        <v>8111</v>
      </c>
      <c r="AD4451" s="35"/>
      <c r="AE4451" s="52" t="s">
        <v>1251</v>
      </c>
    </row>
    <row r="4452" spans="2:31" s="1" customFormat="1" ht="96.3" customHeight="1" outlineLevel="5">
      <c r="B4452" s="59">
        <v>3556</v>
      </c>
      <c r="C4452" s="35" t="s">
        <v>15708</v>
      </c>
      <c r="D4452" s="73" t="s">
        <v>15709</v>
      </c>
      <c r="E4452" s="73"/>
      <c r="F4452" s="73"/>
      <c r="G4452" s="73"/>
      <c r="H4452" s="36" t="s">
        <v>15710</v>
      </c>
      <c r="I4452" s="40">
        <v>265</v>
      </c>
      <c r="J4452" s="36"/>
      <c r="K4452" s="34">
        <v>2</v>
      </c>
      <c r="L4452" s="41">
        <v>355.88000000000005</v>
      </c>
      <c r="M4452" s="11"/>
      <c r="N4452" s="36">
        <f t="shared" si="224"/>
        <v>0</v>
      </c>
      <c r="O4452" s="42">
        <f>0.478*M4452</f>
        <v>0</v>
      </c>
      <c r="P4452" s="43">
        <f>0.00211*M4452</f>
        <v>0</v>
      </c>
      <c r="Q4452" s="50"/>
      <c r="R4452" s="36" t="s">
        <v>15711</v>
      </c>
      <c r="S4452" s="36" t="s">
        <v>435</v>
      </c>
      <c r="T4452" s="35" t="str">
        <f>HYPERLINK("https://miland.ru/api/getInfo/image/7d0969fd-a3bb-11ed-a22f-00155d82e902")</f>
        <v>https://miland.ru/api/getInfo/image/7d0969fd-a3bb-11ed-a22f-00155d82e902</v>
      </c>
      <c r="U4452" s="35"/>
      <c r="V4452" s="35" t="s">
        <v>8245</v>
      </c>
      <c r="W4452" s="35" t="s">
        <v>8246</v>
      </c>
      <c r="X4452" s="35"/>
      <c r="Y4452" s="35" t="s">
        <v>41</v>
      </c>
      <c r="Z4452" s="35"/>
      <c r="AA4452" s="35" t="str">
        <f>HYPERLINK("https://miland.ru/api/getInfo/item/7d0969fd-a3bb-11ed-a22f-00155d82e902")</f>
        <v>https://miland.ru/api/getInfo/item/7d0969fd-a3bb-11ed-a22f-00155d82e902</v>
      </c>
      <c r="AB4452" s="35" t="s">
        <v>50</v>
      </c>
      <c r="AC4452" s="35" t="s">
        <v>8111</v>
      </c>
      <c r="AD4452" s="35"/>
      <c r="AE4452" s="52" t="s">
        <v>1251</v>
      </c>
    </row>
    <row r="4453" spans="2:31" s="1" customFormat="1" ht="96.3" customHeight="1" outlineLevel="5">
      <c r="B4453" s="59">
        <v>3557</v>
      </c>
      <c r="C4453" s="35" t="s">
        <v>15712</v>
      </c>
      <c r="D4453" s="73" t="s">
        <v>15713</v>
      </c>
      <c r="E4453" s="73"/>
      <c r="F4453" s="73"/>
      <c r="G4453" s="73"/>
      <c r="H4453" s="36" t="s">
        <v>15714</v>
      </c>
      <c r="I4453" s="40">
        <v>176</v>
      </c>
      <c r="J4453" s="36"/>
      <c r="K4453" s="34">
        <v>2</v>
      </c>
      <c r="L4453" s="41">
        <v>355.88000000000005</v>
      </c>
      <c r="M4453" s="11"/>
      <c r="N4453" s="36">
        <f t="shared" si="224"/>
        <v>0</v>
      </c>
      <c r="O4453" s="42">
        <f>0.491*M4453</f>
        <v>0</v>
      </c>
      <c r="P4453" s="43">
        <f>0.00217*M4453</f>
        <v>0</v>
      </c>
      <c r="Q4453" s="50"/>
      <c r="R4453" s="36" t="s">
        <v>15715</v>
      </c>
      <c r="S4453" s="36" t="s">
        <v>435</v>
      </c>
      <c r="T4453" s="35" t="str">
        <f>HYPERLINK("https://miland.ru/api/getInfo/image/efe2760e-a3ba-11ed-a22f-00155d82e902")</f>
        <v>https://miland.ru/api/getInfo/image/efe2760e-a3ba-11ed-a22f-00155d82e902</v>
      </c>
      <c r="U4453" s="35"/>
      <c r="V4453" s="35" t="s">
        <v>8245</v>
      </c>
      <c r="W4453" s="35" t="s">
        <v>8246</v>
      </c>
      <c r="X4453" s="35"/>
      <c r="Y4453" s="35" t="s">
        <v>41</v>
      </c>
      <c r="Z4453" s="35"/>
      <c r="AA4453" s="35" t="str">
        <f>HYPERLINK("https://miland.ru/api/getInfo/item/efe2760e-a3ba-11ed-a22f-00155d82e902")</f>
        <v>https://miland.ru/api/getInfo/item/efe2760e-a3ba-11ed-a22f-00155d82e902</v>
      </c>
      <c r="AB4453" s="35" t="s">
        <v>50</v>
      </c>
      <c r="AC4453" s="35" t="s">
        <v>8111</v>
      </c>
      <c r="AD4453" s="35"/>
      <c r="AE4453" s="52" t="s">
        <v>1251</v>
      </c>
    </row>
    <row r="4454" spans="2:31" s="1" customFormat="1" ht="96.3" customHeight="1" outlineLevel="5">
      <c r="B4454" s="59">
        <v>3558</v>
      </c>
      <c r="C4454" s="35" t="s">
        <v>15716</v>
      </c>
      <c r="D4454" s="73" t="s">
        <v>15717</v>
      </c>
      <c r="E4454" s="73"/>
      <c r="F4454" s="73"/>
      <c r="G4454" s="73"/>
      <c r="H4454" s="36" t="s">
        <v>15718</v>
      </c>
      <c r="I4454" s="40">
        <v>28</v>
      </c>
      <c r="J4454" s="36"/>
      <c r="K4454" s="34">
        <v>2</v>
      </c>
      <c r="L4454" s="41">
        <v>365.18666666666667</v>
      </c>
      <c r="M4454" s="11"/>
      <c r="N4454" s="36">
        <f t="shared" si="224"/>
        <v>0</v>
      </c>
      <c r="O4454" s="42">
        <f>0.479*M4454</f>
        <v>0</v>
      </c>
      <c r="P4454" s="43">
        <f>0.00081*M4454</f>
        <v>0</v>
      </c>
      <c r="Q4454" s="50"/>
      <c r="R4454" s="36" t="s">
        <v>15719</v>
      </c>
      <c r="S4454" s="36" t="s">
        <v>435</v>
      </c>
      <c r="T4454" s="35" t="str">
        <f>HYPERLINK("https://miland.ru/api/getInfo/image/55c508ca-f982-11ef-a274-00155d82e908")</f>
        <v>https://miland.ru/api/getInfo/image/55c508ca-f982-11ef-a274-00155d82e908</v>
      </c>
      <c r="U4454" s="35"/>
      <c r="V4454" s="35" t="s">
        <v>8245</v>
      </c>
      <c r="W4454" s="35" t="s">
        <v>8246</v>
      </c>
      <c r="X4454" s="35"/>
      <c r="Y4454" s="35" t="s">
        <v>41</v>
      </c>
      <c r="Z4454" s="35"/>
      <c r="AA4454" s="35" t="str">
        <f>HYPERLINK("https://miland.ru/api/getInfo/item/55c508ca-f982-11ef-a274-00155d82e908")</f>
        <v>https://miland.ru/api/getInfo/item/55c508ca-f982-11ef-a274-00155d82e908</v>
      </c>
      <c r="AB4454" s="35" t="s">
        <v>50</v>
      </c>
      <c r="AC4454" s="35" t="s">
        <v>8111</v>
      </c>
      <c r="AD4454" s="35"/>
      <c r="AE4454" s="52" t="s">
        <v>1251</v>
      </c>
    </row>
    <row r="4455" spans="2:31" s="1" customFormat="1" ht="96.3" customHeight="1" outlineLevel="5">
      <c r="B4455" s="59">
        <v>3559</v>
      </c>
      <c r="C4455" s="35" t="s">
        <v>15720</v>
      </c>
      <c r="D4455" s="73" t="s">
        <v>15721</v>
      </c>
      <c r="E4455" s="73"/>
      <c r="F4455" s="73"/>
      <c r="G4455" s="73"/>
      <c r="H4455" s="36" t="s">
        <v>15722</v>
      </c>
      <c r="I4455" s="40">
        <v>18</v>
      </c>
      <c r="J4455" s="36"/>
      <c r="K4455" s="34">
        <v>2</v>
      </c>
      <c r="L4455" s="41">
        <v>365.18666666666667</v>
      </c>
      <c r="M4455" s="11"/>
      <c r="N4455" s="36">
        <f t="shared" si="224"/>
        <v>0</v>
      </c>
      <c r="O4455" s="42">
        <f>0.486*M4455</f>
        <v>0</v>
      </c>
      <c r="P4455" s="43">
        <f>0.00111*M4455</f>
        <v>0</v>
      </c>
      <c r="Q4455" s="50"/>
      <c r="R4455" s="36" t="s">
        <v>15723</v>
      </c>
      <c r="S4455" s="36" t="s">
        <v>435</v>
      </c>
      <c r="T4455" s="35" t="str">
        <f>HYPERLINK("https://miland.ru/api/getInfo/image/6e9fe7fd-f00c-11ee-a25b-00155d82e908")</f>
        <v>https://miland.ru/api/getInfo/image/6e9fe7fd-f00c-11ee-a25b-00155d82e908</v>
      </c>
      <c r="U4455" s="35"/>
      <c r="V4455" s="35" t="s">
        <v>8245</v>
      </c>
      <c r="W4455" s="35" t="s">
        <v>8246</v>
      </c>
      <c r="X4455" s="35"/>
      <c r="Y4455" s="35" t="s">
        <v>41</v>
      </c>
      <c r="Z4455" s="35"/>
      <c r="AA4455" s="35" t="str">
        <f>HYPERLINK("https://miland.ru/api/getInfo/item/6e9fe7fd-f00c-11ee-a25b-00155d82e908")</f>
        <v>https://miland.ru/api/getInfo/item/6e9fe7fd-f00c-11ee-a25b-00155d82e908</v>
      </c>
      <c r="AB4455" s="35" t="s">
        <v>50</v>
      </c>
      <c r="AC4455" s="35" t="s">
        <v>8111</v>
      </c>
      <c r="AD4455" s="35"/>
      <c r="AE4455" s="52" t="s">
        <v>1251</v>
      </c>
    </row>
    <row r="4456" spans="2:31" s="1" customFormat="1" ht="96.3" customHeight="1" outlineLevel="5">
      <c r="B4456" s="59">
        <v>3560</v>
      </c>
      <c r="C4456" s="35" t="s">
        <v>15724</v>
      </c>
      <c r="D4456" s="73" t="s">
        <v>15725</v>
      </c>
      <c r="E4456" s="73"/>
      <c r="F4456" s="73"/>
      <c r="G4456" s="73"/>
      <c r="H4456" s="36" t="s">
        <v>15726</v>
      </c>
      <c r="I4456" s="40">
        <v>30</v>
      </c>
      <c r="J4456" s="36"/>
      <c r="K4456" s="34">
        <v>2</v>
      </c>
      <c r="L4456" s="41">
        <v>365.18666666666667</v>
      </c>
      <c r="M4456" s="11"/>
      <c r="N4456" s="36">
        <f t="shared" si="224"/>
        <v>0</v>
      </c>
      <c r="O4456" s="42">
        <f>0.309*M4456</f>
        <v>0</v>
      </c>
      <c r="P4456" s="43">
        <f>0.00099*M4456</f>
        <v>0</v>
      </c>
      <c r="Q4456" s="50"/>
      <c r="R4456" s="36" t="s">
        <v>15727</v>
      </c>
      <c r="S4456" s="36" t="s">
        <v>435</v>
      </c>
      <c r="T4456" s="35" t="str">
        <f>HYPERLINK("https://miland.ru/api/getInfo/image/c48ab3e3-f8fd-11ef-a274-00155d82e908")</f>
        <v>https://miland.ru/api/getInfo/image/c48ab3e3-f8fd-11ef-a274-00155d82e908</v>
      </c>
      <c r="U4456" s="35"/>
      <c r="V4456" s="35" t="s">
        <v>8245</v>
      </c>
      <c r="W4456" s="35" t="s">
        <v>8246</v>
      </c>
      <c r="X4456" s="35"/>
      <c r="Y4456" s="35" t="s">
        <v>41</v>
      </c>
      <c r="Z4456" s="35"/>
      <c r="AA4456" s="35" t="str">
        <f>HYPERLINK("https://miland.ru/api/getInfo/item/c48ab3e3-f8fd-11ef-a274-00155d82e908")</f>
        <v>https://miland.ru/api/getInfo/item/c48ab3e3-f8fd-11ef-a274-00155d82e908</v>
      </c>
      <c r="AB4456" s="35" t="s">
        <v>50</v>
      </c>
      <c r="AC4456" s="35" t="s">
        <v>8111</v>
      </c>
      <c r="AD4456" s="35"/>
      <c r="AE4456" s="52" t="s">
        <v>1251</v>
      </c>
    </row>
    <row r="4457" spans="2:31" s="1" customFormat="1" ht="96.3" customHeight="1" outlineLevel="5">
      <c r="B4457" s="59">
        <v>3561</v>
      </c>
      <c r="C4457" s="35" t="s">
        <v>15728</v>
      </c>
      <c r="D4457" s="73" t="s">
        <v>15729</v>
      </c>
      <c r="E4457" s="73"/>
      <c r="F4457" s="73"/>
      <c r="G4457" s="73"/>
      <c r="H4457" s="36" t="s">
        <v>15730</v>
      </c>
      <c r="I4457" s="40">
        <v>295</v>
      </c>
      <c r="J4457" s="36"/>
      <c r="K4457" s="34">
        <v>2</v>
      </c>
      <c r="L4457" s="41">
        <v>365.18666666666667</v>
      </c>
      <c r="M4457" s="11"/>
      <c r="N4457" s="36">
        <f t="shared" si="224"/>
        <v>0</v>
      </c>
      <c r="O4457" s="42">
        <f>0.485*M4457</f>
        <v>0</v>
      </c>
      <c r="P4457" s="55">
        <f>0.0009*M4457</f>
        <v>0</v>
      </c>
      <c r="Q4457" s="50"/>
      <c r="R4457" s="36" t="s">
        <v>15731</v>
      </c>
      <c r="S4457" s="36" t="s">
        <v>435</v>
      </c>
      <c r="T4457" s="35" t="str">
        <f>HYPERLINK("https://miland.ru/api/getInfo/image/2bf92f46-f97f-11ef-a274-00155d82e908")</f>
        <v>https://miland.ru/api/getInfo/image/2bf92f46-f97f-11ef-a274-00155d82e908</v>
      </c>
      <c r="U4457" s="35"/>
      <c r="V4457" s="35" t="s">
        <v>8245</v>
      </c>
      <c r="W4457" s="35" t="s">
        <v>8246</v>
      </c>
      <c r="X4457" s="35"/>
      <c r="Y4457" s="35" t="s">
        <v>41</v>
      </c>
      <c r="Z4457" s="35"/>
      <c r="AA4457" s="35" t="str">
        <f>HYPERLINK("https://miland.ru/api/getInfo/item/2bf92f46-f97f-11ef-a274-00155d82e908")</f>
        <v>https://miland.ru/api/getInfo/item/2bf92f46-f97f-11ef-a274-00155d82e908</v>
      </c>
      <c r="AB4457" s="35" t="s">
        <v>50</v>
      </c>
      <c r="AC4457" s="35" t="s">
        <v>8111</v>
      </c>
      <c r="AD4457" s="35"/>
      <c r="AE4457" s="52" t="s">
        <v>1251</v>
      </c>
    </row>
    <row r="4458" spans="2:31" s="1" customFormat="1" ht="96.3" customHeight="1" outlineLevel="5">
      <c r="B4458" s="59">
        <v>3562</v>
      </c>
      <c r="C4458" s="35" t="s">
        <v>15732</v>
      </c>
      <c r="D4458" s="73" t="s">
        <v>15733</v>
      </c>
      <c r="E4458" s="73"/>
      <c r="F4458" s="73"/>
      <c r="G4458" s="73"/>
      <c r="H4458" s="36" t="s">
        <v>15734</v>
      </c>
      <c r="I4458" s="40">
        <v>269</v>
      </c>
      <c r="J4458" s="36"/>
      <c r="K4458" s="34">
        <v>2</v>
      </c>
      <c r="L4458" s="41">
        <v>365.18666666666667</v>
      </c>
      <c r="M4458" s="11"/>
      <c r="N4458" s="36">
        <f t="shared" si="224"/>
        <v>0</v>
      </c>
      <c r="O4458" s="42">
        <f>0.492*M4458</f>
        <v>0</v>
      </c>
      <c r="P4458" s="43">
        <f>0.00089*M4458</f>
        <v>0</v>
      </c>
      <c r="Q4458" s="50"/>
      <c r="R4458" s="36" t="s">
        <v>15735</v>
      </c>
      <c r="S4458" s="36" t="s">
        <v>435</v>
      </c>
      <c r="T4458" s="35" t="str">
        <f>HYPERLINK("https://miland.ru/api/getInfo/image/ebffbec2-f8ff-11ef-a274-00155d82e908")</f>
        <v>https://miland.ru/api/getInfo/image/ebffbec2-f8ff-11ef-a274-00155d82e908</v>
      </c>
      <c r="U4458" s="35"/>
      <c r="V4458" s="35" t="s">
        <v>8245</v>
      </c>
      <c r="W4458" s="35" t="s">
        <v>8246</v>
      </c>
      <c r="X4458" s="35"/>
      <c r="Y4458" s="35" t="s">
        <v>41</v>
      </c>
      <c r="Z4458" s="35"/>
      <c r="AA4458" s="35" t="str">
        <f>HYPERLINK("https://miland.ru/api/getInfo/item/ebffbec2-f8ff-11ef-a274-00155d82e908")</f>
        <v>https://miland.ru/api/getInfo/item/ebffbec2-f8ff-11ef-a274-00155d82e908</v>
      </c>
      <c r="AB4458" s="35" t="s">
        <v>50</v>
      </c>
      <c r="AC4458" s="35" t="s">
        <v>8111</v>
      </c>
      <c r="AD4458" s="35"/>
      <c r="AE4458" s="52" t="s">
        <v>1251</v>
      </c>
    </row>
    <row r="4459" spans="2:31" s="1" customFormat="1" ht="96.3" customHeight="1" outlineLevel="5">
      <c r="B4459" s="59">
        <v>3563</v>
      </c>
      <c r="C4459" s="35" t="s">
        <v>15736</v>
      </c>
      <c r="D4459" s="73" t="s">
        <v>15737</v>
      </c>
      <c r="E4459" s="73"/>
      <c r="F4459" s="73"/>
      <c r="G4459" s="73"/>
      <c r="H4459" s="36" t="s">
        <v>15738</v>
      </c>
      <c r="I4459" s="40">
        <v>311</v>
      </c>
      <c r="J4459" s="36"/>
      <c r="K4459" s="34">
        <v>2</v>
      </c>
      <c r="L4459" s="41">
        <v>365.18666666666667</v>
      </c>
      <c r="M4459" s="11"/>
      <c r="N4459" s="36">
        <f t="shared" si="224"/>
        <v>0</v>
      </c>
      <c r="O4459" s="42">
        <f>0.481*M4459</f>
        <v>0</v>
      </c>
      <c r="P4459" s="43">
        <f>0.00087*M4459</f>
        <v>0</v>
      </c>
      <c r="Q4459" s="50"/>
      <c r="R4459" s="36" t="s">
        <v>15739</v>
      </c>
      <c r="S4459" s="36" t="s">
        <v>435</v>
      </c>
      <c r="T4459" s="35" t="str">
        <f>HYPERLINK("https://miland.ru/api/getInfo/image/dc9c49ef-f97f-11ef-a274-00155d82e908")</f>
        <v>https://miland.ru/api/getInfo/image/dc9c49ef-f97f-11ef-a274-00155d82e908</v>
      </c>
      <c r="U4459" s="35"/>
      <c r="V4459" s="35" t="s">
        <v>8245</v>
      </c>
      <c r="W4459" s="35" t="s">
        <v>8246</v>
      </c>
      <c r="X4459" s="35"/>
      <c r="Y4459" s="35" t="s">
        <v>41</v>
      </c>
      <c r="Z4459" s="35"/>
      <c r="AA4459" s="35" t="str">
        <f>HYPERLINK("https://miland.ru/api/getInfo/item/dc9c49ef-f97f-11ef-a274-00155d82e908")</f>
        <v>https://miland.ru/api/getInfo/item/dc9c49ef-f97f-11ef-a274-00155d82e908</v>
      </c>
      <c r="AB4459" s="35" t="s">
        <v>50</v>
      </c>
      <c r="AC4459" s="35" t="s">
        <v>8111</v>
      </c>
      <c r="AD4459" s="35"/>
      <c r="AE4459" s="52" t="s">
        <v>1251</v>
      </c>
    </row>
    <row r="4460" spans="2:31" s="1" customFormat="1" ht="96.3" customHeight="1" outlineLevel="5">
      <c r="B4460" s="59">
        <v>3564</v>
      </c>
      <c r="C4460" s="35" t="s">
        <v>15740</v>
      </c>
      <c r="D4460" s="73" t="s">
        <v>15741</v>
      </c>
      <c r="E4460" s="73"/>
      <c r="F4460" s="73"/>
      <c r="G4460" s="73"/>
      <c r="H4460" s="36" t="s">
        <v>15742</v>
      </c>
      <c r="I4460" s="40">
        <v>26</v>
      </c>
      <c r="J4460" s="36"/>
      <c r="K4460" s="34">
        <v>2</v>
      </c>
      <c r="L4460" s="41">
        <v>365.18666666666667</v>
      </c>
      <c r="M4460" s="11"/>
      <c r="N4460" s="36">
        <f t="shared" si="224"/>
        <v>0</v>
      </c>
      <c r="O4460" s="42">
        <f>0.485*M4460</f>
        <v>0</v>
      </c>
      <c r="P4460" s="55">
        <f>0.0009*M4460</f>
        <v>0</v>
      </c>
      <c r="Q4460" s="50"/>
      <c r="R4460" s="36" t="s">
        <v>15743</v>
      </c>
      <c r="S4460" s="36" t="s">
        <v>435</v>
      </c>
      <c r="T4460" s="35" t="str">
        <f>HYPERLINK("https://miland.ru/api/getInfo/image/424717e1-f983-11ef-a274-00155d82e908")</f>
        <v>https://miland.ru/api/getInfo/image/424717e1-f983-11ef-a274-00155d82e908</v>
      </c>
      <c r="U4460" s="35"/>
      <c r="V4460" s="35" t="s">
        <v>8245</v>
      </c>
      <c r="W4460" s="35" t="s">
        <v>8246</v>
      </c>
      <c r="X4460" s="35"/>
      <c r="Y4460" s="35" t="s">
        <v>41</v>
      </c>
      <c r="Z4460" s="35"/>
      <c r="AA4460" s="35" t="str">
        <f>HYPERLINK("https://miland.ru/api/getInfo/item/424717e1-f983-11ef-a274-00155d82e908")</f>
        <v>https://miland.ru/api/getInfo/item/424717e1-f983-11ef-a274-00155d82e908</v>
      </c>
      <c r="AB4460" s="35" t="s">
        <v>50</v>
      </c>
      <c r="AC4460" s="35" t="s">
        <v>8111</v>
      </c>
      <c r="AD4460" s="35"/>
      <c r="AE4460" s="52" t="s">
        <v>1251</v>
      </c>
    </row>
    <row r="4461" spans="2:31" s="1" customFormat="1" ht="96.3" customHeight="1" outlineLevel="5">
      <c r="B4461" s="59">
        <v>3565</v>
      </c>
      <c r="C4461" s="35" t="s">
        <v>15744</v>
      </c>
      <c r="D4461" s="73" t="s">
        <v>15745</v>
      </c>
      <c r="E4461" s="73"/>
      <c r="F4461" s="73"/>
      <c r="G4461" s="73"/>
      <c r="H4461" s="36" t="s">
        <v>15746</v>
      </c>
      <c r="I4461" s="40">
        <v>16</v>
      </c>
      <c r="J4461" s="36"/>
      <c r="K4461" s="34">
        <v>2</v>
      </c>
      <c r="L4461" s="41">
        <v>365.18666666666667</v>
      </c>
      <c r="M4461" s="11"/>
      <c r="N4461" s="36">
        <f t="shared" si="224"/>
        <v>0</v>
      </c>
      <c r="O4461" s="42">
        <f>0.552*M4461</f>
        <v>0</v>
      </c>
      <c r="P4461" s="43">
        <f>0.00214*M4461</f>
        <v>0</v>
      </c>
      <c r="Q4461" s="50"/>
      <c r="R4461" s="36" t="s">
        <v>15747</v>
      </c>
      <c r="S4461" s="36" t="s">
        <v>435</v>
      </c>
      <c r="T4461" s="35" t="str">
        <f>HYPERLINK("https://miland.ru/api/getInfo/image/58de79a1-f984-11ef-a274-00155d82e908")</f>
        <v>https://miland.ru/api/getInfo/image/58de79a1-f984-11ef-a274-00155d82e908</v>
      </c>
      <c r="U4461" s="35"/>
      <c r="V4461" s="35" t="s">
        <v>8245</v>
      </c>
      <c r="W4461" s="35" t="s">
        <v>8246</v>
      </c>
      <c r="X4461" s="35"/>
      <c r="Y4461" s="35" t="s">
        <v>41</v>
      </c>
      <c r="Z4461" s="35"/>
      <c r="AA4461" s="35" t="str">
        <f>HYPERLINK("https://miland.ru/api/getInfo/item/58de79a1-f984-11ef-a274-00155d82e908")</f>
        <v>https://miland.ru/api/getInfo/item/58de79a1-f984-11ef-a274-00155d82e908</v>
      </c>
      <c r="AB4461" s="35" t="s">
        <v>50</v>
      </c>
      <c r="AC4461" s="35" t="s">
        <v>8111</v>
      </c>
      <c r="AD4461" s="35"/>
      <c r="AE4461" s="52" t="s">
        <v>1251</v>
      </c>
    </row>
    <row r="4462" spans="2:31" s="1" customFormat="1" ht="96.3" customHeight="1" outlineLevel="5">
      <c r="B4462" s="59">
        <v>3566</v>
      </c>
      <c r="C4462" s="35" t="s">
        <v>15748</v>
      </c>
      <c r="D4462" s="73" t="s">
        <v>15749</v>
      </c>
      <c r="E4462" s="73"/>
      <c r="F4462" s="73"/>
      <c r="G4462" s="73"/>
      <c r="H4462" s="36" t="s">
        <v>15750</v>
      </c>
      <c r="I4462" s="40">
        <v>9</v>
      </c>
      <c r="J4462" s="36"/>
      <c r="K4462" s="34">
        <v>2</v>
      </c>
      <c r="L4462" s="41">
        <v>365.18666666666667</v>
      </c>
      <c r="M4462" s="11"/>
      <c r="N4462" s="36">
        <f t="shared" si="224"/>
        <v>0</v>
      </c>
      <c r="O4462" s="42">
        <f>0.552*M4462</f>
        <v>0</v>
      </c>
      <c r="P4462" s="43">
        <f>0.00308*M4462</f>
        <v>0</v>
      </c>
      <c r="Q4462" s="50"/>
      <c r="R4462" s="36" t="s">
        <v>15751</v>
      </c>
      <c r="S4462" s="36" t="s">
        <v>435</v>
      </c>
      <c r="T4462" s="35" t="str">
        <f>HYPERLINK("https://miland.ru/api/getInfo/image/c8220cb8-f984-11ef-a274-00155d82e908")</f>
        <v>https://miland.ru/api/getInfo/image/c8220cb8-f984-11ef-a274-00155d82e908</v>
      </c>
      <c r="U4462" s="35"/>
      <c r="V4462" s="35" t="s">
        <v>8245</v>
      </c>
      <c r="W4462" s="35" t="s">
        <v>8246</v>
      </c>
      <c r="X4462" s="35"/>
      <c r="Y4462" s="35" t="s">
        <v>41</v>
      </c>
      <c r="Z4462" s="35"/>
      <c r="AA4462" s="35" t="str">
        <f>HYPERLINK("https://miland.ru/api/getInfo/item/c8220cb8-f984-11ef-a274-00155d82e908")</f>
        <v>https://miland.ru/api/getInfo/item/c8220cb8-f984-11ef-a274-00155d82e908</v>
      </c>
      <c r="AB4462" s="35" t="s">
        <v>50</v>
      </c>
      <c r="AC4462" s="35" t="s">
        <v>8111</v>
      </c>
      <c r="AD4462" s="35"/>
      <c r="AE4462" s="52" t="s">
        <v>1251</v>
      </c>
    </row>
    <row r="4463" spans="2:31" s="1" customFormat="1" ht="96.3" customHeight="1" outlineLevel="5">
      <c r="B4463" s="59">
        <v>3567</v>
      </c>
      <c r="C4463" s="35" t="s">
        <v>15752</v>
      </c>
      <c r="D4463" s="73" t="s">
        <v>15753</v>
      </c>
      <c r="E4463" s="73"/>
      <c r="F4463" s="73"/>
      <c r="G4463" s="73"/>
      <c r="H4463" s="36" t="s">
        <v>15754</v>
      </c>
      <c r="I4463" s="40">
        <v>6</v>
      </c>
      <c r="J4463" s="36"/>
      <c r="K4463" s="34">
        <v>2</v>
      </c>
      <c r="L4463" s="41">
        <v>365.18666666666667</v>
      </c>
      <c r="M4463" s="11"/>
      <c r="N4463" s="36">
        <f t="shared" si="224"/>
        <v>0</v>
      </c>
      <c r="O4463" s="42">
        <f>0.593*M4463</f>
        <v>0</v>
      </c>
      <c r="P4463" s="43">
        <f>0.00076*M4463</f>
        <v>0</v>
      </c>
      <c r="Q4463" s="50"/>
      <c r="R4463" s="36" t="s">
        <v>15755</v>
      </c>
      <c r="S4463" s="36" t="s">
        <v>435</v>
      </c>
      <c r="T4463" s="35" t="str">
        <f>HYPERLINK("https://miland.ru/api/getInfo/image/fb18cfcb-f00c-11ee-a25b-00155d82e908")</f>
        <v>https://miland.ru/api/getInfo/image/fb18cfcb-f00c-11ee-a25b-00155d82e908</v>
      </c>
      <c r="U4463" s="35"/>
      <c r="V4463" s="35" t="s">
        <v>8245</v>
      </c>
      <c r="W4463" s="35" t="s">
        <v>8246</v>
      </c>
      <c r="X4463" s="35"/>
      <c r="Y4463" s="35" t="s">
        <v>41</v>
      </c>
      <c r="Z4463" s="35"/>
      <c r="AA4463" s="35" t="str">
        <f>HYPERLINK("https://miland.ru/api/getInfo/item/fb18cfcb-f00c-11ee-a25b-00155d82e908")</f>
        <v>https://miland.ru/api/getInfo/item/fb18cfcb-f00c-11ee-a25b-00155d82e908</v>
      </c>
      <c r="AB4463" s="35" t="s">
        <v>50</v>
      </c>
      <c r="AC4463" s="35" t="s">
        <v>8111</v>
      </c>
      <c r="AD4463" s="35"/>
      <c r="AE4463" s="52" t="s">
        <v>1251</v>
      </c>
    </row>
    <row r="4464" spans="2:31" s="1" customFormat="1" ht="96.3" customHeight="1" outlineLevel="5">
      <c r="B4464" s="59">
        <v>3568</v>
      </c>
      <c r="C4464" s="35" t="s">
        <v>15756</v>
      </c>
      <c r="D4464" s="73" t="s">
        <v>15757</v>
      </c>
      <c r="E4464" s="73"/>
      <c r="F4464" s="73"/>
      <c r="G4464" s="73"/>
      <c r="H4464" s="36" t="s">
        <v>15758</v>
      </c>
      <c r="I4464" s="40">
        <v>244</v>
      </c>
      <c r="J4464" s="36"/>
      <c r="K4464" s="34">
        <v>2</v>
      </c>
      <c r="L4464" s="41">
        <v>365.18666666666667</v>
      </c>
      <c r="M4464" s="11"/>
      <c r="N4464" s="36">
        <f t="shared" si="224"/>
        <v>0</v>
      </c>
      <c r="O4464" s="42">
        <f>0.552*M4464</f>
        <v>0</v>
      </c>
      <c r="P4464" s="43">
        <f>0.00214*M4464</f>
        <v>0</v>
      </c>
      <c r="Q4464" s="50"/>
      <c r="R4464" s="36" t="s">
        <v>15759</v>
      </c>
      <c r="S4464" s="36" t="s">
        <v>435</v>
      </c>
      <c r="T4464" s="35" t="str">
        <f>HYPERLINK("https://miland.ru/api/getInfo/image/e07223f2-f983-11ef-a274-00155d82e908")</f>
        <v>https://miland.ru/api/getInfo/image/e07223f2-f983-11ef-a274-00155d82e908</v>
      </c>
      <c r="U4464" s="35"/>
      <c r="V4464" s="35" t="s">
        <v>8245</v>
      </c>
      <c r="W4464" s="35" t="s">
        <v>8246</v>
      </c>
      <c r="X4464" s="35"/>
      <c r="Y4464" s="35" t="s">
        <v>41</v>
      </c>
      <c r="Z4464" s="35"/>
      <c r="AA4464" s="35" t="str">
        <f>HYPERLINK("https://miland.ru/api/getInfo/item/e07223f2-f983-11ef-a274-00155d82e908")</f>
        <v>https://miland.ru/api/getInfo/item/e07223f2-f983-11ef-a274-00155d82e908</v>
      </c>
      <c r="AB4464" s="35" t="s">
        <v>50</v>
      </c>
      <c r="AC4464" s="35" t="s">
        <v>8111</v>
      </c>
      <c r="AD4464" s="35"/>
      <c r="AE4464" s="52" t="s">
        <v>1251</v>
      </c>
    </row>
    <row r="4465" spans="2:31" s="1" customFormat="1" ht="96.3" customHeight="1" outlineLevel="5">
      <c r="B4465" s="59">
        <v>3569</v>
      </c>
      <c r="C4465" s="35" t="s">
        <v>15760</v>
      </c>
      <c r="D4465" s="73" t="s">
        <v>15761</v>
      </c>
      <c r="E4465" s="73"/>
      <c r="F4465" s="73"/>
      <c r="G4465" s="73"/>
      <c r="H4465" s="36" t="s">
        <v>15762</v>
      </c>
      <c r="I4465" s="40">
        <v>7</v>
      </c>
      <c r="J4465" s="36"/>
      <c r="K4465" s="34">
        <v>2</v>
      </c>
      <c r="L4465" s="41">
        <v>355.88000000000005</v>
      </c>
      <c r="M4465" s="11"/>
      <c r="N4465" s="36">
        <f t="shared" si="224"/>
        <v>0</v>
      </c>
      <c r="O4465" s="47">
        <f>0.59*M4465</f>
        <v>0</v>
      </c>
      <c r="P4465" s="43">
        <f>0.00112*M4465</f>
        <v>0</v>
      </c>
      <c r="Q4465" s="50"/>
      <c r="R4465" s="36" t="s">
        <v>15763</v>
      </c>
      <c r="S4465" s="36" t="s">
        <v>435</v>
      </c>
      <c r="T4465" s="35" t="str">
        <f>HYPERLINK("https://miland.ru/api/getInfo/image/6867f6f6-8861-11ea-a247-ac1f6b442184")</f>
        <v>https://miland.ru/api/getInfo/image/6867f6f6-8861-11ea-a247-ac1f6b442184</v>
      </c>
      <c r="U4465" s="35"/>
      <c r="V4465" s="35" t="s">
        <v>8245</v>
      </c>
      <c r="W4465" s="35" t="s">
        <v>8246</v>
      </c>
      <c r="X4465" s="35"/>
      <c r="Y4465" s="35" t="s">
        <v>41</v>
      </c>
      <c r="Z4465" s="35"/>
      <c r="AA4465" s="35" t="str">
        <f>HYPERLINK("https://miland.ru/api/getInfo/item/6867f6f6-8861-11ea-a247-ac1f6b442184")</f>
        <v>https://miland.ru/api/getInfo/item/6867f6f6-8861-11ea-a247-ac1f6b442184</v>
      </c>
      <c r="AB4465" s="35" t="s">
        <v>50</v>
      </c>
      <c r="AC4465" s="35" t="s">
        <v>8111</v>
      </c>
      <c r="AD4465" s="35"/>
      <c r="AE4465" s="52" t="s">
        <v>1251</v>
      </c>
    </row>
    <row r="4466" spans="2:31" s="1" customFormat="1" ht="96.3" customHeight="1" outlineLevel="5">
      <c r="B4466" s="59">
        <v>3570</v>
      </c>
      <c r="C4466" s="35" t="s">
        <v>15764</v>
      </c>
      <c r="D4466" s="73" t="s">
        <v>15765</v>
      </c>
      <c r="E4466" s="73"/>
      <c r="F4466" s="73"/>
      <c r="G4466" s="73"/>
      <c r="H4466" s="36" t="s">
        <v>15766</v>
      </c>
      <c r="I4466" s="40">
        <v>362</v>
      </c>
      <c r="J4466" s="36"/>
      <c r="K4466" s="34">
        <v>2</v>
      </c>
      <c r="L4466" s="41">
        <v>365.18666666666667</v>
      </c>
      <c r="M4466" s="11"/>
      <c r="N4466" s="36">
        <f t="shared" si="224"/>
        <v>0</v>
      </c>
      <c r="O4466" s="42">
        <f>0.552*M4466</f>
        <v>0</v>
      </c>
      <c r="P4466" s="43">
        <f>0.00214*M4466</f>
        <v>0</v>
      </c>
      <c r="Q4466" s="50"/>
      <c r="R4466" s="36" t="s">
        <v>15767</v>
      </c>
      <c r="S4466" s="36" t="s">
        <v>435</v>
      </c>
      <c r="T4466" s="35" t="str">
        <f>HYPERLINK("https://miland.ru/api/getInfo/image/3c078b6a-f8ff-11ef-a274-00155d82e908")</f>
        <v>https://miland.ru/api/getInfo/image/3c078b6a-f8ff-11ef-a274-00155d82e908</v>
      </c>
      <c r="U4466" s="35"/>
      <c r="V4466" s="35" t="s">
        <v>8245</v>
      </c>
      <c r="W4466" s="35" t="s">
        <v>8246</v>
      </c>
      <c r="X4466" s="35"/>
      <c r="Y4466" s="35" t="s">
        <v>41</v>
      </c>
      <c r="Z4466" s="35"/>
      <c r="AA4466" s="35" t="str">
        <f>HYPERLINK("https://miland.ru/api/getInfo/item/3c078b6a-f8ff-11ef-a274-00155d82e908")</f>
        <v>https://miland.ru/api/getInfo/item/3c078b6a-f8ff-11ef-a274-00155d82e908</v>
      </c>
      <c r="AB4466" s="35" t="s">
        <v>50</v>
      </c>
      <c r="AC4466" s="35" t="s">
        <v>8111</v>
      </c>
      <c r="AD4466" s="35"/>
      <c r="AE4466" s="52" t="s">
        <v>1251</v>
      </c>
    </row>
    <row r="4467" spans="2:31" s="1" customFormat="1" ht="96.3" customHeight="1" outlineLevel="5">
      <c r="B4467" s="59">
        <v>3571</v>
      </c>
      <c r="C4467" s="35" t="s">
        <v>15768</v>
      </c>
      <c r="D4467" s="73" t="s">
        <v>15769</v>
      </c>
      <c r="E4467" s="73"/>
      <c r="F4467" s="73"/>
      <c r="G4467" s="73"/>
      <c r="H4467" s="36" t="s">
        <v>15770</v>
      </c>
      <c r="I4467" s="40">
        <v>34</v>
      </c>
      <c r="J4467" s="36"/>
      <c r="K4467" s="34">
        <v>2</v>
      </c>
      <c r="L4467" s="41">
        <v>365.18666666666667</v>
      </c>
      <c r="M4467" s="11"/>
      <c r="N4467" s="36">
        <f t="shared" si="224"/>
        <v>0</v>
      </c>
      <c r="O4467" s="42">
        <f>0.593*M4467</f>
        <v>0</v>
      </c>
      <c r="P4467" s="43">
        <f>0.00076*M4467</f>
        <v>0</v>
      </c>
      <c r="Q4467" s="50"/>
      <c r="R4467" s="36" t="s">
        <v>15771</v>
      </c>
      <c r="S4467" s="36" t="s">
        <v>435</v>
      </c>
      <c r="T4467" s="35" t="str">
        <f>HYPERLINK("https://miland.ru/api/getInfo/image/dc55cbcb-f00c-11ee-a25b-00155d82e908")</f>
        <v>https://miland.ru/api/getInfo/image/dc55cbcb-f00c-11ee-a25b-00155d82e908</v>
      </c>
      <c r="U4467" s="35"/>
      <c r="V4467" s="35" t="s">
        <v>8245</v>
      </c>
      <c r="W4467" s="35" t="s">
        <v>8246</v>
      </c>
      <c r="X4467" s="35"/>
      <c r="Y4467" s="35" t="s">
        <v>41</v>
      </c>
      <c r="Z4467" s="35"/>
      <c r="AA4467" s="35" t="str">
        <f>HYPERLINK("https://miland.ru/api/getInfo/item/dc55cbcb-f00c-11ee-a25b-00155d82e908")</f>
        <v>https://miland.ru/api/getInfo/item/dc55cbcb-f00c-11ee-a25b-00155d82e908</v>
      </c>
      <c r="AB4467" s="35" t="s">
        <v>50</v>
      </c>
      <c r="AC4467" s="35" t="s">
        <v>8111</v>
      </c>
      <c r="AD4467" s="35"/>
      <c r="AE4467" s="52" t="s">
        <v>1251</v>
      </c>
    </row>
    <row r="4468" spans="2:31" s="1" customFormat="1" ht="96.3" customHeight="1" outlineLevel="5">
      <c r="B4468" s="59">
        <v>3572</v>
      </c>
      <c r="C4468" s="35" t="s">
        <v>15772</v>
      </c>
      <c r="D4468" s="73" t="s">
        <v>15773</v>
      </c>
      <c r="E4468" s="73"/>
      <c r="F4468" s="73"/>
      <c r="G4468" s="73"/>
      <c r="H4468" s="36" t="s">
        <v>15774</v>
      </c>
      <c r="I4468" s="40">
        <v>73</v>
      </c>
      <c r="J4468" s="36"/>
      <c r="K4468" s="34">
        <v>2</v>
      </c>
      <c r="L4468" s="41">
        <v>365.18666666666667</v>
      </c>
      <c r="M4468" s="11"/>
      <c r="N4468" s="36">
        <f t="shared" si="224"/>
        <v>0</v>
      </c>
      <c r="O4468" s="42">
        <f>0.552*M4468</f>
        <v>0</v>
      </c>
      <c r="P4468" s="43">
        <f>0.00214*M4468</f>
        <v>0</v>
      </c>
      <c r="Q4468" s="50"/>
      <c r="R4468" s="36" t="s">
        <v>15775</v>
      </c>
      <c r="S4468" s="36" t="s">
        <v>435</v>
      </c>
      <c r="T4468" s="35" t="str">
        <f>HYPERLINK("https://miland.ru/api/getInfo/image/4a573ea8-f985-11ef-a274-00155d82e908")</f>
        <v>https://miland.ru/api/getInfo/image/4a573ea8-f985-11ef-a274-00155d82e908</v>
      </c>
      <c r="U4468" s="35"/>
      <c r="V4468" s="35" t="s">
        <v>8245</v>
      </c>
      <c r="W4468" s="35" t="s">
        <v>8246</v>
      </c>
      <c r="X4468" s="35"/>
      <c r="Y4468" s="35" t="s">
        <v>41</v>
      </c>
      <c r="Z4468" s="35"/>
      <c r="AA4468" s="35" t="str">
        <f>HYPERLINK("https://miland.ru/api/getInfo/item/4a573ea8-f985-11ef-a274-00155d82e908")</f>
        <v>https://miland.ru/api/getInfo/item/4a573ea8-f985-11ef-a274-00155d82e908</v>
      </c>
      <c r="AB4468" s="35" t="s">
        <v>50</v>
      </c>
      <c r="AC4468" s="35" t="s">
        <v>8111</v>
      </c>
      <c r="AD4468" s="35"/>
      <c r="AE4468" s="52" t="s">
        <v>1251</v>
      </c>
    </row>
    <row r="4469" spans="2:31" s="1" customFormat="1" ht="96.3" customHeight="1" outlineLevel="5">
      <c r="B4469" s="59">
        <v>3573</v>
      </c>
      <c r="C4469" s="35" t="s">
        <v>15776</v>
      </c>
      <c r="D4469" s="73" t="s">
        <v>15777</v>
      </c>
      <c r="E4469" s="73"/>
      <c r="F4469" s="73"/>
      <c r="G4469" s="73"/>
      <c r="H4469" s="36" t="s">
        <v>15778</v>
      </c>
      <c r="I4469" s="40">
        <v>350</v>
      </c>
      <c r="J4469" s="36"/>
      <c r="K4469" s="34">
        <v>2</v>
      </c>
      <c r="L4469" s="41">
        <v>365.18666666666667</v>
      </c>
      <c r="M4469" s="11"/>
      <c r="N4469" s="36">
        <f t="shared" si="224"/>
        <v>0</v>
      </c>
      <c r="O4469" s="47">
        <f>0.47*M4469</f>
        <v>0</v>
      </c>
      <c r="P4469" s="55">
        <f>0.0007*M4469</f>
        <v>0</v>
      </c>
      <c r="Q4469" s="50" t="s">
        <v>37</v>
      </c>
      <c r="R4469" s="36" t="s">
        <v>15779</v>
      </c>
      <c r="S4469" s="36"/>
      <c r="T4469" s="35" t="str">
        <f>HYPERLINK("https://miland.ru/api/getInfo/image/b4c63511-1173-11f1-a28f-00155d82e908")</f>
        <v>https://miland.ru/api/getInfo/image/b4c63511-1173-11f1-a28f-00155d82e908</v>
      </c>
      <c r="U4469" s="35"/>
      <c r="V4469" s="35" t="s">
        <v>8245</v>
      </c>
      <c r="W4469" s="35" t="s">
        <v>8246</v>
      </c>
      <c r="X4469" s="35"/>
      <c r="Y4469" s="35" t="s">
        <v>41</v>
      </c>
      <c r="Z4469" s="35"/>
      <c r="AA4469" s="35" t="str">
        <f>HYPERLINK("https://miland.ru/api/getInfo/item/b4c63511-1173-11f1-a28f-00155d82e908")</f>
        <v>https://miland.ru/api/getInfo/item/b4c63511-1173-11f1-a28f-00155d82e908</v>
      </c>
      <c r="AB4469" s="35" t="s">
        <v>50</v>
      </c>
      <c r="AC4469" s="35"/>
      <c r="AD4469" s="35"/>
      <c r="AE4469" s="52" t="s">
        <v>1251</v>
      </c>
    </row>
    <row r="4470" spans="2:31" s="1" customFormat="1" ht="96.3" customHeight="1" outlineLevel="5">
      <c r="B4470" s="59">
        <v>3574</v>
      </c>
      <c r="C4470" s="35" t="s">
        <v>15780</v>
      </c>
      <c r="D4470" s="73" t="s">
        <v>15781</v>
      </c>
      <c r="E4470" s="73"/>
      <c r="F4470" s="73"/>
      <c r="G4470" s="73"/>
      <c r="H4470" s="36" t="s">
        <v>15782</v>
      </c>
      <c r="I4470" s="40">
        <v>371</v>
      </c>
      <c r="J4470" s="36"/>
      <c r="K4470" s="34">
        <v>2</v>
      </c>
      <c r="L4470" s="41">
        <v>365.18666666666667</v>
      </c>
      <c r="M4470" s="11"/>
      <c r="N4470" s="36">
        <f t="shared" si="224"/>
        <v>0</v>
      </c>
      <c r="O4470" s="42">
        <f>0.563*M4470</f>
        <v>0</v>
      </c>
      <c r="P4470" s="43">
        <f>0.00076*M4470</f>
        <v>0</v>
      </c>
      <c r="Q4470" s="50" t="s">
        <v>37</v>
      </c>
      <c r="R4470" s="36" t="s">
        <v>15783</v>
      </c>
      <c r="S4470" s="36"/>
      <c r="T4470" s="35" t="str">
        <f>HYPERLINK("https://miland.ru/api/getInfo/image/472f4550-1172-11f1-a28f-00155d82e908")</f>
        <v>https://miland.ru/api/getInfo/image/472f4550-1172-11f1-a28f-00155d82e908</v>
      </c>
      <c r="U4470" s="35"/>
      <c r="V4470" s="35" t="s">
        <v>8245</v>
      </c>
      <c r="W4470" s="35" t="s">
        <v>8246</v>
      </c>
      <c r="X4470" s="35"/>
      <c r="Y4470" s="35" t="s">
        <v>41</v>
      </c>
      <c r="Z4470" s="35"/>
      <c r="AA4470" s="35" t="str">
        <f>HYPERLINK("https://miland.ru/api/getInfo/item/472f4550-1172-11f1-a28f-00155d82e908")</f>
        <v>https://miland.ru/api/getInfo/item/472f4550-1172-11f1-a28f-00155d82e908</v>
      </c>
      <c r="AB4470" s="35" t="s">
        <v>50</v>
      </c>
      <c r="AC4470" s="35"/>
      <c r="AD4470" s="35"/>
      <c r="AE4470" s="52" t="s">
        <v>1251</v>
      </c>
    </row>
    <row r="4471" spans="2:31" ht="12" customHeight="1" outlineLevel="4">
      <c r="B4471" s="70" t="s">
        <v>15784</v>
      </c>
      <c r="C4471" s="70"/>
      <c r="D4471" s="70"/>
      <c r="E4471" s="70"/>
      <c r="F4471" s="70"/>
      <c r="G4471" s="70"/>
    </row>
    <row r="4472" spans="2:31" s="1" customFormat="1" ht="96.3" customHeight="1" outlineLevel="5">
      <c r="B4472" s="57">
        <v>3575</v>
      </c>
      <c r="C4472" s="21" t="s">
        <v>15785</v>
      </c>
      <c r="D4472" s="72" t="s">
        <v>15786</v>
      </c>
      <c r="E4472" s="72"/>
      <c r="F4472" s="72"/>
      <c r="G4472" s="72"/>
      <c r="H4472" s="22" t="s">
        <v>15787</v>
      </c>
      <c r="I4472" s="27">
        <v>24</v>
      </c>
      <c r="J4472" s="22"/>
      <c r="K4472" s="20">
        <v>1</v>
      </c>
      <c r="L4472" s="24">
        <v>917.23</v>
      </c>
      <c r="M4472" s="11"/>
      <c r="N4472" s="22">
        <f>L4472*M4472</f>
        <v>0</v>
      </c>
      <c r="O4472" s="25">
        <f>0.691*M4472</f>
        <v>0</v>
      </c>
      <c r="P4472" s="26">
        <f>0.00137*M4472</f>
        <v>0</v>
      </c>
      <c r="Q4472" s="30"/>
      <c r="R4472" s="22" t="s">
        <v>15788</v>
      </c>
      <c r="S4472" s="22" t="s">
        <v>435</v>
      </c>
      <c r="T4472" s="21" t="str">
        <f>HYPERLINK("https://miland.ru/api/getInfo/image/07d63482-e8b9-11ed-a233-00155d82e902")</f>
        <v>https://miland.ru/api/getInfo/image/07d63482-e8b9-11ed-a233-00155d82e902</v>
      </c>
      <c r="U4472" s="21"/>
      <c r="V4472" s="21" t="s">
        <v>8245</v>
      </c>
      <c r="W4472" s="21" t="s">
        <v>8246</v>
      </c>
      <c r="X4472" s="21"/>
      <c r="Y4472" s="21" t="s">
        <v>41</v>
      </c>
      <c r="Z4472" s="21"/>
      <c r="AA4472" s="21" t="str">
        <f>HYPERLINK("https://miland.ru/api/getInfo/item/07d63482-e8b9-11ed-a233-00155d82e902")</f>
        <v>https://miland.ru/api/getInfo/item/07d63482-e8b9-11ed-a233-00155d82e902</v>
      </c>
      <c r="AB4472" s="21" t="s">
        <v>42</v>
      </c>
      <c r="AC4472" s="21"/>
      <c r="AD4472" s="21"/>
    </row>
    <row r="4473" spans="2:31" s="1" customFormat="1" ht="96.3" customHeight="1" outlineLevel="5">
      <c r="B4473" s="57">
        <v>3576</v>
      </c>
      <c r="C4473" s="21" t="s">
        <v>15789</v>
      </c>
      <c r="D4473" s="72" t="s">
        <v>15790</v>
      </c>
      <c r="E4473" s="72"/>
      <c r="F4473" s="72"/>
      <c r="G4473" s="72"/>
      <c r="H4473" s="22" t="s">
        <v>15791</v>
      </c>
      <c r="I4473" s="27">
        <v>32</v>
      </c>
      <c r="J4473" s="22"/>
      <c r="K4473" s="20">
        <v>1</v>
      </c>
      <c r="L4473" s="24">
        <v>917.23</v>
      </c>
      <c r="M4473" s="11"/>
      <c r="N4473" s="22">
        <f>L4473*M4473</f>
        <v>0</v>
      </c>
      <c r="O4473" s="25">
        <f>0.646*M4473</f>
        <v>0</v>
      </c>
      <c r="P4473" s="26">
        <f>0.00146*M4473</f>
        <v>0</v>
      </c>
      <c r="Q4473" s="30"/>
      <c r="R4473" s="22" t="s">
        <v>15792</v>
      </c>
      <c r="S4473" s="22" t="s">
        <v>435</v>
      </c>
      <c r="T4473" s="21" t="str">
        <f>HYPERLINK("https://miland.ru/api/getInfo/image/021e6c15-e8b7-11ed-a233-00155d82e902")</f>
        <v>https://miland.ru/api/getInfo/image/021e6c15-e8b7-11ed-a233-00155d82e902</v>
      </c>
      <c r="U4473" s="21"/>
      <c r="V4473" s="21" t="s">
        <v>8245</v>
      </c>
      <c r="W4473" s="21" t="s">
        <v>8246</v>
      </c>
      <c r="X4473" s="21"/>
      <c r="Y4473" s="21" t="s">
        <v>41</v>
      </c>
      <c r="Z4473" s="21"/>
      <c r="AA4473" s="21" t="str">
        <f>HYPERLINK("https://miland.ru/api/getInfo/item/021e6c15-e8b7-11ed-a233-00155d82e902")</f>
        <v>https://miland.ru/api/getInfo/item/021e6c15-e8b7-11ed-a233-00155d82e902</v>
      </c>
      <c r="AB4473" s="21" t="s">
        <v>42</v>
      </c>
      <c r="AC4473" s="21"/>
      <c r="AD4473" s="21"/>
    </row>
    <row r="4474" spans="2:31" ht="12" customHeight="1" outlineLevel="4">
      <c r="B4474" s="70" t="s">
        <v>8116</v>
      </c>
      <c r="C4474" s="70"/>
      <c r="D4474" s="70"/>
      <c r="E4474" s="70"/>
      <c r="F4474" s="70"/>
      <c r="G4474" s="70"/>
    </row>
    <row r="4475" spans="2:31" s="1" customFormat="1" ht="96.3" customHeight="1" outlineLevel="5">
      <c r="B4475" s="58">
        <v>3577</v>
      </c>
      <c r="C4475" s="7" t="s">
        <v>15793</v>
      </c>
      <c r="D4475" s="71" t="s">
        <v>15794</v>
      </c>
      <c r="E4475" s="71"/>
      <c r="F4475" s="71"/>
      <c r="G4475" s="71"/>
      <c r="H4475" s="8" t="s">
        <v>15795</v>
      </c>
      <c r="I4475" s="14">
        <v>270</v>
      </c>
      <c r="J4475" s="8"/>
      <c r="K4475" s="6">
        <v>2</v>
      </c>
      <c r="L4475" s="10">
        <v>397.72</v>
      </c>
      <c r="M4475" s="11"/>
      <c r="N4475" s="8">
        <f t="shared" ref="N4475:N4497" si="225">L4475*M4475</f>
        <v>0</v>
      </c>
      <c r="O4475" s="18">
        <f>0.02*M4475</f>
        <v>0</v>
      </c>
      <c r="P4475" s="16">
        <f>0.0007*M4475</f>
        <v>0</v>
      </c>
      <c r="Q4475" s="17" t="s">
        <v>37</v>
      </c>
      <c r="R4475" s="8" t="s">
        <v>15796</v>
      </c>
      <c r="S4475" s="8"/>
      <c r="T4475" s="7" t="str">
        <f>HYPERLINK("https://miland.ru/api/getInfo/image/2f65e20c-117e-11f1-a28f-00155d82e908")</f>
        <v>https://miland.ru/api/getInfo/image/2f65e20c-117e-11f1-a28f-00155d82e908</v>
      </c>
      <c r="U4475" s="7"/>
      <c r="V4475" s="7" t="s">
        <v>8245</v>
      </c>
      <c r="W4475" s="7" t="s">
        <v>8246</v>
      </c>
      <c r="X4475" s="7"/>
      <c r="Y4475" s="7" t="s">
        <v>41</v>
      </c>
      <c r="Z4475" s="7"/>
      <c r="AA4475" s="7" t="str">
        <f>HYPERLINK("https://miland.ru/api/getInfo/item/2f65e20c-117e-11f1-a28f-00155d82e908")</f>
        <v>https://miland.ru/api/getInfo/item/2f65e20c-117e-11f1-a28f-00155d82e908</v>
      </c>
      <c r="AB4475" s="7" t="s">
        <v>50</v>
      </c>
      <c r="AC4475" s="7"/>
      <c r="AD4475" s="7"/>
      <c r="AE4475" s="54"/>
    </row>
    <row r="4476" spans="2:31" s="1" customFormat="1" ht="96.3" customHeight="1" outlineLevel="5">
      <c r="B4476" s="57">
        <v>3578</v>
      </c>
      <c r="C4476" s="21" t="s">
        <v>15797</v>
      </c>
      <c r="D4476" s="72" t="s">
        <v>15798</v>
      </c>
      <c r="E4476" s="72"/>
      <c r="F4476" s="72"/>
      <c r="G4476" s="72"/>
      <c r="H4476" s="22" t="s">
        <v>15799</v>
      </c>
      <c r="I4476" s="27">
        <v>71</v>
      </c>
      <c r="J4476" s="22"/>
      <c r="K4476" s="20">
        <v>2</v>
      </c>
      <c r="L4476" s="24">
        <v>397.72</v>
      </c>
      <c r="M4476" s="11"/>
      <c r="N4476" s="22">
        <f t="shared" si="225"/>
        <v>0</v>
      </c>
      <c r="O4476" s="25">
        <f>0.559*M4476</f>
        <v>0</v>
      </c>
      <c r="P4476" s="26">
        <f>0.00225*M4476</f>
        <v>0</v>
      </c>
      <c r="Q4476" s="30"/>
      <c r="R4476" s="22" t="s">
        <v>15800</v>
      </c>
      <c r="S4476" s="22" t="s">
        <v>435</v>
      </c>
      <c r="T4476" s="21" t="str">
        <f>HYPERLINK("https://miland.ru/api/getInfo/image/ab02689a-a3b5-11ed-a22f-00155d82e902")</f>
        <v>https://miland.ru/api/getInfo/image/ab02689a-a3b5-11ed-a22f-00155d82e902</v>
      </c>
      <c r="U4476" s="21"/>
      <c r="V4476" s="21" t="s">
        <v>8245</v>
      </c>
      <c r="W4476" s="21" t="s">
        <v>8246</v>
      </c>
      <c r="X4476" s="21"/>
      <c r="Y4476" s="21" t="s">
        <v>41</v>
      </c>
      <c r="Z4476" s="21"/>
      <c r="AA4476" s="21" t="str">
        <f>HYPERLINK("https://miland.ru/api/getInfo/item/ab02689a-a3b5-11ed-a22f-00155d82e902")</f>
        <v>https://miland.ru/api/getInfo/item/ab02689a-a3b5-11ed-a22f-00155d82e902</v>
      </c>
      <c r="AB4476" s="21" t="s">
        <v>50</v>
      </c>
      <c r="AC4476" s="21" t="s">
        <v>8129</v>
      </c>
      <c r="AD4476" s="21"/>
    </row>
    <row r="4477" spans="2:31" s="1" customFormat="1" ht="96.3" customHeight="1" outlineLevel="5">
      <c r="B4477" s="58">
        <v>3579</v>
      </c>
      <c r="C4477" s="7" t="s">
        <v>15801</v>
      </c>
      <c r="D4477" s="71" t="s">
        <v>15802</v>
      </c>
      <c r="E4477" s="71"/>
      <c r="F4477" s="71"/>
      <c r="G4477" s="71"/>
      <c r="H4477" s="8" t="s">
        <v>15803</v>
      </c>
      <c r="I4477" s="14">
        <v>297</v>
      </c>
      <c r="J4477" s="8"/>
      <c r="K4477" s="6">
        <v>2</v>
      </c>
      <c r="L4477" s="10">
        <v>397.72</v>
      </c>
      <c r="M4477" s="11"/>
      <c r="N4477" s="8">
        <f t="shared" si="225"/>
        <v>0</v>
      </c>
      <c r="O4477" s="18">
        <f>0.02*M4477</f>
        <v>0</v>
      </c>
      <c r="P4477" s="16">
        <f>0.0007*M4477</f>
        <v>0</v>
      </c>
      <c r="Q4477" s="17" t="s">
        <v>37</v>
      </c>
      <c r="R4477" s="8" t="s">
        <v>15804</v>
      </c>
      <c r="S4477" s="8"/>
      <c r="T4477" s="7" t="str">
        <f>HYPERLINK("https://miland.ru/api/getInfo/image/288bca14-117f-11f1-a28f-00155d82e908")</f>
        <v>https://miland.ru/api/getInfo/image/288bca14-117f-11f1-a28f-00155d82e908</v>
      </c>
      <c r="U4477" s="7"/>
      <c r="V4477" s="7" t="s">
        <v>8245</v>
      </c>
      <c r="W4477" s="7" t="s">
        <v>8246</v>
      </c>
      <c r="X4477" s="7"/>
      <c r="Y4477" s="7" t="s">
        <v>41</v>
      </c>
      <c r="Z4477" s="7"/>
      <c r="AA4477" s="7" t="str">
        <f>HYPERLINK("https://miland.ru/api/getInfo/item/288bca14-117f-11f1-a28f-00155d82e908")</f>
        <v>https://miland.ru/api/getInfo/item/288bca14-117f-11f1-a28f-00155d82e908</v>
      </c>
      <c r="AB4477" s="7" t="s">
        <v>50</v>
      </c>
      <c r="AC4477" s="7"/>
      <c r="AD4477" s="7"/>
      <c r="AE4477" s="54"/>
    </row>
    <row r="4478" spans="2:31" s="1" customFormat="1" ht="96.3" customHeight="1" outlineLevel="5">
      <c r="B4478" s="58">
        <v>3580</v>
      </c>
      <c r="C4478" s="7" t="s">
        <v>15805</v>
      </c>
      <c r="D4478" s="71" t="s">
        <v>15806</v>
      </c>
      <c r="E4478" s="71"/>
      <c r="F4478" s="71"/>
      <c r="G4478" s="71"/>
      <c r="H4478" s="8" t="s">
        <v>15807</v>
      </c>
      <c r="I4478" s="14">
        <v>298</v>
      </c>
      <c r="J4478" s="8"/>
      <c r="K4478" s="6">
        <v>2</v>
      </c>
      <c r="L4478" s="10">
        <v>397.72</v>
      </c>
      <c r="M4478" s="11"/>
      <c r="N4478" s="8">
        <f t="shared" si="225"/>
        <v>0</v>
      </c>
      <c r="O4478" s="12">
        <f>0.549*M4478</f>
        <v>0</v>
      </c>
      <c r="P4478" s="13">
        <f>0.00247*M4478</f>
        <v>0</v>
      </c>
      <c r="Q4478" s="17" t="s">
        <v>37</v>
      </c>
      <c r="R4478" s="8" t="s">
        <v>15808</v>
      </c>
      <c r="S4478" s="8"/>
      <c r="T4478" s="7" t="str">
        <f>HYPERLINK("https://miland.ru/api/getInfo/image/dd9d9480-117e-11f1-a28f-00155d82e908")</f>
        <v>https://miland.ru/api/getInfo/image/dd9d9480-117e-11f1-a28f-00155d82e908</v>
      </c>
      <c r="U4478" s="7"/>
      <c r="V4478" s="7" t="s">
        <v>8245</v>
      </c>
      <c r="W4478" s="7" t="s">
        <v>8246</v>
      </c>
      <c r="X4478" s="7"/>
      <c r="Y4478" s="7" t="s">
        <v>41</v>
      </c>
      <c r="Z4478" s="7"/>
      <c r="AA4478" s="7" t="str">
        <f>HYPERLINK("https://miland.ru/api/getInfo/item/dd9d9480-117e-11f1-a28f-00155d82e908")</f>
        <v>https://miland.ru/api/getInfo/item/dd9d9480-117e-11f1-a28f-00155d82e908</v>
      </c>
      <c r="AB4478" s="7" t="s">
        <v>50</v>
      </c>
      <c r="AC4478" s="7"/>
      <c r="AD4478" s="7"/>
      <c r="AE4478" s="54"/>
    </row>
    <row r="4479" spans="2:31" s="1" customFormat="1" ht="96.3" customHeight="1" outlineLevel="5">
      <c r="B4479" s="58">
        <v>3581</v>
      </c>
      <c r="C4479" s="7" t="s">
        <v>15809</v>
      </c>
      <c r="D4479" s="71" t="s">
        <v>15810</v>
      </c>
      <c r="E4479" s="71"/>
      <c r="F4479" s="71"/>
      <c r="G4479" s="71"/>
      <c r="H4479" s="8" t="s">
        <v>15811</v>
      </c>
      <c r="I4479" s="14">
        <v>296</v>
      </c>
      <c r="J4479" s="8"/>
      <c r="K4479" s="6">
        <v>2</v>
      </c>
      <c r="L4479" s="10">
        <v>397.72</v>
      </c>
      <c r="M4479" s="11"/>
      <c r="N4479" s="8">
        <f t="shared" si="225"/>
        <v>0</v>
      </c>
      <c r="O4479" s="12">
        <f>0.549*M4479</f>
        <v>0</v>
      </c>
      <c r="P4479" s="13">
        <f>0.00247*M4479</f>
        <v>0</v>
      </c>
      <c r="Q4479" s="17" t="s">
        <v>37</v>
      </c>
      <c r="R4479" s="8" t="s">
        <v>15812</v>
      </c>
      <c r="S4479" s="8"/>
      <c r="T4479" s="7" t="str">
        <f>HYPERLINK("https://miland.ru/api/getInfo/image/bcb95ac0-117e-11f1-a28f-00155d82e908")</f>
        <v>https://miland.ru/api/getInfo/image/bcb95ac0-117e-11f1-a28f-00155d82e908</v>
      </c>
      <c r="U4479" s="7"/>
      <c r="V4479" s="7" t="s">
        <v>8245</v>
      </c>
      <c r="W4479" s="7" t="s">
        <v>8246</v>
      </c>
      <c r="X4479" s="7"/>
      <c r="Y4479" s="7" t="s">
        <v>41</v>
      </c>
      <c r="Z4479" s="7"/>
      <c r="AA4479" s="7" t="str">
        <f>HYPERLINK("https://miland.ru/api/getInfo/item/bcb95ac0-117e-11f1-a28f-00155d82e908")</f>
        <v>https://miland.ru/api/getInfo/item/bcb95ac0-117e-11f1-a28f-00155d82e908</v>
      </c>
      <c r="AB4479" s="7" t="s">
        <v>50</v>
      </c>
      <c r="AC4479" s="7"/>
      <c r="AD4479" s="7"/>
      <c r="AE4479" s="54"/>
    </row>
    <row r="4480" spans="2:31" s="1" customFormat="1" ht="96.3" customHeight="1" outlineLevel="5">
      <c r="B4480" s="58">
        <v>3582</v>
      </c>
      <c r="C4480" s="7" t="s">
        <v>15813</v>
      </c>
      <c r="D4480" s="71" t="s">
        <v>15814</v>
      </c>
      <c r="E4480" s="71"/>
      <c r="F4480" s="71"/>
      <c r="G4480" s="71"/>
      <c r="H4480" s="8" t="s">
        <v>15815</v>
      </c>
      <c r="I4480" s="14">
        <v>273</v>
      </c>
      <c r="J4480" s="8"/>
      <c r="K4480" s="6">
        <v>2</v>
      </c>
      <c r="L4480" s="10">
        <v>397.72</v>
      </c>
      <c r="M4480" s="11"/>
      <c r="N4480" s="8">
        <f t="shared" si="225"/>
        <v>0</v>
      </c>
      <c r="O4480" s="18">
        <f>0.05*M4480</f>
        <v>0</v>
      </c>
      <c r="P4480" s="16">
        <f>0.0007*M4480</f>
        <v>0</v>
      </c>
      <c r="Q4480" s="17" t="s">
        <v>37</v>
      </c>
      <c r="R4480" s="8" t="s">
        <v>15816</v>
      </c>
      <c r="S4480" s="8"/>
      <c r="T4480" s="7" t="str">
        <f>HYPERLINK("https://miland.ru/api/getInfo/image/94046209-117e-11f1-a28f-00155d82e908")</f>
        <v>https://miland.ru/api/getInfo/image/94046209-117e-11f1-a28f-00155d82e908</v>
      </c>
      <c r="U4480" s="7"/>
      <c r="V4480" s="7" t="s">
        <v>8245</v>
      </c>
      <c r="W4480" s="7" t="s">
        <v>8246</v>
      </c>
      <c r="X4480" s="7"/>
      <c r="Y4480" s="7" t="s">
        <v>41</v>
      </c>
      <c r="Z4480" s="7"/>
      <c r="AA4480" s="7" t="str">
        <f>HYPERLINK("https://miland.ru/api/getInfo/item/94046209-117e-11f1-a28f-00155d82e908")</f>
        <v>https://miland.ru/api/getInfo/item/94046209-117e-11f1-a28f-00155d82e908</v>
      </c>
      <c r="AB4480" s="7" t="s">
        <v>50</v>
      </c>
      <c r="AC4480" s="7"/>
      <c r="AD4480" s="7"/>
      <c r="AE4480" s="54"/>
    </row>
    <row r="4481" spans="2:31" s="1" customFormat="1" ht="96.3" customHeight="1" outlineLevel="5">
      <c r="B4481" s="58">
        <v>3583</v>
      </c>
      <c r="C4481" s="7" t="s">
        <v>15817</v>
      </c>
      <c r="D4481" s="71" t="s">
        <v>15818</v>
      </c>
      <c r="E4481" s="71"/>
      <c r="F4481" s="71"/>
      <c r="G4481" s="71"/>
      <c r="H4481" s="8" t="s">
        <v>15819</v>
      </c>
      <c r="I4481" s="14">
        <v>271</v>
      </c>
      <c r="J4481" s="8"/>
      <c r="K4481" s="6">
        <v>2</v>
      </c>
      <c r="L4481" s="10">
        <v>397.72</v>
      </c>
      <c r="M4481" s="11"/>
      <c r="N4481" s="8">
        <f t="shared" si="225"/>
        <v>0</v>
      </c>
      <c r="O4481" s="12">
        <f>0.054*M4481</f>
        <v>0</v>
      </c>
      <c r="P4481" s="16">
        <f>0.0007*M4481</f>
        <v>0</v>
      </c>
      <c r="Q4481" s="17" t="s">
        <v>37</v>
      </c>
      <c r="R4481" s="8" t="s">
        <v>15820</v>
      </c>
      <c r="S4481" s="8"/>
      <c r="T4481" s="7" t="str">
        <f>HYPERLINK("https://miland.ru/api/getInfo/image/4f7c0f58-117e-11f1-a28f-00155d82e908")</f>
        <v>https://miland.ru/api/getInfo/image/4f7c0f58-117e-11f1-a28f-00155d82e908</v>
      </c>
      <c r="U4481" s="7"/>
      <c r="V4481" s="7" t="s">
        <v>8245</v>
      </c>
      <c r="W4481" s="7" t="s">
        <v>8246</v>
      </c>
      <c r="X4481" s="7"/>
      <c r="Y4481" s="7" t="s">
        <v>41</v>
      </c>
      <c r="Z4481" s="7"/>
      <c r="AA4481" s="7" t="str">
        <f>HYPERLINK("https://miland.ru/api/getInfo/item/4f7c0f58-117e-11f1-a28f-00155d82e908")</f>
        <v>https://miland.ru/api/getInfo/item/4f7c0f58-117e-11f1-a28f-00155d82e908</v>
      </c>
      <c r="AB4481" s="7" t="s">
        <v>50</v>
      </c>
      <c r="AC4481" s="7"/>
      <c r="AD4481" s="7"/>
      <c r="AE4481" s="54"/>
    </row>
    <row r="4482" spans="2:31" s="1" customFormat="1" ht="96.3" customHeight="1" outlineLevel="5">
      <c r="B4482" s="58">
        <v>3584</v>
      </c>
      <c r="C4482" s="7" t="s">
        <v>15821</v>
      </c>
      <c r="D4482" s="71" t="s">
        <v>15822</v>
      </c>
      <c r="E4482" s="71"/>
      <c r="F4482" s="71"/>
      <c r="G4482" s="71"/>
      <c r="H4482" s="8" t="s">
        <v>15823</v>
      </c>
      <c r="I4482" s="14">
        <v>286</v>
      </c>
      <c r="J4482" s="8"/>
      <c r="K4482" s="6">
        <v>2</v>
      </c>
      <c r="L4482" s="10">
        <v>397.72</v>
      </c>
      <c r="M4482" s="11"/>
      <c r="N4482" s="8">
        <f t="shared" si="225"/>
        <v>0</v>
      </c>
      <c r="O4482" s="12">
        <f>0.549*M4482</f>
        <v>0</v>
      </c>
      <c r="P4482" s="13">
        <f>0.00247*M4482</f>
        <v>0</v>
      </c>
      <c r="Q4482" s="17" t="s">
        <v>37</v>
      </c>
      <c r="R4482" s="8" t="s">
        <v>15824</v>
      </c>
      <c r="S4482" s="8"/>
      <c r="T4482" s="7" t="str">
        <f>HYPERLINK("https://miland.ru/api/getInfo/image/004635e6-117f-11f1-a28f-00155d82e908")</f>
        <v>https://miland.ru/api/getInfo/image/004635e6-117f-11f1-a28f-00155d82e908</v>
      </c>
      <c r="U4482" s="7"/>
      <c r="V4482" s="7" t="s">
        <v>8245</v>
      </c>
      <c r="W4482" s="7" t="s">
        <v>8246</v>
      </c>
      <c r="X4482" s="7"/>
      <c r="Y4482" s="7" t="s">
        <v>41</v>
      </c>
      <c r="Z4482" s="7"/>
      <c r="AA4482" s="7" t="str">
        <f>HYPERLINK("https://miland.ru/api/getInfo/item/004635e6-117f-11f1-a28f-00155d82e908")</f>
        <v>https://miland.ru/api/getInfo/item/004635e6-117f-11f1-a28f-00155d82e908</v>
      </c>
      <c r="AB4482" s="7" t="s">
        <v>50</v>
      </c>
      <c r="AC4482" s="7"/>
      <c r="AD4482" s="7"/>
      <c r="AE4482" s="54"/>
    </row>
    <row r="4483" spans="2:31" s="1" customFormat="1" ht="96.3" customHeight="1" outlineLevel="5">
      <c r="B4483" s="57">
        <v>3585</v>
      </c>
      <c r="C4483" s="21" t="s">
        <v>15825</v>
      </c>
      <c r="D4483" s="72" t="s">
        <v>15826</v>
      </c>
      <c r="E4483" s="72"/>
      <c r="F4483" s="72"/>
      <c r="G4483" s="72"/>
      <c r="H4483" s="22" t="s">
        <v>15827</v>
      </c>
      <c r="I4483" s="27">
        <v>261</v>
      </c>
      <c r="J4483" s="22"/>
      <c r="K4483" s="20">
        <v>2</v>
      </c>
      <c r="L4483" s="24">
        <v>397.72</v>
      </c>
      <c r="M4483" s="11"/>
      <c r="N4483" s="22">
        <f t="shared" si="225"/>
        <v>0</v>
      </c>
      <c r="O4483" s="25">
        <f>0.551*M4483</f>
        <v>0</v>
      </c>
      <c r="P4483" s="26">
        <f>0.00205*M4483</f>
        <v>0</v>
      </c>
      <c r="Q4483" s="30"/>
      <c r="R4483" s="22" t="s">
        <v>15828</v>
      </c>
      <c r="S4483" s="22" t="s">
        <v>435</v>
      </c>
      <c r="T4483" s="21" t="str">
        <f>HYPERLINK("https://miland.ru/api/getInfo/image/d3fc547a-a3b4-11ed-a22f-00155d82e902")</f>
        <v>https://miland.ru/api/getInfo/image/d3fc547a-a3b4-11ed-a22f-00155d82e902</v>
      </c>
      <c r="U4483" s="21"/>
      <c r="V4483" s="21" t="s">
        <v>8245</v>
      </c>
      <c r="W4483" s="21" t="s">
        <v>8246</v>
      </c>
      <c r="X4483" s="21"/>
      <c r="Y4483" s="21" t="s">
        <v>41</v>
      </c>
      <c r="Z4483" s="21"/>
      <c r="AA4483" s="21" t="str">
        <f>HYPERLINK("https://miland.ru/api/getInfo/item/d3fc547a-a3b4-11ed-a22f-00155d82e902")</f>
        <v>https://miland.ru/api/getInfo/item/d3fc547a-a3b4-11ed-a22f-00155d82e902</v>
      </c>
      <c r="AB4483" s="21" t="s">
        <v>50</v>
      </c>
      <c r="AC4483" s="21" t="s">
        <v>8129</v>
      </c>
      <c r="AD4483" s="21"/>
    </row>
    <row r="4484" spans="2:31" s="1" customFormat="1" ht="96.3" customHeight="1" outlineLevel="5">
      <c r="B4484" s="59">
        <v>3586</v>
      </c>
      <c r="C4484" s="35" t="s">
        <v>15829</v>
      </c>
      <c r="D4484" s="73" t="s">
        <v>15830</v>
      </c>
      <c r="E4484" s="73"/>
      <c r="F4484" s="73"/>
      <c r="G4484" s="73"/>
      <c r="H4484" s="36" t="s">
        <v>15831</v>
      </c>
      <c r="I4484" s="40">
        <v>24</v>
      </c>
      <c r="J4484" s="36"/>
      <c r="K4484" s="34">
        <v>2</v>
      </c>
      <c r="L4484" s="41">
        <v>265.33333333333331</v>
      </c>
      <c r="M4484" s="11"/>
      <c r="N4484" s="36">
        <f t="shared" si="225"/>
        <v>0</v>
      </c>
      <c r="O4484" s="42">
        <f>0.559*M4484</f>
        <v>0</v>
      </c>
      <c r="P4484" s="43">
        <f>0.00225*M4484</f>
        <v>0</v>
      </c>
      <c r="Q4484" s="50"/>
      <c r="R4484" s="36" t="s">
        <v>15832</v>
      </c>
      <c r="S4484" s="36" t="s">
        <v>435</v>
      </c>
      <c r="T4484" s="35" t="str">
        <f>HYPERLINK("https://miland.ru/api/getInfo/image/a868b880-a3b4-11ed-a22f-00155d82e902")</f>
        <v>https://miland.ru/api/getInfo/image/a868b880-a3b4-11ed-a22f-00155d82e902</v>
      </c>
      <c r="U4484" s="35"/>
      <c r="V4484" s="35" t="s">
        <v>8245</v>
      </c>
      <c r="W4484" s="35" t="s">
        <v>8246</v>
      </c>
      <c r="X4484" s="35"/>
      <c r="Y4484" s="35" t="s">
        <v>41</v>
      </c>
      <c r="Z4484" s="35"/>
      <c r="AA4484" s="35" t="str">
        <f>HYPERLINK("https://miland.ru/api/getInfo/item/a868b880-a3b4-11ed-a22f-00155d82e902")</f>
        <v>https://miland.ru/api/getInfo/item/a868b880-a3b4-11ed-a22f-00155d82e902</v>
      </c>
      <c r="AB4484" s="35" t="s">
        <v>50</v>
      </c>
      <c r="AC4484" s="35" t="s">
        <v>8129</v>
      </c>
      <c r="AD4484" s="35"/>
      <c r="AE4484" s="52" t="s">
        <v>1251</v>
      </c>
    </row>
    <row r="4485" spans="2:31" s="1" customFormat="1" ht="96.3" customHeight="1" outlineLevel="5">
      <c r="B4485" s="59">
        <v>3587</v>
      </c>
      <c r="C4485" s="35" t="s">
        <v>15833</v>
      </c>
      <c r="D4485" s="73" t="s">
        <v>15834</v>
      </c>
      <c r="E4485" s="73"/>
      <c r="F4485" s="73"/>
      <c r="G4485" s="73"/>
      <c r="H4485" s="36" t="s">
        <v>15835</v>
      </c>
      <c r="I4485" s="40">
        <v>174</v>
      </c>
      <c r="J4485" s="36"/>
      <c r="K4485" s="34">
        <v>2</v>
      </c>
      <c r="L4485" s="41">
        <v>188.22666666666666</v>
      </c>
      <c r="M4485" s="11"/>
      <c r="N4485" s="36">
        <f t="shared" si="225"/>
        <v>0</v>
      </c>
      <c r="O4485" s="42">
        <f>0.627*M4485</f>
        <v>0</v>
      </c>
      <c r="P4485" s="43">
        <f>0.00109*M4485</f>
        <v>0</v>
      </c>
      <c r="Q4485" s="50"/>
      <c r="R4485" s="36" t="s">
        <v>15836</v>
      </c>
      <c r="S4485" s="36" t="s">
        <v>435</v>
      </c>
      <c r="T4485" s="35" t="str">
        <f>HYPERLINK("https://miland.ru/api/getInfo/image/154d337e-9c84-11ed-a22e-00155d82e902")</f>
        <v>https://miland.ru/api/getInfo/image/154d337e-9c84-11ed-a22e-00155d82e902</v>
      </c>
      <c r="U4485" s="35"/>
      <c r="V4485" s="35" t="s">
        <v>8245</v>
      </c>
      <c r="W4485" s="35" t="s">
        <v>8246</v>
      </c>
      <c r="X4485" s="35"/>
      <c r="Y4485" s="35" t="s">
        <v>41</v>
      </c>
      <c r="Z4485" s="35"/>
      <c r="AA4485" s="35" t="str">
        <f>HYPERLINK("https://miland.ru/api/getInfo/item/154d337e-9c84-11ed-a22e-00155d82e902")</f>
        <v>https://miland.ru/api/getInfo/item/154d337e-9c84-11ed-a22e-00155d82e902</v>
      </c>
      <c r="AB4485" s="35" t="s">
        <v>50</v>
      </c>
      <c r="AC4485" s="35" t="s">
        <v>8138</v>
      </c>
      <c r="AD4485" s="35"/>
      <c r="AE4485" s="52" t="s">
        <v>1251</v>
      </c>
    </row>
    <row r="4486" spans="2:31" s="1" customFormat="1" ht="96.3" customHeight="1" outlineLevel="5">
      <c r="B4486" s="59">
        <v>3588</v>
      </c>
      <c r="C4486" s="35" t="s">
        <v>15837</v>
      </c>
      <c r="D4486" s="73" t="s">
        <v>15838</v>
      </c>
      <c r="E4486" s="73"/>
      <c r="F4486" s="73"/>
      <c r="G4486" s="73"/>
      <c r="H4486" s="36" t="s">
        <v>15839</v>
      </c>
      <c r="I4486" s="40">
        <v>258</v>
      </c>
      <c r="J4486" s="36"/>
      <c r="K4486" s="34">
        <v>2</v>
      </c>
      <c r="L4486" s="41">
        <v>260.40000000000003</v>
      </c>
      <c r="M4486" s="11"/>
      <c r="N4486" s="36">
        <f t="shared" si="225"/>
        <v>0</v>
      </c>
      <c r="O4486" s="47">
        <f>0.56*M4486</f>
        <v>0</v>
      </c>
      <c r="P4486" s="43">
        <f>0.00079*M4486</f>
        <v>0</v>
      </c>
      <c r="Q4486" s="50"/>
      <c r="R4486" s="36" t="s">
        <v>15840</v>
      </c>
      <c r="S4486" s="36" t="s">
        <v>435</v>
      </c>
      <c r="T4486" s="35" t="str">
        <f>HYPERLINK("https://miland.ru/api/getInfo/image/9a165ad2-baa8-11ee-a25a-00155d82e908")</f>
        <v>https://miland.ru/api/getInfo/image/9a165ad2-baa8-11ee-a25a-00155d82e908</v>
      </c>
      <c r="U4486" s="35"/>
      <c r="V4486" s="35" t="s">
        <v>8245</v>
      </c>
      <c r="W4486" s="35" t="s">
        <v>8246</v>
      </c>
      <c r="X4486" s="35"/>
      <c r="Y4486" s="35" t="s">
        <v>41</v>
      </c>
      <c r="Z4486" s="35"/>
      <c r="AA4486" s="35" t="str">
        <f>HYPERLINK("https://miland.ru/api/getInfo/item/9a165ad2-baa8-11ee-a25a-00155d82e908")</f>
        <v>https://miland.ru/api/getInfo/item/9a165ad2-baa8-11ee-a25a-00155d82e908</v>
      </c>
      <c r="AB4486" s="35" t="s">
        <v>50</v>
      </c>
      <c r="AC4486" s="35" t="s">
        <v>8138</v>
      </c>
      <c r="AD4486" s="35"/>
      <c r="AE4486" s="52" t="s">
        <v>1251</v>
      </c>
    </row>
    <row r="4487" spans="2:31" s="1" customFormat="1" ht="96.3" customHeight="1" outlineLevel="5">
      <c r="B4487" s="59">
        <v>3589</v>
      </c>
      <c r="C4487" s="35" t="s">
        <v>15841</v>
      </c>
      <c r="D4487" s="73" t="s">
        <v>15842</v>
      </c>
      <c r="E4487" s="73"/>
      <c r="F4487" s="73"/>
      <c r="G4487" s="73"/>
      <c r="H4487" s="36" t="s">
        <v>15843</v>
      </c>
      <c r="I4487" s="40">
        <v>269</v>
      </c>
      <c r="J4487" s="36"/>
      <c r="K4487" s="34">
        <v>2</v>
      </c>
      <c r="L4487" s="41">
        <v>260.40000000000003</v>
      </c>
      <c r="M4487" s="11"/>
      <c r="N4487" s="36">
        <f t="shared" si="225"/>
        <v>0</v>
      </c>
      <c r="O4487" s="47">
        <f>0.56*M4487</f>
        <v>0</v>
      </c>
      <c r="P4487" s="43">
        <f>0.00079*M4487</f>
        <v>0</v>
      </c>
      <c r="Q4487" s="50"/>
      <c r="R4487" s="36" t="s">
        <v>15844</v>
      </c>
      <c r="S4487" s="36" t="s">
        <v>435</v>
      </c>
      <c r="T4487" s="35" t="str">
        <f>HYPERLINK("https://miland.ru/api/getInfo/image/7d752d05-baa8-11ee-a25a-00155d82e908")</f>
        <v>https://miland.ru/api/getInfo/image/7d752d05-baa8-11ee-a25a-00155d82e908</v>
      </c>
      <c r="U4487" s="35"/>
      <c r="V4487" s="35" t="s">
        <v>8245</v>
      </c>
      <c r="W4487" s="35" t="s">
        <v>8246</v>
      </c>
      <c r="X4487" s="35"/>
      <c r="Y4487" s="35" t="s">
        <v>41</v>
      </c>
      <c r="Z4487" s="35"/>
      <c r="AA4487" s="35" t="str">
        <f>HYPERLINK("https://miland.ru/api/getInfo/item/7d752d05-baa8-11ee-a25a-00155d82e908")</f>
        <v>https://miland.ru/api/getInfo/item/7d752d05-baa8-11ee-a25a-00155d82e908</v>
      </c>
      <c r="AB4487" s="35" t="s">
        <v>50</v>
      </c>
      <c r="AC4487" s="35" t="s">
        <v>8138</v>
      </c>
      <c r="AD4487" s="35"/>
      <c r="AE4487" s="52" t="s">
        <v>1251</v>
      </c>
    </row>
    <row r="4488" spans="2:31" s="1" customFormat="1" ht="96.3" customHeight="1" outlineLevel="5">
      <c r="B4488" s="59">
        <v>3590</v>
      </c>
      <c r="C4488" s="35" t="s">
        <v>15845</v>
      </c>
      <c r="D4488" s="73" t="s">
        <v>15846</v>
      </c>
      <c r="E4488" s="73"/>
      <c r="F4488" s="73"/>
      <c r="G4488" s="73"/>
      <c r="H4488" s="36" t="s">
        <v>15847</v>
      </c>
      <c r="I4488" s="40">
        <v>276</v>
      </c>
      <c r="J4488" s="36"/>
      <c r="K4488" s="34">
        <v>2</v>
      </c>
      <c r="L4488" s="41">
        <v>260.40000000000003</v>
      </c>
      <c r="M4488" s="11"/>
      <c r="N4488" s="36">
        <f t="shared" si="225"/>
        <v>0</v>
      </c>
      <c r="O4488" s="47">
        <f>0.56*M4488</f>
        <v>0</v>
      </c>
      <c r="P4488" s="43">
        <f>0.00079*M4488</f>
        <v>0</v>
      </c>
      <c r="Q4488" s="50"/>
      <c r="R4488" s="36" t="s">
        <v>15848</v>
      </c>
      <c r="S4488" s="36" t="s">
        <v>435</v>
      </c>
      <c r="T4488" s="35" t="str">
        <f>HYPERLINK("https://miland.ru/api/getInfo/image/55b0601f-baa8-11ee-a25a-00155d82e908")</f>
        <v>https://miland.ru/api/getInfo/image/55b0601f-baa8-11ee-a25a-00155d82e908</v>
      </c>
      <c r="U4488" s="35"/>
      <c r="V4488" s="35" t="s">
        <v>8245</v>
      </c>
      <c r="W4488" s="35" t="s">
        <v>8246</v>
      </c>
      <c r="X4488" s="35"/>
      <c r="Y4488" s="35" t="s">
        <v>41</v>
      </c>
      <c r="Z4488" s="35"/>
      <c r="AA4488" s="35" t="str">
        <f>HYPERLINK("https://miland.ru/api/getInfo/item/55b0601f-baa8-11ee-a25a-00155d82e908")</f>
        <v>https://miland.ru/api/getInfo/item/55b0601f-baa8-11ee-a25a-00155d82e908</v>
      </c>
      <c r="AB4488" s="35" t="s">
        <v>50</v>
      </c>
      <c r="AC4488" s="35" t="s">
        <v>8138</v>
      </c>
      <c r="AD4488" s="35"/>
      <c r="AE4488" s="52" t="s">
        <v>1251</v>
      </c>
    </row>
    <row r="4489" spans="2:31" s="1" customFormat="1" ht="96.3" customHeight="1" outlineLevel="5">
      <c r="B4489" s="57">
        <v>3591</v>
      </c>
      <c r="C4489" s="21" t="s">
        <v>15849</v>
      </c>
      <c r="D4489" s="72" t="s">
        <v>15850</v>
      </c>
      <c r="E4489" s="72"/>
      <c r="F4489" s="72"/>
      <c r="G4489" s="72"/>
      <c r="H4489" s="22" t="s">
        <v>15851</v>
      </c>
      <c r="I4489" s="27">
        <v>97</v>
      </c>
      <c r="J4489" s="22"/>
      <c r="K4489" s="20">
        <v>2</v>
      </c>
      <c r="L4489" s="24">
        <v>397.72</v>
      </c>
      <c r="M4489" s="11"/>
      <c r="N4489" s="22">
        <f t="shared" si="225"/>
        <v>0</v>
      </c>
      <c r="O4489" s="28">
        <f>0.56*M4489</f>
        <v>0</v>
      </c>
      <c r="P4489" s="26">
        <f>0.00079*M4489</f>
        <v>0</v>
      </c>
      <c r="Q4489" s="30"/>
      <c r="R4489" s="22" t="s">
        <v>15852</v>
      </c>
      <c r="S4489" s="22" t="s">
        <v>435</v>
      </c>
      <c r="T4489" s="21" t="str">
        <f>HYPERLINK("https://miland.ru/api/getInfo/image/eaa63008-baa7-11ee-a25a-00155d82e908")</f>
        <v>https://miland.ru/api/getInfo/image/eaa63008-baa7-11ee-a25a-00155d82e908</v>
      </c>
      <c r="U4489" s="21"/>
      <c r="V4489" s="21" t="s">
        <v>8245</v>
      </c>
      <c r="W4489" s="21" t="s">
        <v>8246</v>
      </c>
      <c r="X4489" s="21"/>
      <c r="Y4489" s="21" t="s">
        <v>41</v>
      </c>
      <c r="Z4489" s="21"/>
      <c r="AA4489" s="21" t="str">
        <f>HYPERLINK("https://miland.ru/api/getInfo/item/eaa63008-baa7-11ee-a25a-00155d82e908")</f>
        <v>https://miland.ru/api/getInfo/item/eaa63008-baa7-11ee-a25a-00155d82e908</v>
      </c>
      <c r="AB4489" s="21" t="s">
        <v>50</v>
      </c>
      <c r="AC4489" s="21" t="s">
        <v>8138</v>
      </c>
      <c r="AD4489" s="21"/>
    </row>
    <row r="4490" spans="2:31" s="1" customFormat="1" ht="96.3" customHeight="1" outlineLevel="5">
      <c r="B4490" s="59">
        <v>3592</v>
      </c>
      <c r="C4490" s="35" t="s">
        <v>15853</v>
      </c>
      <c r="D4490" s="73" t="s">
        <v>15854</v>
      </c>
      <c r="E4490" s="73"/>
      <c r="F4490" s="73"/>
      <c r="G4490" s="73"/>
      <c r="H4490" s="36" t="s">
        <v>15855</v>
      </c>
      <c r="I4490" s="40">
        <v>66</v>
      </c>
      <c r="J4490" s="36"/>
      <c r="K4490" s="34">
        <v>2</v>
      </c>
      <c r="L4490" s="41">
        <v>132</v>
      </c>
      <c r="M4490" s="11"/>
      <c r="N4490" s="36">
        <f t="shared" si="225"/>
        <v>0</v>
      </c>
      <c r="O4490" s="47">
        <f>0.59*M4490</f>
        <v>0</v>
      </c>
      <c r="P4490" s="43">
        <f>0.00112*M4490</f>
        <v>0</v>
      </c>
      <c r="Q4490" s="50"/>
      <c r="R4490" s="36" t="s">
        <v>15856</v>
      </c>
      <c r="S4490" s="36" t="s">
        <v>435</v>
      </c>
      <c r="T4490" s="35" t="str">
        <f>HYPERLINK("https://miland.ru/api/getInfo/image/91058a31-1091-11e7-b743-5cf3fc4a2490")</f>
        <v>https://miland.ru/api/getInfo/image/91058a31-1091-11e7-b743-5cf3fc4a2490</v>
      </c>
      <c r="U4490" s="35"/>
      <c r="V4490" s="35" t="s">
        <v>8245</v>
      </c>
      <c r="W4490" s="35" t="s">
        <v>8246</v>
      </c>
      <c r="X4490" s="35"/>
      <c r="Y4490" s="35" t="s">
        <v>41</v>
      </c>
      <c r="Z4490" s="35"/>
      <c r="AA4490" s="35" t="str">
        <f>HYPERLINK("https://miland.ru/api/getInfo/item/91058a31-1091-11e7-b743-5cf3fc4a2490")</f>
        <v>https://miland.ru/api/getInfo/item/91058a31-1091-11e7-b743-5cf3fc4a2490</v>
      </c>
      <c r="AB4490" s="35" t="s">
        <v>50</v>
      </c>
      <c r="AC4490" s="35" t="s">
        <v>8111</v>
      </c>
      <c r="AD4490" s="35" t="s">
        <v>15857</v>
      </c>
      <c r="AE4490" s="52" t="s">
        <v>1251</v>
      </c>
    </row>
    <row r="4491" spans="2:31" s="1" customFormat="1" ht="96.3" customHeight="1" outlineLevel="5">
      <c r="B4491" s="57">
        <v>3593</v>
      </c>
      <c r="C4491" s="21" t="s">
        <v>15858</v>
      </c>
      <c r="D4491" s="72" t="s">
        <v>15859</v>
      </c>
      <c r="E4491" s="72"/>
      <c r="F4491" s="72"/>
      <c r="G4491" s="72"/>
      <c r="H4491" s="22" t="s">
        <v>15860</v>
      </c>
      <c r="I4491" s="27">
        <v>459</v>
      </c>
      <c r="J4491" s="22"/>
      <c r="K4491" s="20">
        <v>2</v>
      </c>
      <c r="L4491" s="24">
        <v>397.72</v>
      </c>
      <c r="M4491" s="11"/>
      <c r="N4491" s="22">
        <f t="shared" si="225"/>
        <v>0</v>
      </c>
      <c r="O4491" s="25">
        <f>0.552*M4491</f>
        <v>0</v>
      </c>
      <c r="P4491" s="26">
        <f>0.00214*M4491</f>
        <v>0</v>
      </c>
      <c r="Q4491" s="30"/>
      <c r="R4491" s="22" t="s">
        <v>15861</v>
      </c>
      <c r="S4491" s="22" t="s">
        <v>435</v>
      </c>
      <c r="T4491" s="21" t="str">
        <f>HYPERLINK("https://miland.ru/api/getInfo/image/27ab9e7b-f98b-11ef-a274-00155d82e908")</f>
        <v>https://miland.ru/api/getInfo/image/27ab9e7b-f98b-11ef-a274-00155d82e908</v>
      </c>
      <c r="U4491" s="21"/>
      <c r="V4491" s="21" t="s">
        <v>8245</v>
      </c>
      <c r="W4491" s="21" t="s">
        <v>8246</v>
      </c>
      <c r="X4491" s="21"/>
      <c r="Y4491" s="21" t="s">
        <v>41</v>
      </c>
      <c r="Z4491" s="21"/>
      <c r="AA4491" s="21" t="str">
        <f>HYPERLINK("https://miland.ru/api/getInfo/item/27ab9e7b-f98b-11ef-a274-00155d82e908")</f>
        <v>https://miland.ru/api/getInfo/item/27ab9e7b-f98b-11ef-a274-00155d82e908</v>
      </c>
      <c r="AB4491" s="21" t="s">
        <v>50</v>
      </c>
      <c r="AC4491" s="21" t="s">
        <v>8129</v>
      </c>
      <c r="AD4491" s="21"/>
    </row>
    <row r="4492" spans="2:31" s="1" customFormat="1" ht="96.3" customHeight="1" outlineLevel="5">
      <c r="B4492" s="57">
        <v>3594</v>
      </c>
      <c r="C4492" s="21" t="s">
        <v>15862</v>
      </c>
      <c r="D4492" s="72" t="s">
        <v>15863</v>
      </c>
      <c r="E4492" s="72"/>
      <c r="F4492" s="72"/>
      <c r="G4492" s="72"/>
      <c r="H4492" s="22" t="s">
        <v>15864</v>
      </c>
      <c r="I4492" s="27">
        <v>320</v>
      </c>
      <c r="J4492" s="22"/>
      <c r="K4492" s="20">
        <v>2</v>
      </c>
      <c r="L4492" s="24">
        <v>397.72</v>
      </c>
      <c r="M4492" s="11"/>
      <c r="N4492" s="22">
        <f t="shared" si="225"/>
        <v>0</v>
      </c>
      <c r="O4492" s="25">
        <f>0.552*M4492</f>
        <v>0</v>
      </c>
      <c r="P4492" s="26">
        <f>0.00214*M4492</f>
        <v>0</v>
      </c>
      <c r="Q4492" s="30"/>
      <c r="R4492" s="22" t="s">
        <v>15865</v>
      </c>
      <c r="S4492" s="22" t="s">
        <v>435</v>
      </c>
      <c r="T4492" s="21" t="str">
        <f>HYPERLINK("https://miland.ru/api/getInfo/image/8896d300-f98b-11ef-a274-00155d82e908")</f>
        <v>https://miland.ru/api/getInfo/image/8896d300-f98b-11ef-a274-00155d82e908</v>
      </c>
      <c r="U4492" s="21"/>
      <c r="V4492" s="21" t="s">
        <v>8245</v>
      </c>
      <c r="W4492" s="21" t="s">
        <v>8246</v>
      </c>
      <c r="X4492" s="21"/>
      <c r="Y4492" s="21" t="s">
        <v>41</v>
      </c>
      <c r="Z4492" s="21"/>
      <c r="AA4492" s="21" t="str">
        <f>HYPERLINK("https://miland.ru/api/getInfo/item/8896d300-f98b-11ef-a274-00155d82e908")</f>
        <v>https://miland.ru/api/getInfo/item/8896d300-f98b-11ef-a274-00155d82e908</v>
      </c>
      <c r="AB4492" s="21" t="s">
        <v>50</v>
      </c>
      <c r="AC4492" s="21" t="s">
        <v>8129</v>
      </c>
      <c r="AD4492" s="21"/>
    </row>
    <row r="4493" spans="2:31" s="1" customFormat="1" ht="96.3" customHeight="1" outlineLevel="5">
      <c r="B4493" s="57">
        <v>3595</v>
      </c>
      <c r="C4493" s="21" t="s">
        <v>15866</v>
      </c>
      <c r="D4493" s="72" t="s">
        <v>15867</v>
      </c>
      <c r="E4493" s="72"/>
      <c r="F4493" s="72"/>
      <c r="G4493" s="72"/>
      <c r="H4493" s="22" t="s">
        <v>15868</v>
      </c>
      <c r="I4493" s="27">
        <v>62</v>
      </c>
      <c r="J4493" s="22"/>
      <c r="K4493" s="20">
        <v>2</v>
      </c>
      <c r="L4493" s="24">
        <v>397.72</v>
      </c>
      <c r="M4493" s="11"/>
      <c r="N4493" s="22">
        <f t="shared" si="225"/>
        <v>0</v>
      </c>
      <c r="O4493" s="25">
        <f>0.552*M4493</f>
        <v>0</v>
      </c>
      <c r="P4493" s="26">
        <f>0.00214*M4493</f>
        <v>0</v>
      </c>
      <c r="Q4493" s="30"/>
      <c r="R4493" s="22" t="s">
        <v>15869</v>
      </c>
      <c r="S4493" s="22" t="s">
        <v>435</v>
      </c>
      <c r="T4493" s="21" t="str">
        <f>HYPERLINK("https://miland.ru/api/getInfo/image/0cf64c74-f98a-11ef-a274-00155d82e908")</f>
        <v>https://miland.ru/api/getInfo/image/0cf64c74-f98a-11ef-a274-00155d82e908</v>
      </c>
      <c r="U4493" s="21"/>
      <c r="V4493" s="21" t="s">
        <v>8245</v>
      </c>
      <c r="W4493" s="21" t="s">
        <v>8246</v>
      </c>
      <c r="X4493" s="21"/>
      <c r="Y4493" s="21" t="s">
        <v>41</v>
      </c>
      <c r="Z4493" s="21"/>
      <c r="AA4493" s="21" t="str">
        <f>HYPERLINK("https://miland.ru/api/getInfo/item/0cf64c74-f98a-11ef-a274-00155d82e908")</f>
        <v>https://miland.ru/api/getInfo/item/0cf64c74-f98a-11ef-a274-00155d82e908</v>
      </c>
      <c r="AB4493" s="21" t="s">
        <v>50</v>
      </c>
      <c r="AC4493" s="21" t="s">
        <v>8129</v>
      </c>
      <c r="AD4493" s="21"/>
    </row>
    <row r="4494" spans="2:31" s="1" customFormat="1" ht="96.3" customHeight="1" outlineLevel="5">
      <c r="B4494" s="59">
        <v>3596</v>
      </c>
      <c r="C4494" s="35" t="s">
        <v>15870</v>
      </c>
      <c r="D4494" s="73" t="s">
        <v>15871</v>
      </c>
      <c r="E4494" s="73"/>
      <c r="F4494" s="73"/>
      <c r="G4494" s="73"/>
      <c r="H4494" s="36" t="s">
        <v>15872</v>
      </c>
      <c r="I4494" s="40">
        <v>48</v>
      </c>
      <c r="J4494" s="36"/>
      <c r="K4494" s="34">
        <v>2</v>
      </c>
      <c r="L4494" s="41">
        <v>265.33333333333331</v>
      </c>
      <c r="M4494" s="11"/>
      <c r="N4494" s="36">
        <f t="shared" si="225"/>
        <v>0</v>
      </c>
      <c r="O4494" s="42">
        <f>0.559*M4494</f>
        <v>0</v>
      </c>
      <c r="P4494" s="43">
        <f>0.00225*M4494</f>
        <v>0</v>
      </c>
      <c r="Q4494" s="50"/>
      <c r="R4494" s="36" t="s">
        <v>15873</v>
      </c>
      <c r="S4494" s="36" t="s">
        <v>435</v>
      </c>
      <c r="T4494" s="35" t="str">
        <f>HYPERLINK("https://miland.ru/api/getInfo/image/304c61dd-a3b5-11ed-a22f-00155d82e902")</f>
        <v>https://miland.ru/api/getInfo/image/304c61dd-a3b5-11ed-a22f-00155d82e902</v>
      </c>
      <c r="U4494" s="35"/>
      <c r="V4494" s="35" t="s">
        <v>8245</v>
      </c>
      <c r="W4494" s="35" t="s">
        <v>8246</v>
      </c>
      <c r="X4494" s="35"/>
      <c r="Y4494" s="35" t="s">
        <v>41</v>
      </c>
      <c r="Z4494" s="35"/>
      <c r="AA4494" s="35" t="str">
        <f>HYPERLINK("https://miland.ru/api/getInfo/item/304c61dd-a3b5-11ed-a22f-00155d82e902")</f>
        <v>https://miland.ru/api/getInfo/item/304c61dd-a3b5-11ed-a22f-00155d82e902</v>
      </c>
      <c r="AB4494" s="35" t="s">
        <v>50</v>
      </c>
      <c r="AC4494" s="35" t="s">
        <v>8129</v>
      </c>
      <c r="AD4494" s="35"/>
      <c r="AE4494" s="52" t="s">
        <v>1251</v>
      </c>
    </row>
    <row r="4495" spans="2:31" s="1" customFormat="1" ht="96.3" customHeight="1" outlineLevel="5">
      <c r="B4495" s="57">
        <v>3597</v>
      </c>
      <c r="C4495" s="21" t="s">
        <v>15874</v>
      </c>
      <c r="D4495" s="72" t="s">
        <v>15875</v>
      </c>
      <c r="E4495" s="72"/>
      <c r="F4495" s="72"/>
      <c r="G4495" s="72"/>
      <c r="H4495" s="22" t="s">
        <v>15876</v>
      </c>
      <c r="I4495" s="27">
        <v>458</v>
      </c>
      <c r="J4495" s="22"/>
      <c r="K4495" s="20">
        <v>2</v>
      </c>
      <c r="L4495" s="24">
        <v>397.72</v>
      </c>
      <c r="M4495" s="11"/>
      <c r="N4495" s="22">
        <f t="shared" si="225"/>
        <v>0</v>
      </c>
      <c r="O4495" s="25">
        <f>0.552*M4495</f>
        <v>0</v>
      </c>
      <c r="P4495" s="26">
        <f>0.00214*M4495</f>
        <v>0</v>
      </c>
      <c r="Q4495" s="30"/>
      <c r="R4495" s="22" t="s">
        <v>15877</v>
      </c>
      <c r="S4495" s="22" t="s">
        <v>435</v>
      </c>
      <c r="T4495" s="21" t="str">
        <f>HYPERLINK("https://miland.ru/api/getInfo/image/fea04f19-f98b-11ef-a274-00155d82e908")</f>
        <v>https://miland.ru/api/getInfo/image/fea04f19-f98b-11ef-a274-00155d82e908</v>
      </c>
      <c r="U4495" s="21"/>
      <c r="V4495" s="21" t="s">
        <v>8245</v>
      </c>
      <c r="W4495" s="21" t="s">
        <v>8246</v>
      </c>
      <c r="X4495" s="21"/>
      <c r="Y4495" s="21" t="s">
        <v>41</v>
      </c>
      <c r="Z4495" s="21"/>
      <c r="AA4495" s="21" t="str">
        <f>HYPERLINK("https://miland.ru/api/getInfo/item/fea04f19-f98b-11ef-a274-00155d82e908")</f>
        <v>https://miland.ru/api/getInfo/item/fea04f19-f98b-11ef-a274-00155d82e908</v>
      </c>
      <c r="AB4495" s="21" t="s">
        <v>50</v>
      </c>
      <c r="AC4495" s="21" t="s">
        <v>8129</v>
      </c>
      <c r="AD4495" s="21"/>
    </row>
    <row r="4496" spans="2:31" s="1" customFormat="1" ht="96.3" customHeight="1" outlineLevel="5">
      <c r="B4496" s="57">
        <v>3598</v>
      </c>
      <c r="C4496" s="21" t="s">
        <v>15878</v>
      </c>
      <c r="D4496" s="72" t="s">
        <v>15879</v>
      </c>
      <c r="E4496" s="72"/>
      <c r="F4496" s="72"/>
      <c r="G4496" s="72"/>
      <c r="H4496" s="22" t="s">
        <v>15880</v>
      </c>
      <c r="I4496" s="27">
        <v>367</v>
      </c>
      <c r="J4496" s="22"/>
      <c r="K4496" s="20">
        <v>2</v>
      </c>
      <c r="L4496" s="24">
        <v>397.72</v>
      </c>
      <c r="M4496" s="11"/>
      <c r="N4496" s="22">
        <f t="shared" si="225"/>
        <v>0</v>
      </c>
      <c r="O4496" s="25">
        <f>0.552*M4496</f>
        <v>0</v>
      </c>
      <c r="P4496" s="26">
        <f>0.00214*M4496</f>
        <v>0</v>
      </c>
      <c r="Q4496" s="30"/>
      <c r="R4496" s="22" t="s">
        <v>15881</v>
      </c>
      <c r="S4496" s="22" t="s">
        <v>435</v>
      </c>
      <c r="T4496" s="21" t="str">
        <f>HYPERLINK("https://miland.ru/api/getInfo/image/9aecc651-f98a-11ef-a274-00155d82e908")</f>
        <v>https://miland.ru/api/getInfo/image/9aecc651-f98a-11ef-a274-00155d82e908</v>
      </c>
      <c r="U4496" s="21"/>
      <c r="V4496" s="21" t="s">
        <v>8245</v>
      </c>
      <c r="W4496" s="21" t="s">
        <v>8246</v>
      </c>
      <c r="X4496" s="21"/>
      <c r="Y4496" s="21" t="s">
        <v>41</v>
      </c>
      <c r="Z4496" s="21"/>
      <c r="AA4496" s="21" t="str">
        <f>HYPERLINK("https://miland.ru/api/getInfo/item/9aecc651-f98a-11ef-a274-00155d82e908")</f>
        <v>https://miland.ru/api/getInfo/item/9aecc651-f98a-11ef-a274-00155d82e908</v>
      </c>
      <c r="AB4496" s="21" t="s">
        <v>50</v>
      </c>
      <c r="AC4496" s="21" t="s">
        <v>8129</v>
      </c>
      <c r="AD4496" s="21"/>
    </row>
    <row r="4497" spans="2:31" s="1" customFormat="1" ht="96.3" customHeight="1" outlineLevel="5">
      <c r="B4497" s="57">
        <v>3599</v>
      </c>
      <c r="C4497" s="21" t="s">
        <v>15882</v>
      </c>
      <c r="D4497" s="72" t="s">
        <v>15883</v>
      </c>
      <c r="E4497" s="72"/>
      <c r="F4497" s="72"/>
      <c r="G4497" s="72"/>
      <c r="H4497" s="22" t="s">
        <v>15884</v>
      </c>
      <c r="I4497" s="27">
        <v>43</v>
      </c>
      <c r="J4497" s="22"/>
      <c r="K4497" s="20">
        <v>2</v>
      </c>
      <c r="L4497" s="24">
        <v>397.72</v>
      </c>
      <c r="M4497" s="11"/>
      <c r="N4497" s="22">
        <f t="shared" si="225"/>
        <v>0</v>
      </c>
      <c r="O4497" s="25">
        <f>0.503*M4497</f>
        <v>0</v>
      </c>
      <c r="P4497" s="26">
        <f>0.00201*M4497</f>
        <v>0</v>
      </c>
      <c r="Q4497" s="30"/>
      <c r="R4497" s="22" t="s">
        <v>15885</v>
      </c>
      <c r="S4497" s="22" t="s">
        <v>435</v>
      </c>
      <c r="T4497" s="21" t="str">
        <f>HYPERLINK("https://miland.ru/api/getInfo/image/43e1f173-f018-11ee-a25b-00155d82e908")</f>
        <v>https://miland.ru/api/getInfo/image/43e1f173-f018-11ee-a25b-00155d82e908</v>
      </c>
      <c r="U4497" s="21"/>
      <c r="V4497" s="21" t="s">
        <v>8245</v>
      </c>
      <c r="W4497" s="21" t="s">
        <v>8246</v>
      </c>
      <c r="X4497" s="21"/>
      <c r="Y4497" s="21" t="s">
        <v>41</v>
      </c>
      <c r="Z4497" s="21"/>
      <c r="AA4497" s="21" t="str">
        <f>HYPERLINK("https://miland.ru/api/getInfo/item/43e1f173-f018-11ee-a25b-00155d82e908")</f>
        <v>https://miland.ru/api/getInfo/item/43e1f173-f018-11ee-a25b-00155d82e908</v>
      </c>
      <c r="AB4497" s="21" t="s">
        <v>50</v>
      </c>
      <c r="AC4497" s="21" t="s">
        <v>8129</v>
      </c>
      <c r="AD4497" s="21"/>
    </row>
    <row r="4498" spans="2:31" ht="12" customHeight="1" outlineLevel="4">
      <c r="B4498" s="70" t="s">
        <v>15886</v>
      </c>
      <c r="C4498" s="70"/>
      <c r="D4498" s="70"/>
      <c r="E4498" s="70"/>
      <c r="F4498" s="70"/>
      <c r="G4498" s="70"/>
    </row>
    <row r="4499" spans="2:31" s="1" customFormat="1" ht="96.3" customHeight="1" outlineLevel="5">
      <c r="B4499" s="58">
        <v>3600</v>
      </c>
      <c r="C4499" s="7" t="s">
        <v>15887</v>
      </c>
      <c r="D4499" s="71" t="s">
        <v>15888</v>
      </c>
      <c r="E4499" s="71"/>
      <c r="F4499" s="71"/>
      <c r="G4499" s="71"/>
      <c r="H4499" s="8" t="s">
        <v>15889</v>
      </c>
      <c r="I4499" s="14">
        <v>398</v>
      </c>
      <c r="J4499" s="8"/>
      <c r="K4499" s="6">
        <v>1</v>
      </c>
      <c r="L4499" s="10">
        <v>444.82</v>
      </c>
      <c r="M4499" s="11"/>
      <c r="N4499" s="8">
        <f t="shared" ref="N4499:N4509" si="226">L4499*M4499</f>
        <v>0</v>
      </c>
      <c r="O4499" s="12">
        <f>0.593*M4499</f>
        <v>0</v>
      </c>
      <c r="P4499" s="13">
        <f>0.00076*M4499</f>
        <v>0</v>
      </c>
      <c r="Q4499" s="17" t="s">
        <v>37</v>
      </c>
      <c r="R4499" s="8" t="s">
        <v>15890</v>
      </c>
      <c r="S4499" s="8"/>
      <c r="T4499" s="7" t="str">
        <f>HYPERLINK("https://miland.ru/api/getInfo/image/4df95470-117c-11f1-a28f-00155d82e908")</f>
        <v>https://miland.ru/api/getInfo/image/4df95470-117c-11f1-a28f-00155d82e908</v>
      </c>
      <c r="U4499" s="7"/>
      <c r="V4499" s="7" t="s">
        <v>8245</v>
      </c>
      <c r="W4499" s="7" t="s">
        <v>8246</v>
      </c>
      <c r="X4499" s="7"/>
      <c r="Y4499" s="7" t="s">
        <v>41</v>
      </c>
      <c r="Z4499" s="7"/>
      <c r="AA4499" s="7" t="str">
        <f>HYPERLINK("https://miland.ru/api/getInfo/item/4df95470-117c-11f1-a28f-00155d82e908")</f>
        <v>https://miland.ru/api/getInfo/item/4df95470-117c-11f1-a28f-00155d82e908</v>
      </c>
      <c r="AB4499" s="7" t="s">
        <v>50</v>
      </c>
      <c r="AC4499" s="7"/>
      <c r="AD4499" s="7"/>
      <c r="AE4499" s="54"/>
    </row>
    <row r="4500" spans="2:31" s="1" customFormat="1" ht="96.3" customHeight="1" outlineLevel="5">
      <c r="B4500" s="58">
        <v>3601</v>
      </c>
      <c r="C4500" s="7" t="s">
        <v>15891</v>
      </c>
      <c r="D4500" s="71" t="s">
        <v>15892</v>
      </c>
      <c r="E4500" s="71"/>
      <c r="F4500" s="71"/>
      <c r="G4500" s="71"/>
      <c r="H4500" s="8" t="s">
        <v>15893</v>
      </c>
      <c r="I4500" s="14">
        <v>365</v>
      </c>
      <c r="J4500" s="8"/>
      <c r="K4500" s="6">
        <v>1</v>
      </c>
      <c r="L4500" s="10">
        <v>444.82</v>
      </c>
      <c r="M4500" s="11"/>
      <c r="N4500" s="8">
        <f t="shared" si="226"/>
        <v>0</v>
      </c>
      <c r="O4500" s="12">
        <f>0.549*M4500</f>
        <v>0</v>
      </c>
      <c r="P4500" s="13">
        <f>0.00247*M4500</f>
        <v>0</v>
      </c>
      <c r="Q4500" s="17" t="s">
        <v>37</v>
      </c>
      <c r="R4500" s="8" t="s">
        <v>15894</v>
      </c>
      <c r="S4500" s="8"/>
      <c r="T4500" s="7" t="str">
        <f>HYPERLINK("https://miland.ru/api/getInfo/image/7290aaf9-117c-11f1-a28f-00155d82e908")</f>
        <v>https://miland.ru/api/getInfo/image/7290aaf9-117c-11f1-a28f-00155d82e908</v>
      </c>
      <c r="U4500" s="7"/>
      <c r="V4500" s="7" t="s">
        <v>8245</v>
      </c>
      <c r="W4500" s="7" t="s">
        <v>8246</v>
      </c>
      <c r="X4500" s="7"/>
      <c r="Y4500" s="7" t="s">
        <v>41</v>
      </c>
      <c r="Z4500" s="7"/>
      <c r="AA4500" s="7" t="str">
        <f>HYPERLINK("https://miland.ru/api/getInfo/item/7290aaf9-117c-11f1-a28f-00155d82e908")</f>
        <v>https://miland.ru/api/getInfo/item/7290aaf9-117c-11f1-a28f-00155d82e908</v>
      </c>
      <c r="AB4500" s="7" t="s">
        <v>50</v>
      </c>
      <c r="AC4500" s="7"/>
      <c r="AD4500" s="7"/>
      <c r="AE4500" s="54"/>
    </row>
    <row r="4501" spans="2:31" s="1" customFormat="1" ht="96.3" customHeight="1" outlineLevel="5">
      <c r="B4501" s="58">
        <v>3602</v>
      </c>
      <c r="C4501" s="7" t="s">
        <v>15895</v>
      </c>
      <c r="D4501" s="71" t="s">
        <v>15896</v>
      </c>
      <c r="E4501" s="71"/>
      <c r="F4501" s="71"/>
      <c r="G4501" s="71"/>
      <c r="H4501" s="8" t="s">
        <v>15897</v>
      </c>
      <c r="I4501" s="14">
        <v>380</v>
      </c>
      <c r="J4501" s="8"/>
      <c r="K4501" s="6">
        <v>1</v>
      </c>
      <c r="L4501" s="10">
        <v>444.82</v>
      </c>
      <c r="M4501" s="11"/>
      <c r="N4501" s="8">
        <f t="shared" si="226"/>
        <v>0</v>
      </c>
      <c r="O4501" s="12">
        <f>0.549*M4501</f>
        <v>0</v>
      </c>
      <c r="P4501" s="13">
        <f>0.00247*M4501</f>
        <v>0</v>
      </c>
      <c r="Q4501" s="17" t="s">
        <v>37</v>
      </c>
      <c r="R4501" s="8" t="s">
        <v>15898</v>
      </c>
      <c r="S4501" s="8"/>
      <c r="T4501" s="7" t="str">
        <f>HYPERLINK("https://miland.ru/api/getInfo/image/a35d06d9-117c-11f1-a28f-00155d82e908")</f>
        <v>https://miland.ru/api/getInfo/image/a35d06d9-117c-11f1-a28f-00155d82e908</v>
      </c>
      <c r="U4501" s="7"/>
      <c r="V4501" s="7" t="s">
        <v>8245</v>
      </c>
      <c r="W4501" s="7" t="s">
        <v>8246</v>
      </c>
      <c r="X4501" s="7"/>
      <c r="Y4501" s="7" t="s">
        <v>41</v>
      </c>
      <c r="Z4501" s="7"/>
      <c r="AA4501" s="7" t="str">
        <f>HYPERLINK("https://miland.ru/api/getInfo/item/a35d06d9-117c-11f1-a28f-00155d82e908")</f>
        <v>https://miland.ru/api/getInfo/item/a35d06d9-117c-11f1-a28f-00155d82e908</v>
      </c>
      <c r="AB4501" s="7" t="s">
        <v>50</v>
      </c>
      <c r="AC4501" s="7"/>
      <c r="AD4501" s="7"/>
      <c r="AE4501" s="54"/>
    </row>
    <row r="4502" spans="2:31" s="1" customFormat="1" ht="96.3" customHeight="1" outlineLevel="5">
      <c r="B4502" s="57">
        <v>3603</v>
      </c>
      <c r="C4502" s="21" t="s">
        <v>15899</v>
      </c>
      <c r="D4502" s="72" t="s">
        <v>15900</v>
      </c>
      <c r="E4502" s="72"/>
      <c r="F4502" s="72"/>
      <c r="G4502" s="72"/>
      <c r="H4502" s="22" t="s">
        <v>15901</v>
      </c>
      <c r="I4502" s="27">
        <v>115</v>
      </c>
      <c r="J4502" s="22"/>
      <c r="K4502" s="20">
        <v>1</v>
      </c>
      <c r="L4502" s="24">
        <v>444.82</v>
      </c>
      <c r="M4502" s="11"/>
      <c r="N4502" s="22">
        <f t="shared" si="226"/>
        <v>0</v>
      </c>
      <c r="O4502" s="25">
        <f>0.514*M4502</f>
        <v>0</v>
      </c>
      <c r="P4502" s="29">
        <f>0.0021*M4502</f>
        <v>0</v>
      </c>
      <c r="Q4502" s="30"/>
      <c r="R4502" s="22" t="s">
        <v>15902</v>
      </c>
      <c r="S4502" s="22" t="s">
        <v>435</v>
      </c>
      <c r="T4502" s="21" t="str">
        <f>HYPERLINK("https://miland.ru/api/getInfo/image/82efd46b-f016-11ee-a25b-00155d82e908")</f>
        <v>https://miland.ru/api/getInfo/image/82efd46b-f016-11ee-a25b-00155d82e908</v>
      </c>
      <c r="U4502" s="21"/>
      <c r="V4502" s="21" t="s">
        <v>8245</v>
      </c>
      <c r="W4502" s="21" t="s">
        <v>8246</v>
      </c>
      <c r="X4502" s="21"/>
      <c r="Y4502" s="21" t="s">
        <v>41</v>
      </c>
      <c r="Z4502" s="21"/>
      <c r="AA4502" s="21" t="str">
        <f>HYPERLINK("https://miland.ru/api/getInfo/item/82efd46b-f016-11ee-a25b-00155d82e908")</f>
        <v>https://miland.ru/api/getInfo/item/82efd46b-f016-11ee-a25b-00155d82e908</v>
      </c>
      <c r="AB4502" s="21" t="s">
        <v>50</v>
      </c>
      <c r="AC4502" s="21" t="s">
        <v>8129</v>
      </c>
      <c r="AD4502" s="21"/>
    </row>
    <row r="4503" spans="2:31" s="1" customFormat="1" ht="96.3" customHeight="1" outlineLevel="5">
      <c r="B4503" s="57">
        <v>3604</v>
      </c>
      <c r="C4503" s="21" t="s">
        <v>15903</v>
      </c>
      <c r="D4503" s="72" t="s">
        <v>15904</v>
      </c>
      <c r="E4503" s="72"/>
      <c r="F4503" s="72"/>
      <c r="G4503" s="72"/>
      <c r="H4503" s="22" t="s">
        <v>15905</v>
      </c>
      <c r="I4503" s="27">
        <v>313</v>
      </c>
      <c r="J4503" s="22"/>
      <c r="K4503" s="20">
        <v>1</v>
      </c>
      <c r="L4503" s="24">
        <v>410</v>
      </c>
      <c r="M4503" s="11"/>
      <c r="N4503" s="22">
        <f t="shared" si="226"/>
        <v>0</v>
      </c>
      <c r="O4503" s="25">
        <f>0.522*M4503</f>
        <v>0</v>
      </c>
      <c r="P4503" s="26">
        <f>0.00206*M4503</f>
        <v>0</v>
      </c>
      <c r="Q4503" s="30"/>
      <c r="R4503" s="22" t="s">
        <v>15906</v>
      </c>
      <c r="S4503" s="22" t="s">
        <v>435</v>
      </c>
      <c r="T4503" s="21" t="str">
        <f>HYPERLINK("https://miland.ru/api/getInfo/image/6869cdf7-bab1-11ee-a25a-00155d82e908")</f>
        <v>https://miland.ru/api/getInfo/image/6869cdf7-bab1-11ee-a25a-00155d82e908</v>
      </c>
      <c r="U4503" s="21"/>
      <c r="V4503" s="21" t="s">
        <v>8245</v>
      </c>
      <c r="W4503" s="21" t="s">
        <v>8246</v>
      </c>
      <c r="X4503" s="21"/>
      <c r="Y4503" s="21" t="s">
        <v>41</v>
      </c>
      <c r="Z4503" s="21"/>
      <c r="AA4503" s="21" t="str">
        <f>HYPERLINK("https://miland.ru/api/getInfo/item/6869cdf7-bab1-11ee-a25a-00155d82e908")</f>
        <v>https://miland.ru/api/getInfo/item/6869cdf7-bab1-11ee-a25a-00155d82e908</v>
      </c>
      <c r="AB4503" s="21" t="s">
        <v>50</v>
      </c>
      <c r="AC4503" s="21" t="s">
        <v>8111</v>
      </c>
      <c r="AD4503" s="21"/>
    </row>
    <row r="4504" spans="2:31" s="1" customFormat="1" ht="96.3" customHeight="1" outlineLevel="5">
      <c r="B4504" s="57">
        <v>3605</v>
      </c>
      <c r="C4504" s="21" t="s">
        <v>15907</v>
      </c>
      <c r="D4504" s="72" t="s">
        <v>15908</v>
      </c>
      <c r="E4504" s="72"/>
      <c r="F4504" s="72"/>
      <c r="G4504" s="72"/>
      <c r="H4504" s="22" t="s">
        <v>15909</v>
      </c>
      <c r="I4504" s="27">
        <v>258</v>
      </c>
      <c r="J4504" s="22"/>
      <c r="K4504" s="20">
        <v>1</v>
      </c>
      <c r="L4504" s="24">
        <v>444.82</v>
      </c>
      <c r="M4504" s="11"/>
      <c r="N4504" s="22">
        <f t="shared" si="226"/>
        <v>0</v>
      </c>
      <c r="O4504" s="25">
        <f>0.552*M4504</f>
        <v>0</v>
      </c>
      <c r="P4504" s="26">
        <f>0.00214*M4504</f>
        <v>0</v>
      </c>
      <c r="Q4504" s="30"/>
      <c r="R4504" s="22" t="s">
        <v>15910</v>
      </c>
      <c r="S4504" s="22" t="s">
        <v>435</v>
      </c>
      <c r="T4504" s="21" t="str">
        <f>HYPERLINK("https://miland.ru/api/getInfo/image/fe063163-f988-11ef-a274-00155d82e908")</f>
        <v>https://miland.ru/api/getInfo/image/fe063163-f988-11ef-a274-00155d82e908</v>
      </c>
      <c r="U4504" s="21"/>
      <c r="V4504" s="21" t="s">
        <v>8245</v>
      </c>
      <c r="W4504" s="21" t="s">
        <v>8246</v>
      </c>
      <c r="X4504" s="21"/>
      <c r="Y4504" s="21" t="s">
        <v>41</v>
      </c>
      <c r="Z4504" s="21"/>
      <c r="AA4504" s="21" t="str">
        <f>HYPERLINK("https://miland.ru/api/getInfo/item/fe063163-f988-11ef-a274-00155d82e908")</f>
        <v>https://miland.ru/api/getInfo/item/fe063163-f988-11ef-a274-00155d82e908</v>
      </c>
      <c r="AB4504" s="21" t="s">
        <v>50</v>
      </c>
      <c r="AC4504" s="21" t="s">
        <v>8129</v>
      </c>
      <c r="AD4504" s="21"/>
    </row>
    <row r="4505" spans="2:31" s="1" customFormat="1" ht="96.3" customHeight="1" outlineLevel="5">
      <c r="B4505" s="57">
        <v>3606</v>
      </c>
      <c r="C4505" s="21" t="s">
        <v>15911</v>
      </c>
      <c r="D4505" s="72" t="s">
        <v>15912</v>
      </c>
      <c r="E4505" s="72"/>
      <c r="F4505" s="72"/>
      <c r="G4505" s="72"/>
      <c r="H4505" s="22" t="s">
        <v>15913</v>
      </c>
      <c r="I4505" s="27">
        <v>112</v>
      </c>
      <c r="J4505" s="22"/>
      <c r="K4505" s="20">
        <v>1</v>
      </c>
      <c r="L4505" s="24">
        <v>444.82</v>
      </c>
      <c r="M4505" s="11"/>
      <c r="N4505" s="22">
        <f t="shared" si="226"/>
        <v>0</v>
      </c>
      <c r="O4505" s="25">
        <f>0.517*M4505</f>
        <v>0</v>
      </c>
      <c r="P4505" s="26">
        <f>0.00175*M4505</f>
        <v>0</v>
      </c>
      <c r="Q4505" s="30"/>
      <c r="R4505" s="22" t="s">
        <v>15914</v>
      </c>
      <c r="S4505" s="22" t="s">
        <v>435</v>
      </c>
      <c r="T4505" s="21" t="str">
        <f>HYPERLINK("https://miland.ru/api/getInfo/image/723372af-f016-11ee-a25b-00155d82e908")</f>
        <v>https://miland.ru/api/getInfo/image/723372af-f016-11ee-a25b-00155d82e908</v>
      </c>
      <c r="U4505" s="21"/>
      <c r="V4505" s="21" t="s">
        <v>8245</v>
      </c>
      <c r="W4505" s="21" t="s">
        <v>8246</v>
      </c>
      <c r="X4505" s="21"/>
      <c r="Y4505" s="21" t="s">
        <v>41</v>
      </c>
      <c r="Z4505" s="21"/>
      <c r="AA4505" s="21" t="str">
        <f>HYPERLINK("https://miland.ru/api/getInfo/item/723372af-f016-11ee-a25b-00155d82e908")</f>
        <v>https://miland.ru/api/getInfo/item/723372af-f016-11ee-a25b-00155d82e908</v>
      </c>
      <c r="AB4505" s="21" t="s">
        <v>50</v>
      </c>
      <c r="AC4505" s="21" t="s">
        <v>8129</v>
      </c>
      <c r="AD4505" s="21"/>
    </row>
    <row r="4506" spans="2:31" s="1" customFormat="1" ht="96.3" customHeight="1" outlineLevel="5">
      <c r="B4506" s="57">
        <v>3607</v>
      </c>
      <c r="C4506" s="21" t="s">
        <v>15915</v>
      </c>
      <c r="D4506" s="72" t="s">
        <v>15916</v>
      </c>
      <c r="E4506" s="72"/>
      <c r="F4506" s="72"/>
      <c r="G4506" s="72"/>
      <c r="H4506" s="22" t="s">
        <v>15917</v>
      </c>
      <c r="I4506" s="27">
        <v>300</v>
      </c>
      <c r="J4506" s="22"/>
      <c r="K4506" s="20">
        <v>1</v>
      </c>
      <c r="L4506" s="24">
        <v>444.82</v>
      </c>
      <c r="M4506" s="11"/>
      <c r="N4506" s="22">
        <f t="shared" si="226"/>
        <v>0</v>
      </c>
      <c r="O4506" s="25">
        <f>0.552*M4506</f>
        <v>0</v>
      </c>
      <c r="P4506" s="26">
        <f>0.00214*M4506</f>
        <v>0</v>
      </c>
      <c r="Q4506" s="30"/>
      <c r="R4506" s="22" t="s">
        <v>15918</v>
      </c>
      <c r="S4506" s="22" t="s">
        <v>435</v>
      </c>
      <c r="T4506" s="21" t="str">
        <f>HYPERLINK("https://miland.ru/api/getInfo/image/ed47d378-f987-11ef-a274-00155d82e908")</f>
        <v>https://miland.ru/api/getInfo/image/ed47d378-f987-11ef-a274-00155d82e908</v>
      </c>
      <c r="U4506" s="21"/>
      <c r="V4506" s="21" t="s">
        <v>8245</v>
      </c>
      <c r="W4506" s="21" t="s">
        <v>8246</v>
      </c>
      <c r="X4506" s="21"/>
      <c r="Y4506" s="21" t="s">
        <v>41</v>
      </c>
      <c r="Z4506" s="21"/>
      <c r="AA4506" s="21" t="str">
        <f>HYPERLINK("https://miland.ru/api/getInfo/item/ed47d378-f987-11ef-a274-00155d82e908")</f>
        <v>https://miland.ru/api/getInfo/item/ed47d378-f987-11ef-a274-00155d82e908</v>
      </c>
      <c r="AB4506" s="21" t="s">
        <v>50</v>
      </c>
      <c r="AC4506" s="21" t="s">
        <v>8129</v>
      </c>
      <c r="AD4506" s="21"/>
    </row>
    <row r="4507" spans="2:31" s="1" customFormat="1" ht="96.3" customHeight="1" outlineLevel="5">
      <c r="B4507" s="57">
        <v>3608</v>
      </c>
      <c r="C4507" s="21" t="s">
        <v>15919</v>
      </c>
      <c r="D4507" s="72" t="s">
        <v>15920</v>
      </c>
      <c r="E4507" s="72"/>
      <c r="F4507" s="72"/>
      <c r="G4507" s="72"/>
      <c r="H4507" s="22" t="s">
        <v>15921</v>
      </c>
      <c r="I4507" s="27">
        <v>260</v>
      </c>
      <c r="J4507" s="22"/>
      <c r="K4507" s="20">
        <v>1</v>
      </c>
      <c r="L4507" s="24">
        <v>444.82</v>
      </c>
      <c r="M4507" s="11"/>
      <c r="N4507" s="22">
        <f t="shared" si="226"/>
        <v>0</v>
      </c>
      <c r="O4507" s="25">
        <f>0.552*M4507</f>
        <v>0</v>
      </c>
      <c r="P4507" s="26">
        <f>0.00214*M4507</f>
        <v>0</v>
      </c>
      <c r="Q4507" s="30"/>
      <c r="R4507" s="22" t="s">
        <v>15922</v>
      </c>
      <c r="S4507" s="22" t="s">
        <v>435</v>
      </c>
      <c r="T4507" s="21" t="str">
        <f>HYPERLINK("https://miland.ru/api/getInfo/image/796c7ec0-f988-11ef-a274-00155d82e908")</f>
        <v>https://miland.ru/api/getInfo/image/796c7ec0-f988-11ef-a274-00155d82e908</v>
      </c>
      <c r="U4507" s="21"/>
      <c r="V4507" s="21" t="s">
        <v>8245</v>
      </c>
      <c r="W4507" s="21" t="s">
        <v>8246</v>
      </c>
      <c r="X4507" s="21"/>
      <c r="Y4507" s="21" t="s">
        <v>41</v>
      </c>
      <c r="Z4507" s="21"/>
      <c r="AA4507" s="21" t="str">
        <f>HYPERLINK("https://miland.ru/api/getInfo/item/796c7ec0-f988-11ef-a274-00155d82e908")</f>
        <v>https://miland.ru/api/getInfo/item/796c7ec0-f988-11ef-a274-00155d82e908</v>
      </c>
      <c r="AB4507" s="21" t="s">
        <v>50</v>
      </c>
      <c r="AC4507" s="21" t="s">
        <v>8129</v>
      </c>
      <c r="AD4507" s="21"/>
    </row>
    <row r="4508" spans="2:31" s="1" customFormat="1" ht="96.3" customHeight="1" outlineLevel="5">
      <c r="B4508" s="57">
        <v>3609</v>
      </c>
      <c r="C4508" s="21" t="s">
        <v>15923</v>
      </c>
      <c r="D4508" s="72" t="s">
        <v>15924</v>
      </c>
      <c r="E4508" s="72"/>
      <c r="F4508" s="72"/>
      <c r="G4508" s="72"/>
      <c r="H4508" s="22" t="s">
        <v>15925</v>
      </c>
      <c r="I4508" s="27">
        <v>313</v>
      </c>
      <c r="J4508" s="22"/>
      <c r="K4508" s="20">
        <v>1</v>
      </c>
      <c r="L4508" s="24">
        <v>444.82</v>
      </c>
      <c r="M4508" s="11"/>
      <c r="N4508" s="22">
        <f t="shared" si="226"/>
        <v>0</v>
      </c>
      <c r="O4508" s="25">
        <f>0.552*M4508</f>
        <v>0</v>
      </c>
      <c r="P4508" s="26">
        <f>0.00214*M4508</f>
        <v>0</v>
      </c>
      <c r="Q4508" s="30"/>
      <c r="R4508" s="22" t="s">
        <v>15926</v>
      </c>
      <c r="S4508" s="22" t="s">
        <v>435</v>
      </c>
      <c r="T4508" s="21" t="str">
        <f>HYPERLINK("https://miland.ru/api/getInfo/image/c9524cbe-f986-11ef-a274-00155d82e908")</f>
        <v>https://miland.ru/api/getInfo/image/c9524cbe-f986-11ef-a274-00155d82e908</v>
      </c>
      <c r="U4508" s="21"/>
      <c r="V4508" s="21" t="s">
        <v>8245</v>
      </c>
      <c r="W4508" s="21" t="s">
        <v>8246</v>
      </c>
      <c r="X4508" s="21"/>
      <c r="Y4508" s="21" t="s">
        <v>41</v>
      </c>
      <c r="Z4508" s="21"/>
      <c r="AA4508" s="21" t="str">
        <f>HYPERLINK("https://miland.ru/api/getInfo/item/c9524cbe-f986-11ef-a274-00155d82e908")</f>
        <v>https://miland.ru/api/getInfo/item/c9524cbe-f986-11ef-a274-00155d82e908</v>
      </c>
      <c r="AB4508" s="21" t="s">
        <v>50</v>
      </c>
      <c r="AC4508" s="21" t="s">
        <v>8129</v>
      </c>
      <c r="AD4508" s="21"/>
    </row>
    <row r="4509" spans="2:31" s="1" customFormat="1" ht="96.3" customHeight="1" outlineLevel="5">
      <c r="B4509" s="57">
        <v>3610</v>
      </c>
      <c r="C4509" s="21" t="s">
        <v>15927</v>
      </c>
      <c r="D4509" s="72" t="s">
        <v>15928</v>
      </c>
      <c r="E4509" s="72"/>
      <c r="F4509" s="72"/>
      <c r="G4509" s="72"/>
      <c r="H4509" s="22" t="s">
        <v>15929</v>
      </c>
      <c r="I4509" s="27">
        <v>113</v>
      </c>
      <c r="J4509" s="22"/>
      <c r="K4509" s="20">
        <v>1</v>
      </c>
      <c r="L4509" s="24">
        <v>444.82</v>
      </c>
      <c r="M4509" s="11"/>
      <c r="N4509" s="22">
        <f t="shared" si="226"/>
        <v>0</v>
      </c>
      <c r="O4509" s="25">
        <f>0.552*M4509</f>
        <v>0</v>
      </c>
      <c r="P4509" s="26">
        <f>0.00214*M4509</f>
        <v>0</v>
      </c>
      <c r="Q4509" s="30"/>
      <c r="R4509" s="22" t="s">
        <v>15930</v>
      </c>
      <c r="S4509" s="22" t="s">
        <v>435</v>
      </c>
      <c r="T4509" s="21" t="str">
        <f>HYPERLINK("https://miland.ru/api/getInfo/image/5f561325-f987-11ef-a274-00155d82e908")</f>
        <v>https://miland.ru/api/getInfo/image/5f561325-f987-11ef-a274-00155d82e908</v>
      </c>
      <c r="U4509" s="21"/>
      <c r="V4509" s="21" t="s">
        <v>8245</v>
      </c>
      <c r="W4509" s="21" t="s">
        <v>8246</v>
      </c>
      <c r="X4509" s="21"/>
      <c r="Y4509" s="21" t="s">
        <v>41</v>
      </c>
      <c r="Z4509" s="21"/>
      <c r="AA4509" s="21" t="str">
        <f>HYPERLINK("https://miland.ru/api/getInfo/item/5f561325-f987-11ef-a274-00155d82e908")</f>
        <v>https://miland.ru/api/getInfo/item/5f561325-f987-11ef-a274-00155d82e908</v>
      </c>
      <c r="AB4509" s="21" t="s">
        <v>50</v>
      </c>
      <c r="AC4509" s="21" t="s">
        <v>8129</v>
      </c>
      <c r="AD4509" s="21"/>
    </row>
    <row r="4510" spans="2:31" ht="12" customHeight="1" outlineLevel="3">
      <c r="B4510" s="70" t="s">
        <v>8228</v>
      </c>
      <c r="C4510" s="70"/>
      <c r="D4510" s="70"/>
      <c r="E4510" s="70"/>
      <c r="F4510" s="70"/>
      <c r="G4510" s="70"/>
    </row>
    <row r="4511" spans="2:31" ht="12" customHeight="1" outlineLevel="4">
      <c r="B4511" s="70" t="s">
        <v>6556</v>
      </c>
      <c r="C4511" s="70"/>
      <c r="D4511" s="70"/>
      <c r="E4511" s="70"/>
      <c r="F4511" s="70"/>
      <c r="G4511" s="70"/>
    </row>
    <row r="4512" spans="2:31" s="1" customFormat="1" ht="96.3" customHeight="1" outlineLevel="5">
      <c r="B4512" s="59">
        <v>3611</v>
      </c>
      <c r="C4512" s="35" t="s">
        <v>15931</v>
      </c>
      <c r="D4512" s="73" t="s">
        <v>15932</v>
      </c>
      <c r="E4512" s="73"/>
      <c r="F4512" s="73"/>
      <c r="G4512" s="73"/>
      <c r="H4512" s="36" t="s">
        <v>15933</v>
      </c>
      <c r="I4512" s="56" t="s">
        <v>36</v>
      </c>
      <c r="J4512" s="36"/>
      <c r="K4512" s="34">
        <v>50</v>
      </c>
      <c r="L4512" s="41">
        <v>49.293333333333329</v>
      </c>
      <c r="M4512" s="11"/>
      <c r="N4512" s="36">
        <f>L4512*M4512</f>
        <v>0</v>
      </c>
      <c r="O4512" s="42">
        <f>0.593*M4512</f>
        <v>0</v>
      </c>
      <c r="P4512" s="43">
        <f>0.00076*M4512</f>
        <v>0</v>
      </c>
      <c r="Q4512" s="50" t="s">
        <v>37</v>
      </c>
      <c r="R4512" s="36" t="s">
        <v>15934</v>
      </c>
      <c r="S4512" s="36"/>
      <c r="T4512" s="35" t="str">
        <f>HYPERLINK("https://miland.ru/api/getInfo/image/8660be6d-115d-11f1-a28f-00155d82e908")</f>
        <v>https://miland.ru/api/getInfo/image/8660be6d-115d-11f1-a28f-00155d82e908</v>
      </c>
      <c r="U4512" s="35"/>
      <c r="V4512" s="35" t="s">
        <v>8245</v>
      </c>
      <c r="W4512" s="35" t="s">
        <v>8246</v>
      </c>
      <c r="X4512" s="35"/>
      <c r="Y4512" s="35" t="s">
        <v>41</v>
      </c>
      <c r="Z4512" s="35"/>
      <c r="AA4512" s="35" t="str">
        <f>HYPERLINK("https://miland.ru/api/getInfo/item/8660be6d-115d-11f1-a28f-00155d82e908")</f>
        <v>https://miland.ru/api/getInfo/item/8660be6d-115d-11f1-a28f-00155d82e908</v>
      </c>
      <c r="AB4512" s="35" t="s">
        <v>50</v>
      </c>
      <c r="AC4512" s="35"/>
      <c r="AD4512" s="35"/>
      <c r="AE4512" s="52" t="s">
        <v>1251</v>
      </c>
    </row>
    <row r="4513" spans="2:31" s="1" customFormat="1" ht="96.3" customHeight="1" outlineLevel="5">
      <c r="B4513" s="59">
        <v>3612</v>
      </c>
      <c r="C4513" s="35" t="s">
        <v>15935</v>
      </c>
      <c r="D4513" s="73" t="s">
        <v>15936</v>
      </c>
      <c r="E4513" s="73"/>
      <c r="F4513" s="73"/>
      <c r="G4513" s="73"/>
      <c r="H4513" s="36" t="s">
        <v>15937</v>
      </c>
      <c r="I4513" s="56" t="s">
        <v>36</v>
      </c>
      <c r="J4513" s="36"/>
      <c r="K4513" s="34">
        <v>50</v>
      </c>
      <c r="L4513" s="41">
        <v>49.293333333333329</v>
      </c>
      <c r="M4513" s="11"/>
      <c r="N4513" s="36">
        <f>L4513*M4513</f>
        <v>0</v>
      </c>
      <c r="O4513" s="42">
        <f>0.479*M4513</f>
        <v>0</v>
      </c>
      <c r="P4513" s="43">
        <f>0.00081*M4513</f>
        <v>0</v>
      </c>
      <c r="Q4513" s="50" t="s">
        <v>37</v>
      </c>
      <c r="R4513" s="36" t="s">
        <v>15938</v>
      </c>
      <c r="S4513" s="36"/>
      <c r="T4513" s="35" t="str">
        <f>HYPERLINK("https://miland.ru/api/getInfo/image/dfce56aa-115d-11f1-a28f-00155d82e908")</f>
        <v>https://miland.ru/api/getInfo/image/dfce56aa-115d-11f1-a28f-00155d82e908</v>
      </c>
      <c r="U4513" s="35"/>
      <c r="V4513" s="35" t="s">
        <v>8245</v>
      </c>
      <c r="W4513" s="35" t="s">
        <v>8246</v>
      </c>
      <c r="X4513" s="35"/>
      <c r="Y4513" s="35" t="s">
        <v>41</v>
      </c>
      <c r="Z4513" s="35"/>
      <c r="AA4513" s="35" t="str">
        <f>HYPERLINK("https://miland.ru/api/getInfo/item/dfce56aa-115d-11f1-a28f-00155d82e908")</f>
        <v>https://miland.ru/api/getInfo/item/dfce56aa-115d-11f1-a28f-00155d82e908</v>
      </c>
      <c r="AB4513" s="35" t="s">
        <v>50</v>
      </c>
      <c r="AC4513" s="35"/>
      <c r="AD4513" s="35"/>
      <c r="AE4513" s="52" t="s">
        <v>1251</v>
      </c>
    </row>
    <row r="4514" spans="2:31" s="1" customFormat="1" ht="96.3" customHeight="1" outlineLevel="5">
      <c r="B4514" s="59">
        <v>3613</v>
      </c>
      <c r="C4514" s="35" t="s">
        <v>15939</v>
      </c>
      <c r="D4514" s="73" t="s">
        <v>15940</v>
      </c>
      <c r="E4514" s="73"/>
      <c r="F4514" s="73"/>
      <c r="G4514" s="73"/>
      <c r="H4514" s="36" t="s">
        <v>15941</v>
      </c>
      <c r="I4514" s="56" t="s">
        <v>36</v>
      </c>
      <c r="J4514" s="36"/>
      <c r="K4514" s="34">
        <v>50</v>
      </c>
      <c r="L4514" s="41">
        <v>49.293333333333329</v>
      </c>
      <c r="M4514" s="11"/>
      <c r="N4514" s="36">
        <f>L4514*M4514</f>
        <v>0</v>
      </c>
      <c r="O4514" s="42">
        <f>0.552*M4514</f>
        <v>0</v>
      </c>
      <c r="P4514" s="43">
        <f>0.00214*M4514</f>
        <v>0</v>
      </c>
      <c r="Q4514" s="50"/>
      <c r="R4514" s="36" t="s">
        <v>15942</v>
      </c>
      <c r="S4514" s="36" t="s">
        <v>435</v>
      </c>
      <c r="T4514" s="35" t="str">
        <f>HYPERLINK("https://miland.ru/api/getInfo/image/2cd5e1e3-f98e-11ef-a274-00155d82e908")</f>
        <v>https://miland.ru/api/getInfo/image/2cd5e1e3-f98e-11ef-a274-00155d82e908</v>
      </c>
      <c r="U4514" s="35"/>
      <c r="V4514" s="35" t="s">
        <v>8245</v>
      </c>
      <c r="W4514" s="35" t="s">
        <v>8246</v>
      </c>
      <c r="X4514" s="35"/>
      <c r="Y4514" s="35" t="s">
        <v>41</v>
      </c>
      <c r="Z4514" s="35"/>
      <c r="AA4514" s="35" t="str">
        <f>HYPERLINK("https://miland.ru/api/getInfo/item/2cd5e1e3-f98e-11ef-a274-00155d82e908")</f>
        <v>https://miland.ru/api/getInfo/item/2cd5e1e3-f98e-11ef-a274-00155d82e908</v>
      </c>
      <c r="AB4514" s="35" t="s">
        <v>50</v>
      </c>
      <c r="AC4514" s="35" t="s">
        <v>8111</v>
      </c>
      <c r="AD4514" s="35"/>
      <c r="AE4514" s="52" t="s">
        <v>1251</v>
      </c>
    </row>
    <row r="4515" spans="2:31" s="1" customFormat="1" ht="96.3" customHeight="1" outlineLevel="5">
      <c r="B4515" s="59">
        <v>3614</v>
      </c>
      <c r="C4515" s="35" t="s">
        <v>15943</v>
      </c>
      <c r="D4515" s="73" t="s">
        <v>15944</v>
      </c>
      <c r="E4515" s="73"/>
      <c r="F4515" s="73"/>
      <c r="G4515" s="73"/>
      <c r="H4515" s="36" t="s">
        <v>15945</v>
      </c>
      <c r="I4515" s="40">
        <v>50</v>
      </c>
      <c r="J4515" s="36"/>
      <c r="K4515" s="34">
        <v>50</v>
      </c>
      <c r="L4515" s="41">
        <v>41.36</v>
      </c>
      <c r="M4515" s="11"/>
      <c r="N4515" s="36">
        <f>L4515*M4515</f>
        <v>0</v>
      </c>
      <c r="O4515" s="42">
        <f>0.047*M4515</f>
        <v>0</v>
      </c>
      <c r="P4515" s="43">
        <f>0.00106*M4515</f>
        <v>0</v>
      </c>
      <c r="Q4515" s="50"/>
      <c r="R4515" s="36" t="s">
        <v>15946</v>
      </c>
      <c r="S4515" s="36" t="s">
        <v>435</v>
      </c>
      <c r="T4515" s="35" t="str">
        <f>HYPERLINK("https://miland.ru/api/getInfo/image/1c3d3109-a3bc-11ed-a22f-00155d82e902")</f>
        <v>https://miland.ru/api/getInfo/image/1c3d3109-a3bc-11ed-a22f-00155d82e902</v>
      </c>
      <c r="U4515" s="35"/>
      <c r="V4515" s="35" t="s">
        <v>8245</v>
      </c>
      <c r="W4515" s="35" t="s">
        <v>8246</v>
      </c>
      <c r="X4515" s="35"/>
      <c r="Y4515" s="35" t="s">
        <v>41</v>
      </c>
      <c r="Z4515" s="35"/>
      <c r="AA4515" s="35" t="str">
        <f>HYPERLINK("https://miland.ru/api/getInfo/item/1c3d3109-a3bc-11ed-a22f-00155d82e902")</f>
        <v>https://miland.ru/api/getInfo/item/1c3d3109-a3bc-11ed-a22f-00155d82e902</v>
      </c>
      <c r="AB4515" s="35" t="s">
        <v>50</v>
      </c>
      <c r="AC4515" s="35" t="s">
        <v>8111</v>
      </c>
      <c r="AD4515" s="35"/>
      <c r="AE4515" s="52" t="s">
        <v>1251</v>
      </c>
    </row>
    <row r="4516" spans="2:31" ht="12" customHeight="1" outlineLevel="4">
      <c r="B4516" s="70" t="s">
        <v>15784</v>
      </c>
      <c r="C4516" s="70"/>
      <c r="D4516" s="70"/>
      <c r="E4516" s="70"/>
      <c r="F4516" s="70"/>
      <c r="G4516" s="70"/>
    </row>
    <row r="4517" spans="2:31" s="1" customFormat="1" ht="96.3" customHeight="1" outlineLevel="5">
      <c r="B4517" s="57">
        <v>3615</v>
      </c>
      <c r="C4517" s="21" t="s">
        <v>15947</v>
      </c>
      <c r="D4517" s="72" t="s">
        <v>15948</v>
      </c>
      <c r="E4517" s="72"/>
      <c r="F4517" s="72"/>
      <c r="G4517" s="72"/>
      <c r="H4517" s="22" t="s">
        <v>15949</v>
      </c>
      <c r="I4517" s="23" t="s">
        <v>36</v>
      </c>
      <c r="J4517" s="22"/>
      <c r="K4517" s="20">
        <v>48</v>
      </c>
      <c r="L4517" s="24">
        <v>99.62</v>
      </c>
      <c r="M4517" s="11"/>
      <c r="N4517" s="22">
        <f>L4517*M4517</f>
        <v>0</v>
      </c>
      <c r="O4517" s="25">
        <f>0.111*M4517</f>
        <v>0</v>
      </c>
      <c r="P4517" s="26">
        <f>0.00118*M4517</f>
        <v>0</v>
      </c>
      <c r="Q4517" s="30"/>
      <c r="R4517" s="22" t="s">
        <v>15950</v>
      </c>
      <c r="S4517" s="22" t="s">
        <v>435</v>
      </c>
      <c r="T4517" s="21" t="str">
        <f>HYPERLINK("https://miland.ru/api/getInfo/image/a77ae902-e8ba-11ed-a233-00155d82e902")</f>
        <v>https://miland.ru/api/getInfo/image/a77ae902-e8ba-11ed-a233-00155d82e902</v>
      </c>
      <c r="U4517" s="21"/>
      <c r="V4517" s="21" t="s">
        <v>8245</v>
      </c>
      <c r="W4517" s="21" t="s">
        <v>8246</v>
      </c>
      <c r="X4517" s="21"/>
      <c r="Y4517" s="21" t="s">
        <v>41</v>
      </c>
      <c r="Z4517" s="21"/>
      <c r="AA4517" s="21" t="str">
        <f>HYPERLINK("https://miland.ru/api/getInfo/item/a77ae902-e8ba-11ed-a233-00155d82e902")</f>
        <v>https://miland.ru/api/getInfo/item/a77ae902-e8ba-11ed-a233-00155d82e902</v>
      </c>
      <c r="AB4517" s="21" t="s">
        <v>42</v>
      </c>
      <c r="AC4517" s="21"/>
      <c r="AD4517" s="21"/>
    </row>
    <row r="4518" spans="2:31" ht="12" customHeight="1" outlineLevel="4">
      <c r="B4518" s="70" t="s">
        <v>8116</v>
      </c>
      <c r="C4518" s="70"/>
      <c r="D4518" s="70"/>
      <c r="E4518" s="70"/>
      <c r="F4518" s="70"/>
      <c r="G4518" s="70"/>
    </row>
    <row r="4519" spans="2:31" s="1" customFormat="1" ht="96.3" customHeight="1" outlineLevel="5">
      <c r="B4519" s="58">
        <v>3616</v>
      </c>
      <c r="C4519" s="7" t="s">
        <v>15951</v>
      </c>
      <c r="D4519" s="71" t="s">
        <v>15952</v>
      </c>
      <c r="E4519" s="71"/>
      <c r="F4519" s="71"/>
      <c r="G4519" s="71"/>
      <c r="H4519" s="8" t="s">
        <v>15953</v>
      </c>
      <c r="I4519" s="9" t="s">
        <v>36</v>
      </c>
      <c r="J4519" s="8"/>
      <c r="K4519" s="6">
        <v>50</v>
      </c>
      <c r="L4519" s="10">
        <v>58.4</v>
      </c>
      <c r="M4519" s="11"/>
      <c r="N4519" s="8">
        <f>L4519*M4519</f>
        <v>0</v>
      </c>
      <c r="O4519" s="12">
        <f>3.135*M4519</f>
        <v>0</v>
      </c>
      <c r="P4519" s="16">
        <f>0.0002*M4519</f>
        <v>0</v>
      </c>
      <c r="Q4519" s="17" t="s">
        <v>37</v>
      </c>
      <c r="R4519" s="8" t="s">
        <v>15954</v>
      </c>
      <c r="S4519" s="8"/>
      <c r="T4519" s="7" t="str">
        <f>HYPERLINK("https://miland.ru/api/getInfo/image/a09b6180-115c-11f1-a28f-00155d82e908")</f>
        <v>https://miland.ru/api/getInfo/image/a09b6180-115c-11f1-a28f-00155d82e908</v>
      </c>
      <c r="U4519" s="7"/>
      <c r="V4519" s="7" t="s">
        <v>8245</v>
      </c>
      <c r="W4519" s="7" t="s">
        <v>8246</v>
      </c>
      <c r="X4519" s="7"/>
      <c r="Y4519" s="7" t="s">
        <v>41</v>
      </c>
      <c r="Z4519" s="7"/>
      <c r="AA4519" s="7" t="str">
        <f>HYPERLINK("https://miland.ru/api/getInfo/item/a09b6180-115c-11f1-a28f-00155d82e908")</f>
        <v>https://miland.ru/api/getInfo/item/a09b6180-115c-11f1-a28f-00155d82e908</v>
      </c>
      <c r="AB4519" s="7" t="s">
        <v>50</v>
      </c>
      <c r="AC4519" s="7"/>
      <c r="AD4519" s="7"/>
      <c r="AE4519" s="54"/>
    </row>
    <row r="4520" spans="2:31" s="1" customFormat="1" ht="96.3" customHeight="1" outlineLevel="5">
      <c r="B4520" s="57">
        <v>3617</v>
      </c>
      <c r="C4520" s="21" t="s">
        <v>15955</v>
      </c>
      <c r="D4520" s="72" t="s">
        <v>15956</v>
      </c>
      <c r="E4520" s="72"/>
      <c r="F4520" s="72"/>
      <c r="G4520" s="72"/>
      <c r="H4520" s="22" t="s">
        <v>15957</v>
      </c>
      <c r="I4520" s="27">
        <v>150</v>
      </c>
      <c r="J4520" s="22"/>
      <c r="K4520" s="20">
        <v>50</v>
      </c>
      <c r="L4520" s="24">
        <v>40.82</v>
      </c>
      <c r="M4520" s="11"/>
      <c r="N4520" s="22">
        <f>L4520*M4520</f>
        <v>0</v>
      </c>
      <c r="O4520" s="25">
        <f>0.069*M4520</f>
        <v>0</v>
      </c>
      <c r="P4520" s="26">
        <f>0.00186*M4520</f>
        <v>0</v>
      </c>
      <c r="Q4520" s="30"/>
      <c r="R4520" s="22" t="s">
        <v>15958</v>
      </c>
      <c r="S4520" s="22" t="s">
        <v>435</v>
      </c>
      <c r="T4520" s="21" t="str">
        <f>HYPERLINK("https://miland.ru/api/getInfo/image/4910c917-9c8a-11ed-a22e-00155d82e902")</f>
        <v>https://miland.ru/api/getInfo/image/4910c917-9c8a-11ed-a22e-00155d82e902</v>
      </c>
      <c r="U4520" s="21"/>
      <c r="V4520" s="21" t="s">
        <v>8245</v>
      </c>
      <c r="W4520" s="21" t="s">
        <v>8246</v>
      </c>
      <c r="X4520" s="21"/>
      <c r="Y4520" s="21" t="s">
        <v>41</v>
      </c>
      <c r="Z4520" s="21"/>
      <c r="AA4520" s="21" t="str">
        <f>HYPERLINK("https://miland.ru/api/getInfo/item/4910c917-9c8a-11ed-a22e-00155d82e902")</f>
        <v>https://miland.ru/api/getInfo/item/4910c917-9c8a-11ed-a22e-00155d82e902</v>
      </c>
      <c r="AB4520" s="21" t="s">
        <v>50</v>
      </c>
      <c r="AC4520" s="21"/>
      <c r="AD4520" s="21"/>
    </row>
    <row r="4521" spans="2:31" s="1" customFormat="1" ht="96.3" customHeight="1" outlineLevel="5">
      <c r="B4521" s="59">
        <v>3618</v>
      </c>
      <c r="C4521" s="35" t="s">
        <v>15959</v>
      </c>
      <c r="D4521" s="73" t="s">
        <v>15960</v>
      </c>
      <c r="E4521" s="73"/>
      <c r="F4521" s="73"/>
      <c r="G4521" s="73"/>
      <c r="H4521" s="36" t="s">
        <v>15961</v>
      </c>
      <c r="I4521" s="56" t="s">
        <v>36</v>
      </c>
      <c r="J4521" s="36"/>
      <c r="K4521" s="34">
        <v>50</v>
      </c>
      <c r="L4521" s="41">
        <v>26.040000000000003</v>
      </c>
      <c r="M4521" s="11"/>
      <c r="N4521" s="36">
        <f>L4521*M4521</f>
        <v>0</v>
      </c>
      <c r="O4521" s="47">
        <f>0.05*M4521</f>
        <v>0</v>
      </c>
      <c r="P4521" s="43">
        <f>0.00044*M4521</f>
        <v>0</v>
      </c>
      <c r="Q4521" s="50"/>
      <c r="R4521" s="36" t="s">
        <v>15962</v>
      </c>
      <c r="S4521" s="36" t="s">
        <v>435</v>
      </c>
      <c r="T4521" s="35" t="str">
        <f>HYPERLINK("https://miland.ru/api/getInfo/image/44e78ef7-baaf-11ee-a25a-00155d82e908")</f>
        <v>https://miland.ru/api/getInfo/image/44e78ef7-baaf-11ee-a25a-00155d82e908</v>
      </c>
      <c r="U4521" s="35"/>
      <c r="V4521" s="35" t="s">
        <v>8245</v>
      </c>
      <c r="W4521" s="35" t="s">
        <v>8246</v>
      </c>
      <c r="X4521" s="35"/>
      <c r="Y4521" s="35" t="s">
        <v>41</v>
      </c>
      <c r="Z4521" s="35"/>
      <c r="AA4521" s="35" t="str">
        <f>HYPERLINK("https://miland.ru/api/getInfo/item/44e78ef7-baaf-11ee-a25a-00155d82e908")</f>
        <v>https://miland.ru/api/getInfo/item/44e78ef7-baaf-11ee-a25a-00155d82e908</v>
      </c>
      <c r="AB4521" s="35" t="s">
        <v>50</v>
      </c>
      <c r="AC4521" s="35" t="s">
        <v>8111</v>
      </c>
      <c r="AD4521" s="35"/>
      <c r="AE4521" s="52" t="s">
        <v>1251</v>
      </c>
    </row>
    <row r="4522" spans="2:31" s="1" customFormat="1" ht="96.3" customHeight="1" outlineLevel="5">
      <c r="B4522" s="57">
        <v>3619</v>
      </c>
      <c r="C4522" s="21" t="s">
        <v>15963</v>
      </c>
      <c r="D4522" s="72" t="s">
        <v>15964</v>
      </c>
      <c r="E4522" s="72"/>
      <c r="F4522" s="72"/>
      <c r="G4522" s="72"/>
      <c r="H4522" s="22" t="s">
        <v>15965</v>
      </c>
      <c r="I4522" s="23" t="s">
        <v>36</v>
      </c>
      <c r="J4522" s="22"/>
      <c r="K4522" s="20">
        <v>50</v>
      </c>
      <c r="L4522" s="24">
        <v>58.4</v>
      </c>
      <c r="M4522" s="11"/>
      <c r="N4522" s="22">
        <f>L4522*M4522</f>
        <v>0</v>
      </c>
      <c r="O4522" s="25">
        <f>0.532*M4522</f>
        <v>0</v>
      </c>
      <c r="P4522" s="26">
        <f>0.00214*M4522</f>
        <v>0</v>
      </c>
      <c r="Q4522" s="30"/>
      <c r="R4522" s="22" t="s">
        <v>15966</v>
      </c>
      <c r="S4522" s="22"/>
      <c r="T4522" s="21" t="str">
        <f>HYPERLINK("https://miland.ru/api/getInfo/image/bba4a346-f98c-11ef-a274-00155d82e908")</f>
        <v>https://miland.ru/api/getInfo/image/bba4a346-f98c-11ef-a274-00155d82e908</v>
      </c>
      <c r="U4522" s="21"/>
      <c r="V4522" s="21" t="s">
        <v>8245</v>
      </c>
      <c r="W4522" s="21" t="s">
        <v>8246</v>
      </c>
      <c r="X4522" s="21"/>
      <c r="Y4522" s="21" t="s">
        <v>41</v>
      </c>
      <c r="Z4522" s="21"/>
      <c r="AA4522" s="21" t="str">
        <f>HYPERLINK("https://miland.ru/api/getInfo/item/bba4a346-f98c-11ef-a274-00155d82e908")</f>
        <v>https://miland.ru/api/getInfo/item/bba4a346-f98c-11ef-a274-00155d82e908</v>
      </c>
      <c r="AB4522" s="21" t="s">
        <v>50</v>
      </c>
      <c r="AC4522" s="21" t="s">
        <v>8129</v>
      </c>
      <c r="AD4522" s="21"/>
    </row>
    <row r="4523" spans="2:31" s="1" customFormat="1" ht="96.3" customHeight="1" outlineLevel="5">
      <c r="B4523" s="58">
        <v>3620</v>
      </c>
      <c r="C4523" s="7" t="s">
        <v>15967</v>
      </c>
      <c r="D4523" s="71" t="s">
        <v>15968</v>
      </c>
      <c r="E4523" s="71"/>
      <c r="F4523" s="71"/>
      <c r="G4523" s="71"/>
      <c r="H4523" s="8" t="s">
        <v>15969</v>
      </c>
      <c r="I4523" s="9" t="s">
        <v>36</v>
      </c>
      <c r="J4523" s="8"/>
      <c r="K4523" s="6">
        <v>50</v>
      </c>
      <c r="L4523" s="10">
        <v>54.12</v>
      </c>
      <c r="M4523" s="11"/>
      <c r="N4523" s="8">
        <f>L4523*M4523</f>
        <v>0</v>
      </c>
      <c r="O4523" s="18">
        <f>0.06*M4523</f>
        <v>0</v>
      </c>
      <c r="P4523" s="13">
        <f>0.00078*M4523</f>
        <v>0</v>
      </c>
      <c r="Q4523" s="17" t="s">
        <v>37</v>
      </c>
      <c r="R4523" s="8" t="s">
        <v>15970</v>
      </c>
      <c r="S4523" s="8"/>
      <c r="T4523" s="7" t="str">
        <f>HYPERLINK("https://miland.ru/api/getInfo/image/17d6cf3e-115d-11f1-a28f-00155d82e908")</f>
        <v>https://miland.ru/api/getInfo/image/17d6cf3e-115d-11f1-a28f-00155d82e908</v>
      </c>
      <c r="U4523" s="7"/>
      <c r="V4523" s="7" t="s">
        <v>8245</v>
      </c>
      <c r="W4523" s="7" t="s">
        <v>8246</v>
      </c>
      <c r="X4523" s="7"/>
      <c r="Y4523" s="7" t="s">
        <v>41</v>
      </c>
      <c r="Z4523" s="7"/>
      <c r="AA4523" s="7" t="str">
        <f>HYPERLINK("https://miland.ru/api/getInfo/item/17d6cf3e-115d-11f1-a28f-00155d82e908")</f>
        <v>https://miland.ru/api/getInfo/item/17d6cf3e-115d-11f1-a28f-00155d82e908</v>
      </c>
      <c r="AB4523" s="7" t="s">
        <v>50</v>
      </c>
      <c r="AC4523" s="7"/>
      <c r="AD4523" s="7"/>
      <c r="AE4523" s="54"/>
    </row>
    <row r="4524" spans="2:31" ht="12" customHeight="1" outlineLevel="2">
      <c r="B4524" s="69" t="s">
        <v>15971</v>
      </c>
      <c r="C4524" s="69"/>
      <c r="D4524" s="69"/>
      <c r="E4524" s="69"/>
      <c r="F4524" s="69"/>
      <c r="G4524" s="69"/>
    </row>
    <row r="4525" spans="2:31" ht="12" customHeight="1" outlineLevel="3">
      <c r="B4525" s="70" t="s">
        <v>15972</v>
      </c>
      <c r="C4525" s="70"/>
      <c r="D4525" s="70"/>
      <c r="E4525" s="70"/>
      <c r="F4525" s="70"/>
      <c r="G4525" s="70"/>
    </row>
    <row r="4526" spans="2:31" ht="12" customHeight="1" outlineLevel="4">
      <c r="B4526" s="70" t="s">
        <v>15973</v>
      </c>
      <c r="C4526" s="70"/>
      <c r="D4526" s="70"/>
      <c r="E4526" s="70"/>
      <c r="F4526" s="70"/>
      <c r="G4526" s="70"/>
    </row>
    <row r="4527" spans="2:31" ht="12" customHeight="1" outlineLevel="5">
      <c r="B4527" s="70" t="s">
        <v>15974</v>
      </c>
      <c r="C4527" s="70"/>
      <c r="D4527" s="70"/>
      <c r="E4527" s="70"/>
      <c r="F4527" s="70"/>
      <c r="G4527" s="70"/>
    </row>
    <row r="4528" spans="2:31" s="1" customFormat="1" ht="96.3" customHeight="1" outlineLevel="6">
      <c r="B4528" s="57">
        <v>3621</v>
      </c>
      <c r="C4528" s="21" t="s">
        <v>15975</v>
      </c>
      <c r="D4528" s="72" t="s">
        <v>15976</v>
      </c>
      <c r="E4528" s="72"/>
      <c r="F4528" s="72"/>
      <c r="G4528" s="72"/>
      <c r="H4528" s="22" t="s">
        <v>15977</v>
      </c>
      <c r="I4528" s="27">
        <v>29</v>
      </c>
      <c r="J4528" s="22"/>
      <c r="K4528" s="20">
        <v>1</v>
      </c>
      <c r="L4528" s="32">
        <v>1481.3</v>
      </c>
      <c r="M4528" s="11"/>
      <c r="N4528" s="22">
        <f t="shared" ref="N4528:N4544" si="227">L4528*M4528</f>
        <v>0</v>
      </c>
      <c r="O4528" s="25">
        <f>1.392*M4528</f>
        <v>0</v>
      </c>
      <c r="P4528" s="26">
        <f>0.00923*M4528</f>
        <v>0</v>
      </c>
      <c r="Q4528" s="30"/>
      <c r="R4528" s="22" t="s">
        <v>15978</v>
      </c>
      <c r="S4528" s="22" t="s">
        <v>435</v>
      </c>
      <c r="T4528" s="21" t="str">
        <f>HYPERLINK("https://miland.ru/api/getInfo/image/3a8c28e3-f187-11ee-a25b-00155d82e908")</f>
        <v>https://miland.ru/api/getInfo/image/3a8c28e3-f187-11ee-a25b-00155d82e908</v>
      </c>
      <c r="U4528" s="21"/>
      <c r="V4528" s="21" t="s">
        <v>15979</v>
      </c>
      <c r="W4528" s="21" t="s">
        <v>8246</v>
      </c>
      <c r="X4528" s="21"/>
      <c r="Y4528" s="21" t="s">
        <v>41</v>
      </c>
      <c r="Z4528" s="21"/>
      <c r="AA4528" s="21" t="str">
        <f>HYPERLINK("https://miland.ru/api/getInfo/item/3a8c28e3-f187-11ee-a25b-00155d82e908")</f>
        <v>https://miland.ru/api/getInfo/item/3a8c28e3-f187-11ee-a25b-00155d82e908</v>
      </c>
      <c r="AB4528" s="21" t="s">
        <v>50</v>
      </c>
      <c r="AC4528" s="21"/>
      <c r="AD4528" s="21"/>
    </row>
    <row r="4529" spans="2:30" s="1" customFormat="1" ht="96.3" customHeight="1" outlineLevel="6">
      <c r="B4529" s="57">
        <v>3622</v>
      </c>
      <c r="C4529" s="21" t="s">
        <v>15980</v>
      </c>
      <c r="D4529" s="72" t="s">
        <v>15981</v>
      </c>
      <c r="E4529" s="72"/>
      <c r="F4529" s="72"/>
      <c r="G4529" s="72"/>
      <c r="H4529" s="22" t="s">
        <v>15982</v>
      </c>
      <c r="I4529" s="27">
        <v>81</v>
      </c>
      <c r="J4529" s="22"/>
      <c r="K4529" s="20">
        <v>1</v>
      </c>
      <c r="L4529" s="32">
        <v>1481.3</v>
      </c>
      <c r="M4529" s="11"/>
      <c r="N4529" s="22">
        <f t="shared" si="227"/>
        <v>0</v>
      </c>
      <c r="O4529" s="25">
        <f>1.407*M4529</f>
        <v>0</v>
      </c>
      <c r="P4529" s="26">
        <f>0.00933*M4529</f>
        <v>0</v>
      </c>
      <c r="Q4529" s="30"/>
      <c r="R4529" s="22" t="s">
        <v>15983</v>
      </c>
      <c r="S4529" s="22" t="s">
        <v>435</v>
      </c>
      <c r="T4529" s="21" t="str">
        <f>HYPERLINK("https://miland.ru/api/getInfo/image/01cd38fb-f187-11ee-a25b-00155d82e908")</f>
        <v>https://miland.ru/api/getInfo/image/01cd38fb-f187-11ee-a25b-00155d82e908</v>
      </c>
      <c r="U4529" s="21"/>
      <c r="V4529" s="21" t="s">
        <v>15979</v>
      </c>
      <c r="W4529" s="21" t="s">
        <v>8246</v>
      </c>
      <c r="X4529" s="21"/>
      <c r="Y4529" s="21" t="s">
        <v>41</v>
      </c>
      <c r="Z4529" s="21"/>
      <c r="AA4529" s="21" t="str">
        <f>HYPERLINK("https://miland.ru/api/getInfo/item/01cd38fb-f187-11ee-a25b-00155d82e908")</f>
        <v>https://miland.ru/api/getInfo/item/01cd38fb-f187-11ee-a25b-00155d82e908</v>
      </c>
      <c r="AB4529" s="21" t="s">
        <v>50</v>
      </c>
      <c r="AC4529" s="21"/>
      <c r="AD4529" s="21"/>
    </row>
    <row r="4530" spans="2:30" s="1" customFormat="1" ht="96.3" customHeight="1" outlineLevel="6">
      <c r="B4530" s="57">
        <v>3623</v>
      </c>
      <c r="C4530" s="21" t="s">
        <v>15984</v>
      </c>
      <c r="D4530" s="72" t="s">
        <v>15985</v>
      </c>
      <c r="E4530" s="72"/>
      <c r="F4530" s="72"/>
      <c r="G4530" s="72"/>
      <c r="H4530" s="22" t="s">
        <v>15986</v>
      </c>
      <c r="I4530" s="27">
        <v>6</v>
      </c>
      <c r="J4530" s="22"/>
      <c r="K4530" s="20">
        <v>1</v>
      </c>
      <c r="L4530" s="32">
        <v>1481.3</v>
      </c>
      <c r="M4530" s="11"/>
      <c r="N4530" s="22">
        <f t="shared" si="227"/>
        <v>0</v>
      </c>
      <c r="O4530" s="25">
        <f>1.401*M4530</f>
        <v>0</v>
      </c>
      <c r="P4530" s="26">
        <f>0.00932*M4530</f>
        <v>0</v>
      </c>
      <c r="Q4530" s="30"/>
      <c r="R4530" s="22" t="s">
        <v>15987</v>
      </c>
      <c r="S4530" s="22" t="s">
        <v>435</v>
      </c>
      <c r="T4530" s="21" t="str">
        <f>HYPERLINK("https://miland.ru/api/getInfo/image/cd0f7e29-f186-11ee-a25b-00155d82e908")</f>
        <v>https://miland.ru/api/getInfo/image/cd0f7e29-f186-11ee-a25b-00155d82e908</v>
      </c>
      <c r="U4530" s="21"/>
      <c r="V4530" s="21" t="s">
        <v>15979</v>
      </c>
      <c r="W4530" s="21" t="s">
        <v>8246</v>
      </c>
      <c r="X4530" s="21"/>
      <c r="Y4530" s="21" t="s">
        <v>41</v>
      </c>
      <c r="Z4530" s="21"/>
      <c r="AA4530" s="21" t="str">
        <f>HYPERLINK("https://miland.ru/api/getInfo/item/cd0f7e29-f186-11ee-a25b-00155d82e908")</f>
        <v>https://miland.ru/api/getInfo/item/cd0f7e29-f186-11ee-a25b-00155d82e908</v>
      </c>
      <c r="AB4530" s="21" t="s">
        <v>50</v>
      </c>
      <c r="AC4530" s="21"/>
      <c r="AD4530" s="21"/>
    </row>
    <row r="4531" spans="2:30" s="1" customFormat="1" ht="96.3" customHeight="1" outlineLevel="6">
      <c r="B4531" s="57">
        <v>3624</v>
      </c>
      <c r="C4531" s="21" t="s">
        <v>15988</v>
      </c>
      <c r="D4531" s="72" t="s">
        <v>15989</v>
      </c>
      <c r="E4531" s="72"/>
      <c r="F4531" s="72"/>
      <c r="G4531" s="72"/>
      <c r="H4531" s="22" t="s">
        <v>15990</v>
      </c>
      <c r="I4531" s="27">
        <v>221</v>
      </c>
      <c r="J4531" s="22"/>
      <c r="K4531" s="20">
        <v>1</v>
      </c>
      <c r="L4531" s="32">
        <v>1481.3</v>
      </c>
      <c r="M4531" s="11"/>
      <c r="N4531" s="22">
        <f t="shared" si="227"/>
        <v>0</v>
      </c>
      <c r="O4531" s="28">
        <f>1.46*M4531</f>
        <v>0</v>
      </c>
      <c r="P4531" s="26">
        <f>0.00954*M4531</f>
        <v>0</v>
      </c>
      <c r="Q4531" s="30"/>
      <c r="R4531" s="22" t="s">
        <v>15991</v>
      </c>
      <c r="S4531" s="22" t="s">
        <v>435</v>
      </c>
      <c r="T4531" s="21" t="str">
        <f>HYPERLINK("https://miland.ru/api/getInfo/image/b56c94de-fb4f-11ef-a274-00155d82e908")</f>
        <v>https://miland.ru/api/getInfo/image/b56c94de-fb4f-11ef-a274-00155d82e908</v>
      </c>
      <c r="U4531" s="21"/>
      <c r="V4531" s="21" t="s">
        <v>15979</v>
      </c>
      <c r="W4531" s="21" t="s">
        <v>8246</v>
      </c>
      <c r="X4531" s="21"/>
      <c r="Y4531" s="21" t="s">
        <v>41</v>
      </c>
      <c r="Z4531" s="21"/>
      <c r="AA4531" s="21" t="str">
        <f>HYPERLINK("https://miland.ru/api/getInfo/item/b56c94de-fb4f-11ef-a274-00155d82e908")</f>
        <v>https://miland.ru/api/getInfo/item/b56c94de-fb4f-11ef-a274-00155d82e908</v>
      </c>
      <c r="AB4531" s="21" t="s">
        <v>50</v>
      </c>
      <c r="AC4531" s="21"/>
      <c r="AD4531" s="21"/>
    </row>
    <row r="4532" spans="2:30" s="1" customFormat="1" ht="96.3" customHeight="1" outlineLevel="6">
      <c r="B4532" s="57">
        <v>3625</v>
      </c>
      <c r="C4532" s="21" t="s">
        <v>15992</v>
      </c>
      <c r="D4532" s="72" t="s">
        <v>15993</v>
      </c>
      <c r="E4532" s="72"/>
      <c r="F4532" s="72"/>
      <c r="G4532" s="72"/>
      <c r="H4532" s="22" t="s">
        <v>15994</v>
      </c>
      <c r="I4532" s="27">
        <v>283</v>
      </c>
      <c r="J4532" s="22"/>
      <c r="K4532" s="20">
        <v>1</v>
      </c>
      <c r="L4532" s="32">
        <v>1481.3</v>
      </c>
      <c r="M4532" s="11"/>
      <c r="N4532" s="22">
        <f t="shared" si="227"/>
        <v>0</v>
      </c>
      <c r="O4532" s="28">
        <f>1.46*M4532</f>
        <v>0</v>
      </c>
      <c r="P4532" s="26">
        <f>0.00954*M4532</f>
        <v>0</v>
      </c>
      <c r="Q4532" s="30"/>
      <c r="R4532" s="22" t="s">
        <v>15995</v>
      </c>
      <c r="S4532" s="22" t="s">
        <v>435</v>
      </c>
      <c r="T4532" s="21" t="str">
        <f>HYPERLINK("https://miland.ru/api/getInfo/image/7cc59633-fb2a-11ef-a274-00155d82e908")</f>
        <v>https://miland.ru/api/getInfo/image/7cc59633-fb2a-11ef-a274-00155d82e908</v>
      </c>
      <c r="U4532" s="21"/>
      <c r="V4532" s="21" t="s">
        <v>15979</v>
      </c>
      <c r="W4532" s="21" t="s">
        <v>8246</v>
      </c>
      <c r="X4532" s="21"/>
      <c r="Y4532" s="21" t="s">
        <v>41</v>
      </c>
      <c r="Z4532" s="21"/>
      <c r="AA4532" s="21" t="str">
        <f>HYPERLINK("https://miland.ru/api/getInfo/item/7cc59633-fb2a-11ef-a274-00155d82e908")</f>
        <v>https://miland.ru/api/getInfo/item/7cc59633-fb2a-11ef-a274-00155d82e908</v>
      </c>
      <c r="AB4532" s="21" t="s">
        <v>50</v>
      </c>
      <c r="AC4532" s="21"/>
      <c r="AD4532" s="21"/>
    </row>
    <row r="4533" spans="2:30" s="1" customFormat="1" ht="96.3" customHeight="1" outlineLevel="6">
      <c r="B4533" s="57">
        <v>3626</v>
      </c>
      <c r="C4533" s="21" t="s">
        <v>15996</v>
      </c>
      <c r="D4533" s="72" t="s">
        <v>15997</v>
      </c>
      <c r="E4533" s="72"/>
      <c r="F4533" s="72"/>
      <c r="G4533" s="72"/>
      <c r="H4533" s="22" t="s">
        <v>15998</v>
      </c>
      <c r="I4533" s="27">
        <v>246</v>
      </c>
      <c r="J4533" s="22"/>
      <c r="K4533" s="20">
        <v>1</v>
      </c>
      <c r="L4533" s="32">
        <v>1481.3</v>
      </c>
      <c r="M4533" s="11"/>
      <c r="N4533" s="22">
        <f t="shared" si="227"/>
        <v>0</v>
      </c>
      <c r="O4533" s="25">
        <f>0.437*M4533</f>
        <v>0</v>
      </c>
      <c r="P4533" s="26">
        <f>0.00455*M4533</f>
        <v>0</v>
      </c>
      <c r="Q4533" s="30"/>
      <c r="R4533" s="22" t="s">
        <v>15999</v>
      </c>
      <c r="S4533" s="22" t="s">
        <v>435</v>
      </c>
      <c r="T4533" s="21" t="str">
        <f>HYPERLINK("https://miland.ru/api/getInfo/image/ba744012-fb4c-11ef-a274-00155d82e908")</f>
        <v>https://miland.ru/api/getInfo/image/ba744012-fb4c-11ef-a274-00155d82e908</v>
      </c>
      <c r="U4533" s="21"/>
      <c r="V4533" s="21" t="s">
        <v>15979</v>
      </c>
      <c r="W4533" s="21" t="s">
        <v>8246</v>
      </c>
      <c r="X4533" s="21"/>
      <c r="Y4533" s="21" t="s">
        <v>41</v>
      </c>
      <c r="Z4533" s="21"/>
      <c r="AA4533" s="21" t="str">
        <f>HYPERLINK("https://miland.ru/api/getInfo/item/ba744012-fb4c-11ef-a274-00155d82e908")</f>
        <v>https://miland.ru/api/getInfo/item/ba744012-fb4c-11ef-a274-00155d82e908</v>
      </c>
      <c r="AB4533" s="21" t="s">
        <v>50</v>
      </c>
      <c r="AC4533" s="21"/>
      <c r="AD4533" s="21"/>
    </row>
    <row r="4534" spans="2:30" s="1" customFormat="1" ht="96.3" customHeight="1" outlineLevel="6">
      <c r="B4534" s="57">
        <v>3627</v>
      </c>
      <c r="C4534" s="21" t="s">
        <v>16000</v>
      </c>
      <c r="D4534" s="72" t="s">
        <v>16001</v>
      </c>
      <c r="E4534" s="72"/>
      <c r="F4534" s="72"/>
      <c r="G4534" s="72"/>
      <c r="H4534" s="22" t="s">
        <v>16002</v>
      </c>
      <c r="I4534" s="27">
        <v>208</v>
      </c>
      <c r="J4534" s="22"/>
      <c r="K4534" s="20">
        <v>1</v>
      </c>
      <c r="L4534" s="32">
        <v>1481.3</v>
      </c>
      <c r="M4534" s="11"/>
      <c r="N4534" s="22">
        <f t="shared" si="227"/>
        <v>0</v>
      </c>
      <c r="O4534" s="28">
        <f>1.46*M4534</f>
        <v>0</v>
      </c>
      <c r="P4534" s="26">
        <f>0.00954*M4534</f>
        <v>0</v>
      </c>
      <c r="Q4534" s="30"/>
      <c r="R4534" s="22" t="s">
        <v>16003</v>
      </c>
      <c r="S4534" s="22" t="s">
        <v>435</v>
      </c>
      <c r="T4534" s="21" t="str">
        <f>HYPERLINK("https://miland.ru/api/getInfo/image/98402e5d-fb4e-11ef-a274-00155d82e908")</f>
        <v>https://miland.ru/api/getInfo/image/98402e5d-fb4e-11ef-a274-00155d82e908</v>
      </c>
      <c r="U4534" s="21"/>
      <c r="V4534" s="21" t="s">
        <v>15979</v>
      </c>
      <c r="W4534" s="21" t="s">
        <v>8246</v>
      </c>
      <c r="X4534" s="21"/>
      <c r="Y4534" s="21" t="s">
        <v>41</v>
      </c>
      <c r="Z4534" s="21"/>
      <c r="AA4534" s="21" t="str">
        <f>HYPERLINK("https://miland.ru/api/getInfo/item/98402e5d-fb4e-11ef-a274-00155d82e908")</f>
        <v>https://miland.ru/api/getInfo/item/98402e5d-fb4e-11ef-a274-00155d82e908</v>
      </c>
      <c r="AB4534" s="21" t="s">
        <v>50</v>
      </c>
      <c r="AC4534" s="21"/>
      <c r="AD4534" s="21"/>
    </row>
    <row r="4535" spans="2:30" s="1" customFormat="1" ht="96.3" customHeight="1" outlineLevel="6">
      <c r="B4535" s="57">
        <v>3628</v>
      </c>
      <c r="C4535" s="21" t="s">
        <v>16004</v>
      </c>
      <c r="D4535" s="72" t="s">
        <v>16005</v>
      </c>
      <c r="E4535" s="72"/>
      <c r="F4535" s="72"/>
      <c r="G4535" s="72"/>
      <c r="H4535" s="22" t="s">
        <v>16006</v>
      </c>
      <c r="I4535" s="27">
        <v>315</v>
      </c>
      <c r="J4535" s="22"/>
      <c r="K4535" s="20">
        <v>1</v>
      </c>
      <c r="L4535" s="32">
        <v>1481.3</v>
      </c>
      <c r="M4535" s="11"/>
      <c r="N4535" s="22">
        <f t="shared" si="227"/>
        <v>0</v>
      </c>
      <c r="O4535" s="28">
        <f>1.46*M4535</f>
        <v>0</v>
      </c>
      <c r="P4535" s="26">
        <f>0.00954*M4535</f>
        <v>0</v>
      </c>
      <c r="Q4535" s="30"/>
      <c r="R4535" s="22" t="s">
        <v>16007</v>
      </c>
      <c r="S4535" s="22" t="s">
        <v>435</v>
      </c>
      <c r="T4535" s="21" t="str">
        <f>HYPERLINK("https://miland.ru/api/getInfo/image/33cd6660-fb4f-11ef-a274-00155d82e908")</f>
        <v>https://miland.ru/api/getInfo/image/33cd6660-fb4f-11ef-a274-00155d82e908</v>
      </c>
      <c r="U4535" s="21"/>
      <c r="V4535" s="21" t="s">
        <v>15979</v>
      </c>
      <c r="W4535" s="21" t="s">
        <v>8246</v>
      </c>
      <c r="X4535" s="21"/>
      <c r="Y4535" s="21" t="s">
        <v>41</v>
      </c>
      <c r="Z4535" s="21"/>
      <c r="AA4535" s="21" t="str">
        <f>HYPERLINK("https://miland.ru/api/getInfo/item/33cd6660-fb4f-11ef-a274-00155d82e908")</f>
        <v>https://miland.ru/api/getInfo/item/33cd6660-fb4f-11ef-a274-00155d82e908</v>
      </c>
      <c r="AB4535" s="21" t="s">
        <v>50</v>
      </c>
      <c r="AC4535" s="21"/>
      <c r="AD4535" s="21"/>
    </row>
    <row r="4536" spans="2:30" s="1" customFormat="1" ht="96.3" customHeight="1" outlineLevel="6">
      <c r="B4536" s="57">
        <v>3629</v>
      </c>
      <c r="C4536" s="21" t="s">
        <v>16008</v>
      </c>
      <c r="D4536" s="72" t="s">
        <v>16009</v>
      </c>
      <c r="E4536" s="72"/>
      <c r="F4536" s="72"/>
      <c r="G4536" s="72"/>
      <c r="H4536" s="22" t="s">
        <v>16010</v>
      </c>
      <c r="I4536" s="27">
        <v>243</v>
      </c>
      <c r="J4536" s="22"/>
      <c r="K4536" s="20">
        <v>1</v>
      </c>
      <c r="L4536" s="32">
        <v>1481.3</v>
      </c>
      <c r="M4536" s="11"/>
      <c r="N4536" s="22">
        <f t="shared" si="227"/>
        <v>0</v>
      </c>
      <c r="O4536" s="25">
        <f>0.437*M4536</f>
        <v>0</v>
      </c>
      <c r="P4536" s="26">
        <f>0.00455*M4536</f>
        <v>0</v>
      </c>
      <c r="Q4536" s="30"/>
      <c r="R4536" s="22" t="s">
        <v>16011</v>
      </c>
      <c r="S4536" s="22" t="s">
        <v>435</v>
      </c>
      <c r="T4536" s="21" t="str">
        <f>HYPERLINK("https://miland.ru/api/getInfo/image/3560d401-fb2d-11ef-a274-00155d82e908")</f>
        <v>https://miland.ru/api/getInfo/image/3560d401-fb2d-11ef-a274-00155d82e908</v>
      </c>
      <c r="U4536" s="21"/>
      <c r="V4536" s="21" t="s">
        <v>15979</v>
      </c>
      <c r="W4536" s="21" t="s">
        <v>8246</v>
      </c>
      <c r="X4536" s="21"/>
      <c r="Y4536" s="21" t="s">
        <v>41</v>
      </c>
      <c r="Z4536" s="21"/>
      <c r="AA4536" s="21" t="str">
        <f>HYPERLINK("https://miland.ru/api/getInfo/item/3560d401-fb2d-11ef-a274-00155d82e908")</f>
        <v>https://miland.ru/api/getInfo/item/3560d401-fb2d-11ef-a274-00155d82e908</v>
      </c>
      <c r="AB4536" s="21" t="s">
        <v>50</v>
      </c>
      <c r="AC4536" s="21"/>
      <c r="AD4536" s="21"/>
    </row>
    <row r="4537" spans="2:30" s="1" customFormat="1" ht="96.3" customHeight="1" outlineLevel="6">
      <c r="B4537" s="57">
        <v>3630</v>
      </c>
      <c r="C4537" s="21" t="s">
        <v>16012</v>
      </c>
      <c r="D4537" s="72" t="s">
        <v>16013</v>
      </c>
      <c r="E4537" s="72"/>
      <c r="F4537" s="72"/>
      <c r="G4537" s="72"/>
      <c r="H4537" s="22" t="s">
        <v>16014</v>
      </c>
      <c r="I4537" s="27">
        <v>228</v>
      </c>
      <c r="J4537" s="22"/>
      <c r="K4537" s="20">
        <v>1</v>
      </c>
      <c r="L4537" s="32">
        <v>1481.3</v>
      </c>
      <c r="M4537" s="11"/>
      <c r="N4537" s="22">
        <f t="shared" si="227"/>
        <v>0</v>
      </c>
      <c r="O4537" s="28">
        <f>1.46*M4537</f>
        <v>0</v>
      </c>
      <c r="P4537" s="26">
        <f>0.00954*M4537</f>
        <v>0</v>
      </c>
      <c r="Q4537" s="30"/>
      <c r="R4537" s="22" t="s">
        <v>16015</v>
      </c>
      <c r="S4537" s="22" t="s">
        <v>435</v>
      </c>
      <c r="T4537" s="21" t="str">
        <f>HYPERLINK("https://miland.ru/api/getInfo/image/c111dc1a-fb2c-11ef-a274-00155d82e908")</f>
        <v>https://miland.ru/api/getInfo/image/c111dc1a-fb2c-11ef-a274-00155d82e908</v>
      </c>
      <c r="U4537" s="21"/>
      <c r="V4537" s="21" t="s">
        <v>15979</v>
      </c>
      <c r="W4537" s="21" t="s">
        <v>8246</v>
      </c>
      <c r="X4537" s="21"/>
      <c r="Y4537" s="21" t="s">
        <v>41</v>
      </c>
      <c r="Z4537" s="21"/>
      <c r="AA4537" s="21" t="str">
        <f>HYPERLINK("https://miland.ru/api/getInfo/item/c111dc1a-fb2c-11ef-a274-00155d82e908")</f>
        <v>https://miland.ru/api/getInfo/item/c111dc1a-fb2c-11ef-a274-00155d82e908</v>
      </c>
      <c r="AB4537" s="21" t="s">
        <v>50</v>
      </c>
      <c r="AC4537" s="21"/>
      <c r="AD4537" s="21"/>
    </row>
    <row r="4538" spans="2:30" s="1" customFormat="1" ht="96.3" customHeight="1" outlineLevel="6">
      <c r="B4538" s="57">
        <v>3631</v>
      </c>
      <c r="C4538" s="21" t="s">
        <v>16016</v>
      </c>
      <c r="D4538" s="72" t="s">
        <v>16017</v>
      </c>
      <c r="E4538" s="72"/>
      <c r="F4538" s="72"/>
      <c r="G4538" s="72"/>
      <c r="H4538" s="22" t="s">
        <v>16018</v>
      </c>
      <c r="I4538" s="27">
        <v>175</v>
      </c>
      <c r="J4538" s="22"/>
      <c r="K4538" s="20">
        <v>1</v>
      </c>
      <c r="L4538" s="32">
        <v>1481.3</v>
      </c>
      <c r="M4538" s="11"/>
      <c r="N4538" s="22">
        <f t="shared" si="227"/>
        <v>0</v>
      </c>
      <c r="O4538" s="25">
        <f>0.437*M4538</f>
        <v>0</v>
      </c>
      <c r="P4538" s="26">
        <f>0.00455*M4538</f>
        <v>0</v>
      </c>
      <c r="Q4538" s="30"/>
      <c r="R4538" s="22" t="s">
        <v>16019</v>
      </c>
      <c r="S4538" s="22" t="s">
        <v>435</v>
      </c>
      <c r="T4538" s="21" t="str">
        <f>HYPERLINK("https://miland.ru/api/getInfo/image/3a5e7724-fb2c-11ef-a274-00155d82e908")</f>
        <v>https://miland.ru/api/getInfo/image/3a5e7724-fb2c-11ef-a274-00155d82e908</v>
      </c>
      <c r="U4538" s="21"/>
      <c r="V4538" s="21" t="s">
        <v>15979</v>
      </c>
      <c r="W4538" s="21" t="s">
        <v>8246</v>
      </c>
      <c r="X4538" s="21"/>
      <c r="Y4538" s="21" t="s">
        <v>41</v>
      </c>
      <c r="Z4538" s="21"/>
      <c r="AA4538" s="21" t="str">
        <f>HYPERLINK("https://miland.ru/api/getInfo/item/3a5e7724-fb2c-11ef-a274-00155d82e908")</f>
        <v>https://miland.ru/api/getInfo/item/3a5e7724-fb2c-11ef-a274-00155d82e908</v>
      </c>
      <c r="AB4538" s="21" t="s">
        <v>50</v>
      </c>
      <c r="AC4538" s="21"/>
      <c r="AD4538" s="21"/>
    </row>
    <row r="4539" spans="2:30" s="1" customFormat="1" ht="96.3" customHeight="1" outlineLevel="6">
      <c r="B4539" s="57">
        <v>3632</v>
      </c>
      <c r="C4539" s="21" t="s">
        <v>16020</v>
      </c>
      <c r="D4539" s="72" t="s">
        <v>16021</v>
      </c>
      <c r="E4539" s="72"/>
      <c r="F4539" s="72"/>
      <c r="G4539" s="72"/>
      <c r="H4539" s="22" t="s">
        <v>16022</v>
      </c>
      <c r="I4539" s="27">
        <v>293</v>
      </c>
      <c r="J4539" s="22"/>
      <c r="K4539" s="20">
        <v>1</v>
      </c>
      <c r="L4539" s="32">
        <v>1481.3</v>
      </c>
      <c r="M4539" s="11"/>
      <c r="N4539" s="22">
        <f t="shared" si="227"/>
        <v>0</v>
      </c>
      <c r="O4539" s="28">
        <f>1.46*M4539</f>
        <v>0</v>
      </c>
      <c r="P4539" s="26">
        <f>0.00954*M4539</f>
        <v>0</v>
      </c>
      <c r="Q4539" s="30"/>
      <c r="R4539" s="22" t="s">
        <v>16023</v>
      </c>
      <c r="S4539" s="22" t="s">
        <v>435</v>
      </c>
      <c r="T4539" s="21" t="str">
        <f>HYPERLINK("https://miland.ru/api/getInfo/image/236549ce-fb4e-11ef-a274-00155d82e908")</f>
        <v>https://miland.ru/api/getInfo/image/236549ce-fb4e-11ef-a274-00155d82e908</v>
      </c>
      <c r="U4539" s="21"/>
      <c r="V4539" s="21" t="s">
        <v>15979</v>
      </c>
      <c r="W4539" s="21" t="s">
        <v>8246</v>
      </c>
      <c r="X4539" s="21"/>
      <c r="Y4539" s="21" t="s">
        <v>41</v>
      </c>
      <c r="Z4539" s="21"/>
      <c r="AA4539" s="21" t="str">
        <f>HYPERLINK("https://miland.ru/api/getInfo/item/236549ce-fb4e-11ef-a274-00155d82e908")</f>
        <v>https://miland.ru/api/getInfo/item/236549ce-fb4e-11ef-a274-00155d82e908</v>
      </c>
      <c r="AB4539" s="21" t="s">
        <v>50</v>
      </c>
      <c r="AC4539" s="21"/>
      <c r="AD4539" s="21"/>
    </row>
    <row r="4540" spans="2:30" s="1" customFormat="1" ht="96.3" customHeight="1" outlineLevel="6">
      <c r="B4540" s="57">
        <v>3633</v>
      </c>
      <c r="C4540" s="21" t="s">
        <v>16024</v>
      </c>
      <c r="D4540" s="72" t="s">
        <v>16025</v>
      </c>
      <c r="E4540" s="72"/>
      <c r="F4540" s="72"/>
      <c r="G4540" s="72"/>
      <c r="H4540" s="22" t="s">
        <v>16026</v>
      </c>
      <c r="I4540" s="27">
        <v>268</v>
      </c>
      <c r="J4540" s="22"/>
      <c r="K4540" s="20">
        <v>1</v>
      </c>
      <c r="L4540" s="32">
        <v>1481.3</v>
      </c>
      <c r="M4540" s="11"/>
      <c r="N4540" s="22">
        <f t="shared" si="227"/>
        <v>0</v>
      </c>
      <c r="O4540" s="25">
        <f>1.428*M4540</f>
        <v>0</v>
      </c>
      <c r="P4540" s="26">
        <f>0.00867*M4540</f>
        <v>0</v>
      </c>
      <c r="Q4540" s="30"/>
      <c r="R4540" s="22" t="s">
        <v>16027</v>
      </c>
      <c r="S4540" s="22" t="s">
        <v>435</v>
      </c>
      <c r="T4540" s="21" t="str">
        <f>HYPERLINK("https://miland.ru/api/getInfo/image/a31b3c2b-fb4d-11ef-a274-00155d82e908")</f>
        <v>https://miland.ru/api/getInfo/image/a31b3c2b-fb4d-11ef-a274-00155d82e908</v>
      </c>
      <c r="U4540" s="21"/>
      <c r="V4540" s="21" t="s">
        <v>15979</v>
      </c>
      <c r="W4540" s="21" t="s">
        <v>8246</v>
      </c>
      <c r="X4540" s="21"/>
      <c r="Y4540" s="21" t="s">
        <v>41</v>
      </c>
      <c r="Z4540" s="21"/>
      <c r="AA4540" s="21" t="str">
        <f>HYPERLINK("https://miland.ru/api/getInfo/item/a31b3c2b-fb4d-11ef-a274-00155d82e908")</f>
        <v>https://miland.ru/api/getInfo/item/a31b3c2b-fb4d-11ef-a274-00155d82e908</v>
      </c>
      <c r="AB4540" s="21" t="s">
        <v>50</v>
      </c>
      <c r="AC4540" s="21"/>
      <c r="AD4540" s="21"/>
    </row>
    <row r="4541" spans="2:30" s="1" customFormat="1" ht="96.3" customHeight="1" outlineLevel="6">
      <c r="B4541" s="57">
        <v>3634</v>
      </c>
      <c r="C4541" s="21" t="s">
        <v>16028</v>
      </c>
      <c r="D4541" s="72" t="s">
        <v>16029</v>
      </c>
      <c r="E4541" s="72"/>
      <c r="F4541" s="72"/>
      <c r="G4541" s="72"/>
      <c r="H4541" s="22" t="s">
        <v>16030</v>
      </c>
      <c r="I4541" s="27">
        <v>202</v>
      </c>
      <c r="J4541" s="22"/>
      <c r="K4541" s="20">
        <v>1</v>
      </c>
      <c r="L4541" s="32">
        <v>1481.3</v>
      </c>
      <c r="M4541" s="11"/>
      <c r="N4541" s="22">
        <f t="shared" si="227"/>
        <v>0</v>
      </c>
      <c r="O4541" s="28">
        <f>1.46*M4541</f>
        <v>0</v>
      </c>
      <c r="P4541" s="26">
        <f>0.00954*M4541</f>
        <v>0</v>
      </c>
      <c r="Q4541" s="30"/>
      <c r="R4541" s="22" t="s">
        <v>16031</v>
      </c>
      <c r="S4541" s="22" t="s">
        <v>435</v>
      </c>
      <c r="T4541" s="21" t="str">
        <f>HYPERLINK("https://miland.ru/api/getInfo/image/2c8a1775-fb50-11ef-a274-00155d82e908")</f>
        <v>https://miland.ru/api/getInfo/image/2c8a1775-fb50-11ef-a274-00155d82e908</v>
      </c>
      <c r="U4541" s="21"/>
      <c r="V4541" s="21" t="s">
        <v>15979</v>
      </c>
      <c r="W4541" s="21" t="s">
        <v>8246</v>
      </c>
      <c r="X4541" s="21"/>
      <c r="Y4541" s="21" t="s">
        <v>41</v>
      </c>
      <c r="Z4541" s="21"/>
      <c r="AA4541" s="21" t="str">
        <f>HYPERLINK("https://miland.ru/api/getInfo/item/2c8a1775-fb50-11ef-a274-00155d82e908")</f>
        <v>https://miland.ru/api/getInfo/item/2c8a1775-fb50-11ef-a274-00155d82e908</v>
      </c>
      <c r="AB4541" s="21" t="s">
        <v>50</v>
      </c>
      <c r="AC4541" s="21"/>
      <c r="AD4541" s="21"/>
    </row>
    <row r="4542" spans="2:30" s="1" customFormat="1" ht="96.3" customHeight="1" outlineLevel="6">
      <c r="B4542" s="57">
        <v>3635</v>
      </c>
      <c r="C4542" s="21" t="s">
        <v>16032</v>
      </c>
      <c r="D4542" s="72" t="s">
        <v>16033</v>
      </c>
      <c r="E4542" s="72"/>
      <c r="F4542" s="72"/>
      <c r="G4542" s="72"/>
      <c r="H4542" s="22" t="s">
        <v>16034</v>
      </c>
      <c r="I4542" s="27">
        <v>228</v>
      </c>
      <c r="J4542" s="22"/>
      <c r="K4542" s="20">
        <v>1</v>
      </c>
      <c r="L4542" s="32">
        <v>1481.3</v>
      </c>
      <c r="M4542" s="11"/>
      <c r="N4542" s="22">
        <f t="shared" si="227"/>
        <v>0</v>
      </c>
      <c r="O4542" s="28">
        <f>1.46*M4542</f>
        <v>0</v>
      </c>
      <c r="P4542" s="26">
        <f>0.00954*M4542</f>
        <v>0</v>
      </c>
      <c r="Q4542" s="30"/>
      <c r="R4542" s="22" t="s">
        <v>16035</v>
      </c>
      <c r="S4542" s="22" t="s">
        <v>435</v>
      </c>
      <c r="T4542" s="21" t="str">
        <f>HYPERLINK("https://miland.ru/api/getInfo/image/38cab838-fb4d-11ef-a274-00155d82e908")</f>
        <v>https://miland.ru/api/getInfo/image/38cab838-fb4d-11ef-a274-00155d82e908</v>
      </c>
      <c r="U4542" s="21"/>
      <c r="V4542" s="21" t="s">
        <v>15979</v>
      </c>
      <c r="W4542" s="21" t="s">
        <v>8246</v>
      </c>
      <c r="X4542" s="21"/>
      <c r="Y4542" s="21" t="s">
        <v>41</v>
      </c>
      <c r="Z4542" s="21"/>
      <c r="AA4542" s="21" t="str">
        <f>HYPERLINK("https://miland.ru/api/getInfo/item/38cab838-fb4d-11ef-a274-00155d82e908")</f>
        <v>https://miland.ru/api/getInfo/item/38cab838-fb4d-11ef-a274-00155d82e908</v>
      </c>
      <c r="AB4542" s="21" t="s">
        <v>50</v>
      </c>
      <c r="AC4542" s="21"/>
      <c r="AD4542" s="21"/>
    </row>
    <row r="4543" spans="2:30" s="1" customFormat="1" ht="96.3" customHeight="1" outlineLevel="6">
      <c r="B4543" s="57">
        <v>3636</v>
      </c>
      <c r="C4543" s="21" t="s">
        <v>16036</v>
      </c>
      <c r="D4543" s="72" t="s">
        <v>16037</v>
      </c>
      <c r="E4543" s="72"/>
      <c r="F4543" s="72"/>
      <c r="G4543" s="72"/>
      <c r="H4543" s="22" t="s">
        <v>16038</v>
      </c>
      <c r="I4543" s="27">
        <v>301</v>
      </c>
      <c r="J4543" s="22"/>
      <c r="K4543" s="20">
        <v>1</v>
      </c>
      <c r="L4543" s="32">
        <v>1481.3</v>
      </c>
      <c r="M4543" s="11"/>
      <c r="N4543" s="22">
        <f t="shared" si="227"/>
        <v>0</v>
      </c>
      <c r="O4543" s="28">
        <f>1.46*M4543</f>
        <v>0</v>
      </c>
      <c r="P4543" s="26">
        <f>0.00954*M4543</f>
        <v>0</v>
      </c>
      <c r="Q4543" s="30"/>
      <c r="R4543" s="22" t="s">
        <v>16039</v>
      </c>
      <c r="S4543" s="22" t="s">
        <v>435</v>
      </c>
      <c r="T4543" s="21" t="str">
        <f>HYPERLINK("https://miland.ru/api/getInfo/image/44ecb0bc-fb2b-11ef-a274-00155d82e908")</f>
        <v>https://miland.ru/api/getInfo/image/44ecb0bc-fb2b-11ef-a274-00155d82e908</v>
      </c>
      <c r="U4543" s="21"/>
      <c r="V4543" s="21" t="s">
        <v>15979</v>
      </c>
      <c r="W4543" s="21" t="s">
        <v>8246</v>
      </c>
      <c r="X4543" s="21"/>
      <c r="Y4543" s="21" t="s">
        <v>41</v>
      </c>
      <c r="Z4543" s="21"/>
      <c r="AA4543" s="21" t="str">
        <f>HYPERLINK("https://miland.ru/api/getInfo/item/44ecb0bc-fb2b-11ef-a274-00155d82e908")</f>
        <v>https://miland.ru/api/getInfo/item/44ecb0bc-fb2b-11ef-a274-00155d82e908</v>
      </c>
      <c r="AB4543" s="21" t="s">
        <v>50</v>
      </c>
      <c r="AC4543" s="21"/>
      <c r="AD4543" s="21"/>
    </row>
    <row r="4544" spans="2:30" s="1" customFormat="1" ht="96.3" customHeight="1" outlineLevel="6">
      <c r="B4544" s="57">
        <v>3637</v>
      </c>
      <c r="C4544" s="21" t="s">
        <v>16040</v>
      </c>
      <c r="D4544" s="72" t="s">
        <v>16041</v>
      </c>
      <c r="E4544" s="72"/>
      <c r="F4544" s="72"/>
      <c r="G4544" s="72"/>
      <c r="H4544" s="22" t="s">
        <v>16042</v>
      </c>
      <c r="I4544" s="27">
        <v>270</v>
      </c>
      <c r="J4544" s="22"/>
      <c r="K4544" s="20">
        <v>1</v>
      </c>
      <c r="L4544" s="32">
        <v>1481.3</v>
      </c>
      <c r="M4544" s="11"/>
      <c r="N4544" s="22">
        <f t="shared" si="227"/>
        <v>0</v>
      </c>
      <c r="O4544" s="28">
        <f>1.46*M4544</f>
        <v>0</v>
      </c>
      <c r="P4544" s="26">
        <f>0.00954*M4544</f>
        <v>0</v>
      </c>
      <c r="Q4544" s="30"/>
      <c r="R4544" s="22" t="s">
        <v>16043</v>
      </c>
      <c r="S4544" s="22" t="s">
        <v>435</v>
      </c>
      <c r="T4544" s="21" t="str">
        <f>HYPERLINK("https://miland.ru/api/getInfo/image/c1a8f6cf-fb2b-11ef-a274-00155d82e908")</f>
        <v>https://miland.ru/api/getInfo/image/c1a8f6cf-fb2b-11ef-a274-00155d82e908</v>
      </c>
      <c r="U4544" s="21"/>
      <c r="V4544" s="21" t="s">
        <v>15979</v>
      </c>
      <c r="W4544" s="21" t="s">
        <v>8246</v>
      </c>
      <c r="X4544" s="21"/>
      <c r="Y4544" s="21" t="s">
        <v>41</v>
      </c>
      <c r="Z4544" s="21"/>
      <c r="AA4544" s="21" t="str">
        <f>HYPERLINK("https://miland.ru/api/getInfo/item/c1a8f6cf-fb2b-11ef-a274-00155d82e908")</f>
        <v>https://miland.ru/api/getInfo/item/c1a8f6cf-fb2b-11ef-a274-00155d82e908</v>
      </c>
      <c r="AB4544" s="21" t="s">
        <v>50</v>
      </c>
      <c r="AC4544" s="21"/>
      <c r="AD4544" s="21"/>
    </row>
    <row r="4545" spans="2:31" ht="12" customHeight="1" outlineLevel="5">
      <c r="B4545" s="70" t="s">
        <v>16044</v>
      </c>
      <c r="C4545" s="70"/>
      <c r="D4545" s="70"/>
      <c r="E4545" s="70"/>
      <c r="F4545" s="70"/>
      <c r="G4545" s="70"/>
    </row>
    <row r="4546" spans="2:31" s="1" customFormat="1" ht="96.3" customHeight="1" outlineLevel="6">
      <c r="B4546" s="59">
        <v>3638</v>
      </c>
      <c r="C4546" s="35" t="s">
        <v>16045</v>
      </c>
      <c r="D4546" s="73" t="s">
        <v>16046</v>
      </c>
      <c r="E4546" s="73"/>
      <c r="F4546" s="73"/>
      <c r="G4546" s="73"/>
      <c r="H4546" s="36" t="s">
        <v>16047</v>
      </c>
      <c r="I4546" s="40">
        <v>23</v>
      </c>
      <c r="J4546" s="36"/>
      <c r="K4546" s="34">
        <v>1</v>
      </c>
      <c r="L4546" s="41">
        <v>1656.8666666666668</v>
      </c>
      <c r="M4546" s="11"/>
      <c r="N4546" s="36">
        <f t="shared" ref="N4546:N4557" si="228">L4546*M4546</f>
        <v>0</v>
      </c>
      <c r="O4546" s="42">
        <f>3.759*M4546</f>
        <v>0</v>
      </c>
      <c r="P4546" s="43">
        <f>0.01868*M4546</f>
        <v>0</v>
      </c>
      <c r="Q4546" s="50"/>
      <c r="R4546" s="36" t="s">
        <v>16048</v>
      </c>
      <c r="S4546" s="36" t="s">
        <v>435</v>
      </c>
      <c r="T4546" s="35" t="str">
        <f>HYPERLINK("https://miland.ru/api/getInfo/image/54e0be80-21b8-11f0-a279-00155d82e908")</f>
        <v>https://miland.ru/api/getInfo/image/54e0be80-21b8-11f0-a279-00155d82e908</v>
      </c>
      <c r="U4546" s="35"/>
      <c r="V4546" s="35" t="s">
        <v>15979</v>
      </c>
      <c r="W4546" s="35" t="s">
        <v>8246</v>
      </c>
      <c r="X4546" s="35"/>
      <c r="Y4546" s="35" t="s">
        <v>41</v>
      </c>
      <c r="Z4546" s="35"/>
      <c r="AA4546" s="35" t="str">
        <f>HYPERLINK("https://miland.ru/api/getInfo/item/54e0be80-21b8-11f0-a279-00155d82e908")</f>
        <v>https://miland.ru/api/getInfo/item/54e0be80-21b8-11f0-a279-00155d82e908</v>
      </c>
      <c r="AB4546" s="35" t="s">
        <v>42</v>
      </c>
      <c r="AC4546" s="35"/>
      <c r="AD4546" s="35"/>
      <c r="AE4546" s="52" t="s">
        <v>9152</v>
      </c>
    </row>
    <row r="4547" spans="2:31" s="1" customFormat="1" ht="96.3" customHeight="1" outlineLevel="6">
      <c r="B4547" s="57">
        <v>3639</v>
      </c>
      <c r="C4547" s="21" t="s">
        <v>16049</v>
      </c>
      <c r="D4547" s="72" t="s">
        <v>16050</v>
      </c>
      <c r="E4547" s="72"/>
      <c r="F4547" s="72"/>
      <c r="G4547" s="72"/>
      <c r="H4547" s="22" t="s">
        <v>16051</v>
      </c>
      <c r="I4547" s="27">
        <v>8</v>
      </c>
      <c r="J4547" s="22"/>
      <c r="K4547" s="20">
        <v>1</v>
      </c>
      <c r="L4547" s="32">
        <v>2386.25</v>
      </c>
      <c r="M4547" s="11"/>
      <c r="N4547" s="22">
        <f t="shared" si="228"/>
        <v>0</v>
      </c>
      <c r="O4547" s="25">
        <f>3.714*M4547</f>
        <v>0</v>
      </c>
      <c r="P4547" s="26">
        <f>0.01763*M4547</f>
        <v>0</v>
      </c>
      <c r="Q4547" s="30"/>
      <c r="R4547" s="22" t="s">
        <v>16052</v>
      </c>
      <c r="S4547" s="22" t="s">
        <v>435</v>
      </c>
      <c r="T4547" s="21" t="str">
        <f>HYPERLINK("https://miland.ru/api/getInfo/image/5da239dd-21b9-11f0-a279-00155d82e908")</f>
        <v>https://miland.ru/api/getInfo/image/5da239dd-21b9-11f0-a279-00155d82e908</v>
      </c>
      <c r="U4547" s="21"/>
      <c r="V4547" s="21" t="s">
        <v>15979</v>
      </c>
      <c r="W4547" s="21" t="s">
        <v>8246</v>
      </c>
      <c r="X4547" s="21"/>
      <c r="Y4547" s="21" t="s">
        <v>41</v>
      </c>
      <c r="Z4547" s="21"/>
      <c r="AA4547" s="21" t="str">
        <f>HYPERLINK("https://miland.ru/api/getInfo/item/5da239dd-21b9-11f0-a279-00155d82e908")</f>
        <v>https://miland.ru/api/getInfo/item/5da239dd-21b9-11f0-a279-00155d82e908</v>
      </c>
      <c r="AB4547" s="21" t="s">
        <v>42</v>
      </c>
      <c r="AC4547" s="21"/>
      <c r="AD4547" s="21"/>
    </row>
    <row r="4548" spans="2:31" s="1" customFormat="1" ht="96.3" customHeight="1" outlineLevel="6">
      <c r="B4548" s="57">
        <v>3640</v>
      </c>
      <c r="C4548" s="21" t="s">
        <v>16053</v>
      </c>
      <c r="D4548" s="72" t="s">
        <v>16054</v>
      </c>
      <c r="E4548" s="72"/>
      <c r="F4548" s="72"/>
      <c r="G4548" s="72"/>
      <c r="H4548" s="22" t="s">
        <v>16055</v>
      </c>
      <c r="I4548" s="27">
        <v>6</v>
      </c>
      <c r="J4548" s="22"/>
      <c r="K4548" s="20">
        <v>1</v>
      </c>
      <c r="L4548" s="32">
        <v>2588.85</v>
      </c>
      <c r="M4548" s="11"/>
      <c r="N4548" s="22">
        <f t="shared" si="228"/>
        <v>0</v>
      </c>
      <c r="O4548" s="25">
        <f>3.764*M4548</f>
        <v>0</v>
      </c>
      <c r="P4548" s="26">
        <f>0.01877*M4548</f>
        <v>0</v>
      </c>
      <c r="Q4548" s="30"/>
      <c r="R4548" s="22" t="s">
        <v>16056</v>
      </c>
      <c r="S4548" s="22" t="s">
        <v>435</v>
      </c>
      <c r="T4548" s="21" t="str">
        <f>HYPERLINK("https://miland.ru/api/getInfo/image/09c95942-21b9-11f0-a279-00155d82e908")</f>
        <v>https://miland.ru/api/getInfo/image/09c95942-21b9-11f0-a279-00155d82e908</v>
      </c>
      <c r="U4548" s="21"/>
      <c r="V4548" s="21" t="s">
        <v>15979</v>
      </c>
      <c r="W4548" s="21" t="s">
        <v>8246</v>
      </c>
      <c r="X4548" s="21"/>
      <c r="Y4548" s="21" t="s">
        <v>41</v>
      </c>
      <c r="Z4548" s="21"/>
      <c r="AA4548" s="21" t="str">
        <f>HYPERLINK("https://miland.ru/api/getInfo/item/09c95942-21b9-11f0-a279-00155d82e908")</f>
        <v>https://miland.ru/api/getInfo/item/09c95942-21b9-11f0-a279-00155d82e908</v>
      </c>
      <c r="AB4548" s="21" t="s">
        <v>42</v>
      </c>
      <c r="AC4548" s="21"/>
      <c r="AD4548" s="21"/>
    </row>
    <row r="4549" spans="2:31" s="1" customFormat="1" ht="96.3" customHeight="1" outlineLevel="6">
      <c r="B4549" s="57">
        <v>3641</v>
      </c>
      <c r="C4549" s="21" t="s">
        <v>16057</v>
      </c>
      <c r="D4549" s="72" t="s">
        <v>16058</v>
      </c>
      <c r="E4549" s="72"/>
      <c r="F4549" s="72"/>
      <c r="G4549" s="72"/>
      <c r="H4549" s="22" t="s">
        <v>16059</v>
      </c>
      <c r="I4549" s="27">
        <v>25</v>
      </c>
      <c r="J4549" s="22"/>
      <c r="K4549" s="20">
        <v>1</v>
      </c>
      <c r="L4549" s="32">
        <v>2588.85</v>
      </c>
      <c r="M4549" s="11"/>
      <c r="N4549" s="22">
        <f t="shared" si="228"/>
        <v>0</v>
      </c>
      <c r="O4549" s="25">
        <f>3.768*M4549</f>
        <v>0</v>
      </c>
      <c r="P4549" s="26">
        <f>0.01742*M4549</f>
        <v>0</v>
      </c>
      <c r="Q4549" s="30"/>
      <c r="R4549" s="22" t="s">
        <v>16060</v>
      </c>
      <c r="S4549" s="22" t="s">
        <v>435</v>
      </c>
      <c r="T4549" s="21" t="str">
        <f>HYPERLINK("https://miland.ru/api/getInfo/image/fb01e11f-21b9-11f0-a279-00155d82e908")</f>
        <v>https://miland.ru/api/getInfo/image/fb01e11f-21b9-11f0-a279-00155d82e908</v>
      </c>
      <c r="U4549" s="21"/>
      <c r="V4549" s="21" t="s">
        <v>15979</v>
      </c>
      <c r="W4549" s="21" t="s">
        <v>8246</v>
      </c>
      <c r="X4549" s="21"/>
      <c r="Y4549" s="21" t="s">
        <v>41</v>
      </c>
      <c r="Z4549" s="21"/>
      <c r="AA4549" s="21" t="str">
        <f>HYPERLINK("https://miland.ru/api/getInfo/item/fb01e11f-21b9-11f0-a279-00155d82e908")</f>
        <v>https://miland.ru/api/getInfo/item/fb01e11f-21b9-11f0-a279-00155d82e908</v>
      </c>
      <c r="AB4549" s="21" t="s">
        <v>42</v>
      </c>
      <c r="AC4549" s="21"/>
      <c r="AD4549" s="21"/>
    </row>
    <row r="4550" spans="2:31" s="1" customFormat="1" ht="96.3" customHeight="1" outlineLevel="6">
      <c r="B4550" s="57">
        <v>3642</v>
      </c>
      <c r="C4550" s="21" t="s">
        <v>16061</v>
      </c>
      <c r="D4550" s="72" t="s">
        <v>16062</v>
      </c>
      <c r="E4550" s="72"/>
      <c r="F4550" s="72"/>
      <c r="G4550" s="72"/>
      <c r="H4550" s="22" t="s">
        <v>16063</v>
      </c>
      <c r="I4550" s="27">
        <v>27</v>
      </c>
      <c r="J4550" s="22"/>
      <c r="K4550" s="20">
        <v>1</v>
      </c>
      <c r="L4550" s="32">
        <v>2588.85</v>
      </c>
      <c r="M4550" s="11"/>
      <c r="N4550" s="22">
        <f t="shared" si="228"/>
        <v>0</v>
      </c>
      <c r="O4550" s="25">
        <f>3.741*M4550</f>
        <v>0</v>
      </c>
      <c r="P4550" s="29">
        <f>0.0174*M4550</f>
        <v>0</v>
      </c>
      <c r="Q4550" s="30"/>
      <c r="R4550" s="22" t="s">
        <v>16064</v>
      </c>
      <c r="S4550" s="22" t="s">
        <v>435</v>
      </c>
      <c r="T4550" s="21" t="str">
        <f>HYPERLINK("https://miland.ru/api/getInfo/image/adc4a745-21b9-11f0-a279-00155d82e908")</f>
        <v>https://miland.ru/api/getInfo/image/adc4a745-21b9-11f0-a279-00155d82e908</v>
      </c>
      <c r="U4550" s="21"/>
      <c r="V4550" s="21" t="s">
        <v>15979</v>
      </c>
      <c r="W4550" s="21" t="s">
        <v>8246</v>
      </c>
      <c r="X4550" s="21"/>
      <c r="Y4550" s="21" t="s">
        <v>41</v>
      </c>
      <c r="Z4550" s="21"/>
      <c r="AA4550" s="21" t="str">
        <f>HYPERLINK("https://miland.ru/api/getInfo/item/adc4a745-21b9-11f0-a279-00155d82e908")</f>
        <v>https://miland.ru/api/getInfo/item/adc4a745-21b9-11f0-a279-00155d82e908</v>
      </c>
      <c r="AB4550" s="21" t="s">
        <v>42</v>
      </c>
      <c r="AC4550" s="21"/>
      <c r="AD4550" s="21"/>
    </row>
    <row r="4551" spans="2:31" s="1" customFormat="1" ht="96.3" customHeight="1" outlineLevel="6">
      <c r="B4551" s="59">
        <v>3643</v>
      </c>
      <c r="C4551" s="35" t="s">
        <v>16065</v>
      </c>
      <c r="D4551" s="73" t="s">
        <v>16066</v>
      </c>
      <c r="E4551" s="73"/>
      <c r="F4551" s="73"/>
      <c r="G4551" s="73"/>
      <c r="H4551" s="36" t="s">
        <v>16067</v>
      </c>
      <c r="I4551" s="40">
        <v>77</v>
      </c>
      <c r="J4551" s="36"/>
      <c r="K4551" s="34">
        <v>1</v>
      </c>
      <c r="L4551" s="41">
        <v>1465.3333333333333</v>
      </c>
      <c r="M4551" s="11"/>
      <c r="N4551" s="36">
        <f t="shared" si="228"/>
        <v>0</v>
      </c>
      <c r="O4551" s="47">
        <f>3.52*M4551</f>
        <v>0</v>
      </c>
      <c r="P4551" s="55">
        <f>0.0174*M4551</f>
        <v>0</v>
      </c>
      <c r="Q4551" s="50"/>
      <c r="R4551" s="36" t="s">
        <v>16068</v>
      </c>
      <c r="S4551" s="36" t="s">
        <v>435</v>
      </c>
      <c r="T4551" s="35" t="str">
        <f>HYPERLINK("https://miland.ru/api/getInfo/image/24094808-e290-11ed-a233-00155d82e902")</f>
        <v>https://miland.ru/api/getInfo/image/24094808-e290-11ed-a233-00155d82e902</v>
      </c>
      <c r="U4551" s="35"/>
      <c r="V4551" s="35" t="s">
        <v>15979</v>
      </c>
      <c r="W4551" s="35" t="s">
        <v>8246</v>
      </c>
      <c r="X4551" s="35"/>
      <c r="Y4551" s="35" t="s">
        <v>41</v>
      </c>
      <c r="Z4551" s="35"/>
      <c r="AA4551" s="35" t="str">
        <f>HYPERLINK("https://miland.ru/api/getInfo/item/24094808-e290-11ed-a233-00155d82e902")</f>
        <v>https://miland.ru/api/getInfo/item/24094808-e290-11ed-a233-00155d82e902</v>
      </c>
      <c r="AB4551" s="35" t="s">
        <v>42</v>
      </c>
      <c r="AC4551" s="35"/>
      <c r="AD4551" s="35"/>
      <c r="AE4551" s="52" t="s">
        <v>1251</v>
      </c>
    </row>
    <row r="4552" spans="2:31" s="1" customFormat="1" ht="96.3" customHeight="1" outlineLevel="6">
      <c r="B4552" s="57">
        <v>3644</v>
      </c>
      <c r="C4552" s="21" t="s">
        <v>16069</v>
      </c>
      <c r="D4552" s="72" t="s">
        <v>16070</v>
      </c>
      <c r="E4552" s="72"/>
      <c r="F4552" s="72"/>
      <c r="G4552" s="72"/>
      <c r="H4552" s="22" t="s">
        <v>16071</v>
      </c>
      <c r="I4552" s="27">
        <v>45</v>
      </c>
      <c r="J4552" s="22"/>
      <c r="K4552" s="20">
        <v>1</v>
      </c>
      <c r="L4552" s="32">
        <v>2386.25</v>
      </c>
      <c r="M4552" s="11"/>
      <c r="N4552" s="22">
        <f t="shared" si="228"/>
        <v>0</v>
      </c>
      <c r="O4552" s="28">
        <f>3.52*M4552</f>
        <v>0</v>
      </c>
      <c r="P4552" s="29">
        <f>0.0174*M4552</f>
        <v>0</v>
      </c>
      <c r="Q4552" s="30"/>
      <c r="R4552" s="22" t="s">
        <v>16072</v>
      </c>
      <c r="S4552" s="22" t="s">
        <v>435</v>
      </c>
      <c r="T4552" s="21" t="str">
        <f>HYPERLINK("https://miland.ru/api/getInfo/image/5bfc17e5-e291-11ed-a233-00155d82e902")</f>
        <v>https://miland.ru/api/getInfo/image/5bfc17e5-e291-11ed-a233-00155d82e902</v>
      </c>
      <c r="U4552" s="21"/>
      <c r="V4552" s="21" t="s">
        <v>15979</v>
      </c>
      <c r="W4552" s="21" t="s">
        <v>8246</v>
      </c>
      <c r="X4552" s="21"/>
      <c r="Y4552" s="21" t="s">
        <v>41</v>
      </c>
      <c r="Z4552" s="21"/>
      <c r="AA4552" s="21" t="str">
        <f>HYPERLINK("https://miland.ru/api/getInfo/item/5bfc17e5-e291-11ed-a233-00155d82e902")</f>
        <v>https://miland.ru/api/getInfo/item/5bfc17e5-e291-11ed-a233-00155d82e902</v>
      </c>
      <c r="AB4552" s="21" t="s">
        <v>42</v>
      </c>
      <c r="AC4552" s="21"/>
      <c r="AD4552" s="21"/>
    </row>
    <row r="4553" spans="2:31" s="1" customFormat="1" ht="96.3" customHeight="1" outlineLevel="6">
      <c r="B4553" s="57">
        <v>3645</v>
      </c>
      <c r="C4553" s="21" t="s">
        <v>16073</v>
      </c>
      <c r="D4553" s="72" t="s">
        <v>16074</v>
      </c>
      <c r="E4553" s="72"/>
      <c r="F4553" s="72"/>
      <c r="G4553" s="72"/>
      <c r="H4553" s="22" t="s">
        <v>16075</v>
      </c>
      <c r="I4553" s="27">
        <v>7</v>
      </c>
      <c r="J4553" s="22"/>
      <c r="K4553" s="20">
        <v>1</v>
      </c>
      <c r="L4553" s="32">
        <v>2386.25</v>
      </c>
      <c r="M4553" s="11"/>
      <c r="N4553" s="22">
        <f t="shared" si="228"/>
        <v>0</v>
      </c>
      <c r="O4553" s="28">
        <f>3.52*M4553</f>
        <v>0</v>
      </c>
      <c r="P4553" s="29">
        <f>0.0174*M4553</f>
        <v>0</v>
      </c>
      <c r="Q4553" s="30"/>
      <c r="R4553" s="22" t="s">
        <v>16076</v>
      </c>
      <c r="S4553" s="22" t="s">
        <v>435</v>
      </c>
      <c r="T4553" s="21" t="str">
        <f>HYPERLINK("https://miland.ru/api/getInfo/image/f37cab74-e295-11ed-a233-00155d82e902")</f>
        <v>https://miland.ru/api/getInfo/image/f37cab74-e295-11ed-a233-00155d82e902</v>
      </c>
      <c r="U4553" s="21"/>
      <c r="V4553" s="21" t="s">
        <v>15979</v>
      </c>
      <c r="W4553" s="21" t="s">
        <v>8246</v>
      </c>
      <c r="X4553" s="21"/>
      <c r="Y4553" s="21" t="s">
        <v>41</v>
      </c>
      <c r="Z4553" s="21"/>
      <c r="AA4553" s="21" t="str">
        <f>HYPERLINK("https://miland.ru/api/getInfo/item/f37cab74-e295-11ed-a233-00155d82e902")</f>
        <v>https://miland.ru/api/getInfo/item/f37cab74-e295-11ed-a233-00155d82e902</v>
      </c>
      <c r="AB4553" s="21" t="s">
        <v>42</v>
      </c>
      <c r="AC4553" s="21"/>
      <c r="AD4553" s="21"/>
    </row>
    <row r="4554" spans="2:31" s="1" customFormat="1" ht="96.3" customHeight="1" outlineLevel="6">
      <c r="B4554" s="59">
        <v>3646</v>
      </c>
      <c r="C4554" s="35" t="s">
        <v>16077</v>
      </c>
      <c r="D4554" s="73" t="s">
        <v>16078</v>
      </c>
      <c r="E4554" s="73"/>
      <c r="F4554" s="73"/>
      <c r="G4554" s="73"/>
      <c r="H4554" s="36" t="s">
        <v>16079</v>
      </c>
      <c r="I4554" s="40">
        <v>20</v>
      </c>
      <c r="J4554" s="36"/>
      <c r="K4554" s="34">
        <v>1</v>
      </c>
      <c r="L4554" s="41">
        <v>1465.3333333333333</v>
      </c>
      <c r="M4554" s="11"/>
      <c r="N4554" s="36">
        <f t="shared" si="228"/>
        <v>0</v>
      </c>
      <c r="O4554" s="47">
        <f>3.52*M4554</f>
        <v>0</v>
      </c>
      <c r="P4554" s="43">
        <f>0.01731*M4554</f>
        <v>0</v>
      </c>
      <c r="Q4554" s="50"/>
      <c r="R4554" s="36" t="s">
        <v>16080</v>
      </c>
      <c r="S4554" s="36" t="s">
        <v>435</v>
      </c>
      <c r="T4554" s="35" t="str">
        <f>HYPERLINK("https://miland.ru/api/getInfo/image/821dc67d-e27d-11ed-a233-00155d82e902")</f>
        <v>https://miland.ru/api/getInfo/image/821dc67d-e27d-11ed-a233-00155d82e902</v>
      </c>
      <c r="U4554" s="35"/>
      <c r="V4554" s="35" t="s">
        <v>15979</v>
      </c>
      <c r="W4554" s="35" t="s">
        <v>8246</v>
      </c>
      <c r="X4554" s="35"/>
      <c r="Y4554" s="35" t="s">
        <v>41</v>
      </c>
      <c r="Z4554" s="35"/>
      <c r="AA4554" s="35" t="str">
        <f>HYPERLINK("https://miland.ru/api/getInfo/item/821dc67d-e27d-11ed-a233-00155d82e902")</f>
        <v>https://miland.ru/api/getInfo/item/821dc67d-e27d-11ed-a233-00155d82e902</v>
      </c>
      <c r="AB4554" s="35" t="s">
        <v>42</v>
      </c>
      <c r="AC4554" s="35"/>
      <c r="AD4554" s="35"/>
      <c r="AE4554" s="52" t="s">
        <v>1251</v>
      </c>
    </row>
    <row r="4555" spans="2:31" s="1" customFormat="1" ht="96.3" customHeight="1" outlineLevel="6">
      <c r="B4555" s="57">
        <v>3647</v>
      </c>
      <c r="C4555" s="21" t="s">
        <v>16081</v>
      </c>
      <c r="D4555" s="72" t="s">
        <v>16082</v>
      </c>
      <c r="E4555" s="72"/>
      <c r="F4555" s="72"/>
      <c r="G4555" s="72"/>
      <c r="H4555" s="22" t="s">
        <v>16083</v>
      </c>
      <c r="I4555" s="27">
        <v>11</v>
      </c>
      <c r="J4555" s="22"/>
      <c r="K4555" s="20">
        <v>1</v>
      </c>
      <c r="L4555" s="32">
        <v>2386.25</v>
      </c>
      <c r="M4555" s="11"/>
      <c r="N4555" s="22">
        <f t="shared" si="228"/>
        <v>0</v>
      </c>
      <c r="O4555" s="28">
        <f>3.54*M4555</f>
        <v>0</v>
      </c>
      <c r="P4555" s="26">
        <f>0.01755*M4555</f>
        <v>0</v>
      </c>
      <c r="Q4555" s="30"/>
      <c r="R4555" s="22" t="s">
        <v>16084</v>
      </c>
      <c r="S4555" s="22" t="s">
        <v>435</v>
      </c>
      <c r="T4555" s="21" t="str">
        <f>HYPERLINK("https://miland.ru/api/getInfo/image/0f8db937-e27d-11ed-a233-00155d82e902")</f>
        <v>https://miland.ru/api/getInfo/image/0f8db937-e27d-11ed-a233-00155d82e902</v>
      </c>
      <c r="U4555" s="21"/>
      <c r="V4555" s="21" t="s">
        <v>15979</v>
      </c>
      <c r="W4555" s="21" t="s">
        <v>8246</v>
      </c>
      <c r="X4555" s="21"/>
      <c r="Y4555" s="21" t="s">
        <v>41</v>
      </c>
      <c r="Z4555" s="21"/>
      <c r="AA4555" s="21" t="str">
        <f>HYPERLINK("https://miland.ru/api/getInfo/item/0f8db937-e27d-11ed-a233-00155d82e902")</f>
        <v>https://miland.ru/api/getInfo/item/0f8db937-e27d-11ed-a233-00155d82e902</v>
      </c>
      <c r="AB4555" s="21" t="s">
        <v>42</v>
      </c>
      <c r="AC4555" s="21"/>
      <c r="AD4555" s="21"/>
    </row>
    <row r="4556" spans="2:31" s="1" customFormat="1" ht="96.3" customHeight="1" outlineLevel="6">
      <c r="B4556" s="57">
        <v>3648</v>
      </c>
      <c r="C4556" s="21" t="s">
        <v>16085</v>
      </c>
      <c r="D4556" s="72" t="s">
        <v>16086</v>
      </c>
      <c r="E4556" s="72"/>
      <c r="F4556" s="72"/>
      <c r="G4556" s="72"/>
      <c r="H4556" s="22" t="s">
        <v>16087</v>
      </c>
      <c r="I4556" s="27">
        <v>10</v>
      </c>
      <c r="J4556" s="22"/>
      <c r="K4556" s="20">
        <v>1</v>
      </c>
      <c r="L4556" s="32">
        <v>2386.25</v>
      </c>
      <c r="M4556" s="11"/>
      <c r="N4556" s="22">
        <f t="shared" si="228"/>
        <v>0</v>
      </c>
      <c r="O4556" s="28">
        <f>3.78*M4556</f>
        <v>0</v>
      </c>
      <c r="P4556" s="26">
        <f>0.01658*M4556</f>
        <v>0</v>
      </c>
      <c r="Q4556" s="30"/>
      <c r="R4556" s="22" t="s">
        <v>16088</v>
      </c>
      <c r="S4556" s="22" t="s">
        <v>435</v>
      </c>
      <c r="T4556" s="21" t="str">
        <f>HYPERLINK("https://miland.ru/api/getInfo/image/b33b81d6-f579-11ee-a25b-00155d82e908")</f>
        <v>https://miland.ru/api/getInfo/image/b33b81d6-f579-11ee-a25b-00155d82e908</v>
      </c>
      <c r="U4556" s="21"/>
      <c r="V4556" s="21" t="s">
        <v>15979</v>
      </c>
      <c r="W4556" s="21" t="s">
        <v>8246</v>
      </c>
      <c r="X4556" s="21"/>
      <c r="Y4556" s="21" t="s">
        <v>41</v>
      </c>
      <c r="Z4556" s="21"/>
      <c r="AA4556" s="21" t="str">
        <f>HYPERLINK("https://miland.ru/api/getInfo/item/b33b81d6-f579-11ee-a25b-00155d82e908")</f>
        <v>https://miland.ru/api/getInfo/item/b33b81d6-f579-11ee-a25b-00155d82e908</v>
      </c>
      <c r="AB4556" s="21" t="s">
        <v>42</v>
      </c>
      <c r="AC4556" s="21"/>
      <c r="AD4556" s="21"/>
    </row>
    <row r="4557" spans="2:31" s="1" customFormat="1" ht="96.3" customHeight="1" outlineLevel="6">
      <c r="B4557" s="59">
        <v>3649</v>
      </c>
      <c r="C4557" s="35" t="s">
        <v>16089</v>
      </c>
      <c r="D4557" s="73" t="s">
        <v>16090</v>
      </c>
      <c r="E4557" s="73"/>
      <c r="F4557" s="73"/>
      <c r="G4557" s="73"/>
      <c r="H4557" s="36" t="s">
        <v>16091</v>
      </c>
      <c r="I4557" s="40">
        <v>26</v>
      </c>
      <c r="J4557" s="36"/>
      <c r="K4557" s="34">
        <v>1</v>
      </c>
      <c r="L4557" s="41">
        <v>1598.6666666666667</v>
      </c>
      <c r="M4557" s="11"/>
      <c r="N4557" s="36">
        <f t="shared" si="228"/>
        <v>0</v>
      </c>
      <c r="O4557" s="47">
        <f>3.48*M4557</f>
        <v>0</v>
      </c>
      <c r="P4557" s="43">
        <f>0.01743*M4557</f>
        <v>0</v>
      </c>
      <c r="Q4557" s="50"/>
      <c r="R4557" s="36" t="s">
        <v>16092</v>
      </c>
      <c r="S4557" s="36" t="s">
        <v>435</v>
      </c>
      <c r="T4557" s="35" t="str">
        <f>HYPERLINK("https://miland.ru/api/getInfo/image/bf80f091-e296-11ed-a233-00155d82e902")</f>
        <v>https://miland.ru/api/getInfo/image/bf80f091-e296-11ed-a233-00155d82e902</v>
      </c>
      <c r="U4557" s="35"/>
      <c r="V4557" s="35" t="s">
        <v>15979</v>
      </c>
      <c r="W4557" s="35" t="s">
        <v>8246</v>
      </c>
      <c r="X4557" s="35"/>
      <c r="Y4557" s="35" t="s">
        <v>41</v>
      </c>
      <c r="Z4557" s="35"/>
      <c r="AA4557" s="35" t="str">
        <f>HYPERLINK("https://miland.ru/api/getInfo/item/bf80f091-e296-11ed-a233-00155d82e902")</f>
        <v>https://miland.ru/api/getInfo/item/bf80f091-e296-11ed-a233-00155d82e902</v>
      </c>
      <c r="AB4557" s="35" t="s">
        <v>42</v>
      </c>
      <c r="AC4557" s="35"/>
      <c r="AD4557" s="35"/>
      <c r="AE4557" s="52" t="s">
        <v>1251</v>
      </c>
    </row>
    <row r="4558" spans="2:31" ht="12" customHeight="1" outlineLevel="4">
      <c r="B4558" s="70" t="s">
        <v>8257</v>
      </c>
      <c r="C4558" s="70"/>
      <c r="D4558" s="70"/>
      <c r="E4558" s="70"/>
      <c r="F4558" s="70"/>
      <c r="G4558" s="70"/>
    </row>
    <row r="4559" spans="2:31" ht="12" customHeight="1" outlineLevel="5">
      <c r="B4559" s="70" t="s">
        <v>8298</v>
      </c>
      <c r="C4559" s="70"/>
      <c r="D4559" s="70"/>
      <c r="E4559" s="70"/>
      <c r="F4559" s="70"/>
      <c r="G4559" s="70"/>
    </row>
    <row r="4560" spans="2:31" s="1" customFormat="1" ht="96.3" customHeight="1" outlineLevel="6">
      <c r="B4560" s="57">
        <v>3650</v>
      </c>
      <c r="C4560" s="21" t="s">
        <v>16093</v>
      </c>
      <c r="D4560" s="72" t="s">
        <v>16094</v>
      </c>
      <c r="E4560" s="72"/>
      <c r="F4560" s="72"/>
      <c r="G4560" s="72"/>
      <c r="H4560" s="22" t="s">
        <v>16095</v>
      </c>
      <c r="I4560" s="27">
        <v>51</v>
      </c>
      <c r="J4560" s="22"/>
      <c r="K4560" s="20">
        <v>1</v>
      </c>
      <c r="L4560" s="24">
        <v>442.62</v>
      </c>
      <c r="M4560" s="11"/>
      <c r="N4560" s="22">
        <f t="shared" ref="N4560:N4578" si="229">L4560*M4560</f>
        <v>0</v>
      </c>
      <c r="O4560" s="25">
        <f>0.283*M4560</f>
        <v>0</v>
      </c>
      <c r="P4560" s="26">
        <f>0.00173*M4560</f>
        <v>0</v>
      </c>
      <c r="Q4560" s="30"/>
      <c r="R4560" s="22" t="s">
        <v>16096</v>
      </c>
      <c r="S4560" s="22" t="s">
        <v>435</v>
      </c>
      <c r="T4560" s="21" t="str">
        <f>HYPERLINK("https://miland.ru/api/getInfo/image/b3068001-bf46-11ee-a25a-00155d82e908")</f>
        <v>https://miland.ru/api/getInfo/image/b3068001-bf46-11ee-a25a-00155d82e908</v>
      </c>
      <c r="U4560" s="21"/>
      <c r="V4560" s="21" t="s">
        <v>15979</v>
      </c>
      <c r="W4560" s="21" t="s">
        <v>8246</v>
      </c>
      <c r="X4560" s="21"/>
      <c r="Y4560" s="21" t="s">
        <v>41</v>
      </c>
      <c r="Z4560" s="21"/>
      <c r="AA4560" s="21" t="str">
        <f>HYPERLINK("https://miland.ru/api/getInfo/item/b3068001-bf46-11ee-a25a-00155d82e908")</f>
        <v>https://miland.ru/api/getInfo/item/b3068001-bf46-11ee-a25a-00155d82e908</v>
      </c>
      <c r="AB4560" s="21" t="s">
        <v>50</v>
      </c>
      <c r="AC4560" s="21" t="s">
        <v>16097</v>
      </c>
      <c r="AD4560" s="21"/>
    </row>
    <row r="4561" spans="2:31" s="1" customFormat="1" ht="96.3" customHeight="1" outlineLevel="6">
      <c r="B4561" s="57">
        <v>3651</v>
      </c>
      <c r="C4561" s="21" t="s">
        <v>16098</v>
      </c>
      <c r="D4561" s="72" t="s">
        <v>16099</v>
      </c>
      <c r="E4561" s="72"/>
      <c r="F4561" s="72"/>
      <c r="G4561" s="72"/>
      <c r="H4561" s="22" t="s">
        <v>16100</v>
      </c>
      <c r="I4561" s="27">
        <v>44</v>
      </c>
      <c r="J4561" s="22"/>
      <c r="K4561" s="20">
        <v>1</v>
      </c>
      <c r="L4561" s="24">
        <v>442.62</v>
      </c>
      <c r="M4561" s="11"/>
      <c r="N4561" s="22">
        <f t="shared" si="229"/>
        <v>0</v>
      </c>
      <c r="O4561" s="25">
        <f>0.274*M4561</f>
        <v>0</v>
      </c>
      <c r="P4561" s="26">
        <f>0.00201*M4561</f>
        <v>0</v>
      </c>
      <c r="Q4561" s="30"/>
      <c r="R4561" s="22" t="s">
        <v>16101</v>
      </c>
      <c r="S4561" s="22" t="s">
        <v>435</v>
      </c>
      <c r="T4561" s="21" t="str">
        <f>HYPERLINK("https://miland.ru/api/getInfo/image/7253b92f-f183-11ee-a25b-00155d82e908")</f>
        <v>https://miland.ru/api/getInfo/image/7253b92f-f183-11ee-a25b-00155d82e908</v>
      </c>
      <c r="U4561" s="21"/>
      <c r="V4561" s="21" t="s">
        <v>15979</v>
      </c>
      <c r="W4561" s="21" t="s">
        <v>8246</v>
      </c>
      <c r="X4561" s="21"/>
      <c r="Y4561" s="21" t="s">
        <v>41</v>
      </c>
      <c r="Z4561" s="21"/>
      <c r="AA4561" s="21" t="str">
        <f>HYPERLINK("https://miland.ru/api/getInfo/item/7253b92f-f183-11ee-a25b-00155d82e908")</f>
        <v>https://miland.ru/api/getInfo/item/7253b92f-f183-11ee-a25b-00155d82e908</v>
      </c>
      <c r="AB4561" s="21" t="s">
        <v>50</v>
      </c>
      <c r="AC4561" s="21"/>
      <c r="AD4561" s="21"/>
    </row>
    <row r="4562" spans="2:31" s="1" customFormat="1" ht="96.3" customHeight="1" outlineLevel="6">
      <c r="B4562" s="57">
        <v>3652</v>
      </c>
      <c r="C4562" s="21" t="s">
        <v>16102</v>
      </c>
      <c r="D4562" s="72" t="s">
        <v>16103</v>
      </c>
      <c r="E4562" s="72"/>
      <c r="F4562" s="72"/>
      <c r="G4562" s="72"/>
      <c r="H4562" s="22" t="s">
        <v>16104</v>
      </c>
      <c r="I4562" s="27">
        <v>22</v>
      </c>
      <c r="J4562" s="22"/>
      <c r="K4562" s="20">
        <v>1</v>
      </c>
      <c r="L4562" s="24">
        <v>442.62</v>
      </c>
      <c r="M4562" s="11"/>
      <c r="N4562" s="22">
        <f t="shared" si="229"/>
        <v>0</v>
      </c>
      <c r="O4562" s="25">
        <f>0.277*M4562</f>
        <v>0</v>
      </c>
      <c r="P4562" s="26">
        <f>0.00121*M4562</f>
        <v>0</v>
      </c>
      <c r="Q4562" s="30"/>
      <c r="R4562" s="22" t="s">
        <v>16105</v>
      </c>
      <c r="S4562" s="22" t="s">
        <v>435</v>
      </c>
      <c r="T4562" s="21" t="str">
        <f>HYPERLINK("https://miland.ru/api/getInfo/image/0878bf09-a16b-11ed-a22f-00155d82e902")</f>
        <v>https://miland.ru/api/getInfo/image/0878bf09-a16b-11ed-a22f-00155d82e902</v>
      </c>
      <c r="U4562" s="21"/>
      <c r="V4562" s="21" t="s">
        <v>15979</v>
      </c>
      <c r="W4562" s="21" t="s">
        <v>8246</v>
      </c>
      <c r="X4562" s="21"/>
      <c r="Y4562" s="21" t="s">
        <v>41</v>
      </c>
      <c r="Z4562" s="21"/>
      <c r="AA4562" s="21" t="str">
        <f>HYPERLINK("https://miland.ru/api/getInfo/item/0878bf09-a16b-11ed-a22f-00155d82e902")</f>
        <v>https://miland.ru/api/getInfo/item/0878bf09-a16b-11ed-a22f-00155d82e902</v>
      </c>
      <c r="AB4562" s="21" t="s">
        <v>50</v>
      </c>
      <c r="AC4562" s="21"/>
      <c r="AD4562" s="21"/>
    </row>
    <row r="4563" spans="2:31" s="1" customFormat="1" ht="96.3" customHeight="1" outlineLevel="6">
      <c r="B4563" s="57">
        <v>3653</v>
      </c>
      <c r="C4563" s="21" t="s">
        <v>16106</v>
      </c>
      <c r="D4563" s="72" t="s">
        <v>16107</v>
      </c>
      <c r="E4563" s="72"/>
      <c r="F4563" s="72"/>
      <c r="G4563" s="72"/>
      <c r="H4563" s="22" t="s">
        <v>16108</v>
      </c>
      <c r="I4563" s="27">
        <v>39</v>
      </c>
      <c r="J4563" s="22"/>
      <c r="K4563" s="20">
        <v>1</v>
      </c>
      <c r="L4563" s="24">
        <v>442.62</v>
      </c>
      <c r="M4563" s="11"/>
      <c r="N4563" s="22">
        <f t="shared" si="229"/>
        <v>0</v>
      </c>
      <c r="O4563" s="25">
        <f>0.274*M4563</f>
        <v>0</v>
      </c>
      <c r="P4563" s="26">
        <f>0.00201*M4563</f>
        <v>0</v>
      </c>
      <c r="Q4563" s="30"/>
      <c r="R4563" s="22" t="s">
        <v>16109</v>
      </c>
      <c r="S4563" s="22" t="s">
        <v>435</v>
      </c>
      <c r="T4563" s="21" t="str">
        <f>HYPERLINK("https://miland.ru/api/getInfo/image/5d666c7f-f183-11ee-a25b-00155d82e908")</f>
        <v>https://miland.ru/api/getInfo/image/5d666c7f-f183-11ee-a25b-00155d82e908</v>
      </c>
      <c r="U4563" s="21"/>
      <c r="V4563" s="21" t="s">
        <v>15979</v>
      </c>
      <c r="W4563" s="21" t="s">
        <v>8246</v>
      </c>
      <c r="X4563" s="21"/>
      <c r="Y4563" s="21" t="s">
        <v>41</v>
      </c>
      <c r="Z4563" s="21"/>
      <c r="AA4563" s="21" t="str">
        <f>HYPERLINK("https://miland.ru/api/getInfo/item/5d666c7f-f183-11ee-a25b-00155d82e908")</f>
        <v>https://miland.ru/api/getInfo/item/5d666c7f-f183-11ee-a25b-00155d82e908</v>
      </c>
      <c r="AB4563" s="21" t="s">
        <v>50</v>
      </c>
      <c r="AC4563" s="21"/>
      <c r="AD4563" s="21"/>
    </row>
    <row r="4564" spans="2:31" s="1" customFormat="1" ht="96.3" customHeight="1" outlineLevel="6">
      <c r="B4564" s="57">
        <v>3654</v>
      </c>
      <c r="C4564" s="21" t="s">
        <v>16110</v>
      </c>
      <c r="D4564" s="72" t="s">
        <v>16111</v>
      </c>
      <c r="E4564" s="72"/>
      <c r="F4564" s="72"/>
      <c r="G4564" s="72"/>
      <c r="H4564" s="22" t="s">
        <v>16112</v>
      </c>
      <c r="I4564" s="27">
        <v>180</v>
      </c>
      <c r="J4564" s="22"/>
      <c r="K4564" s="20">
        <v>1</v>
      </c>
      <c r="L4564" s="24">
        <v>442.62</v>
      </c>
      <c r="M4564" s="11"/>
      <c r="N4564" s="22">
        <f t="shared" si="229"/>
        <v>0</v>
      </c>
      <c r="O4564" s="25">
        <f>0.276*M4564</f>
        <v>0</v>
      </c>
      <c r="P4564" s="26">
        <f>0.00181*M4564</f>
        <v>0</v>
      </c>
      <c r="Q4564" s="30"/>
      <c r="R4564" s="22" t="s">
        <v>16113</v>
      </c>
      <c r="S4564" s="22" t="s">
        <v>435</v>
      </c>
      <c r="T4564" s="21" t="str">
        <f>HYPERLINK("https://miland.ru/api/getInfo/image/c0b1d921-fb45-11ef-a274-00155d82e908")</f>
        <v>https://miland.ru/api/getInfo/image/c0b1d921-fb45-11ef-a274-00155d82e908</v>
      </c>
      <c r="U4564" s="21"/>
      <c r="V4564" s="21" t="s">
        <v>15979</v>
      </c>
      <c r="W4564" s="21" t="s">
        <v>8246</v>
      </c>
      <c r="X4564" s="21"/>
      <c r="Y4564" s="21" t="s">
        <v>41</v>
      </c>
      <c r="Z4564" s="21"/>
      <c r="AA4564" s="21" t="str">
        <f>HYPERLINK("https://miland.ru/api/getInfo/item/c0b1d921-fb45-11ef-a274-00155d82e908")</f>
        <v>https://miland.ru/api/getInfo/item/c0b1d921-fb45-11ef-a274-00155d82e908</v>
      </c>
      <c r="AB4564" s="21" t="s">
        <v>50</v>
      </c>
      <c r="AC4564" s="21"/>
      <c r="AD4564" s="21"/>
    </row>
    <row r="4565" spans="2:31" s="1" customFormat="1" ht="96.3" customHeight="1" outlineLevel="6">
      <c r="B4565" s="57">
        <v>3655</v>
      </c>
      <c r="C4565" s="21" t="s">
        <v>16114</v>
      </c>
      <c r="D4565" s="72" t="s">
        <v>16115</v>
      </c>
      <c r="E4565" s="72"/>
      <c r="F4565" s="72"/>
      <c r="G4565" s="72"/>
      <c r="H4565" s="22" t="s">
        <v>16116</v>
      </c>
      <c r="I4565" s="27">
        <v>167</v>
      </c>
      <c r="J4565" s="22"/>
      <c r="K4565" s="20">
        <v>1</v>
      </c>
      <c r="L4565" s="24">
        <v>442.62</v>
      </c>
      <c r="M4565" s="11"/>
      <c r="N4565" s="22">
        <f t="shared" si="229"/>
        <v>0</v>
      </c>
      <c r="O4565" s="25">
        <f>0.276*M4565</f>
        <v>0</v>
      </c>
      <c r="P4565" s="26">
        <f>0.00181*M4565</f>
        <v>0</v>
      </c>
      <c r="Q4565" s="30"/>
      <c r="R4565" s="22" t="s">
        <v>16117</v>
      </c>
      <c r="S4565" s="22" t="s">
        <v>435</v>
      </c>
      <c r="T4565" s="21" t="str">
        <f>HYPERLINK("https://miland.ru/api/getInfo/image/63159f32-fb21-11ef-a274-00155d82e908")</f>
        <v>https://miland.ru/api/getInfo/image/63159f32-fb21-11ef-a274-00155d82e908</v>
      </c>
      <c r="U4565" s="21"/>
      <c r="V4565" s="21" t="s">
        <v>15979</v>
      </c>
      <c r="W4565" s="21" t="s">
        <v>8246</v>
      </c>
      <c r="X4565" s="21"/>
      <c r="Y4565" s="21" t="s">
        <v>41</v>
      </c>
      <c r="Z4565" s="21"/>
      <c r="AA4565" s="21" t="str">
        <f>HYPERLINK("https://miland.ru/api/getInfo/item/63159f32-fb21-11ef-a274-00155d82e908")</f>
        <v>https://miland.ru/api/getInfo/item/63159f32-fb21-11ef-a274-00155d82e908</v>
      </c>
      <c r="AB4565" s="21" t="s">
        <v>50</v>
      </c>
      <c r="AC4565" s="21"/>
      <c r="AD4565" s="21"/>
    </row>
    <row r="4566" spans="2:31" s="1" customFormat="1" ht="96.3" customHeight="1" outlineLevel="6">
      <c r="B4566" s="57">
        <v>3656</v>
      </c>
      <c r="C4566" s="21" t="s">
        <v>16118</v>
      </c>
      <c r="D4566" s="72" t="s">
        <v>16119</v>
      </c>
      <c r="E4566" s="72"/>
      <c r="F4566" s="72"/>
      <c r="G4566" s="72"/>
      <c r="H4566" s="22" t="s">
        <v>16120</v>
      </c>
      <c r="I4566" s="27">
        <v>143</v>
      </c>
      <c r="J4566" s="22"/>
      <c r="K4566" s="20">
        <v>1</v>
      </c>
      <c r="L4566" s="24">
        <v>442.62</v>
      </c>
      <c r="M4566" s="11"/>
      <c r="N4566" s="22">
        <f t="shared" si="229"/>
        <v>0</v>
      </c>
      <c r="O4566" s="25">
        <f>0.276*M4566</f>
        <v>0</v>
      </c>
      <c r="P4566" s="26">
        <f>0.00181*M4566</f>
        <v>0</v>
      </c>
      <c r="Q4566" s="30"/>
      <c r="R4566" s="22" t="s">
        <v>16121</v>
      </c>
      <c r="S4566" s="22" t="s">
        <v>435</v>
      </c>
      <c r="T4566" s="21" t="str">
        <f>HYPERLINK("https://miland.ru/api/getInfo/image/3deebdca-fb43-11ef-a274-00155d82e908")</f>
        <v>https://miland.ru/api/getInfo/image/3deebdca-fb43-11ef-a274-00155d82e908</v>
      </c>
      <c r="U4566" s="21"/>
      <c r="V4566" s="21" t="s">
        <v>15979</v>
      </c>
      <c r="W4566" s="21" t="s">
        <v>8246</v>
      </c>
      <c r="X4566" s="21"/>
      <c r="Y4566" s="21" t="s">
        <v>41</v>
      </c>
      <c r="Z4566" s="21"/>
      <c r="AA4566" s="21" t="str">
        <f>HYPERLINK("https://miland.ru/api/getInfo/item/3deebdca-fb43-11ef-a274-00155d82e908")</f>
        <v>https://miland.ru/api/getInfo/item/3deebdca-fb43-11ef-a274-00155d82e908</v>
      </c>
      <c r="AB4566" s="21" t="s">
        <v>50</v>
      </c>
      <c r="AC4566" s="21"/>
      <c r="AD4566" s="21"/>
    </row>
    <row r="4567" spans="2:31" s="1" customFormat="1" ht="96.3" customHeight="1" outlineLevel="6">
      <c r="B4567" s="59">
        <v>3657</v>
      </c>
      <c r="C4567" s="35" t="s">
        <v>16122</v>
      </c>
      <c r="D4567" s="73" t="s">
        <v>16123</v>
      </c>
      <c r="E4567" s="73"/>
      <c r="F4567" s="73"/>
      <c r="G4567" s="73"/>
      <c r="H4567" s="36" t="s">
        <v>16124</v>
      </c>
      <c r="I4567" s="40">
        <v>43</v>
      </c>
      <c r="J4567" s="36"/>
      <c r="K4567" s="34">
        <v>1</v>
      </c>
      <c r="L4567" s="41">
        <v>265.33333333333331</v>
      </c>
      <c r="M4567" s="11"/>
      <c r="N4567" s="36">
        <f t="shared" si="229"/>
        <v>0</v>
      </c>
      <c r="O4567" s="42">
        <f>0.283*M4567</f>
        <v>0</v>
      </c>
      <c r="P4567" s="43">
        <f>0.00074*M4567</f>
        <v>0</v>
      </c>
      <c r="Q4567" s="50"/>
      <c r="R4567" s="36" t="s">
        <v>16125</v>
      </c>
      <c r="S4567" s="36" t="s">
        <v>435</v>
      </c>
      <c r="T4567" s="35" t="str">
        <f>HYPERLINK("https://miland.ru/api/getInfo/image/b8334fa6-a16a-11ed-a22f-00155d82e902")</f>
        <v>https://miland.ru/api/getInfo/image/b8334fa6-a16a-11ed-a22f-00155d82e902</v>
      </c>
      <c r="U4567" s="35"/>
      <c r="V4567" s="35" t="s">
        <v>15979</v>
      </c>
      <c r="W4567" s="35" t="s">
        <v>8246</v>
      </c>
      <c r="X4567" s="35"/>
      <c r="Y4567" s="35" t="s">
        <v>41</v>
      </c>
      <c r="Z4567" s="35"/>
      <c r="AA4567" s="35" t="str">
        <f>HYPERLINK("https://miland.ru/api/getInfo/item/b8334fa6-a16a-11ed-a22f-00155d82e902")</f>
        <v>https://miland.ru/api/getInfo/item/b8334fa6-a16a-11ed-a22f-00155d82e902</v>
      </c>
      <c r="AB4567" s="35" t="s">
        <v>50</v>
      </c>
      <c r="AC4567" s="35"/>
      <c r="AD4567" s="35"/>
      <c r="AE4567" s="52" t="s">
        <v>1251</v>
      </c>
    </row>
    <row r="4568" spans="2:31" s="1" customFormat="1" ht="96.3" customHeight="1" outlineLevel="6">
      <c r="B4568" s="57">
        <v>3658</v>
      </c>
      <c r="C4568" s="21" t="s">
        <v>16126</v>
      </c>
      <c r="D4568" s="72" t="s">
        <v>16127</v>
      </c>
      <c r="E4568" s="72"/>
      <c r="F4568" s="72"/>
      <c r="G4568" s="72"/>
      <c r="H4568" s="22" t="s">
        <v>16128</v>
      </c>
      <c r="I4568" s="27">
        <v>113</v>
      </c>
      <c r="J4568" s="22"/>
      <c r="K4568" s="20">
        <v>1</v>
      </c>
      <c r="L4568" s="24">
        <v>442.62</v>
      </c>
      <c r="M4568" s="11"/>
      <c r="N4568" s="22">
        <f t="shared" si="229"/>
        <v>0</v>
      </c>
      <c r="O4568" s="25">
        <f>0.276*M4568</f>
        <v>0</v>
      </c>
      <c r="P4568" s="26">
        <f>0.00181*M4568</f>
        <v>0</v>
      </c>
      <c r="Q4568" s="30"/>
      <c r="R4568" s="22" t="s">
        <v>16129</v>
      </c>
      <c r="S4568" s="22" t="s">
        <v>435</v>
      </c>
      <c r="T4568" s="21" t="str">
        <f>HYPERLINK("https://miland.ru/api/getInfo/image/9fd1f94a-fb23-11ef-a274-00155d82e908")</f>
        <v>https://miland.ru/api/getInfo/image/9fd1f94a-fb23-11ef-a274-00155d82e908</v>
      </c>
      <c r="U4568" s="21"/>
      <c r="V4568" s="21" t="s">
        <v>15979</v>
      </c>
      <c r="W4568" s="21" t="s">
        <v>8246</v>
      </c>
      <c r="X4568" s="21"/>
      <c r="Y4568" s="21" t="s">
        <v>41</v>
      </c>
      <c r="Z4568" s="21"/>
      <c r="AA4568" s="21" t="str">
        <f>HYPERLINK("https://miland.ru/api/getInfo/item/9fd1f94a-fb23-11ef-a274-00155d82e908")</f>
        <v>https://miland.ru/api/getInfo/item/9fd1f94a-fb23-11ef-a274-00155d82e908</v>
      </c>
      <c r="AB4568" s="21" t="s">
        <v>50</v>
      </c>
      <c r="AC4568" s="21"/>
      <c r="AD4568" s="21"/>
    </row>
    <row r="4569" spans="2:31" s="1" customFormat="1" ht="96.3" customHeight="1" outlineLevel="6">
      <c r="B4569" s="57">
        <v>3659</v>
      </c>
      <c r="C4569" s="21" t="s">
        <v>16130</v>
      </c>
      <c r="D4569" s="72" t="s">
        <v>16131</v>
      </c>
      <c r="E4569" s="72"/>
      <c r="F4569" s="72"/>
      <c r="G4569" s="72"/>
      <c r="H4569" s="22" t="s">
        <v>16132</v>
      </c>
      <c r="I4569" s="27">
        <v>195</v>
      </c>
      <c r="J4569" s="22"/>
      <c r="K4569" s="20">
        <v>1</v>
      </c>
      <c r="L4569" s="24">
        <v>442.62</v>
      </c>
      <c r="M4569" s="11"/>
      <c r="N4569" s="22">
        <f t="shared" si="229"/>
        <v>0</v>
      </c>
      <c r="O4569" s="25">
        <f>0.276*M4569</f>
        <v>0</v>
      </c>
      <c r="P4569" s="26">
        <f>0.00181*M4569</f>
        <v>0</v>
      </c>
      <c r="Q4569" s="30"/>
      <c r="R4569" s="22" t="s">
        <v>16133</v>
      </c>
      <c r="S4569" s="22" t="s">
        <v>435</v>
      </c>
      <c r="T4569" s="21" t="str">
        <f>HYPERLINK("https://miland.ru/api/getInfo/image/ae6347a4-fb24-11ef-a274-00155d82e908")</f>
        <v>https://miland.ru/api/getInfo/image/ae6347a4-fb24-11ef-a274-00155d82e908</v>
      </c>
      <c r="U4569" s="21"/>
      <c r="V4569" s="21" t="s">
        <v>15979</v>
      </c>
      <c r="W4569" s="21" t="s">
        <v>8246</v>
      </c>
      <c r="X4569" s="21"/>
      <c r="Y4569" s="21" t="s">
        <v>41</v>
      </c>
      <c r="Z4569" s="21"/>
      <c r="AA4569" s="21" t="str">
        <f>HYPERLINK("https://miland.ru/api/getInfo/item/ae6347a4-fb24-11ef-a274-00155d82e908")</f>
        <v>https://miland.ru/api/getInfo/item/ae6347a4-fb24-11ef-a274-00155d82e908</v>
      </c>
      <c r="AB4569" s="21" t="s">
        <v>50</v>
      </c>
      <c r="AC4569" s="21"/>
      <c r="AD4569" s="21"/>
    </row>
    <row r="4570" spans="2:31" s="1" customFormat="1" ht="96.3" customHeight="1" outlineLevel="6">
      <c r="B4570" s="57">
        <v>3660</v>
      </c>
      <c r="C4570" s="21" t="s">
        <v>16134</v>
      </c>
      <c r="D4570" s="72" t="s">
        <v>16135</v>
      </c>
      <c r="E4570" s="72"/>
      <c r="F4570" s="72"/>
      <c r="G4570" s="72"/>
      <c r="H4570" s="22" t="s">
        <v>16136</v>
      </c>
      <c r="I4570" s="27">
        <v>142</v>
      </c>
      <c r="J4570" s="22"/>
      <c r="K4570" s="20">
        <v>1</v>
      </c>
      <c r="L4570" s="24">
        <v>442.62</v>
      </c>
      <c r="M4570" s="11"/>
      <c r="N4570" s="22">
        <f t="shared" si="229"/>
        <v>0</v>
      </c>
      <c r="O4570" s="25">
        <f>0.272*M4570</f>
        <v>0</v>
      </c>
      <c r="P4570" s="26">
        <f>0.00204*M4570</f>
        <v>0</v>
      </c>
      <c r="Q4570" s="30"/>
      <c r="R4570" s="22" t="s">
        <v>16137</v>
      </c>
      <c r="S4570" s="22" t="s">
        <v>435</v>
      </c>
      <c r="T4570" s="21" t="str">
        <f>HYPERLINK("https://miland.ru/api/getInfo/image/8e3c06cc-fb25-11ef-a274-00155d82e908")</f>
        <v>https://miland.ru/api/getInfo/image/8e3c06cc-fb25-11ef-a274-00155d82e908</v>
      </c>
      <c r="U4570" s="21"/>
      <c r="V4570" s="21" t="s">
        <v>15979</v>
      </c>
      <c r="W4570" s="21" t="s">
        <v>8246</v>
      </c>
      <c r="X4570" s="21"/>
      <c r="Y4570" s="21" t="s">
        <v>41</v>
      </c>
      <c r="Z4570" s="21"/>
      <c r="AA4570" s="21" t="str">
        <f>HYPERLINK("https://miland.ru/api/getInfo/item/8e3c06cc-fb25-11ef-a274-00155d82e908")</f>
        <v>https://miland.ru/api/getInfo/item/8e3c06cc-fb25-11ef-a274-00155d82e908</v>
      </c>
      <c r="AB4570" s="21" t="s">
        <v>50</v>
      </c>
      <c r="AC4570" s="21"/>
      <c r="AD4570" s="21"/>
    </row>
    <row r="4571" spans="2:31" s="1" customFormat="1" ht="96.3" customHeight="1" outlineLevel="6">
      <c r="B4571" s="57">
        <v>3661</v>
      </c>
      <c r="C4571" s="21" t="s">
        <v>16138</v>
      </c>
      <c r="D4571" s="72" t="s">
        <v>16139</v>
      </c>
      <c r="E4571" s="72"/>
      <c r="F4571" s="72"/>
      <c r="G4571" s="72"/>
      <c r="H4571" s="22" t="s">
        <v>16140</v>
      </c>
      <c r="I4571" s="27">
        <v>129</v>
      </c>
      <c r="J4571" s="22"/>
      <c r="K4571" s="20">
        <v>1</v>
      </c>
      <c r="L4571" s="24">
        <v>442.62</v>
      </c>
      <c r="M4571" s="11"/>
      <c r="N4571" s="22">
        <f t="shared" si="229"/>
        <v>0</v>
      </c>
      <c r="O4571" s="25">
        <f t="shared" ref="O4571:O4578" si="230">0.276*M4571</f>
        <v>0</v>
      </c>
      <c r="P4571" s="26">
        <f t="shared" ref="P4571:P4578" si="231">0.00181*M4571</f>
        <v>0</v>
      </c>
      <c r="Q4571" s="30"/>
      <c r="R4571" s="22" t="s">
        <v>16141</v>
      </c>
      <c r="S4571" s="22" t="s">
        <v>435</v>
      </c>
      <c r="T4571" s="21" t="str">
        <f>HYPERLINK("https://miland.ru/api/getInfo/image/19c2557d-fb25-11ef-a274-00155d82e908")</f>
        <v>https://miland.ru/api/getInfo/image/19c2557d-fb25-11ef-a274-00155d82e908</v>
      </c>
      <c r="U4571" s="21"/>
      <c r="V4571" s="21" t="s">
        <v>15979</v>
      </c>
      <c r="W4571" s="21" t="s">
        <v>8246</v>
      </c>
      <c r="X4571" s="21"/>
      <c r="Y4571" s="21" t="s">
        <v>41</v>
      </c>
      <c r="Z4571" s="21"/>
      <c r="AA4571" s="21" t="str">
        <f>HYPERLINK("https://miland.ru/api/getInfo/item/19c2557d-fb25-11ef-a274-00155d82e908")</f>
        <v>https://miland.ru/api/getInfo/item/19c2557d-fb25-11ef-a274-00155d82e908</v>
      </c>
      <c r="AB4571" s="21" t="s">
        <v>50</v>
      </c>
      <c r="AC4571" s="21"/>
      <c r="AD4571" s="21"/>
    </row>
    <row r="4572" spans="2:31" s="1" customFormat="1" ht="96.3" customHeight="1" outlineLevel="6">
      <c r="B4572" s="57">
        <v>3662</v>
      </c>
      <c r="C4572" s="21" t="s">
        <v>16142</v>
      </c>
      <c r="D4572" s="72" t="s">
        <v>16143</v>
      </c>
      <c r="E4572" s="72"/>
      <c r="F4572" s="72"/>
      <c r="G4572" s="72"/>
      <c r="H4572" s="22" t="s">
        <v>16144</v>
      </c>
      <c r="I4572" s="27">
        <v>104</v>
      </c>
      <c r="J4572" s="22"/>
      <c r="K4572" s="20">
        <v>1</v>
      </c>
      <c r="L4572" s="24">
        <v>442.62</v>
      </c>
      <c r="M4572" s="11"/>
      <c r="N4572" s="22">
        <f t="shared" si="229"/>
        <v>0</v>
      </c>
      <c r="O4572" s="25">
        <f t="shared" si="230"/>
        <v>0</v>
      </c>
      <c r="P4572" s="26">
        <f t="shared" si="231"/>
        <v>0</v>
      </c>
      <c r="Q4572" s="30"/>
      <c r="R4572" s="22" t="s">
        <v>16145</v>
      </c>
      <c r="S4572" s="22" t="s">
        <v>435</v>
      </c>
      <c r="T4572" s="21" t="str">
        <f>HYPERLINK("https://miland.ru/api/getInfo/image/1100c7c3-fb24-11ef-a274-00155d82e908")</f>
        <v>https://miland.ru/api/getInfo/image/1100c7c3-fb24-11ef-a274-00155d82e908</v>
      </c>
      <c r="U4572" s="21"/>
      <c r="V4572" s="21" t="s">
        <v>15979</v>
      </c>
      <c r="W4572" s="21" t="s">
        <v>8246</v>
      </c>
      <c r="X4572" s="21"/>
      <c r="Y4572" s="21" t="s">
        <v>41</v>
      </c>
      <c r="Z4572" s="21"/>
      <c r="AA4572" s="21" t="str">
        <f>HYPERLINK("https://miland.ru/api/getInfo/item/1100c7c3-fb24-11ef-a274-00155d82e908")</f>
        <v>https://miland.ru/api/getInfo/item/1100c7c3-fb24-11ef-a274-00155d82e908</v>
      </c>
      <c r="AB4572" s="21" t="s">
        <v>50</v>
      </c>
      <c r="AC4572" s="21"/>
      <c r="AD4572" s="21"/>
    </row>
    <row r="4573" spans="2:31" s="1" customFormat="1" ht="96.3" customHeight="1" outlineLevel="6">
      <c r="B4573" s="57">
        <v>3663</v>
      </c>
      <c r="C4573" s="21" t="s">
        <v>16146</v>
      </c>
      <c r="D4573" s="72" t="s">
        <v>16147</v>
      </c>
      <c r="E4573" s="72"/>
      <c r="F4573" s="72"/>
      <c r="G4573" s="72"/>
      <c r="H4573" s="22" t="s">
        <v>16148</v>
      </c>
      <c r="I4573" s="27">
        <v>143</v>
      </c>
      <c r="J4573" s="22"/>
      <c r="K4573" s="20">
        <v>1</v>
      </c>
      <c r="L4573" s="24">
        <v>442.62</v>
      </c>
      <c r="M4573" s="11"/>
      <c r="N4573" s="22">
        <f t="shared" si="229"/>
        <v>0</v>
      </c>
      <c r="O4573" s="25">
        <f t="shared" si="230"/>
        <v>0</v>
      </c>
      <c r="P4573" s="26">
        <f t="shared" si="231"/>
        <v>0</v>
      </c>
      <c r="Q4573" s="30"/>
      <c r="R4573" s="22" t="s">
        <v>16149</v>
      </c>
      <c r="S4573" s="22" t="s">
        <v>435</v>
      </c>
      <c r="T4573" s="21" t="str">
        <f>HYPERLINK("https://miland.ru/api/getInfo/image/95c3a114-fb44-11ef-a274-00155d82e908")</f>
        <v>https://miland.ru/api/getInfo/image/95c3a114-fb44-11ef-a274-00155d82e908</v>
      </c>
      <c r="U4573" s="21"/>
      <c r="V4573" s="21" t="s">
        <v>15979</v>
      </c>
      <c r="W4573" s="21" t="s">
        <v>8246</v>
      </c>
      <c r="X4573" s="21"/>
      <c r="Y4573" s="21" t="s">
        <v>41</v>
      </c>
      <c r="Z4573" s="21"/>
      <c r="AA4573" s="21" t="str">
        <f>HYPERLINK("https://miland.ru/api/getInfo/item/95c3a114-fb44-11ef-a274-00155d82e908")</f>
        <v>https://miland.ru/api/getInfo/item/95c3a114-fb44-11ef-a274-00155d82e908</v>
      </c>
      <c r="AB4573" s="21" t="s">
        <v>50</v>
      </c>
      <c r="AC4573" s="21"/>
      <c r="AD4573" s="21"/>
    </row>
    <row r="4574" spans="2:31" s="1" customFormat="1" ht="96.3" customHeight="1" outlineLevel="6">
      <c r="B4574" s="57">
        <v>3664</v>
      </c>
      <c r="C4574" s="21" t="s">
        <v>16150</v>
      </c>
      <c r="D4574" s="72" t="s">
        <v>16151</v>
      </c>
      <c r="E4574" s="72"/>
      <c r="F4574" s="72"/>
      <c r="G4574" s="72"/>
      <c r="H4574" s="22" t="s">
        <v>16152</v>
      </c>
      <c r="I4574" s="27">
        <v>77</v>
      </c>
      <c r="J4574" s="22"/>
      <c r="K4574" s="20">
        <v>1</v>
      </c>
      <c r="L4574" s="24">
        <v>442.62</v>
      </c>
      <c r="M4574" s="11"/>
      <c r="N4574" s="22">
        <f t="shared" si="229"/>
        <v>0</v>
      </c>
      <c r="O4574" s="25">
        <f t="shared" si="230"/>
        <v>0</v>
      </c>
      <c r="P4574" s="26">
        <f t="shared" si="231"/>
        <v>0</v>
      </c>
      <c r="Q4574" s="30"/>
      <c r="R4574" s="22" t="s">
        <v>16153</v>
      </c>
      <c r="S4574" s="22" t="s">
        <v>435</v>
      </c>
      <c r="T4574" s="21" t="str">
        <f>HYPERLINK("https://miland.ru/api/getInfo/image/e7db89f5-fb43-11ef-a274-00155d82e908")</f>
        <v>https://miland.ru/api/getInfo/image/e7db89f5-fb43-11ef-a274-00155d82e908</v>
      </c>
      <c r="U4574" s="21"/>
      <c r="V4574" s="21" t="s">
        <v>15979</v>
      </c>
      <c r="W4574" s="21" t="s">
        <v>8246</v>
      </c>
      <c r="X4574" s="21"/>
      <c r="Y4574" s="21" t="s">
        <v>41</v>
      </c>
      <c r="Z4574" s="21"/>
      <c r="AA4574" s="21" t="str">
        <f>HYPERLINK("https://miland.ru/api/getInfo/item/e7db89f5-fb43-11ef-a274-00155d82e908")</f>
        <v>https://miland.ru/api/getInfo/item/e7db89f5-fb43-11ef-a274-00155d82e908</v>
      </c>
      <c r="AB4574" s="21" t="s">
        <v>50</v>
      </c>
      <c r="AC4574" s="21"/>
      <c r="AD4574" s="21"/>
    </row>
    <row r="4575" spans="2:31" s="1" customFormat="1" ht="96.3" customHeight="1" outlineLevel="6">
      <c r="B4575" s="57">
        <v>3665</v>
      </c>
      <c r="C4575" s="21" t="s">
        <v>16154</v>
      </c>
      <c r="D4575" s="72" t="s">
        <v>16155</v>
      </c>
      <c r="E4575" s="72"/>
      <c r="F4575" s="72"/>
      <c r="G4575" s="72"/>
      <c r="H4575" s="22" t="s">
        <v>16156</v>
      </c>
      <c r="I4575" s="27">
        <v>119</v>
      </c>
      <c r="J4575" s="22"/>
      <c r="K4575" s="20">
        <v>1</v>
      </c>
      <c r="L4575" s="24">
        <v>442.62</v>
      </c>
      <c r="M4575" s="11"/>
      <c r="N4575" s="22">
        <f t="shared" si="229"/>
        <v>0</v>
      </c>
      <c r="O4575" s="25">
        <f t="shared" si="230"/>
        <v>0</v>
      </c>
      <c r="P4575" s="26">
        <f t="shared" si="231"/>
        <v>0</v>
      </c>
      <c r="Q4575" s="30"/>
      <c r="R4575" s="22" t="s">
        <v>16157</v>
      </c>
      <c r="S4575" s="22" t="s">
        <v>435</v>
      </c>
      <c r="T4575" s="21" t="str">
        <f>HYPERLINK("https://miland.ru/api/getInfo/image/3690dc8f-fb46-11ef-a274-00155d82e908")</f>
        <v>https://miland.ru/api/getInfo/image/3690dc8f-fb46-11ef-a274-00155d82e908</v>
      </c>
      <c r="U4575" s="21"/>
      <c r="V4575" s="21" t="s">
        <v>15979</v>
      </c>
      <c r="W4575" s="21" t="s">
        <v>8246</v>
      </c>
      <c r="X4575" s="21"/>
      <c r="Y4575" s="21" t="s">
        <v>41</v>
      </c>
      <c r="Z4575" s="21"/>
      <c r="AA4575" s="21" t="str">
        <f>HYPERLINK("https://miland.ru/api/getInfo/item/3690dc8f-fb46-11ef-a274-00155d82e908")</f>
        <v>https://miland.ru/api/getInfo/item/3690dc8f-fb46-11ef-a274-00155d82e908</v>
      </c>
      <c r="AB4575" s="21" t="s">
        <v>50</v>
      </c>
      <c r="AC4575" s="21"/>
      <c r="AD4575" s="21"/>
    </row>
    <row r="4576" spans="2:31" s="1" customFormat="1" ht="96.3" customHeight="1" outlineLevel="6">
      <c r="B4576" s="57">
        <v>3666</v>
      </c>
      <c r="C4576" s="21" t="s">
        <v>16158</v>
      </c>
      <c r="D4576" s="72" t="s">
        <v>16159</v>
      </c>
      <c r="E4576" s="72"/>
      <c r="F4576" s="72"/>
      <c r="G4576" s="72"/>
      <c r="H4576" s="22" t="s">
        <v>16160</v>
      </c>
      <c r="I4576" s="27">
        <v>155</v>
      </c>
      <c r="J4576" s="22"/>
      <c r="K4576" s="20">
        <v>1</v>
      </c>
      <c r="L4576" s="24">
        <v>442.62</v>
      </c>
      <c r="M4576" s="11"/>
      <c r="N4576" s="22">
        <f t="shared" si="229"/>
        <v>0</v>
      </c>
      <c r="O4576" s="25">
        <f t="shared" si="230"/>
        <v>0</v>
      </c>
      <c r="P4576" s="26">
        <f t="shared" si="231"/>
        <v>0</v>
      </c>
      <c r="Q4576" s="30"/>
      <c r="R4576" s="22" t="s">
        <v>16161</v>
      </c>
      <c r="S4576" s="22" t="s">
        <v>435</v>
      </c>
      <c r="T4576" s="21" t="str">
        <f>HYPERLINK("https://miland.ru/api/getInfo/image/ba88b155-fb22-11ef-a274-00155d82e908")</f>
        <v>https://miland.ru/api/getInfo/image/ba88b155-fb22-11ef-a274-00155d82e908</v>
      </c>
      <c r="U4576" s="21"/>
      <c r="V4576" s="21" t="s">
        <v>15979</v>
      </c>
      <c r="W4576" s="21" t="s">
        <v>8246</v>
      </c>
      <c r="X4576" s="21"/>
      <c r="Y4576" s="21" t="s">
        <v>41</v>
      </c>
      <c r="Z4576" s="21"/>
      <c r="AA4576" s="21" t="str">
        <f>HYPERLINK("https://miland.ru/api/getInfo/item/ba88b155-fb22-11ef-a274-00155d82e908")</f>
        <v>https://miland.ru/api/getInfo/item/ba88b155-fb22-11ef-a274-00155d82e908</v>
      </c>
      <c r="AB4576" s="21" t="s">
        <v>50</v>
      </c>
      <c r="AC4576" s="21"/>
      <c r="AD4576" s="21"/>
    </row>
    <row r="4577" spans="2:31" s="1" customFormat="1" ht="96.3" customHeight="1" outlineLevel="6">
      <c r="B4577" s="57">
        <v>3667</v>
      </c>
      <c r="C4577" s="21" t="s">
        <v>16162</v>
      </c>
      <c r="D4577" s="72" t="s">
        <v>16163</v>
      </c>
      <c r="E4577" s="72"/>
      <c r="F4577" s="72"/>
      <c r="G4577" s="72"/>
      <c r="H4577" s="22" t="s">
        <v>16164</v>
      </c>
      <c r="I4577" s="27">
        <v>206</v>
      </c>
      <c r="J4577" s="22"/>
      <c r="K4577" s="20">
        <v>1</v>
      </c>
      <c r="L4577" s="24">
        <v>442.62</v>
      </c>
      <c r="M4577" s="11"/>
      <c r="N4577" s="22">
        <f t="shared" si="229"/>
        <v>0</v>
      </c>
      <c r="O4577" s="25">
        <f t="shared" si="230"/>
        <v>0</v>
      </c>
      <c r="P4577" s="26">
        <f t="shared" si="231"/>
        <v>0</v>
      </c>
      <c r="Q4577" s="30"/>
      <c r="R4577" s="22" t="s">
        <v>16165</v>
      </c>
      <c r="S4577" s="22" t="s">
        <v>435</v>
      </c>
      <c r="T4577" s="21" t="str">
        <f>HYPERLINK("https://miland.ru/api/getInfo/image/173acaad-fb22-11ef-a274-00155d82e908")</f>
        <v>https://miland.ru/api/getInfo/image/173acaad-fb22-11ef-a274-00155d82e908</v>
      </c>
      <c r="U4577" s="21"/>
      <c r="V4577" s="21" t="s">
        <v>15979</v>
      </c>
      <c r="W4577" s="21" t="s">
        <v>8246</v>
      </c>
      <c r="X4577" s="21"/>
      <c r="Y4577" s="21" t="s">
        <v>41</v>
      </c>
      <c r="Z4577" s="21"/>
      <c r="AA4577" s="21" t="str">
        <f>HYPERLINK("https://miland.ru/api/getInfo/item/173acaad-fb22-11ef-a274-00155d82e908")</f>
        <v>https://miland.ru/api/getInfo/item/173acaad-fb22-11ef-a274-00155d82e908</v>
      </c>
      <c r="AB4577" s="21" t="s">
        <v>50</v>
      </c>
      <c r="AC4577" s="21"/>
      <c r="AD4577" s="21"/>
    </row>
    <row r="4578" spans="2:31" s="1" customFormat="1" ht="96.3" customHeight="1" outlineLevel="6">
      <c r="B4578" s="57">
        <v>3668</v>
      </c>
      <c r="C4578" s="21" t="s">
        <v>16166</v>
      </c>
      <c r="D4578" s="72" t="s">
        <v>16167</v>
      </c>
      <c r="E4578" s="72"/>
      <c r="F4578" s="72"/>
      <c r="G4578" s="72"/>
      <c r="H4578" s="22" t="s">
        <v>16168</v>
      </c>
      <c r="I4578" s="27">
        <v>28</v>
      </c>
      <c r="J4578" s="22"/>
      <c r="K4578" s="20">
        <v>1</v>
      </c>
      <c r="L4578" s="24">
        <v>442.62</v>
      </c>
      <c r="M4578" s="11"/>
      <c r="N4578" s="22">
        <f t="shared" si="229"/>
        <v>0</v>
      </c>
      <c r="O4578" s="25">
        <f t="shared" si="230"/>
        <v>0</v>
      </c>
      <c r="P4578" s="26">
        <f t="shared" si="231"/>
        <v>0</v>
      </c>
      <c r="Q4578" s="30"/>
      <c r="R4578" s="22" t="s">
        <v>16169</v>
      </c>
      <c r="S4578" s="22" t="s">
        <v>435</v>
      </c>
      <c r="T4578" s="21" t="str">
        <f>HYPERLINK("https://miland.ru/api/getInfo/image/262a223f-fb23-11ef-a274-00155d82e908")</f>
        <v>https://miland.ru/api/getInfo/image/262a223f-fb23-11ef-a274-00155d82e908</v>
      </c>
      <c r="U4578" s="21"/>
      <c r="V4578" s="21" t="s">
        <v>15979</v>
      </c>
      <c r="W4578" s="21" t="s">
        <v>8246</v>
      </c>
      <c r="X4578" s="21"/>
      <c r="Y4578" s="21" t="s">
        <v>41</v>
      </c>
      <c r="Z4578" s="21"/>
      <c r="AA4578" s="21" t="str">
        <f>HYPERLINK("https://miland.ru/api/getInfo/item/262a223f-fb23-11ef-a274-00155d82e908")</f>
        <v>https://miland.ru/api/getInfo/item/262a223f-fb23-11ef-a274-00155d82e908</v>
      </c>
      <c r="AB4578" s="21" t="s">
        <v>50</v>
      </c>
      <c r="AC4578" s="21"/>
      <c r="AD4578" s="21"/>
    </row>
    <row r="4579" spans="2:31" ht="12" customHeight="1" outlineLevel="5">
      <c r="B4579" s="70" t="s">
        <v>8323</v>
      </c>
      <c r="C4579" s="70"/>
      <c r="D4579" s="70"/>
      <c r="E4579" s="70"/>
      <c r="F4579" s="70"/>
      <c r="G4579" s="70"/>
    </row>
    <row r="4580" spans="2:31" s="1" customFormat="1" ht="96.3" customHeight="1" outlineLevel="6">
      <c r="B4580" s="57">
        <v>3669</v>
      </c>
      <c r="C4580" s="21" t="s">
        <v>16170</v>
      </c>
      <c r="D4580" s="72" t="s">
        <v>16171</v>
      </c>
      <c r="E4580" s="72"/>
      <c r="F4580" s="72"/>
      <c r="G4580" s="72"/>
      <c r="H4580" s="22" t="s">
        <v>16172</v>
      </c>
      <c r="I4580" s="27">
        <v>94</v>
      </c>
      <c r="J4580" s="22"/>
      <c r="K4580" s="20">
        <v>1</v>
      </c>
      <c r="L4580" s="24">
        <v>492.49</v>
      </c>
      <c r="M4580" s="11"/>
      <c r="N4580" s="22">
        <f t="shared" ref="N4580:N4600" si="232">L4580*M4580</f>
        <v>0</v>
      </c>
      <c r="O4580" s="28">
        <f>0.41*M4580</f>
        <v>0</v>
      </c>
      <c r="P4580" s="26">
        <f>0.00395*M4580</f>
        <v>0</v>
      </c>
      <c r="Q4580" s="30"/>
      <c r="R4580" s="22" t="s">
        <v>16173</v>
      </c>
      <c r="S4580" s="22" t="s">
        <v>435</v>
      </c>
      <c r="T4580" s="21" t="str">
        <f>HYPERLINK("https://miland.ru/api/getInfo/image/d3b0214d-f185-11ee-a25b-00155d82e908")</f>
        <v>https://miland.ru/api/getInfo/image/d3b0214d-f185-11ee-a25b-00155d82e908</v>
      </c>
      <c r="U4580" s="21"/>
      <c r="V4580" s="21" t="s">
        <v>15979</v>
      </c>
      <c r="W4580" s="21" t="s">
        <v>8246</v>
      </c>
      <c r="X4580" s="21"/>
      <c r="Y4580" s="21" t="s">
        <v>41</v>
      </c>
      <c r="Z4580" s="21"/>
      <c r="AA4580" s="21" t="str">
        <f>HYPERLINK("https://miland.ru/api/getInfo/item/d3b0214d-f185-11ee-a25b-00155d82e908")</f>
        <v>https://miland.ru/api/getInfo/item/d3b0214d-f185-11ee-a25b-00155d82e908</v>
      </c>
      <c r="AB4580" s="21" t="s">
        <v>50</v>
      </c>
      <c r="AC4580" s="21"/>
      <c r="AD4580" s="21"/>
    </row>
    <row r="4581" spans="2:31" s="1" customFormat="1" ht="96.3" customHeight="1" outlineLevel="6">
      <c r="B4581" s="57">
        <v>3670</v>
      </c>
      <c r="C4581" s="21" t="s">
        <v>16174</v>
      </c>
      <c r="D4581" s="72" t="s">
        <v>16175</v>
      </c>
      <c r="E4581" s="72"/>
      <c r="F4581" s="72"/>
      <c r="G4581" s="72"/>
      <c r="H4581" s="22" t="s">
        <v>16176</v>
      </c>
      <c r="I4581" s="27">
        <v>69</v>
      </c>
      <c r="J4581" s="22"/>
      <c r="K4581" s="20">
        <v>1</v>
      </c>
      <c r="L4581" s="24">
        <v>492.49</v>
      </c>
      <c r="M4581" s="11"/>
      <c r="N4581" s="22">
        <f t="shared" si="232"/>
        <v>0</v>
      </c>
      <c r="O4581" s="25">
        <f>0.449*M4581</f>
        <v>0</v>
      </c>
      <c r="P4581" s="26">
        <f>0.00401*M4581</f>
        <v>0</v>
      </c>
      <c r="Q4581" s="30"/>
      <c r="R4581" s="22" t="s">
        <v>16177</v>
      </c>
      <c r="S4581" s="22" t="s">
        <v>435</v>
      </c>
      <c r="T4581" s="21" t="str">
        <f>HYPERLINK("https://miland.ru/api/getInfo/image/e864360c-f185-11ee-a25b-00155d82e908")</f>
        <v>https://miland.ru/api/getInfo/image/e864360c-f185-11ee-a25b-00155d82e908</v>
      </c>
      <c r="U4581" s="21"/>
      <c r="V4581" s="21" t="s">
        <v>15979</v>
      </c>
      <c r="W4581" s="21" t="s">
        <v>8246</v>
      </c>
      <c r="X4581" s="21"/>
      <c r="Y4581" s="21" t="s">
        <v>41</v>
      </c>
      <c r="Z4581" s="21"/>
      <c r="AA4581" s="21" t="str">
        <f>HYPERLINK("https://miland.ru/api/getInfo/item/e864360c-f185-11ee-a25b-00155d82e908")</f>
        <v>https://miland.ru/api/getInfo/item/e864360c-f185-11ee-a25b-00155d82e908</v>
      </c>
      <c r="AB4581" s="21" t="s">
        <v>50</v>
      </c>
      <c r="AC4581" s="21"/>
      <c r="AD4581" s="21"/>
    </row>
    <row r="4582" spans="2:31" s="1" customFormat="1" ht="96.3" customHeight="1" outlineLevel="6">
      <c r="B4582" s="59">
        <v>3671</v>
      </c>
      <c r="C4582" s="35" t="s">
        <v>16178</v>
      </c>
      <c r="D4582" s="73" t="s">
        <v>16179</v>
      </c>
      <c r="E4582" s="73"/>
      <c r="F4582" s="73"/>
      <c r="G4582" s="73"/>
      <c r="H4582" s="36" t="s">
        <v>16180</v>
      </c>
      <c r="I4582" s="40">
        <v>5</v>
      </c>
      <c r="J4582" s="36"/>
      <c r="K4582" s="34">
        <v>1</v>
      </c>
      <c r="L4582" s="41">
        <v>265.33333333333331</v>
      </c>
      <c r="M4582" s="11"/>
      <c r="N4582" s="36">
        <f t="shared" si="232"/>
        <v>0</v>
      </c>
      <c r="O4582" s="42">
        <f>0.417*M4582</f>
        <v>0</v>
      </c>
      <c r="P4582" s="43">
        <f>0.00393*M4582</f>
        <v>0</v>
      </c>
      <c r="Q4582" s="50"/>
      <c r="R4582" s="36" t="s">
        <v>16181</v>
      </c>
      <c r="S4582" s="36" t="s">
        <v>435</v>
      </c>
      <c r="T4582" s="35" t="str">
        <f>HYPERLINK("https://miland.ru/api/getInfo/image/f0ff8b46-a16f-11ed-a22f-00155d82e902")</f>
        <v>https://miland.ru/api/getInfo/image/f0ff8b46-a16f-11ed-a22f-00155d82e902</v>
      </c>
      <c r="U4582" s="35"/>
      <c r="V4582" s="35" t="s">
        <v>15979</v>
      </c>
      <c r="W4582" s="35" t="s">
        <v>8246</v>
      </c>
      <c r="X4582" s="35"/>
      <c r="Y4582" s="35" t="s">
        <v>41</v>
      </c>
      <c r="Z4582" s="35"/>
      <c r="AA4582" s="35" t="str">
        <f>HYPERLINK("https://miland.ru/api/getInfo/item/f0ff8b46-a16f-11ed-a22f-00155d82e902")</f>
        <v>https://miland.ru/api/getInfo/item/f0ff8b46-a16f-11ed-a22f-00155d82e902</v>
      </c>
      <c r="AB4582" s="35" t="s">
        <v>50</v>
      </c>
      <c r="AC4582" s="35"/>
      <c r="AD4582" s="35"/>
      <c r="AE4582" s="52" t="s">
        <v>1251</v>
      </c>
    </row>
    <row r="4583" spans="2:31" s="1" customFormat="1" ht="96.3" customHeight="1" outlineLevel="6">
      <c r="B4583" s="57">
        <v>3672</v>
      </c>
      <c r="C4583" s="21" t="s">
        <v>16182</v>
      </c>
      <c r="D4583" s="72" t="s">
        <v>16183</v>
      </c>
      <c r="E4583" s="72"/>
      <c r="F4583" s="72"/>
      <c r="G4583" s="72"/>
      <c r="H4583" s="22" t="s">
        <v>16184</v>
      </c>
      <c r="I4583" s="27">
        <v>106</v>
      </c>
      <c r="J4583" s="22"/>
      <c r="K4583" s="20">
        <v>1</v>
      </c>
      <c r="L4583" s="24">
        <v>492.49</v>
      </c>
      <c r="M4583" s="11"/>
      <c r="N4583" s="22">
        <f t="shared" si="232"/>
        <v>0</v>
      </c>
      <c r="O4583" s="25">
        <f>0.401*M4583</f>
        <v>0</v>
      </c>
      <c r="P4583" s="26">
        <f>0.00397*M4583</f>
        <v>0</v>
      </c>
      <c r="Q4583" s="30"/>
      <c r="R4583" s="22" t="s">
        <v>16185</v>
      </c>
      <c r="S4583" s="22" t="s">
        <v>435</v>
      </c>
      <c r="T4583" s="21" t="str">
        <f>HYPERLINK("https://miland.ru/api/getInfo/image/7d793d87-f185-11ee-a25b-00155d82e908")</f>
        <v>https://miland.ru/api/getInfo/image/7d793d87-f185-11ee-a25b-00155d82e908</v>
      </c>
      <c r="U4583" s="21"/>
      <c r="V4583" s="21" t="s">
        <v>15979</v>
      </c>
      <c r="W4583" s="21" t="s">
        <v>8246</v>
      </c>
      <c r="X4583" s="21"/>
      <c r="Y4583" s="21" t="s">
        <v>41</v>
      </c>
      <c r="Z4583" s="21"/>
      <c r="AA4583" s="21" t="str">
        <f>HYPERLINK("https://miland.ru/api/getInfo/item/7d793d87-f185-11ee-a25b-00155d82e908")</f>
        <v>https://miland.ru/api/getInfo/item/7d793d87-f185-11ee-a25b-00155d82e908</v>
      </c>
      <c r="AB4583" s="21" t="s">
        <v>50</v>
      </c>
      <c r="AC4583" s="21"/>
      <c r="AD4583" s="21"/>
    </row>
    <row r="4584" spans="2:31" s="1" customFormat="1" ht="96.3" customHeight="1" outlineLevel="6">
      <c r="B4584" s="57">
        <v>3673</v>
      </c>
      <c r="C4584" s="21" t="s">
        <v>16186</v>
      </c>
      <c r="D4584" s="72" t="s">
        <v>16187</v>
      </c>
      <c r="E4584" s="72"/>
      <c r="F4584" s="72"/>
      <c r="G4584" s="72"/>
      <c r="H4584" s="22" t="s">
        <v>16188</v>
      </c>
      <c r="I4584" s="27">
        <v>41</v>
      </c>
      <c r="J4584" s="22"/>
      <c r="K4584" s="20">
        <v>1</v>
      </c>
      <c r="L4584" s="24">
        <v>492.49</v>
      </c>
      <c r="M4584" s="11"/>
      <c r="N4584" s="22">
        <f t="shared" si="232"/>
        <v>0</v>
      </c>
      <c r="O4584" s="25">
        <f>0.406*M4584</f>
        <v>0</v>
      </c>
      <c r="P4584" s="26">
        <f>0.00403*M4584</f>
        <v>0</v>
      </c>
      <c r="Q4584" s="30"/>
      <c r="R4584" s="22" t="s">
        <v>16189</v>
      </c>
      <c r="S4584" s="22" t="s">
        <v>435</v>
      </c>
      <c r="T4584" s="21" t="str">
        <f>HYPERLINK("https://miland.ru/api/getInfo/image/6833b0b2-f185-11ee-a25b-00155d82e908")</f>
        <v>https://miland.ru/api/getInfo/image/6833b0b2-f185-11ee-a25b-00155d82e908</v>
      </c>
      <c r="U4584" s="21"/>
      <c r="V4584" s="21" t="s">
        <v>15979</v>
      </c>
      <c r="W4584" s="21" t="s">
        <v>8246</v>
      </c>
      <c r="X4584" s="21"/>
      <c r="Y4584" s="21" t="s">
        <v>41</v>
      </c>
      <c r="Z4584" s="21"/>
      <c r="AA4584" s="21" t="str">
        <f>HYPERLINK("https://miland.ru/api/getInfo/item/6833b0b2-f185-11ee-a25b-00155d82e908")</f>
        <v>https://miland.ru/api/getInfo/item/6833b0b2-f185-11ee-a25b-00155d82e908</v>
      </c>
      <c r="AB4584" s="21" t="s">
        <v>50</v>
      </c>
      <c r="AC4584" s="21"/>
      <c r="AD4584" s="21"/>
    </row>
    <row r="4585" spans="2:31" s="1" customFormat="1" ht="96.3" customHeight="1" outlineLevel="6">
      <c r="B4585" s="57">
        <v>3674</v>
      </c>
      <c r="C4585" s="21" t="s">
        <v>16190</v>
      </c>
      <c r="D4585" s="72" t="s">
        <v>16191</v>
      </c>
      <c r="E4585" s="72"/>
      <c r="F4585" s="72"/>
      <c r="G4585" s="72"/>
      <c r="H4585" s="22" t="s">
        <v>16192</v>
      </c>
      <c r="I4585" s="27">
        <v>5</v>
      </c>
      <c r="J4585" s="22"/>
      <c r="K4585" s="20">
        <v>1</v>
      </c>
      <c r="L4585" s="24">
        <v>492.49</v>
      </c>
      <c r="M4585" s="11"/>
      <c r="N4585" s="22">
        <f t="shared" si="232"/>
        <v>0</v>
      </c>
      <c r="O4585" s="25">
        <f>0.417*M4585</f>
        <v>0</v>
      </c>
      <c r="P4585" s="26">
        <f>0.00393*M4585</f>
        <v>0</v>
      </c>
      <c r="Q4585" s="30"/>
      <c r="R4585" s="22" t="s">
        <v>16193</v>
      </c>
      <c r="S4585" s="22" t="s">
        <v>435</v>
      </c>
      <c r="T4585" s="21" t="str">
        <f>HYPERLINK("https://miland.ru/api/getInfo/image/5195c379-a16f-11ed-a22f-00155d82e902")</f>
        <v>https://miland.ru/api/getInfo/image/5195c379-a16f-11ed-a22f-00155d82e902</v>
      </c>
      <c r="U4585" s="21"/>
      <c r="V4585" s="21" t="s">
        <v>15979</v>
      </c>
      <c r="W4585" s="21" t="s">
        <v>8246</v>
      </c>
      <c r="X4585" s="21"/>
      <c r="Y4585" s="21" t="s">
        <v>41</v>
      </c>
      <c r="Z4585" s="21"/>
      <c r="AA4585" s="21" t="str">
        <f>HYPERLINK("https://miland.ru/api/getInfo/item/5195c379-a16f-11ed-a22f-00155d82e902")</f>
        <v>https://miland.ru/api/getInfo/item/5195c379-a16f-11ed-a22f-00155d82e902</v>
      </c>
      <c r="AB4585" s="21" t="s">
        <v>50</v>
      </c>
      <c r="AC4585" s="21"/>
      <c r="AD4585" s="21"/>
    </row>
    <row r="4586" spans="2:31" s="1" customFormat="1" ht="96.3" customHeight="1" outlineLevel="6">
      <c r="B4586" s="57">
        <v>3675</v>
      </c>
      <c r="C4586" s="21" t="s">
        <v>16194</v>
      </c>
      <c r="D4586" s="72" t="s">
        <v>16195</v>
      </c>
      <c r="E4586" s="72"/>
      <c r="F4586" s="72"/>
      <c r="G4586" s="72"/>
      <c r="H4586" s="22" t="s">
        <v>16196</v>
      </c>
      <c r="I4586" s="27">
        <v>242</v>
      </c>
      <c r="J4586" s="22"/>
      <c r="K4586" s="20">
        <v>1</v>
      </c>
      <c r="L4586" s="24">
        <v>492.49</v>
      </c>
      <c r="M4586" s="11"/>
      <c r="N4586" s="22">
        <f t="shared" si="232"/>
        <v>0</v>
      </c>
      <c r="O4586" s="25">
        <f>0.412*M4586</f>
        <v>0</v>
      </c>
      <c r="P4586" s="26">
        <f>0.00371*M4586</f>
        <v>0</v>
      </c>
      <c r="Q4586" s="30"/>
      <c r="R4586" s="22" t="s">
        <v>16197</v>
      </c>
      <c r="S4586" s="22" t="s">
        <v>435</v>
      </c>
      <c r="T4586" s="21" t="str">
        <f>HYPERLINK("https://miland.ru/api/getInfo/image/bfa98577-fb4a-11ef-a274-00155d82e908")</f>
        <v>https://miland.ru/api/getInfo/image/bfa98577-fb4a-11ef-a274-00155d82e908</v>
      </c>
      <c r="U4586" s="21"/>
      <c r="V4586" s="21" t="s">
        <v>15979</v>
      </c>
      <c r="W4586" s="21" t="s">
        <v>8246</v>
      </c>
      <c r="X4586" s="21"/>
      <c r="Y4586" s="21" t="s">
        <v>41</v>
      </c>
      <c r="Z4586" s="21"/>
      <c r="AA4586" s="21" t="str">
        <f>HYPERLINK("https://miland.ru/api/getInfo/item/bfa98577-fb4a-11ef-a274-00155d82e908")</f>
        <v>https://miland.ru/api/getInfo/item/bfa98577-fb4a-11ef-a274-00155d82e908</v>
      </c>
      <c r="AB4586" s="21" t="s">
        <v>50</v>
      </c>
      <c r="AC4586" s="21"/>
      <c r="AD4586" s="21"/>
    </row>
    <row r="4587" spans="2:31" s="1" customFormat="1" ht="96.3" customHeight="1" outlineLevel="6">
      <c r="B4587" s="57">
        <v>3676</v>
      </c>
      <c r="C4587" s="21" t="s">
        <v>16198</v>
      </c>
      <c r="D4587" s="72" t="s">
        <v>16199</v>
      </c>
      <c r="E4587" s="72"/>
      <c r="F4587" s="72"/>
      <c r="G4587" s="72"/>
      <c r="H4587" s="22" t="s">
        <v>16200</v>
      </c>
      <c r="I4587" s="27">
        <v>42</v>
      </c>
      <c r="J4587" s="22"/>
      <c r="K4587" s="20">
        <v>1</v>
      </c>
      <c r="L4587" s="24">
        <v>492.49</v>
      </c>
      <c r="M4587" s="11"/>
      <c r="N4587" s="22">
        <f t="shared" si="232"/>
        <v>0</v>
      </c>
      <c r="O4587" s="25">
        <f>0.424*M4587</f>
        <v>0</v>
      </c>
      <c r="P4587" s="26">
        <f>0.00384*M4587</f>
        <v>0</v>
      </c>
      <c r="Q4587" s="30"/>
      <c r="R4587" s="22" t="s">
        <v>16201</v>
      </c>
      <c r="S4587" s="22" t="s">
        <v>435</v>
      </c>
      <c r="T4587" s="21" t="str">
        <f>HYPERLINK("https://miland.ru/api/getInfo/image/32634624-bf48-11ee-a25a-00155d82e908")</f>
        <v>https://miland.ru/api/getInfo/image/32634624-bf48-11ee-a25a-00155d82e908</v>
      </c>
      <c r="U4587" s="21"/>
      <c r="V4587" s="21" t="s">
        <v>15979</v>
      </c>
      <c r="W4587" s="21" t="s">
        <v>8246</v>
      </c>
      <c r="X4587" s="21"/>
      <c r="Y4587" s="21" t="s">
        <v>41</v>
      </c>
      <c r="Z4587" s="21"/>
      <c r="AA4587" s="21" t="str">
        <f>HYPERLINK("https://miland.ru/api/getInfo/item/32634624-bf48-11ee-a25a-00155d82e908")</f>
        <v>https://miland.ru/api/getInfo/item/32634624-bf48-11ee-a25a-00155d82e908</v>
      </c>
      <c r="AB4587" s="21" t="s">
        <v>50</v>
      </c>
      <c r="AC4587" s="21"/>
      <c r="AD4587" s="21"/>
    </row>
    <row r="4588" spans="2:31" s="1" customFormat="1" ht="96.3" customHeight="1" outlineLevel="6">
      <c r="B4588" s="57">
        <v>3677</v>
      </c>
      <c r="C4588" s="21" t="s">
        <v>16202</v>
      </c>
      <c r="D4588" s="72" t="s">
        <v>16203</v>
      </c>
      <c r="E4588" s="72"/>
      <c r="F4588" s="72"/>
      <c r="G4588" s="72"/>
      <c r="H4588" s="22" t="s">
        <v>16204</v>
      </c>
      <c r="I4588" s="27">
        <v>216</v>
      </c>
      <c r="J4588" s="22"/>
      <c r="K4588" s="20">
        <v>1</v>
      </c>
      <c r="L4588" s="24">
        <v>492.49</v>
      </c>
      <c r="M4588" s="11"/>
      <c r="N4588" s="22">
        <f t="shared" si="232"/>
        <v>0</v>
      </c>
      <c r="O4588" s="25">
        <f>0.412*M4588</f>
        <v>0</v>
      </c>
      <c r="P4588" s="26">
        <f>0.00371*M4588</f>
        <v>0</v>
      </c>
      <c r="Q4588" s="30"/>
      <c r="R4588" s="22" t="s">
        <v>16205</v>
      </c>
      <c r="S4588" s="22" t="s">
        <v>435</v>
      </c>
      <c r="T4588" s="21" t="str">
        <f>HYPERLINK("https://miland.ru/api/getInfo/image/71293565-fb26-11ef-a274-00155d82e908")</f>
        <v>https://miland.ru/api/getInfo/image/71293565-fb26-11ef-a274-00155d82e908</v>
      </c>
      <c r="U4588" s="21"/>
      <c r="V4588" s="21" t="s">
        <v>15979</v>
      </c>
      <c r="W4588" s="21" t="s">
        <v>8246</v>
      </c>
      <c r="X4588" s="21"/>
      <c r="Y4588" s="21" t="s">
        <v>41</v>
      </c>
      <c r="Z4588" s="21"/>
      <c r="AA4588" s="21" t="str">
        <f>HYPERLINK("https://miland.ru/api/getInfo/item/71293565-fb26-11ef-a274-00155d82e908")</f>
        <v>https://miland.ru/api/getInfo/item/71293565-fb26-11ef-a274-00155d82e908</v>
      </c>
      <c r="AB4588" s="21" t="s">
        <v>50</v>
      </c>
      <c r="AC4588" s="21"/>
      <c r="AD4588" s="21"/>
    </row>
    <row r="4589" spans="2:31" s="1" customFormat="1" ht="96.3" customHeight="1" outlineLevel="6">
      <c r="B4589" s="57">
        <v>3678</v>
      </c>
      <c r="C4589" s="21" t="s">
        <v>16206</v>
      </c>
      <c r="D4589" s="72" t="s">
        <v>16207</v>
      </c>
      <c r="E4589" s="72"/>
      <c r="F4589" s="72"/>
      <c r="G4589" s="72"/>
      <c r="H4589" s="22" t="s">
        <v>16208</v>
      </c>
      <c r="I4589" s="27">
        <v>240</v>
      </c>
      <c r="J4589" s="22"/>
      <c r="K4589" s="20">
        <v>1</v>
      </c>
      <c r="L4589" s="24">
        <v>492.49</v>
      </c>
      <c r="M4589" s="11"/>
      <c r="N4589" s="22">
        <f t="shared" si="232"/>
        <v>0</v>
      </c>
      <c r="O4589" s="28">
        <f>0.27*M4589</f>
        <v>0</v>
      </c>
      <c r="P4589" s="26">
        <f>0.00186*M4589</f>
        <v>0</v>
      </c>
      <c r="Q4589" s="30"/>
      <c r="R4589" s="22" t="s">
        <v>16209</v>
      </c>
      <c r="S4589" s="22" t="s">
        <v>435</v>
      </c>
      <c r="T4589" s="21" t="str">
        <f>HYPERLINK("https://miland.ru/api/getInfo/image/2900b0e2-fb47-11ef-a274-00155d82e908")</f>
        <v>https://miland.ru/api/getInfo/image/2900b0e2-fb47-11ef-a274-00155d82e908</v>
      </c>
      <c r="U4589" s="21"/>
      <c r="V4589" s="21" t="s">
        <v>15979</v>
      </c>
      <c r="W4589" s="21" t="s">
        <v>8246</v>
      </c>
      <c r="X4589" s="21"/>
      <c r="Y4589" s="21" t="s">
        <v>41</v>
      </c>
      <c r="Z4589" s="21"/>
      <c r="AA4589" s="21" t="str">
        <f>HYPERLINK("https://miland.ru/api/getInfo/item/2900b0e2-fb47-11ef-a274-00155d82e908")</f>
        <v>https://miland.ru/api/getInfo/item/2900b0e2-fb47-11ef-a274-00155d82e908</v>
      </c>
      <c r="AB4589" s="21" t="s">
        <v>50</v>
      </c>
      <c r="AC4589" s="21"/>
      <c r="AD4589" s="21"/>
    </row>
    <row r="4590" spans="2:31" s="1" customFormat="1" ht="96.3" customHeight="1" outlineLevel="6">
      <c r="B4590" s="57">
        <v>3679</v>
      </c>
      <c r="C4590" s="21" t="s">
        <v>16210</v>
      </c>
      <c r="D4590" s="72" t="s">
        <v>16211</v>
      </c>
      <c r="E4590" s="72"/>
      <c r="F4590" s="72"/>
      <c r="G4590" s="72"/>
      <c r="H4590" s="22" t="s">
        <v>16212</v>
      </c>
      <c r="I4590" s="27">
        <v>253</v>
      </c>
      <c r="J4590" s="22"/>
      <c r="K4590" s="20">
        <v>1</v>
      </c>
      <c r="L4590" s="24">
        <v>492.49</v>
      </c>
      <c r="M4590" s="11"/>
      <c r="N4590" s="22">
        <f t="shared" si="232"/>
        <v>0</v>
      </c>
      <c r="O4590" s="25">
        <f>0.437*M4590</f>
        <v>0</v>
      </c>
      <c r="P4590" s="26">
        <f>0.00455*M4590</f>
        <v>0</v>
      </c>
      <c r="Q4590" s="30"/>
      <c r="R4590" s="22" t="s">
        <v>16213</v>
      </c>
      <c r="S4590" s="22" t="s">
        <v>435</v>
      </c>
      <c r="T4590" s="21" t="str">
        <f>HYPERLINK("https://miland.ru/api/getInfo/image/4b3fc7c0-fb49-11ef-a274-00155d82e908")</f>
        <v>https://miland.ru/api/getInfo/image/4b3fc7c0-fb49-11ef-a274-00155d82e908</v>
      </c>
      <c r="U4590" s="21"/>
      <c r="V4590" s="21" t="s">
        <v>15979</v>
      </c>
      <c r="W4590" s="21" t="s">
        <v>8246</v>
      </c>
      <c r="X4590" s="21"/>
      <c r="Y4590" s="21" t="s">
        <v>41</v>
      </c>
      <c r="Z4590" s="21"/>
      <c r="AA4590" s="21" t="str">
        <f>HYPERLINK("https://miland.ru/api/getInfo/item/4b3fc7c0-fb49-11ef-a274-00155d82e908")</f>
        <v>https://miland.ru/api/getInfo/item/4b3fc7c0-fb49-11ef-a274-00155d82e908</v>
      </c>
      <c r="AB4590" s="21" t="s">
        <v>50</v>
      </c>
      <c r="AC4590" s="21"/>
      <c r="AD4590" s="21"/>
    </row>
    <row r="4591" spans="2:31" s="1" customFormat="1" ht="96.3" customHeight="1" outlineLevel="6">
      <c r="B4591" s="57">
        <v>3680</v>
      </c>
      <c r="C4591" s="21" t="s">
        <v>16214</v>
      </c>
      <c r="D4591" s="72" t="s">
        <v>16215</v>
      </c>
      <c r="E4591" s="72"/>
      <c r="F4591" s="72"/>
      <c r="G4591" s="72"/>
      <c r="H4591" s="22" t="s">
        <v>16216</v>
      </c>
      <c r="I4591" s="27">
        <v>209</v>
      </c>
      <c r="J4591" s="22"/>
      <c r="K4591" s="20">
        <v>1</v>
      </c>
      <c r="L4591" s="24">
        <v>492.49</v>
      </c>
      <c r="M4591" s="11"/>
      <c r="N4591" s="22">
        <f t="shared" si="232"/>
        <v>0</v>
      </c>
      <c r="O4591" s="25">
        <f>0.412*M4591</f>
        <v>0</v>
      </c>
      <c r="P4591" s="26">
        <f>0.00371*M4591</f>
        <v>0</v>
      </c>
      <c r="Q4591" s="30"/>
      <c r="R4591" s="22" t="s">
        <v>16217</v>
      </c>
      <c r="S4591" s="22" t="s">
        <v>435</v>
      </c>
      <c r="T4591" s="21" t="str">
        <f>HYPERLINK("https://miland.ru/api/getInfo/image/1a9c23c8-fb4a-11ef-a274-00155d82e908")</f>
        <v>https://miland.ru/api/getInfo/image/1a9c23c8-fb4a-11ef-a274-00155d82e908</v>
      </c>
      <c r="U4591" s="21"/>
      <c r="V4591" s="21" t="s">
        <v>15979</v>
      </c>
      <c r="W4591" s="21" t="s">
        <v>8246</v>
      </c>
      <c r="X4591" s="21"/>
      <c r="Y4591" s="21" t="s">
        <v>41</v>
      </c>
      <c r="Z4591" s="21"/>
      <c r="AA4591" s="21" t="str">
        <f>HYPERLINK("https://miland.ru/api/getInfo/item/1a9c23c8-fb4a-11ef-a274-00155d82e908")</f>
        <v>https://miland.ru/api/getInfo/item/1a9c23c8-fb4a-11ef-a274-00155d82e908</v>
      </c>
      <c r="AB4591" s="21" t="s">
        <v>50</v>
      </c>
      <c r="AC4591" s="21"/>
      <c r="AD4591" s="21"/>
    </row>
    <row r="4592" spans="2:31" s="1" customFormat="1" ht="96.3" customHeight="1" outlineLevel="6">
      <c r="B4592" s="57">
        <v>3681</v>
      </c>
      <c r="C4592" s="21" t="s">
        <v>16218</v>
      </c>
      <c r="D4592" s="72" t="s">
        <v>16219</v>
      </c>
      <c r="E4592" s="72"/>
      <c r="F4592" s="72"/>
      <c r="G4592" s="72"/>
      <c r="H4592" s="22" t="s">
        <v>16220</v>
      </c>
      <c r="I4592" s="27">
        <v>251</v>
      </c>
      <c r="J4592" s="22"/>
      <c r="K4592" s="20">
        <v>1</v>
      </c>
      <c r="L4592" s="24">
        <v>492.49</v>
      </c>
      <c r="M4592" s="11"/>
      <c r="N4592" s="22">
        <f t="shared" si="232"/>
        <v>0</v>
      </c>
      <c r="O4592" s="25">
        <f>0.412*M4592</f>
        <v>0</v>
      </c>
      <c r="P4592" s="26">
        <f>0.00348*M4592</f>
        <v>0</v>
      </c>
      <c r="Q4592" s="30"/>
      <c r="R4592" s="22" t="s">
        <v>16221</v>
      </c>
      <c r="S4592" s="22" t="s">
        <v>435</v>
      </c>
      <c r="T4592" s="21" t="str">
        <f>HYPERLINK("https://miland.ru/api/getInfo/image/fa81c4bb-fb4b-11ef-a274-00155d82e908")</f>
        <v>https://miland.ru/api/getInfo/image/fa81c4bb-fb4b-11ef-a274-00155d82e908</v>
      </c>
      <c r="U4592" s="21"/>
      <c r="V4592" s="21" t="s">
        <v>15979</v>
      </c>
      <c r="W4592" s="21" t="s">
        <v>8246</v>
      </c>
      <c r="X4592" s="21"/>
      <c r="Y4592" s="21" t="s">
        <v>41</v>
      </c>
      <c r="Z4592" s="21"/>
      <c r="AA4592" s="21" t="str">
        <f>HYPERLINK("https://miland.ru/api/getInfo/item/fa81c4bb-fb4b-11ef-a274-00155d82e908")</f>
        <v>https://miland.ru/api/getInfo/item/fa81c4bb-fb4b-11ef-a274-00155d82e908</v>
      </c>
      <c r="AB4592" s="21" t="s">
        <v>50</v>
      </c>
      <c r="AC4592" s="21"/>
      <c r="AD4592" s="21"/>
    </row>
    <row r="4593" spans="2:30" s="1" customFormat="1" ht="96.3" customHeight="1" outlineLevel="6">
      <c r="B4593" s="57">
        <v>3682</v>
      </c>
      <c r="C4593" s="21" t="s">
        <v>16222</v>
      </c>
      <c r="D4593" s="72" t="s">
        <v>16223</v>
      </c>
      <c r="E4593" s="72"/>
      <c r="F4593" s="72"/>
      <c r="G4593" s="72"/>
      <c r="H4593" s="22" t="s">
        <v>16224</v>
      </c>
      <c r="I4593" s="27">
        <v>226</v>
      </c>
      <c r="J4593" s="22"/>
      <c r="K4593" s="20">
        <v>1</v>
      </c>
      <c r="L4593" s="24">
        <v>492.49</v>
      </c>
      <c r="M4593" s="11"/>
      <c r="N4593" s="22">
        <f t="shared" si="232"/>
        <v>0</v>
      </c>
      <c r="O4593" s="25">
        <f>0.437*M4593</f>
        <v>0</v>
      </c>
      <c r="P4593" s="26">
        <f>0.00455*M4593</f>
        <v>0</v>
      </c>
      <c r="Q4593" s="30"/>
      <c r="R4593" s="22" t="s">
        <v>16225</v>
      </c>
      <c r="S4593" s="22" t="s">
        <v>435</v>
      </c>
      <c r="T4593" s="21" t="str">
        <f>HYPERLINK("https://miland.ru/api/getInfo/image/3111b101-fb29-11ef-a274-00155d82e908")</f>
        <v>https://miland.ru/api/getInfo/image/3111b101-fb29-11ef-a274-00155d82e908</v>
      </c>
      <c r="U4593" s="21"/>
      <c r="V4593" s="21" t="s">
        <v>15979</v>
      </c>
      <c r="W4593" s="21" t="s">
        <v>8246</v>
      </c>
      <c r="X4593" s="21"/>
      <c r="Y4593" s="21" t="s">
        <v>41</v>
      </c>
      <c r="Z4593" s="21"/>
      <c r="AA4593" s="21" t="str">
        <f>HYPERLINK("https://miland.ru/api/getInfo/item/3111b101-fb29-11ef-a274-00155d82e908")</f>
        <v>https://miland.ru/api/getInfo/item/3111b101-fb29-11ef-a274-00155d82e908</v>
      </c>
      <c r="AB4593" s="21" t="s">
        <v>50</v>
      </c>
      <c r="AC4593" s="21"/>
      <c r="AD4593" s="21"/>
    </row>
    <row r="4594" spans="2:30" s="1" customFormat="1" ht="96.3" customHeight="1" outlineLevel="6">
      <c r="B4594" s="57">
        <v>3683</v>
      </c>
      <c r="C4594" s="21" t="s">
        <v>16226</v>
      </c>
      <c r="D4594" s="72" t="s">
        <v>16227</v>
      </c>
      <c r="E4594" s="72"/>
      <c r="F4594" s="72"/>
      <c r="G4594" s="72"/>
      <c r="H4594" s="22" t="s">
        <v>16228</v>
      </c>
      <c r="I4594" s="27">
        <v>204</v>
      </c>
      <c r="J4594" s="22"/>
      <c r="K4594" s="20">
        <v>1</v>
      </c>
      <c r="L4594" s="24">
        <v>492.49</v>
      </c>
      <c r="M4594" s="11"/>
      <c r="N4594" s="22">
        <f t="shared" si="232"/>
        <v>0</v>
      </c>
      <c r="O4594" s="25">
        <f>0.437*M4594</f>
        <v>0</v>
      </c>
      <c r="P4594" s="26">
        <f>0.00455*M4594</f>
        <v>0</v>
      </c>
      <c r="Q4594" s="30"/>
      <c r="R4594" s="22" t="s">
        <v>16229</v>
      </c>
      <c r="S4594" s="22" t="s">
        <v>435</v>
      </c>
      <c r="T4594" s="21" t="str">
        <f>HYPERLINK("https://miland.ru/api/getInfo/image/b4d5704c-fb49-11ef-a274-00155d82e908")</f>
        <v>https://miland.ru/api/getInfo/image/b4d5704c-fb49-11ef-a274-00155d82e908</v>
      </c>
      <c r="U4594" s="21"/>
      <c r="V4594" s="21" t="s">
        <v>15979</v>
      </c>
      <c r="W4594" s="21" t="s">
        <v>8246</v>
      </c>
      <c r="X4594" s="21"/>
      <c r="Y4594" s="21" t="s">
        <v>41</v>
      </c>
      <c r="Z4594" s="21"/>
      <c r="AA4594" s="21" t="str">
        <f>HYPERLINK("https://miland.ru/api/getInfo/item/b4d5704c-fb49-11ef-a274-00155d82e908")</f>
        <v>https://miland.ru/api/getInfo/item/b4d5704c-fb49-11ef-a274-00155d82e908</v>
      </c>
      <c r="AB4594" s="21" t="s">
        <v>50</v>
      </c>
      <c r="AC4594" s="21"/>
      <c r="AD4594" s="21"/>
    </row>
    <row r="4595" spans="2:30" s="1" customFormat="1" ht="96.3" customHeight="1" outlineLevel="6">
      <c r="B4595" s="57">
        <v>3684</v>
      </c>
      <c r="C4595" s="21" t="s">
        <v>16230</v>
      </c>
      <c r="D4595" s="72" t="s">
        <v>16231</v>
      </c>
      <c r="E4595" s="72"/>
      <c r="F4595" s="72"/>
      <c r="G4595" s="72"/>
      <c r="H4595" s="22" t="s">
        <v>16232</v>
      </c>
      <c r="I4595" s="27">
        <v>233</v>
      </c>
      <c r="J4595" s="22"/>
      <c r="K4595" s="20">
        <v>1</v>
      </c>
      <c r="L4595" s="24">
        <v>492.49</v>
      </c>
      <c r="M4595" s="11"/>
      <c r="N4595" s="22">
        <f t="shared" si="232"/>
        <v>0</v>
      </c>
      <c r="O4595" s="28">
        <f>0.27*M4595</f>
        <v>0</v>
      </c>
      <c r="P4595" s="26">
        <f>0.00186*M4595</f>
        <v>0</v>
      </c>
      <c r="Q4595" s="30"/>
      <c r="R4595" s="22" t="s">
        <v>16233</v>
      </c>
      <c r="S4595" s="22" t="s">
        <v>435</v>
      </c>
      <c r="T4595" s="21" t="str">
        <f>HYPERLINK("https://miland.ru/api/getInfo/image/e2589a79-fb48-11ef-a274-00155d82e908")</f>
        <v>https://miland.ru/api/getInfo/image/e2589a79-fb48-11ef-a274-00155d82e908</v>
      </c>
      <c r="U4595" s="21"/>
      <c r="V4595" s="21" t="s">
        <v>15979</v>
      </c>
      <c r="W4595" s="21" t="s">
        <v>8246</v>
      </c>
      <c r="X4595" s="21"/>
      <c r="Y4595" s="21" t="s">
        <v>41</v>
      </c>
      <c r="Z4595" s="21"/>
      <c r="AA4595" s="21" t="str">
        <f>HYPERLINK("https://miland.ru/api/getInfo/item/e2589a79-fb48-11ef-a274-00155d82e908")</f>
        <v>https://miland.ru/api/getInfo/item/e2589a79-fb48-11ef-a274-00155d82e908</v>
      </c>
      <c r="AB4595" s="21" t="s">
        <v>50</v>
      </c>
      <c r="AC4595" s="21"/>
      <c r="AD4595" s="21"/>
    </row>
    <row r="4596" spans="2:30" s="1" customFormat="1" ht="96.3" customHeight="1" outlineLevel="6">
      <c r="B4596" s="57">
        <v>3685</v>
      </c>
      <c r="C4596" s="21" t="s">
        <v>16234</v>
      </c>
      <c r="D4596" s="72" t="s">
        <v>16235</v>
      </c>
      <c r="E4596" s="72"/>
      <c r="F4596" s="72"/>
      <c r="G4596" s="72"/>
      <c r="H4596" s="22" t="s">
        <v>16236</v>
      </c>
      <c r="I4596" s="27">
        <v>234</v>
      </c>
      <c r="J4596" s="22"/>
      <c r="K4596" s="20">
        <v>1</v>
      </c>
      <c r="L4596" s="24">
        <v>492.49</v>
      </c>
      <c r="M4596" s="11"/>
      <c r="N4596" s="22">
        <f t="shared" si="232"/>
        <v>0</v>
      </c>
      <c r="O4596" s="25">
        <f>0.412*M4596</f>
        <v>0</v>
      </c>
      <c r="P4596" s="26">
        <f>0.00371*M4596</f>
        <v>0</v>
      </c>
      <c r="Q4596" s="30"/>
      <c r="R4596" s="22" t="s">
        <v>16237</v>
      </c>
      <c r="S4596" s="22" t="s">
        <v>435</v>
      </c>
      <c r="T4596" s="21" t="str">
        <f>HYPERLINK("https://miland.ru/api/getInfo/image/ee635003-fb47-11ef-a274-00155d82e908")</f>
        <v>https://miland.ru/api/getInfo/image/ee635003-fb47-11ef-a274-00155d82e908</v>
      </c>
      <c r="U4596" s="21"/>
      <c r="V4596" s="21" t="s">
        <v>15979</v>
      </c>
      <c r="W4596" s="21" t="s">
        <v>8246</v>
      </c>
      <c r="X4596" s="21"/>
      <c r="Y4596" s="21" t="s">
        <v>41</v>
      </c>
      <c r="Z4596" s="21"/>
      <c r="AA4596" s="21" t="str">
        <f>HYPERLINK("https://miland.ru/api/getInfo/item/ee635003-fb47-11ef-a274-00155d82e908")</f>
        <v>https://miland.ru/api/getInfo/item/ee635003-fb47-11ef-a274-00155d82e908</v>
      </c>
      <c r="AB4596" s="21" t="s">
        <v>50</v>
      </c>
      <c r="AC4596" s="21"/>
      <c r="AD4596" s="21"/>
    </row>
    <row r="4597" spans="2:30" s="1" customFormat="1" ht="96.3" customHeight="1" outlineLevel="6">
      <c r="B4597" s="57">
        <v>3686</v>
      </c>
      <c r="C4597" s="21" t="s">
        <v>16238</v>
      </c>
      <c r="D4597" s="72" t="s">
        <v>16239</v>
      </c>
      <c r="E4597" s="72"/>
      <c r="F4597" s="72"/>
      <c r="G4597" s="72"/>
      <c r="H4597" s="22" t="s">
        <v>16240</v>
      </c>
      <c r="I4597" s="27">
        <v>199</v>
      </c>
      <c r="J4597" s="22"/>
      <c r="K4597" s="20">
        <v>1</v>
      </c>
      <c r="L4597" s="24">
        <v>492.49</v>
      </c>
      <c r="M4597" s="11"/>
      <c r="N4597" s="22">
        <f t="shared" si="232"/>
        <v>0</v>
      </c>
      <c r="O4597" s="25">
        <f>0.437*M4597</f>
        <v>0</v>
      </c>
      <c r="P4597" s="26">
        <f>0.00455*M4597</f>
        <v>0</v>
      </c>
      <c r="Q4597" s="30"/>
      <c r="R4597" s="22" t="s">
        <v>16241</v>
      </c>
      <c r="S4597" s="22" t="s">
        <v>435</v>
      </c>
      <c r="T4597" s="21" t="str">
        <f>HYPERLINK("https://miland.ru/api/getInfo/image/4a8d6449-fb4b-11ef-a274-00155d82e908")</f>
        <v>https://miland.ru/api/getInfo/image/4a8d6449-fb4b-11ef-a274-00155d82e908</v>
      </c>
      <c r="U4597" s="21"/>
      <c r="V4597" s="21" t="s">
        <v>15979</v>
      </c>
      <c r="W4597" s="21" t="s">
        <v>8246</v>
      </c>
      <c r="X4597" s="21"/>
      <c r="Y4597" s="21" t="s">
        <v>41</v>
      </c>
      <c r="Z4597" s="21"/>
      <c r="AA4597" s="21" t="str">
        <f>HYPERLINK("https://miland.ru/api/getInfo/item/4a8d6449-fb4b-11ef-a274-00155d82e908")</f>
        <v>https://miland.ru/api/getInfo/item/4a8d6449-fb4b-11ef-a274-00155d82e908</v>
      </c>
      <c r="AB4597" s="21" t="s">
        <v>50</v>
      </c>
      <c r="AC4597" s="21"/>
      <c r="AD4597" s="21"/>
    </row>
    <row r="4598" spans="2:30" s="1" customFormat="1" ht="96.3" customHeight="1" outlineLevel="6">
      <c r="B4598" s="57">
        <v>3687</v>
      </c>
      <c r="C4598" s="21" t="s">
        <v>16242</v>
      </c>
      <c r="D4598" s="72" t="s">
        <v>16243</v>
      </c>
      <c r="E4598" s="72"/>
      <c r="F4598" s="72"/>
      <c r="G4598" s="72"/>
      <c r="H4598" s="22" t="s">
        <v>16244</v>
      </c>
      <c r="I4598" s="27">
        <v>231</v>
      </c>
      <c r="J4598" s="22"/>
      <c r="K4598" s="20">
        <v>1</v>
      </c>
      <c r="L4598" s="24">
        <v>492.49</v>
      </c>
      <c r="M4598" s="11"/>
      <c r="N4598" s="22">
        <f t="shared" si="232"/>
        <v>0</v>
      </c>
      <c r="O4598" s="28">
        <f>0.27*M4598</f>
        <v>0</v>
      </c>
      <c r="P4598" s="26">
        <f>0.00186*M4598</f>
        <v>0</v>
      </c>
      <c r="Q4598" s="30"/>
      <c r="R4598" s="22" t="s">
        <v>16245</v>
      </c>
      <c r="S4598" s="22" t="s">
        <v>435</v>
      </c>
      <c r="T4598" s="21" t="str">
        <f>HYPERLINK("https://miland.ru/api/getInfo/image/8bdaf1ea-fb47-11ef-a274-00155d82e908")</f>
        <v>https://miland.ru/api/getInfo/image/8bdaf1ea-fb47-11ef-a274-00155d82e908</v>
      </c>
      <c r="U4598" s="21"/>
      <c r="V4598" s="21" t="s">
        <v>15979</v>
      </c>
      <c r="W4598" s="21" t="s">
        <v>8246</v>
      </c>
      <c r="X4598" s="21"/>
      <c r="Y4598" s="21" t="s">
        <v>41</v>
      </c>
      <c r="Z4598" s="21"/>
      <c r="AA4598" s="21" t="str">
        <f>HYPERLINK("https://miland.ru/api/getInfo/item/8bdaf1ea-fb47-11ef-a274-00155d82e908")</f>
        <v>https://miland.ru/api/getInfo/item/8bdaf1ea-fb47-11ef-a274-00155d82e908</v>
      </c>
      <c r="AB4598" s="21" t="s">
        <v>50</v>
      </c>
      <c r="AC4598" s="21"/>
      <c r="AD4598" s="21"/>
    </row>
    <row r="4599" spans="2:30" s="1" customFormat="1" ht="96.3" customHeight="1" outlineLevel="6">
      <c r="B4599" s="57">
        <v>3688</v>
      </c>
      <c r="C4599" s="21" t="s">
        <v>16246</v>
      </c>
      <c r="D4599" s="72" t="s">
        <v>16247</v>
      </c>
      <c r="E4599" s="72"/>
      <c r="F4599" s="72"/>
      <c r="G4599" s="72"/>
      <c r="H4599" s="22" t="s">
        <v>16248</v>
      </c>
      <c r="I4599" s="27">
        <v>268</v>
      </c>
      <c r="J4599" s="22"/>
      <c r="K4599" s="20">
        <v>1</v>
      </c>
      <c r="L4599" s="24">
        <v>492.49</v>
      </c>
      <c r="M4599" s="11"/>
      <c r="N4599" s="22">
        <f t="shared" si="232"/>
        <v>0</v>
      </c>
      <c r="O4599" s="25">
        <f>0.437*M4599</f>
        <v>0</v>
      </c>
      <c r="P4599" s="26">
        <f>0.00455*M4599</f>
        <v>0</v>
      </c>
      <c r="Q4599" s="30"/>
      <c r="R4599" s="22" t="s">
        <v>16249</v>
      </c>
      <c r="S4599" s="22" t="s">
        <v>435</v>
      </c>
      <c r="T4599" s="21" t="str">
        <f>HYPERLINK("https://miland.ru/api/getInfo/image/106c8fc0-fb27-11ef-a274-00155d82e908")</f>
        <v>https://miland.ru/api/getInfo/image/106c8fc0-fb27-11ef-a274-00155d82e908</v>
      </c>
      <c r="U4599" s="21"/>
      <c r="V4599" s="21" t="s">
        <v>15979</v>
      </c>
      <c r="W4599" s="21" t="s">
        <v>8246</v>
      </c>
      <c r="X4599" s="21"/>
      <c r="Y4599" s="21" t="s">
        <v>41</v>
      </c>
      <c r="Z4599" s="21"/>
      <c r="AA4599" s="21" t="str">
        <f>HYPERLINK("https://miland.ru/api/getInfo/item/106c8fc0-fb27-11ef-a274-00155d82e908")</f>
        <v>https://miland.ru/api/getInfo/item/106c8fc0-fb27-11ef-a274-00155d82e908</v>
      </c>
      <c r="AB4599" s="21" t="s">
        <v>50</v>
      </c>
      <c r="AC4599" s="21"/>
      <c r="AD4599" s="21"/>
    </row>
    <row r="4600" spans="2:30" s="1" customFormat="1" ht="96.3" customHeight="1" outlineLevel="6">
      <c r="B4600" s="57">
        <v>3689</v>
      </c>
      <c r="C4600" s="21" t="s">
        <v>16250</v>
      </c>
      <c r="D4600" s="72" t="s">
        <v>16251</v>
      </c>
      <c r="E4600" s="72"/>
      <c r="F4600" s="72"/>
      <c r="G4600" s="72"/>
      <c r="H4600" s="22" t="s">
        <v>16252</v>
      </c>
      <c r="I4600" s="27">
        <v>282</v>
      </c>
      <c r="J4600" s="22"/>
      <c r="K4600" s="20">
        <v>1</v>
      </c>
      <c r="L4600" s="24">
        <v>492.49</v>
      </c>
      <c r="M4600" s="11"/>
      <c r="N4600" s="22">
        <f t="shared" si="232"/>
        <v>0</v>
      </c>
      <c r="O4600" s="28">
        <f>0.27*M4600</f>
        <v>0</v>
      </c>
      <c r="P4600" s="26">
        <f>0.00186*M4600</f>
        <v>0</v>
      </c>
      <c r="Q4600" s="30"/>
      <c r="R4600" s="22" t="s">
        <v>16253</v>
      </c>
      <c r="S4600" s="22" t="s">
        <v>435</v>
      </c>
      <c r="T4600" s="21" t="str">
        <f>HYPERLINK("https://miland.ru/api/getInfo/image/7aa5e18d-fb27-11ef-a274-00155d82e908")</f>
        <v>https://miland.ru/api/getInfo/image/7aa5e18d-fb27-11ef-a274-00155d82e908</v>
      </c>
      <c r="U4600" s="21"/>
      <c r="V4600" s="21" t="s">
        <v>15979</v>
      </c>
      <c r="W4600" s="21" t="s">
        <v>8246</v>
      </c>
      <c r="X4600" s="21"/>
      <c r="Y4600" s="21" t="s">
        <v>41</v>
      </c>
      <c r="Z4600" s="21"/>
      <c r="AA4600" s="21" t="str">
        <f>HYPERLINK("https://miland.ru/api/getInfo/item/7aa5e18d-fb27-11ef-a274-00155d82e908")</f>
        <v>https://miland.ru/api/getInfo/item/7aa5e18d-fb27-11ef-a274-00155d82e908</v>
      </c>
      <c r="AB4600" s="21" t="s">
        <v>50</v>
      </c>
      <c r="AC4600" s="21"/>
      <c r="AD4600" s="21"/>
    </row>
    <row r="4601" spans="2:30" ht="12" customHeight="1" outlineLevel="4">
      <c r="B4601" s="70" t="s">
        <v>16254</v>
      </c>
      <c r="C4601" s="70"/>
      <c r="D4601" s="70"/>
      <c r="E4601" s="70"/>
      <c r="F4601" s="70"/>
      <c r="G4601" s="70"/>
    </row>
    <row r="4602" spans="2:30" ht="12" customHeight="1" outlineLevel="5">
      <c r="B4602" s="70" t="s">
        <v>16255</v>
      </c>
      <c r="C4602" s="70"/>
      <c r="D4602" s="70"/>
      <c r="E4602" s="70"/>
      <c r="F4602" s="70"/>
      <c r="G4602" s="70"/>
    </row>
    <row r="4603" spans="2:30" s="1" customFormat="1" ht="96.3" customHeight="1" outlineLevel="6">
      <c r="B4603" s="57">
        <v>3690</v>
      </c>
      <c r="C4603" s="21" t="s">
        <v>16256</v>
      </c>
      <c r="D4603" s="72" t="s">
        <v>16257</v>
      </c>
      <c r="E4603" s="72"/>
      <c r="F4603" s="72"/>
      <c r="G4603" s="72"/>
      <c r="H4603" s="22" t="s">
        <v>16258</v>
      </c>
      <c r="I4603" s="27">
        <v>60</v>
      </c>
      <c r="J4603" s="22"/>
      <c r="K4603" s="20">
        <v>6</v>
      </c>
      <c r="L4603" s="24">
        <v>110.56</v>
      </c>
      <c r="M4603" s="11"/>
      <c r="N4603" s="22">
        <f>L4603*M4603</f>
        <v>0</v>
      </c>
      <c r="O4603" s="25">
        <f>0.077*M4603</f>
        <v>0</v>
      </c>
      <c r="P4603" s="26">
        <f>0.00126*M4603</f>
        <v>0</v>
      </c>
      <c r="Q4603" s="30"/>
      <c r="R4603" s="22" t="s">
        <v>16259</v>
      </c>
      <c r="S4603" s="22" t="s">
        <v>435</v>
      </c>
      <c r="T4603" s="21" t="str">
        <f>HYPERLINK("https://miland.ru/api/getInfo/image/cd3f1816-ce0a-11ed-a230-00155d82e902")</f>
        <v>https://miland.ru/api/getInfo/image/cd3f1816-ce0a-11ed-a230-00155d82e902</v>
      </c>
      <c r="U4603" s="21"/>
      <c r="V4603" s="21" t="s">
        <v>15979</v>
      </c>
      <c r="W4603" s="21" t="s">
        <v>8246</v>
      </c>
      <c r="X4603" s="21"/>
      <c r="Y4603" s="21" t="s">
        <v>41</v>
      </c>
      <c r="Z4603" s="21"/>
      <c r="AA4603" s="21" t="str">
        <f>HYPERLINK("https://miland.ru/api/getInfo/item/cd3f1816-ce0a-11ed-a230-00155d82e902")</f>
        <v>https://miland.ru/api/getInfo/item/cd3f1816-ce0a-11ed-a230-00155d82e902</v>
      </c>
      <c r="AB4603" s="21" t="s">
        <v>50</v>
      </c>
      <c r="AC4603" s="21"/>
      <c r="AD4603" s="21"/>
    </row>
    <row r="4604" spans="2:30" s="1" customFormat="1" ht="96.3" customHeight="1" outlineLevel="6">
      <c r="B4604" s="57">
        <v>3691</v>
      </c>
      <c r="C4604" s="21" t="s">
        <v>16260</v>
      </c>
      <c r="D4604" s="72" t="s">
        <v>16261</v>
      </c>
      <c r="E4604" s="72"/>
      <c r="F4604" s="72"/>
      <c r="G4604" s="72"/>
      <c r="H4604" s="22" t="s">
        <v>16262</v>
      </c>
      <c r="I4604" s="27">
        <v>59</v>
      </c>
      <c r="J4604" s="22"/>
      <c r="K4604" s="20">
        <v>6</v>
      </c>
      <c r="L4604" s="24">
        <v>108.2</v>
      </c>
      <c r="M4604" s="11"/>
      <c r="N4604" s="22">
        <f>L4604*M4604</f>
        <v>0</v>
      </c>
      <c r="O4604" s="25">
        <f>0.077*M4604</f>
        <v>0</v>
      </c>
      <c r="P4604" s="26">
        <f>0.00126*M4604</f>
        <v>0</v>
      </c>
      <c r="Q4604" s="30"/>
      <c r="R4604" s="22" t="s">
        <v>16263</v>
      </c>
      <c r="S4604" s="22" t="s">
        <v>435</v>
      </c>
      <c r="T4604" s="21" t="str">
        <f>HYPERLINK("https://miland.ru/api/getInfo/image/f354165c-ce0a-11ed-a230-00155d82e902")</f>
        <v>https://miland.ru/api/getInfo/image/f354165c-ce0a-11ed-a230-00155d82e902</v>
      </c>
      <c r="U4604" s="21"/>
      <c r="V4604" s="21" t="s">
        <v>15979</v>
      </c>
      <c r="W4604" s="21" t="s">
        <v>8246</v>
      </c>
      <c r="X4604" s="21"/>
      <c r="Y4604" s="21" t="s">
        <v>41</v>
      </c>
      <c r="Z4604" s="21"/>
      <c r="AA4604" s="21" t="str">
        <f>HYPERLINK("https://miland.ru/api/getInfo/item/f354165c-ce0a-11ed-a230-00155d82e902")</f>
        <v>https://miland.ru/api/getInfo/item/f354165c-ce0a-11ed-a230-00155d82e902</v>
      </c>
      <c r="AB4604" s="21" t="s">
        <v>50</v>
      </c>
      <c r="AC4604" s="21"/>
      <c r="AD4604" s="21"/>
    </row>
    <row r="4605" spans="2:30" ht="12" customHeight="1" outlineLevel="5">
      <c r="B4605" s="70" t="s">
        <v>16264</v>
      </c>
      <c r="C4605" s="70"/>
      <c r="D4605" s="70"/>
      <c r="E4605" s="70"/>
      <c r="F4605" s="70"/>
      <c r="G4605" s="70"/>
    </row>
    <row r="4606" spans="2:30" s="1" customFormat="1" ht="96.3" customHeight="1" outlineLevel="6">
      <c r="B4606" s="57">
        <v>3692</v>
      </c>
      <c r="C4606" s="21" t="s">
        <v>16265</v>
      </c>
      <c r="D4606" s="72" t="s">
        <v>16266</v>
      </c>
      <c r="E4606" s="72"/>
      <c r="F4606" s="72"/>
      <c r="G4606" s="72"/>
      <c r="H4606" s="22" t="s">
        <v>16267</v>
      </c>
      <c r="I4606" s="23" t="s">
        <v>36</v>
      </c>
      <c r="J4606" s="22"/>
      <c r="K4606" s="20">
        <v>10</v>
      </c>
      <c r="L4606" s="24">
        <v>86.88</v>
      </c>
      <c r="M4606" s="11"/>
      <c r="N4606" s="22">
        <f t="shared" ref="N4606:N4612" si="233">L4606*M4606</f>
        <v>0</v>
      </c>
      <c r="O4606" s="25">
        <f>0.105*M4606</f>
        <v>0</v>
      </c>
      <c r="P4606" s="26">
        <f>0.00122*M4606</f>
        <v>0</v>
      </c>
      <c r="Q4606" s="30"/>
      <c r="R4606" s="22" t="s">
        <v>16268</v>
      </c>
      <c r="S4606" s="22" t="s">
        <v>435</v>
      </c>
      <c r="T4606" s="21" t="str">
        <f>HYPERLINK("https://miland.ru/api/getInfo/image/c45953c2-ce10-11ed-a230-00155d82e902")</f>
        <v>https://miland.ru/api/getInfo/image/c45953c2-ce10-11ed-a230-00155d82e902</v>
      </c>
      <c r="U4606" s="21"/>
      <c r="V4606" s="21" t="s">
        <v>15979</v>
      </c>
      <c r="W4606" s="21" t="s">
        <v>8246</v>
      </c>
      <c r="X4606" s="21"/>
      <c r="Y4606" s="21" t="s">
        <v>41</v>
      </c>
      <c r="Z4606" s="21"/>
      <c r="AA4606" s="21" t="str">
        <f>HYPERLINK("https://miland.ru/api/getInfo/item/c45953c2-ce10-11ed-a230-00155d82e902")</f>
        <v>https://miland.ru/api/getInfo/item/c45953c2-ce10-11ed-a230-00155d82e902</v>
      </c>
      <c r="AB4606" s="21" t="s">
        <v>50</v>
      </c>
      <c r="AC4606" s="21"/>
      <c r="AD4606" s="21"/>
    </row>
    <row r="4607" spans="2:30" s="1" customFormat="1" ht="96.3" customHeight="1" outlineLevel="6">
      <c r="B4607" s="57">
        <v>3693</v>
      </c>
      <c r="C4607" s="21" t="s">
        <v>16269</v>
      </c>
      <c r="D4607" s="72" t="s">
        <v>16270</v>
      </c>
      <c r="E4607" s="72"/>
      <c r="F4607" s="72"/>
      <c r="G4607" s="72"/>
      <c r="H4607" s="22" t="s">
        <v>16271</v>
      </c>
      <c r="I4607" s="27">
        <v>107</v>
      </c>
      <c r="J4607" s="22"/>
      <c r="K4607" s="20">
        <v>4</v>
      </c>
      <c r="L4607" s="24">
        <v>158.19999999999999</v>
      </c>
      <c r="M4607" s="11"/>
      <c r="N4607" s="22">
        <f t="shared" si="233"/>
        <v>0</v>
      </c>
      <c r="O4607" s="25">
        <f>0.117*M4607</f>
        <v>0</v>
      </c>
      <c r="P4607" s="26">
        <f>0.00245*M4607</f>
        <v>0</v>
      </c>
      <c r="Q4607" s="30"/>
      <c r="R4607" s="22" t="s">
        <v>16272</v>
      </c>
      <c r="S4607" s="22" t="s">
        <v>435</v>
      </c>
      <c r="T4607" s="21" t="str">
        <f>HYPERLINK("https://miland.ru/api/getInfo/image/6a36f804-ce09-11ed-a230-00155d82e902")</f>
        <v>https://miland.ru/api/getInfo/image/6a36f804-ce09-11ed-a230-00155d82e902</v>
      </c>
      <c r="U4607" s="21"/>
      <c r="V4607" s="21" t="s">
        <v>15979</v>
      </c>
      <c r="W4607" s="21" t="s">
        <v>8246</v>
      </c>
      <c r="X4607" s="21"/>
      <c r="Y4607" s="21" t="s">
        <v>41</v>
      </c>
      <c r="Z4607" s="21"/>
      <c r="AA4607" s="21" t="str">
        <f>HYPERLINK("https://miland.ru/api/getInfo/item/6a36f804-ce09-11ed-a230-00155d82e902")</f>
        <v>https://miland.ru/api/getInfo/item/6a36f804-ce09-11ed-a230-00155d82e902</v>
      </c>
      <c r="AB4607" s="21" t="s">
        <v>50</v>
      </c>
      <c r="AC4607" s="21"/>
      <c r="AD4607" s="21"/>
    </row>
    <row r="4608" spans="2:30" s="1" customFormat="1" ht="96.3" customHeight="1" outlineLevel="6">
      <c r="B4608" s="57">
        <v>3694</v>
      </c>
      <c r="C4608" s="21" t="s">
        <v>16273</v>
      </c>
      <c r="D4608" s="72" t="s">
        <v>16274</v>
      </c>
      <c r="E4608" s="72"/>
      <c r="F4608" s="72"/>
      <c r="G4608" s="72"/>
      <c r="H4608" s="22" t="s">
        <v>16275</v>
      </c>
      <c r="I4608" s="27">
        <v>476</v>
      </c>
      <c r="J4608" s="22"/>
      <c r="K4608" s="20">
        <v>10</v>
      </c>
      <c r="L4608" s="24">
        <v>85.01</v>
      </c>
      <c r="M4608" s="11"/>
      <c r="N4608" s="22">
        <f t="shared" si="233"/>
        <v>0</v>
      </c>
      <c r="O4608" s="25">
        <f>0.103*M4608</f>
        <v>0</v>
      </c>
      <c r="P4608" s="26">
        <f>0.00028*M4608</f>
        <v>0</v>
      </c>
      <c r="Q4608" s="30"/>
      <c r="R4608" s="22" t="s">
        <v>16276</v>
      </c>
      <c r="S4608" s="22" t="s">
        <v>435</v>
      </c>
      <c r="T4608" s="21" t="str">
        <f>HYPERLINK("https://miland.ru/api/getInfo/image/ec3a7895-ce10-11ed-a230-00155d82e902")</f>
        <v>https://miland.ru/api/getInfo/image/ec3a7895-ce10-11ed-a230-00155d82e902</v>
      </c>
      <c r="U4608" s="21"/>
      <c r="V4608" s="21" t="s">
        <v>15979</v>
      </c>
      <c r="W4608" s="21" t="s">
        <v>8246</v>
      </c>
      <c r="X4608" s="21"/>
      <c r="Y4608" s="21" t="s">
        <v>41</v>
      </c>
      <c r="Z4608" s="21"/>
      <c r="AA4608" s="21" t="str">
        <f>HYPERLINK("https://miland.ru/api/getInfo/item/ec3a7895-ce10-11ed-a230-00155d82e902")</f>
        <v>https://miland.ru/api/getInfo/item/ec3a7895-ce10-11ed-a230-00155d82e902</v>
      </c>
      <c r="AB4608" s="21" t="s">
        <v>50</v>
      </c>
      <c r="AC4608" s="21"/>
      <c r="AD4608" s="21"/>
    </row>
    <row r="4609" spans="2:31" s="1" customFormat="1" ht="96.3" customHeight="1" outlineLevel="6">
      <c r="B4609" s="57">
        <v>3695</v>
      </c>
      <c r="C4609" s="21" t="s">
        <v>16277</v>
      </c>
      <c r="D4609" s="72" t="s">
        <v>16278</v>
      </c>
      <c r="E4609" s="72"/>
      <c r="F4609" s="72"/>
      <c r="G4609" s="72"/>
      <c r="H4609" s="22" t="s">
        <v>16279</v>
      </c>
      <c r="I4609" s="27">
        <v>111</v>
      </c>
      <c r="J4609" s="22"/>
      <c r="K4609" s="20">
        <v>4</v>
      </c>
      <c r="L4609" s="24">
        <v>154.69</v>
      </c>
      <c r="M4609" s="11"/>
      <c r="N4609" s="22">
        <f t="shared" si="233"/>
        <v>0</v>
      </c>
      <c r="O4609" s="25">
        <f>0.126*M4609</f>
        <v>0</v>
      </c>
      <c r="P4609" s="29">
        <f>0.0016*M4609</f>
        <v>0</v>
      </c>
      <c r="Q4609" s="30"/>
      <c r="R4609" s="22" t="s">
        <v>16280</v>
      </c>
      <c r="S4609" s="22" t="s">
        <v>435</v>
      </c>
      <c r="T4609" s="21" t="str">
        <f>HYPERLINK("https://miland.ru/api/getInfo/image/89d2f2ed-ce09-11ed-a230-00155d82e902")</f>
        <v>https://miland.ru/api/getInfo/image/89d2f2ed-ce09-11ed-a230-00155d82e902</v>
      </c>
      <c r="U4609" s="21"/>
      <c r="V4609" s="21" t="s">
        <v>15979</v>
      </c>
      <c r="W4609" s="21" t="s">
        <v>8246</v>
      </c>
      <c r="X4609" s="21"/>
      <c r="Y4609" s="21" t="s">
        <v>41</v>
      </c>
      <c r="Z4609" s="21"/>
      <c r="AA4609" s="21" t="str">
        <f>HYPERLINK("https://miland.ru/api/getInfo/item/89d2f2ed-ce09-11ed-a230-00155d82e902")</f>
        <v>https://miland.ru/api/getInfo/item/89d2f2ed-ce09-11ed-a230-00155d82e902</v>
      </c>
      <c r="AB4609" s="21" t="s">
        <v>50</v>
      </c>
      <c r="AC4609" s="21"/>
      <c r="AD4609" s="21"/>
    </row>
    <row r="4610" spans="2:31" s="1" customFormat="1" ht="96.3" customHeight="1" outlineLevel="6">
      <c r="B4610" s="59">
        <v>3696</v>
      </c>
      <c r="C4610" s="35" t="s">
        <v>16281</v>
      </c>
      <c r="D4610" s="73" t="s">
        <v>16282</v>
      </c>
      <c r="E4610" s="73"/>
      <c r="F4610" s="73"/>
      <c r="G4610" s="73"/>
      <c r="H4610" s="36" t="s">
        <v>16283</v>
      </c>
      <c r="I4610" s="40">
        <v>17</v>
      </c>
      <c r="J4610" s="36"/>
      <c r="K4610" s="34">
        <v>6</v>
      </c>
      <c r="L4610" s="41">
        <v>65.239999999999995</v>
      </c>
      <c r="M4610" s="11"/>
      <c r="N4610" s="36">
        <f t="shared" si="233"/>
        <v>0</v>
      </c>
      <c r="O4610" s="42">
        <f>0.114*M4610</f>
        <v>0</v>
      </c>
      <c r="P4610" s="43">
        <f>0.00162*M4610</f>
        <v>0</v>
      </c>
      <c r="Q4610" s="50"/>
      <c r="R4610" s="36" t="s">
        <v>16284</v>
      </c>
      <c r="S4610" s="36" t="s">
        <v>435</v>
      </c>
      <c r="T4610" s="35" t="str">
        <f>HYPERLINK("https://miland.ru/api/getInfo/image/4c061dc6-f5a4-11ee-a25b-00155d82e908")</f>
        <v>https://miland.ru/api/getInfo/image/4c061dc6-f5a4-11ee-a25b-00155d82e908</v>
      </c>
      <c r="U4610" s="35"/>
      <c r="V4610" s="35" t="s">
        <v>15979</v>
      </c>
      <c r="W4610" s="35" t="s">
        <v>8246</v>
      </c>
      <c r="X4610" s="35"/>
      <c r="Y4610" s="35" t="s">
        <v>41</v>
      </c>
      <c r="Z4610" s="35"/>
      <c r="AA4610" s="35" t="str">
        <f>HYPERLINK("https://miland.ru/api/getInfo/item/4c061dc6-f5a4-11ee-a25b-00155d82e908")</f>
        <v>https://miland.ru/api/getInfo/item/4c061dc6-f5a4-11ee-a25b-00155d82e908</v>
      </c>
      <c r="AB4610" s="35" t="s">
        <v>50</v>
      </c>
      <c r="AC4610" s="35" t="s">
        <v>16285</v>
      </c>
      <c r="AD4610" s="35"/>
      <c r="AE4610" s="52" t="s">
        <v>1251</v>
      </c>
    </row>
    <row r="4611" spans="2:31" s="1" customFormat="1" ht="96.3" customHeight="1" outlineLevel="6">
      <c r="B4611" s="57">
        <v>3697</v>
      </c>
      <c r="C4611" s="21" t="s">
        <v>16286</v>
      </c>
      <c r="D4611" s="72" t="s">
        <v>16287</v>
      </c>
      <c r="E4611" s="72"/>
      <c r="F4611" s="72"/>
      <c r="G4611" s="72"/>
      <c r="H4611" s="22" t="s">
        <v>16288</v>
      </c>
      <c r="I4611" s="27">
        <v>418</v>
      </c>
      <c r="J4611" s="22"/>
      <c r="K4611" s="20">
        <v>5</v>
      </c>
      <c r="L4611" s="24">
        <v>125.84</v>
      </c>
      <c r="M4611" s="11"/>
      <c r="N4611" s="22">
        <f t="shared" si="233"/>
        <v>0</v>
      </c>
      <c r="O4611" s="25">
        <f>0.094*M4611</f>
        <v>0</v>
      </c>
      <c r="P4611" s="26">
        <f>0.00126*M4611</f>
        <v>0</v>
      </c>
      <c r="Q4611" s="30"/>
      <c r="R4611" s="22" t="s">
        <v>16289</v>
      </c>
      <c r="S4611" s="22" t="s">
        <v>435</v>
      </c>
      <c r="T4611" s="21" t="str">
        <f>HYPERLINK("https://miland.ru/api/getInfo/image/01c220b9-2790-11ee-a23d-00155d82e902")</f>
        <v>https://miland.ru/api/getInfo/image/01c220b9-2790-11ee-a23d-00155d82e902</v>
      </c>
      <c r="U4611" s="21"/>
      <c r="V4611" s="21" t="s">
        <v>15979</v>
      </c>
      <c r="W4611" s="21" t="s">
        <v>8246</v>
      </c>
      <c r="X4611" s="21"/>
      <c r="Y4611" s="21" t="s">
        <v>41</v>
      </c>
      <c r="Z4611" s="21"/>
      <c r="AA4611" s="21" t="str">
        <f>HYPERLINK("https://miland.ru/api/getInfo/item/01c220b9-2790-11ee-a23d-00155d82e902")</f>
        <v>https://miland.ru/api/getInfo/item/01c220b9-2790-11ee-a23d-00155d82e902</v>
      </c>
      <c r="AB4611" s="21" t="s">
        <v>50</v>
      </c>
      <c r="AC4611" s="21" t="s">
        <v>16290</v>
      </c>
      <c r="AD4611" s="21"/>
    </row>
    <row r="4612" spans="2:31" s="1" customFormat="1" ht="96.3" customHeight="1" outlineLevel="6">
      <c r="B4612" s="57">
        <v>3698</v>
      </c>
      <c r="C4612" s="21" t="s">
        <v>16291</v>
      </c>
      <c r="D4612" s="72" t="s">
        <v>16292</v>
      </c>
      <c r="E4612" s="72"/>
      <c r="F4612" s="72"/>
      <c r="G4612" s="72"/>
      <c r="H4612" s="22" t="s">
        <v>16293</v>
      </c>
      <c r="I4612" s="27">
        <v>139</v>
      </c>
      <c r="J4612" s="22"/>
      <c r="K4612" s="20">
        <v>5</v>
      </c>
      <c r="L4612" s="24">
        <v>125.84</v>
      </c>
      <c r="M4612" s="11"/>
      <c r="N4612" s="22">
        <f t="shared" si="233"/>
        <v>0</v>
      </c>
      <c r="O4612" s="25">
        <f>0.093*M4612</f>
        <v>0</v>
      </c>
      <c r="P4612" s="26">
        <f>0.00146*M4612</f>
        <v>0</v>
      </c>
      <c r="Q4612" s="30"/>
      <c r="R4612" s="22" t="s">
        <v>16294</v>
      </c>
      <c r="S4612" s="22" t="s">
        <v>435</v>
      </c>
      <c r="T4612" s="21" t="str">
        <f>HYPERLINK("https://miland.ru/api/getInfo/image/bc2cf387-2791-11ee-a23d-00155d82e902")</f>
        <v>https://miland.ru/api/getInfo/image/bc2cf387-2791-11ee-a23d-00155d82e902</v>
      </c>
      <c r="U4612" s="21"/>
      <c r="V4612" s="21" t="s">
        <v>15979</v>
      </c>
      <c r="W4612" s="21" t="s">
        <v>8246</v>
      </c>
      <c r="X4612" s="21"/>
      <c r="Y4612" s="21" t="s">
        <v>41</v>
      </c>
      <c r="Z4612" s="21"/>
      <c r="AA4612" s="21" t="str">
        <f>HYPERLINK("https://miland.ru/api/getInfo/item/bc2cf387-2791-11ee-a23d-00155d82e902")</f>
        <v>https://miland.ru/api/getInfo/item/bc2cf387-2791-11ee-a23d-00155d82e902</v>
      </c>
      <c r="AB4612" s="21" t="s">
        <v>50</v>
      </c>
      <c r="AC4612" s="21" t="s">
        <v>16290</v>
      </c>
      <c r="AD4612" s="21"/>
    </row>
    <row r="4613" spans="2:31" ht="12" customHeight="1" outlineLevel="5">
      <c r="B4613" s="70" t="s">
        <v>16295</v>
      </c>
      <c r="C4613" s="70"/>
      <c r="D4613" s="70"/>
      <c r="E4613" s="70"/>
      <c r="F4613" s="70"/>
      <c r="G4613" s="70"/>
    </row>
    <row r="4614" spans="2:31" s="1" customFormat="1" ht="96.3" customHeight="1" outlineLevel="6">
      <c r="B4614" s="57">
        <v>3699</v>
      </c>
      <c r="C4614" s="21" t="s">
        <v>16296</v>
      </c>
      <c r="D4614" s="72" t="s">
        <v>16297</v>
      </c>
      <c r="E4614" s="72"/>
      <c r="F4614" s="72"/>
      <c r="G4614" s="72"/>
      <c r="H4614" s="22" t="s">
        <v>16298</v>
      </c>
      <c r="I4614" s="23" t="s">
        <v>36</v>
      </c>
      <c r="J4614" s="22"/>
      <c r="K4614" s="20">
        <v>5</v>
      </c>
      <c r="L4614" s="24">
        <v>122.24</v>
      </c>
      <c r="M4614" s="11"/>
      <c r="N4614" s="22">
        <f>L4614*M4614</f>
        <v>0</v>
      </c>
      <c r="O4614" s="25">
        <f>0.137*M4614</f>
        <v>0</v>
      </c>
      <c r="P4614" s="26">
        <f>0.00245*M4614</f>
        <v>0</v>
      </c>
      <c r="Q4614" s="30"/>
      <c r="R4614" s="22" t="s">
        <v>16299</v>
      </c>
      <c r="S4614" s="22" t="s">
        <v>435</v>
      </c>
      <c r="T4614" s="21" t="str">
        <f>HYPERLINK("https://miland.ru/api/getInfo/image/080318ae-ce0f-11ed-a230-00155d82e902")</f>
        <v>https://miland.ru/api/getInfo/image/080318ae-ce0f-11ed-a230-00155d82e902</v>
      </c>
      <c r="U4614" s="21"/>
      <c r="V4614" s="21" t="s">
        <v>15979</v>
      </c>
      <c r="W4614" s="21" t="s">
        <v>8246</v>
      </c>
      <c r="X4614" s="21"/>
      <c r="Y4614" s="21" t="s">
        <v>41</v>
      </c>
      <c r="Z4614" s="21"/>
      <c r="AA4614" s="21" t="str">
        <f>HYPERLINK("https://miland.ru/api/getInfo/item/080318ae-ce0f-11ed-a230-00155d82e902")</f>
        <v>https://miland.ru/api/getInfo/item/080318ae-ce0f-11ed-a230-00155d82e902</v>
      </c>
      <c r="AB4614" s="21" t="s">
        <v>50</v>
      </c>
      <c r="AC4614" s="21"/>
      <c r="AD4614" s="21"/>
    </row>
    <row r="4615" spans="2:31" s="1" customFormat="1" ht="96.3" customHeight="1" outlineLevel="6">
      <c r="B4615" s="59">
        <v>3700</v>
      </c>
      <c r="C4615" s="35" t="s">
        <v>16300</v>
      </c>
      <c r="D4615" s="73" t="s">
        <v>16301</v>
      </c>
      <c r="E4615" s="73"/>
      <c r="F4615" s="73"/>
      <c r="G4615" s="73"/>
      <c r="H4615" s="36" t="s">
        <v>16302</v>
      </c>
      <c r="I4615" s="40">
        <v>5</v>
      </c>
      <c r="J4615" s="36"/>
      <c r="K4615" s="34">
        <v>5</v>
      </c>
      <c r="L4615" s="41">
        <v>94.09333333333332</v>
      </c>
      <c r="M4615" s="11"/>
      <c r="N4615" s="36">
        <f>L4615*M4615</f>
        <v>0</v>
      </c>
      <c r="O4615" s="42">
        <f>0.181*M4615</f>
        <v>0</v>
      </c>
      <c r="P4615" s="43">
        <f>0.00387*M4615</f>
        <v>0</v>
      </c>
      <c r="Q4615" s="50"/>
      <c r="R4615" s="36" t="s">
        <v>16303</v>
      </c>
      <c r="S4615" s="36" t="s">
        <v>435</v>
      </c>
      <c r="T4615" s="35" t="str">
        <f>HYPERLINK("https://miland.ru/api/getInfo/image/37c47ab6-f5a4-11ee-a25b-00155d82e908")</f>
        <v>https://miland.ru/api/getInfo/image/37c47ab6-f5a4-11ee-a25b-00155d82e908</v>
      </c>
      <c r="U4615" s="35"/>
      <c r="V4615" s="35" t="s">
        <v>15979</v>
      </c>
      <c r="W4615" s="35" t="s">
        <v>8246</v>
      </c>
      <c r="X4615" s="35"/>
      <c r="Y4615" s="35" t="s">
        <v>41</v>
      </c>
      <c r="Z4615" s="35"/>
      <c r="AA4615" s="35" t="str">
        <f>HYPERLINK("https://miland.ru/api/getInfo/item/37c47ab6-f5a4-11ee-a25b-00155d82e908")</f>
        <v>https://miland.ru/api/getInfo/item/37c47ab6-f5a4-11ee-a25b-00155d82e908</v>
      </c>
      <c r="AB4615" s="35" t="s">
        <v>50</v>
      </c>
      <c r="AC4615" s="35" t="s">
        <v>16304</v>
      </c>
      <c r="AD4615" s="35"/>
      <c r="AE4615" s="52" t="s">
        <v>1251</v>
      </c>
    </row>
    <row r="4616" spans="2:31" s="1" customFormat="1" ht="96.3" customHeight="1" outlineLevel="6">
      <c r="B4616" s="57">
        <v>3701</v>
      </c>
      <c r="C4616" s="21" t="s">
        <v>16305</v>
      </c>
      <c r="D4616" s="72" t="s">
        <v>16306</v>
      </c>
      <c r="E4616" s="72"/>
      <c r="F4616" s="72"/>
      <c r="G4616" s="72"/>
      <c r="H4616" s="22" t="s">
        <v>16307</v>
      </c>
      <c r="I4616" s="23" t="s">
        <v>36</v>
      </c>
      <c r="J4616" s="22"/>
      <c r="K4616" s="20">
        <v>5</v>
      </c>
      <c r="L4616" s="24">
        <v>123.59</v>
      </c>
      <c r="M4616" s="11"/>
      <c r="N4616" s="22">
        <f>L4616*M4616</f>
        <v>0</v>
      </c>
      <c r="O4616" s="25">
        <f>0.137*M4616</f>
        <v>0</v>
      </c>
      <c r="P4616" s="26">
        <f>0.00245*M4616</f>
        <v>0</v>
      </c>
      <c r="Q4616" s="30"/>
      <c r="R4616" s="22" t="s">
        <v>16308</v>
      </c>
      <c r="S4616" s="22" t="s">
        <v>435</v>
      </c>
      <c r="T4616" s="21" t="str">
        <f>HYPERLINK("https://miland.ru/api/getInfo/image/ed270e79-ce0e-11ed-a230-00155d82e902")</f>
        <v>https://miland.ru/api/getInfo/image/ed270e79-ce0e-11ed-a230-00155d82e902</v>
      </c>
      <c r="U4616" s="21"/>
      <c r="V4616" s="21" t="s">
        <v>15979</v>
      </c>
      <c r="W4616" s="21" t="s">
        <v>8246</v>
      </c>
      <c r="X4616" s="21"/>
      <c r="Y4616" s="21" t="s">
        <v>41</v>
      </c>
      <c r="Z4616" s="21"/>
      <c r="AA4616" s="21" t="str">
        <f>HYPERLINK("https://miland.ru/api/getInfo/item/ed270e79-ce0e-11ed-a230-00155d82e902")</f>
        <v>https://miland.ru/api/getInfo/item/ed270e79-ce0e-11ed-a230-00155d82e902</v>
      </c>
      <c r="AB4616" s="21" t="s">
        <v>50</v>
      </c>
      <c r="AC4616" s="21"/>
      <c r="AD4616" s="21"/>
    </row>
    <row r="4617" spans="2:31" ht="12" customHeight="1" outlineLevel="5">
      <c r="B4617" s="70" t="s">
        <v>16309</v>
      </c>
      <c r="C4617" s="70"/>
      <c r="D4617" s="70"/>
      <c r="E4617" s="70"/>
      <c r="F4617" s="70"/>
      <c r="G4617" s="70"/>
    </row>
    <row r="4618" spans="2:31" s="1" customFormat="1" ht="96.3" customHeight="1" outlineLevel="6">
      <c r="B4618" s="57">
        <v>3702</v>
      </c>
      <c r="C4618" s="21" t="s">
        <v>16310</v>
      </c>
      <c r="D4618" s="72" t="s">
        <v>16311</v>
      </c>
      <c r="E4618" s="72"/>
      <c r="F4618" s="72"/>
      <c r="G4618" s="72"/>
      <c r="H4618" s="22" t="s">
        <v>16312</v>
      </c>
      <c r="I4618" s="27">
        <v>55</v>
      </c>
      <c r="J4618" s="22"/>
      <c r="K4618" s="20">
        <v>4</v>
      </c>
      <c r="L4618" s="24">
        <v>172.53</v>
      </c>
      <c r="M4618" s="11"/>
      <c r="N4618" s="22">
        <f>L4618*M4618</f>
        <v>0</v>
      </c>
      <c r="O4618" s="25">
        <f>0.177*M4618</f>
        <v>0</v>
      </c>
      <c r="P4618" s="26">
        <f>0.00371*M4618</f>
        <v>0</v>
      </c>
      <c r="Q4618" s="30"/>
      <c r="R4618" s="22" t="s">
        <v>16313</v>
      </c>
      <c r="S4618" s="22" t="s">
        <v>435</v>
      </c>
      <c r="T4618" s="21" t="str">
        <f>HYPERLINK("https://miland.ru/api/getInfo/image/a744efec-ce0d-11ed-a230-00155d82e902")</f>
        <v>https://miland.ru/api/getInfo/image/a744efec-ce0d-11ed-a230-00155d82e902</v>
      </c>
      <c r="U4618" s="21"/>
      <c r="V4618" s="21" t="s">
        <v>15979</v>
      </c>
      <c r="W4618" s="21" t="s">
        <v>8246</v>
      </c>
      <c r="X4618" s="21"/>
      <c r="Y4618" s="21" t="s">
        <v>41</v>
      </c>
      <c r="Z4618" s="21"/>
      <c r="AA4618" s="21" t="str">
        <f>HYPERLINK("https://miland.ru/api/getInfo/item/a744efec-ce0d-11ed-a230-00155d82e902")</f>
        <v>https://miland.ru/api/getInfo/item/a744efec-ce0d-11ed-a230-00155d82e902</v>
      </c>
      <c r="AB4618" s="21" t="s">
        <v>50</v>
      </c>
      <c r="AC4618" s="21"/>
      <c r="AD4618" s="21"/>
    </row>
    <row r="4619" spans="2:31" s="1" customFormat="1" ht="96.3" customHeight="1" outlineLevel="6">
      <c r="B4619" s="57">
        <v>3703</v>
      </c>
      <c r="C4619" s="21" t="s">
        <v>16314</v>
      </c>
      <c r="D4619" s="72" t="s">
        <v>16315</v>
      </c>
      <c r="E4619" s="72"/>
      <c r="F4619" s="72"/>
      <c r="G4619" s="72"/>
      <c r="H4619" s="22" t="s">
        <v>16316</v>
      </c>
      <c r="I4619" s="27">
        <v>38</v>
      </c>
      <c r="J4619" s="22"/>
      <c r="K4619" s="20">
        <v>4</v>
      </c>
      <c r="L4619" s="24">
        <v>170.52</v>
      </c>
      <c r="M4619" s="11"/>
      <c r="N4619" s="22">
        <f>L4619*M4619</f>
        <v>0</v>
      </c>
      <c r="O4619" s="25">
        <f>0.176*M4619</f>
        <v>0</v>
      </c>
      <c r="P4619" s="26">
        <f>0.00339*M4619</f>
        <v>0</v>
      </c>
      <c r="Q4619" s="30"/>
      <c r="R4619" s="22" t="s">
        <v>16317</v>
      </c>
      <c r="S4619" s="22" t="s">
        <v>435</v>
      </c>
      <c r="T4619" s="21" t="str">
        <f>HYPERLINK("https://miland.ru/api/getInfo/image/ce6e946a-ce0d-11ed-a230-00155d82e902")</f>
        <v>https://miland.ru/api/getInfo/image/ce6e946a-ce0d-11ed-a230-00155d82e902</v>
      </c>
      <c r="U4619" s="21"/>
      <c r="V4619" s="21" t="s">
        <v>15979</v>
      </c>
      <c r="W4619" s="21" t="s">
        <v>8246</v>
      </c>
      <c r="X4619" s="21"/>
      <c r="Y4619" s="21" t="s">
        <v>41</v>
      </c>
      <c r="Z4619" s="21"/>
      <c r="AA4619" s="21" t="str">
        <f>HYPERLINK("https://miland.ru/api/getInfo/item/ce6e946a-ce0d-11ed-a230-00155d82e902")</f>
        <v>https://miland.ru/api/getInfo/item/ce6e946a-ce0d-11ed-a230-00155d82e902</v>
      </c>
      <c r="AB4619" s="21" t="s">
        <v>50</v>
      </c>
      <c r="AC4619" s="21"/>
      <c r="AD4619" s="21"/>
    </row>
    <row r="4620" spans="2:31" s="1" customFormat="1" ht="96.3" customHeight="1" outlineLevel="6">
      <c r="B4620" s="59">
        <v>3704</v>
      </c>
      <c r="C4620" s="35" t="s">
        <v>16318</v>
      </c>
      <c r="D4620" s="73" t="s">
        <v>16319</v>
      </c>
      <c r="E4620" s="73"/>
      <c r="F4620" s="73"/>
      <c r="G4620" s="73"/>
      <c r="H4620" s="36" t="s">
        <v>16320</v>
      </c>
      <c r="I4620" s="40">
        <v>9</v>
      </c>
      <c r="J4620" s="36"/>
      <c r="K4620" s="34">
        <v>3</v>
      </c>
      <c r="L4620" s="41">
        <v>132.56</v>
      </c>
      <c r="M4620" s="11"/>
      <c r="N4620" s="36">
        <f>L4620*M4620</f>
        <v>0</v>
      </c>
      <c r="O4620" s="42">
        <f>0.181*M4620</f>
        <v>0</v>
      </c>
      <c r="P4620" s="43">
        <f>0.00387*M4620</f>
        <v>0</v>
      </c>
      <c r="Q4620" s="50"/>
      <c r="R4620" s="36" t="s">
        <v>16321</v>
      </c>
      <c r="S4620" s="36" t="s">
        <v>435</v>
      </c>
      <c r="T4620" s="35" t="str">
        <f>HYPERLINK("https://miland.ru/api/getInfo/image/222de700-f5a4-11ee-a25b-00155d82e908")</f>
        <v>https://miland.ru/api/getInfo/image/222de700-f5a4-11ee-a25b-00155d82e908</v>
      </c>
      <c r="U4620" s="35"/>
      <c r="V4620" s="35" t="s">
        <v>15979</v>
      </c>
      <c r="W4620" s="35" t="s">
        <v>8246</v>
      </c>
      <c r="X4620" s="35"/>
      <c r="Y4620" s="35" t="s">
        <v>41</v>
      </c>
      <c r="Z4620" s="35"/>
      <c r="AA4620" s="35" t="str">
        <f>HYPERLINK("https://miland.ru/api/getInfo/item/222de700-f5a4-11ee-a25b-00155d82e908")</f>
        <v>https://miland.ru/api/getInfo/item/222de700-f5a4-11ee-a25b-00155d82e908</v>
      </c>
      <c r="AB4620" s="35" t="s">
        <v>50</v>
      </c>
      <c r="AC4620" s="35" t="s">
        <v>16322</v>
      </c>
      <c r="AD4620" s="35"/>
      <c r="AE4620" s="52" t="s">
        <v>1251</v>
      </c>
    </row>
    <row r="4621" spans="2:31" ht="12" customHeight="1" outlineLevel="3">
      <c r="B4621" s="70" t="s">
        <v>16323</v>
      </c>
      <c r="C4621" s="70"/>
      <c r="D4621" s="70"/>
      <c r="E4621" s="70"/>
      <c r="F4621" s="70"/>
      <c r="G4621" s="70"/>
    </row>
    <row r="4622" spans="2:31" ht="12" customHeight="1" outlineLevel="4">
      <c r="B4622" s="70" t="s">
        <v>16324</v>
      </c>
      <c r="C4622" s="70"/>
      <c r="D4622" s="70"/>
      <c r="E4622" s="70"/>
      <c r="F4622" s="70"/>
      <c r="G4622" s="70"/>
    </row>
    <row r="4623" spans="2:31" ht="12" customHeight="1" outlineLevel="5">
      <c r="B4623" s="70" t="s">
        <v>8406</v>
      </c>
      <c r="C4623" s="70"/>
      <c r="D4623" s="70"/>
      <c r="E4623" s="70"/>
      <c r="F4623" s="70"/>
      <c r="G4623" s="70"/>
    </row>
    <row r="4624" spans="2:31" s="1" customFormat="1" ht="96.3" customHeight="1" outlineLevel="6">
      <c r="B4624" s="57">
        <v>3705</v>
      </c>
      <c r="C4624" s="21" t="s">
        <v>16325</v>
      </c>
      <c r="D4624" s="72" t="s">
        <v>16326</v>
      </c>
      <c r="E4624" s="72"/>
      <c r="F4624" s="72"/>
      <c r="G4624" s="72"/>
      <c r="H4624" s="22" t="s">
        <v>16327</v>
      </c>
      <c r="I4624" s="27">
        <v>101</v>
      </c>
      <c r="J4624" s="22"/>
      <c r="K4624" s="20">
        <v>1</v>
      </c>
      <c r="L4624" s="32">
        <v>1801.19</v>
      </c>
      <c r="M4624" s="11"/>
      <c r="N4624" s="22">
        <f t="shared" ref="N4624:N4642" si="234">L4624*M4624</f>
        <v>0</v>
      </c>
      <c r="O4624" s="28">
        <f>1.35*M4624</f>
        <v>0</v>
      </c>
      <c r="P4624" s="26">
        <f>0.00995*M4624</f>
        <v>0</v>
      </c>
      <c r="Q4624" s="30"/>
      <c r="R4624" s="22" t="s">
        <v>16328</v>
      </c>
      <c r="S4624" s="22" t="s">
        <v>435</v>
      </c>
      <c r="T4624" s="21" t="str">
        <f>HYPERLINK("https://miland.ru/api/getInfo/image/2fdc6828-f188-11ee-a25b-00155d82e908")</f>
        <v>https://miland.ru/api/getInfo/image/2fdc6828-f188-11ee-a25b-00155d82e908</v>
      </c>
      <c r="U4624" s="21"/>
      <c r="V4624" s="21" t="s">
        <v>15979</v>
      </c>
      <c r="W4624" s="21" t="s">
        <v>8246</v>
      </c>
      <c r="X4624" s="21"/>
      <c r="Y4624" s="21" t="s">
        <v>41</v>
      </c>
      <c r="Z4624" s="21"/>
      <c r="AA4624" s="21" t="str">
        <f>HYPERLINK("https://miland.ru/api/getInfo/item/2fdc6828-f188-11ee-a25b-00155d82e908")</f>
        <v>https://miland.ru/api/getInfo/item/2fdc6828-f188-11ee-a25b-00155d82e908</v>
      </c>
      <c r="AB4624" s="21" t="s">
        <v>50</v>
      </c>
      <c r="AC4624" s="21"/>
      <c r="AD4624" s="21"/>
    </row>
    <row r="4625" spans="2:30" s="1" customFormat="1" ht="96.3" customHeight="1" outlineLevel="6">
      <c r="B4625" s="57">
        <v>3706</v>
      </c>
      <c r="C4625" s="21" t="s">
        <v>16329</v>
      </c>
      <c r="D4625" s="72" t="s">
        <v>16330</v>
      </c>
      <c r="E4625" s="72"/>
      <c r="F4625" s="72"/>
      <c r="G4625" s="72"/>
      <c r="H4625" s="22" t="s">
        <v>16331</v>
      </c>
      <c r="I4625" s="27">
        <v>78</v>
      </c>
      <c r="J4625" s="22"/>
      <c r="K4625" s="20">
        <v>1</v>
      </c>
      <c r="L4625" s="32">
        <v>1801.19</v>
      </c>
      <c r="M4625" s="11"/>
      <c r="N4625" s="22">
        <f t="shared" si="234"/>
        <v>0</v>
      </c>
      <c r="O4625" s="28">
        <f>1.35*M4625</f>
        <v>0</v>
      </c>
      <c r="P4625" s="26">
        <f>0.01013*M4625</f>
        <v>0</v>
      </c>
      <c r="Q4625" s="30"/>
      <c r="R4625" s="22" t="s">
        <v>16332</v>
      </c>
      <c r="S4625" s="22" t="s">
        <v>435</v>
      </c>
      <c r="T4625" s="21" t="str">
        <f>HYPERLINK("https://miland.ru/api/getInfo/image/08cf72ca-f188-11ee-a25b-00155d82e908")</f>
        <v>https://miland.ru/api/getInfo/image/08cf72ca-f188-11ee-a25b-00155d82e908</v>
      </c>
      <c r="U4625" s="21"/>
      <c r="V4625" s="21" t="s">
        <v>15979</v>
      </c>
      <c r="W4625" s="21" t="s">
        <v>8246</v>
      </c>
      <c r="X4625" s="21"/>
      <c r="Y4625" s="21" t="s">
        <v>41</v>
      </c>
      <c r="Z4625" s="21"/>
      <c r="AA4625" s="21" t="str">
        <f>HYPERLINK("https://miland.ru/api/getInfo/item/08cf72ca-f188-11ee-a25b-00155d82e908")</f>
        <v>https://miland.ru/api/getInfo/item/08cf72ca-f188-11ee-a25b-00155d82e908</v>
      </c>
      <c r="AB4625" s="21" t="s">
        <v>50</v>
      </c>
      <c r="AC4625" s="21"/>
      <c r="AD4625" s="21"/>
    </row>
    <row r="4626" spans="2:30" s="1" customFormat="1" ht="96.3" customHeight="1" outlineLevel="6">
      <c r="B4626" s="57">
        <v>3707</v>
      </c>
      <c r="C4626" s="21" t="s">
        <v>16333</v>
      </c>
      <c r="D4626" s="72" t="s">
        <v>16334</v>
      </c>
      <c r="E4626" s="72"/>
      <c r="F4626" s="72"/>
      <c r="G4626" s="72"/>
      <c r="H4626" s="22" t="s">
        <v>16335</v>
      </c>
      <c r="I4626" s="27">
        <v>60</v>
      </c>
      <c r="J4626" s="22"/>
      <c r="K4626" s="20">
        <v>1</v>
      </c>
      <c r="L4626" s="32">
        <v>1801.19</v>
      </c>
      <c r="M4626" s="11"/>
      <c r="N4626" s="22">
        <f t="shared" si="234"/>
        <v>0</v>
      </c>
      <c r="O4626" s="25">
        <f>1.352*M4626</f>
        <v>0</v>
      </c>
      <c r="P4626" s="29">
        <f>0.0101*M4626</f>
        <v>0</v>
      </c>
      <c r="Q4626" s="30"/>
      <c r="R4626" s="22" t="s">
        <v>16336</v>
      </c>
      <c r="S4626" s="22" t="s">
        <v>435</v>
      </c>
      <c r="T4626" s="21" t="str">
        <f>HYPERLINK("https://miland.ru/api/getInfo/image/ac14e0ab-f188-11ee-a25b-00155d82e908")</f>
        <v>https://miland.ru/api/getInfo/image/ac14e0ab-f188-11ee-a25b-00155d82e908</v>
      </c>
      <c r="U4626" s="21"/>
      <c r="V4626" s="21" t="s">
        <v>15979</v>
      </c>
      <c r="W4626" s="21" t="s">
        <v>8246</v>
      </c>
      <c r="X4626" s="21"/>
      <c r="Y4626" s="21" t="s">
        <v>41</v>
      </c>
      <c r="Z4626" s="21"/>
      <c r="AA4626" s="21" t="str">
        <f>HYPERLINK("https://miland.ru/api/getInfo/item/ac14e0ab-f188-11ee-a25b-00155d82e908")</f>
        <v>https://miland.ru/api/getInfo/item/ac14e0ab-f188-11ee-a25b-00155d82e908</v>
      </c>
      <c r="AB4626" s="21" t="s">
        <v>50</v>
      </c>
      <c r="AC4626" s="21"/>
      <c r="AD4626" s="21"/>
    </row>
    <row r="4627" spans="2:30" s="1" customFormat="1" ht="96.3" customHeight="1" outlineLevel="6">
      <c r="B4627" s="57">
        <v>3708</v>
      </c>
      <c r="C4627" s="21" t="s">
        <v>16337</v>
      </c>
      <c r="D4627" s="72" t="s">
        <v>16338</v>
      </c>
      <c r="E4627" s="72"/>
      <c r="F4627" s="72"/>
      <c r="G4627" s="72"/>
      <c r="H4627" s="22" t="s">
        <v>16339</v>
      </c>
      <c r="I4627" s="27">
        <v>30</v>
      </c>
      <c r="J4627" s="22"/>
      <c r="K4627" s="20">
        <v>1</v>
      </c>
      <c r="L4627" s="32">
        <v>1801.19</v>
      </c>
      <c r="M4627" s="11"/>
      <c r="N4627" s="22">
        <f t="shared" si="234"/>
        <v>0</v>
      </c>
      <c r="O4627" s="25">
        <f>1.359*M4627</f>
        <v>0</v>
      </c>
      <c r="P4627" s="26">
        <f>0.01017*M4627</f>
        <v>0</v>
      </c>
      <c r="Q4627" s="30"/>
      <c r="R4627" s="22" t="s">
        <v>16340</v>
      </c>
      <c r="S4627" s="22" t="s">
        <v>435</v>
      </c>
      <c r="T4627" s="21" t="str">
        <f>HYPERLINK("https://miland.ru/api/getInfo/image/1cf217dc-f188-11ee-a25b-00155d82e908")</f>
        <v>https://miland.ru/api/getInfo/image/1cf217dc-f188-11ee-a25b-00155d82e908</v>
      </c>
      <c r="U4627" s="21"/>
      <c r="V4627" s="21" t="s">
        <v>15979</v>
      </c>
      <c r="W4627" s="21" t="s">
        <v>8246</v>
      </c>
      <c r="X4627" s="21"/>
      <c r="Y4627" s="21" t="s">
        <v>41</v>
      </c>
      <c r="Z4627" s="21"/>
      <c r="AA4627" s="21" t="str">
        <f>HYPERLINK("https://miland.ru/api/getInfo/item/1cf217dc-f188-11ee-a25b-00155d82e908")</f>
        <v>https://miland.ru/api/getInfo/item/1cf217dc-f188-11ee-a25b-00155d82e908</v>
      </c>
      <c r="AB4627" s="21" t="s">
        <v>50</v>
      </c>
      <c r="AC4627" s="21"/>
      <c r="AD4627" s="21"/>
    </row>
    <row r="4628" spans="2:30" s="1" customFormat="1" ht="96.3" customHeight="1" outlineLevel="6">
      <c r="B4628" s="57">
        <v>3709</v>
      </c>
      <c r="C4628" s="21" t="s">
        <v>16341</v>
      </c>
      <c r="D4628" s="72" t="s">
        <v>16342</v>
      </c>
      <c r="E4628" s="72"/>
      <c r="F4628" s="72"/>
      <c r="G4628" s="72"/>
      <c r="H4628" s="22" t="s">
        <v>16343</v>
      </c>
      <c r="I4628" s="27">
        <v>92</v>
      </c>
      <c r="J4628" s="22"/>
      <c r="K4628" s="20">
        <v>1</v>
      </c>
      <c r="L4628" s="32">
        <v>1801.19</v>
      </c>
      <c r="M4628" s="11"/>
      <c r="N4628" s="22">
        <f t="shared" si="234"/>
        <v>0</v>
      </c>
      <c r="O4628" s="28">
        <f>1.36*M4628</f>
        <v>0</v>
      </c>
      <c r="P4628" s="26">
        <f>0.01002*M4628</f>
        <v>0</v>
      </c>
      <c r="Q4628" s="30"/>
      <c r="R4628" s="22" t="s">
        <v>16344</v>
      </c>
      <c r="S4628" s="22" t="s">
        <v>435</v>
      </c>
      <c r="T4628" s="21" t="str">
        <f>HYPERLINK("https://miland.ru/api/getInfo/image/f4dedefd-f187-11ee-a25b-00155d82e908")</f>
        <v>https://miland.ru/api/getInfo/image/f4dedefd-f187-11ee-a25b-00155d82e908</v>
      </c>
      <c r="U4628" s="21"/>
      <c r="V4628" s="21" t="s">
        <v>15979</v>
      </c>
      <c r="W4628" s="21" t="s">
        <v>8246</v>
      </c>
      <c r="X4628" s="21"/>
      <c r="Y4628" s="21" t="s">
        <v>41</v>
      </c>
      <c r="Z4628" s="21"/>
      <c r="AA4628" s="21" t="str">
        <f>HYPERLINK("https://miland.ru/api/getInfo/item/f4dedefd-f187-11ee-a25b-00155d82e908")</f>
        <v>https://miland.ru/api/getInfo/item/f4dedefd-f187-11ee-a25b-00155d82e908</v>
      </c>
      <c r="AB4628" s="21" t="s">
        <v>50</v>
      </c>
      <c r="AC4628" s="21"/>
      <c r="AD4628" s="21"/>
    </row>
    <row r="4629" spans="2:30" s="1" customFormat="1" ht="96.3" customHeight="1" outlineLevel="6">
      <c r="B4629" s="57">
        <v>3710</v>
      </c>
      <c r="C4629" s="21" t="s">
        <v>16345</v>
      </c>
      <c r="D4629" s="72" t="s">
        <v>16346</v>
      </c>
      <c r="E4629" s="72"/>
      <c r="F4629" s="72"/>
      <c r="G4629" s="72"/>
      <c r="H4629" s="22" t="s">
        <v>16347</v>
      </c>
      <c r="I4629" s="27">
        <v>112</v>
      </c>
      <c r="J4629" s="22"/>
      <c r="K4629" s="20">
        <v>1</v>
      </c>
      <c r="L4629" s="32">
        <v>1801.19</v>
      </c>
      <c r="M4629" s="11"/>
      <c r="N4629" s="22">
        <f t="shared" si="234"/>
        <v>0</v>
      </c>
      <c r="O4629" s="25">
        <f>1.407*M4629</f>
        <v>0</v>
      </c>
      <c r="P4629" s="26">
        <f>0.00927*M4629</f>
        <v>0</v>
      </c>
      <c r="Q4629" s="30"/>
      <c r="R4629" s="22" t="s">
        <v>16348</v>
      </c>
      <c r="S4629" s="22" t="s">
        <v>435</v>
      </c>
      <c r="T4629" s="21" t="str">
        <f>HYPERLINK("https://miland.ru/api/getInfo/image/a6f99f2b-fb53-11ef-a274-00155d82e908")</f>
        <v>https://miland.ru/api/getInfo/image/a6f99f2b-fb53-11ef-a274-00155d82e908</v>
      </c>
      <c r="U4629" s="21"/>
      <c r="V4629" s="21" t="s">
        <v>15979</v>
      </c>
      <c r="W4629" s="21" t="s">
        <v>8246</v>
      </c>
      <c r="X4629" s="21"/>
      <c r="Y4629" s="21" t="s">
        <v>41</v>
      </c>
      <c r="Z4629" s="21"/>
      <c r="AA4629" s="21" t="str">
        <f>HYPERLINK("https://miland.ru/api/getInfo/item/a6f99f2b-fb53-11ef-a274-00155d82e908")</f>
        <v>https://miland.ru/api/getInfo/item/a6f99f2b-fb53-11ef-a274-00155d82e908</v>
      </c>
      <c r="AB4629" s="21" t="s">
        <v>50</v>
      </c>
      <c r="AC4629" s="21"/>
      <c r="AD4629" s="21"/>
    </row>
    <row r="4630" spans="2:30" s="1" customFormat="1" ht="96.3" customHeight="1" outlineLevel="6">
      <c r="B4630" s="57">
        <v>3711</v>
      </c>
      <c r="C4630" s="21" t="s">
        <v>16349</v>
      </c>
      <c r="D4630" s="72" t="s">
        <v>16350</v>
      </c>
      <c r="E4630" s="72"/>
      <c r="F4630" s="72"/>
      <c r="G4630" s="72"/>
      <c r="H4630" s="22" t="s">
        <v>16351</v>
      </c>
      <c r="I4630" s="27">
        <v>130</v>
      </c>
      <c r="J4630" s="22"/>
      <c r="K4630" s="20">
        <v>1</v>
      </c>
      <c r="L4630" s="32">
        <v>1801.19</v>
      </c>
      <c r="M4630" s="11"/>
      <c r="N4630" s="22">
        <f t="shared" si="234"/>
        <v>0</v>
      </c>
      <c r="O4630" s="25">
        <f>1.403*M4630</f>
        <v>0</v>
      </c>
      <c r="P4630" s="26">
        <f>0.00909*M4630</f>
        <v>0</v>
      </c>
      <c r="Q4630" s="30"/>
      <c r="R4630" s="22" t="s">
        <v>16352</v>
      </c>
      <c r="S4630" s="22" t="s">
        <v>435</v>
      </c>
      <c r="T4630" s="21" t="str">
        <f>HYPERLINK("https://miland.ru/api/getInfo/image/1bfdeb23-fb2e-11ef-a274-00155d82e908")</f>
        <v>https://miland.ru/api/getInfo/image/1bfdeb23-fb2e-11ef-a274-00155d82e908</v>
      </c>
      <c r="U4630" s="21"/>
      <c r="V4630" s="21" t="s">
        <v>15979</v>
      </c>
      <c r="W4630" s="21" t="s">
        <v>8246</v>
      </c>
      <c r="X4630" s="21"/>
      <c r="Y4630" s="21" t="s">
        <v>41</v>
      </c>
      <c r="Z4630" s="21"/>
      <c r="AA4630" s="21" t="str">
        <f>HYPERLINK("https://miland.ru/api/getInfo/item/1bfdeb23-fb2e-11ef-a274-00155d82e908")</f>
        <v>https://miland.ru/api/getInfo/item/1bfdeb23-fb2e-11ef-a274-00155d82e908</v>
      </c>
      <c r="AB4630" s="21" t="s">
        <v>50</v>
      </c>
      <c r="AC4630" s="21"/>
      <c r="AD4630" s="21"/>
    </row>
    <row r="4631" spans="2:30" s="1" customFormat="1" ht="96.3" customHeight="1" outlineLevel="6">
      <c r="B4631" s="57">
        <v>3712</v>
      </c>
      <c r="C4631" s="21" t="s">
        <v>16353</v>
      </c>
      <c r="D4631" s="72" t="s">
        <v>16354</v>
      </c>
      <c r="E4631" s="72"/>
      <c r="F4631" s="72"/>
      <c r="G4631" s="72"/>
      <c r="H4631" s="22" t="s">
        <v>16355</v>
      </c>
      <c r="I4631" s="27">
        <v>31</v>
      </c>
      <c r="J4631" s="22"/>
      <c r="K4631" s="20">
        <v>1</v>
      </c>
      <c r="L4631" s="32">
        <v>1801.19</v>
      </c>
      <c r="M4631" s="11"/>
      <c r="N4631" s="22">
        <f t="shared" si="234"/>
        <v>0</v>
      </c>
      <c r="O4631" s="25">
        <f>1.352*M4631</f>
        <v>0</v>
      </c>
      <c r="P4631" s="29">
        <f>0.0101*M4631</f>
        <v>0</v>
      </c>
      <c r="Q4631" s="30"/>
      <c r="R4631" s="22" t="s">
        <v>16356</v>
      </c>
      <c r="S4631" s="22" t="s">
        <v>435</v>
      </c>
      <c r="T4631" s="21" t="str">
        <f>HYPERLINK("https://miland.ru/api/getInfo/image/921430a3-f188-11ee-a25b-00155d82e908")</f>
        <v>https://miland.ru/api/getInfo/image/921430a3-f188-11ee-a25b-00155d82e908</v>
      </c>
      <c r="U4631" s="21"/>
      <c r="V4631" s="21" t="s">
        <v>15979</v>
      </c>
      <c r="W4631" s="21" t="s">
        <v>8246</v>
      </c>
      <c r="X4631" s="21"/>
      <c r="Y4631" s="21" t="s">
        <v>41</v>
      </c>
      <c r="Z4631" s="21"/>
      <c r="AA4631" s="21" t="str">
        <f>HYPERLINK("https://miland.ru/api/getInfo/item/921430a3-f188-11ee-a25b-00155d82e908")</f>
        <v>https://miland.ru/api/getInfo/item/921430a3-f188-11ee-a25b-00155d82e908</v>
      </c>
      <c r="AB4631" s="21" t="s">
        <v>50</v>
      </c>
      <c r="AC4631" s="21"/>
      <c r="AD4631" s="21"/>
    </row>
    <row r="4632" spans="2:30" s="1" customFormat="1" ht="96.3" customHeight="1" outlineLevel="6">
      <c r="B4632" s="57">
        <v>3713</v>
      </c>
      <c r="C4632" s="21" t="s">
        <v>16357</v>
      </c>
      <c r="D4632" s="72" t="s">
        <v>16358</v>
      </c>
      <c r="E4632" s="72"/>
      <c r="F4632" s="72"/>
      <c r="G4632" s="72"/>
      <c r="H4632" s="22" t="s">
        <v>16359</v>
      </c>
      <c r="I4632" s="27">
        <v>87</v>
      </c>
      <c r="J4632" s="22"/>
      <c r="K4632" s="20">
        <v>1</v>
      </c>
      <c r="L4632" s="32">
        <v>1801.19</v>
      </c>
      <c r="M4632" s="11"/>
      <c r="N4632" s="22">
        <f t="shared" si="234"/>
        <v>0</v>
      </c>
      <c r="O4632" s="25">
        <f t="shared" ref="O4632:O4640" si="235">1.407*M4632</f>
        <v>0</v>
      </c>
      <c r="P4632" s="26">
        <f t="shared" ref="P4632:P4639" si="236">0.00927*M4632</f>
        <v>0</v>
      </c>
      <c r="Q4632" s="30"/>
      <c r="R4632" s="22" t="s">
        <v>16360</v>
      </c>
      <c r="S4632" s="22" t="s">
        <v>435</v>
      </c>
      <c r="T4632" s="21" t="str">
        <f>HYPERLINK("https://miland.ru/api/getInfo/image/db834fbb-fb50-11ef-a274-00155d82e908")</f>
        <v>https://miland.ru/api/getInfo/image/db834fbb-fb50-11ef-a274-00155d82e908</v>
      </c>
      <c r="U4632" s="21"/>
      <c r="V4632" s="21" t="s">
        <v>15979</v>
      </c>
      <c r="W4632" s="21" t="s">
        <v>8246</v>
      </c>
      <c r="X4632" s="21"/>
      <c r="Y4632" s="21" t="s">
        <v>41</v>
      </c>
      <c r="Z4632" s="21"/>
      <c r="AA4632" s="21" t="str">
        <f>HYPERLINK("https://miland.ru/api/getInfo/item/db834fbb-fb50-11ef-a274-00155d82e908")</f>
        <v>https://miland.ru/api/getInfo/item/db834fbb-fb50-11ef-a274-00155d82e908</v>
      </c>
      <c r="AB4632" s="21" t="s">
        <v>50</v>
      </c>
      <c r="AC4632" s="21"/>
      <c r="AD4632" s="21"/>
    </row>
    <row r="4633" spans="2:30" s="1" customFormat="1" ht="96.3" customHeight="1" outlineLevel="6">
      <c r="B4633" s="57">
        <v>3714</v>
      </c>
      <c r="C4633" s="21" t="s">
        <v>16361</v>
      </c>
      <c r="D4633" s="72" t="s">
        <v>16362</v>
      </c>
      <c r="E4633" s="72"/>
      <c r="F4633" s="72"/>
      <c r="G4633" s="72"/>
      <c r="H4633" s="22" t="s">
        <v>16363</v>
      </c>
      <c r="I4633" s="27">
        <v>9</v>
      </c>
      <c r="J4633" s="22"/>
      <c r="K4633" s="20">
        <v>1</v>
      </c>
      <c r="L4633" s="32">
        <v>1801.19</v>
      </c>
      <c r="M4633" s="11"/>
      <c r="N4633" s="22">
        <f t="shared" si="234"/>
        <v>0</v>
      </c>
      <c r="O4633" s="25">
        <f t="shared" si="235"/>
        <v>0</v>
      </c>
      <c r="P4633" s="26">
        <f t="shared" si="236"/>
        <v>0</v>
      </c>
      <c r="Q4633" s="30"/>
      <c r="R4633" s="22" t="s">
        <v>16364</v>
      </c>
      <c r="S4633" s="22" t="s">
        <v>435</v>
      </c>
      <c r="T4633" s="21" t="str">
        <f>HYPERLINK("https://miland.ru/api/getInfo/image/900e46e4-fb52-11ef-a274-00155d82e908")</f>
        <v>https://miland.ru/api/getInfo/image/900e46e4-fb52-11ef-a274-00155d82e908</v>
      </c>
      <c r="U4633" s="21"/>
      <c r="V4633" s="21" t="s">
        <v>15979</v>
      </c>
      <c r="W4633" s="21" t="s">
        <v>8246</v>
      </c>
      <c r="X4633" s="21"/>
      <c r="Y4633" s="21" t="s">
        <v>41</v>
      </c>
      <c r="Z4633" s="21"/>
      <c r="AA4633" s="21" t="str">
        <f>HYPERLINK("https://miland.ru/api/getInfo/item/900e46e4-fb52-11ef-a274-00155d82e908")</f>
        <v>https://miland.ru/api/getInfo/item/900e46e4-fb52-11ef-a274-00155d82e908</v>
      </c>
      <c r="AB4633" s="21" t="s">
        <v>50</v>
      </c>
      <c r="AC4633" s="21"/>
      <c r="AD4633" s="21"/>
    </row>
    <row r="4634" spans="2:30" s="1" customFormat="1" ht="96.3" customHeight="1" outlineLevel="6">
      <c r="B4634" s="57">
        <v>3715</v>
      </c>
      <c r="C4634" s="21" t="s">
        <v>16365</v>
      </c>
      <c r="D4634" s="72" t="s">
        <v>16366</v>
      </c>
      <c r="E4634" s="72"/>
      <c r="F4634" s="72"/>
      <c r="G4634" s="72"/>
      <c r="H4634" s="22" t="s">
        <v>16367</v>
      </c>
      <c r="I4634" s="27">
        <v>111</v>
      </c>
      <c r="J4634" s="22"/>
      <c r="K4634" s="20">
        <v>1</v>
      </c>
      <c r="L4634" s="32">
        <v>1801.19</v>
      </c>
      <c r="M4634" s="11"/>
      <c r="N4634" s="22">
        <f t="shared" si="234"/>
        <v>0</v>
      </c>
      <c r="O4634" s="25">
        <f t="shared" si="235"/>
        <v>0</v>
      </c>
      <c r="P4634" s="26">
        <f t="shared" si="236"/>
        <v>0</v>
      </c>
      <c r="Q4634" s="30"/>
      <c r="R4634" s="22" t="s">
        <v>16368</v>
      </c>
      <c r="S4634" s="22" t="s">
        <v>435</v>
      </c>
      <c r="T4634" s="21" t="str">
        <f>HYPERLINK("https://miland.ru/api/getInfo/image/fa7362a1-fb52-11ef-a274-00155d82e908")</f>
        <v>https://miland.ru/api/getInfo/image/fa7362a1-fb52-11ef-a274-00155d82e908</v>
      </c>
      <c r="U4634" s="21"/>
      <c r="V4634" s="21" t="s">
        <v>15979</v>
      </c>
      <c r="W4634" s="21" t="s">
        <v>8246</v>
      </c>
      <c r="X4634" s="21"/>
      <c r="Y4634" s="21" t="s">
        <v>41</v>
      </c>
      <c r="Z4634" s="21"/>
      <c r="AA4634" s="21" t="str">
        <f>HYPERLINK("https://miland.ru/api/getInfo/item/fa7362a1-fb52-11ef-a274-00155d82e908")</f>
        <v>https://miland.ru/api/getInfo/item/fa7362a1-fb52-11ef-a274-00155d82e908</v>
      </c>
      <c r="AB4634" s="21" t="s">
        <v>50</v>
      </c>
      <c r="AC4634" s="21"/>
      <c r="AD4634" s="21"/>
    </row>
    <row r="4635" spans="2:30" s="1" customFormat="1" ht="96.3" customHeight="1" outlineLevel="6">
      <c r="B4635" s="57">
        <v>3716</v>
      </c>
      <c r="C4635" s="21" t="s">
        <v>16369</v>
      </c>
      <c r="D4635" s="72" t="s">
        <v>16370</v>
      </c>
      <c r="E4635" s="72"/>
      <c r="F4635" s="72"/>
      <c r="G4635" s="72"/>
      <c r="H4635" s="22" t="s">
        <v>16371</v>
      </c>
      <c r="I4635" s="27">
        <v>64</v>
      </c>
      <c r="J4635" s="22"/>
      <c r="K4635" s="20">
        <v>1</v>
      </c>
      <c r="L4635" s="32">
        <v>1801.19</v>
      </c>
      <c r="M4635" s="11"/>
      <c r="N4635" s="22">
        <f t="shared" si="234"/>
        <v>0</v>
      </c>
      <c r="O4635" s="25">
        <f t="shared" si="235"/>
        <v>0</v>
      </c>
      <c r="P4635" s="26">
        <f t="shared" si="236"/>
        <v>0</v>
      </c>
      <c r="Q4635" s="30"/>
      <c r="R4635" s="22" t="s">
        <v>16372</v>
      </c>
      <c r="S4635" s="22" t="s">
        <v>435</v>
      </c>
      <c r="T4635" s="21" t="str">
        <f>HYPERLINK("https://miland.ru/api/getInfo/image/aa8fff77-fb30-11ef-a274-00155d82e908")</f>
        <v>https://miland.ru/api/getInfo/image/aa8fff77-fb30-11ef-a274-00155d82e908</v>
      </c>
      <c r="U4635" s="21"/>
      <c r="V4635" s="21" t="s">
        <v>15979</v>
      </c>
      <c r="W4635" s="21" t="s">
        <v>8246</v>
      </c>
      <c r="X4635" s="21"/>
      <c r="Y4635" s="21" t="s">
        <v>41</v>
      </c>
      <c r="Z4635" s="21"/>
      <c r="AA4635" s="21" t="str">
        <f>HYPERLINK("https://miland.ru/api/getInfo/item/aa8fff77-fb30-11ef-a274-00155d82e908")</f>
        <v>https://miland.ru/api/getInfo/item/aa8fff77-fb30-11ef-a274-00155d82e908</v>
      </c>
      <c r="AB4635" s="21" t="s">
        <v>50</v>
      </c>
      <c r="AC4635" s="21"/>
      <c r="AD4635" s="21"/>
    </row>
    <row r="4636" spans="2:30" s="1" customFormat="1" ht="96.3" customHeight="1" outlineLevel="6">
      <c r="B4636" s="57">
        <v>3717</v>
      </c>
      <c r="C4636" s="21" t="s">
        <v>16373</v>
      </c>
      <c r="D4636" s="72" t="s">
        <v>16374</v>
      </c>
      <c r="E4636" s="72"/>
      <c r="F4636" s="72"/>
      <c r="G4636" s="72"/>
      <c r="H4636" s="22" t="s">
        <v>16375</v>
      </c>
      <c r="I4636" s="27">
        <v>82</v>
      </c>
      <c r="J4636" s="22"/>
      <c r="K4636" s="20">
        <v>1</v>
      </c>
      <c r="L4636" s="32">
        <v>1801.19</v>
      </c>
      <c r="M4636" s="11"/>
      <c r="N4636" s="22">
        <f t="shared" si="234"/>
        <v>0</v>
      </c>
      <c r="O4636" s="25">
        <f t="shared" si="235"/>
        <v>0</v>
      </c>
      <c r="P4636" s="26">
        <f t="shared" si="236"/>
        <v>0</v>
      </c>
      <c r="Q4636" s="30"/>
      <c r="R4636" s="22" t="s">
        <v>16376</v>
      </c>
      <c r="S4636" s="22" t="s">
        <v>435</v>
      </c>
      <c r="T4636" s="21" t="str">
        <f>HYPERLINK("https://miland.ru/api/getInfo/image/371f7f6c-fb30-11ef-a274-00155d82e908")</f>
        <v>https://miland.ru/api/getInfo/image/371f7f6c-fb30-11ef-a274-00155d82e908</v>
      </c>
      <c r="U4636" s="21"/>
      <c r="V4636" s="21" t="s">
        <v>15979</v>
      </c>
      <c r="W4636" s="21" t="s">
        <v>8246</v>
      </c>
      <c r="X4636" s="21"/>
      <c r="Y4636" s="21" t="s">
        <v>41</v>
      </c>
      <c r="Z4636" s="21"/>
      <c r="AA4636" s="21" t="str">
        <f>HYPERLINK("https://miland.ru/api/getInfo/item/371f7f6c-fb30-11ef-a274-00155d82e908")</f>
        <v>https://miland.ru/api/getInfo/item/371f7f6c-fb30-11ef-a274-00155d82e908</v>
      </c>
      <c r="AB4636" s="21" t="s">
        <v>50</v>
      </c>
      <c r="AC4636" s="21"/>
      <c r="AD4636" s="21"/>
    </row>
    <row r="4637" spans="2:30" s="1" customFormat="1" ht="96.3" customHeight="1" outlineLevel="6">
      <c r="B4637" s="57">
        <v>3718</v>
      </c>
      <c r="C4637" s="21" t="s">
        <v>16377</v>
      </c>
      <c r="D4637" s="72" t="s">
        <v>16378</v>
      </c>
      <c r="E4637" s="72"/>
      <c r="F4637" s="72"/>
      <c r="G4637" s="72"/>
      <c r="H4637" s="22" t="s">
        <v>16379</v>
      </c>
      <c r="I4637" s="27">
        <v>46</v>
      </c>
      <c r="J4637" s="22"/>
      <c r="K4637" s="20">
        <v>1</v>
      </c>
      <c r="L4637" s="32">
        <v>1801.19</v>
      </c>
      <c r="M4637" s="11"/>
      <c r="N4637" s="22">
        <f t="shared" si="234"/>
        <v>0</v>
      </c>
      <c r="O4637" s="25">
        <f t="shared" si="235"/>
        <v>0</v>
      </c>
      <c r="P4637" s="26">
        <f t="shared" si="236"/>
        <v>0</v>
      </c>
      <c r="Q4637" s="30"/>
      <c r="R4637" s="22" t="s">
        <v>16380</v>
      </c>
      <c r="S4637" s="22" t="s">
        <v>435</v>
      </c>
      <c r="T4637" s="21" t="str">
        <f>HYPERLINK("https://miland.ru/api/getInfo/image/2cd8039f-fb52-11ef-a274-00155d82e908")</f>
        <v>https://miland.ru/api/getInfo/image/2cd8039f-fb52-11ef-a274-00155d82e908</v>
      </c>
      <c r="U4637" s="21"/>
      <c r="V4637" s="21" t="s">
        <v>15979</v>
      </c>
      <c r="W4637" s="21" t="s">
        <v>8246</v>
      </c>
      <c r="X4637" s="21"/>
      <c r="Y4637" s="21" t="s">
        <v>41</v>
      </c>
      <c r="Z4637" s="21"/>
      <c r="AA4637" s="21" t="str">
        <f>HYPERLINK("https://miland.ru/api/getInfo/item/2cd8039f-fb52-11ef-a274-00155d82e908")</f>
        <v>https://miland.ru/api/getInfo/item/2cd8039f-fb52-11ef-a274-00155d82e908</v>
      </c>
      <c r="AB4637" s="21" t="s">
        <v>50</v>
      </c>
      <c r="AC4637" s="21"/>
      <c r="AD4637" s="21"/>
    </row>
    <row r="4638" spans="2:30" s="1" customFormat="1" ht="96.3" customHeight="1" outlineLevel="6">
      <c r="B4638" s="57">
        <v>3719</v>
      </c>
      <c r="C4638" s="21" t="s">
        <v>16381</v>
      </c>
      <c r="D4638" s="72" t="s">
        <v>16382</v>
      </c>
      <c r="E4638" s="72"/>
      <c r="F4638" s="72"/>
      <c r="G4638" s="72"/>
      <c r="H4638" s="22" t="s">
        <v>16383</v>
      </c>
      <c r="I4638" s="27">
        <v>72</v>
      </c>
      <c r="J4638" s="22"/>
      <c r="K4638" s="20">
        <v>1</v>
      </c>
      <c r="L4638" s="32">
        <v>1801.19</v>
      </c>
      <c r="M4638" s="11"/>
      <c r="N4638" s="22">
        <f t="shared" si="234"/>
        <v>0</v>
      </c>
      <c r="O4638" s="25">
        <f t="shared" si="235"/>
        <v>0</v>
      </c>
      <c r="P4638" s="26">
        <f t="shared" si="236"/>
        <v>0</v>
      </c>
      <c r="Q4638" s="30"/>
      <c r="R4638" s="22" t="s">
        <v>16384</v>
      </c>
      <c r="S4638" s="22" t="s">
        <v>435</v>
      </c>
      <c r="T4638" s="21" t="str">
        <f>HYPERLINK("https://miland.ru/api/getInfo/image/c07628bf-fb51-11ef-a274-00155d82e908")</f>
        <v>https://miland.ru/api/getInfo/image/c07628bf-fb51-11ef-a274-00155d82e908</v>
      </c>
      <c r="U4638" s="21"/>
      <c r="V4638" s="21" t="s">
        <v>15979</v>
      </c>
      <c r="W4638" s="21" t="s">
        <v>8246</v>
      </c>
      <c r="X4638" s="21"/>
      <c r="Y4638" s="21" t="s">
        <v>41</v>
      </c>
      <c r="Z4638" s="21"/>
      <c r="AA4638" s="21" t="str">
        <f>HYPERLINK("https://miland.ru/api/getInfo/item/c07628bf-fb51-11ef-a274-00155d82e908")</f>
        <v>https://miland.ru/api/getInfo/item/c07628bf-fb51-11ef-a274-00155d82e908</v>
      </c>
      <c r="AB4638" s="21" t="s">
        <v>50</v>
      </c>
      <c r="AC4638" s="21"/>
      <c r="AD4638" s="21"/>
    </row>
    <row r="4639" spans="2:30" s="1" customFormat="1" ht="96.3" customHeight="1" outlineLevel="6">
      <c r="B4639" s="57">
        <v>3720</v>
      </c>
      <c r="C4639" s="21" t="s">
        <v>16385</v>
      </c>
      <c r="D4639" s="72" t="s">
        <v>16386</v>
      </c>
      <c r="E4639" s="72"/>
      <c r="F4639" s="72"/>
      <c r="G4639" s="72"/>
      <c r="H4639" s="22" t="s">
        <v>16387</v>
      </c>
      <c r="I4639" s="27">
        <v>103</v>
      </c>
      <c r="J4639" s="22"/>
      <c r="K4639" s="20">
        <v>1</v>
      </c>
      <c r="L4639" s="32">
        <v>1801.19</v>
      </c>
      <c r="M4639" s="11"/>
      <c r="N4639" s="22">
        <f t="shared" si="234"/>
        <v>0</v>
      </c>
      <c r="O4639" s="25">
        <f t="shared" si="235"/>
        <v>0</v>
      </c>
      <c r="P4639" s="26">
        <f t="shared" si="236"/>
        <v>0</v>
      </c>
      <c r="Q4639" s="30"/>
      <c r="R4639" s="22" t="s">
        <v>16388</v>
      </c>
      <c r="S4639" s="22" t="s">
        <v>435</v>
      </c>
      <c r="T4639" s="21" t="str">
        <f>HYPERLINK("https://miland.ru/api/getInfo/image/096f76e8-fb54-11ef-a274-00155d82e908")</f>
        <v>https://miland.ru/api/getInfo/image/096f76e8-fb54-11ef-a274-00155d82e908</v>
      </c>
      <c r="U4639" s="21"/>
      <c r="V4639" s="21" t="s">
        <v>15979</v>
      </c>
      <c r="W4639" s="21" t="s">
        <v>8246</v>
      </c>
      <c r="X4639" s="21"/>
      <c r="Y4639" s="21" t="s">
        <v>41</v>
      </c>
      <c r="Z4639" s="21"/>
      <c r="AA4639" s="21" t="str">
        <f>HYPERLINK("https://miland.ru/api/getInfo/item/096f76e8-fb54-11ef-a274-00155d82e908")</f>
        <v>https://miland.ru/api/getInfo/item/096f76e8-fb54-11ef-a274-00155d82e908</v>
      </c>
      <c r="AB4639" s="21" t="s">
        <v>50</v>
      </c>
      <c r="AC4639" s="21"/>
      <c r="AD4639" s="21"/>
    </row>
    <row r="4640" spans="2:30" s="1" customFormat="1" ht="96.3" customHeight="1" outlineLevel="6">
      <c r="B4640" s="57">
        <v>3721</v>
      </c>
      <c r="C4640" s="21" t="s">
        <v>16389</v>
      </c>
      <c r="D4640" s="72" t="s">
        <v>16390</v>
      </c>
      <c r="E4640" s="72"/>
      <c r="F4640" s="72"/>
      <c r="G4640" s="72"/>
      <c r="H4640" s="22" t="s">
        <v>16391</v>
      </c>
      <c r="I4640" s="27">
        <v>34</v>
      </c>
      <c r="J4640" s="22"/>
      <c r="K4640" s="20">
        <v>1</v>
      </c>
      <c r="L4640" s="32">
        <v>1801.19</v>
      </c>
      <c r="M4640" s="11"/>
      <c r="N4640" s="22">
        <f t="shared" si="234"/>
        <v>0</v>
      </c>
      <c r="O4640" s="25">
        <f t="shared" si="235"/>
        <v>0</v>
      </c>
      <c r="P4640" s="26">
        <f>0.00923*M4640</f>
        <v>0</v>
      </c>
      <c r="Q4640" s="30"/>
      <c r="R4640" s="22" t="s">
        <v>16392</v>
      </c>
      <c r="S4640" s="22" t="s">
        <v>435</v>
      </c>
      <c r="T4640" s="21" t="str">
        <f>HYPERLINK("https://miland.ru/api/getInfo/image/52061928-fb51-11ef-a274-00155d82e908")</f>
        <v>https://miland.ru/api/getInfo/image/52061928-fb51-11ef-a274-00155d82e908</v>
      </c>
      <c r="U4640" s="21"/>
      <c r="V4640" s="21" t="s">
        <v>15979</v>
      </c>
      <c r="W4640" s="21" t="s">
        <v>8246</v>
      </c>
      <c r="X4640" s="21"/>
      <c r="Y4640" s="21" t="s">
        <v>41</v>
      </c>
      <c r="Z4640" s="21"/>
      <c r="AA4640" s="21" t="str">
        <f>HYPERLINK("https://miland.ru/api/getInfo/item/52061928-fb51-11ef-a274-00155d82e908")</f>
        <v>https://miland.ru/api/getInfo/item/52061928-fb51-11ef-a274-00155d82e908</v>
      </c>
      <c r="AB4640" s="21" t="s">
        <v>50</v>
      </c>
      <c r="AC4640" s="21"/>
      <c r="AD4640" s="21"/>
    </row>
    <row r="4641" spans="2:31" s="1" customFormat="1" ht="96.3" customHeight="1" outlineLevel="6">
      <c r="B4641" s="57">
        <v>3722</v>
      </c>
      <c r="C4641" s="21" t="s">
        <v>16393</v>
      </c>
      <c r="D4641" s="72" t="s">
        <v>16394</v>
      </c>
      <c r="E4641" s="72"/>
      <c r="F4641" s="72"/>
      <c r="G4641" s="72"/>
      <c r="H4641" s="22" t="s">
        <v>16395</v>
      </c>
      <c r="I4641" s="27">
        <v>105</v>
      </c>
      <c r="J4641" s="22"/>
      <c r="K4641" s="20">
        <v>1</v>
      </c>
      <c r="L4641" s="32">
        <v>1801.19</v>
      </c>
      <c r="M4641" s="11"/>
      <c r="N4641" s="22">
        <f t="shared" si="234"/>
        <v>0</v>
      </c>
      <c r="O4641" s="25">
        <f>1.405*M4641</f>
        <v>0</v>
      </c>
      <c r="P4641" s="26">
        <f>0.00913*M4641</f>
        <v>0</v>
      </c>
      <c r="Q4641" s="30"/>
      <c r="R4641" s="22" t="s">
        <v>16396</v>
      </c>
      <c r="S4641" s="22" t="s">
        <v>435</v>
      </c>
      <c r="T4641" s="21" t="str">
        <f>HYPERLINK("https://miland.ru/api/getInfo/image/9e3b0b21-fb2e-11ef-a274-00155d82e908")</f>
        <v>https://miland.ru/api/getInfo/image/9e3b0b21-fb2e-11ef-a274-00155d82e908</v>
      </c>
      <c r="U4641" s="21"/>
      <c r="V4641" s="21" t="s">
        <v>15979</v>
      </c>
      <c r="W4641" s="21" t="s">
        <v>8246</v>
      </c>
      <c r="X4641" s="21"/>
      <c r="Y4641" s="21" t="s">
        <v>41</v>
      </c>
      <c r="Z4641" s="21"/>
      <c r="AA4641" s="21" t="str">
        <f>HYPERLINK("https://miland.ru/api/getInfo/item/9e3b0b21-fb2e-11ef-a274-00155d82e908")</f>
        <v>https://miland.ru/api/getInfo/item/9e3b0b21-fb2e-11ef-a274-00155d82e908</v>
      </c>
      <c r="AB4641" s="21" t="s">
        <v>50</v>
      </c>
      <c r="AC4641" s="21"/>
      <c r="AD4641" s="21"/>
    </row>
    <row r="4642" spans="2:31" s="1" customFormat="1" ht="96.3" customHeight="1" outlineLevel="6">
      <c r="B4642" s="57">
        <v>3723</v>
      </c>
      <c r="C4642" s="21" t="s">
        <v>16397</v>
      </c>
      <c r="D4642" s="72" t="s">
        <v>16398</v>
      </c>
      <c r="E4642" s="72"/>
      <c r="F4642" s="72"/>
      <c r="G4642" s="72"/>
      <c r="H4642" s="22" t="s">
        <v>16399</v>
      </c>
      <c r="I4642" s="27">
        <v>119</v>
      </c>
      <c r="J4642" s="22"/>
      <c r="K4642" s="20">
        <v>1</v>
      </c>
      <c r="L4642" s="32">
        <v>1801.19</v>
      </c>
      <c r="M4642" s="11"/>
      <c r="N4642" s="22">
        <f t="shared" si="234"/>
        <v>0</v>
      </c>
      <c r="O4642" s="25">
        <f>1.407*M4642</f>
        <v>0</v>
      </c>
      <c r="P4642" s="26">
        <f>0.00927*M4642</f>
        <v>0</v>
      </c>
      <c r="Q4642" s="30"/>
      <c r="R4642" s="22" t="s">
        <v>16400</v>
      </c>
      <c r="S4642" s="22" t="s">
        <v>435</v>
      </c>
      <c r="T4642" s="21" t="str">
        <f>HYPERLINK("https://miland.ru/api/getInfo/image/22931ccc-fb2f-11ef-a274-00155d82e908")</f>
        <v>https://miland.ru/api/getInfo/image/22931ccc-fb2f-11ef-a274-00155d82e908</v>
      </c>
      <c r="U4642" s="21"/>
      <c r="V4642" s="21" t="s">
        <v>15979</v>
      </c>
      <c r="W4642" s="21" t="s">
        <v>8246</v>
      </c>
      <c r="X4642" s="21"/>
      <c r="Y4642" s="21" t="s">
        <v>41</v>
      </c>
      <c r="Z4642" s="21"/>
      <c r="AA4642" s="21" t="str">
        <f>HYPERLINK("https://miland.ru/api/getInfo/item/22931ccc-fb2f-11ef-a274-00155d82e908")</f>
        <v>https://miland.ru/api/getInfo/item/22931ccc-fb2f-11ef-a274-00155d82e908</v>
      </c>
      <c r="AB4642" s="21" t="s">
        <v>50</v>
      </c>
      <c r="AC4642" s="21"/>
      <c r="AD4642" s="21"/>
    </row>
    <row r="4643" spans="2:31" ht="12" customHeight="1" outlineLevel="4">
      <c r="B4643" s="70" t="s">
        <v>8257</v>
      </c>
      <c r="C4643" s="70"/>
      <c r="D4643" s="70"/>
      <c r="E4643" s="70"/>
      <c r="F4643" s="70"/>
      <c r="G4643" s="70"/>
    </row>
    <row r="4644" spans="2:31" ht="12" customHeight="1" outlineLevel="5">
      <c r="B4644" s="70" t="s">
        <v>16401</v>
      </c>
      <c r="C4644" s="70"/>
      <c r="D4644" s="70"/>
      <c r="E4644" s="70"/>
      <c r="F4644" s="70"/>
      <c r="G4644" s="70"/>
    </row>
    <row r="4645" spans="2:31" s="1" customFormat="1" ht="96.3" customHeight="1" outlineLevel="6">
      <c r="B4645" s="59">
        <v>3724</v>
      </c>
      <c r="C4645" s="35" t="s">
        <v>16402</v>
      </c>
      <c r="D4645" s="73" t="s">
        <v>16403</v>
      </c>
      <c r="E4645" s="73"/>
      <c r="F4645" s="73"/>
      <c r="G4645" s="73"/>
      <c r="H4645" s="36" t="s">
        <v>16404</v>
      </c>
      <c r="I4645" s="40">
        <v>99</v>
      </c>
      <c r="J4645" s="36"/>
      <c r="K4645" s="34">
        <v>1</v>
      </c>
      <c r="L4645" s="41">
        <v>265.33333333333331</v>
      </c>
      <c r="M4645" s="11"/>
      <c r="N4645" s="36">
        <f t="shared" ref="N4645:N4664" si="237">L4645*M4645</f>
        <v>0</v>
      </c>
      <c r="O4645" s="42">
        <f>0.452*M4645</f>
        <v>0</v>
      </c>
      <c r="P4645" s="55">
        <f>0.0047*M4645</f>
        <v>0</v>
      </c>
      <c r="Q4645" s="50"/>
      <c r="R4645" s="36" t="s">
        <v>16405</v>
      </c>
      <c r="S4645" s="36" t="s">
        <v>435</v>
      </c>
      <c r="T4645" s="35" t="str">
        <f>HYPERLINK("https://miland.ru/api/getInfo/image/eba37469-a154-11ed-a22f-00155d82e902")</f>
        <v>https://miland.ru/api/getInfo/image/eba37469-a154-11ed-a22f-00155d82e902</v>
      </c>
      <c r="U4645" s="35"/>
      <c r="V4645" s="35" t="s">
        <v>15979</v>
      </c>
      <c r="W4645" s="35" t="s">
        <v>8246</v>
      </c>
      <c r="X4645" s="35"/>
      <c r="Y4645" s="35" t="s">
        <v>41</v>
      </c>
      <c r="Z4645" s="35"/>
      <c r="AA4645" s="35" t="str">
        <f>HYPERLINK("https://miland.ru/api/getInfo/item/eba37469-a154-11ed-a22f-00155d82e902")</f>
        <v>https://miland.ru/api/getInfo/item/eba37469-a154-11ed-a22f-00155d82e902</v>
      </c>
      <c r="AB4645" s="35" t="s">
        <v>50</v>
      </c>
      <c r="AC4645" s="35"/>
      <c r="AD4645" s="35"/>
      <c r="AE4645" s="52" t="s">
        <v>1251</v>
      </c>
    </row>
    <row r="4646" spans="2:31" s="1" customFormat="1" ht="96.3" customHeight="1" outlineLevel="6">
      <c r="B4646" s="57">
        <v>3725</v>
      </c>
      <c r="C4646" s="21" t="s">
        <v>16406</v>
      </c>
      <c r="D4646" s="72" t="s">
        <v>16407</v>
      </c>
      <c r="E4646" s="72"/>
      <c r="F4646" s="72"/>
      <c r="G4646" s="72"/>
      <c r="H4646" s="22" t="s">
        <v>16408</v>
      </c>
      <c r="I4646" s="27">
        <v>22</v>
      </c>
      <c r="J4646" s="22"/>
      <c r="K4646" s="20">
        <v>1</v>
      </c>
      <c r="L4646" s="24">
        <v>550.71</v>
      </c>
      <c r="M4646" s="11"/>
      <c r="N4646" s="22">
        <f t="shared" si="237"/>
        <v>0</v>
      </c>
      <c r="O4646" s="25">
        <f>0.454*M4646</f>
        <v>0</v>
      </c>
      <c r="P4646" s="26">
        <f>0.00535*M4646</f>
        <v>0</v>
      </c>
      <c r="Q4646" s="30"/>
      <c r="R4646" s="22" t="s">
        <v>16409</v>
      </c>
      <c r="S4646" s="22" t="s">
        <v>435</v>
      </c>
      <c r="T4646" s="21" t="str">
        <f>HYPERLINK("https://miland.ru/api/getInfo/image/b7b4e499-f0f6-11ee-a25b-00155d82e908")</f>
        <v>https://miland.ru/api/getInfo/image/b7b4e499-f0f6-11ee-a25b-00155d82e908</v>
      </c>
      <c r="U4646" s="21"/>
      <c r="V4646" s="21" t="s">
        <v>15979</v>
      </c>
      <c r="W4646" s="21" t="s">
        <v>8246</v>
      </c>
      <c r="X4646" s="21"/>
      <c r="Y4646" s="21" t="s">
        <v>41</v>
      </c>
      <c r="Z4646" s="21"/>
      <c r="AA4646" s="21" t="str">
        <f>HYPERLINK("https://miland.ru/api/getInfo/item/b7b4e499-f0f6-11ee-a25b-00155d82e908")</f>
        <v>https://miland.ru/api/getInfo/item/b7b4e499-f0f6-11ee-a25b-00155d82e908</v>
      </c>
      <c r="AB4646" s="21" t="s">
        <v>50</v>
      </c>
      <c r="AC4646" s="21"/>
      <c r="AD4646" s="21"/>
    </row>
    <row r="4647" spans="2:31" s="1" customFormat="1" ht="96.3" customHeight="1" outlineLevel="6">
      <c r="B4647" s="57">
        <v>3726</v>
      </c>
      <c r="C4647" s="21" t="s">
        <v>16410</v>
      </c>
      <c r="D4647" s="72" t="s">
        <v>16411</v>
      </c>
      <c r="E4647" s="72"/>
      <c r="F4647" s="72"/>
      <c r="G4647" s="72"/>
      <c r="H4647" s="22" t="s">
        <v>16412</v>
      </c>
      <c r="I4647" s="27">
        <v>69</v>
      </c>
      <c r="J4647" s="22"/>
      <c r="K4647" s="20">
        <v>1</v>
      </c>
      <c r="L4647" s="24">
        <v>550.71</v>
      </c>
      <c r="M4647" s="11"/>
      <c r="N4647" s="22">
        <f t="shared" si="237"/>
        <v>0</v>
      </c>
      <c r="O4647" s="25">
        <f>0.453*M4647</f>
        <v>0</v>
      </c>
      <c r="P4647" s="26">
        <f>0.00504*M4647</f>
        <v>0</v>
      </c>
      <c r="Q4647" s="30"/>
      <c r="R4647" s="22" t="s">
        <v>16413</v>
      </c>
      <c r="S4647" s="22" t="s">
        <v>435</v>
      </c>
      <c r="T4647" s="21" t="str">
        <f>HYPERLINK("https://miland.ru/api/getInfo/image/700d3bf2-f0f6-11ee-a25b-00155d82e908")</f>
        <v>https://miland.ru/api/getInfo/image/700d3bf2-f0f6-11ee-a25b-00155d82e908</v>
      </c>
      <c r="U4647" s="21"/>
      <c r="V4647" s="21" t="s">
        <v>15979</v>
      </c>
      <c r="W4647" s="21" t="s">
        <v>8246</v>
      </c>
      <c r="X4647" s="21"/>
      <c r="Y4647" s="21" t="s">
        <v>41</v>
      </c>
      <c r="Z4647" s="21"/>
      <c r="AA4647" s="21" t="str">
        <f>HYPERLINK("https://miland.ru/api/getInfo/item/700d3bf2-f0f6-11ee-a25b-00155d82e908")</f>
        <v>https://miland.ru/api/getInfo/item/700d3bf2-f0f6-11ee-a25b-00155d82e908</v>
      </c>
      <c r="AB4647" s="21" t="s">
        <v>50</v>
      </c>
      <c r="AC4647" s="21"/>
      <c r="AD4647" s="21"/>
    </row>
    <row r="4648" spans="2:31" s="1" customFormat="1" ht="96.3" customHeight="1" outlineLevel="6">
      <c r="B4648" s="57">
        <v>3727</v>
      </c>
      <c r="C4648" s="21" t="s">
        <v>16414</v>
      </c>
      <c r="D4648" s="72" t="s">
        <v>16415</v>
      </c>
      <c r="E4648" s="72"/>
      <c r="F4648" s="72"/>
      <c r="G4648" s="72"/>
      <c r="H4648" s="22" t="s">
        <v>16416</v>
      </c>
      <c r="I4648" s="27">
        <v>76</v>
      </c>
      <c r="J4648" s="22"/>
      <c r="K4648" s="20">
        <v>1</v>
      </c>
      <c r="L4648" s="24">
        <v>550.71</v>
      </c>
      <c r="M4648" s="11"/>
      <c r="N4648" s="22">
        <f t="shared" si="237"/>
        <v>0</v>
      </c>
      <c r="O4648" s="25">
        <f>0.472*M4648</f>
        <v>0</v>
      </c>
      <c r="P4648" s="26">
        <f>0.00439*M4648</f>
        <v>0</v>
      </c>
      <c r="Q4648" s="30"/>
      <c r="R4648" s="22" t="s">
        <v>16417</v>
      </c>
      <c r="S4648" s="22" t="s">
        <v>435</v>
      </c>
      <c r="T4648" s="21" t="str">
        <f>HYPERLINK("https://miland.ru/api/getInfo/image/0fbc0a1f-bf44-11ee-a25a-00155d82e908")</f>
        <v>https://miland.ru/api/getInfo/image/0fbc0a1f-bf44-11ee-a25a-00155d82e908</v>
      </c>
      <c r="U4648" s="21"/>
      <c r="V4648" s="21" t="s">
        <v>15979</v>
      </c>
      <c r="W4648" s="21" t="s">
        <v>8246</v>
      </c>
      <c r="X4648" s="21"/>
      <c r="Y4648" s="21" t="s">
        <v>41</v>
      </c>
      <c r="Z4648" s="21"/>
      <c r="AA4648" s="21" t="str">
        <f>HYPERLINK("https://miland.ru/api/getInfo/item/0fbc0a1f-bf44-11ee-a25a-00155d82e908")</f>
        <v>https://miland.ru/api/getInfo/item/0fbc0a1f-bf44-11ee-a25a-00155d82e908</v>
      </c>
      <c r="AB4648" s="21" t="s">
        <v>50</v>
      </c>
      <c r="AC4648" s="21" t="s">
        <v>16418</v>
      </c>
      <c r="AD4648" s="21"/>
    </row>
    <row r="4649" spans="2:31" s="1" customFormat="1" ht="96.3" customHeight="1" outlineLevel="6">
      <c r="B4649" s="57">
        <v>3728</v>
      </c>
      <c r="C4649" s="21" t="s">
        <v>16419</v>
      </c>
      <c r="D4649" s="72" t="s">
        <v>16420</v>
      </c>
      <c r="E4649" s="72"/>
      <c r="F4649" s="72"/>
      <c r="G4649" s="72"/>
      <c r="H4649" s="22" t="s">
        <v>16421</v>
      </c>
      <c r="I4649" s="27">
        <v>215</v>
      </c>
      <c r="J4649" s="22"/>
      <c r="K4649" s="20">
        <v>1</v>
      </c>
      <c r="L4649" s="24">
        <v>550.71</v>
      </c>
      <c r="M4649" s="11"/>
      <c r="N4649" s="22">
        <f t="shared" si="237"/>
        <v>0</v>
      </c>
      <c r="O4649" s="25">
        <f>0.444*M4649</f>
        <v>0</v>
      </c>
      <c r="P4649" s="26">
        <f>0.00472*M4649</f>
        <v>0</v>
      </c>
      <c r="Q4649" s="30"/>
      <c r="R4649" s="22" t="s">
        <v>16422</v>
      </c>
      <c r="S4649" s="22" t="s">
        <v>435</v>
      </c>
      <c r="T4649" s="21" t="str">
        <f>HYPERLINK("https://miland.ru/api/getInfo/image/b2b76659-fb11-11ef-a274-00155d82e908")</f>
        <v>https://miland.ru/api/getInfo/image/b2b76659-fb11-11ef-a274-00155d82e908</v>
      </c>
      <c r="U4649" s="21"/>
      <c r="V4649" s="21" t="s">
        <v>15979</v>
      </c>
      <c r="W4649" s="21" t="s">
        <v>8246</v>
      </c>
      <c r="X4649" s="21"/>
      <c r="Y4649" s="21" t="s">
        <v>41</v>
      </c>
      <c r="Z4649" s="21"/>
      <c r="AA4649" s="21" t="str">
        <f>HYPERLINK("https://miland.ru/api/getInfo/item/b2b76659-fb11-11ef-a274-00155d82e908")</f>
        <v>https://miland.ru/api/getInfo/item/b2b76659-fb11-11ef-a274-00155d82e908</v>
      </c>
      <c r="AB4649" s="21" t="s">
        <v>50</v>
      </c>
      <c r="AC4649" s="21"/>
      <c r="AD4649" s="21"/>
    </row>
    <row r="4650" spans="2:31" s="1" customFormat="1" ht="96.3" customHeight="1" outlineLevel="6">
      <c r="B4650" s="57">
        <v>3729</v>
      </c>
      <c r="C4650" s="21" t="s">
        <v>16423</v>
      </c>
      <c r="D4650" s="72" t="s">
        <v>16424</v>
      </c>
      <c r="E4650" s="72"/>
      <c r="F4650" s="72"/>
      <c r="G4650" s="72"/>
      <c r="H4650" s="22" t="s">
        <v>16425</v>
      </c>
      <c r="I4650" s="27">
        <v>20</v>
      </c>
      <c r="J4650" s="22"/>
      <c r="K4650" s="20">
        <v>1</v>
      </c>
      <c r="L4650" s="24">
        <v>550.71</v>
      </c>
      <c r="M4650" s="11"/>
      <c r="N4650" s="22">
        <f t="shared" si="237"/>
        <v>0</v>
      </c>
      <c r="O4650" s="25">
        <f>0.456*M4650</f>
        <v>0</v>
      </c>
      <c r="P4650" s="26">
        <f>0.00526*M4650</f>
        <v>0</v>
      </c>
      <c r="Q4650" s="30"/>
      <c r="R4650" s="22" t="s">
        <v>16426</v>
      </c>
      <c r="S4650" s="22" t="s">
        <v>435</v>
      </c>
      <c r="T4650" s="21" t="str">
        <f>HYPERLINK("https://miland.ru/api/getInfo/image/e32bd11c-f0f6-11ee-a25b-00155d82e908")</f>
        <v>https://miland.ru/api/getInfo/image/e32bd11c-f0f6-11ee-a25b-00155d82e908</v>
      </c>
      <c r="U4650" s="21"/>
      <c r="V4650" s="21" t="s">
        <v>15979</v>
      </c>
      <c r="W4650" s="21" t="s">
        <v>8246</v>
      </c>
      <c r="X4650" s="21"/>
      <c r="Y4650" s="21" t="s">
        <v>41</v>
      </c>
      <c r="Z4650" s="21"/>
      <c r="AA4650" s="21" t="str">
        <f>HYPERLINK("https://miland.ru/api/getInfo/item/e32bd11c-f0f6-11ee-a25b-00155d82e908")</f>
        <v>https://miland.ru/api/getInfo/item/e32bd11c-f0f6-11ee-a25b-00155d82e908</v>
      </c>
      <c r="AB4650" s="21" t="s">
        <v>50</v>
      </c>
      <c r="AC4650" s="21"/>
      <c r="AD4650" s="21"/>
    </row>
    <row r="4651" spans="2:31" s="1" customFormat="1" ht="96.3" customHeight="1" outlineLevel="6">
      <c r="B4651" s="57">
        <v>3730</v>
      </c>
      <c r="C4651" s="21" t="s">
        <v>16427</v>
      </c>
      <c r="D4651" s="72" t="s">
        <v>16428</v>
      </c>
      <c r="E4651" s="72"/>
      <c r="F4651" s="72"/>
      <c r="G4651" s="72"/>
      <c r="H4651" s="22" t="s">
        <v>16429</v>
      </c>
      <c r="I4651" s="27">
        <v>157</v>
      </c>
      <c r="J4651" s="22"/>
      <c r="K4651" s="20">
        <v>1</v>
      </c>
      <c r="L4651" s="24">
        <v>550.71</v>
      </c>
      <c r="M4651" s="11"/>
      <c r="N4651" s="22">
        <f t="shared" si="237"/>
        <v>0</v>
      </c>
      <c r="O4651" s="25">
        <f>0.454*M4651</f>
        <v>0</v>
      </c>
      <c r="P4651" s="29">
        <f>0.0047*M4651</f>
        <v>0</v>
      </c>
      <c r="Q4651" s="30"/>
      <c r="R4651" s="22" t="s">
        <v>16430</v>
      </c>
      <c r="S4651" s="22" t="s">
        <v>435</v>
      </c>
      <c r="T4651" s="21" t="str">
        <f>HYPERLINK("https://miland.ru/api/getInfo/image/73a5b7ed-fb3d-11ef-a274-00155d82e908")</f>
        <v>https://miland.ru/api/getInfo/image/73a5b7ed-fb3d-11ef-a274-00155d82e908</v>
      </c>
      <c r="U4651" s="21"/>
      <c r="V4651" s="21" t="s">
        <v>15979</v>
      </c>
      <c r="W4651" s="21" t="s">
        <v>8246</v>
      </c>
      <c r="X4651" s="21"/>
      <c r="Y4651" s="21" t="s">
        <v>41</v>
      </c>
      <c r="Z4651" s="21"/>
      <c r="AA4651" s="21" t="str">
        <f>HYPERLINK("https://miland.ru/api/getInfo/item/73a5b7ed-fb3d-11ef-a274-00155d82e908")</f>
        <v>https://miland.ru/api/getInfo/item/73a5b7ed-fb3d-11ef-a274-00155d82e908</v>
      </c>
      <c r="AB4651" s="21" t="s">
        <v>50</v>
      </c>
      <c r="AC4651" s="21"/>
      <c r="AD4651" s="21"/>
    </row>
    <row r="4652" spans="2:31" s="1" customFormat="1" ht="96.3" customHeight="1" outlineLevel="6">
      <c r="B4652" s="57">
        <v>3731</v>
      </c>
      <c r="C4652" s="21" t="s">
        <v>16431</v>
      </c>
      <c r="D4652" s="72" t="s">
        <v>16432</v>
      </c>
      <c r="E4652" s="72"/>
      <c r="F4652" s="72"/>
      <c r="G4652" s="72"/>
      <c r="H4652" s="22" t="s">
        <v>16433</v>
      </c>
      <c r="I4652" s="27">
        <v>27</v>
      </c>
      <c r="J4652" s="22"/>
      <c r="K4652" s="20">
        <v>1</v>
      </c>
      <c r="L4652" s="24">
        <v>550.71</v>
      </c>
      <c r="M4652" s="11"/>
      <c r="N4652" s="22">
        <f t="shared" si="237"/>
        <v>0</v>
      </c>
      <c r="O4652" s="25">
        <f>0.452*M4652</f>
        <v>0</v>
      </c>
      <c r="P4652" s="29">
        <f>0.0047*M4652</f>
        <v>0</v>
      </c>
      <c r="Q4652" s="30"/>
      <c r="R4652" s="22" t="s">
        <v>16434</v>
      </c>
      <c r="S4652" s="22" t="s">
        <v>435</v>
      </c>
      <c r="T4652" s="21" t="str">
        <f>HYPERLINK("https://miland.ru/api/getInfo/image/a0822f07-a154-11ed-a22f-00155d82e902")</f>
        <v>https://miland.ru/api/getInfo/image/a0822f07-a154-11ed-a22f-00155d82e902</v>
      </c>
      <c r="U4652" s="21"/>
      <c r="V4652" s="21" t="s">
        <v>15979</v>
      </c>
      <c r="W4652" s="21" t="s">
        <v>8246</v>
      </c>
      <c r="X4652" s="21"/>
      <c r="Y4652" s="21" t="s">
        <v>41</v>
      </c>
      <c r="Z4652" s="21"/>
      <c r="AA4652" s="21" t="str">
        <f>HYPERLINK("https://miland.ru/api/getInfo/item/a0822f07-a154-11ed-a22f-00155d82e902")</f>
        <v>https://miland.ru/api/getInfo/item/a0822f07-a154-11ed-a22f-00155d82e902</v>
      </c>
      <c r="AB4652" s="21" t="s">
        <v>50</v>
      </c>
      <c r="AC4652" s="21"/>
      <c r="AD4652" s="21"/>
    </row>
    <row r="4653" spans="2:31" s="1" customFormat="1" ht="96.3" customHeight="1" outlineLevel="6">
      <c r="B4653" s="57">
        <v>3732</v>
      </c>
      <c r="C4653" s="21" t="s">
        <v>16435</v>
      </c>
      <c r="D4653" s="72" t="s">
        <v>16436</v>
      </c>
      <c r="E4653" s="72"/>
      <c r="F4653" s="72"/>
      <c r="G4653" s="72"/>
      <c r="H4653" s="22" t="s">
        <v>16437</v>
      </c>
      <c r="I4653" s="27">
        <v>162</v>
      </c>
      <c r="J4653" s="22"/>
      <c r="K4653" s="20">
        <v>1</v>
      </c>
      <c r="L4653" s="24">
        <v>550.71</v>
      </c>
      <c r="M4653" s="11"/>
      <c r="N4653" s="22">
        <f t="shared" si="237"/>
        <v>0</v>
      </c>
      <c r="O4653" s="25">
        <f>0.437*M4653</f>
        <v>0</v>
      </c>
      <c r="P4653" s="26">
        <f>0.00455*M4653</f>
        <v>0</v>
      </c>
      <c r="Q4653" s="30"/>
      <c r="R4653" s="22" t="s">
        <v>16438</v>
      </c>
      <c r="S4653" s="22" t="s">
        <v>435</v>
      </c>
      <c r="T4653" s="21" t="str">
        <f>HYPERLINK("https://miland.ru/api/getInfo/image/58534e49-fb40-11ef-a274-00155d82e908")</f>
        <v>https://miland.ru/api/getInfo/image/58534e49-fb40-11ef-a274-00155d82e908</v>
      </c>
      <c r="U4653" s="21"/>
      <c r="V4653" s="21" t="s">
        <v>15979</v>
      </c>
      <c r="W4653" s="21" t="s">
        <v>8246</v>
      </c>
      <c r="X4653" s="21"/>
      <c r="Y4653" s="21" t="s">
        <v>41</v>
      </c>
      <c r="Z4653" s="21"/>
      <c r="AA4653" s="21" t="str">
        <f>HYPERLINK("https://miland.ru/api/getInfo/item/58534e49-fb40-11ef-a274-00155d82e908")</f>
        <v>https://miland.ru/api/getInfo/item/58534e49-fb40-11ef-a274-00155d82e908</v>
      </c>
      <c r="AB4653" s="21" t="s">
        <v>50</v>
      </c>
      <c r="AC4653" s="21"/>
      <c r="AD4653" s="21"/>
    </row>
    <row r="4654" spans="2:31" s="1" customFormat="1" ht="96.3" customHeight="1" outlineLevel="6">
      <c r="B4654" s="57">
        <v>3733</v>
      </c>
      <c r="C4654" s="21" t="s">
        <v>16439</v>
      </c>
      <c r="D4654" s="72" t="s">
        <v>16440</v>
      </c>
      <c r="E4654" s="72"/>
      <c r="F4654" s="72"/>
      <c r="G4654" s="72"/>
      <c r="H4654" s="22" t="s">
        <v>16441</v>
      </c>
      <c r="I4654" s="27">
        <v>205</v>
      </c>
      <c r="J4654" s="22"/>
      <c r="K4654" s="20">
        <v>1</v>
      </c>
      <c r="L4654" s="24">
        <v>550.71</v>
      </c>
      <c r="M4654" s="11"/>
      <c r="N4654" s="22">
        <f t="shared" si="237"/>
        <v>0</v>
      </c>
      <c r="O4654" s="25">
        <f>0.443*M4654</f>
        <v>0</v>
      </c>
      <c r="P4654" s="26">
        <f>0.00475*M4654</f>
        <v>0</v>
      </c>
      <c r="Q4654" s="30"/>
      <c r="R4654" s="22" t="s">
        <v>16442</v>
      </c>
      <c r="S4654" s="22" t="s">
        <v>435</v>
      </c>
      <c r="T4654" s="21" t="str">
        <f>HYPERLINK("https://miland.ru/api/getInfo/image/fefa6a8c-fb40-11ef-a274-00155d82e908")</f>
        <v>https://miland.ru/api/getInfo/image/fefa6a8c-fb40-11ef-a274-00155d82e908</v>
      </c>
      <c r="U4654" s="21"/>
      <c r="V4654" s="21" t="s">
        <v>15979</v>
      </c>
      <c r="W4654" s="21" t="s">
        <v>8246</v>
      </c>
      <c r="X4654" s="21"/>
      <c r="Y4654" s="21" t="s">
        <v>41</v>
      </c>
      <c r="Z4654" s="21"/>
      <c r="AA4654" s="21" t="str">
        <f>HYPERLINK("https://miland.ru/api/getInfo/item/fefa6a8c-fb40-11ef-a274-00155d82e908")</f>
        <v>https://miland.ru/api/getInfo/item/fefa6a8c-fb40-11ef-a274-00155d82e908</v>
      </c>
      <c r="AB4654" s="21" t="s">
        <v>50</v>
      </c>
      <c r="AC4654" s="21"/>
      <c r="AD4654" s="21"/>
    </row>
    <row r="4655" spans="2:31" s="1" customFormat="1" ht="96.3" customHeight="1" outlineLevel="6">
      <c r="B4655" s="57">
        <v>3734</v>
      </c>
      <c r="C4655" s="21" t="s">
        <v>16443</v>
      </c>
      <c r="D4655" s="72" t="s">
        <v>16444</v>
      </c>
      <c r="E4655" s="72"/>
      <c r="F4655" s="72"/>
      <c r="G4655" s="72"/>
      <c r="H4655" s="22" t="s">
        <v>16445</v>
      </c>
      <c r="I4655" s="27">
        <v>213</v>
      </c>
      <c r="J4655" s="22"/>
      <c r="K4655" s="20">
        <v>1</v>
      </c>
      <c r="L4655" s="24">
        <v>550.71</v>
      </c>
      <c r="M4655" s="11"/>
      <c r="N4655" s="22">
        <f t="shared" si="237"/>
        <v>0</v>
      </c>
      <c r="O4655" s="25">
        <f>0.437*M4655</f>
        <v>0</v>
      </c>
      <c r="P4655" s="26">
        <f>0.00455*M4655</f>
        <v>0</v>
      </c>
      <c r="Q4655" s="30"/>
      <c r="R4655" s="22" t="s">
        <v>16446</v>
      </c>
      <c r="S4655" s="22" t="s">
        <v>435</v>
      </c>
      <c r="T4655" s="21" t="str">
        <f>HYPERLINK("https://miland.ru/api/getInfo/image/83df3532-fb1f-11ef-a274-00155d82e908")</f>
        <v>https://miland.ru/api/getInfo/image/83df3532-fb1f-11ef-a274-00155d82e908</v>
      </c>
      <c r="U4655" s="21"/>
      <c r="V4655" s="21" t="s">
        <v>15979</v>
      </c>
      <c r="W4655" s="21" t="s">
        <v>8246</v>
      </c>
      <c r="X4655" s="21"/>
      <c r="Y4655" s="21" t="s">
        <v>41</v>
      </c>
      <c r="Z4655" s="21"/>
      <c r="AA4655" s="21" t="str">
        <f>HYPERLINK("https://miland.ru/api/getInfo/item/83df3532-fb1f-11ef-a274-00155d82e908")</f>
        <v>https://miland.ru/api/getInfo/item/83df3532-fb1f-11ef-a274-00155d82e908</v>
      </c>
      <c r="AB4655" s="21" t="s">
        <v>50</v>
      </c>
      <c r="AC4655" s="21"/>
      <c r="AD4655" s="21"/>
    </row>
    <row r="4656" spans="2:31" s="1" customFormat="1" ht="96.3" customHeight="1" outlineLevel="6">
      <c r="B4656" s="57">
        <v>3735</v>
      </c>
      <c r="C4656" s="21" t="s">
        <v>16447</v>
      </c>
      <c r="D4656" s="72" t="s">
        <v>16448</v>
      </c>
      <c r="E4656" s="72"/>
      <c r="F4656" s="72"/>
      <c r="G4656" s="72"/>
      <c r="H4656" s="22" t="s">
        <v>16449</v>
      </c>
      <c r="I4656" s="27">
        <v>176</v>
      </c>
      <c r="J4656" s="22"/>
      <c r="K4656" s="20">
        <v>1</v>
      </c>
      <c r="L4656" s="24">
        <v>550.71</v>
      </c>
      <c r="M4656" s="11"/>
      <c r="N4656" s="22">
        <f t="shared" si="237"/>
        <v>0</v>
      </c>
      <c r="O4656" s="25">
        <f>0.437*M4656</f>
        <v>0</v>
      </c>
      <c r="P4656" s="26">
        <f>0.00455*M4656</f>
        <v>0</v>
      </c>
      <c r="Q4656" s="30"/>
      <c r="R4656" s="22" t="s">
        <v>16450</v>
      </c>
      <c r="S4656" s="22" t="s">
        <v>435</v>
      </c>
      <c r="T4656" s="21" t="str">
        <f>HYPERLINK("https://miland.ru/api/getInfo/image/311ef38a-fb1e-11ef-a274-00155d82e908")</f>
        <v>https://miland.ru/api/getInfo/image/311ef38a-fb1e-11ef-a274-00155d82e908</v>
      </c>
      <c r="U4656" s="21"/>
      <c r="V4656" s="21" t="s">
        <v>15979</v>
      </c>
      <c r="W4656" s="21" t="s">
        <v>8246</v>
      </c>
      <c r="X4656" s="21"/>
      <c r="Y4656" s="21" t="s">
        <v>41</v>
      </c>
      <c r="Z4656" s="21"/>
      <c r="AA4656" s="21" t="str">
        <f>HYPERLINK("https://miland.ru/api/getInfo/item/311ef38a-fb1e-11ef-a274-00155d82e908")</f>
        <v>https://miland.ru/api/getInfo/item/311ef38a-fb1e-11ef-a274-00155d82e908</v>
      </c>
      <c r="AB4656" s="21" t="s">
        <v>50</v>
      </c>
      <c r="AC4656" s="21"/>
      <c r="AD4656" s="21"/>
    </row>
    <row r="4657" spans="2:31" s="1" customFormat="1" ht="96.3" customHeight="1" outlineLevel="6">
      <c r="B4657" s="57">
        <v>3736</v>
      </c>
      <c r="C4657" s="21" t="s">
        <v>16451</v>
      </c>
      <c r="D4657" s="72" t="s">
        <v>16452</v>
      </c>
      <c r="E4657" s="72"/>
      <c r="F4657" s="72"/>
      <c r="G4657" s="72"/>
      <c r="H4657" s="22" t="s">
        <v>16453</v>
      </c>
      <c r="I4657" s="27">
        <v>116</v>
      </c>
      <c r="J4657" s="22"/>
      <c r="K4657" s="20">
        <v>1</v>
      </c>
      <c r="L4657" s="24">
        <v>550.71</v>
      </c>
      <c r="M4657" s="11"/>
      <c r="N4657" s="22">
        <f t="shared" si="237"/>
        <v>0</v>
      </c>
      <c r="O4657" s="25">
        <f>0.447*M4657</f>
        <v>0</v>
      </c>
      <c r="P4657" s="26">
        <f>0.00467*M4657</f>
        <v>0</v>
      </c>
      <c r="Q4657" s="30"/>
      <c r="R4657" s="22" t="s">
        <v>16454</v>
      </c>
      <c r="S4657" s="22" t="s">
        <v>435</v>
      </c>
      <c r="T4657" s="21" t="str">
        <f>HYPERLINK("https://miland.ru/api/getInfo/image/b2df4f5d-fb1d-11ef-a274-00155d82e908")</f>
        <v>https://miland.ru/api/getInfo/image/b2df4f5d-fb1d-11ef-a274-00155d82e908</v>
      </c>
      <c r="U4657" s="21"/>
      <c r="V4657" s="21" t="s">
        <v>15979</v>
      </c>
      <c r="W4657" s="21" t="s">
        <v>8246</v>
      </c>
      <c r="X4657" s="21"/>
      <c r="Y4657" s="21" t="s">
        <v>41</v>
      </c>
      <c r="Z4657" s="21"/>
      <c r="AA4657" s="21" t="str">
        <f>HYPERLINK("https://miland.ru/api/getInfo/item/b2df4f5d-fb1d-11ef-a274-00155d82e908")</f>
        <v>https://miland.ru/api/getInfo/item/b2df4f5d-fb1d-11ef-a274-00155d82e908</v>
      </c>
      <c r="AB4657" s="21" t="s">
        <v>50</v>
      </c>
      <c r="AC4657" s="21"/>
      <c r="AD4657" s="21"/>
    </row>
    <row r="4658" spans="2:31" s="1" customFormat="1" ht="96.3" customHeight="1" outlineLevel="6">
      <c r="B4658" s="57">
        <v>3737</v>
      </c>
      <c r="C4658" s="21" t="s">
        <v>16455</v>
      </c>
      <c r="D4658" s="72" t="s">
        <v>16456</v>
      </c>
      <c r="E4658" s="72"/>
      <c r="F4658" s="72"/>
      <c r="G4658" s="72"/>
      <c r="H4658" s="22" t="s">
        <v>16457</v>
      </c>
      <c r="I4658" s="27">
        <v>195</v>
      </c>
      <c r="J4658" s="22"/>
      <c r="K4658" s="20">
        <v>1</v>
      </c>
      <c r="L4658" s="24">
        <v>550.71</v>
      </c>
      <c r="M4658" s="11"/>
      <c r="N4658" s="22">
        <f t="shared" si="237"/>
        <v>0</v>
      </c>
      <c r="O4658" s="25">
        <f>0.446*M4658</f>
        <v>0</v>
      </c>
      <c r="P4658" s="26">
        <f>0.00473*M4658</f>
        <v>0</v>
      </c>
      <c r="Q4658" s="30"/>
      <c r="R4658" s="22" t="s">
        <v>16458</v>
      </c>
      <c r="S4658" s="22" t="s">
        <v>435</v>
      </c>
      <c r="T4658" s="21" t="str">
        <f>HYPERLINK("https://miland.ru/api/getInfo/image/9f3fd905-fb3f-11ef-a274-00155d82e908")</f>
        <v>https://miland.ru/api/getInfo/image/9f3fd905-fb3f-11ef-a274-00155d82e908</v>
      </c>
      <c r="U4658" s="21"/>
      <c r="V4658" s="21" t="s">
        <v>15979</v>
      </c>
      <c r="W4658" s="21" t="s">
        <v>8246</v>
      </c>
      <c r="X4658" s="21"/>
      <c r="Y4658" s="21" t="s">
        <v>41</v>
      </c>
      <c r="Z4658" s="21"/>
      <c r="AA4658" s="21" t="str">
        <f>HYPERLINK("https://miland.ru/api/getInfo/item/9f3fd905-fb3f-11ef-a274-00155d82e908")</f>
        <v>https://miland.ru/api/getInfo/item/9f3fd905-fb3f-11ef-a274-00155d82e908</v>
      </c>
      <c r="AB4658" s="21" t="s">
        <v>50</v>
      </c>
      <c r="AC4658" s="21"/>
      <c r="AD4658" s="21"/>
    </row>
    <row r="4659" spans="2:31" s="1" customFormat="1" ht="96.3" customHeight="1" outlineLevel="6">
      <c r="B4659" s="57">
        <v>3738</v>
      </c>
      <c r="C4659" s="21" t="s">
        <v>16459</v>
      </c>
      <c r="D4659" s="72" t="s">
        <v>16460</v>
      </c>
      <c r="E4659" s="72"/>
      <c r="F4659" s="72"/>
      <c r="G4659" s="72"/>
      <c r="H4659" s="22" t="s">
        <v>16461</v>
      </c>
      <c r="I4659" s="27">
        <v>166</v>
      </c>
      <c r="J4659" s="22"/>
      <c r="K4659" s="20">
        <v>1</v>
      </c>
      <c r="L4659" s="24">
        <v>550.71</v>
      </c>
      <c r="M4659" s="11"/>
      <c r="N4659" s="22">
        <f t="shared" si="237"/>
        <v>0</v>
      </c>
      <c r="O4659" s="25">
        <f>0.445*M4659</f>
        <v>0</v>
      </c>
      <c r="P4659" s="26">
        <f>0.00495*M4659</f>
        <v>0</v>
      </c>
      <c r="Q4659" s="30"/>
      <c r="R4659" s="22" t="s">
        <v>16462</v>
      </c>
      <c r="S4659" s="22" t="s">
        <v>435</v>
      </c>
      <c r="T4659" s="21" t="str">
        <f>HYPERLINK("https://miland.ru/api/getInfo/image/8d6348f9-fb3e-11ef-a274-00155d82e908")</f>
        <v>https://miland.ru/api/getInfo/image/8d6348f9-fb3e-11ef-a274-00155d82e908</v>
      </c>
      <c r="U4659" s="21"/>
      <c r="V4659" s="21" t="s">
        <v>15979</v>
      </c>
      <c r="W4659" s="21" t="s">
        <v>8246</v>
      </c>
      <c r="X4659" s="21"/>
      <c r="Y4659" s="21" t="s">
        <v>41</v>
      </c>
      <c r="Z4659" s="21"/>
      <c r="AA4659" s="21" t="str">
        <f>HYPERLINK("https://miland.ru/api/getInfo/item/8d6348f9-fb3e-11ef-a274-00155d82e908")</f>
        <v>https://miland.ru/api/getInfo/item/8d6348f9-fb3e-11ef-a274-00155d82e908</v>
      </c>
      <c r="AB4659" s="21" t="s">
        <v>50</v>
      </c>
      <c r="AC4659" s="21"/>
      <c r="AD4659" s="21"/>
    </row>
    <row r="4660" spans="2:31" s="1" customFormat="1" ht="96.3" customHeight="1" outlineLevel="6">
      <c r="B4660" s="57">
        <v>3739</v>
      </c>
      <c r="C4660" s="21" t="s">
        <v>16463</v>
      </c>
      <c r="D4660" s="72" t="s">
        <v>16464</v>
      </c>
      <c r="E4660" s="72"/>
      <c r="F4660" s="72"/>
      <c r="G4660" s="72"/>
      <c r="H4660" s="22" t="s">
        <v>16465</v>
      </c>
      <c r="I4660" s="27">
        <v>137</v>
      </c>
      <c r="J4660" s="22"/>
      <c r="K4660" s="20">
        <v>1</v>
      </c>
      <c r="L4660" s="24">
        <v>550.71</v>
      </c>
      <c r="M4660" s="11"/>
      <c r="N4660" s="22">
        <f t="shared" si="237"/>
        <v>0</v>
      </c>
      <c r="O4660" s="25">
        <f>0.437*M4660</f>
        <v>0</v>
      </c>
      <c r="P4660" s="26">
        <f>0.00455*M4660</f>
        <v>0</v>
      </c>
      <c r="Q4660" s="30"/>
      <c r="R4660" s="22" t="s">
        <v>16466</v>
      </c>
      <c r="S4660" s="22" t="s">
        <v>435</v>
      </c>
      <c r="T4660" s="21" t="str">
        <f>HYPERLINK("https://miland.ru/api/getInfo/image/334dc697-fb42-11ef-a274-00155d82e908")</f>
        <v>https://miland.ru/api/getInfo/image/334dc697-fb42-11ef-a274-00155d82e908</v>
      </c>
      <c r="U4660" s="21"/>
      <c r="V4660" s="21" t="s">
        <v>15979</v>
      </c>
      <c r="W4660" s="21" t="s">
        <v>8246</v>
      </c>
      <c r="X4660" s="21"/>
      <c r="Y4660" s="21" t="s">
        <v>41</v>
      </c>
      <c r="Z4660" s="21"/>
      <c r="AA4660" s="21" t="str">
        <f>HYPERLINK("https://miland.ru/api/getInfo/item/334dc697-fb42-11ef-a274-00155d82e908")</f>
        <v>https://miland.ru/api/getInfo/item/334dc697-fb42-11ef-a274-00155d82e908</v>
      </c>
      <c r="AB4660" s="21" t="s">
        <v>50</v>
      </c>
      <c r="AC4660" s="21"/>
      <c r="AD4660" s="21"/>
    </row>
    <row r="4661" spans="2:31" s="1" customFormat="1" ht="96.3" customHeight="1" outlineLevel="6">
      <c r="B4661" s="57">
        <v>3740</v>
      </c>
      <c r="C4661" s="21" t="s">
        <v>16467</v>
      </c>
      <c r="D4661" s="72" t="s">
        <v>16468</v>
      </c>
      <c r="E4661" s="72"/>
      <c r="F4661" s="72"/>
      <c r="G4661" s="72"/>
      <c r="H4661" s="22" t="s">
        <v>16469</v>
      </c>
      <c r="I4661" s="27">
        <v>168</v>
      </c>
      <c r="J4661" s="22"/>
      <c r="K4661" s="20">
        <v>1</v>
      </c>
      <c r="L4661" s="24">
        <v>550.71</v>
      </c>
      <c r="M4661" s="11"/>
      <c r="N4661" s="22">
        <f t="shared" si="237"/>
        <v>0</v>
      </c>
      <c r="O4661" s="25">
        <f>0.449*M4661</f>
        <v>0</v>
      </c>
      <c r="P4661" s="26">
        <f>0.00476*M4661</f>
        <v>0</v>
      </c>
      <c r="Q4661" s="30"/>
      <c r="R4661" s="22" t="s">
        <v>16470</v>
      </c>
      <c r="S4661" s="22" t="s">
        <v>435</v>
      </c>
      <c r="T4661" s="21" t="str">
        <f>HYPERLINK("https://miland.ru/api/getInfo/image/14559ca8-fb3e-11ef-a274-00155d82e908")</f>
        <v>https://miland.ru/api/getInfo/image/14559ca8-fb3e-11ef-a274-00155d82e908</v>
      </c>
      <c r="U4661" s="21"/>
      <c r="V4661" s="21" t="s">
        <v>15979</v>
      </c>
      <c r="W4661" s="21" t="s">
        <v>8246</v>
      </c>
      <c r="X4661" s="21"/>
      <c r="Y4661" s="21" t="s">
        <v>41</v>
      </c>
      <c r="Z4661" s="21"/>
      <c r="AA4661" s="21" t="str">
        <f>HYPERLINK("https://miland.ru/api/getInfo/item/14559ca8-fb3e-11ef-a274-00155d82e908")</f>
        <v>https://miland.ru/api/getInfo/item/14559ca8-fb3e-11ef-a274-00155d82e908</v>
      </c>
      <c r="AB4661" s="21" t="s">
        <v>50</v>
      </c>
      <c r="AC4661" s="21"/>
      <c r="AD4661" s="21"/>
    </row>
    <row r="4662" spans="2:31" s="1" customFormat="1" ht="96.3" customHeight="1" outlineLevel="6">
      <c r="B4662" s="57">
        <v>3741</v>
      </c>
      <c r="C4662" s="21" t="s">
        <v>16471</v>
      </c>
      <c r="D4662" s="72" t="s">
        <v>16472</v>
      </c>
      <c r="E4662" s="72"/>
      <c r="F4662" s="72"/>
      <c r="G4662" s="72"/>
      <c r="H4662" s="22" t="s">
        <v>16473</v>
      </c>
      <c r="I4662" s="27">
        <v>211</v>
      </c>
      <c r="J4662" s="22"/>
      <c r="K4662" s="20">
        <v>1</v>
      </c>
      <c r="L4662" s="24">
        <v>550.71</v>
      </c>
      <c r="M4662" s="11"/>
      <c r="N4662" s="22">
        <f t="shared" si="237"/>
        <v>0</v>
      </c>
      <c r="O4662" s="25">
        <f>0.448*M4662</f>
        <v>0</v>
      </c>
      <c r="P4662" s="26">
        <f>0.01012*M4662</f>
        <v>0</v>
      </c>
      <c r="Q4662" s="30"/>
      <c r="R4662" s="22" t="s">
        <v>16474</v>
      </c>
      <c r="S4662" s="22" t="s">
        <v>435</v>
      </c>
      <c r="T4662" s="21" t="str">
        <f>HYPERLINK("https://miland.ru/api/getInfo/image/8931613d-fb41-11ef-a274-00155d82e908")</f>
        <v>https://miland.ru/api/getInfo/image/8931613d-fb41-11ef-a274-00155d82e908</v>
      </c>
      <c r="U4662" s="21"/>
      <c r="V4662" s="21" t="s">
        <v>15979</v>
      </c>
      <c r="W4662" s="21" t="s">
        <v>8246</v>
      </c>
      <c r="X4662" s="21"/>
      <c r="Y4662" s="21" t="s">
        <v>41</v>
      </c>
      <c r="Z4662" s="21"/>
      <c r="AA4662" s="21" t="str">
        <f>HYPERLINK("https://miland.ru/api/getInfo/item/8931613d-fb41-11ef-a274-00155d82e908")</f>
        <v>https://miland.ru/api/getInfo/item/8931613d-fb41-11ef-a274-00155d82e908</v>
      </c>
      <c r="AB4662" s="21" t="s">
        <v>50</v>
      </c>
      <c r="AC4662" s="21"/>
      <c r="AD4662" s="21"/>
    </row>
    <row r="4663" spans="2:31" s="1" customFormat="1" ht="96.3" customHeight="1" outlineLevel="6">
      <c r="B4663" s="57">
        <v>3742</v>
      </c>
      <c r="C4663" s="21" t="s">
        <v>16475</v>
      </c>
      <c r="D4663" s="72" t="s">
        <v>16476</v>
      </c>
      <c r="E4663" s="72"/>
      <c r="F4663" s="72"/>
      <c r="G4663" s="72"/>
      <c r="H4663" s="22" t="s">
        <v>16477</v>
      </c>
      <c r="I4663" s="27">
        <v>231</v>
      </c>
      <c r="J4663" s="22"/>
      <c r="K4663" s="20">
        <v>1</v>
      </c>
      <c r="L4663" s="24">
        <v>550.71</v>
      </c>
      <c r="M4663" s="11"/>
      <c r="N4663" s="22">
        <f t="shared" si="237"/>
        <v>0</v>
      </c>
      <c r="O4663" s="25">
        <f>0.476*M4663</f>
        <v>0</v>
      </c>
      <c r="P4663" s="26">
        <f>0.00495*M4663</f>
        <v>0</v>
      </c>
      <c r="Q4663" s="30"/>
      <c r="R4663" s="22" t="s">
        <v>16478</v>
      </c>
      <c r="S4663" s="22" t="s">
        <v>435</v>
      </c>
      <c r="T4663" s="21" t="str">
        <f>HYPERLINK("https://miland.ru/api/getInfo/image/fb3233e4-fb12-11ef-a274-00155d82e908")</f>
        <v>https://miland.ru/api/getInfo/image/fb3233e4-fb12-11ef-a274-00155d82e908</v>
      </c>
      <c r="U4663" s="21"/>
      <c r="V4663" s="21" t="s">
        <v>15979</v>
      </c>
      <c r="W4663" s="21" t="s">
        <v>8246</v>
      </c>
      <c r="X4663" s="21"/>
      <c r="Y4663" s="21" t="s">
        <v>41</v>
      </c>
      <c r="Z4663" s="21"/>
      <c r="AA4663" s="21" t="str">
        <f>HYPERLINK("https://miland.ru/api/getInfo/item/fb3233e4-fb12-11ef-a274-00155d82e908")</f>
        <v>https://miland.ru/api/getInfo/item/fb3233e4-fb12-11ef-a274-00155d82e908</v>
      </c>
      <c r="AB4663" s="21" t="s">
        <v>50</v>
      </c>
      <c r="AC4663" s="21"/>
      <c r="AD4663" s="21"/>
    </row>
    <row r="4664" spans="2:31" s="1" customFormat="1" ht="96.3" customHeight="1" outlineLevel="6">
      <c r="B4664" s="57">
        <v>3743</v>
      </c>
      <c r="C4664" s="21" t="s">
        <v>16479</v>
      </c>
      <c r="D4664" s="72" t="s">
        <v>16480</v>
      </c>
      <c r="E4664" s="72"/>
      <c r="F4664" s="72"/>
      <c r="G4664" s="72"/>
      <c r="H4664" s="22" t="s">
        <v>16481</v>
      </c>
      <c r="I4664" s="27">
        <v>39</v>
      </c>
      <c r="J4664" s="22"/>
      <c r="K4664" s="20">
        <v>1</v>
      </c>
      <c r="L4664" s="24">
        <v>550.71</v>
      </c>
      <c r="M4664" s="11"/>
      <c r="N4664" s="22">
        <f t="shared" si="237"/>
        <v>0</v>
      </c>
      <c r="O4664" s="25">
        <f>0.437*M4664</f>
        <v>0</v>
      </c>
      <c r="P4664" s="26">
        <f>0.00455*M4664</f>
        <v>0</v>
      </c>
      <c r="Q4664" s="30"/>
      <c r="R4664" s="22" t="s">
        <v>16482</v>
      </c>
      <c r="S4664" s="22" t="s">
        <v>435</v>
      </c>
      <c r="T4664" s="21" t="str">
        <f>HYPERLINK("https://miland.ru/api/getInfo/image/fe93a9f1-fb1c-11ef-a274-00155d82e908")</f>
        <v>https://miland.ru/api/getInfo/image/fe93a9f1-fb1c-11ef-a274-00155d82e908</v>
      </c>
      <c r="U4664" s="21"/>
      <c r="V4664" s="21" t="s">
        <v>15979</v>
      </c>
      <c r="W4664" s="21" t="s">
        <v>8246</v>
      </c>
      <c r="X4664" s="21"/>
      <c r="Y4664" s="21" t="s">
        <v>41</v>
      </c>
      <c r="Z4664" s="21"/>
      <c r="AA4664" s="21" t="str">
        <f>HYPERLINK("https://miland.ru/api/getInfo/item/fe93a9f1-fb1c-11ef-a274-00155d82e908")</f>
        <v>https://miland.ru/api/getInfo/item/fe93a9f1-fb1c-11ef-a274-00155d82e908</v>
      </c>
      <c r="AB4664" s="21" t="s">
        <v>50</v>
      </c>
      <c r="AC4664" s="21"/>
      <c r="AD4664" s="21"/>
    </row>
    <row r="4665" spans="2:31" ht="12" customHeight="1" outlineLevel="4">
      <c r="B4665" s="70" t="s">
        <v>16254</v>
      </c>
      <c r="C4665" s="70"/>
      <c r="D4665" s="70"/>
      <c r="E4665" s="70"/>
      <c r="F4665" s="70"/>
      <c r="G4665" s="70"/>
    </row>
    <row r="4666" spans="2:31" ht="12" customHeight="1" outlineLevel="5">
      <c r="B4666" s="70" t="s">
        <v>16483</v>
      </c>
      <c r="C4666" s="70"/>
      <c r="D4666" s="70"/>
      <c r="E4666" s="70"/>
      <c r="F4666" s="70"/>
      <c r="G4666" s="70"/>
    </row>
    <row r="4667" spans="2:31" s="1" customFormat="1" ht="96.3" customHeight="1" outlineLevel="6">
      <c r="B4667" s="57">
        <v>3744</v>
      </c>
      <c r="C4667" s="21" t="s">
        <v>16484</v>
      </c>
      <c r="D4667" s="72" t="s">
        <v>16485</v>
      </c>
      <c r="E4667" s="72"/>
      <c r="F4667" s="72"/>
      <c r="G4667" s="72"/>
      <c r="H4667" s="22" t="s">
        <v>16486</v>
      </c>
      <c r="I4667" s="27">
        <v>50</v>
      </c>
      <c r="J4667" s="22"/>
      <c r="K4667" s="20">
        <v>10</v>
      </c>
      <c r="L4667" s="24">
        <v>88.17</v>
      </c>
      <c r="M4667" s="11"/>
      <c r="N4667" s="22">
        <f>L4667*M4667</f>
        <v>0</v>
      </c>
      <c r="O4667" s="28">
        <f>0.12*M4667</f>
        <v>0</v>
      </c>
      <c r="P4667" s="26">
        <f>0.00242*M4667</f>
        <v>0</v>
      </c>
      <c r="Q4667" s="30"/>
      <c r="R4667" s="22" t="s">
        <v>16487</v>
      </c>
      <c r="S4667" s="22" t="s">
        <v>435</v>
      </c>
      <c r="T4667" s="21" t="str">
        <f>HYPERLINK("https://miland.ru/api/getInfo/image/55157d67-ce07-11ed-a230-00155d82e902")</f>
        <v>https://miland.ru/api/getInfo/image/55157d67-ce07-11ed-a230-00155d82e902</v>
      </c>
      <c r="U4667" s="21"/>
      <c r="V4667" s="21" t="s">
        <v>15979</v>
      </c>
      <c r="W4667" s="21" t="s">
        <v>8246</v>
      </c>
      <c r="X4667" s="21"/>
      <c r="Y4667" s="21" t="s">
        <v>41</v>
      </c>
      <c r="Z4667" s="21"/>
      <c r="AA4667" s="21" t="str">
        <f>HYPERLINK("https://miland.ru/api/getInfo/item/55157d67-ce07-11ed-a230-00155d82e902")</f>
        <v>https://miland.ru/api/getInfo/item/55157d67-ce07-11ed-a230-00155d82e902</v>
      </c>
      <c r="AB4667" s="21" t="s">
        <v>50</v>
      </c>
      <c r="AC4667" s="21"/>
      <c r="AD4667" s="21"/>
    </row>
    <row r="4668" spans="2:31" s="1" customFormat="1" ht="96.3" customHeight="1" outlineLevel="6">
      <c r="B4668" s="57">
        <v>3745</v>
      </c>
      <c r="C4668" s="21" t="s">
        <v>16488</v>
      </c>
      <c r="D4668" s="72" t="s">
        <v>16489</v>
      </c>
      <c r="E4668" s="72"/>
      <c r="F4668" s="72"/>
      <c r="G4668" s="72"/>
      <c r="H4668" s="22" t="s">
        <v>16490</v>
      </c>
      <c r="I4668" s="27">
        <v>48</v>
      </c>
      <c r="J4668" s="22"/>
      <c r="K4668" s="20">
        <v>10</v>
      </c>
      <c r="L4668" s="24">
        <v>86.88</v>
      </c>
      <c r="M4668" s="11"/>
      <c r="N4668" s="22">
        <f>L4668*M4668</f>
        <v>0</v>
      </c>
      <c r="O4668" s="25">
        <f>0.118*M4668</f>
        <v>0</v>
      </c>
      <c r="P4668" s="26">
        <f>0.00285*M4668</f>
        <v>0</v>
      </c>
      <c r="Q4668" s="30"/>
      <c r="R4668" s="22" t="s">
        <v>16491</v>
      </c>
      <c r="S4668" s="22" t="s">
        <v>435</v>
      </c>
      <c r="T4668" s="21" t="str">
        <f>HYPERLINK("https://miland.ru/api/getInfo/image/8108d071-ce07-11ed-a230-00155d82e902")</f>
        <v>https://miland.ru/api/getInfo/image/8108d071-ce07-11ed-a230-00155d82e902</v>
      </c>
      <c r="U4668" s="21"/>
      <c r="V4668" s="21" t="s">
        <v>15979</v>
      </c>
      <c r="W4668" s="21" t="s">
        <v>8246</v>
      </c>
      <c r="X4668" s="21"/>
      <c r="Y4668" s="21" t="s">
        <v>41</v>
      </c>
      <c r="Z4668" s="21"/>
      <c r="AA4668" s="21" t="str">
        <f>HYPERLINK("https://miland.ru/api/getInfo/item/8108d071-ce07-11ed-a230-00155d82e902")</f>
        <v>https://miland.ru/api/getInfo/item/8108d071-ce07-11ed-a230-00155d82e902</v>
      </c>
      <c r="AB4668" s="21" t="s">
        <v>50</v>
      </c>
      <c r="AC4668" s="21"/>
      <c r="AD4668" s="21"/>
    </row>
    <row r="4669" spans="2:31" ht="12" customHeight="1" outlineLevel="5">
      <c r="B4669" s="70" t="s">
        <v>16492</v>
      </c>
      <c r="C4669" s="70"/>
      <c r="D4669" s="70"/>
      <c r="E4669" s="70"/>
      <c r="F4669" s="70"/>
      <c r="G4669" s="70"/>
    </row>
    <row r="4670" spans="2:31" s="1" customFormat="1" ht="96.3" customHeight="1" outlineLevel="6">
      <c r="B4670" s="57">
        <v>3746</v>
      </c>
      <c r="C4670" s="21" t="s">
        <v>16493</v>
      </c>
      <c r="D4670" s="72" t="s">
        <v>16494</v>
      </c>
      <c r="E4670" s="72"/>
      <c r="F4670" s="72"/>
      <c r="G4670" s="72"/>
      <c r="H4670" s="22" t="s">
        <v>16495</v>
      </c>
      <c r="I4670" s="23" t="s">
        <v>36</v>
      </c>
      <c r="J4670" s="22"/>
      <c r="K4670" s="20">
        <v>5</v>
      </c>
      <c r="L4670" s="24">
        <v>120.54</v>
      </c>
      <c r="M4670" s="11"/>
      <c r="N4670" s="22">
        <f>L4670*M4670</f>
        <v>0</v>
      </c>
      <c r="O4670" s="25">
        <f>0.149*M4670</f>
        <v>0</v>
      </c>
      <c r="P4670" s="26">
        <f>0.00203*M4670</f>
        <v>0</v>
      </c>
      <c r="Q4670" s="30"/>
      <c r="R4670" s="22" t="s">
        <v>16496</v>
      </c>
      <c r="S4670" s="22" t="s">
        <v>435</v>
      </c>
      <c r="T4670" s="21" t="str">
        <f>HYPERLINK("https://miland.ru/api/getInfo/image/9812af98-ce05-11ed-a230-00155d82e902")</f>
        <v>https://miland.ru/api/getInfo/image/9812af98-ce05-11ed-a230-00155d82e902</v>
      </c>
      <c r="U4670" s="21"/>
      <c r="V4670" s="21" t="s">
        <v>15979</v>
      </c>
      <c r="W4670" s="21" t="s">
        <v>8246</v>
      </c>
      <c r="X4670" s="21"/>
      <c r="Y4670" s="21" t="s">
        <v>41</v>
      </c>
      <c r="Z4670" s="21"/>
      <c r="AA4670" s="21" t="str">
        <f>HYPERLINK("https://miland.ru/api/getInfo/item/9812af98-ce05-11ed-a230-00155d82e902")</f>
        <v>https://miland.ru/api/getInfo/item/9812af98-ce05-11ed-a230-00155d82e902</v>
      </c>
      <c r="AB4670" s="21" t="s">
        <v>50</v>
      </c>
      <c r="AC4670" s="21"/>
      <c r="AD4670" s="21"/>
    </row>
    <row r="4671" spans="2:31" s="1" customFormat="1" ht="96.3" customHeight="1" outlineLevel="6">
      <c r="B4671" s="57">
        <v>3747</v>
      </c>
      <c r="C4671" s="21" t="s">
        <v>16497</v>
      </c>
      <c r="D4671" s="72" t="s">
        <v>16498</v>
      </c>
      <c r="E4671" s="72"/>
      <c r="F4671" s="72"/>
      <c r="G4671" s="72"/>
      <c r="H4671" s="22" t="s">
        <v>16499</v>
      </c>
      <c r="I4671" s="23" t="s">
        <v>36</v>
      </c>
      <c r="J4671" s="22"/>
      <c r="K4671" s="20">
        <v>5</v>
      </c>
      <c r="L4671" s="24">
        <v>118.67</v>
      </c>
      <c r="M4671" s="11"/>
      <c r="N4671" s="22">
        <f>L4671*M4671</f>
        <v>0</v>
      </c>
      <c r="O4671" s="25">
        <f>0.152*M4671</f>
        <v>0</v>
      </c>
      <c r="P4671" s="26">
        <f>0.00322*M4671</f>
        <v>0</v>
      </c>
      <c r="Q4671" s="30"/>
      <c r="R4671" s="22" t="s">
        <v>16500</v>
      </c>
      <c r="S4671" s="22" t="s">
        <v>435</v>
      </c>
      <c r="T4671" s="21" t="str">
        <f>HYPERLINK("https://miland.ru/api/getInfo/image/bf698a6d-ce05-11ed-a230-00155d82e902")</f>
        <v>https://miland.ru/api/getInfo/image/bf698a6d-ce05-11ed-a230-00155d82e902</v>
      </c>
      <c r="U4671" s="21"/>
      <c r="V4671" s="21" t="s">
        <v>15979</v>
      </c>
      <c r="W4671" s="21" t="s">
        <v>8246</v>
      </c>
      <c r="X4671" s="21"/>
      <c r="Y4671" s="21" t="s">
        <v>41</v>
      </c>
      <c r="Z4671" s="21"/>
      <c r="AA4671" s="21" t="str">
        <f>HYPERLINK("https://miland.ru/api/getInfo/item/bf698a6d-ce05-11ed-a230-00155d82e902")</f>
        <v>https://miland.ru/api/getInfo/item/bf698a6d-ce05-11ed-a230-00155d82e902</v>
      </c>
      <c r="AB4671" s="21" t="s">
        <v>50</v>
      </c>
      <c r="AC4671" s="21"/>
      <c r="AD4671" s="21"/>
    </row>
    <row r="4672" spans="2:31" s="1" customFormat="1" ht="96.3" customHeight="1" outlineLevel="6">
      <c r="B4672" s="59">
        <v>3748</v>
      </c>
      <c r="C4672" s="35" t="s">
        <v>16501</v>
      </c>
      <c r="D4672" s="73" t="s">
        <v>16502</v>
      </c>
      <c r="E4672" s="73"/>
      <c r="F4672" s="73"/>
      <c r="G4672" s="73"/>
      <c r="H4672" s="36" t="s">
        <v>16503</v>
      </c>
      <c r="I4672" s="40">
        <v>8</v>
      </c>
      <c r="J4672" s="36"/>
      <c r="K4672" s="34">
        <v>5</v>
      </c>
      <c r="L4672" s="41">
        <v>94.04</v>
      </c>
      <c r="M4672" s="11"/>
      <c r="N4672" s="36">
        <f>L4672*M4672</f>
        <v>0</v>
      </c>
      <c r="O4672" s="42">
        <f>0.155*M4672</f>
        <v>0</v>
      </c>
      <c r="P4672" s="43">
        <f>0.00308*M4672</f>
        <v>0</v>
      </c>
      <c r="Q4672" s="50"/>
      <c r="R4672" s="36" t="s">
        <v>16504</v>
      </c>
      <c r="S4672" s="36" t="s">
        <v>435</v>
      </c>
      <c r="T4672" s="35" t="str">
        <f>HYPERLINK("https://miland.ru/api/getInfo/image/f40a92a9-f5a3-11ee-a25b-00155d82e908")</f>
        <v>https://miland.ru/api/getInfo/image/f40a92a9-f5a3-11ee-a25b-00155d82e908</v>
      </c>
      <c r="U4672" s="35"/>
      <c r="V4672" s="35" t="s">
        <v>15979</v>
      </c>
      <c r="W4672" s="35" t="s">
        <v>8246</v>
      </c>
      <c r="X4672" s="35"/>
      <c r="Y4672" s="35" t="s">
        <v>41</v>
      </c>
      <c r="Z4672" s="35"/>
      <c r="AA4672" s="35" t="str">
        <f>HYPERLINK("https://miland.ru/api/getInfo/item/f40a92a9-f5a3-11ee-a25b-00155d82e908")</f>
        <v>https://miland.ru/api/getInfo/item/f40a92a9-f5a3-11ee-a25b-00155d82e908</v>
      </c>
      <c r="AB4672" s="35" t="s">
        <v>50</v>
      </c>
      <c r="AC4672" s="35" t="s">
        <v>16505</v>
      </c>
      <c r="AD4672" s="35"/>
      <c r="AE4672" s="52" t="s">
        <v>1251</v>
      </c>
    </row>
    <row r="4673" spans="2:31" s="1" customFormat="1" ht="33" customHeight="1" outlineLevel="6">
      <c r="B4673" s="57">
        <v>3749</v>
      </c>
      <c r="C4673" s="21" t="s">
        <v>16506</v>
      </c>
      <c r="D4673" s="72" t="s">
        <v>16507</v>
      </c>
      <c r="E4673" s="72"/>
      <c r="F4673" s="72"/>
      <c r="G4673" s="72"/>
      <c r="H4673" s="22" t="s">
        <v>16508</v>
      </c>
      <c r="I4673" s="27">
        <v>17</v>
      </c>
      <c r="J4673" s="22"/>
      <c r="K4673" s="20">
        <v>5</v>
      </c>
      <c r="L4673" s="24">
        <v>118.67</v>
      </c>
      <c r="M4673" s="11"/>
      <c r="N4673" s="22">
        <f>L4673*M4673</f>
        <v>0</v>
      </c>
      <c r="O4673" s="25">
        <f>0.148*M4673</f>
        <v>0</v>
      </c>
      <c r="P4673" s="29">
        <f>0.0044*M4673</f>
        <v>0</v>
      </c>
      <c r="Q4673" s="30"/>
      <c r="R4673" s="22" t="s">
        <v>16509</v>
      </c>
      <c r="S4673" s="22" t="s">
        <v>435</v>
      </c>
      <c r="T4673" s="21"/>
      <c r="U4673" s="21"/>
      <c r="V4673" s="21" t="s">
        <v>15979</v>
      </c>
      <c r="W4673" s="21" t="s">
        <v>8246</v>
      </c>
      <c r="X4673" s="21"/>
      <c r="Y4673" s="21" t="s">
        <v>41</v>
      </c>
      <c r="Z4673" s="21"/>
      <c r="AA4673" s="21"/>
      <c r="AB4673" s="21" t="s">
        <v>50</v>
      </c>
      <c r="AC4673" s="21" t="s">
        <v>16505</v>
      </c>
      <c r="AD4673" s="21"/>
    </row>
    <row r="4674" spans="2:31" ht="12" customHeight="1" outlineLevel="5">
      <c r="B4674" s="70" t="s">
        <v>16510</v>
      </c>
      <c r="C4674" s="70"/>
      <c r="D4674" s="70"/>
      <c r="E4674" s="70"/>
      <c r="F4674" s="70"/>
      <c r="G4674" s="70"/>
    </row>
    <row r="4675" spans="2:31" s="1" customFormat="1" ht="96.3" customHeight="1" outlineLevel="6">
      <c r="B4675" s="57">
        <v>3750</v>
      </c>
      <c r="C4675" s="21" t="s">
        <v>16511</v>
      </c>
      <c r="D4675" s="72" t="s">
        <v>16512</v>
      </c>
      <c r="E4675" s="72"/>
      <c r="F4675" s="72"/>
      <c r="G4675" s="72"/>
      <c r="H4675" s="22" t="s">
        <v>16513</v>
      </c>
      <c r="I4675" s="27">
        <v>80</v>
      </c>
      <c r="J4675" s="22"/>
      <c r="K4675" s="20">
        <v>4</v>
      </c>
      <c r="L4675" s="24">
        <v>156.13</v>
      </c>
      <c r="M4675" s="11"/>
      <c r="N4675" s="22">
        <f>L4675*M4675</f>
        <v>0</v>
      </c>
      <c r="O4675" s="25">
        <f>0.189*M4675</f>
        <v>0</v>
      </c>
      <c r="P4675" s="26">
        <f>0.00453*M4675</f>
        <v>0</v>
      </c>
      <c r="Q4675" s="30"/>
      <c r="R4675" s="22" t="s">
        <v>16514</v>
      </c>
      <c r="S4675" s="22" t="s">
        <v>435</v>
      </c>
      <c r="T4675" s="21" t="str">
        <f>HYPERLINK("https://miland.ru/api/getInfo/image/ceccce4f-ce03-11ed-a230-00155d82e902")</f>
        <v>https://miland.ru/api/getInfo/image/ceccce4f-ce03-11ed-a230-00155d82e902</v>
      </c>
      <c r="U4675" s="21"/>
      <c r="V4675" s="21" t="s">
        <v>15979</v>
      </c>
      <c r="W4675" s="21" t="s">
        <v>8246</v>
      </c>
      <c r="X4675" s="21"/>
      <c r="Y4675" s="21" t="s">
        <v>41</v>
      </c>
      <c r="Z4675" s="21"/>
      <c r="AA4675" s="21" t="str">
        <f>HYPERLINK("https://miland.ru/api/getInfo/item/ceccce4f-ce03-11ed-a230-00155d82e902")</f>
        <v>https://miland.ru/api/getInfo/item/ceccce4f-ce03-11ed-a230-00155d82e902</v>
      </c>
      <c r="AB4675" s="21" t="s">
        <v>50</v>
      </c>
      <c r="AC4675" s="21"/>
      <c r="AD4675" s="21"/>
    </row>
    <row r="4676" spans="2:31" s="1" customFormat="1" ht="96.3" customHeight="1" outlineLevel="6">
      <c r="B4676" s="57">
        <v>3751</v>
      </c>
      <c r="C4676" s="21" t="s">
        <v>16515</v>
      </c>
      <c r="D4676" s="72" t="s">
        <v>16516</v>
      </c>
      <c r="E4676" s="72"/>
      <c r="F4676" s="72"/>
      <c r="G4676" s="72"/>
      <c r="H4676" s="22" t="s">
        <v>16517</v>
      </c>
      <c r="I4676" s="27">
        <v>171</v>
      </c>
      <c r="J4676" s="22"/>
      <c r="K4676" s="20">
        <v>4</v>
      </c>
      <c r="L4676" s="24">
        <v>153.66999999999999</v>
      </c>
      <c r="M4676" s="11"/>
      <c r="N4676" s="22">
        <f>L4676*M4676</f>
        <v>0</v>
      </c>
      <c r="O4676" s="25">
        <f>0.204*M4676</f>
        <v>0</v>
      </c>
      <c r="P4676" s="26">
        <f>0.00459*M4676</f>
        <v>0</v>
      </c>
      <c r="Q4676" s="30"/>
      <c r="R4676" s="22" t="s">
        <v>16518</v>
      </c>
      <c r="S4676" s="22" t="s">
        <v>435</v>
      </c>
      <c r="T4676" s="21" t="str">
        <f>HYPERLINK("https://miland.ru/api/getInfo/image/ffad19c0-ce03-11ed-a230-00155d82e902")</f>
        <v>https://miland.ru/api/getInfo/image/ffad19c0-ce03-11ed-a230-00155d82e902</v>
      </c>
      <c r="U4676" s="21"/>
      <c r="V4676" s="21" t="s">
        <v>15979</v>
      </c>
      <c r="W4676" s="21" t="s">
        <v>8246</v>
      </c>
      <c r="X4676" s="21"/>
      <c r="Y4676" s="21" t="s">
        <v>41</v>
      </c>
      <c r="Z4676" s="21"/>
      <c r="AA4676" s="21" t="str">
        <f>HYPERLINK("https://miland.ru/api/getInfo/item/ffad19c0-ce03-11ed-a230-00155d82e902")</f>
        <v>https://miland.ru/api/getInfo/item/ffad19c0-ce03-11ed-a230-00155d82e902</v>
      </c>
      <c r="AB4676" s="21" t="s">
        <v>50</v>
      </c>
      <c r="AC4676" s="21"/>
      <c r="AD4676" s="21"/>
    </row>
    <row r="4677" spans="2:31" ht="12" customHeight="1" outlineLevel="5">
      <c r="B4677" s="70" t="s">
        <v>16519</v>
      </c>
      <c r="C4677" s="70"/>
      <c r="D4677" s="70"/>
      <c r="E4677" s="70"/>
      <c r="F4677" s="70"/>
      <c r="G4677" s="70"/>
    </row>
    <row r="4678" spans="2:31" s="1" customFormat="1" ht="96.3" customHeight="1" outlineLevel="6">
      <c r="B4678" s="59">
        <v>3752</v>
      </c>
      <c r="C4678" s="35" t="s">
        <v>16520</v>
      </c>
      <c r="D4678" s="73" t="s">
        <v>16521</v>
      </c>
      <c r="E4678" s="73"/>
      <c r="F4678" s="73"/>
      <c r="G4678" s="73"/>
      <c r="H4678" s="36" t="s">
        <v>16522</v>
      </c>
      <c r="I4678" s="40">
        <v>8</v>
      </c>
      <c r="J4678" s="36"/>
      <c r="K4678" s="34">
        <v>3</v>
      </c>
      <c r="L4678" s="41">
        <v>122.53333333333335</v>
      </c>
      <c r="M4678" s="11"/>
      <c r="N4678" s="36">
        <f>L4678*M4678</f>
        <v>0</v>
      </c>
      <c r="O4678" s="42">
        <f>0.213*M4678</f>
        <v>0</v>
      </c>
      <c r="P4678" s="43">
        <f>0.00378*M4678</f>
        <v>0</v>
      </c>
      <c r="Q4678" s="50"/>
      <c r="R4678" s="36" t="s">
        <v>16523</v>
      </c>
      <c r="S4678" s="36" t="s">
        <v>435</v>
      </c>
      <c r="T4678" s="35" t="str">
        <f>HYPERLINK("https://miland.ru/api/getInfo/image/de2edabe-f5a3-11ee-a25b-00155d82e908")</f>
        <v>https://miland.ru/api/getInfo/image/de2edabe-f5a3-11ee-a25b-00155d82e908</v>
      </c>
      <c r="U4678" s="35"/>
      <c r="V4678" s="35" t="s">
        <v>15979</v>
      </c>
      <c r="W4678" s="35" t="s">
        <v>8246</v>
      </c>
      <c r="X4678" s="35"/>
      <c r="Y4678" s="35" t="s">
        <v>41</v>
      </c>
      <c r="Z4678" s="35"/>
      <c r="AA4678" s="35" t="str">
        <f>HYPERLINK("https://miland.ru/api/getInfo/item/de2edabe-f5a3-11ee-a25b-00155d82e908")</f>
        <v>https://miland.ru/api/getInfo/item/de2edabe-f5a3-11ee-a25b-00155d82e908</v>
      </c>
      <c r="AB4678" s="35" t="s">
        <v>50</v>
      </c>
      <c r="AC4678" s="35" t="s">
        <v>16524</v>
      </c>
      <c r="AD4678" s="35"/>
      <c r="AE4678" s="52" t="s">
        <v>1251</v>
      </c>
    </row>
    <row r="4679" spans="2:31" ht="12" customHeight="1" outlineLevel="5">
      <c r="B4679" s="70" t="s">
        <v>16525</v>
      </c>
      <c r="C4679" s="70"/>
      <c r="D4679" s="70"/>
      <c r="E4679" s="70"/>
      <c r="F4679" s="70"/>
      <c r="G4679" s="70"/>
    </row>
    <row r="4680" spans="2:31" s="1" customFormat="1" ht="33" customHeight="1" outlineLevel="6">
      <c r="B4680" s="59">
        <v>3753</v>
      </c>
      <c r="C4680" s="35" t="s">
        <v>16526</v>
      </c>
      <c r="D4680" s="73" t="s">
        <v>16527</v>
      </c>
      <c r="E4680" s="73"/>
      <c r="F4680" s="73"/>
      <c r="G4680" s="73"/>
      <c r="H4680" s="36" t="s">
        <v>16528</v>
      </c>
      <c r="I4680" s="40">
        <v>11</v>
      </c>
      <c r="J4680" s="36"/>
      <c r="K4680" s="34">
        <v>2</v>
      </c>
      <c r="L4680" s="41">
        <v>190.20000000000002</v>
      </c>
      <c r="M4680" s="11"/>
      <c r="N4680" s="36">
        <f>L4680*M4680</f>
        <v>0</v>
      </c>
      <c r="O4680" s="42">
        <f>0.387*M4680</f>
        <v>0</v>
      </c>
      <c r="P4680" s="43">
        <f>0.01199*M4680</f>
        <v>0</v>
      </c>
      <c r="Q4680" s="50"/>
      <c r="R4680" s="36" t="s">
        <v>16529</v>
      </c>
      <c r="S4680" s="36" t="s">
        <v>435</v>
      </c>
      <c r="T4680" s="35"/>
      <c r="U4680" s="35"/>
      <c r="V4680" s="35" t="s">
        <v>15979</v>
      </c>
      <c r="W4680" s="35" t="s">
        <v>8246</v>
      </c>
      <c r="X4680" s="35"/>
      <c r="Y4680" s="35" t="s">
        <v>41</v>
      </c>
      <c r="Z4680" s="35"/>
      <c r="AA4680" s="35"/>
      <c r="AB4680" s="35" t="s">
        <v>50</v>
      </c>
      <c r="AC4680" s="35" t="s">
        <v>16530</v>
      </c>
      <c r="AD4680" s="35"/>
      <c r="AE4680" s="52" t="s">
        <v>1251</v>
      </c>
    </row>
    <row r="4681" spans="2:31" ht="12" customHeight="1" outlineLevel="3">
      <c r="B4681" s="70" t="s">
        <v>16531</v>
      </c>
      <c r="C4681" s="70"/>
      <c r="D4681" s="70"/>
      <c r="E4681" s="70"/>
      <c r="F4681" s="70"/>
      <c r="G4681" s="70"/>
    </row>
    <row r="4682" spans="2:31" ht="12" customHeight="1" outlineLevel="4">
      <c r="B4682" s="70" t="s">
        <v>16532</v>
      </c>
      <c r="C4682" s="70"/>
      <c r="D4682" s="70"/>
      <c r="E4682" s="70"/>
      <c r="F4682" s="70"/>
      <c r="G4682" s="70"/>
    </row>
    <row r="4683" spans="2:31" s="1" customFormat="1" ht="96.3" customHeight="1" outlineLevel="5">
      <c r="B4683" s="59">
        <v>3754</v>
      </c>
      <c r="C4683" s="35" t="s">
        <v>16533</v>
      </c>
      <c r="D4683" s="73" t="s">
        <v>16534</v>
      </c>
      <c r="E4683" s="73"/>
      <c r="F4683" s="73"/>
      <c r="G4683" s="73"/>
      <c r="H4683" s="36" t="s">
        <v>16535</v>
      </c>
      <c r="I4683" s="40">
        <v>192</v>
      </c>
      <c r="J4683" s="36"/>
      <c r="K4683" s="34">
        <v>3</v>
      </c>
      <c r="L4683" s="41">
        <v>127.62666666666667</v>
      </c>
      <c r="M4683" s="11"/>
      <c r="N4683" s="36">
        <f>L4683*M4683</f>
        <v>0</v>
      </c>
      <c r="O4683" s="42">
        <f>0.103*M4683</f>
        <v>0</v>
      </c>
      <c r="P4683" s="43">
        <f>0.00078*M4683</f>
        <v>0</v>
      </c>
      <c r="Q4683" s="50"/>
      <c r="R4683" s="36" t="s">
        <v>16536</v>
      </c>
      <c r="S4683" s="36" t="s">
        <v>435</v>
      </c>
      <c r="T4683" s="35" t="str">
        <f>HYPERLINK("https://miland.ru/api/getInfo/image/11a7567f-f95f-11ed-a239-00155d82e902")</f>
        <v>https://miland.ru/api/getInfo/image/11a7567f-f95f-11ed-a239-00155d82e902</v>
      </c>
      <c r="U4683" s="35"/>
      <c r="V4683" s="35" t="s">
        <v>15979</v>
      </c>
      <c r="W4683" s="35" t="s">
        <v>8246</v>
      </c>
      <c r="X4683" s="35"/>
      <c r="Y4683" s="35" t="s">
        <v>41</v>
      </c>
      <c r="Z4683" s="35"/>
      <c r="AA4683" s="35" t="str">
        <f>HYPERLINK("https://miland.ru/api/getInfo/item/11a7567f-f95f-11ed-a239-00155d82e902")</f>
        <v>https://miland.ru/api/getInfo/item/11a7567f-f95f-11ed-a239-00155d82e902</v>
      </c>
      <c r="AB4683" s="35" t="s">
        <v>50</v>
      </c>
      <c r="AC4683" s="35"/>
      <c r="AD4683" s="35"/>
      <c r="AE4683" s="52" t="s">
        <v>1251</v>
      </c>
    </row>
    <row r="4684" spans="2:31" ht="12" customHeight="1" outlineLevel="3">
      <c r="B4684" s="70" t="s">
        <v>16537</v>
      </c>
      <c r="C4684" s="70"/>
      <c r="D4684" s="70"/>
      <c r="E4684" s="70"/>
      <c r="F4684" s="70"/>
      <c r="G4684" s="70"/>
    </row>
    <row r="4685" spans="2:31" ht="12" customHeight="1" outlineLevel="4">
      <c r="B4685" s="70" t="s">
        <v>16538</v>
      </c>
      <c r="C4685" s="70"/>
      <c r="D4685" s="70"/>
      <c r="E4685" s="70"/>
      <c r="F4685" s="70"/>
      <c r="G4685" s="70"/>
    </row>
    <row r="4686" spans="2:31" ht="12" customHeight="1" outlineLevel="5">
      <c r="B4686" s="70" t="s">
        <v>8257</v>
      </c>
      <c r="C4686" s="70"/>
      <c r="D4686" s="70"/>
      <c r="E4686" s="70"/>
      <c r="F4686" s="70"/>
      <c r="G4686" s="70"/>
    </row>
    <row r="4687" spans="2:31" ht="12" customHeight="1" outlineLevel="6">
      <c r="B4687" s="70" t="s">
        <v>13914</v>
      </c>
      <c r="C4687" s="70"/>
      <c r="D4687" s="70"/>
      <c r="E4687" s="70"/>
      <c r="F4687" s="70"/>
      <c r="G4687" s="70"/>
    </row>
    <row r="4688" spans="2:31" s="1" customFormat="1" ht="96.3" customHeight="1" outlineLevel="7">
      <c r="B4688" s="57">
        <v>3755</v>
      </c>
      <c r="C4688" s="21" t="s">
        <v>16539</v>
      </c>
      <c r="D4688" s="72" t="s">
        <v>16540</v>
      </c>
      <c r="E4688" s="72"/>
      <c r="F4688" s="72"/>
      <c r="G4688" s="72"/>
      <c r="H4688" s="22" t="s">
        <v>16541</v>
      </c>
      <c r="I4688" s="27">
        <v>82</v>
      </c>
      <c r="J4688" s="22"/>
      <c r="K4688" s="20">
        <v>1</v>
      </c>
      <c r="L4688" s="24">
        <v>534.9</v>
      </c>
      <c r="M4688" s="11"/>
      <c r="N4688" s="22">
        <f>L4688*M4688</f>
        <v>0</v>
      </c>
      <c r="O4688" s="25">
        <f>0.376*M4688</f>
        <v>0</v>
      </c>
      <c r="P4688" s="26">
        <f>0.00373*M4688</f>
        <v>0</v>
      </c>
      <c r="Q4688" s="30"/>
      <c r="R4688" s="22" t="s">
        <v>16542</v>
      </c>
      <c r="S4688" s="22"/>
      <c r="T4688" s="21" t="str">
        <f>HYPERLINK("https://miland.ru/api/getInfo/image/e4dbccbe-3248-11f0-a27c-00155d82e908")</f>
        <v>https://miland.ru/api/getInfo/image/e4dbccbe-3248-11f0-a27c-00155d82e908</v>
      </c>
      <c r="U4688" s="21"/>
      <c r="V4688" s="21" t="s">
        <v>15979</v>
      </c>
      <c r="W4688" s="21" t="s">
        <v>8246</v>
      </c>
      <c r="X4688" s="21"/>
      <c r="Y4688" s="21" t="s">
        <v>41</v>
      </c>
      <c r="Z4688" s="21"/>
      <c r="AA4688" s="21" t="str">
        <f>HYPERLINK("https://miland.ru/api/getInfo/item/e4dbccbe-3248-11f0-a27c-00155d82e908")</f>
        <v>https://miland.ru/api/getInfo/item/e4dbccbe-3248-11f0-a27c-00155d82e908</v>
      </c>
      <c r="AB4688" s="21" t="s">
        <v>42</v>
      </c>
      <c r="AC4688" s="21"/>
      <c r="AD4688" s="21"/>
    </row>
    <row r="4689" spans="2:31" s="1" customFormat="1" ht="96.3" customHeight="1" outlineLevel="7">
      <c r="B4689" s="57">
        <v>3756</v>
      </c>
      <c r="C4689" s="21" t="s">
        <v>16543</v>
      </c>
      <c r="D4689" s="72" t="s">
        <v>16544</v>
      </c>
      <c r="E4689" s="72"/>
      <c r="F4689" s="72"/>
      <c r="G4689" s="72"/>
      <c r="H4689" s="22" t="s">
        <v>16545</v>
      </c>
      <c r="I4689" s="27">
        <v>106</v>
      </c>
      <c r="J4689" s="22"/>
      <c r="K4689" s="20">
        <v>1</v>
      </c>
      <c r="L4689" s="24">
        <v>534.9</v>
      </c>
      <c r="M4689" s="11"/>
      <c r="N4689" s="22">
        <f>L4689*M4689</f>
        <v>0</v>
      </c>
      <c r="O4689" s="25">
        <f>0.374*M4689</f>
        <v>0</v>
      </c>
      <c r="P4689" s="26">
        <f>0.00379*M4689</f>
        <v>0</v>
      </c>
      <c r="Q4689" s="30"/>
      <c r="R4689" s="22" t="s">
        <v>16546</v>
      </c>
      <c r="S4689" s="22"/>
      <c r="T4689" s="21" t="str">
        <f>HYPERLINK("https://miland.ru/api/getInfo/image/1d202afb-3249-11f0-a27c-00155d82e908")</f>
        <v>https://miland.ru/api/getInfo/image/1d202afb-3249-11f0-a27c-00155d82e908</v>
      </c>
      <c r="U4689" s="21"/>
      <c r="V4689" s="21" t="s">
        <v>15979</v>
      </c>
      <c r="W4689" s="21" t="s">
        <v>8246</v>
      </c>
      <c r="X4689" s="21"/>
      <c r="Y4689" s="21" t="s">
        <v>41</v>
      </c>
      <c r="Z4689" s="21"/>
      <c r="AA4689" s="21" t="str">
        <f>HYPERLINK("https://miland.ru/api/getInfo/item/1d202afb-3249-11f0-a27c-00155d82e908")</f>
        <v>https://miland.ru/api/getInfo/item/1d202afb-3249-11f0-a27c-00155d82e908</v>
      </c>
      <c r="AB4689" s="21" t="s">
        <v>42</v>
      </c>
      <c r="AC4689" s="21"/>
      <c r="AD4689" s="21"/>
    </row>
    <row r="4690" spans="2:31" ht="12" customHeight="1" outlineLevel="6">
      <c r="B4690" s="70" t="s">
        <v>8462</v>
      </c>
      <c r="C4690" s="70"/>
      <c r="D4690" s="70"/>
      <c r="E4690" s="70"/>
      <c r="F4690" s="70"/>
      <c r="G4690" s="70"/>
    </row>
    <row r="4691" spans="2:31" s="1" customFormat="1" ht="96.3" customHeight="1" outlineLevel="7">
      <c r="B4691" s="57">
        <v>3757</v>
      </c>
      <c r="C4691" s="21" t="s">
        <v>16547</v>
      </c>
      <c r="D4691" s="72" t="s">
        <v>16548</v>
      </c>
      <c r="E4691" s="72"/>
      <c r="F4691" s="72"/>
      <c r="G4691" s="72"/>
      <c r="H4691" s="22" t="s">
        <v>16549</v>
      </c>
      <c r="I4691" s="27">
        <v>119</v>
      </c>
      <c r="J4691" s="22"/>
      <c r="K4691" s="20">
        <v>1</v>
      </c>
      <c r="L4691" s="24">
        <v>486.27</v>
      </c>
      <c r="M4691" s="11"/>
      <c r="N4691" s="22">
        <f t="shared" ref="N4691:N4697" si="238">L4691*M4691</f>
        <v>0</v>
      </c>
      <c r="O4691" s="25">
        <f>0.406*M4691</f>
        <v>0</v>
      </c>
      <c r="P4691" s="26">
        <f>0.00343*M4691</f>
        <v>0</v>
      </c>
      <c r="Q4691" s="30"/>
      <c r="R4691" s="22" t="s">
        <v>16550</v>
      </c>
      <c r="S4691" s="22"/>
      <c r="T4691" s="21" t="str">
        <f>HYPERLINK("https://miland.ru/api/getInfo/image/05140cdb-3245-11f0-a27c-00155d82e908")</f>
        <v>https://miland.ru/api/getInfo/image/05140cdb-3245-11f0-a27c-00155d82e908</v>
      </c>
      <c r="U4691" s="21"/>
      <c r="V4691" s="21" t="s">
        <v>15979</v>
      </c>
      <c r="W4691" s="21" t="s">
        <v>8246</v>
      </c>
      <c r="X4691" s="21"/>
      <c r="Y4691" s="21" t="s">
        <v>41</v>
      </c>
      <c r="Z4691" s="21"/>
      <c r="AA4691" s="21" t="str">
        <f>HYPERLINK("https://miland.ru/api/getInfo/item/05140cdb-3245-11f0-a27c-00155d82e908")</f>
        <v>https://miland.ru/api/getInfo/item/05140cdb-3245-11f0-a27c-00155d82e908</v>
      </c>
      <c r="AB4691" s="21" t="s">
        <v>42</v>
      </c>
      <c r="AC4691" s="21"/>
      <c r="AD4691" s="21"/>
    </row>
    <row r="4692" spans="2:31" s="1" customFormat="1" ht="96.3" customHeight="1" outlineLevel="7">
      <c r="B4692" s="57">
        <v>3758</v>
      </c>
      <c r="C4692" s="21" t="s">
        <v>16551</v>
      </c>
      <c r="D4692" s="72" t="s">
        <v>16552</v>
      </c>
      <c r="E4692" s="72"/>
      <c r="F4692" s="72"/>
      <c r="G4692" s="72"/>
      <c r="H4692" s="22" t="s">
        <v>16553</v>
      </c>
      <c r="I4692" s="27">
        <v>154</v>
      </c>
      <c r="J4692" s="22"/>
      <c r="K4692" s="20">
        <v>1</v>
      </c>
      <c r="L4692" s="24">
        <v>923.9</v>
      </c>
      <c r="M4692" s="11"/>
      <c r="N4692" s="22">
        <f t="shared" si="238"/>
        <v>0</v>
      </c>
      <c r="O4692" s="25">
        <f>0.692*M4692</f>
        <v>0</v>
      </c>
      <c r="P4692" s="26">
        <f>0.00664*M4692</f>
        <v>0</v>
      </c>
      <c r="Q4692" s="30"/>
      <c r="R4692" s="22" t="s">
        <v>16554</v>
      </c>
      <c r="S4692" s="22" t="s">
        <v>435</v>
      </c>
      <c r="T4692" s="21" t="str">
        <f>HYPERLINK("https://miland.ru/api/getInfo/image/e28637a0-3247-11f0-a27c-00155d82e908")</f>
        <v>https://miland.ru/api/getInfo/image/e28637a0-3247-11f0-a27c-00155d82e908</v>
      </c>
      <c r="U4692" s="21"/>
      <c r="V4692" s="21" t="s">
        <v>15979</v>
      </c>
      <c r="W4692" s="21" t="s">
        <v>8246</v>
      </c>
      <c r="X4692" s="21"/>
      <c r="Y4692" s="21" t="s">
        <v>41</v>
      </c>
      <c r="Z4692" s="21"/>
      <c r="AA4692" s="21" t="str">
        <f>HYPERLINK("https://miland.ru/api/getInfo/item/e28637a0-3247-11f0-a27c-00155d82e908")</f>
        <v>https://miland.ru/api/getInfo/item/e28637a0-3247-11f0-a27c-00155d82e908</v>
      </c>
      <c r="AB4692" s="21" t="s">
        <v>42</v>
      </c>
      <c r="AC4692" s="21"/>
      <c r="AD4692" s="21"/>
    </row>
    <row r="4693" spans="2:31" s="1" customFormat="1" ht="96.3" customHeight="1" outlineLevel="7">
      <c r="B4693" s="57">
        <v>3759</v>
      </c>
      <c r="C4693" s="21" t="s">
        <v>16555</v>
      </c>
      <c r="D4693" s="72" t="s">
        <v>16556</v>
      </c>
      <c r="E4693" s="72"/>
      <c r="F4693" s="72"/>
      <c r="G4693" s="72"/>
      <c r="H4693" s="22" t="s">
        <v>16557</v>
      </c>
      <c r="I4693" s="27">
        <v>134</v>
      </c>
      <c r="J4693" s="22"/>
      <c r="K4693" s="20">
        <v>1</v>
      </c>
      <c r="L4693" s="24">
        <v>486.27</v>
      </c>
      <c r="M4693" s="11"/>
      <c r="N4693" s="22">
        <f t="shared" si="238"/>
        <v>0</v>
      </c>
      <c r="O4693" s="28">
        <f>0.41*M4693</f>
        <v>0</v>
      </c>
      <c r="P4693" s="29">
        <f>0.0042*M4693</f>
        <v>0</v>
      </c>
      <c r="Q4693" s="30"/>
      <c r="R4693" s="22" t="s">
        <v>16558</v>
      </c>
      <c r="S4693" s="22"/>
      <c r="T4693" s="21" t="str">
        <f>HYPERLINK("https://miland.ru/api/getInfo/image/f2aee63e-3246-11f0-a27c-00155d82e908")</f>
        <v>https://miland.ru/api/getInfo/image/f2aee63e-3246-11f0-a27c-00155d82e908</v>
      </c>
      <c r="U4693" s="21"/>
      <c r="V4693" s="21" t="s">
        <v>15979</v>
      </c>
      <c r="W4693" s="21" t="s">
        <v>8246</v>
      </c>
      <c r="X4693" s="21"/>
      <c r="Y4693" s="21" t="s">
        <v>41</v>
      </c>
      <c r="Z4693" s="21"/>
      <c r="AA4693" s="21" t="str">
        <f>HYPERLINK("https://miland.ru/api/getInfo/item/f2aee63e-3246-11f0-a27c-00155d82e908")</f>
        <v>https://miland.ru/api/getInfo/item/f2aee63e-3246-11f0-a27c-00155d82e908</v>
      </c>
      <c r="AB4693" s="21" t="s">
        <v>42</v>
      </c>
      <c r="AC4693" s="21"/>
      <c r="AD4693" s="21"/>
    </row>
    <row r="4694" spans="2:31" s="1" customFormat="1" ht="96.3" customHeight="1" outlineLevel="7">
      <c r="B4694" s="57">
        <v>3760</v>
      </c>
      <c r="C4694" s="21" t="s">
        <v>16559</v>
      </c>
      <c r="D4694" s="72" t="s">
        <v>16560</v>
      </c>
      <c r="E4694" s="72"/>
      <c r="F4694" s="72"/>
      <c r="G4694" s="72"/>
      <c r="H4694" s="22" t="s">
        <v>16561</v>
      </c>
      <c r="I4694" s="27">
        <v>30</v>
      </c>
      <c r="J4694" s="22"/>
      <c r="K4694" s="20">
        <v>1</v>
      </c>
      <c r="L4694" s="24">
        <v>826.65</v>
      </c>
      <c r="M4694" s="11"/>
      <c r="N4694" s="22">
        <f t="shared" si="238"/>
        <v>0</v>
      </c>
      <c r="O4694" s="25">
        <f>0.738*M4694</f>
        <v>0</v>
      </c>
      <c r="P4694" s="26">
        <f>0.00836*M4694</f>
        <v>0</v>
      </c>
      <c r="Q4694" s="30"/>
      <c r="R4694" s="22" t="s">
        <v>16562</v>
      </c>
      <c r="S4694" s="22" t="s">
        <v>435</v>
      </c>
      <c r="T4694" s="21" t="str">
        <f>HYPERLINK("https://miland.ru/api/getInfo/image/9b5c7ac5-3247-11f0-a27c-00155d82e908")</f>
        <v>https://miland.ru/api/getInfo/image/9b5c7ac5-3247-11f0-a27c-00155d82e908</v>
      </c>
      <c r="U4694" s="21"/>
      <c r="V4694" s="21" t="s">
        <v>15979</v>
      </c>
      <c r="W4694" s="21" t="s">
        <v>8246</v>
      </c>
      <c r="X4694" s="21"/>
      <c r="Y4694" s="21" t="s">
        <v>41</v>
      </c>
      <c r="Z4694" s="21"/>
      <c r="AA4694" s="21" t="str">
        <f>HYPERLINK("https://miland.ru/api/getInfo/item/9b5c7ac5-3247-11f0-a27c-00155d82e908")</f>
        <v>https://miland.ru/api/getInfo/item/9b5c7ac5-3247-11f0-a27c-00155d82e908</v>
      </c>
      <c r="AB4694" s="21" t="s">
        <v>42</v>
      </c>
      <c r="AC4694" s="21"/>
      <c r="AD4694" s="21"/>
    </row>
    <row r="4695" spans="2:31" s="1" customFormat="1" ht="96.3" customHeight="1" outlineLevel="7">
      <c r="B4695" s="57">
        <v>3761</v>
      </c>
      <c r="C4695" s="21" t="s">
        <v>16563</v>
      </c>
      <c r="D4695" s="72" t="s">
        <v>16564</v>
      </c>
      <c r="E4695" s="72"/>
      <c r="F4695" s="72"/>
      <c r="G4695" s="72"/>
      <c r="H4695" s="22" t="s">
        <v>16565</v>
      </c>
      <c r="I4695" s="27">
        <v>57</v>
      </c>
      <c r="J4695" s="22"/>
      <c r="K4695" s="20">
        <v>1</v>
      </c>
      <c r="L4695" s="24">
        <v>486.27</v>
      </c>
      <c r="M4695" s="11"/>
      <c r="N4695" s="22">
        <f t="shared" si="238"/>
        <v>0</v>
      </c>
      <c r="O4695" s="25">
        <f>0.404*M4695</f>
        <v>0</v>
      </c>
      <c r="P4695" s="26">
        <f>0.00382*M4695</f>
        <v>0</v>
      </c>
      <c r="Q4695" s="30"/>
      <c r="R4695" s="22" t="s">
        <v>16566</v>
      </c>
      <c r="S4695" s="22"/>
      <c r="T4695" s="21" t="str">
        <f>HYPERLINK("https://miland.ru/api/getInfo/image/18db40b8-3246-11f0-a27c-00155d82e908")</f>
        <v>https://miland.ru/api/getInfo/image/18db40b8-3246-11f0-a27c-00155d82e908</v>
      </c>
      <c r="U4695" s="21"/>
      <c r="V4695" s="21" t="s">
        <v>15979</v>
      </c>
      <c r="W4695" s="21" t="s">
        <v>8246</v>
      </c>
      <c r="X4695" s="21"/>
      <c r="Y4695" s="21" t="s">
        <v>41</v>
      </c>
      <c r="Z4695" s="21"/>
      <c r="AA4695" s="21" t="str">
        <f>HYPERLINK("https://miland.ru/api/getInfo/item/18db40b8-3246-11f0-a27c-00155d82e908")</f>
        <v>https://miland.ru/api/getInfo/item/18db40b8-3246-11f0-a27c-00155d82e908</v>
      </c>
      <c r="AB4695" s="21" t="s">
        <v>42</v>
      </c>
      <c r="AC4695" s="21"/>
      <c r="AD4695" s="21"/>
    </row>
    <row r="4696" spans="2:31" s="1" customFormat="1" ht="96.3" customHeight="1" outlineLevel="7">
      <c r="B4696" s="57">
        <v>3762</v>
      </c>
      <c r="C4696" s="21" t="s">
        <v>16567</v>
      </c>
      <c r="D4696" s="72" t="s">
        <v>16568</v>
      </c>
      <c r="E4696" s="72"/>
      <c r="F4696" s="72"/>
      <c r="G4696" s="72"/>
      <c r="H4696" s="22" t="s">
        <v>16569</v>
      </c>
      <c r="I4696" s="27">
        <v>103</v>
      </c>
      <c r="J4696" s="22"/>
      <c r="K4696" s="20">
        <v>1</v>
      </c>
      <c r="L4696" s="24">
        <v>486.27</v>
      </c>
      <c r="M4696" s="11"/>
      <c r="N4696" s="22">
        <f t="shared" si="238"/>
        <v>0</v>
      </c>
      <c r="O4696" s="25">
        <f>0.413*M4696</f>
        <v>0</v>
      </c>
      <c r="P4696" s="26">
        <f>0.00383*M4696</f>
        <v>0</v>
      </c>
      <c r="Q4696" s="30"/>
      <c r="R4696" s="22" t="s">
        <v>16570</v>
      </c>
      <c r="S4696" s="22"/>
      <c r="T4696" s="21" t="str">
        <f>HYPERLINK("https://miland.ru/api/getInfo/image/9654ee48-3246-11f0-a27c-00155d82e908")</f>
        <v>https://miland.ru/api/getInfo/image/9654ee48-3246-11f0-a27c-00155d82e908</v>
      </c>
      <c r="U4696" s="21"/>
      <c r="V4696" s="21" t="s">
        <v>15979</v>
      </c>
      <c r="W4696" s="21" t="s">
        <v>8246</v>
      </c>
      <c r="X4696" s="21"/>
      <c r="Y4696" s="21" t="s">
        <v>41</v>
      </c>
      <c r="Z4696" s="21"/>
      <c r="AA4696" s="21" t="str">
        <f>HYPERLINK("https://miland.ru/api/getInfo/item/9654ee48-3246-11f0-a27c-00155d82e908")</f>
        <v>https://miland.ru/api/getInfo/item/9654ee48-3246-11f0-a27c-00155d82e908</v>
      </c>
      <c r="AB4696" s="21" t="s">
        <v>42</v>
      </c>
      <c r="AC4696" s="21"/>
      <c r="AD4696" s="21"/>
    </row>
    <row r="4697" spans="2:31" s="1" customFormat="1" ht="96.3" customHeight="1" outlineLevel="7">
      <c r="B4697" s="57">
        <v>3763</v>
      </c>
      <c r="C4697" s="21" t="s">
        <v>16571</v>
      </c>
      <c r="D4697" s="72" t="s">
        <v>16572</v>
      </c>
      <c r="E4697" s="72"/>
      <c r="F4697" s="72"/>
      <c r="G4697" s="72"/>
      <c r="H4697" s="22" t="s">
        <v>16573</v>
      </c>
      <c r="I4697" s="27">
        <v>153</v>
      </c>
      <c r="J4697" s="22"/>
      <c r="K4697" s="20">
        <v>1</v>
      </c>
      <c r="L4697" s="24">
        <v>486.27</v>
      </c>
      <c r="M4697" s="11"/>
      <c r="N4697" s="22">
        <f t="shared" si="238"/>
        <v>0</v>
      </c>
      <c r="O4697" s="25">
        <f>0.403*M4697</f>
        <v>0</v>
      </c>
      <c r="P4697" s="26">
        <f>0.00369*M4697</f>
        <v>0</v>
      </c>
      <c r="Q4697" s="30"/>
      <c r="R4697" s="22" t="s">
        <v>16574</v>
      </c>
      <c r="S4697" s="22"/>
      <c r="T4697" s="21" t="str">
        <f>HYPERLINK("https://miland.ru/api/getInfo/image/3142e63d-3247-11f0-a27c-00155d82e908")</f>
        <v>https://miland.ru/api/getInfo/image/3142e63d-3247-11f0-a27c-00155d82e908</v>
      </c>
      <c r="U4697" s="21"/>
      <c r="V4697" s="21" t="s">
        <v>15979</v>
      </c>
      <c r="W4697" s="21" t="s">
        <v>8246</v>
      </c>
      <c r="X4697" s="21"/>
      <c r="Y4697" s="21" t="s">
        <v>41</v>
      </c>
      <c r="Z4697" s="21"/>
      <c r="AA4697" s="21" t="str">
        <f>HYPERLINK("https://miland.ru/api/getInfo/item/3142e63d-3247-11f0-a27c-00155d82e908")</f>
        <v>https://miland.ru/api/getInfo/item/3142e63d-3247-11f0-a27c-00155d82e908</v>
      </c>
      <c r="AB4697" s="21" t="s">
        <v>42</v>
      </c>
      <c r="AC4697" s="21"/>
      <c r="AD4697" s="21"/>
    </row>
    <row r="4698" spans="2:31" ht="12" customHeight="1" outlineLevel="4">
      <c r="B4698" s="70" t="s">
        <v>16575</v>
      </c>
      <c r="C4698" s="70"/>
      <c r="D4698" s="70"/>
      <c r="E4698" s="70"/>
      <c r="F4698" s="70"/>
      <c r="G4698" s="70"/>
    </row>
    <row r="4699" spans="2:31" s="1" customFormat="1" ht="96.3" customHeight="1" outlineLevel="5">
      <c r="B4699" s="58">
        <v>3764</v>
      </c>
      <c r="C4699" s="7" t="s">
        <v>16576</v>
      </c>
      <c r="D4699" s="71" t="s">
        <v>16577</v>
      </c>
      <c r="E4699" s="71"/>
      <c r="F4699" s="71"/>
      <c r="G4699" s="71"/>
      <c r="H4699" s="8" t="s">
        <v>16578</v>
      </c>
      <c r="I4699" s="14">
        <v>429</v>
      </c>
      <c r="J4699" s="8"/>
      <c r="K4699" s="6">
        <v>1</v>
      </c>
      <c r="L4699" s="10">
        <v>507.09</v>
      </c>
      <c r="M4699" s="11"/>
      <c r="N4699" s="8">
        <f>L4699*M4699</f>
        <v>0</v>
      </c>
      <c r="O4699" s="18">
        <f>0.46*M4699</f>
        <v>0</v>
      </c>
      <c r="P4699" s="13">
        <f>0.00324*M4699</f>
        <v>0</v>
      </c>
      <c r="Q4699" s="17" t="s">
        <v>37</v>
      </c>
      <c r="R4699" s="8" t="s">
        <v>16579</v>
      </c>
      <c r="S4699" s="8"/>
      <c r="T4699" s="7" t="str">
        <f>HYPERLINK("https://miland.ru/api/getInfo/image/d71a65fc-2f21-11f1-a292-00155d82e908")</f>
        <v>https://miland.ru/api/getInfo/image/d71a65fc-2f21-11f1-a292-00155d82e908</v>
      </c>
      <c r="U4699" s="7"/>
      <c r="V4699" s="7"/>
      <c r="W4699" s="7" t="s">
        <v>8246</v>
      </c>
      <c r="X4699" s="7"/>
      <c r="Y4699" s="7" t="s">
        <v>41</v>
      </c>
      <c r="Z4699" s="7"/>
      <c r="AA4699" s="7" t="str">
        <f>HYPERLINK("https://miland.ru/api/getInfo/item/d71a65fc-2f21-11f1-a292-00155d82e908")</f>
        <v>https://miland.ru/api/getInfo/item/d71a65fc-2f21-11f1-a292-00155d82e908</v>
      </c>
      <c r="AB4699" s="7" t="s">
        <v>42</v>
      </c>
      <c r="AC4699" s="7"/>
      <c r="AD4699" s="7"/>
      <c r="AE4699" s="54"/>
    </row>
    <row r="4700" spans="2:31" s="1" customFormat="1" ht="96.3" customHeight="1" outlineLevel="5">
      <c r="B4700" s="58">
        <v>3765</v>
      </c>
      <c r="C4700" s="7" t="s">
        <v>16580</v>
      </c>
      <c r="D4700" s="71" t="s">
        <v>16581</v>
      </c>
      <c r="E4700" s="71"/>
      <c r="F4700" s="71"/>
      <c r="G4700" s="71"/>
      <c r="H4700" s="8" t="s">
        <v>16582</v>
      </c>
      <c r="I4700" s="14">
        <v>452</v>
      </c>
      <c r="J4700" s="8"/>
      <c r="K4700" s="6">
        <v>1</v>
      </c>
      <c r="L4700" s="10">
        <v>540.89</v>
      </c>
      <c r="M4700" s="11"/>
      <c r="N4700" s="8">
        <f>L4700*M4700</f>
        <v>0</v>
      </c>
      <c r="O4700" s="12">
        <f>0.462*M4700</f>
        <v>0</v>
      </c>
      <c r="P4700" s="13">
        <f>0.00411*M4700</f>
        <v>0</v>
      </c>
      <c r="Q4700" s="17" t="s">
        <v>37</v>
      </c>
      <c r="R4700" s="8" t="s">
        <v>16583</v>
      </c>
      <c r="S4700" s="8"/>
      <c r="T4700" s="7" t="str">
        <f>HYPERLINK("https://miland.ru/api/getInfo/image/368280e1-2f21-11f1-a292-00155d82e908")</f>
        <v>https://miland.ru/api/getInfo/image/368280e1-2f21-11f1-a292-00155d82e908</v>
      </c>
      <c r="U4700" s="7"/>
      <c r="V4700" s="7"/>
      <c r="W4700" s="7" t="s">
        <v>8246</v>
      </c>
      <c r="X4700" s="7"/>
      <c r="Y4700" s="7" t="s">
        <v>41</v>
      </c>
      <c r="Z4700" s="7"/>
      <c r="AA4700" s="7" t="str">
        <f>HYPERLINK("https://miland.ru/api/getInfo/item/368280e1-2f21-11f1-a292-00155d82e908")</f>
        <v>https://miland.ru/api/getInfo/item/368280e1-2f21-11f1-a292-00155d82e908</v>
      </c>
      <c r="AB4700" s="7" t="s">
        <v>42</v>
      </c>
      <c r="AC4700" s="7"/>
      <c r="AD4700" s="7"/>
      <c r="AE4700" s="54"/>
    </row>
    <row r="4701" spans="2:31" s="1" customFormat="1" ht="96.3" customHeight="1" outlineLevel="5">
      <c r="B4701" s="58">
        <v>3766</v>
      </c>
      <c r="C4701" s="7" t="s">
        <v>16584</v>
      </c>
      <c r="D4701" s="71" t="s">
        <v>16585</v>
      </c>
      <c r="E4701" s="71"/>
      <c r="F4701" s="71"/>
      <c r="G4701" s="71"/>
      <c r="H4701" s="8" t="s">
        <v>16586</v>
      </c>
      <c r="I4701" s="14">
        <v>444</v>
      </c>
      <c r="J4701" s="8"/>
      <c r="K4701" s="6">
        <v>1</v>
      </c>
      <c r="L4701" s="10">
        <v>540.89</v>
      </c>
      <c r="M4701" s="11"/>
      <c r="N4701" s="8">
        <f>L4701*M4701</f>
        <v>0</v>
      </c>
      <c r="O4701" s="12">
        <f>0.452*M4701</f>
        <v>0</v>
      </c>
      <c r="P4701" s="13">
        <f>0.00402*M4701</f>
        <v>0</v>
      </c>
      <c r="Q4701" s="17" t="s">
        <v>37</v>
      </c>
      <c r="R4701" s="8" t="s">
        <v>16587</v>
      </c>
      <c r="S4701" s="8"/>
      <c r="T4701" s="7" t="str">
        <f>HYPERLINK("https://miland.ru/api/getInfo/image/94b7a5c0-2f21-11f1-a292-00155d82e908")</f>
        <v>https://miland.ru/api/getInfo/image/94b7a5c0-2f21-11f1-a292-00155d82e908</v>
      </c>
      <c r="U4701" s="7"/>
      <c r="V4701" s="7"/>
      <c r="W4701" s="7" t="s">
        <v>8246</v>
      </c>
      <c r="X4701" s="7"/>
      <c r="Y4701" s="7" t="s">
        <v>41</v>
      </c>
      <c r="Z4701" s="7"/>
      <c r="AA4701" s="7" t="str">
        <f>HYPERLINK("https://miland.ru/api/getInfo/item/94b7a5c0-2f21-11f1-a292-00155d82e908")</f>
        <v>https://miland.ru/api/getInfo/item/94b7a5c0-2f21-11f1-a292-00155d82e908</v>
      </c>
      <c r="AB4701" s="7" t="s">
        <v>42</v>
      </c>
      <c r="AC4701" s="7"/>
      <c r="AD4701" s="7"/>
      <c r="AE4701" s="54"/>
    </row>
    <row r="4702" spans="2:31" ht="12" customHeight="1" outlineLevel="4">
      <c r="B4702" s="70" t="s">
        <v>16588</v>
      </c>
      <c r="C4702" s="70"/>
      <c r="D4702" s="70"/>
      <c r="E4702" s="70"/>
      <c r="F4702" s="70"/>
      <c r="G4702" s="70"/>
    </row>
    <row r="4703" spans="2:31" s="1" customFormat="1" ht="96.3" customHeight="1" outlineLevel="5">
      <c r="B4703" s="57">
        <v>3767</v>
      </c>
      <c r="C4703" s="21" t="s">
        <v>16589</v>
      </c>
      <c r="D4703" s="72" t="s">
        <v>16590</v>
      </c>
      <c r="E4703" s="72"/>
      <c r="F4703" s="72"/>
      <c r="G4703" s="72"/>
      <c r="H4703" s="22" t="s">
        <v>16591</v>
      </c>
      <c r="I4703" s="27">
        <v>24</v>
      </c>
      <c r="J4703" s="22"/>
      <c r="K4703" s="20">
        <v>1</v>
      </c>
      <c r="L4703" s="24">
        <v>595.42999999999995</v>
      </c>
      <c r="M4703" s="11"/>
      <c r="N4703" s="22">
        <f t="shared" ref="N4703:N4713" si="239">L4703*M4703</f>
        <v>0</v>
      </c>
      <c r="O4703" s="25">
        <f>0.349*M4703</f>
        <v>0</v>
      </c>
      <c r="P4703" s="26">
        <f>0.00549*M4703</f>
        <v>0</v>
      </c>
      <c r="Q4703" s="30"/>
      <c r="R4703" s="22" t="s">
        <v>16592</v>
      </c>
      <c r="S4703" s="22"/>
      <c r="T4703" s="21" t="str">
        <f>HYPERLINK("https://miland.ru/api/getInfo/image/b62ff64e-f339-11ee-a25b-00155d82e908")</f>
        <v>https://miland.ru/api/getInfo/image/b62ff64e-f339-11ee-a25b-00155d82e908</v>
      </c>
      <c r="U4703" s="21"/>
      <c r="V4703" s="21" t="s">
        <v>15979</v>
      </c>
      <c r="W4703" s="21" t="s">
        <v>8246</v>
      </c>
      <c r="X4703" s="21"/>
      <c r="Y4703" s="21" t="s">
        <v>41</v>
      </c>
      <c r="Z4703" s="21"/>
      <c r="AA4703" s="21" t="str">
        <f>HYPERLINK("https://miland.ru/api/getInfo/item/b62ff64e-f339-11ee-a25b-00155d82e908")</f>
        <v>https://miland.ru/api/getInfo/item/b62ff64e-f339-11ee-a25b-00155d82e908</v>
      </c>
      <c r="AB4703" s="21" t="s">
        <v>42</v>
      </c>
      <c r="AC4703" s="21" t="s">
        <v>16593</v>
      </c>
      <c r="AD4703" s="21"/>
    </row>
    <row r="4704" spans="2:31" s="1" customFormat="1" ht="96.3" customHeight="1" outlineLevel="5">
      <c r="B4704" s="57">
        <v>3768</v>
      </c>
      <c r="C4704" s="21" t="s">
        <v>16594</v>
      </c>
      <c r="D4704" s="72" t="s">
        <v>16595</v>
      </c>
      <c r="E4704" s="72"/>
      <c r="F4704" s="72"/>
      <c r="G4704" s="72"/>
      <c r="H4704" s="22" t="s">
        <v>16596</v>
      </c>
      <c r="I4704" s="27">
        <v>150</v>
      </c>
      <c r="J4704" s="22"/>
      <c r="K4704" s="20">
        <v>1</v>
      </c>
      <c r="L4704" s="24">
        <v>896.2</v>
      </c>
      <c r="M4704" s="11"/>
      <c r="N4704" s="22">
        <f t="shared" si="239"/>
        <v>0</v>
      </c>
      <c r="O4704" s="25">
        <f>0.567*M4704</f>
        <v>0</v>
      </c>
      <c r="P4704" s="26">
        <f>0.00816*M4704</f>
        <v>0</v>
      </c>
      <c r="Q4704" s="30"/>
      <c r="R4704" s="22" t="s">
        <v>16597</v>
      </c>
      <c r="S4704" s="22"/>
      <c r="T4704" s="21" t="str">
        <f>HYPERLINK("https://miland.ru/api/getInfo/image/9876e1af-e29c-11ed-a233-00155d82e902")</f>
        <v>https://miland.ru/api/getInfo/image/9876e1af-e29c-11ed-a233-00155d82e902</v>
      </c>
      <c r="U4704" s="21"/>
      <c r="V4704" s="21" t="s">
        <v>15979</v>
      </c>
      <c r="W4704" s="21" t="s">
        <v>8246</v>
      </c>
      <c r="X4704" s="21"/>
      <c r="Y4704" s="21" t="s">
        <v>41</v>
      </c>
      <c r="Z4704" s="21"/>
      <c r="AA4704" s="21" t="str">
        <f>HYPERLINK("https://miland.ru/api/getInfo/item/9876e1af-e29c-11ed-a233-00155d82e902")</f>
        <v>https://miland.ru/api/getInfo/item/9876e1af-e29c-11ed-a233-00155d82e902</v>
      </c>
      <c r="AB4704" s="21" t="s">
        <v>42</v>
      </c>
      <c r="AC4704" s="21"/>
      <c r="AD4704" s="21"/>
    </row>
    <row r="4705" spans="2:31" s="1" customFormat="1" ht="96.3" customHeight="1" outlineLevel="5">
      <c r="B4705" s="59">
        <v>3769</v>
      </c>
      <c r="C4705" s="35" t="s">
        <v>16598</v>
      </c>
      <c r="D4705" s="73" t="s">
        <v>16599</v>
      </c>
      <c r="E4705" s="73"/>
      <c r="F4705" s="73"/>
      <c r="G4705" s="73"/>
      <c r="H4705" s="36" t="s">
        <v>16600</v>
      </c>
      <c r="I4705" s="40">
        <v>173</v>
      </c>
      <c r="J4705" s="36"/>
      <c r="K4705" s="34">
        <v>1</v>
      </c>
      <c r="L4705" s="41">
        <v>458.02666666666664</v>
      </c>
      <c r="M4705" s="11"/>
      <c r="N4705" s="36">
        <f t="shared" si="239"/>
        <v>0</v>
      </c>
      <c r="O4705" s="42">
        <f>0.419*M4705</f>
        <v>0</v>
      </c>
      <c r="P4705" s="43">
        <f>0.01839*M4705</f>
        <v>0</v>
      </c>
      <c r="Q4705" s="50" t="s">
        <v>37</v>
      </c>
      <c r="R4705" s="36" t="s">
        <v>16601</v>
      </c>
      <c r="S4705" s="36"/>
      <c r="T4705" s="35" t="str">
        <f>HYPERLINK("https://miland.ru/api/getInfo/image/d4848060-ae6f-11f0-a286-00155d82e908")</f>
        <v>https://miland.ru/api/getInfo/image/d4848060-ae6f-11f0-a286-00155d82e908</v>
      </c>
      <c r="U4705" s="35"/>
      <c r="V4705" s="35" t="s">
        <v>15979</v>
      </c>
      <c r="W4705" s="35" t="s">
        <v>8246</v>
      </c>
      <c r="X4705" s="35"/>
      <c r="Y4705" s="35" t="s">
        <v>41</v>
      </c>
      <c r="Z4705" s="35"/>
      <c r="AA4705" s="35" t="str">
        <f>HYPERLINK("https://miland.ru/api/getInfo/item/d4848060-ae6f-11f0-a286-00155d82e908")</f>
        <v>https://miland.ru/api/getInfo/item/d4848060-ae6f-11f0-a286-00155d82e908</v>
      </c>
      <c r="AB4705" s="35" t="s">
        <v>42</v>
      </c>
      <c r="AC4705" s="35"/>
      <c r="AD4705" s="35"/>
      <c r="AE4705" s="52" t="s">
        <v>9152</v>
      </c>
    </row>
    <row r="4706" spans="2:31" s="1" customFormat="1" ht="96.3" customHeight="1" outlineLevel="5">
      <c r="B4706" s="57">
        <v>3770</v>
      </c>
      <c r="C4706" s="21" t="s">
        <v>16602</v>
      </c>
      <c r="D4706" s="72" t="s">
        <v>16603</v>
      </c>
      <c r="E4706" s="72"/>
      <c r="F4706" s="72"/>
      <c r="G4706" s="72"/>
      <c r="H4706" s="22" t="s">
        <v>16604</v>
      </c>
      <c r="I4706" s="27">
        <v>267</v>
      </c>
      <c r="J4706" s="22"/>
      <c r="K4706" s="20">
        <v>1</v>
      </c>
      <c r="L4706" s="24">
        <v>672.15</v>
      </c>
      <c r="M4706" s="11"/>
      <c r="N4706" s="22">
        <f t="shared" si="239"/>
        <v>0</v>
      </c>
      <c r="O4706" s="25">
        <f>0.314*M4706</f>
        <v>0</v>
      </c>
      <c r="P4706" s="26">
        <f>0.00431*M4706</f>
        <v>0</v>
      </c>
      <c r="Q4706" s="30"/>
      <c r="R4706" s="22" t="s">
        <v>16605</v>
      </c>
      <c r="S4706" s="22"/>
      <c r="T4706" s="21" t="str">
        <f>HYPERLINK("https://miland.ru/api/getInfo/image/d0fd820d-e29d-11ed-a233-00155d82e902")</f>
        <v>https://miland.ru/api/getInfo/image/d0fd820d-e29d-11ed-a233-00155d82e902</v>
      </c>
      <c r="U4706" s="21"/>
      <c r="V4706" s="21" t="s">
        <v>15979</v>
      </c>
      <c r="W4706" s="21" t="s">
        <v>8246</v>
      </c>
      <c r="X4706" s="21"/>
      <c r="Y4706" s="21" t="s">
        <v>41</v>
      </c>
      <c r="Z4706" s="21"/>
      <c r="AA4706" s="21" t="str">
        <f>HYPERLINK("https://miland.ru/api/getInfo/item/d0fd820d-e29d-11ed-a233-00155d82e902")</f>
        <v>https://miland.ru/api/getInfo/item/d0fd820d-e29d-11ed-a233-00155d82e902</v>
      </c>
      <c r="AB4706" s="21" t="s">
        <v>42</v>
      </c>
      <c r="AC4706" s="21"/>
      <c r="AD4706" s="21"/>
    </row>
    <row r="4707" spans="2:31" s="1" customFormat="1" ht="96.3" customHeight="1" outlineLevel="5">
      <c r="B4707" s="59">
        <v>3771</v>
      </c>
      <c r="C4707" s="35" t="s">
        <v>16606</v>
      </c>
      <c r="D4707" s="73" t="s">
        <v>16607</v>
      </c>
      <c r="E4707" s="73"/>
      <c r="F4707" s="73"/>
      <c r="G4707" s="73"/>
      <c r="H4707" s="36" t="s">
        <v>16608</v>
      </c>
      <c r="I4707" s="40">
        <v>184</v>
      </c>
      <c r="J4707" s="36"/>
      <c r="K4707" s="34">
        <v>1</v>
      </c>
      <c r="L4707" s="41">
        <v>458.02666666666664</v>
      </c>
      <c r="M4707" s="11"/>
      <c r="N4707" s="36">
        <f t="shared" si="239"/>
        <v>0</v>
      </c>
      <c r="O4707" s="42">
        <f>0.414*M4707</f>
        <v>0</v>
      </c>
      <c r="P4707" s="43">
        <f>0.00416*M4707</f>
        <v>0</v>
      </c>
      <c r="Q4707" s="50" t="s">
        <v>37</v>
      </c>
      <c r="R4707" s="36" t="s">
        <v>16609</v>
      </c>
      <c r="S4707" s="36"/>
      <c r="T4707" s="35" t="str">
        <f>HYPERLINK("https://miland.ru/api/getInfo/image/868ccf74-ae6f-11f0-a286-00155d82e908")</f>
        <v>https://miland.ru/api/getInfo/image/868ccf74-ae6f-11f0-a286-00155d82e908</v>
      </c>
      <c r="U4707" s="35"/>
      <c r="V4707" s="35" t="s">
        <v>15979</v>
      </c>
      <c r="W4707" s="35" t="s">
        <v>8246</v>
      </c>
      <c r="X4707" s="35"/>
      <c r="Y4707" s="35" t="s">
        <v>41</v>
      </c>
      <c r="Z4707" s="35"/>
      <c r="AA4707" s="35" t="str">
        <f>HYPERLINK("https://miland.ru/api/getInfo/item/868ccf74-ae6f-11f0-a286-00155d82e908")</f>
        <v>https://miland.ru/api/getInfo/item/868ccf74-ae6f-11f0-a286-00155d82e908</v>
      </c>
      <c r="AB4707" s="35" t="s">
        <v>42</v>
      </c>
      <c r="AC4707" s="35"/>
      <c r="AD4707" s="35"/>
      <c r="AE4707" s="52" t="s">
        <v>9152</v>
      </c>
    </row>
    <row r="4708" spans="2:31" s="1" customFormat="1" ht="96.3" customHeight="1" outlineLevel="5">
      <c r="B4708" s="59">
        <v>3772</v>
      </c>
      <c r="C4708" s="35" t="s">
        <v>16610</v>
      </c>
      <c r="D4708" s="73" t="s">
        <v>16611</v>
      </c>
      <c r="E4708" s="73"/>
      <c r="F4708" s="73"/>
      <c r="G4708" s="73"/>
      <c r="H4708" s="36" t="s">
        <v>16612</v>
      </c>
      <c r="I4708" s="40">
        <v>36</v>
      </c>
      <c r="J4708" s="36"/>
      <c r="K4708" s="34">
        <v>1</v>
      </c>
      <c r="L4708" s="41">
        <v>458.02666666666664</v>
      </c>
      <c r="M4708" s="11"/>
      <c r="N4708" s="36">
        <f t="shared" si="239"/>
        <v>0</v>
      </c>
      <c r="O4708" s="42">
        <f>0.418*M4708</f>
        <v>0</v>
      </c>
      <c r="P4708" s="43">
        <f>0.00413*M4708</f>
        <v>0</v>
      </c>
      <c r="Q4708" s="50" t="s">
        <v>37</v>
      </c>
      <c r="R4708" s="36" t="s">
        <v>16613</v>
      </c>
      <c r="S4708" s="36"/>
      <c r="T4708" s="35" t="str">
        <f>HYPERLINK("https://miland.ru/api/getInfo/image/f1d8ca34-ae6f-11f0-a286-00155d82e908")</f>
        <v>https://miland.ru/api/getInfo/image/f1d8ca34-ae6f-11f0-a286-00155d82e908</v>
      </c>
      <c r="U4708" s="35"/>
      <c r="V4708" s="35" t="s">
        <v>15979</v>
      </c>
      <c r="W4708" s="35" t="s">
        <v>8246</v>
      </c>
      <c r="X4708" s="35"/>
      <c r="Y4708" s="35" t="s">
        <v>41</v>
      </c>
      <c r="Z4708" s="35"/>
      <c r="AA4708" s="35" t="str">
        <f>HYPERLINK("https://miland.ru/api/getInfo/item/f1d8ca34-ae6f-11f0-a286-00155d82e908")</f>
        <v>https://miland.ru/api/getInfo/item/f1d8ca34-ae6f-11f0-a286-00155d82e908</v>
      </c>
      <c r="AB4708" s="35" t="s">
        <v>42</v>
      </c>
      <c r="AC4708" s="35"/>
      <c r="AD4708" s="35"/>
      <c r="AE4708" s="52" t="s">
        <v>9152</v>
      </c>
    </row>
    <row r="4709" spans="2:31" s="1" customFormat="1" ht="96.3" customHeight="1" outlineLevel="5">
      <c r="B4709" s="59">
        <v>3773</v>
      </c>
      <c r="C4709" s="35" t="s">
        <v>16614</v>
      </c>
      <c r="D4709" s="73" t="s">
        <v>16615</v>
      </c>
      <c r="E4709" s="73"/>
      <c r="F4709" s="73"/>
      <c r="G4709" s="73"/>
      <c r="H4709" s="36" t="s">
        <v>16616</v>
      </c>
      <c r="I4709" s="40">
        <v>188</v>
      </c>
      <c r="J4709" s="36"/>
      <c r="K4709" s="34">
        <v>1</v>
      </c>
      <c r="L4709" s="41">
        <v>458.02666666666664</v>
      </c>
      <c r="M4709" s="11"/>
      <c r="N4709" s="36">
        <f t="shared" si="239"/>
        <v>0</v>
      </c>
      <c r="O4709" s="42">
        <f>0.416*M4709</f>
        <v>0</v>
      </c>
      <c r="P4709" s="43">
        <f>0.00429*M4709</f>
        <v>0</v>
      </c>
      <c r="Q4709" s="50" t="s">
        <v>37</v>
      </c>
      <c r="R4709" s="36" t="s">
        <v>16617</v>
      </c>
      <c r="S4709" s="36"/>
      <c r="T4709" s="35" t="str">
        <f>HYPERLINK("https://miland.ru/api/getInfo/image/1ee59bcc-ae70-11f0-a286-00155d82e908")</f>
        <v>https://miland.ru/api/getInfo/image/1ee59bcc-ae70-11f0-a286-00155d82e908</v>
      </c>
      <c r="U4709" s="35"/>
      <c r="V4709" s="35" t="s">
        <v>15979</v>
      </c>
      <c r="W4709" s="35" t="s">
        <v>8246</v>
      </c>
      <c r="X4709" s="35"/>
      <c r="Y4709" s="35" t="s">
        <v>41</v>
      </c>
      <c r="Z4709" s="35"/>
      <c r="AA4709" s="35" t="str">
        <f>HYPERLINK("https://miland.ru/api/getInfo/item/1ee59bcc-ae70-11f0-a286-00155d82e908")</f>
        <v>https://miland.ru/api/getInfo/item/1ee59bcc-ae70-11f0-a286-00155d82e908</v>
      </c>
      <c r="AB4709" s="35" t="s">
        <v>42</v>
      </c>
      <c r="AC4709" s="35"/>
      <c r="AD4709" s="35"/>
      <c r="AE4709" s="52" t="s">
        <v>9152</v>
      </c>
    </row>
    <row r="4710" spans="2:31" s="1" customFormat="1" ht="96.3" customHeight="1" outlineLevel="5">
      <c r="B4710" s="59">
        <v>3774</v>
      </c>
      <c r="C4710" s="35" t="s">
        <v>16618</v>
      </c>
      <c r="D4710" s="73" t="s">
        <v>16619</v>
      </c>
      <c r="E4710" s="73"/>
      <c r="F4710" s="73"/>
      <c r="G4710" s="73"/>
      <c r="H4710" s="36" t="s">
        <v>16620</v>
      </c>
      <c r="I4710" s="40">
        <v>95</v>
      </c>
      <c r="J4710" s="36"/>
      <c r="K4710" s="34">
        <v>1</v>
      </c>
      <c r="L4710" s="41">
        <v>458.02666666666664</v>
      </c>
      <c r="M4710" s="11"/>
      <c r="N4710" s="36">
        <f t="shared" si="239"/>
        <v>0</v>
      </c>
      <c r="O4710" s="42">
        <f>0.389*M4710</f>
        <v>0</v>
      </c>
      <c r="P4710" s="43">
        <f>0.00417*M4710</f>
        <v>0</v>
      </c>
      <c r="Q4710" s="50" t="s">
        <v>37</v>
      </c>
      <c r="R4710" s="36" t="s">
        <v>16621</v>
      </c>
      <c r="S4710" s="36"/>
      <c r="T4710" s="35" t="str">
        <f>HYPERLINK("https://miland.ru/api/getInfo/image/12e27b73-ae6f-11f0-a286-00155d82e908")</f>
        <v>https://miland.ru/api/getInfo/image/12e27b73-ae6f-11f0-a286-00155d82e908</v>
      </c>
      <c r="U4710" s="35"/>
      <c r="V4710" s="35" t="s">
        <v>15979</v>
      </c>
      <c r="W4710" s="35" t="s">
        <v>8246</v>
      </c>
      <c r="X4710" s="35"/>
      <c r="Y4710" s="35" t="s">
        <v>41</v>
      </c>
      <c r="Z4710" s="35"/>
      <c r="AA4710" s="35" t="str">
        <f>HYPERLINK("https://miland.ru/api/getInfo/item/12e27b73-ae6f-11f0-a286-00155d82e908")</f>
        <v>https://miland.ru/api/getInfo/item/12e27b73-ae6f-11f0-a286-00155d82e908</v>
      </c>
      <c r="AB4710" s="35" t="s">
        <v>42</v>
      </c>
      <c r="AC4710" s="35"/>
      <c r="AD4710" s="35"/>
      <c r="AE4710" s="52" t="s">
        <v>9152</v>
      </c>
    </row>
    <row r="4711" spans="2:31" s="1" customFormat="1" ht="96.3" customHeight="1" outlineLevel="5">
      <c r="B4711" s="57">
        <v>3775</v>
      </c>
      <c r="C4711" s="21" t="s">
        <v>16622</v>
      </c>
      <c r="D4711" s="72" t="s">
        <v>16623</v>
      </c>
      <c r="E4711" s="72"/>
      <c r="F4711" s="72"/>
      <c r="G4711" s="72"/>
      <c r="H4711" s="22" t="s">
        <v>16624</v>
      </c>
      <c r="I4711" s="27">
        <v>156</v>
      </c>
      <c r="J4711" s="22"/>
      <c r="K4711" s="20">
        <v>1</v>
      </c>
      <c r="L4711" s="24">
        <v>491.89</v>
      </c>
      <c r="M4711" s="11"/>
      <c r="N4711" s="22">
        <f t="shared" si="239"/>
        <v>0</v>
      </c>
      <c r="O4711" s="25">
        <f>0.306*M4711</f>
        <v>0</v>
      </c>
      <c r="P4711" s="26">
        <f>0.00477*M4711</f>
        <v>0</v>
      </c>
      <c r="Q4711" s="30"/>
      <c r="R4711" s="22" t="s">
        <v>16625</v>
      </c>
      <c r="S4711" s="22"/>
      <c r="T4711" s="21" t="str">
        <f>HYPERLINK("https://miland.ru/api/getInfo/image/9302b84d-f339-11ee-a25b-00155d82e908")</f>
        <v>https://miland.ru/api/getInfo/image/9302b84d-f339-11ee-a25b-00155d82e908</v>
      </c>
      <c r="U4711" s="21"/>
      <c r="V4711" s="21" t="s">
        <v>15979</v>
      </c>
      <c r="W4711" s="21" t="s">
        <v>8246</v>
      </c>
      <c r="X4711" s="21"/>
      <c r="Y4711" s="21" t="s">
        <v>41</v>
      </c>
      <c r="Z4711" s="21"/>
      <c r="AA4711" s="21" t="str">
        <f>HYPERLINK("https://miland.ru/api/getInfo/item/9302b84d-f339-11ee-a25b-00155d82e908")</f>
        <v>https://miland.ru/api/getInfo/item/9302b84d-f339-11ee-a25b-00155d82e908</v>
      </c>
      <c r="AB4711" s="21" t="s">
        <v>42</v>
      </c>
      <c r="AC4711" s="21" t="s">
        <v>16593</v>
      </c>
      <c r="AD4711" s="21"/>
    </row>
    <row r="4712" spans="2:31" s="1" customFormat="1" ht="96.3" customHeight="1" outlineLevel="5">
      <c r="B4712" s="58">
        <v>3776</v>
      </c>
      <c r="C4712" s="7" t="s">
        <v>16626</v>
      </c>
      <c r="D4712" s="71" t="s">
        <v>16627</v>
      </c>
      <c r="E4712" s="71"/>
      <c r="F4712" s="71"/>
      <c r="G4712" s="71"/>
      <c r="H4712" s="8" t="s">
        <v>16628</v>
      </c>
      <c r="I4712" s="14">
        <v>297</v>
      </c>
      <c r="J4712" s="8"/>
      <c r="K4712" s="6">
        <v>1</v>
      </c>
      <c r="L4712" s="10">
        <v>528.21</v>
      </c>
      <c r="M4712" s="11"/>
      <c r="N4712" s="8">
        <f t="shared" si="239"/>
        <v>0</v>
      </c>
      <c r="O4712" s="12">
        <f>0.419*M4712</f>
        <v>0</v>
      </c>
      <c r="P4712" s="13">
        <f>0.00435*M4712</f>
        <v>0</v>
      </c>
      <c r="Q4712" s="17" t="s">
        <v>37</v>
      </c>
      <c r="R4712" s="8" t="s">
        <v>16629</v>
      </c>
      <c r="S4712" s="8"/>
      <c r="T4712" s="7" t="str">
        <f>HYPERLINK("https://miland.ru/api/getInfo/image/1e6228ac-2f21-11f1-a292-00155d82e908")</f>
        <v>https://miland.ru/api/getInfo/image/1e6228ac-2f21-11f1-a292-00155d82e908</v>
      </c>
      <c r="U4712" s="7"/>
      <c r="V4712" s="7"/>
      <c r="W4712" s="7" t="s">
        <v>8246</v>
      </c>
      <c r="X4712" s="7"/>
      <c r="Y4712" s="7" t="s">
        <v>41</v>
      </c>
      <c r="Z4712" s="7"/>
      <c r="AA4712" s="7" t="str">
        <f>HYPERLINK("https://miland.ru/api/getInfo/item/1e6228ac-2f21-11f1-a292-00155d82e908")</f>
        <v>https://miland.ru/api/getInfo/item/1e6228ac-2f21-11f1-a292-00155d82e908</v>
      </c>
      <c r="AB4712" s="7" t="s">
        <v>42</v>
      </c>
      <c r="AC4712" s="7"/>
      <c r="AD4712" s="7"/>
      <c r="AE4712" s="54"/>
    </row>
    <row r="4713" spans="2:31" s="1" customFormat="1" ht="96.3" customHeight="1" outlineLevel="5">
      <c r="B4713" s="58">
        <v>3777</v>
      </c>
      <c r="C4713" s="7" t="s">
        <v>16630</v>
      </c>
      <c r="D4713" s="71" t="s">
        <v>16631</v>
      </c>
      <c r="E4713" s="71"/>
      <c r="F4713" s="71"/>
      <c r="G4713" s="71"/>
      <c r="H4713" s="8" t="s">
        <v>16632</v>
      </c>
      <c r="I4713" s="14">
        <v>300</v>
      </c>
      <c r="J4713" s="8"/>
      <c r="K4713" s="6">
        <v>1</v>
      </c>
      <c r="L4713" s="10">
        <v>528.21</v>
      </c>
      <c r="M4713" s="11"/>
      <c r="N4713" s="8">
        <f t="shared" si="239"/>
        <v>0</v>
      </c>
      <c r="O4713" s="12">
        <f>0.416*M4713</f>
        <v>0</v>
      </c>
      <c r="P4713" s="13">
        <f>0.00342*M4713</f>
        <v>0</v>
      </c>
      <c r="Q4713" s="17" t="s">
        <v>37</v>
      </c>
      <c r="R4713" s="8" t="s">
        <v>16633</v>
      </c>
      <c r="S4713" s="8"/>
      <c r="T4713" s="7" t="str">
        <f>HYPERLINK("https://miland.ru/api/getInfo/image/04693f3f-2f21-11f1-a292-00155d82e908")</f>
        <v>https://miland.ru/api/getInfo/image/04693f3f-2f21-11f1-a292-00155d82e908</v>
      </c>
      <c r="U4713" s="7"/>
      <c r="V4713" s="7"/>
      <c r="W4713" s="7" t="s">
        <v>8246</v>
      </c>
      <c r="X4713" s="7"/>
      <c r="Y4713" s="7" t="s">
        <v>41</v>
      </c>
      <c r="Z4713" s="7"/>
      <c r="AA4713" s="7" t="str">
        <f>HYPERLINK("https://miland.ru/api/getInfo/item/04693f3f-2f21-11f1-a292-00155d82e908")</f>
        <v>https://miland.ru/api/getInfo/item/04693f3f-2f21-11f1-a292-00155d82e908</v>
      </c>
      <c r="AB4713" s="7" t="s">
        <v>42</v>
      </c>
      <c r="AC4713" s="7"/>
      <c r="AD4713" s="7"/>
      <c r="AE4713" s="54"/>
    </row>
    <row r="4714" spans="2:31" ht="12" customHeight="1" outlineLevel="4">
      <c r="B4714" s="70" t="s">
        <v>16634</v>
      </c>
      <c r="C4714" s="70"/>
      <c r="D4714" s="70"/>
      <c r="E4714" s="70"/>
      <c r="F4714" s="70"/>
      <c r="G4714" s="70"/>
    </row>
    <row r="4715" spans="2:31" s="1" customFormat="1" ht="96.3" customHeight="1" outlineLevel="5">
      <c r="B4715" s="59">
        <v>3778</v>
      </c>
      <c r="C4715" s="35" t="s">
        <v>16635</v>
      </c>
      <c r="D4715" s="73" t="s">
        <v>16636</v>
      </c>
      <c r="E4715" s="73"/>
      <c r="F4715" s="73"/>
      <c r="G4715" s="73"/>
      <c r="H4715" s="36" t="s">
        <v>16637</v>
      </c>
      <c r="I4715" s="40">
        <v>144</v>
      </c>
      <c r="J4715" s="36"/>
      <c r="K4715" s="34">
        <v>1</v>
      </c>
      <c r="L4715" s="41">
        <v>497.8533333333333</v>
      </c>
      <c r="M4715" s="11"/>
      <c r="N4715" s="36">
        <f>L4715*M4715</f>
        <v>0</v>
      </c>
      <c r="O4715" s="42">
        <f>0.376*M4715</f>
        <v>0</v>
      </c>
      <c r="P4715" s="43">
        <f>0.00339*M4715</f>
        <v>0</v>
      </c>
      <c r="Q4715" s="50" t="s">
        <v>37</v>
      </c>
      <c r="R4715" s="36" t="s">
        <v>16638</v>
      </c>
      <c r="S4715" s="36"/>
      <c r="T4715" s="35" t="str">
        <f>HYPERLINK("https://miland.ru/api/getInfo/image/5552874c-ae70-11f0-a286-00155d82e908")</f>
        <v>https://miland.ru/api/getInfo/image/5552874c-ae70-11f0-a286-00155d82e908</v>
      </c>
      <c r="U4715" s="35"/>
      <c r="V4715" s="35" t="s">
        <v>15979</v>
      </c>
      <c r="W4715" s="35" t="s">
        <v>8246</v>
      </c>
      <c r="X4715" s="35"/>
      <c r="Y4715" s="35" t="s">
        <v>41</v>
      </c>
      <c r="Z4715" s="35"/>
      <c r="AA4715" s="35" t="str">
        <f>HYPERLINK("https://miland.ru/api/getInfo/item/5552874c-ae70-11f0-a286-00155d82e908")</f>
        <v>https://miland.ru/api/getInfo/item/5552874c-ae70-11f0-a286-00155d82e908</v>
      </c>
      <c r="AB4715" s="35" t="s">
        <v>42</v>
      </c>
      <c r="AC4715" s="35"/>
      <c r="AD4715" s="35"/>
      <c r="AE4715" s="52" t="s">
        <v>9152</v>
      </c>
    </row>
    <row r="4716" spans="2:31" s="1" customFormat="1" ht="96.3" customHeight="1" outlineLevel="5">
      <c r="B4716" s="58">
        <v>3779</v>
      </c>
      <c r="C4716" s="7" t="s">
        <v>16639</v>
      </c>
      <c r="D4716" s="71" t="s">
        <v>16640</v>
      </c>
      <c r="E4716" s="71"/>
      <c r="F4716" s="71"/>
      <c r="G4716" s="71"/>
      <c r="H4716" s="8" t="s">
        <v>16641</v>
      </c>
      <c r="I4716" s="14">
        <v>367</v>
      </c>
      <c r="J4716" s="8"/>
      <c r="K4716" s="6">
        <v>1</v>
      </c>
      <c r="L4716" s="10">
        <v>622.32000000000005</v>
      </c>
      <c r="M4716" s="11"/>
      <c r="N4716" s="8">
        <f>L4716*M4716</f>
        <v>0</v>
      </c>
      <c r="O4716" s="12">
        <f>0.365*M4716</f>
        <v>0</v>
      </c>
      <c r="P4716" s="13">
        <f>0.00369*M4716</f>
        <v>0</v>
      </c>
      <c r="Q4716" s="17" t="s">
        <v>37</v>
      </c>
      <c r="R4716" s="8" t="s">
        <v>16642</v>
      </c>
      <c r="S4716" s="8"/>
      <c r="T4716" s="7" t="str">
        <f>HYPERLINK("https://miland.ru/api/getInfo/image/73dd3c0d-ae70-11f0-a286-00155d82e908")</f>
        <v>https://miland.ru/api/getInfo/image/73dd3c0d-ae70-11f0-a286-00155d82e908</v>
      </c>
      <c r="U4716" s="7"/>
      <c r="V4716" s="7" t="s">
        <v>15979</v>
      </c>
      <c r="W4716" s="7" t="s">
        <v>8246</v>
      </c>
      <c r="X4716" s="7"/>
      <c r="Y4716" s="7" t="s">
        <v>41</v>
      </c>
      <c r="Z4716" s="7"/>
      <c r="AA4716" s="7" t="str">
        <f>HYPERLINK("https://miland.ru/api/getInfo/item/73dd3c0d-ae70-11f0-a286-00155d82e908")</f>
        <v>https://miland.ru/api/getInfo/item/73dd3c0d-ae70-11f0-a286-00155d82e908</v>
      </c>
      <c r="AB4716" s="7" t="s">
        <v>42</v>
      </c>
      <c r="AC4716" s="7"/>
      <c r="AD4716" s="7"/>
      <c r="AE4716" s="54"/>
    </row>
    <row r="4717" spans="2:31" ht="12" customHeight="1" outlineLevel="2">
      <c r="B4717" s="69" t="s">
        <v>16643</v>
      </c>
      <c r="C4717" s="69"/>
      <c r="D4717" s="69"/>
      <c r="E4717" s="69"/>
      <c r="F4717" s="69"/>
      <c r="G4717" s="69"/>
    </row>
    <row r="4718" spans="2:31" ht="12" customHeight="1" outlineLevel="3">
      <c r="B4718" s="70" t="s">
        <v>16644</v>
      </c>
      <c r="C4718" s="70"/>
      <c r="D4718" s="70"/>
      <c r="E4718" s="70"/>
      <c r="F4718" s="70"/>
      <c r="G4718" s="70"/>
    </row>
    <row r="4719" spans="2:31" s="1" customFormat="1" ht="96.3" customHeight="1" outlineLevel="4">
      <c r="B4719" s="57">
        <v>3780</v>
      </c>
      <c r="C4719" s="21" t="s">
        <v>16645</v>
      </c>
      <c r="D4719" s="72" t="s">
        <v>16646</v>
      </c>
      <c r="E4719" s="72"/>
      <c r="F4719" s="72"/>
      <c r="G4719" s="72"/>
      <c r="H4719" s="22" t="s">
        <v>16647</v>
      </c>
      <c r="I4719" s="23" t="s">
        <v>36</v>
      </c>
      <c r="J4719" s="22"/>
      <c r="K4719" s="20">
        <v>120</v>
      </c>
      <c r="L4719" s="24">
        <v>5.48</v>
      </c>
      <c r="M4719" s="11"/>
      <c r="N4719" s="22">
        <f t="shared" ref="N4719:N4736" si="240">L4719*M4719</f>
        <v>0</v>
      </c>
      <c r="O4719" s="25">
        <f>0.018*M4719</f>
        <v>0</v>
      </c>
      <c r="P4719" s="26">
        <f>0.00012*M4719</f>
        <v>0</v>
      </c>
      <c r="Q4719" s="30"/>
      <c r="R4719" s="22" t="s">
        <v>16648</v>
      </c>
      <c r="S4719" s="22"/>
      <c r="T4719" s="21" t="str">
        <f>HYPERLINK("https://miland.ru/api/getInfo/image/e1e0beac-17db-11e9-a21c-ac1f6b442184")</f>
        <v>https://miland.ru/api/getInfo/image/e1e0beac-17db-11e9-a21c-ac1f6b442184</v>
      </c>
      <c r="U4719" s="21"/>
      <c r="V4719" s="21" t="s">
        <v>11045</v>
      </c>
      <c r="W4719" s="21" t="s">
        <v>9274</v>
      </c>
      <c r="X4719" s="21"/>
      <c r="Y4719" s="21" t="s">
        <v>41</v>
      </c>
      <c r="Z4719" s="21"/>
      <c r="AA4719" s="21" t="str">
        <f>HYPERLINK("https://miland.ru/api/getInfo/item/e1e0beac-17db-11e9-a21c-ac1f6b442184")</f>
        <v>https://miland.ru/api/getInfo/item/e1e0beac-17db-11e9-a21c-ac1f6b442184</v>
      </c>
      <c r="AB4719" s="21" t="s">
        <v>42</v>
      </c>
      <c r="AC4719" s="21" t="s">
        <v>3404</v>
      </c>
      <c r="AD4719" s="21"/>
    </row>
    <row r="4720" spans="2:31" s="1" customFormat="1" ht="96.3" customHeight="1" outlineLevel="4">
      <c r="B4720" s="57">
        <v>3781</v>
      </c>
      <c r="C4720" s="21" t="s">
        <v>16645</v>
      </c>
      <c r="D4720" s="72" t="s">
        <v>16646</v>
      </c>
      <c r="E4720" s="72"/>
      <c r="F4720" s="72"/>
      <c r="G4720" s="72"/>
      <c r="H4720" s="22" t="s">
        <v>16647</v>
      </c>
      <c r="I4720" s="23" t="s">
        <v>36</v>
      </c>
      <c r="J4720" s="22"/>
      <c r="K4720" s="20">
        <v>120</v>
      </c>
      <c r="L4720" s="24">
        <v>5.48</v>
      </c>
      <c r="M4720" s="11"/>
      <c r="N4720" s="22">
        <f t="shared" si="240"/>
        <v>0</v>
      </c>
      <c r="O4720" s="25">
        <f>0.018*M4720</f>
        <v>0</v>
      </c>
      <c r="P4720" s="26">
        <f>0.00012*M4720</f>
        <v>0</v>
      </c>
      <c r="Q4720" s="30"/>
      <c r="R4720" s="22" t="s">
        <v>16648</v>
      </c>
      <c r="S4720" s="22"/>
      <c r="T4720" s="21" t="str">
        <f>HYPERLINK("https://miland.ru/api/getInfo/image/e1e0beac-17db-11e9-a21c-ac1f6b442184")</f>
        <v>https://miland.ru/api/getInfo/image/e1e0beac-17db-11e9-a21c-ac1f6b442184</v>
      </c>
      <c r="U4720" s="21"/>
      <c r="V4720" s="21" t="s">
        <v>11045</v>
      </c>
      <c r="W4720" s="21" t="s">
        <v>9274</v>
      </c>
      <c r="X4720" s="21"/>
      <c r="Y4720" s="21" t="s">
        <v>41</v>
      </c>
      <c r="Z4720" s="21"/>
      <c r="AA4720" s="21" t="str">
        <f>HYPERLINK("https://miland.ru/api/getInfo/item/e1e0beac-17db-11e9-a21c-ac1f6b442184")</f>
        <v>https://miland.ru/api/getInfo/item/e1e0beac-17db-11e9-a21c-ac1f6b442184</v>
      </c>
      <c r="AB4720" s="21" t="s">
        <v>42</v>
      </c>
      <c r="AC4720" s="21" t="s">
        <v>3404</v>
      </c>
      <c r="AD4720" s="21"/>
    </row>
    <row r="4721" spans="2:31" s="1" customFormat="1" ht="96.3" customHeight="1" outlineLevel="4">
      <c r="B4721" s="57">
        <v>3782</v>
      </c>
      <c r="C4721" s="21" t="s">
        <v>16649</v>
      </c>
      <c r="D4721" s="72" t="s">
        <v>16650</v>
      </c>
      <c r="E4721" s="72"/>
      <c r="F4721" s="72"/>
      <c r="G4721" s="72"/>
      <c r="H4721" s="22" t="s">
        <v>16651</v>
      </c>
      <c r="I4721" s="23" t="s">
        <v>36</v>
      </c>
      <c r="J4721" s="22"/>
      <c r="K4721" s="20">
        <v>50</v>
      </c>
      <c r="L4721" s="24">
        <v>26.9</v>
      </c>
      <c r="M4721" s="11"/>
      <c r="N4721" s="22">
        <f t="shared" si="240"/>
        <v>0</v>
      </c>
      <c r="O4721" s="25">
        <f>0.002*M4721</f>
        <v>0</v>
      </c>
      <c r="P4721" s="26">
        <f>0.00001*M4721</f>
        <v>0</v>
      </c>
      <c r="Q4721" s="30"/>
      <c r="R4721" s="22" t="s">
        <v>16652</v>
      </c>
      <c r="S4721" s="22" t="s">
        <v>435</v>
      </c>
      <c r="T4721" s="21" t="str">
        <f>HYPERLINK("https://miland.ru/api/getInfo/image/9b4f3893-02b8-11e9-a216-ac1f6b442184")</f>
        <v>https://miland.ru/api/getInfo/image/9b4f3893-02b8-11e9-a216-ac1f6b442184</v>
      </c>
      <c r="U4721" s="21"/>
      <c r="V4721" s="21" t="s">
        <v>11045</v>
      </c>
      <c r="W4721" s="21" t="s">
        <v>9274</v>
      </c>
      <c r="X4721" s="21"/>
      <c r="Y4721" s="21" t="s">
        <v>41</v>
      </c>
      <c r="Z4721" s="21"/>
      <c r="AA4721" s="21" t="str">
        <f>HYPERLINK("https://miland.ru/api/getInfo/item/9b4f3893-02b8-11e9-a216-ac1f6b442184")</f>
        <v>https://miland.ru/api/getInfo/item/9b4f3893-02b8-11e9-a216-ac1f6b442184</v>
      </c>
      <c r="AB4721" s="21" t="s">
        <v>42</v>
      </c>
      <c r="AC4721" s="21"/>
      <c r="AD4721" s="21"/>
    </row>
    <row r="4722" spans="2:31" s="1" customFormat="1" ht="96.3" customHeight="1" outlineLevel="4">
      <c r="B4722" s="57">
        <v>3783</v>
      </c>
      <c r="C4722" s="21" t="s">
        <v>16653</v>
      </c>
      <c r="D4722" s="72" t="s">
        <v>16654</v>
      </c>
      <c r="E4722" s="72"/>
      <c r="F4722" s="72"/>
      <c r="G4722" s="72"/>
      <c r="H4722" s="22" t="s">
        <v>16655</v>
      </c>
      <c r="I4722" s="23" t="s">
        <v>36</v>
      </c>
      <c r="J4722" s="22"/>
      <c r="K4722" s="20">
        <v>50</v>
      </c>
      <c r="L4722" s="24">
        <v>26.9</v>
      </c>
      <c r="M4722" s="11"/>
      <c r="N4722" s="22">
        <f t="shared" si="240"/>
        <v>0</v>
      </c>
      <c r="O4722" s="25">
        <f>0.002*M4722</f>
        <v>0</v>
      </c>
      <c r="P4722" s="26">
        <f>0.00001*M4722</f>
        <v>0</v>
      </c>
      <c r="Q4722" s="30"/>
      <c r="R4722" s="22" t="s">
        <v>16656</v>
      </c>
      <c r="S4722" s="22" t="s">
        <v>435</v>
      </c>
      <c r="T4722" s="21" t="str">
        <f>HYPERLINK("https://miland.ru/api/getInfo/image/0886a63b-02ba-11e9-a216-ac1f6b442184")</f>
        <v>https://miland.ru/api/getInfo/image/0886a63b-02ba-11e9-a216-ac1f6b442184</v>
      </c>
      <c r="U4722" s="21"/>
      <c r="V4722" s="21" t="s">
        <v>11045</v>
      </c>
      <c r="W4722" s="21" t="s">
        <v>9274</v>
      </c>
      <c r="X4722" s="21"/>
      <c r="Y4722" s="21" t="s">
        <v>41</v>
      </c>
      <c r="Z4722" s="21"/>
      <c r="AA4722" s="21" t="str">
        <f>HYPERLINK("https://miland.ru/api/getInfo/item/0886a63b-02ba-11e9-a216-ac1f6b442184")</f>
        <v>https://miland.ru/api/getInfo/item/0886a63b-02ba-11e9-a216-ac1f6b442184</v>
      </c>
      <c r="AB4722" s="21" t="s">
        <v>42</v>
      </c>
      <c r="AC4722" s="21"/>
      <c r="AD4722" s="21"/>
    </row>
    <row r="4723" spans="2:31" s="1" customFormat="1" ht="96.3" customHeight="1" outlineLevel="4">
      <c r="B4723" s="57">
        <v>3784</v>
      </c>
      <c r="C4723" s="21" t="s">
        <v>16657</v>
      </c>
      <c r="D4723" s="72" t="s">
        <v>16658</v>
      </c>
      <c r="E4723" s="72"/>
      <c r="F4723" s="72"/>
      <c r="G4723" s="72"/>
      <c r="H4723" s="22" t="s">
        <v>16659</v>
      </c>
      <c r="I4723" s="23" t="s">
        <v>36</v>
      </c>
      <c r="J4723" s="22"/>
      <c r="K4723" s="20">
        <v>50</v>
      </c>
      <c r="L4723" s="24">
        <v>32.380000000000003</v>
      </c>
      <c r="M4723" s="11"/>
      <c r="N4723" s="22">
        <f t="shared" si="240"/>
        <v>0</v>
      </c>
      <c r="O4723" s="25">
        <f>0.003*M4723</f>
        <v>0</v>
      </c>
      <c r="P4723" s="26">
        <f>0.00003*M4723</f>
        <v>0</v>
      </c>
      <c r="Q4723" s="30"/>
      <c r="R4723" s="22" t="s">
        <v>16660</v>
      </c>
      <c r="S4723" s="22" t="s">
        <v>435</v>
      </c>
      <c r="T4723" s="21" t="str">
        <f>HYPERLINK("https://miland.ru/api/getInfo/image/a392e9f3-17da-11e9-a21c-ac1f6b442184")</f>
        <v>https://miland.ru/api/getInfo/image/a392e9f3-17da-11e9-a21c-ac1f6b442184</v>
      </c>
      <c r="U4723" s="21"/>
      <c r="V4723" s="21" t="s">
        <v>11045</v>
      </c>
      <c r="W4723" s="21" t="s">
        <v>9274</v>
      </c>
      <c r="X4723" s="21"/>
      <c r="Y4723" s="21" t="s">
        <v>41</v>
      </c>
      <c r="Z4723" s="21"/>
      <c r="AA4723" s="21" t="str">
        <f>HYPERLINK("https://miland.ru/api/getInfo/item/a392e9f3-17da-11e9-a21c-ac1f6b442184")</f>
        <v>https://miland.ru/api/getInfo/item/a392e9f3-17da-11e9-a21c-ac1f6b442184</v>
      </c>
      <c r="AB4723" s="21" t="s">
        <v>42</v>
      </c>
      <c r="AC4723" s="21" t="s">
        <v>3404</v>
      </c>
      <c r="AD4723" s="21"/>
    </row>
    <row r="4724" spans="2:31" s="1" customFormat="1" ht="96.3" customHeight="1" outlineLevel="4">
      <c r="B4724" s="59">
        <v>3785</v>
      </c>
      <c r="C4724" s="35" t="s">
        <v>16661</v>
      </c>
      <c r="D4724" s="73" t="s">
        <v>16662</v>
      </c>
      <c r="E4724" s="73"/>
      <c r="F4724" s="73"/>
      <c r="G4724" s="73"/>
      <c r="H4724" s="36" t="s">
        <v>16663</v>
      </c>
      <c r="I4724" s="56" t="s">
        <v>36</v>
      </c>
      <c r="J4724" s="36"/>
      <c r="K4724" s="34">
        <v>50</v>
      </c>
      <c r="L4724" s="41">
        <v>18.373333333333331</v>
      </c>
      <c r="M4724" s="11"/>
      <c r="N4724" s="36">
        <f t="shared" si="240"/>
        <v>0</v>
      </c>
      <c r="O4724" s="42">
        <f>0.003*M4724</f>
        <v>0</v>
      </c>
      <c r="P4724" s="43">
        <f>0.00004*M4724</f>
        <v>0</v>
      </c>
      <c r="Q4724" s="50"/>
      <c r="R4724" s="36" t="s">
        <v>16664</v>
      </c>
      <c r="S4724" s="36" t="s">
        <v>435</v>
      </c>
      <c r="T4724" s="35" t="str">
        <f>HYPERLINK("https://miland.ru/api/getInfo/image/cf5a8e8a-02ba-11e9-a216-ac1f6b442184")</f>
        <v>https://miland.ru/api/getInfo/image/cf5a8e8a-02ba-11e9-a216-ac1f6b442184</v>
      </c>
      <c r="U4724" s="35"/>
      <c r="V4724" s="35" t="s">
        <v>11045</v>
      </c>
      <c r="W4724" s="35" t="s">
        <v>9274</v>
      </c>
      <c r="X4724" s="35"/>
      <c r="Y4724" s="35" t="s">
        <v>41</v>
      </c>
      <c r="Z4724" s="35"/>
      <c r="AA4724" s="35" t="str">
        <f>HYPERLINK("https://miland.ru/api/getInfo/item/cf5a8e8a-02ba-11e9-a216-ac1f6b442184")</f>
        <v>https://miland.ru/api/getInfo/item/cf5a8e8a-02ba-11e9-a216-ac1f6b442184</v>
      </c>
      <c r="AB4724" s="35" t="s">
        <v>42</v>
      </c>
      <c r="AC4724" s="35"/>
      <c r="AD4724" s="35"/>
      <c r="AE4724" s="52" t="s">
        <v>1251</v>
      </c>
    </row>
    <row r="4725" spans="2:31" s="1" customFormat="1" ht="96.3" customHeight="1" outlineLevel="4">
      <c r="B4725" s="57">
        <v>3786</v>
      </c>
      <c r="C4725" s="21" t="s">
        <v>16665</v>
      </c>
      <c r="D4725" s="72" t="s">
        <v>16666</v>
      </c>
      <c r="E4725" s="72"/>
      <c r="F4725" s="72"/>
      <c r="G4725" s="72"/>
      <c r="H4725" s="22" t="s">
        <v>16667</v>
      </c>
      <c r="I4725" s="23" t="s">
        <v>36</v>
      </c>
      <c r="J4725" s="22"/>
      <c r="K4725" s="20">
        <v>50</v>
      </c>
      <c r="L4725" s="24">
        <v>30.38</v>
      </c>
      <c r="M4725" s="11"/>
      <c r="N4725" s="22">
        <f t="shared" si="240"/>
        <v>0</v>
      </c>
      <c r="O4725" s="25">
        <f>0.005*M4725</f>
        <v>0</v>
      </c>
      <c r="P4725" s="26">
        <f>0.00003*M4725</f>
        <v>0</v>
      </c>
      <c r="Q4725" s="30"/>
      <c r="R4725" s="22" t="s">
        <v>16668</v>
      </c>
      <c r="S4725" s="22" t="s">
        <v>435</v>
      </c>
      <c r="T4725" s="21" t="str">
        <f>HYPERLINK("https://miland.ru/api/getInfo/image/b7d7af61-1b4c-11ea-a237-ac1f6b442184")</f>
        <v>https://miland.ru/api/getInfo/image/b7d7af61-1b4c-11ea-a237-ac1f6b442184</v>
      </c>
      <c r="U4725" s="21"/>
      <c r="V4725" s="21" t="s">
        <v>11045</v>
      </c>
      <c r="W4725" s="21" t="s">
        <v>9274</v>
      </c>
      <c r="X4725" s="21"/>
      <c r="Y4725" s="21" t="s">
        <v>41</v>
      </c>
      <c r="Z4725" s="21"/>
      <c r="AA4725" s="21" t="str">
        <f>HYPERLINK("https://miland.ru/api/getInfo/item/b7d7af61-1b4c-11ea-a237-ac1f6b442184")</f>
        <v>https://miland.ru/api/getInfo/item/b7d7af61-1b4c-11ea-a237-ac1f6b442184</v>
      </c>
      <c r="AB4725" s="21" t="s">
        <v>42</v>
      </c>
      <c r="AC4725" s="21" t="s">
        <v>16669</v>
      </c>
      <c r="AD4725" s="21"/>
    </row>
    <row r="4726" spans="2:31" s="1" customFormat="1" ht="96.3" customHeight="1" outlineLevel="4">
      <c r="B4726" s="57">
        <v>3787</v>
      </c>
      <c r="C4726" s="21" t="s">
        <v>16670</v>
      </c>
      <c r="D4726" s="72" t="s">
        <v>16671</v>
      </c>
      <c r="E4726" s="72"/>
      <c r="F4726" s="72"/>
      <c r="G4726" s="72"/>
      <c r="H4726" s="22" t="s">
        <v>16672</v>
      </c>
      <c r="I4726" s="23" t="s">
        <v>36</v>
      </c>
      <c r="J4726" s="22"/>
      <c r="K4726" s="20">
        <v>50</v>
      </c>
      <c r="L4726" s="24">
        <v>30.38</v>
      </c>
      <c r="M4726" s="11"/>
      <c r="N4726" s="22">
        <f t="shared" si="240"/>
        <v>0</v>
      </c>
      <c r="O4726" s="25">
        <f>0.004*M4726</f>
        <v>0</v>
      </c>
      <c r="P4726" s="26">
        <f>0.00003*M4726</f>
        <v>0</v>
      </c>
      <c r="Q4726" s="30"/>
      <c r="R4726" s="22" t="s">
        <v>16673</v>
      </c>
      <c r="S4726" s="22" t="s">
        <v>435</v>
      </c>
      <c r="T4726" s="21" t="str">
        <f>HYPERLINK("https://miland.ru/api/getInfo/image/56a6b83c-1b4e-11ea-a237-ac1f6b442184")</f>
        <v>https://miland.ru/api/getInfo/image/56a6b83c-1b4e-11ea-a237-ac1f6b442184</v>
      </c>
      <c r="U4726" s="21"/>
      <c r="V4726" s="21" t="s">
        <v>11045</v>
      </c>
      <c r="W4726" s="21" t="s">
        <v>9274</v>
      </c>
      <c r="X4726" s="21"/>
      <c r="Y4726" s="21" t="s">
        <v>41</v>
      </c>
      <c r="Z4726" s="21"/>
      <c r="AA4726" s="21" t="str">
        <f>HYPERLINK("https://miland.ru/api/getInfo/item/56a6b83c-1b4e-11ea-a237-ac1f6b442184")</f>
        <v>https://miland.ru/api/getInfo/item/56a6b83c-1b4e-11ea-a237-ac1f6b442184</v>
      </c>
      <c r="AB4726" s="21" t="s">
        <v>42</v>
      </c>
      <c r="AC4726" s="21" t="s">
        <v>16669</v>
      </c>
      <c r="AD4726" s="21"/>
    </row>
    <row r="4727" spans="2:31" s="1" customFormat="1" ht="96.3" customHeight="1" outlineLevel="4">
      <c r="B4727" s="57">
        <v>3788</v>
      </c>
      <c r="C4727" s="21" t="s">
        <v>16674</v>
      </c>
      <c r="D4727" s="72" t="s">
        <v>16675</v>
      </c>
      <c r="E4727" s="72"/>
      <c r="F4727" s="72"/>
      <c r="G4727" s="72"/>
      <c r="H4727" s="22" t="s">
        <v>16676</v>
      </c>
      <c r="I4727" s="23" t="s">
        <v>36</v>
      </c>
      <c r="J4727" s="22"/>
      <c r="K4727" s="20">
        <v>50</v>
      </c>
      <c r="L4727" s="24">
        <v>30.94</v>
      </c>
      <c r="M4727" s="11"/>
      <c r="N4727" s="22">
        <f t="shared" si="240"/>
        <v>0</v>
      </c>
      <c r="O4727" s="25">
        <f>0.004*M4727</f>
        <v>0</v>
      </c>
      <c r="P4727" s="22">
        <v>0</v>
      </c>
      <c r="Q4727" s="30"/>
      <c r="R4727" s="22" t="s">
        <v>16677</v>
      </c>
      <c r="S4727" s="22" t="s">
        <v>435</v>
      </c>
      <c r="T4727" s="21" t="str">
        <f>HYPERLINK("https://miland.ru/api/getInfo/image/ec712c90-1b4d-11ea-a237-ac1f6b442184")</f>
        <v>https://miland.ru/api/getInfo/image/ec712c90-1b4d-11ea-a237-ac1f6b442184</v>
      </c>
      <c r="U4727" s="21"/>
      <c r="V4727" s="21" t="s">
        <v>11045</v>
      </c>
      <c r="W4727" s="21" t="s">
        <v>9274</v>
      </c>
      <c r="X4727" s="21"/>
      <c r="Y4727" s="21" t="s">
        <v>41</v>
      </c>
      <c r="Z4727" s="21"/>
      <c r="AA4727" s="21" t="str">
        <f>HYPERLINK("https://miland.ru/api/getInfo/item/ec712c90-1b4d-11ea-a237-ac1f6b442184")</f>
        <v>https://miland.ru/api/getInfo/item/ec712c90-1b4d-11ea-a237-ac1f6b442184</v>
      </c>
      <c r="AB4727" s="21" t="s">
        <v>42</v>
      </c>
      <c r="AC4727" s="21" t="s">
        <v>16669</v>
      </c>
      <c r="AD4727" s="21"/>
    </row>
    <row r="4728" spans="2:31" s="1" customFormat="1" ht="96.3" customHeight="1" outlineLevel="4">
      <c r="B4728" s="57">
        <v>3789</v>
      </c>
      <c r="C4728" s="21" t="s">
        <v>16678</v>
      </c>
      <c r="D4728" s="72" t="s">
        <v>16679</v>
      </c>
      <c r="E4728" s="72"/>
      <c r="F4728" s="72"/>
      <c r="G4728" s="72"/>
      <c r="H4728" s="22" t="s">
        <v>16680</v>
      </c>
      <c r="I4728" s="23" t="s">
        <v>36</v>
      </c>
      <c r="J4728" s="22"/>
      <c r="K4728" s="20">
        <v>50</v>
      </c>
      <c r="L4728" s="24">
        <v>30.94</v>
      </c>
      <c r="M4728" s="11"/>
      <c r="N4728" s="22">
        <f t="shared" si="240"/>
        <v>0</v>
      </c>
      <c r="O4728" s="25">
        <f>0.004*M4728</f>
        <v>0</v>
      </c>
      <c r="P4728" s="22">
        <v>0</v>
      </c>
      <c r="Q4728" s="30"/>
      <c r="R4728" s="22" t="s">
        <v>16681</v>
      </c>
      <c r="S4728" s="22" t="s">
        <v>435</v>
      </c>
      <c r="T4728" s="21" t="str">
        <f>HYPERLINK("https://miland.ru/api/getInfo/image/80f63093-1b4e-11ea-a237-ac1f6b442184")</f>
        <v>https://miland.ru/api/getInfo/image/80f63093-1b4e-11ea-a237-ac1f6b442184</v>
      </c>
      <c r="U4728" s="21"/>
      <c r="V4728" s="21" t="s">
        <v>11045</v>
      </c>
      <c r="W4728" s="21" t="s">
        <v>9274</v>
      </c>
      <c r="X4728" s="21"/>
      <c r="Y4728" s="21" t="s">
        <v>41</v>
      </c>
      <c r="Z4728" s="21"/>
      <c r="AA4728" s="21" t="str">
        <f>HYPERLINK("https://miland.ru/api/getInfo/item/80f63093-1b4e-11ea-a237-ac1f6b442184")</f>
        <v>https://miland.ru/api/getInfo/item/80f63093-1b4e-11ea-a237-ac1f6b442184</v>
      </c>
      <c r="AB4728" s="21" t="s">
        <v>42</v>
      </c>
      <c r="AC4728" s="21" t="s">
        <v>16669</v>
      </c>
      <c r="AD4728" s="21"/>
    </row>
    <row r="4729" spans="2:31" s="1" customFormat="1" ht="96.3" customHeight="1" outlineLevel="4">
      <c r="B4729" s="59">
        <v>3790</v>
      </c>
      <c r="C4729" s="35" t="s">
        <v>16682</v>
      </c>
      <c r="D4729" s="73" t="s">
        <v>16683</v>
      </c>
      <c r="E4729" s="73"/>
      <c r="F4729" s="73"/>
      <c r="G4729" s="73"/>
      <c r="H4729" s="36" t="s">
        <v>16684</v>
      </c>
      <c r="I4729" s="56" t="s">
        <v>36</v>
      </c>
      <c r="J4729" s="36"/>
      <c r="K4729" s="34">
        <v>25</v>
      </c>
      <c r="L4729" s="41">
        <v>26.560000000000002</v>
      </c>
      <c r="M4729" s="11"/>
      <c r="N4729" s="36">
        <f t="shared" si="240"/>
        <v>0</v>
      </c>
      <c r="O4729" s="42">
        <f>0.008*M4729</f>
        <v>0</v>
      </c>
      <c r="P4729" s="43">
        <f>0.00008*M4729</f>
        <v>0</v>
      </c>
      <c r="Q4729" s="50"/>
      <c r="R4729" s="36" t="s">
        <v>16685</v>
      </c>
      <c r="S4729" s="36" t="s">
        <v>435</v>
      </c>
      <c r="T4729" s="35" t="str">
        <f>HYPERLINK("https://miland.ru/api/getInfo/image/e74f4a7b-1b4f-11ea-a237-ac1f6b442184")</f>
        <v>https://miland.ru/api/getInfo/image/e74f4a7b-1b4f-11ea-a237-ac1f6b442184</v>
      </c>
      <c r="U4729" s="35"/>
      <c r="V4729" s="35" t="s">
        <v>11045</v>
      </c>
      <c r="W4729" s="35" t="s">
        <v>9274</v>
      </c>
      <c r="X4729" s="35"/>
      <c r="Y4729" s="35" t="s">
        <v>41</v>
      </c>
      <c r="Z4729" s="35"/>
      <c r="AA4729" s="35" t="str">
        <f>HYPERLINK("https://miland.ru/api/getInfo/item/e74f4a7b-1b4f-11ea-a237-ac1f6b442184")</f>
        <v>https://miland.ru/api/getInfo/item/e74f4a7b-1b4f-11ea-a237-ac1f6b442184</v>
      </c>
      <c r="AB4729" s="35" t="s">
        <v>42</v>
      </c>
      <c r="AC4729" s="35" t="s">
        <v>16686</v>
      </c>
      <c r="AD4729" s="35"/>
      <c r="AE4729" s="52" t="s">
        <v>1251</v>
      </c>
    </row>
    <row r="4730" spans="2:31" s="1" customFormat="1" ht="96.3" customHeight="1" outlineLevel="4">
      <c r="B4730" s="57">
        <v>3791</v>
      </c>
      <c r="C4730" s="21" t="s">
        <v>16687</v>
      </c>
      <c r="D4730" s="72" t="s">
        <v>16688</v>
      </c>
      <c r="E4730" s="72"/>
      <c r="F4730" s="72"/>
      <c r="G4730" s="72"/>
      <c r="H4730" s="22" t="s">
        <v>16689</v>
      </c>
      <c r="I4730" s="23" t="s">
        <v>36</v>
      </c>
      <c r="J4730" s="22"/>
      <c r="K4730" s="20">
        <v>25</v>
      </c>
      <c r="L4730" s="24">
        <v>47.68</v>
      </c>
      <c r="M4730" s="11"/>
      <c r="N4730" s="22">
        <f t="shared" si="240"/>
        <v>0</v>
      </c>
      <c r="O4730" s="25">
        <f>0.007*M4730</f>
        <v>0</v>
      </c>
      <c r="P4730" s="26">
        <f>0.00008*M4730</f>
        <v>0</v>
      </c>
      <c r="Q4730" s="30"/>
      <c r="R4730" s="22" t="s">
        <v>16690</v>
      </c>
      <c r="S4730" s="22" t="s">
        <v>435</v>
      </c>
      <c r="T4730" s="21" t="str">
        <f>HYPERLINK("https://miland.ru/api/getInfo/image/bcb28dc1-1b4f-11ea-a237-ac1f6b442184")</f>
        <v>https://miland.ru/api/getInfo/image/bcb28dc1-1b4f-11ea-a237-ac1f6b442184</v>
      </c>
      <c r="U4730" s="21"/>
      <c r="V4730" s="21" t="s">
        <v>11045</v>
      </c>
      <c r="W4730" s="21" t="s">
        <v>9274</v>
      </c>
      <c r="X4730" s="21"/>
      <c r="Y4730" s="21" t="s">
        <v>41</v>
      </c>
      <c r="Z4730" s="21"/>
      <c r="AA4730" s="21" t="str">
        <f>HYPERLINK("https://miland.ru/api/getInfo/item/bcb28dc1-1b4f-11ea-a237-ac1f6b442184")</f>
        <v>https://miland.ru/api/getInfo/item/bcb28dc1-1b4f-11ea-a237-ac1f6b442184</v>
      </c>
      <c r="AB4730" s="21" t="s">
        <v>42</v>
      </c>
      <c r="AC4730" s="21" t="s">
        <v>16686</v>
      </c>
      <c r="AD4730" s="21"/>
    </row>
    <row r="4731" spans="2:31" s="1" customFormat="1" ht="96.3" customHeight="1" outlineLevel="4">
      <c r="B4731" s="57">
        <v>3792</v>
      </c>
      <c r="C4731" s="21" t="s">
        <v>16691</v>
      </c>
      <c r="D4731" s="72" t="s">
        <v>16692</v>
      </c>
      <c r="E4731" s="72"/>
      <c r="F4731" s="72"/>
      <c r="G4731" s="72"/>
      <c r="H4731" s="22" t="s">
        <v>16693</v>
      </c>
      <c r="I4731" s="23" t="s">
        <v>36</v>
      </c>
      <c r="J4731" s="22"/>
      <c r="K4731" s="20">
        <v>50</v>
      </c>
      <c r="L4731" s="24">
        <v>29.42</v>
      </c>
      <c r="M4731" s="11"/>
      <c r="N4731" s="22">
        <f t="shared" si="240"/>
        <v>0</v>
      </c>
      <c r="O4731" s="25">
        <f>0.003*M4731</f>
        <v>0</v>
      </c>
      <c r="P4731" s="26">
        <f>0.00004*M4731</f>
        <v>0</v>
      </c>
      <c r="Q4731" s="30"/>
      <c r="R4731" s="22" t="s">
        <v>16694</v>
      </c>
      <c r="S4731" s="22" t="s">
        <v>435</v>
      </c>
      <c r="T4731" s="21" t="str">
        <f>HYPERLINK("https://miland.ru/api/getInfo/image/398af042-02bb-11e9-a216-ac1f6b442184")</f>
        <v>https://miland.ru/api/getInfo/image/398af042-02bb-11e9-a216-ac1f6b442184</v>
      </c>
      <c r="U4731" s="21"/>
      <c r="V4731" s="21" t="s">
        <v>11045</v>
      </c>
      <c r="W4731" s="21" t="s">
        <v>9274</v>
      </c>
      <c r="X4731" s="21"/>
      <c r="Y4731" s="21" t="s">
        <v>41</v>
      </c>
      <c r="Z4731" s="21"/>
      <c r="AA4731" s="21" t="str">
        <f>HYPERLINK("https://miland.ru/api/getInfo/item/398af042-02bb-11e9-a216-ac1f6b442184")</f>
        <v>https://miland.ru/api/getInfo/item/398af042-02bb-11e9-a216-ac1f6b442184</v>
      </c>
      <c r="AB4731" s="21" t="s">
        <v>42</v>
      </c>
      <c r="AC4731" s="21"/>
      <c r="AD4731" s="21"/>
    </row>
    <row r="4732" spans="2:31" s="1" customFormat="1" ht="96.3" customHeight="1" outlineLevel="4">
      <c r="B4732" s="57">
        <v>3793</v>
      </c>
      <c r="C4732" s="21" t="s">
        <v>16695</v>
      </c>
      <c r="D4732" s="72" t="s">
        <v>16696</v>
      </c>
      <c r="E4732" s="72"/>
      <c r="F4732" s="72"/>
      <c r="G4732" s="72"/>
      <c r="H4732" s="22" t="s">
        <v>16697</v>
      </c>
      <c r="I4732" s="23" t="s">
        <v>36</v>
      </c>
      <c r="J4732" s="22"/>
      <c r="K4732" s="20">
        <v>50</v>
      </c>
      <c r="L4732" s="24">
        <v>32.97</v>
      </c>
      <c r="M4732" s="11"/>
      <c r="N4732" s="22">
        <f t="shared" si="240"/>
        <v>0</v>
      </c>
      <c r="O4732" s="25">
        <f>0.004*M4732</f>
        <v>0</v>
      </c>
      <c r="P4732" s="26">
        <f>0.00002*M4732</f>
        <v>0</v>
      </c>
      <c r="Q4732" s="30"/>
      <c r="R4732" s="22" t="s">
        <v>16698</v>
      </c>
      <c r="S4732" s="22" t="s">
        <v>435</v>
      </c>
      <c r="T4732" s="21" t="str">
        <f>HYPERLINK("https://miland.ru/api/getInfo/image/d3b857e0-02bb-11e9-a216-ac1f6b442184")</f>
        <v>https://miland.ru/api/getInfo/image/d3b857e0-02bb-11e9-a216-ac1f6b442184</v>
      </c>
      <c r="U4732" s="21"/>
      <c r="V4732" s="21" t="s">
        <v>11045</v>
      </c>
      <c r="W4732" s="21" t="s">
        <v>9274</v>
      </c>
      <c r="X4732" s="21"/>
      <c r="Y4732" s="21" t="s">
        <v>41</v>
      </c>
      <c r="Z4732" s="21"/>
      <c r="AA4732" s="21" t="str">
        <f>HYPERLINK("https://miland.ru/api/getInfo/item/d3b857e0-02bb-11e9-a216-ac1f6b442184")</f>
        <v>https://miland.ru/api/getInfo/item/d3b857e0-02bb-11e9-a216-ac1f6b442184</v>
      </c>
      <c r="AB4732" s="21" t="s">
        <v>42</v>
      </c>
      <c r="AC4732" s="21"/>
      <c r="AD4732" s="21"/>
    </row>
    <row r="4733" spans="2:31" s="1" customFormat="1" ht="96.3" customHeight="1" outlineLevel="4">
      <c r="B4733" s="57">
        <v>3794</v>
      </c>
      <c r="C4733" s="21" t="s">
        <v>16699</v>
      </c>
      <c r="D4733" s="72" t="s">
        <v>16700</v>
      </c>
      <c r="E4733" s="72"/>
      <c r="F4733" s="72"/>
      <c r="G4733" s="72"/>
      <c r="H4733" s="22" t="s">
        <v>16701</v>
      </c>
      <c r="I4733" s="23" t="s">
        <v>36</v>
      </c>
      <c r="J4733" s="22"/>
      <c r="K4733" s="20">
        <v>25</v>
      </c>
      <c r="L4733" s="24">
        <v>51.24</v>
      </c>
      <c r="M4733" s="11"/>
      <c r="N4733" s="22">
        <f t="shared" si="240"/>
        <v>0</v>
      </c>
      <c r="O4733" s="25">
        <f>0.009*M4733</f>
        <v>0</v>
      </c>
      <c r="P4733" s="26">
        <f>0.00001*M4733</f>
        <v>0</v>
      </c>
      <c r="Q4733" s="30"/>
      <c r="R4733" s="22" t="s">
        <v>16702</v>
      </c>
      <c r="S4733" s="22" t="s">
        <v>435</v>
      </c>
      <c r="T4733" s="21" t="str">
        <f>HYPERLINK("https://miland.ru/api/getInfo/image/eb91499a-02be-11e9-a216-ac1f6b442184")</f>
        <v>https://miland.ru/api/getInfo/image/eb91499a-02be-11e9-a216-ac1f6b442184</v>
      </c>
      <c r="U4733" s="21"/>
      <c r="V4733" s="21" t="s">
        <v>11045</v>
      </c>
      <c r="W4733" s="21" t="s">
        <v>9274</v>
      </c>
      <c r="X4733" s="21"/>
      <c r="Y4733" s="21" t="s">
        <v>41</v>
      </c>
      <c r="Z4733" s="21"/>
      <c r="AA4733" s="21" t="str">
        <f>HYPERLINK("https://miland.ru/api/getInfo/item/eb91499a-02be-11e9-a216-ac1f6b442184")</f>
        <v>https://miland.ru/api/getInfo/item/eb91499a-02be-11e9-a216-ac1f6b442184</v>
      </c>
      <c r="AB4733" s="21" t="s">
        <v>42</v>
      </c>
      <c r="AC4733" s="21"/>
      <c r="AD4733" s="21"/>
    </row>
    <row r="4734" spans="2:31" s="1" customFormat="1" ht="96.3" customHeight="1" outlineLevel="4">
      <c r="B4734" s="57">
        <v>3795</v>
      </c>
      <c r="C4734" s="21" t="s">
        <v>16703</v>
      </c>
      <c r="D4734" s="72" t="s">
        <v>16704</v>
      </c>
      <c r="E4734" s="72"/>
      <c r="F4734" s="72"/>
      <c r="G4734" s="72"/>
      <c r="H4734" s="22" t="s">
        <v>16705</v>
      </c>
      <c r="I4734" s="23" t="s">
        <v>36</v>
      </c>
      <c r="J4734" s="22"/>
      <c r="K4734" s="20">
        <v>25</v>
      </c>
      <c r="L4734" s="24">
        <v>44.14</v>
      </c>
      <c r="M4734" s="11"/>
      <c r="N4734" s="22">
        <f t="shared" si="240"/>
        <v>0</v>
      </c>
      <c r="O4734" s="25">
        <f>0.007*M4734</f>
        <v>0</v>
      </c>
      <c r="P4734" s="26">
        <f>0.00013*M4734</f>
        <v>0</v>
      </c>
      <c r="Q4734" s="30"/>
      <c r="R4734" s="22" t="s">
        <v>16706</v>
      </c>
      <c r="S4734" s="22" t="s">
        <v>435</v>
      </c>
      <c r="T4734" s="21" t="str">
        <f>HYPERLINK("https://miland.ru/api/getInfo/image/5a7f5f63-02c4-11e9-a216-ac1f6b442184")</f>
        <v>https://miland.ru/api/getInfo/image/5a7f5f63-02c4-11e9-a216-ac1f6b442184</v>
      </c>
      <c r="U4734" s="21"/>
      <c r="V4734" s="21" t="s">
        <v>11045</v>
      </c>
      <c r="W4734" s="21" t="s">
        <v>9274</v>
      </c>
      <c r="X4734" s="21"/>
      <c r="Y4734" s="21" t="s">
        <v>41</v>
      </c>
      <c r="Z4734" s="21"/>
      <c r="AA4734" s="21" t="str">
        <f>HYPERLINK("https://miland.ru/api/getInfo/item/5a7f5f63-02c4-11e9-a216-ac1f6b442184")</f>
        <v>https://miland.ru/api/getInfo/item/5a7f5f63-02c4-11e9-a216-ac1f6b442184</v>
      </c>
      <c r="AB4734" s="21" t="s">
        <v>42</v>
      </c>
      <c r="AC4734" s="21"/>
      <c r="AD4734" s="21"/>
    </row>
    <row r="4735" spans="2:31" s="1" customFormat="1" ht="96.3" customHeight="1" outlineLevel="4">
      <c r="B4735" s="57">
        <v>3796</v>
      </c>
      <c r="C4735" s="21" t="s">
        <v>16707</v>
      </c>
      <c r="D4735" s="72" t="s">
        <v>16708</v>
      </c>
      <c r="E4735" s="72"/>
      <c r="F4735" s="72"/>
      <c r="G4735" s="72"/>
      <c r="H4735" s="22" t="s">
        <v>16709</v>
      </c>
      <c r="I4735" s="23" t="s">
        <v>36</v>
      </c>
      <c r="J4735" s="22"/>
      <c r="K4735" s="20">
        <v>25</v>
      </c>
      <c r="L4735" s="24">
        <v>44.14</v>
      </c>
      <c r="M4735" s="11"/>
      <c r="N4735" s="22">
        <f t="shared" si="240"/>
        <v>0</v>
      </c>
      <c r="O4735" s="25">
        <f>0.009*M4735</f>
        <v>0</v>
      </c>
      <c r="P4735" s="26">
        <f>0.00005*M4735</f>
        <v>0</v>
      </c>
      <c r="Q4735" s="30"/>
      <c r="R4735" s="22" t="s">
        <v>16710</v>
      </c>
      <c r="S4735" s="22" t="s">
        <v>435</v>
      </c>
      <c r="T4735" s="21" t="str">
        <f>HYPERLINK("https://miland.ru/api/getInfo/image/adc3301e-02c3-11e9-a216-ac1f6b442184")</f>
        <v>https://miland.ru/api/getInfo/image/adc3301e-02c3-11e9-a216-ac1f6b442184</v>
      </c>
      <c r="U4735" s="21"/>
      <c r="V4735" s="21" t="s">
        <v>11045</v>
      </c>
      <c r="W4735" s="21" t="s">
        <v>9274</v>
      </c>
      <c r="X4735" s="21"/>
      <c r="Y4735" s="21" t="s">
        <v>41</v>
      </c>
      <c r="Z4735" s="21"/>
      <c r="AA4735" s="21" t="str">
        <f>HYPERLINK("https://miland.ru/api/getInfo/item/adc3301e-02c3-11e9-a216-ac1f6b442184")</f>
        <v>https://miland.ru/api/getInfo/item/adc3301e-02c3-11e9-a216-ac1f6b442184</v>
      </c>
      <c r="AB4735" s="21" t="s">
        <v>42</v>
      </c>
      <c r="AC4735" s="21"/>
      <c r="AD4735" s="21"/>
    </row>
    <row r="4736" spans="2:31" s="1" customFormat="1" ht="96.3" customHeight="1" outlineLevel="4">
      <c r="B4736" s="57">
        <v>3797</v>
      </c>
      <c r="C4736" s="21" t="s">
        <v>16711</v>
      </c>
      <c r="D4736" s="72" t="s">
        <v>16712</v>
      </c>
      <c r="E4736" s="72"/>
      <c r="F4736" s="72"/>
      <c r="G4736" s="72"/>
      <c r="H4736" s="22" t="s">
        <v>16713</v>
      </c>
      <c r="I4736" s="23" t="s">
        <v>36</v>
      </c>
      <c r="J4736" s="22"/>
      <c r="K4736" s="20">
        <v>25</v>
      </c>
      <c r="L4736" s="24">
        <v>44.14</v>
      </c>
      <c r="M4736" s="11"/>
      <c r="N4736" s="22">
        <f t="shared" si="240"/>
        <v>0</v>
      </c>
      <c r="O4736" s="25">
        <f>0.008*M4736</f>
        <v>0</v>
      </c>
      <c r="P4736" s="26">
        <f>0.00008*M4736</f>
        <v>0</v>
      </c>
      <c r="Q4736" s="30"/>
      <c r="R4736" s="22" t="s">
        <v>16714</v>
      </c>
      <c r="S4736" s="22" t="s">
        <v>435</v>
      </c>
      <c r="T4736" s="21" t="str">
        <f>HYPERLINK("https://miland.ru/api/getInfo/image/4485c867-02c3-11e9-a216-ac1f6b442184")</f>
        <v>https://miland.ru/api/getInfo/image/4485c867-02c3-11e9-a216-ac1f6b442184</v>
      </c>
      <c r="U4736" s="21"/>
      <c r="V4736" s="21" t="s">
        <v>11045</v>
      </c>
      <c r="W4736" s="21" t="s">
        <v>9274</v>
      </c>
      <c r="X4736" s="21"/>
      <c r="Y4736" s="21" t="s">
        <v>41</v>
      </c>
      <c r="Z4736" s="21"/>
      <c r="AA4736" s="21" t="str">
        <f>HYPERLINK("https://miland.ru/api/getInfo/item/4485c867-02c3-11e9-a216-ac1f6b442184")</f>
        <v>https://miland.ru/api/getInfo/item/4485c867-02c3-11e9-a216-ac1f6b442184</v>
      </c>
      <c r="AB4736" s="21" t="s">
        <v>42</v>
      </c>
      <c r="AC4736" s="21"/>
      <c r="AD4736" s="21"/>
    </row>
    <row r="4737" spans="2:31" ht="12" customHeight="1" outlineLevel="3">
      <c r="B4737" s="70" t="s">
        <v>16715</v>
      </c>
      <c r="C4737" s="70"/>
      <c r="D4737" s="70"/>
      <c r="E4737" s="70"/>
      <c r="F4737" s="70"/>
      <c r="G4737" s="70"/>
    </row>
    <row r="4738" spans="2:31" ht="12" customHeight="1" outlineLevel="4">
      <c r="B4738" s="70" t="s">
        <v>16716</v>
      </c>
      <c r="C4738" s="70"/>
      <c r="D4738" s="70"/>
      <c r="E4738" s="70"/>
      <c r="F4738" s="70"/>
      <c r="G4738" s="70"/>
    </row>
    <row r="4739" spans="2:31" s="1" customFormat="1" ht="96.3" customHeight="1" outlineLevel="5">
      <c r="B4739" s="59">
        <v>3798</v>
      </c>
      <c r="C4739" s="35" t="s">
        <v>16717</v>
      </c>
      <c r="D4739" s="73" t="s">
        <v>16718</v>
      </c>
      <c r="E4739" s="73"/>
      <c r="F4739" s="73"/>
      <c r="G4739" s="73"/>
      <c r="H4739" s="36" t="s">
        <v>16719</v>
      </c>
      <c r="I4739" s="56" t="s">
        <v>36</v>
      </c>
      <c r="J4739" s="36"/>
      <c r="K4739" s="34">
        <v>10</v>
      </c>
      <c r="L4739" s="41">
        <v>35.68</v>
      </c>
      <c r="M4739" s="11"/>
      <c r="N4739" s="36">
        <f t="shared" ref="N4739:N4747" si="241">L4739*M4739</f>
        <v>0</v>
      </c>
      <c r="O4739" s="47">
        <f>0.05*M4739</f>
        <v>0</v>
      </c>
      <c r="P4739" s="55">
        <f>0.0001*M4739</f>
        <v>0</v>
      </c>
      <c r="Q4739" s="50"/>
      <c r="R4739" s="36" t="s">
        <v>16720</v>
      </c>
      <c r="S4739" s="36"/>
      <c r="T4739" s="35" t="str">
        <f>HYPERLINK("https://miland.ru/api/getInfo/image/1e055932-1832-11ea-a237-ac1f6b442184")</f>
        <v>https://miland.ru/api/getInfo/image/1e055932-1832-11ea-a237-ac1f6b442184</v>
      </c>
      <c r="U4739" s="35"/>
      <c r="V4739" s="35" t="s">
        <v>4627</v>
      </c>
      <c r="W4739" s="35" t="s">
        <v>16721</v>
      </c>
      <c r="X4739" s="35"/>
      <c r="Y4739" s="35" t="s">
        <v>41</v>
      </c>
      <c r="Z4739" s="35"/>
      <c r="AA4739" s="35" t="str">
        <f>HYPERLINK("https://miland.ru/api/getInfo/item/1e055932-1832-11ea-a237-ac1f6b442184")</f>
        <v>https://miland.ru/api/getInfo/item/1e055932-1832-11ea-a237-ac1f6b442184</v>
      </c>
      <c r="AB4739" s="35" t="s">
        <v>42</v>
      </c>
      <c r="AC4739" s="35" t="s">
        <v>16722</v>
      </c>
      <c r="AD4739" s="35"/>
      <c r="AE4739" s="52" t="s">
        <v>9152</v>
      </c>
    </row>
    <row r="4740" spans="2:31" s="1" customFormat="1" ht="96.3" customHeight="1" outlineLevel="5">
      <c r="B4740" s="59">
        <v>3799</v>
      </c>
      <c r="C4740" s="35" t="s">
        <v>16723</v>
      </c>
      <c r="D4740" s="73" t="s">
        <v>16724</v>
      </c>
      <c r="E4740" s="73"/>
      <c r="F4740" s="73"/>
      <c r="G4740" s="73"/>
      <c r="H4740" s="36" t="s">
        <v>16725</v>
      </c>
      <c r="I4740" s="40">
        <v>370</v>
      </c>
      <c r="J4740" s="36"/>
      <c r="K4740" s="34">
        <v>10</v>
      </c>
      <c r="L4740" s="41">
        <v>22.52</v>
      </c>
      <c r="M4740" s="11"/>
      <c r="N4740" s="36">
        <f t="shared" si="241"/>
        <v>0</v>
      </c>
      <c r="O4740" s="42">
        <f>0.026*M4740</f>
        <v>0</v>
      </c>
      <c r="P4740" s="43">
        <f>0.00012*M4740</f>
        <v>0</v>
      </c>
      <c r="Q4740" s="50"/>
      <c r="R4740" s="36" t="s">
        <v>16726</v>
      </c>
      <c r="S4740" s="36" t="s">
        <v>435</v>
      </c>
      <c r="T4740" s="35" t="str">
        <f>HYPERLINK("https://miland.ru/api/getInfo/image/891c216e-1832-11ea-a237-ac1f6b442184")</f>
        <v>https://miland.ru/api/getInfo/image/891c216e-1832-11ea-a237-ac1f6b442184</v>
      </c>
      <c r="U4740" s="35"/>
      <c r="V4740" s="35" t="s">
        <v>4627</v>
      </c>
      <c r="W4740" s="35" t="s">
        <v>16721</v>
      </c>
      <c r="X4740" s="35"/>
      <c r="Y4740" s="35" t="s">
        <v>41</v>
      </c>
      <c r="Z4740" s="35"/>
      <c r="AA4740" s="35" t="str">
        <f>HYPERLINK("https://miland.ru/api/getInfo/item/891c216e-1832-11ea-a237-ac1f6b442184")</f>
        <v>https://miland.ru/api/getInfo/item/891c216e-1832-11ea-a237-ac1f6b442184</v>
      </c>
      <c r="AB4740" s="35" t="s">
        <v>42</v>
      </c>
      <c r="AC4740" s="35" t="s">
        <v>16722</v>
      </c>
      <c r="AD4740" s="35"/>
      <c r="AE4740" s="52" t="s">
        <v>9152</v>
      </c>
    </row>
    <row r="4741" spans="2:31" s="1" customFormat="1" ht="96.3" customHeight="1" outlineLevel="5">
      <c r="B4741" s="59">
        <v>3800</v>
      </c>
      <c r="C4741" s="35" t="s">
        <v>16727</v>
      </c>
      <c r="D4741" s="73" t="s">
        <v>16728</v>
      </c>
      <c r="E4741" s="73"/>
      <c r="F4741" s="73"/>
      <c r="G4741" s="73"/>
      <c r="H4741" s="36" t="s">
        <v>16729</v>
      </c>
      <c r="I4741" s="56" t="s">
        <v>36</v>
      </c>
      <c r="J4741" s="36"/>
      <c r="K4741" s="34">
        <v>10</v>
      </c>
      <c r="L4741" s="41">
        <v>35.68</v>
      </c>
      <c r="M4741" s="11"/>
      <c r="N4741" s="36">
        <f t="shared" si="241"/>
        <v>0</v>
      </c>
      <c r="O4741" s="47">
        <f>0.27*M4741</f>
        <v>0</v>
      </c>
      <c r="P4741" s="43">
        <f>0.00113*M4741</f>
        <v>0</v>
      </c>
      <c r="Q4741" s="50"/>
      <c r="R4741" s="36" t="s">
        <v>16730</v>
      </c>
      <c r="S4741" s="36"/>
      <c r="T4741" s="35" t="str">
        <f>HYPERLINK("https://miland.ru/api/getInfo/image/8d0b4639-1831-11ea-a237-ac1f6b442184")</f>
        <v>https://miland.ru/api/getInfo/image/8d0b4639-1831-11ea-a237-ac1f6b442184</v>
      </c>
      <c r="U4741" s="35"/>
      <c r="V4741" s="35" t="s">
        <v>4627</v>
      </c>
      <c r="W4741" s="35" t="s">
        <v>16721</v>
      </c>
      <c r="X4741" s="35"/>
      <c r="Y4741" s="35" t="s">
        <v>41</v>
      </c>
      <c r="Z4741" s="35"/>
      <c r="AA4741" s="35" t="str">
        <f>HYPERLINK("https://miland.ru/api/getInfo/item/8d0b4639-1831-11ea-a237-ac1f6b442184")</f>
        <v>https://miland.ru/api/getInfo/item/8d0b4639-1831-11ea-a237-ac1f6b442184</v>
      </c>
      <c r="AB4741" s="35" t="s">
        <v>42</v>
      </c>
      <c r="AC4741" s="35" t="s">
        <v>16722</v>
      </c>
      <c r="AD4741" s="35"/>
      <c r="AE4741" s="52" t="s">
        <v>9152</v>
      </c>
    </row>
    <row r="4742" spans="2:31" s="1" customFormat="1" ht="96.3" customHeight="1" outlineLevel="5">
      <c r="B4742" s="59">
        <v>3801</v>
      </c>
      <c r="C4742" s="35" t="s">
        <v>16731</v>
      </c>
      <c r="D4742" s="73" t="s">
        <v>16732</v>
      </c>
      <c r="E4742" s="73"/>
      <c r="F4742" s="73"/>
      <c r="G4742" s="73"/>
      <c r="H4742" s="36" t="s">
        <v>16733</v>
      </c>
      <c r="I4742" s="56" t="s">
        <v>36</v>
      </c>
      <c r="J4742" s="36"/>
      <c r="K4742" s="34">
        <v>10</v>
      </c>
      <c r="L4742" s="41">
        <v>35.68</v>
      </c>
      <c r="M4742" s="11"/>
      <c r="N4742" s="36">
        <f t="shared" si="241"/>
        <v>0</v>
      </c>
      <c r="O4742" s="47">
        <f>0.27*M4742</f>
        <v>0</v>
      </c>
      <c r="P4742" s="43">
        <f>0.00113*M4742</f>
        <v>0</v>
      </c>
      <c r="Q4742" s="50"/>
      <c r="R4742" s="36" t="s">
        <v>16734</v>
      </c>
      <c r="S4742" s="36" t="s">
        <v>435</v>
      </c>
      <c r="T4742" s="35" t="str">
        <f>HYPERLINK("https://miland.ru/api/getInfo/image/b72da3a3-1832-11ea-a237-ac1f6b442184")</f>
        <v>https://miland.ru/api/getInfo/image/b72da3a3-1832-11ea-a237-ac1f6b442184</v>
      </c>
      <c r="U4742" s="35"/>
      <c r="V4742" s="35" t="s">
        <v>4627</v>
      </c>
      <c r="W4742" s="35" t="s">
        <v>16721</v>
      </c>
      <c r="X4742" s="35"/>
      <c r="Y4742" s="35" t="s">
        <v>41</v>
      </c>
      <c r="Z4742" s="35"/>
      <c r="AA4742" s="35" t="str">
        <f>HYPERLINK("https://miland.ru/api/getInfo/item/b72da3a3-1832-11ea-a237-ac1f6b442184")</f>
        <v>https://miland.ru/api/getInfo/item/b72da3a3-1832-11ea-a237-ac1f6b442184</v>
      </c>
      <c r="AB4742" s="35" t="s">
        <v>42</v>
      </c>
      <c r="AC4742" s="35" t="s">
        <v>16722</v>
      </c>
      <c r="AD4742" s="35"/>
      <c r="AE4742" s="52" t="s">
        <v>9152</v>
      </c>
    </row>
    <row r="4743" spans="2:31" s="1" customFormat="1" ht="96.3" customHeight="1" outlineLevel="5">
      <c r="B4743" s="59">
        <v>3802</v>
      </c>
      <c r="C4743" s="35" t="s">
        <v>16735</v>
      </c>
      <c r="D4743" s="73" t="s">
        <v>16736</v>
      </c>
      <c r="E4743" s="73"/>
      <c r="F4743" s="73"/>
      <c r="G4743" s="73"/>
      <c r="H4743" s="36" t="s">
        <v>16737</v>
      </c>
      <c r="I4743" s="56" t="s">
        <v>36</v>
      </c>
      <c r="J4743" s="36"/>
      <c r="K4743" s="34">
        <v>10</v>
      </c>
      <c r="L4743" s="41">
        <v>35.68</v>
      </c>
      <c r="M4743" s="11"/>
      <c r="N4743" s="36">
        <f t="shared" si="241"/>
        <v>0</v>
      </c>
      <c r="O4743" s="42">
        <f>0.029*M4743</f>
        <v>0</v>
      </c>
      <c r="P4743" s="43">
        <f>0.00008*M4743</f>
        <v>0</v>
      </c>
      <c r="Q4743" s="50"/>
      <c r="R4743" s="36" t="s">
        <v>16738</v>
      </c>
      <c r="S4743" s="36"/>
      <c r="T4743" s="35" t="str">
        <f>HYPERLINK("https://miland.ru/api/getInfo/image/e6de9a9c-1831-11ea-a237-ac1f6b442184")</f>
        <v>https://miland.ru/api/getInfo/image/e6de9a9c-1831-11ea-a237-ac1f6b442184</v>
      </c>
      <c r="U4743" s="35"/>
      <c r="V4743" s="35" t="s">
        <v>4627</v>
      </c>
      <c r="W4743" s="35" t="s">
        <v>16721</v>
      </c>
      <c r="X4743" s="35"/>
      <c r="Y4743" s="35" t="s">
        <v>41</v>
      </c>
      <c r="Z4743" s="35"/>
      <c r="AA4743" s="35" t="str">
        <f>HYPERLINK("https://miland.ru/api/getInfo/item/e6de9a9c-1831-11ea-a237-ac1f6b442184")</f>
        <v>https://miland.ru/api/getInfo/item/e6de9a9c-1831-11ea-a237-ac1f6b442184</v>
      </c>
      <c r="AB4743" s="35" t="s">
        <v>42</v>
      </c>
      <c r="AC4743" s="35" t="s">
        <v>16722</v>
      </c>
      <c r="AD4743" s="35"/>
      <c r="AE4743" s="52" t="s">
        <v>9152</v>
      </c>
    </row>
    <row r="4744" spans="2:31" s="1" customFormat="1" ht="96.3" customHeight="1" outlineLevel="5">
      <c r="B4744" s="59">
        <v>3803</v>
      </c>
      <c r="C4744" s="35" t="s">
        <v>16739</v>
      </c>
      <c r="D4744" s="73" t="s">
        <v>16740</v>
      </c>
      <c r="E4744" s="73"/>
      <c r="F4744" s="73"/>
      <c r="G4744" s="73"/>
      <c r="H4744" s="36" t="s">
        <v>16741</v>
      </c>
      <c r="I4744" s="56" t="s">
        <v>36</v>
      </c>
      <c r="J4744" s="36"/>
      <c r="K4744" s="34">
        <v>10</v>
      </c>
      <c r="L4744" s="41">
        <v>35.68</v>
      </c>
      <c r="M4744" s="11"/>
      <c r="N4744" s="36">
        <f t="shared" si="241"/>
        <v>0</v>
      </c>
      <c r="O4744" s="42">
        <f>0.026*M4744</f>
        <v>0</v>
      </c>
      <c r="P4744" s="55">
        <f>0.0001*M4744</f>
        <v>0</v>
      </c>
      <c r="Q4744" s="50"/>
      <c r="R4744" s="36" t="s">
        <v>16742</v>
      </c>
      <c r="S4744" s="36"/>
      <c r="T4744" s="35" t="str">
        <f>HYPERLINK("https://miland.ru/api/getInfo/image/72a31c99-1832-11ea-a237-ac1f6b442184")</f>
        <v>https://miland.ru/api/getInfo/image/72a31c99-1832-11ea-a237-ac1f6b442184</v>
      </c>
      <c r="U4744" s="35"/>
      <c r="V4744" s="35" t="s">
        <v>4627</v>
      </c>
      <c r="W4744" s="35" t="s">
        <v>16721</v>
      </c>
      <c r="X4744" s="35"/>
      <c r="Y4744" s="35" t="s">
        <v>41</v>
      </c>
      <c r="Z4744" s="35"/>
      <c r="AA4744" s="35" t="str">
        <f>HYPERLINK("https://miland.ru/api/getInfo/item/72a31c99-1832-11ea-a237-ac1f6b442184")</f>
        <v>https://miland.ru/api/getInfo/item/72a31c99-1832-11ea-a237-ac1f6b442184</v>
      </c>
      <c r="AB4744" s="35" t="s">
        <v>42</v>
      </c>
      <c r="AC4744" s="35" t="s">
        <v>16722</v>
      </c>
      <c r="AD4744" s="35"/>
      <c r="AE4744" s="52" t="s">
        <v>9152</v>
      </c>
    </row>
    <row r="4745" spans="2:31" s="1" customFormat="1" ht="96.3" customHeight="1" outlineLevel="5">
      <c r="B4745" s="57">
        <v>3804</v>
      </c>
      <c r="C4745" s="21" t="s">
        <v>16743</v>
      </c>
      <c r="D4745" s="72" t="s">
        <v>16744</v>
      </c>
      <c r="E4745" s="72"/>
      <c r="F4745" s="72"/>
      <c r="G4745" s="72"/>
      <c r="H4745" s="22" t="s">
        <v>16745</v>
      </c>
      <c r="I4745" s="27">
        <v>5</v>
      </c>
      <c r="J4745" s="22"/>
      <c r="K4745" s="20">
        <v>5</v>
      </c>
      <c r="L4745" s="24">
        <v>98.34</v>
      </c>
      <c r="M4745" s="11"/>
      <c r="N4745" s="22">
        <f t="shared" si="241"/>
        <v>0</v>
      </c>
      <c r="O4745" s="25">
        <f>0.055*M4745</f>
        <v>0</v>
      </c>
      <c r="P4745" s="26">
        <f>0.00022*M4745</f>
        <v>0</v>
      </c>
      <c r="Q4745" s="30"/>
      <c r="R4745" s="22" t="s">
        <v>16746</v>
      </c>
      <c r="S4745" s="22"/>
      <c r="T4745" s="21" t="str">
        <f>HYPERLINK("https://miland.ru/api/getInfo/image/ad353649-848c-11ee-a248-00155d82e902")</f>
        <v>https://miland.ru/api/getInfo/image/ad353649-848c-11ee-a248-00155d82e902</v>
      </c>
      <c r="U4745" s="21"/>
      <c r="V4745" s="21" t="s">
        <v>4627</v>
      </c>
      <c r="W4745" s="21" t="s">
        <v>16721</v>
      </c>
      <c r="X4745" s="21"/>
      <c r="Y4745" s="21" t="s">
        <v>41</v>
      </c>
      <c r="Z4745" s="21"/>
      <c r="AA4745" s="21" t="str">
        <f>HYPERLINK("https://miland.ru/api/getInfo/item/ad353649-848c-11ee-a248-00155d82e902")</f>
        <v>https://miland.ru/api/getInfo/item/ad353649-848c-11ee-a248-00155d82e902</v>
      </c>
      <c r="AB4745" s="21" t="s">
        <v>42</v>
      </c>
      <c r="AC4745" s="21" t="s">
        <v>16747</v>
      </c>
      <c r="AD4745" s="21"/>
    </row>
    <row r="4746" spans="2:31" s="1" customFormat="1" ht="96.3" customHeight="1" outlineLevel="5">
      <c r="B4746" s="59">
        <v>3805</v>
      </c>
      <c r="C4746" s="35" t="s">
        <v>16748</v>
      </c>
      <c r="D4746" s="73" t="s">
        <v>16749</v>
      </c>
      <c r="E4746" s="73"/>
      <c r="F4746" s="73"/>
      <c r="G4746" s="73"/>
      <c r="H4746" s="36" t="s">
        <v>16750</v>
      </c>
      <c r="I4746" s="40">
        <v>155</v>
      </c>
      <c r="J4746" s="36"/>
      <c r="K4746" s="34">
        <v>5</v>
      </c>
      <c r="L4746" s="41">
        <v>78.666666666666671</v>
      </c>
      <c r="M4746" s="11"/>
      <c r="N4746" s="36">
        <f t="shared" si="241"/>
        <v>0</v>
      </c>
      <c r="O4746" s="42">
        <f>0.044*M4746</f>
        <v>0</v>
      </c>
      <c r="P4746" s="43">
        <f>0.00022*M4746</f>
        <v>0</v>
      </c>
      <c r="Q4746" s="50"/>
      <c r="R4746" s="36" t="s">
        <v>16751</v>
      </c>
      <c r="S4746" s="36"/>
      <c r="T4746" s="35" t="str">
        <f>HYPERLINK("https://miland.ru/api/getInfo/image/09e654aa-1837-11ea-a237-ac1f6b442184")</f>
        <v>https://miland.ru/api/getInfo/image/09e654aa-1837-11ea-a237-ac1f6b442184</v>
      </c>
      <c r="U4746" s="35"/>
      <c r="V4746" s="35" t="s">
        <v>4627</v>
      </c>
      <c r="W4746" s="35" t="s">
        <v>16721</v>
      </c>
      <c r="X4746" s="35"/>
      <c r="Y4746" s="35" t="s">
        <v>41</v>
      </c>
      <c r="Z4746" s="35"/>
      <c r="AA4746" s="35" t="str">
        <f>HYPERLINK("https://miland.ru/api/getInfo/item/09e654aa-1837-11ea-a237-ac1f6b442184")</f>
        <v>https://miland.ru/api/getInfo/item/09e654aa-1837-11ea-a237-ac1f6b442184</v>
      </c>
      <c r="AB4746" s="35" t="s">
        <v>42</v>
      </c>
      <c r="AC4746" s="35" t="s">
        <v>16722</v>
      </c>
      <c r="AD4746" s="35"/>
      <c r="AE4746" s="52" t="s">
        <v>9152</v>
      </c>
    </row>
    <row r="4747" spans="2:31" s="1" customFormat="1" ht="96.3" customHeight="1" outlineLevel="5">
      <c r="B4747" s="59">
        <v>3806</v>
      </c>
      <c r="C4747" s="35" t="s">
        <v>16752</v>
      </c>
      <c r="D4747" s="73" t="s">
        <v>16753</v>
      </c>
      <c r="E4747" s="73"/>
      <c r="F4747" s="73"/>
      <c r="G4747" s="73"/>
      <c r="H4747" s="36" t="s">
        <v>16754</v>
      </c>
      <c r="I4747" s="40">
        <v>350</v>
      </c>
      <c r="J4747" s="36"/>
      <c r="K4747" s="34">
        <v>5</v>
      </c>
      <c r="L4747" s="41">
        <v>49.626666666666665</v>
      </c>
      <c r="M4747" s="11"/>
      <c r="N4747" s="36">
        <f t="shared" si="241"/>
        <v>0</v>
      </c>
      <c r="O4747" s="42">
        <f>0.049*M4747</f>
        <v>0</v>
      </c>
      <c r="P4747" s="43">
        <f>0.00022*M4747</f>
        <v>0</v>
      </c>
      <c r="Q4747" s="50"/>
      <c r="R4747" s="36" t="s">
        <v>16755</v>
      </c>
      <c r="S4747" s="36" t="s">
        <v>435</v>
      </c>
      <c r="T4747" s="35" t="str">
        <f>HYPERLINK("https://miland.ru/api/getInfo/image/22542629-1837-11ea-a237-ac1f6b442184")</f>
        <v>https://miland.ru/api/getInfo/image/22542629-1837-11ea-a237-ac1f6b442184</v>
      </c>
      <c r="U4747" s="35"/>
      <c r="V4747" s="35" t="s">
        <v>4627</v>
      </c>
      <c r="W4747" s="35" t="s">
        <v>16721</v>
      </c>
      <c r="X4747" s="35"/>
      <c r="Y4747" s="35" t="s">
        <v>41</v>
      </c>
      <c r="Z4747" s="35"/>
      <c r="AA4747" s="35" t="str">
        <f>HYPERLINK("https://miland.ru/api/getInfo/item/22542629-1837-11ea-a237-ac1f6b442184")</f>
        <v>https://miland.ru/api/getInfo/item/22542629-1837-11ea-a237-ac1f6b442184</v>
      </c>
      <c r="AB4747" s="35" t="s">
        <v>42</v>
      </c>
      <c r="AC4747" s="35" t="s">
        <v>16722</v>
      </c>
      <c r="AD4747" s="35"/>
      <c r="AE4747" s="52" t="s">
        <v>9152</v>
      </c>
    </row>
    <row r="4748" spans="2:31" ht="12" customHeight="1" outlineLevel="4">
      <c r="B4748" s="70" t="s">
        <v>16756</v>
      </c>
      <c r="C4748" s="70"/>
      <c r="D4748" s="70"/>
      <c r="E4748" s="70"/>
      <c r="F4748" s="70"/>
      <c r="G4748" s="70"/>
    </row>
    <row r="4749" spans="2:31" s="1" customFormat="1" ht="96.3" customHeight="1" outlineLevel="5">
      <c r="B4749" s="57">
        <v>3807</v>
      </c>
      <c r="C4749" s="21" t="s">
        <v>16757</v>
      </c>
      <c r="D4749" s="72" t="s">
        <v>16758</v>
      </c>
      <c r="E4749" s="72"/>
      <c r="F4749" s="72"/>
      <c r="G4749" s="72"/>
      <c r="H4749" s="22" t="s">
        <v>16759</v>
      </c>
      <c r="I4749" s="27">
        <v>107</v>
      </c>
      <c r="J4749" s="22"/>
      <c r="K4749" s="20">
        <v>3</v>
      </c>
      <c r="L4749" s="24">
        <v>203.89</v>
      </c>
      <c r="M4749" s="11"/>
      <c r="N4749" s="22">
        <f t="shared" ref="N4749:N4763" si="242">L4749*M4749</f>
        <v>0</v>
      </c>
      <c r="O4749" s="25">
        <f>0.208*M4749</f>
        <v>0</v>
      </c>
      <c r="P4749" s="26">
        <f>0.00077*M4749</f>
        <v>0</v>
      </c>
      <c r="Q4749" s="30"/>
      <c r="R4749" s="22" t="s">
        <v>16760</v>
      </c>
      <c r="S4749" s="22"/>
      <c r="T4749" s="21" t="str">
        <f>HYPERLINK("https://miland.ru/api/getInfo/image/5cc03810-81dc-11e9-a226-ac1f6b442184")</f>
        <v>https://miland.ru/api/getInfo/image/5cc03810-81dc-11e9-a226-ac1f6b442184</v>
      </c>
      <c r="U4749" s="21"/>
      <c r="V4749" s="21" t="s">
        <v>4627</v>
      </c>
      <c r="W4749" s="21" t="s">
        <v>16721</v>
      </c>
      <c r="X4749" s="21"/>
      <c r="Y4749" s="21" t="s">
        <v>41</v>
      </c>
      <c r="Z4749" s="21"/>
      <c r="AA4749" s="21" t="str">
        <f>HYPERLINK("https://miland.ru/api/getInfo/item/5cc03810-81dc-11e9-a226-ac1f6b442184")</f>
        <v>https://miland.ru/api/getInfo/item/5cc03810-81dc-11e9-a226-ac1f6b442184</v>
      </c>
      <c r="AB4749" s="21" t="s">
        <v>50</v>
      </c>
      <c r="AC4749" s="21"/>
      <c r="AD4749" s="21"/>
    </row>
    <row r="4750" spans="2:31" s="1" customFormat="1" ht="96.3" customHeight="1" outlineLevel="5">
      <c r="B4750" s="57">
        <v>3808</v>
      </c>
      <c r="C4750" s="21" t="s">
        <v>16761</v>
      </c>
      <c r="D4750" s="72" t="s">
        <v>16762</v>
      </c>
      <c r="E4750" s="72"/>
      <c r="F4750" s="72"/>
      <c r="G4750" s="72"/>
      <c r="H4750" s="22" t="s">
        <v>16763</v>
      </c>
      <c r="I4750" s="27">
        <v>31</v>
      </c>
      <c r="J4750" s="22"/>
      <c r="K4750" s="20">
        <v>3</v>
      </c>
      <c r="L4750" s="24">
        <v>203.89</v>
      </c>
      <c r="M4750" s="11"/>
      <c r="N4750" s="22">
        <f t="shared" si="242"/>
        <v>0</v>
      </c>
      <c r="O4750" s="25">
        <f>1.761*M4750</f>
        <v>0</v>
      </c>
      <c r="P4750" s="29">
        <f>0.0014*M4750</f>
        <v>0</v>
      </c>
      <c r="Q4750" s="30"/>
      <c r="R4750" s="22" t="s">
        <v>16764</v>
      </c>
      <c r="S4750" s="22"/>
      <c r="T4750" s="21" t="str">
        <f>HYPERLINK("https://miland.ru/api/getInfo/image/6c5c8859-81da-11e9-a226-ac1f6b442184")</f>
        <v>https://miland.ru/api/getInfo/image/6c5c8859-81da-11e9-a226-ac1f6b442184</v>
      </c>
      <c r="U4750" s="21"/>
      <c r="V4750" s="21" t="s">
        <v>4627</v>
      </c>
      <c r="W4750" s="21" t="s">
        <v>16721</v>
      </c>
      <c r="X4750" s="21"/>
      <c r="Y4750" s="21" t="s">
        <v>41</v>
      </c>
      <c r="Z4750" s="21"/>
      <c r="AA4750" s="21" t="str">
        <f>HYPERLINK("https://miland.ru/api/getInfo/item/6c5c8859-81da-11e9-a226-ac1f6b442184")</f>
        <v>https://miland.ru/api/getInfo/item/6c5c8859-81da-11e9-a226-ac1f6b442184</v>
      </c>
      <c r="AB4750" s="21" t="s">
        <v>50</v>
      </c>
      <c r="AC4750" s="21"/>
      <c r="AD4750" s="21"/>
    </row>
    <row r="4751" spans="2:31" s="1" customFormat="1" ht="96.3" customHeight="1" outlineLevel="5">
      <c r="B4751" s="57">
        <v>3809</v>
      </c>
      <c r="C4751" s="21" t="s">
        <v>16765</v>
      </c>
      <c r="D4751" s="72" t="s">
        <v>16766</v>
      </c>
      <c r="E4751" s="72"/>
      <c r="F4751" s="72"/>
      <c r="G4751" s="72"/>
      <c r="H4751" s="22" t="s">
        <v>16767</v>
      </c>
      <c r="I4751" s="27">
        <v>54</v>
      </c>
      <c r="J4751" s="22"/>
      <c r="K4751" s="20">
        <v>3</v>
      </c>
      <c r="L4751" s="24">
        <v>203.89</v>
      </c>
      <c r="M4751" s="11"/>
      <c r="N4751" s="22">
        <f t="shared" si="242"/>
        <v>0</v>
      </c>
      <c r="O4751" s="28">
        <f>0.18*M4751</f>
        <v>0</v>
      </c>
      <c r="P4751" s="26">
        <f>0.00115*M4751</f>
        <v>0</v>
      </c>
      <c r="Q4751" s="30"/>
      <c r="R4751" s="22" t="s">
        <v>16768</v>
      </c>
      <c r="S4751" s="22"/>
      <c r="T4751" s="21" t="str">
        <f>HYPERLINK("https://miland.ru/api/getInfo/image/7ac76d6b-81dc-11e9-a226-ac1f6b442184")</f>
        <v>https://miland.ru/api/getInfo/image/7ac76d6b-81dc-11e9-a226-ac1f6b442184</v>
      </c>
      <c r="U4751" s="21"/>
      <c r="V4751" s="21" t="s">
        <v>4627</v>
      </c>
      <c r="W4751" s="21" t="s">
        <v>16721</v>
      </c>
      <c r="X4751" s="21"/>
      <c r="Y4751" s="21" t="s">
        <v>41</v>
      </c>
      <c r="Z4751" s="21"/>
      <c r="AA4751" s="21" t="str">
        <f>HYPERLINK("https://miland.ru/api/getInfo/item/7ac76d6b-81dc-11e9-a226-ac1f6b442184")</f>
        <v>https://miland.ru/api/getInfo/item/7ac76d6b-81dc-11e9-a226-ac1f6b442184</v>
      </c>
      <c r="AB4751" s="21" t="s">
        <v>50</v>
      </c>
      <c r="AC4751" s="21"/>
      <c r="AD4751" s="21"/>
    </row>
    <row r="4752" spans="2:31" s="1" customFormat="1" ht="96.3" customHeight="1" outlineLevel="5">
      <c r="B4752" s="57">
        <v>3810</v>
      </c>
      <c r="C4752" s="21" t="s">
        <v>16769</v>
      </c>
      <c r="D4752" s="72" t="s">
        <v>16770</v>
      </c>
      <c r="E4752" s="72"/>
      <c r="F4752" s="72"/>
      <c r="G4752" s="72"/>
      <c r="H4752" s="22" t="s">
        <v>16771</v>
      </c>
      <c r="I4752" s="27">
        <v>37</v>
      </c>
      <c r="J4752" s="22"/>
      <c r="K4752" s="20">
        <v>3</v>
      </c>
      <c r="L4752" s="24">
        <v>203.89</v>
      </c>
      <c r="M4752" s="11"/>
      <c r="N4752" s="22">
        <f t="shared" si="242"/>
        <v>0</v>
      </c>
      <c r="O4752" s="25">
        <f>0.176*M4752</f>
        <v>0</v>
      </c>
      <c r="P4752" s="29">
        <f>0.0014*M4752</f>
        <v>0</v>
      </c>
      <c r="Q4752" s="30"/>
      <c r="R4752" s="22" t="s">
        <v>16772</v>
      </c>
      <c r="S4752" s="22"/>
      <c r="T4752" s="21" t="str">
        <f>HYPERLINK("https://miland.ru/api/getInfo/image/6600e42d-81db-11e9-a226-ac1f6b442184")</f>
        <v>https://miland.ru/api/getInfo/image/6600e42d-81db-11e9-a226-ac1f6b442184</v>
      </c>
      <c r="U4752" s="21"/>
      <c r="V4752" s="21" t="s">
        <v>4627</v>
      </c>
      <c r="W4752" s="21" t="s">
        <v>16721</v>
      </c>
      <c r="X4752" s="21"/>
      <c r="Y4752" s="21" t="s">
        <v>41</v>
      </c>
      <c r="Z4752" s="21"/>
      <c r="AA4752" s="21" t="str">
        <f>HYPERLINK("https://miland.ru/api/getInfo/item/6600e42d-81db-11e9-a226-ac1f6b442184")</f>
        <v>https://miland.ru/api/getInfo/item/6600e42d-81db-11e9-a226-ac1f6b442184</v>
      </c>
      <c r="AB4752" s="21" t="s">
        <v>50</v>
      </c>
      <c r="AC4752" s="21"/>
      <c r="AD4752" s="21"/>
    </row>
    <row r="4753" spans="2:31" s="1" customFormat="1" ht="96.3" customHeight="1" outlineLevel="5">
      <c r="B4753" s="57">
        <v>3811</v>
      </c>
      <c r="C4753" s="21" t="s">
        <v>16773</v>
      </c>
      <c r="D4753" s="72" t="s">
        <v>16774</v>
      </c>
      <c r="E4753" s="72"/>
      <c r="F4753" s="72"/>
      <c r="G4753" s="72"/>
      <c r="H4753" s="22" t="s">
        <v>16775</v>
      </c>
      <c r="I4753" s="27">
        <v>84</v>
      </c>
      <c r="J4753" s="22"/>
      <c r="K4753" s="20">
        <v>3</v>
      </c>
      <c r="L4753" s="24">
        <v>203.89</v>
      </c>
      <c r="M4753" s="11"/>
      <c r="N4753" s="22">
        <f t="shared" si="242"/>
        <v>0</v>
      </c>
      <c r="O4753" s="28">
        <f>0.18*M4753</f>
        <v>0</v>
      </c>
      <c r="P4753" s="29">
        <f>0.0014*M4753</f>
        <v>0</v>
      </c>
      <c r="Q4753" s="30"/>
      <c r="R4753" s="22" t="s">
        <v>16776</v>
      </c>
      <c r="S4753" s="22"/>
      <c r="T4753" s="21" t="str">
        <f>HYPERLINK("https://miland.ru/api/getInfo/image/3b76518d-81dc-11e9-a226-ac1f6b442184")</f>
        <v>https://miland.ru/api/getInfo/image/3b76518d-81dc-11e9-a226-ac1f6b442184</v>
      </c>
      <c r="U4753" s="21"/>
      <c r="V4753" s="21" t="s">
        <v>4627</v>
      </c>
      <c r="W4753" s="21" t="s">
        <v>16721</v>
      </c>
      <c r="X4753" s="21"/>
      <c r="Y4753" s="21" t="s">
        <v>41</v>
      </c>
      <c r="Z4753" s="21"/>
      <c r="AA4753" s="21" t="str">
        <f>HYPERLINK("https://miland.ru/api/getInfo/item/3b76518d-81dc-11e9-a226-ac1f6b442184")</f>
        <v>https://miland.ru/api/getInfo/item/3b76518d-81dc-11e9-a226-ac1f6b442184</v>
      </c>
      <c r="AB4753" s="21" t="s">
        <v>50</v>
      </c>
      <c r="AC4753" s="21"/>
      <c r="AD4753" s="21"/>
    </row>
    <row r="4754" spans="2:31" s="1" customFormat="1" ht="96.3" customHeight="1" outlineLevel="5">
      <c r="B4754" s="57">
        <v>3812</v>
      </c>
      <c r="C4754" s="21" t="s">
        <v>16777</v>
      </c>
      <c r="D4754" s="72" t="s">
        <v>16778</v>
      </c>
      <c r="E4754" s="72"/>
      <c r="F4754" s="72"/>
      <c r="G4754" s="72"/>
      <c r="H4754" s="22" t="s">
        <v>16779</v>
      </c>
      <c r="I4754" s="27">
        <v>55</v>
      </c>
      <c r="J4754" s="22"/>
      <c r="K4754" s="20">
        <v>3</v>
      </c>
      <c r="L4754" s="24">
        <v>203.89</v>
      </c>
      <c r="M4754" s="11"/>
      <c r="N4754" s="22">
        <f t="shared" si="242"/>
        <v>0</v>
      </c>
      <c r="O4754" s="25">
        <f>0.184*M4754</f>
        <v>0</v>
      </c>
      <c r="P4754" s="26">
        <f>0.00099*M4754</f>
        <v>0</v>
      </c>
      <c r="Q4754" s="30"/>
      <c r="R4754" s="22" t="s">
        <v>16780</v>
      </c>
      <c r="S4754" s="22"/>
      <c r="T4754" s="21" t="str">
        <f>HYPERLINK("https://miland.ru/api/getInfo/image/890ce8da-81db-11e9-a226-ac1f6b442184")</f>
        <v>https://miland.ru/api/getInfo/image/890ce8da-81db-11e9-a226-ac1f6b442184</v>
      </c>
      <c r="U4754" s="21"/>
      <c r="V4754" s="21" t="s">
        <v>4627</v>
      </c>
      <c r="W4754" s="21" t="s">
        <v>16721</v>
      </c>
      <c r="X4754" s="21"/>
      <c r="Y4754" s="21" t="s">
        <v>41</v>
      </c>
      <c r="Z4754" s="21"/>
      <c r="AA4754" s="21" t="str">
        <f>HYPERLINK("https://miland.ru/api/getInfo/item/890ce8da-81db-11e9-a226-ac1f6b442184")</f>
        <v>https://miland.ru/api/getInfo/item/890ce8da-81db-11e9-a226-ac1f6b442184</v>
      </c>
      <c r="AB4754" s="21" t="s">
        <v>50</v>
      </c>
      <c r="AC4754" s="21"/>
      <c r="AD4754" s="21"/>
    </row>
    <row r="4755" spans="2:31" s="1" customFormat="1" ht="96.3" customHeight="1" outlineLevel="5">
      <c r="B4755" s="57">
        <v>3813</v>
      </c>
      <c r="C4755" s="21" t="s">
        <v>16781</v>
      </c>
      <c r="D4755" s="72" t="s">
        <v>16782</v>
      </c>
      <c r="E4755" s="72"/>
      <c r="F4755" s="72"/>
      <c r="G4755" s="72"/>
      <c r="H4755" s="22" t="s">
        <v>16783</v>
      </c>
      <c r="I4755" s="27">
        <v>15</v>
      </c>
      <c r="J4755" s="22"/>
      <c r="K4755" s="20">
        <v>3</v>
      </c>
      <c r="L4755" s="24">
        <v>203.89</v>
      </c>
      <c r="M4755" s="11"/>
      <c r="N4755" s="22">
        <f t="shared" si="242"/>
        <v>0</v>
      </c>
      <c r="O4755" s="25">
        <f>0.183*M4755</f>
        <v>0</v>
      </c>
      <c r="P4755" s="26">
        <f>0.00171*M4755</f>
        <v>0</v>
      </c>
      <c r="Q4755" s="30"/>
      <c r="R4755" s="22" t="s">
        <v>16784</v>
      </c>
      <c r="S4755" s="22"/>
      <c r="T4755" s="21" t="str">
        <f>HYPERLINK("https://miland.ru/api/getInfo/image/a558be8d-81db-11e9-a226-ac1f6b442184")</f>
        <v>https://miland.ru/api/getInfo/image/a558be8d-81db-11e9-a226-ac1f6b442184</v>
      </c>
      <c r="U4755" s="21"/>
      <c r="V4755" s="21" t="s">
        <v>4627</v>
      </c>
      <c r="W4755" s="21" t="s">
        <v>16721</v>
      </c>
      <c r="X4755" s="21"/>
      <c r="Y4755" s="21" t="s">
        <v>41</v>
      </c>
      <c r="Z4755" s="21"/>
      <c r="AA4755" s="21" t="str">
        <f>HYPERLINK("https://miland.ru/api/getInfo/item/a558be8d-81db-11e9-a226-ac1f6b442184")</f>
        <v>https://miland.ru/api/getInfo/item/a558be8d-81db-11e9-a226-ac1f6b442184</v>
      </c>
      <c r="AB4755" s="21" t="s">
        <v>50</v>
      </c>
      <c r="AC4755" s="21"/>
      <c r="AD4755" s="21"/>
    </row>
    <row r="4756" spans="2:31" s="1" customFormat="1" ht="96.3" customHeight="1" outlineLevel="5">
      <c r="B4756" s="57">
        <v>3814</v>
      </c>
      <c r="C4756" s="21" t="s">
        <v>16785</v>
      </c>
      <c r="D4756" s="72" t="s">
        <v>16786</v>
      </c>
      <c r="E4756" s="72"/>
      <c r="F4756" s="72"/>
      <c r="G4756" s="72"/>
      <c r="H4756" s="22" t="s">
        <v>16787</v>
      </c>
      <c r="I4756" s="27">
        <v>30</v>
      </c>
      <c r="J4756" s="22"/>
      <c r="K4756" s="20">
        <v>3</v>
      </c>
      <c r="L4756" s="24">
        <v>203.89</v>
      </c>
      <c r="M4756" s="11"/>
      <c r="N4756" s="22">
        <f t="shared" si="242"/>
        <v>0</v>
      </c>
      <c r="O4756" s="25">
        <f>0.182*M4756</f>
        <v>0</v>
      </c>
      <c r="P4756" s="29">
        <f>0.0014*M4756</f>
        <v>0</v>
      </c>
      <c r="Q4756" s="30"/>
      <c r="R4756" s="22" t="s">
        <v>16788</v>
      </c>
      <c r="S4756" s="22"/>
      <c r="T4756" s="21" t="str">
        <f>HYPERLINK("https://miland.ru/api/getInfo/image/0753fd2e-81db-11e9-a226-ac1f6b442184")</f>
        <v>https://miland.ru/api/getInfo/image/0753fd2e-81db-11e9-a226-ac1f6b442184</v>
      </c>
      <c r="U4756" s="21"/>
      <c r="V4756" s="21" t="s">
        <v>4627</v>
      </c>
      <c r="W4756" s="21" t="s">
        <v>16721</v>
      </c>
      <c r="X4756" s="21"/>
      <c r="Y4756" s="21" t="s">
        <v>41</v>
      </c>
      <c r="Z4756" s="21"/>
      <c r="AA4756" s="21" t="str">
        <f>HYPERLINK("https://miland.ru/api/getInfo/item/0753fd2e-81db-11e9-a226-ac1f6b442184")</f>
        <v>https://miland.ru/api/getInfo/item/0753fd2e-81db-11e9-a226-ac1f6b442184</v>
      </c>
      <c r="AB4756" s="21" t="s">
        <v>50</v>
      </c>
      <c r="AC4756" s="21"/>
      <c r="AD4756" s="21"/>
    </row>
    <row r="4757" spans="2:31" s="1" customFormat="1" ht="96.3" customHeight="1" outlineLevel="5">
      <c r="B4757" s="57">
        <v>3815</v>
      </c>
      <c r="C4757" s="21" t="s">
        <v>16789</v>
      </c>
      <c r="D4757" s="72" t="s">
        <v>16790</v>
      </c>
      <c r="E4757" s="72"/>
      <c r="F4757" s="72"/>
      <c r="G4757" s="72"/>
      <c r="H4757" s="22" t="s">
        <v>16791</v>
      </c>
      <c r="I4757" s="27">
        <v>24</v>
      </c>
      <c r="J4757" s="22"/>
      <c r="K4757" s="20">
        <v>3</v>
      </c>
      <c r="L4757" s="24">
        <v>203.89</v>
      </c>
      <c r="M4757" s="11"/>
      <c r="N4757" s="22">
        <f t="shared" si="242"/>
        <v>0</v>
      </c>
      <c r="O4757" s="25">
        <f>0.183*M4757</f>
        <v>0</v>
      </c>
      <c r="P4757" s="26">
        <f>0.00139*M4757</f>
        <v>0</v>
      </c>
      <c r="Q4757" s="30"/>
      <c r="R4757" s="22" t="s">
        <v>16792</v>
      </c>
      <c r="S4757" s="22"/>
      <c r="T4757" s="21" t="str">
        <f>HYPERLINK("https://miland.ru/api/getInfo/image/1e3e38f9-81dc-11e9-a226-ac1f6b442184")</f>
        <v>https://miland.ru/api/getInfo/image/1e3e38f9-81dc-11e9-a226-ac1f6b442184</v>
      </c>
      <c r="U4757" s="21"/>
      <c r="V4757" s="21" t="s">
        <v>4627</v>
      </c>
      <c r="W4757" s="21" t="s">
        <v>16721</v>
      </c>
      <c r="X4757" s="21"/>
      <c r="Y4757" s="21" t="s">
        <v>41</v>
      </c>
      <c r="Z4757" s="21"/>
      <c r="AA4757" s="21" t="str">
        <f>HYPERLINK("https://miland.ru/api/getInfo/item/1e3e38f9-81dc-11e9-a226-ac1f6b442184")</f>
        <v>https://miland.ru/api/getInfo/item/1e3e38f9-81dc-11e9-a226-ac1f6b442184</v>
      </c>
      <c r="AB4757" s="21" t="s">
        <v>50</v>
      </c>
      <c r="AC4757" s="21"/>
      <c r="AD4757" s="21"/>
    </row>
    <row r="4758" spans="2:31" s="1" customFormat="1" ht="96.3" customHeight="1" outlineLevel="5">
      <c r="B4758" s="57">
        <v>3816</v>
      </c>
      <c r="C4758" s="21" t="s">
        <v>16793</v>
      </c>
      <c r="D4758" s="72" t="s">
        <v>16794</v>
      </c>
      <c r="E4758" s="72"/>
      <c r="F4758" s="72"/>
      <c r="G4758" s="72"/>
      <c r="H4758" s="22" t="s">
        <v>16795</v>
      </c>
      <c r="I4758" s="27">
        <v>162</v>
      </c>
      <c r="J4758" s="22"/>
      <c r="K4758" s="20">
        <v>4</v>
      </c>
      <c r="L4758" s="24">
        <v>180.91</v>
      </c>
      <c r="M4758" s="11"/>
      <c r="N4758" s="22">
        <f t="shared" si="242"/>
        <v>0</v>
      </c>
      <c r="O4758" s="25">
        <f>0.109*M4758</f>
        <v>0</v>
      </c>
      <c r="P4758" s="26">
        <f>0.00001*M4758</f>
        <v>0</v>
      </c>
      <c r="Q4758" s="30"/>
      <c r="R4758" s="22" t="s">
        <v>16796</v>
      </c>
      <c r="S4758" s="22"/>
      <c r="T4758" s="21" t="str">
        <f>HYPERLINK("https://miland.ru/api/getInfo/image/e059637d-82db-11ee-a248-00155d82e902")</f>
        <v>https://miland.ru/api/getInfo/image/e059637d-82db-11ee-a248-00155d82e902</v>
      </c>
      <c r="U4758" s="21"/>
      <c r="V4758" s="21" t="s">
        <v>4627</v>
      </c>
      <c r="W4758" s="21" t="s">
        <v>16797</v>
      </c>
      <c r="X4758" s="21"/>
      <c r="Y4758" s="21" t="s">
        <v>41</v>
      </c>
      <c r="Z4758" s="21"/>
      <c r="AA4758" s="21" t="str">
        <f>HYPERLINK("https://miland.ru/api/getInfo/item/e059637d-82db-11ee-a248-00155d82e902")</f>
        <v>https://miland.ru/api/getInfo/item/e059637d-82db-11ee-a248-00155d82e902</v>
      </c>
      <c r="AB4758" s="21" t="s">
        <v>42</v>
      </c>
      <c r="AC4758" s="21" t="s">
        <v>16798</v>
      </c>
      <c r="AD4758" s="21"/>
    </row>
    <row r="4759" spans="2:31" s="1" customFormat="1" ht="96.3" customHeight="1" outlineLevel="5">
      <c r="B4759" s="57">
        <v>3817</v>
      </c>
      <c r="C4759" s="21" t="s">
        <v>16799</v>
      </c>
      <c r="D4759" s="72" t="s">
        <v>16800</v>
      </c>
      <c r="E4759" s="72"/>
      <c r="F4759" s="72"/>
      <c r="G4759" s="72"/>
      <c r="H4759" s="22" t="s">
        <v>16801</v>
      </c>
      <c r="I4759" s="23" t="s">
        <v>36</v>
      </c>
      <c r="J4759" s="22"/>
      <c r="K4759" s="20">
        <v>2</v>
      </c>
      <c r="L4759" s="24">
        <v>307.01</v>
      </c>
      <c r="M4759" s="11"/>
      <c r="N4759" s="22">
        <f t="shared" si="242"/>
        <v>0</v>
      </c>
      <c r="O4759" s="25">
        <f>0.105*M4759</f>
        <v>0</v>
      </c>
      <c r="P4759" s="26">
        <f>0.00059*M4759</f>
        <v>0</v>
      </c>
      <c r="Q4759" s="30"/>
      <c r="R4759" s="22" t="s">
        <v>16802</v>
      </c>
      <c r="S4759" s="22" t="s">
        <v>435</v>
      </c>
      <c r="T4759" s="21" t="str">
        <f>HYPERLINK("https://miland.ru/api/getInfo/image/76f20375-82dc-11ee-a248-00155d82e902")</f>
        <v>https://miland.ru/api/getInfo/image/76f20375-82dc-11ee-a248-00155d82e902</v>
      </c>
      <c r="U4759" s="21"/>
      <c r="V4759" s="21" t="s">
        <v>4627</v>
      </c>
      <c r="W4759" s="21" t="s">
        <v>16721</v>
      </c>
      <c r="X4759" s="21"/>
      <c r="Y4759" s="21" t="s">
        <v>41</v>
      </c>
      <c r="Z4759" s="21"/>
      <c r="AA4759" s="21" t="str">
        <f>HYPERLINK("https://miland.ru/api/getInfo/item/76f20375-82dc-11ee-a248-00155d82e902")</f>
        <v>https://miland.ru/api/getInfo/item/76f20375-82dc-11ee-a248-00155d82e902</v>
      </c>
      <c r="AB4759" s="21" t="s">
        <v>42</v>
      </c>
      <c r="AC4759" s="21" t="s">
        <v>16798</v>
      </c>
      <c r="AD4759" s="21"/>
    </row>
    <row r="4760" spans="2:31" s="1" customFormat="1" ht="96.3" customHeight="1" outlineLevel="5">
      <c r="B4760" s="57">
        <v>3818</v>
      </c>
      <c r="C4760" s="21" t="s">
        <v>16803</v>
      </c>
      <c r="D4760" s="72" t="s">
        <v>16804</v>
      </c>
      <c r="E4760" s="72"/>
      <c r="F4760" s="72"/>
      <c r="G4760" s="72"/>
      <c r="H4760" s="22" t="s">
        <v>16805</v>
      </c>
      <c r="I4760" s="27">
        <v>133</v>
      </c>
      <c r="J4760" s="22"/>
      <c r="K4760" s="20">
        <v>4</v>
      </c>
      <c r="L4760" s="24">
        <v>180.91</v>
      </c>
      <c r="M4760" s="11"/>
      <c r="N4760" s="22">
        <f t="shared" si="242"/>
        <v>0</v>
      </c>
      <c r="O4760" s="25">
        <f>0.105*M4760</f>
        <v>0</v>
      </c>
      <c r="P4760" s="26">
        <f>0.00085*M4760</f>
        <v>0</v>
      </c>
      <c r="Q4760" s="30"/>
      <c r="R4760" s="22" t="s">
        <v>16806</v>
      </c>
      <c r="S4760" s="22"/>
      <c r="T4760" s="21" t="str">
        <f>HYPERLINK("https://miland.ru/api/getInfo/image/56d7a130-82dc-11ee-a248-00155d82e902")</f>
        <v>https://miland.ru/api/getInfo/image/56d7a130-82dc-11ee-a248-00155d82e902</v>
      </c>
      <c r="U4760" s="21"/>
      <c r="V4760" s="21" t="s">
        <v>4627</v>
      </c>
      <c r="W4760" s="21" t="s">
        <v>16797</v>
      </c>
      <c r="X4760" s="21"/>
      <c r="Y4760" s="21" t="s">
        <v>41</v>
      </c>
      <c r="Z4760" s="21"/>
      <c r="AA4760" s="21" t="str">
        <f>HYPERLINK("https://miland.ru/api/getInfo/item/56d7a130-82dc-11ee-a248-00155d82e902")</f>
        <v>https://miland.ru/api/getInfo/item/56d7a130-82dc-11ee-a248-00155d82e902</v>
      </c>
      <c r="AB4760" s="21" t="s">
        <v>42</v>
      </c>
      <c r="AC4760" s="21" t="s">
        <v>16798</v>
      </c>
      <c r="AD4760" s="21"/>
    </row>
    <row r="4761" spans="2:31" s="1" customFormat="1" ht="96.3" customHeight="1" outlineLevel="5">
      <c r="B4761" s="57">
        <v>3819</v>
      </c>
      <c r="C4761" s="21" t="s">
        <v>16807</v>
      </c>
      <c r="D4761" s="72" t="s">
        <v>16808</v>
      </c>
      <c r="E4761" s="72"/>
      <c r="F4761" s="72"/>
      <c r="G4761" s="72"/>
      <c r="H4761" s="22" t="s">
        <v>16809</v>
      </c>
      <c r="I4761" s="27">
        <v>483</v>
      </c>
      <c r="J4761" s="22"/>
      <c r="K4761" s="20">
        <v>4</v>
      </c>
      <c r="L4761" s="24">
        <v>172.48</v>
      </c>
      <c r="M4761" s="11"/>
      <c r="N4761" s="22">
        <f t="shared" si="242"/>
        <v>0</v>
      </c>
      <c r="O4761" s="33">
        <f>0.1*M4761</f>
        <v>0</v>
      </c>
      <c r="P4761" s="26">
        <f>0.00039*M4761</f>
        <v>0</v>
      </c>
      <c r="Q4761" s="30"/>
      <c r="R4761" s="22" t="s">
        <v>16810</v>
      </c>
      <c r="S4761" s="22" t="s">
        <v>435</v>
      </c>
      <c r="T4761" s="21" t="str">
        <f>HYPERLINK("https://miland.ru/api/getInfo/image/ac68ac9d-02c8-11e9-a216-ac1f6b442184")</f>
        <v>https://miland.ru/api/getInfo/image/ac68ac9d-02c8-11e9-a216-ac1f6b442184</v>
      </c>
      <c r="U4761" s="21"/>
      <c r="V4761" s="21" t="s">
        <v>4627</v>
      </c>
      <c r="W4761" s="21" t="s">
        <v>16721</v>
      </c>
      <c r="X4761" s="21"/>
      <c r="Y4761" s="21" t="s">
        <v>41</v>
      </c>
      <c r="Z4761" s="21"/>
      <c r="AA4761" s="21" t="str">
        <f>HYPERLINK("https://miland.ru/api/getInfo/item/ac68ac9d-02c8-11e9-a216-ac1f6b442184")</f>
        <v>https://miland.ru/api/getInfo/item/ac68ac9d-02c8-11e9-a216-ac1f6b442184</v>
      </c>
      <c r="AB4761" s="21" t="s">
        <v>42</v>
      </c>
      <c r="AC4761" s="21"/>
      <c r="AD4761" s="21"/>
    </row>
    <row r="4762" spans="2:31" s="1" customFormat="1" ht="96.3" customHeight="1" outlineLevel="5">
      <c r="B4762" s="57">
        <v>3820</v>
      </c>
      <c r="C4762" s="21" t="s">
        <v>16811</v>
      </c>
      <c r="D4762" s="72" t="s">
        <v>16812</v>
      </c>
      <c r="E4762" s="72"/>
      <c r="F4762" s="72"/>
      <c r="G4762" s="72"/>
      <c r="H4762" s="22" t="s">
        <v>16813</v>
      </c>
      <c r="I4762" s="27">
        <v>87</v>
      </c>
      <c r="J4762" s="22"/>
      <c r="K4762" s="20">
        <v>4</v>
      </c>
      <c r="L4762" s="24">
        <v>169.34</v>
      </c>
      <c r="M4762" s="11"/>
      <c r="N4762" s="22">
        <f t="shared" si="242"/>
        <v>0</v>
      </c>
      <c r="O4762" s="25">
        <f>0.106*M4762</f>
        <v>0</v>
      </c>
      <c r="P4762" s="26">
        <f>0.00042*M4762</f>
        <v>0</v>
      </c>
      <c r="Q4762" s="30"/>
      <c r="R4762" s="22" t="s">
        <v>16814</v>
      </c>
      <c r="S4762" s="22" t="s">
        <v>435</v>
      </c>
      <c r="T4762" s="21" t="str">
        <f>HYPERLINK("https://miland.ru/api/getInfo/image/21c70afb-02c8-11e9-a216-ac1f6b442184")</f>
        <v>https://miland.ru/api/getInfo/image/21c70afb-02c8-11e9-a216-ac1f6b442184</v>
      </c>
      <c r="U4762" s="21"/>
      <c r="V4762" s="21" t="s">
        <v>4627</v>
      </c>
      <c r="W4762" s="21" t="s">
        <v>16721</v>
      </c>
      <c r="X4762" s="21"/>
      <c r="Y4762" s="21" t="s">
        <v>41</v>
      </c>
      <c r="Z4762" s="21"/>
      <c r="AA4762" s="21" t="str">
        <f>HYPERLINK("https://miland.ru/api/getInfo/item/21c70afb-02c8-11e9-a216-ac1f6b442184")</f>
        <v>https://miland.ru/api/getInfo/item/21c70afb-02c8-11e9-a216-ac1f6b442184</v>
      </c>
      <c r="AB4762" s="21" t="s">
        <v>42</v>
      </c>
      <c r="AC4762" s="21"/>
      <c r="AD4762" s="21"/>
    </row>
    <row r="4763" spans="2:31" s="1" customFormat="1" ht="96.3" customHeight="1" outlineLevel="5">
      <c r="B4763" s="57">
        <v>3821</v>
      </c>
      <c r="C4763" s="21" t="s">
        <v>16815</v>
      </c>
      <c r="D4763" s="72" t="s">
        <v>16816</v>
      </c>
      <c r="E4763" s="72"/>
      <c r="F4763" s="72"/>
      <c r="G4763" s="72"/>
      <c r="H4763" s="22" t="s">
        <v>16817</v>
      </c>
      <c r="I4763" s="27">
        <v>42</v>
      </c>
      <c r="J4763" s="22"/>
      <c r="K4763" s="20">
        <v>4</v>
      </c>
      <c r="L4763" s="24">
        <v>172.48</v>
      </c>
      <c r="M4763" s="11"/>
      <c r="N4763" s="22">
        <f t="shared" si="242"/>
        <v>0</v>
      </c>
      <c r="O4763" s="33">
        <f>0.1*M4763</f>
        <v>0</v>
      </c>
      <c r="P4763" s="26">
        <f>0.00039*M4763</f>
        <v>0</v>
      </c>
      <c r="Q4763" s="30"/>
      <c r="R4763" s="22" t="s">
        <v>16818</v>
      </c>
      <c r="S4763" s="22" t="s">
        <v>435</v>
      </c>
      <c r="T4763" s="21" t="str">
        <f>HYPERLINK("https://miland.ru/api/getInfo/image/58218c01-02c9-11e9-a216-ac1f6b442184")</f>
        <v>https://miland.ru/api/getInfo/image/58218c01-02c9-11e9-a216-ac1f6b442184</v>
      </c>
      <c r="U4763" s="21"/>
      <c r="V4763" s="21" t="s">
        <v>4627</v>
      </c>
      <c r="W4763" s="21" t="s">
        <v>16721</v>
      </c>
      <c r="X4763" s="21"/>
      <c r="Y4763" s="21" t="s">
        <v>41</v>
      </c>
      <c r="Z4763" s="21"/>
      <c r="AA4763" s="21" t="str">
        <f>HYPERLINK("https://miland.ru/api/getInfo/item/58218c01-02c9-11e9-a216-ac1f6b442184")</f>
        <v>https://miland.ru/api/getInfo/item/58218c01-02c9-11e9-a216-ac1f6b442184</v>
      </c>
      <c r="AB4763" s="21" t="s">
        <v>42</v>
      </c>
      <c r="AC4763" s="21"/>
      <c r="AD4763" s="21"/>
    </row>
    <row r="4764" spans="2:31" ht="12" customHeight="1" outlineLevel="4">
      <c r="B4764" s="70" t="s">
        <v>16819</v>
      </c>
      <c r="C4764" s="70"/>
      <c r="D4764" s="70"/>
      <c r="E4764" s="70"/>
      <c r="F4764" s="70"/>
      <c r="G4764" s="70"/>
    </row>
    <row r="4765" spans="2:31" s="1" customFormat="1" ht="96.3" customHeight="1" outlineLevel="5">
      <c r="B4765" s="59">
        <v>3822</v>
      </c>
      <c r="C4765" s="35" t="s">
        <v>16820</v>
      </c>
      <c r="D4765" s="73" t="s">
        <v>16821</v>
      </c>
      <c r="E4765" s="73"/>
      <c r="F4765" s="73"/>
      <c r="G4765" s="73"/>
      <c r="H4765" s="36" t="s">
        <v>16822</v>
      </c>
      <c r="I4765" s="56" t="s">
        <v>36</v>
      </c>
      <c r="J4765" s="36"/>
      <c r="K4765" s="34">
        <v>5</v>
      </c>
      <c r="L4765" s="41">
        <v>49.906666666666666</v>
      </c>
      <c r="M4765" s="11"/>
      <c r="N4765" s="36">
        <f t="shared" ref="N4765:N4771" si="243">L4765*M4765</f>
        <v>0</v>
      </c>
      <c r="O4765" s="42">
        <f>0.052*M4765</f>
        <v>0</v>
      </c>
      <c r="P4765" s="43">
        <f>0.00012*M4765</f>
        <v>0</v>
      </c>
      <c r="Q4765" s="50"/>
      <c r="R4765" s="36" t="s">
        <v>16823</v>
      </c>
      <c r="S4765" s="36" t="s">
        <v>435</v>
      </c>
      <c r="T4765" s="35" t="str">
        <f>HYPERLINK("https://miland.ru/api/getInfo/image/5bea8d60-1839-11ea-a237-ac1f6b442184")</f>
        <v>https://miland.ru/api/getInfo/image/5bea8d60-1839-11ea-a237-ac1f6b442184</v>
      </c>
      <c r="U4765" s="35"/>
      <c r="V4765" s="35" t="s">
        <v>4627</v>
      </c>
      <c r="W4765" s="35" t="s">
        <v>16721</v>
      </c>
      <c r="X4765" s="35"/>
      <c r="Y4765" s="35" t="s">
        <v>41</v>
      </c>
      <c r="Z4765" s="35"/>
      <c r="AA4765" s="35" t="str">
        <f>HYPERLINK("https://miland.ru/api/getInfo/item/5bea8d60-1839-11ea-a237-ac1f6b442184")</f>
        <v>https://miland.ru/api/getInfo/item/5bea8d60-1839-11ea-a237-ac1f6b442184</v>
      </c>
      <c r="AB4765" s="35" t="s">
        <v>42</v>
      </c>
      <c r="AC4765" s="35" t="s">
        <v>16722</v>
      </c>
      <c r="AD4765" s="35"/>
      <c r="AE4765" s="52" t="s">
        <v>9152</v>
      </c>
    </row>
    <row r="4766" spans="2:31" s="1" customFormat="1" ht="96.3" customHeight="1" outlineLevel="5">
      <c r="B4766" s="59">
        <v>3823</v>
      </c>
      <c r="C4766" s="35" t="s">
        <v>16824</v>
      </c>
      <c r="D4766" s="73" t="s">
        <v>16825</v>
      </c>
      <c r="E4766" s="73"/>
      <c r="F4766" s="73"/>
      <c r="G4766" s="73"/>
      <c r="H4766" s="36" t="s">
        <v>16826</v>
      </c>
      <c r="I4766" s="56" t="s">
        <v>36</v>
      </c>
      <c r="J4766" s="36"/>
      <c r="K4766" s="34">
        <v>5</v>
      </c>
      <c r="L4766" s="41">
        <v>49.906666666666666</v>
      </c>
      <c r="M4766" s="11"/>
      <c r="N4766" s="36">
        <f t="shared" si="243"/>
        <v>0</v>
      </c>
      <c r="O4766" s="42">
        <f>0.537*M4766</f>
        <v>0</v>
      </c>
      <c r="P4766" s="43">
        <f>0.00159*M4766</f>
        <v>0</v>
      </c>
      <c r="Q4766" s="50"/>
      <c r="R4766" s="36" t="s">
        <v>16827</v>
      </c>
      <c r="S4766" s="36" t="s">
        <v>435</v>
      </c>
      <c r="T4766" s="35" t="str">
        <f>HYPERLINK("https://miland.ru/api/getInfo/image/bbbcb46e-1839-11ea-a237-ac1f6b442184")</f>
        <v>https://miland.ru/api/getInfo/image/bbbcb46e-1839-11ea-a237-ac1f6b442184</v>
      </c>
      <c r="U4766" s="35"/>
      <c r="V4766" s="35" t="s">
        <v>4627</v>
      </c>
      <c r="W4766" s="35" t="s">
        <v>16721</v>
      </c>
      <c r="X4766" s="35"/>
      <c r="Y4766" s="35" t="s">
        <v>41</v>
      </c>
      <c r="Z4766" s="35"/>
      <c r="AA4766" s="35" t="str">
        <f>HYPERLINK("https://miland.ru/api/getInfo/item/bbbcb46e-1839-11ea-a237-ac1f6b442184")</f>
        <v>https://miland.ru/api/getInfo/item/bbbcb46e-1839-11ea-a237-ac1f6b442184</v>
      </c>
      <c r="AB4766" s="35" t="s">
        <v>42</v>
      </c>
      <c r="AC4766" s="35" t="s">
        <v>16722</v>
      </c>
      <c r="AD4766" s="35"/>
      <c r="AE4766" s="52" t="s">
        <v>9152</v>
      </c>
    </row>
    <row r="4767" spans="2:31" s="1" customFormat="1" ht="96.3" customHeight="1" outlineLevel="5">
      <c r="B4767" s="59">
        <v>3824</v>
      </c>
      <c r="C4767" s="35" t="s">
        <v>16824</v>
      </c>
      <c r="D4767" s="73" t="s">
        <v>16825</v>
      </c>
      <c r="E4767" s="73"/>
      <c r="F4767" s="73"/>
      <c r="G4767" s="73"/>
      <c r="H4767" s="36" t="s">
        <v>16826</v>
      </c>
      <c r="I4767" s="56" t="s">
        <v>36</v>
      </c>
      <c r="J4767" s="36"/>
      <c r="K4767" s="34">
        <v>5</v>
      </c>
      <c r="L4767" s="41">
        <v>49.906666666666666</v>
      </c>
      <c r="M4767" s="11"/>
      <c r="N4767" s="36">
        <f t="shared" si="243"/>
        <v>0</v>
      </c>
      <c r="O4767" s="42">
        <f>0.537*M4767</f>
        <v>0</v>
      </c>
      <c r="P4767" s="43">
        <f>0.00159*M4767</f>
        <v>0</v>
      </c>
      <c r="Q4767" s="50"/>
      <c r="R4767" s="36" t="s">
        <v>16827</v>
      </c>
      <c r="S4767" s="36" t="s">
        <v>435</v>
      </c>
      <c r="T4767" s="35" t="str">
        <f>HYPERLINK("https://miland.ru/api/getInfo/image/bbbcb46e-1839-11ea-a237-ac1f6b442184")</f>
        <v>https://miland.ru/api/getInfo/image/bbbcb46e-1839-11ea-a237-ac1f6b442184</v>
      </c>
      <c r="U4767" s="35"/>
      <c r="V4767" s="35" t="s">
        <v>4627</v>
      </c>
      <c r="W4767" s="35" t="s">
        <v>16721</v>
      </c>
      <c r="X4767" s="35"/>
      <c r="Y4767" s="35" t="s">
        <v>41</v>
      </c>
      <c r="Z4767" s="35"/>
      <c r="AA4767" s="35" t="str">
        <f>HYPERLINK("https://miland.ru/api/getInfo/item/bbbcb46e-1839-11ea-a237-ac1f6b442184")</f>
        <v>https://miland.ru/api/getInfo/item/bbbcb46e-1839-11ea-a237-ac1f6b442184</v>
      </c>
      <c r="AB4767" s="35" t="s">
        <v>42</v>
      </c>
      <c r="AC4767" s="35" t="s">
        <v>16722</v>
      </c>
      <c r="AD4767" s="35"/>
      <c r="AE4767" s="52" t="s">
        <v>9152</v>
      </c>
    </row>
    <row r="4768" spans="2:31" s="1" customFormat="1" ht="96.3" customHeight="1" outlineLevel="5">
      <c r="B4768" s="59">
        <v>3825</v>
      </c>
      <c r="C4768" s="35" t="s">
        <v>16824</v>
      </c>
      <c r="D4768" s="73" t="s">
        <v>16825</v>
      </c>
      <c r="E4768" s="73"/>
      <c r="F4768" s="73"/>
      <c r="G4768" s="73"/>
      <c r="H4768" s="36" t="s">
        <v>16826</v>
      </c>
      <c r="I4768" s="56" t="s">
        <v>36</v>
      </c>
      <c r="J4768" s="36"/>
      <c r="K4768" s="34">
        <v>5</v>
      </c>
      <c r="L4768" s="41">
        <v>49.906666666666666</v>
      </c>
      <c r="M4768" s="11"/>
      <c r="N4768" s="36">
        <f t="shared" si="243"/>
        <v>0</v>
      </c>
      <c r="O4768" s="42">
        <f>0.537*M4768</f>
        <v>0</v>
      </c>
      <c r="P4768" s="43">
        <f>0.00159*M4768</f>
        <v>0</v>
      </c>
      <c r="Q4768" s="50"/>
      <c r="R4768" s="36" t="s">
        <v>16827</v>
      </c>
      <c r="S4768" s="36" t="s">
        <v>435</v>
      </c>
      <c r="T4768" s="35" t="str">
        <f>HYPERLINK("https://miland.ru/api/getInfo/image/bbbcb46e-1839-11ea-a237-ac1f6b442184")</f>
        <v>https://miland.ru/api/getInfo/image/bbbcb46e-1839-11ea-a237-ac1f6b442184</v>
      </c>
      <c r="U4768" s="35"/>
      <c r="V4768" s="35" t="s">
        <v>4627</v>
      </c>
      <c r="W4768" s="35" t="s">
        <v>16721</v>
      </c>
      <c r="X4768" s="35"/>
      <c r="Y4768" s="35" t="s">
        <v>41</v>
      </c>
      <c r="Z4768" s="35"/>
      <c r="AA4768" s="35" t="str">
        <f>HYPERLINK("https://miland.ru/api/getInfo/item/bbbcb46e-1839-11ea-a237-ac1f6b442184")</f>
        <v>https://miland.ru/api/getInfo/item/bbbcb46e-1839-11ea-a237-ac1f6b442184</v>
      </c>
      <c r="AB4768" s="35" t="s">
        <v>42</v>
      </c>
      <c r="AC4768" s="35" t="s">
        <v>16722</v>
      </c>
      <c r="AD4768" s="35"/>
      <c r="AE4768" s="52" t="s">
        <v>9152</v>
      </c>
    </row>
    <row r="4769" spans="2:31" s="1" customFormat="1" ht="96.3" customHeight="1" outlineLevel="5">
      <c r="B4769" s="59">
        <v>3826</v>
      </c>
      <c r="C4769" s="35" t="s">
        <v>16828</v>
      </c>
      <c r="D4769" s="73" t="s">
        <v>16829</v>
      </c>
      <c r="E4769" s="73"/>
      <c r="F4769" s="73"/>
      <c r="G4769" s="73"/>
      <c r="H4769" s="36" t="s">
        <v>16830</v>
      </c>
      <c r="I4769" s="56" t="s">
        <v>36</v>
      </c>
      <c r="J4769" s="36"/>
      <c r="K4769" s="34">
        <v>5</v>
      </c>
      <c r="L4769" s="41">
        <v>49.906666666666666</v>
      </c>
      <c r="M4769" s="11"/>
      <c r="N4769" s="36">
        <f t="shared" si="243"/>
        <v>0</v>
      </c>
      <c r="O4769" s="42">
        <f>0.529*M4769</f>
        <v>0</v>
      </c>
      <c r="P4769" s="43">
        <f>0.00145*M4769</f>
        <v>0</v>
      </c>
      <c r="Q4769" s="50"/>
      <c r="R4769" s="36" t="s">
        <v>16831</v>
      </c>
      <c r="S4769" s="36" t="s">
        <v>435</v>
      </c>
      <c r="T4769" s="35" t="str">
        <f>HYPERLINK("https://miland.ru/api/getInfo/image/e63f8950-1837-11ea-a237-ac1f6b442184")</f>
        <v>https://miland.ru/api/getInfo/image/e63f8950-1837-11ea-a237-ac1f6b442184</v>
      </c>
      <c r="U4769" s="35"/>
      <c r="V4769" s="35" t="s">
        <v>4627</v>
      </c>
      <c r="W4769" s="35" t="s">
        <v>16721</v>
      </c>
      <c r="X4769" s="35"/>
      <c r="Y4769" s="35" t="s">
        <v>41</v>
      </c>
      <c r="Z4769" s="35"/>
      <c r="AA4769" s="35" t="str">
        <f>HYPERLINK("https://miland.ru/api/getInfo/item/e63f8950-1837-11ea-a237-ac1f6b442184")</f>
        <v>https://miland.ru/api/getInfo/item/e63f8950-1837-11ea-a237-ac1f6b442184</v>
      </c>
      <c r="AB4769" s="35" t="s">
        <v>42</v>
      </c>
      <c r="AC4769" s="35" t="s">
        <v>16722</v>
      </c>
      <c r="AD4769" s="35"/>
      <c r="AE4769" s="52" t="s">
        <v>9152</v>
      </c>
    </row>
    <row r="4770" spans="2:31" s="1" customFormat="1" ht="96.3" customHeight="1" outlineLevel="5">
      <c r="B4770" s="59">
        <v>3827</v>
      </c>
      <c r="C4770" s="35" t="s">
        <v>16832</v>
      </c>
      <c r="D4770" s="73" t="s">
        <v>16833</v>
      </c>
      <c r="E4770" s="73"/>
      <c r="F4770" s="73"/>
      <c r="G4770" s="73"/>
      <c r="H4770" s="36" t="s">
        <v>16834</v>
      </c>
      <c r="I4770" s="56" t="s">
        <v>36</v>
      </c>
      <c r="J4770" s="36"/>
      <c r="K4770" s="34">
        <v>5</v>
      </c>
      <c r="L4770" s="41">
        <v>54.44</v>
      </c>
      <c r="M4770" s="11"/>
      <c r="N4770" s="36">
        <f t="shared" si="243"/>
        <v>0</v>
      </c>
      <c r="O4770" s="47">
        <f>0.53*M4770</f>
        <v>0</v>
      </c>
      <c r="P4770" s="43">
        <f>0.00183*M4770</f>
        <v>0</v>
      </c>
      <c r="Q4770" s="50"/>
      <c r="R4770" s="36" t="s">
        <v>16835</v>
      </c>
      <c r="S4770" s="36" t="s">
        <v>435</v>
      </c>
      <c r="T4770" s="35" t="str">
        <f>HYPERLINK("https://miland.ru/api/getInfo/image/9e73d4a5-1839-11ea-a237-ac1f6b442184")</f>
        <v>https://miland.ru/api/getInfo/image/9e73d4a5-1839-11ea-a237-ac1f6b442184</v>
      </c>
      <c r="U4770" s="35"/>
      <c r="V4770" s="35" t="s">
        <v>4627</v>
      </c>
      <c r="W4770" s="35" t="s">
        <v>16721</v>
      </c>
      <c r="X4770" s="35"/>
      <c r="Y4770" s="35" t="s">
        <v>41</v>
      </c>
      <c r="Z4770" s="35"/>
      <c r="AA4770" s="35" t="str">
        <f>HYPERLINK("https://miland.ru/api/getInfo/item/9e73d4a5-1839-11ea-a237-ac1f6b442184")</f>
        <v>https://miland.ru/api/getInfo/item/9e73d4a5-1839-11ea-a237-ac1f6b442184</v>
      </c>
      <c r="AB4770" s="35" t="s">
        <v>42</v>
      </c>
      <c r="AC4770" s="35" t="s">
        <v>16722</v>
      </c>
      <c r="AD4770" s="35"/>
      <c r="AE4770" s="52" t="s">
        <v>9152</v>
      </c>
    </row>
    <row r="4771" spans="2:31" s="1" customFormat="1" ht="96.3" customHeight="1" outlineLevel="5">
      <c r="B4771" s="59">
        <v>3828</v>
      </c>
      <c r="C4771" s="35" t="s">
        <v>16832</v>
      </c>
      <c r="D4771" s="73" t="s">
        <v>16833</v>
      </c>
      <c r="E4771" s="73"/>
      <c r="F4771" s="73"/>
      <c r="G4771" s="73"/>
      <c r="H4771" s="36" t="s">
        <v>16834</v>
      </c>
      <c r="I4771" s="56" t="s">
        <v>36</v>
      </c>
      <c r="J4771" s="36"/>
      <c r="K4771" s="34">
        <v>5</v>
      </c>
      <c r="L4771" s="41">
        <v>54.44</v>
      </c>
      <c r="M4771" s="11"/>
      <c r="N4771" s="36">
        <f t="shared" si="243"/>
        <v>0</v>
      </c>
      <c r="O4771" s="47">
        <f>0.53*M4771</f>
        <v>0</v>
      </c>
      <c r="P4771" s="43">
        <f>0.00183*M4771</f>
        <v>0</v>
      </c>
      <c r="Q4771" s="50"/>
      <c r="R4771" s="36" t="s">
        <v>16835</v>
      </c>
      <c r="S4771" s="36" t="s">
        <v>435</v>
      </c>
      <c r="T4771" s="35" t="str">
        <f>HYPERLINK("https://miland.ru/api/getInfo/image/9e73d4a5-1839-11ea-a237-ac1f6b442184")</f>
        <v>https://miland.ru/api/getInfo/image/9e73d4a5-1839-11ea-a237-ac1f6b442184</v>
      </c>
      <c r="U4771" s="35"/>
      <c r="V4771" s="35" t="s">
        <v>4627</v>
      </c>
      <c r="W4771" s="35" t="s">
        <v>16721</v>
      </c>
      <c r="X4771" s="35"/>
      <c r="Y4771" s="35" t="s">
        <v>41</v>
      </c>
      <c r="Z4771" s="35"/>
      <c r="AA4771" s="35" t="str">
        <f>HYPERLINK("https://miland.ru/api/getInfo/item/9e73d4a5-1839-11ea-a237-ac1f6b442184")</f>
        <v>https://miland.ru/api/getInfo/item/9e73d4a5-1839-11ea-a237-ac1f6b442184</v>
      </c>
      <c r="AB4771" s="35" t="s">
        <v>42</v>
      </c>
      <c r="AC4771" s="35" t="s">
        <v>16722</v>
      </c>
      <c r="AD4771" s="35"/>
      <c r="AE4771" s="52" t="s">
        <v>9152</v>
      </c>
    </row>
    <row r="4772" spans="2:31" ht="12" customHeight="1" outlineLevel="3">
      <c r="B4772" s="70" t="s">
        <v>16836</v>
      </c>
      <c r="C4772" s="70"/>
      <c r="D4772" s="70"/>
      <c r="E4772" s="70"/>
      <c r="F4772" s="70"/>
      <c r="G4772" s="70"/>
    </row>
    <row r="4773" spans="2:31" s="1" customFormat="1" ht="96.3" customHeight="1" outlineLevel="4">
      <c r="B4773" s="59">
        <v>3829</v>
      </c>
      <c r="C4773" s="35" t="s">
        <v>16837</v>
      </c>
      <c r="D4773" s="73" t="s">
        <v>16838</v>
      </c>
      <c r="E4773" s="73"/>
      <c r="F4773" s="73"/>
      <c r="G4773" s="73"/>
      <c r="H4773" s="36" t="s">
        <v>16839</v>
      </c>
      <c r="I4773" s="56" t="s">
        <v>36</v>
      </c>
      <c r="J4773" s="36"/>
      <c r="K4773" s="34">
        <v>12</v>
      </c>
      <c r="L4773" s="41">
        <v>36.146666666666668</v>
      </c>
      <c r="M4773" s="11"/>
      <c r="N4773" s="36">
        <f t="shared" ref="N4773:N4788" si="244">L4773*M4773</f>
        <v>0</v>
      </c>
      <c r="O4773" s="42">
        <f>0.012*M4773</f>
        <v>0</v>
      </c>
      <c r="P4773" s="43">
        <f>0.00004*M4773</f>
        <v>0</v>
      </c>
      <c r="Q4773" s="50"/>
      <c r="R4773" s="36" t="s">
        <v>16840</v>
      </c>
      <c r="S4773" s="36" t="s">
        <v>435</v>
      </c>
      <c r="T4773" s="35" t="str">
        <f>HYPERLINK("https://miland.ru/api/getInfo/image/249d62c6-9858-11eb-a201-ac1f6b442185")</f>
        <v>https://miland.ru/api/getInfo/image/249d62c6-9858-11eb-a201-ac1f6b442185</v>
      </c>
      <c r="U4773" s="35"/>
      <c r="V4773" s="35" t="s">
        <v>11045</v>
      </c>
      <c r="W4773" s="35" t="s">
        <v>16797</v>
      </c>
      <c r="X4773" s="35"/>
      <c r="Y4773" s="35" t="s">
        <v>41</v>
      </c>
      <c r="Z4773" s="35"/>
      <c r="AA4773" s="35" t="str">
        <f>HYPERLINK("https://miland.ru/api/getInfo/item/249d62c6-9858-11eb-a201-ac1f6b442185")</f>
        <v>https://miland.ru/api/getInfo/item/249d62c6-9858-11eb-a201-ac1f6b442185</v>
      </c>
      <c r="AB4773" s="35" t="s">
        <v>42</v>
      </c>
      <c r="AC4773" s="35"/>
      <c r="AD4773" s="35"/>
      <c r="AE4773" s="52" t="s">
        <v>9152</v>
      </c>
    </row>
    <row r="4774" spans="2:31" s="1" customFormat="1" ht="96.3" customHeight="1" outlineLevel="4">
      <c r="B4774" s="57">
        <v>3830</v>
      </c>
      <c r="C4774" s="21" t="s">
        <v>16841</v>
      </c>
      <c r="D4774" s="72" t="s">
        <v>16842</v>
      </c>
      <c r="E4774" s="72"/>
      <c r="F4774" s="72"/>
      <c r="G4774" s="72"/>
      <c r="H4774" s="22" t="s">
        <v>16843</v>
      </c>
      <c r="I4774" s="27">
        <v>60</v>
      </c>
      <c r="J4774" s="22"/>
      <c r="K4774" s="20">
        <v>12</v>
      </c>
      <c r="L4774" s="24">
        <v>51.24</v>
      </c>
      <c r="M4774" s="11"/>
      <c r="N4774" s="22">
        <f t="shared" si="244"/>
        <v>0</v>
      </c>
      <c r="O4774" s="25">
        <f>0.005*M4774</f>
        <v>0</v>
      </c>
      <c r="P4774" s="26">
        <f>0.00003*M4774</f>
        <v>0</v>
      </c>
      <c r="Q4774" s="30"/>
      <c r="R4774" s="22" t="s">
        <v>16844</v>
      </c>
      <c r="S4774" s="22" t="s">
        <v>435</v>
      </c>
      <c r="T4774" s="21" t="str">
        <f>HYPERLINK("https://miland.ru/api/getInfo/image/67152a7d-9859-11eb-a201-ac1f6b442185")</f>
        <v>https://miland.ru/api/getInfo/image/67152a7d-9859-11eb-a201-ac1f6b442185</v>
      </c>
      <c r="U4774" s="21"/>
      <c r="V4774" s="21" t="s">
        <v>11045</v>
      </c>
      <c r="W4774" s="21" t="s">
        <v>16797</v>
      </c>
      <c r="X4774" s="21"/>
      <c r="Y4774" s="21" t="s">
        <v>41</v>
      </c>
      <c r="Z4774" s="21"/>
      <c r="AA4774" s="21" t="str">
        <f>HYPERLINK("https://miland.ru/api/getInfo/item/67152a7d-9859-11eb-a201-ac1f6b442185")</f>
        <v>https://miland.ru/api/getInfo/item/67152a7d-9859-11eb-a201-ac1f6b442185</v>
      </c>
      <c r="AB4774" s="21" t="s">
        <v>42</v>
      </c>
      <c r="AC4774" s="21"/>
      <c r="AD4774" s="21"/>
    </row>
    <row r="4775" spans="2:31" s="1" customFormat="1" ht="96.3" customHeight="1" outlineLevel="4">
      <c r="B4775" s="57">
        <v>3831</v>
      </c>
      <c r="C4775" s="21" t="s">
        <v>16845</v>
      </c>
      <c r="D4775" s="72" t="s">
        <v>16846</v>
      </c>
      <c r="E4775" s="72"/>
      <c r="F4775" s="72"/>
      <c r="G4775" s="72"/>
      <c r="H4775" s="22" t="s">
        <v>16847</v>
      </c>
      <c r="I4775" s="23" t="s">
        <v>36</v>
      </c>
      <c r="J4775" s="22"/>
      <c r="K4775" s="20">
        <v>12</v>
      </c>
      <c r="L4775" s="24">
        <v>51.24</v>
      </c>
      <c r="M4775" s="11"/>
      <c r="N4775" s="22">
        <f t="shared" si="244"/>
        <v>0</v>
      </c>
      <c r="O4775" s="25">
        <f>0.009*M4775</f>
        <v>0</v>
      </c>
      <c r="P4775" s="26">
        <f>0.00003*M4775</f>
        <v>0</v>
      </c>
      <c r="Q4775" s="30"/>
      <c r="R4775" s="22" t="s">
        <v>16848</v>
      </c>
      <c r="S4775" s="22" t="s">
        <v>435</v>
      </c>
      <c r="T4775" s="21" t="str">
        <f>HYPERLINK("https://miland.ru/api/getInfo/image/9c75de9b-9858-11eb-a201-ac1f6b442185")</f>
        <v>https://miland.ru/api/getInfo/image/9c75de9b-9858-11eb-a201-ac1f6b442185</v>
      </c>
      <c r="U4775" s="21"/>
      <c r="V4775" s="21" t="s">
        <v>11045</v>
      </c>
      <c r="W4775" s="21" t="s">
        <v>16797</v>
      </c>
      <c r="X4775" s="21"/>
      <c r="Y4775" s="21" t="s">
        <v>41</v>
      </c>
      <c r="Z4775" s="21"/>
      <c r="AA4775" s="21" t="str">
        <f>HYPERLINK("https://miland.ru/api/getInfo/item/9c75de9b-9858-11eb-a201-ac1f6b442185")</f>
        <v>https://miland.ru/api/getInfo/item/9c75de9b-9858-11eb-a201-ac1f6b442185</v>
      </c>
      <c r="AB4775" s="21" t="s">
        <v>42</v>
      </c>
      <c r="AC4775" s="21"/>
      <c r="AD4775" s="21"/>
    </row>
    <row r="4776" spans="2:31" s="1" customFormat="1" ht="96.3" customHeight="1" outlineLevel="4">
      <c r="B4776" s="57">
        <v>3832</v>
      </c>
      <c r="C4776" s="21" t="s">
        <v>16849</v>
      </c>
      <c r="D4776" s="72" t="s">
        <v>16850</v>
      </c>
      <c r="E4776" s="72"/>
      <c r="F4776" s="72"/>
      <c r="G4776" s="72"/>
      <c r="H4776" s="22" t="s">
        <v>16851</v>
      </c>
      <c r="I4776" s="23" t="s">
        <v>36</v>
      </c>
      <c r="J4776" s="22"/>
      <c r="K4776" s="20">
        <v>12</v>
      </c>
      <c r="L4776" s="24">
        <v>51.24</v>
      </c>
      <c r="M4776" s="11"/>
      <c r="N4776" s="22">
        <f t="shared" si="244"/>
        <v>0</v>
      </c>
      <c r="O4776" s="25">
        <f>0.018*M4776</f>
        <v>0</v>
      </c>
      <c r="P4776" s="26">
        <f>0.00005*M4776</f>
        <v>0</v>
      </c>
      <c r="Q4776" s="30"/>
      <c r="R4776" s="22" t="s">
        <v>16852</v>
      </c>
      <c r="S4776" s="22" t="s">
        <v>435</v>
      </c>
      <c r="T4776" s="21" t="str">
        <f>HYPERLINK("https://miland.ru/api/getInfo/image/04b1dd0e-9859-11eb-a201-ac1f6b442185")</f>
        <v>https://miland.ru/api/getInfo/image/04b1dd0e-9859-11eb-a201-ac1f6b442185</v>
      </c>
      <c r="U4776" s="21"/>
      <c r="V4776" s="21" t="s">
        <v>11045</v>
      </c>
      <c r="W4776" s="21" t="s">
        <v>16797</v>
      </c>
      <c r="X4776" s="21"/>
      <c r="Y4776" s="21" t="s">
        <v>41</v>
      </c>
      <c r="Z4776" s="21"/>
      <c r="AA4776" s="21" t="str">
        <f>HYPERLINK("https://miland.ru/api/getInfo/item/04b1dd0e-9859-11eb-a201-ac1f6b442185")</f>
        <v>https://miland.ru/api/getInfo/item/04b1dd0e-9859-11eb-a201-ac1f6b442185</v>
      </c>
      <c r="AB4776" s="21" t="s">
        <v>42</v>
      </c>
      <c r="AC4776" s="21"/>
      <c r="AD4776" s="21"/>
    </row>
    <row r="4777" spans="2:31" s="1" customFormat="1" ht="96.3" customHeight="1" outlineLevel="4">
      <c r="B4777" s="57">
        <v>3833</v>
      </c>
      <c r="C4777" s="21" t="s">
        <v>16853</v>
      </c>
      <c r="D4777" s="72" t="s">
        <v>16854</v>
      </c>
      <c r="E4777" s="72"/>
      <c r="F4777" s="72"/>
      <c r="G4777" s="72"/>
      <c r="H4777" s="22" t="s">
        <v>16855</v>
      </c>
      <c r="I4777" s="23" t="s">
        <v>36</v>
      </c>
      <c r="J4777" s="22"/>
      <c r="K4777" s="20">
        <v>12</v>
      </c>
      <c r="L4777" s="24">
        <v>54.79</v>
      </c>
      <c r="M4777" s="11"/>
      <c r="N4777" s="22">
        <f t="shared" si="244"/>
        <v>0</v>
      </c>
      <c r="O4777" s="28">
        <f>0.01*M4777</f>
        <v>0</v>
      </c>
      <c r="P4777" s="26">
        <f>0.00004*M4777</f>
        <v>0</v>
      </c>
      <c r="Q4777" s="30"/>
      <c r="R4777" s="22" t="s">
        <v>16856</v>
      </c>
      <c r="S4777" s="22" t="s">
        <v>435</v>
      </c>
      <c r="T4777" s="21" t="str">
        <f>HYPERLINK("https://miland.ru/api/getInfo/image/17325d4b-985c-11eb-a201-ac1f6b442185")</f>
        <v>https://miland.ru/api/getInfo/image/17325d4b-985c-11eb-a201-ac1f6b442185</v>
      </c>
      <c r="U4777" s="21"/>
      <c r="V4777" s="21" t="s">
        <v>11045</v>
      </c>
      <c r="W4777" s="21" t="s">
        <v>16797</v>
      </c>
      <c r="X4777" s="21"/>
      <c r="Y4777" s="21" t="s">
        <v>41</v>
      </c>
      <c r="Z4777" s="21"/>
      <c r="AA4777" s="21" t="str">
        <f>HYPERLINK("https://miland.ru/api/getInfo/item/17325d4b-985c-11eb-a201-ac1f6b442185")</f>
        <v>https://miland.ru/api/getInfo/item/17325d4b-985c-11eb-a201-ac1f6b442185</v>
      </c>
      <c r="AB4777" s="21" t="s">
        <v>42</v>
      </c>
      <c r="AC4777" s="21"/>
      <c r="AD4777" s="21"/>
    </row>
    <row r="4778" spans="2:31" s="1" customFormat="1" ht="96.3" customHeight="1" outlineLevel="4">
      <c r="B4778" s="59">
        <v>3834</v>
      </c>
      <c r="C4778" s="35" t="s">
        <v>16857</v>
      </c>
      <c r="D4778" s="73" t="s">
        <v>16858</v>
      </c>
      <c r="E4778" s="73"/>
      <c r="F4778" s="73"/>
      <c r="G4778" s="73"/>
      <c r="H4778" s="36" t="s">
        <v>16859</v>
      </c>
      <c r="I4778" s="56" t="s">
        <v>36</v>
      </c>
      <c r="J4778" s="36"/>
      <c r="K4778" s="34">
        <v>12</v>
      </c>
      <c r="L4778" s="41">
        <v>37.186666666666667</v>
      </c>
      <c r="M4778" s="11"/>
      <c r="N4778" s="36">
        <f t="shared" si="244"/>
        <v>0</v>
      </c>
      <c r="O4778" s="47">
        <f>0.01*M4778</f>
        <v>0</v>
      </c>
      <c r="P4778" s="55">
        <f>0.0001*M4778</f>
        <v>0</v>
      </c>
      <c r="Q4778" s="50"/>
      <c r="R4778" s="36" t="s">
        <v>16860</v>
      </c>
      <c r="S4778" s="36" t="s">
        <v>435</v>
      </c>
      <c r="T4778" s="35" t="str">
        <f>HYPERLINK("https://miland.ru/api/getInfo/image/3f575fb2-985b-11eb-a201-ac1f6b442185")</f>
        <v>https://miland.ru/api/getInfo/image/3f575fb2-985b-11eb-a201-ac1f6b442185</v>
      </c>
      <c r="U4778" s="35"/>
      <c r="V4778" s="35" t="s">
        <v>11045</v>
      </c>
      <c r="W4778" s="35" t="s">
        <v>16797</v>
      </c>
      <c r="X4778" s="35"/>
      <c r="Y4778" s="35" t="s">
        <v>41</v>
      </c>
      <c r="Z4778" s="35"/>
      <c r="AA4778" s="35" t="str">
        <f>HYPERLINK("https://miland.ru/api/getInfo/item/3f575fb2-985b-11eb-a201-ac1f6b442185")</f>
        <v>https://miland.ru/api/getInfo/item/3f575fb2-985b-11eb-a201-ac1f6b442185</v>
      </c>
      <c r="AB4778" s="35" t="s">
        <v>42</v>
      </c>
      <c r="AC4778" s="35"/>
      <c r="AD4778" s="35"/>
      <c r="AE4778" s="52" t="s">
        <v>9152</v>
      </c>
    </row>
    <row r="4779" spans="2:31" s="1" customFormat="1" ht="96.3" customHeight="1" outlineLevel="4">
      <c r="B4779" s="59">
        <v>3835</v>
      </c>
      <c r="C4779" s="35" t="s">
        <v>16861</v>
      </c>
      <c r="D4779" s="73" t="s">
        <v>16862</v>
      </c>
      <c r="E4779" s="73"/>
      <c r="F4779" s="73"/>
      <c r="G4779" s="73"/>
      <c r="H4779" s="36" t="s">
        <v>16863</v>
      </c>
      <c r="I4779" s="40">
        <v>456</v>
      </c>
      <c r="J4779" s="36"/>
      <c r="K4779" s="34">
        <v>24</v>
      </c>
      <c r="L4779" s="41">
        <v>46.493333333333332</v>
      </c>
      <c r="M4779" s="11"/>
      <c r="N4779" s="36">
        <f t="shared" si="244"/>
        <v>0</v>
      </c>
      <c r="O4779" s="42">
        <f>0.026*M4779</f>
        <v>0</v>
      </c>
      <c r="P4779" s="43">
        <f>0.00067*M4779</f>
        <v>0</v>
      </c>
      <c r="Q4779" s="50"/>
      <c r="R4779" s="36" t="s">
        <v>16864</v>
      </c>
      <c r="S4779" s="36" t="s">
        <v>435</v>
      </c>
      <c r="T4779" s="35" t="str">
        <f>HYPERLINK("https://miland.ru/api/getInfo/image/d067acf9-9847-11eb-a201-ac1f6b442185")</f>
        <v>https://miland.ru/api/getInfo/image/d067acf9-9847-11eb-a201-ac1f6b442185</v>
      </c>
      <c r="U4779" s="35"/>
      <c r="V4779" s="35" t="s">
        <v>11045</v>
      </c>
      <c r="W4779" s="35" t="s">
        <v>16797</v>
      </c>
      <c r="X4779" s="35"/>
      <c r="Y4779" s="35" t="s">
        <v>41</v>
      </c>
      <c r="Z4779" s="35"/>
      <c r="AA4779" s="35" t="str">
        <f>HYPERLINK("https://miland.ru/api/getInfo/item/d067acf9-9847-11eb-a201-ac1f6b442185")</f>
        <v>https://miland.ru/api/getInfo/item/d067acf9-9847-11eb-a201-ac1f6b442185</v>
      </c>
      <c r="AB4779" s="35" t="s">
        <v>42</v>
      </c>
      <c r="AC4779" s="35" t="s">
        <v>16865</v>
      </c>
      <c r="AD4779" s="35"/>
      <c r="AE4779" s="52" t="s">
        <v>9152</v>
      </c>
    </row>
    <row r="4780" spans="2:31" s="1" customFormat="1" ht="96.3" customHeight="1" outlineLevel="4">
      <c r="B4780" s="59">
        <v>3836</v>
      </c>
      <c r="C4780" s="35" t="s">
        <v>16866</v>
      </c>
      <c r="D4780" s="73" t="s">
        <v>16867</v>
      </c>
      <c r="E4780" s="73"/>
      <c r="F4780" s="73"/>
      <c r="G4780" s="73"/>
      <c r="H4780" s="36" t="s">
        <v>16868</v>
      </c>
      <c r="I4780" s="56" t="s">
        <v>36</v>
      </c>
      <c r="J4780" s="36"/>
      <c r="K4780" s="34">
        <v>24</v>
      </c>
      <c r="L4780" s="41">
        <v>50.613333333333337</v>
      </c>
      <c r="M4780" s="11"/>
      <c r="N4780" s="36">
        <f t="shared" si="244"/>
        <v>0</v>
      </c>
      <c r="O4780" s="42">
        <f>0.015*M4780</f>
        <v>0</v>
      </c>
      <c r="P4780" s="55">
        <f>0.0002*M4780</f>
        <v>0</v>
      </c>
      <c r="Q4780" s="50"/>
      <c r="R4780" s="36" t="s">
        <v>16869</v>
      </c>
      <c r="S4780" s="36" t="s">
        <v>435</v>
      </c>
      <c r="T4780" s="35" t="str">
        <f>HYPERLINK("https://miland.ru/api/getInfo/image/cb88d2e6-9845-11eb-a201-ac1f6b442185")</f>
        <v>https://miland.ru/api/getInfo/image/cb88d2e6-9845-11eb-a201-ac1f6b442185</v>
      </c>
      <c r="U4780" s="35"/>
      <c r="V4780" s="35" t="s">
        <v>11045</v>
      </c>
      <c r="W4780" s="35" t="s">
        <v>16797</v>
      </c>
      <c r="X4780" s="35"/>
      <c r="Y4780" s="35" t="s">
        <v>41</v>
      </c>
      <c r="Z4780" s="35"/>
      <c r="AA4780" s="35" t="str">
        <f>HYPERLINK("https://miland.ru/api/getInfo/item/cb88d2e6-9845-11eb-a201-ac1f6b442185")</f>
        <v>https://miland.ru/api/getInfo/item/cb88d2e6-9845-11eb-a201-ac1f6b442185</v>
      </c>
      <c r="AB4780" s="35" t="s">
        <v>42</v>
      </c>
      <c r="AC4780" s="35" t="s">
        <v>16870</v>
      </c>
      <c r="AD4780" s="35"/>
      <c r="AE4780" s="52" t="s">
        <v>9152</v>
      </c>
    </row>
    <row r="4781" spans="2:31" s="1" customFormat="1" ht="96.3" customHeight="1" outlineLevel="4">
      <c r="B4781" s="59">
        <v>3837</v>
      </c>
      <c r="C4781" s="35" t="s">
        <v>16866</v>
      </c>
      <c r="D4781" s="73" t="s">
        <v>16867</v>
      </c>
      <c r="E4781" s="73"/>
      <c r="F4781" s="73"/>
      <c r="G4781" s="73"/>
      <c r="H4781" s="36" t="s">
        <v>16868</v>
      </c>
      <c r="I4781" s="56" t="s">
        <v>36</v>
      </c>
      <c r="J4781" s="36"/>
      <c r="K4781" s="34">
        <v>24</v>
      </c>
      <c r="L4781" s="41">
        <v>50.613333333333337</v>
      </c>
      <c r="M4781" s="11"/>
      <c r="N4781" s="36">
        <f t="shared" si="244"/>
        <v>0</v>
      </c>
      <c r="O4781" s="42">
        <f>0.015*M4781</f>
        <v>0</v>
      </c>
      <c r="P4781" s="55">
        <f>0.0002*M4781</f>
        <v>0</v>
      </c>
      <c r="Q4781" s="50"/>
      <c r="R4781" s="36" t="s">
        <v>16869</v>
      </c>
      <c r="S4781" s="36" t="s">
        <v>435</v>
      </c>
      <c r="T4781" s="35" t="str">
        <f>HYPERLINK("https://miland.ru/api/getInfo/image/cb88d2e6-9845-11eb-a201-ac1f6b442185")</f>
        <v>https://miland.ru/api/getInfo/image/cb88d2e6-9845-11eb-a201-ac1f6b442185</v>
      </c>
      <c r="U4781" s="35"/>
      <c r="V4781" s="35" t="s">
        <v>11045</v>
      </c>
      <c r="W4781" s="35" t="s">
        <v>16797</v>
      </c>
      <c r="X4781" s="35"/>
      <c r="Y4781" s="35" t="s">
        <v>41</v>
      </c>
      <c r="Z4781" s="35"/>
      <c r="AA4781" s="35" t="str">
        <f>HYPERLINK("https://miland.ru/api/getInfo/item/cb88d2e6-9845-11eb-a201-ac1f6b442185")</f>
        <v>https://miland.ru/api/getInfo/item/cb88d2e6-9845-11eb-a201-ac1f6b442185</v>
      </c>
      <c r="AB4781" s="35" t="s">
        <v>42</v>
      </c>
      <c r="AC4781" s="35" t="s">
        <v>16870</v>
      </c>
      <c r="AD4781" s="35"/>
      <c r="AE4781" s="52" t="s">
        <v>9152</v>
      </c>
    </row>
    <row r="4782" spans="2:31" s="1" customFormat="1" ht="96.3" customHeight="1" outlineLevel="4">
      <c r="B4782" s="57">
        <v>3838</v>
      </c>
      <c r="C4782" s="21" t="s">
        <v>16871</v>
      </c>
      <c r="D4782" s="72" t="s">
        <v>16872</v>
      </c>
      <c r="E4782" s="72"/>
      <c r="F4782" s="72"/>
      <c r="G4782" s="72"/>
      <c r="H4782" s="22" t="s">
        <v>16873</v>
      </c>
      <c r="I4782" s="23" t="s">
        <v>36</v>
      </c>
      <c r="J4782" s="22"/>
      <c r="K4782" s="20">
        <v>24</v>
      </c>
      <c r="L4782" s="24">
        <v>73.55</v>
      </c>
      <c r="M4782" s="11"/>
      <c r="N4782" s="22">
        <f t="shared" si="244"/>
        <v>0</v>
      </c>
      <c r="O4782" s="25">
        <f>0.012*M4782</f>
        <v>0</v>
      </c>
      <c r="P4782" s="26">
        <f>0.00016*M4782</f>
        <v>0</v>
      </c>
      <c r="Q4782" s="30"/>
      <c r="R4782" s="22" t="s">
        <v>16874</v>
      </c>
      <c r="S4782" s="22" t="s">
        <v>435</v>
      </c>
      <c r="T4782" s="21" t="str">
        <f>HYPERLINK("https://miland.ru/api/getInfo/image/68ff8eae-9844-11eb-a201-ac1f6b442185")</f>
        <v>https://miland.ru/api/getInfo/image/68ff8eae-9844-11eb-a201-ac1f6b442185</v>
      </c>
      <c r="U4782" s="21"/>
      <c r="V4782" s="21" t="s">
        <v>11045</v>
      </c>
      <c r="W4782" s="21" t="s">
        <v>16797</v>
      </c>
      <c r="X4782" s="21"/>
      <c r="Y4782" s="21" t="s">
        <v>41</v>
      </c>
      <c r="Z4782" s="21"/>
      <c r="AA4782" s="21" t="str">
        <f>HYPERLINK("https://miland.ru/api/getInfo/item/68ff8eae-9844-11eb-a201-ac1f6b442185")</f>
        <v>https://miland.ru/api/getInfo/item/68ff8eae-9844-11eb-a201-ac1f6b442185</v>
      </c>
      <c r="AB4782" s="21" t="s">
        <v>42</v>
      </c>
      <c r="AC4782" s="21" t="s">
        <v>16870</v>
      </c>
      <c r="AD4782" s="21"/>
    </row>
    <row r="4783" spans="2:31" s="1" customFormat="1" ht="96.3" customHeight="1" outlineLevel="4">
      <c r="B4783" s="57">
        <v>3839</v>
      </c>
      <c r="C4783" s="21" t="s">
        <v>16871</v>
      </c>
      <c r="D4783" s="72" t="s">
        <v>16872</v>
      </c>
      <c r="E4783" s="72"/>
      <c r="F4783" s="72"/>
      <c r="G4783" s="72"/>
      <c r="H4783" s="22" t="s">
        <v>16873</v>
      </c>
      <c r="I4783" s="23" t="s">
        <v>36</v>
      </c>
      <c r="J4783" s="22"/>
      <c r="K4783" s="20">
        <v>24</v>
      </c>
      <c r="L4783" s="24">
        <v>73.55</v>
      </c>
      <c r="M4783" s="11"/>
      <c r="N4783" s="22">
        <f t="shared" si="244"/>
        <v>0</v>
      </c>
      <c r="O4783" s="25">
        <f>0.012*M4783</f>
        <v>0</v>
      </c>
      <c r="P4783" s="26">
        <f>0.00016*M4783</f>
        <v>0</v>
      </c>
      <c r="Q4783" s="30"/>
      <c r="R4783" s="22" t="s">
        <v>16874</v>
      </c>
      <c r="S4783" s="22" t="s">
        <v>435</v>
      </c>
      <c r="T4783" s="21" t="str">
        <f>HYPERLINK("https://miland.ru/api/getInfo/image/68ff8eae-9844-11eb-a201-ac1f6b442185")</f>
        <v>https://miland.ru/api/getInfo/image/68ff8eae-9844-11eb-a201-ac1f6b442185</v>
      </c>
      <c r="U4783" s="21"/>
      <c r="V4783" s="21" t="s">
        <v>11045</v>
      </c>
      <c r="W4783" s="21" t="s">
        <v>16797</v>
      </c>
      <c r="X4783" s="21"/>
      <c r="Y4783" s="21" t="s">
        <v>41</v>
      </c>
      <c r="Z4783" s="21"/>
      <c r="AA4783" s="21" t="str">
        <f>HYPERLINK("https://miland.ru/api/getInfo/item/68ff8eae-9844-11eb-a201-ac1f6b442185")</f>
        <v>https://miland.ru/api/getInfo/item/68ff8eae-9844-11eb-a201-ac1f6b442185</v>
      </c>
      <c r="AB4783" s="21" t="s">
        <v>42</v>
      </c>
      <c r="AC4783" s="21" t="s">
        <v>16870</v>
      </c>
      <c r="AD4783" s="21"/>
    </row>
    <row r="4784" spans="2:31" s="1" customFormat="1" ht="96.3" customHeight="1" outlineLevel="4">
      <c r="B4784" s="59">
        <v>3840</v>
      </c>
      <c r="C4784" s="35" t="s">
        <v>16875</v>
      </c>
      <c r="D4784" s="73" t="s">
        <v>16876</v>
      </c>
      <c r="E4784" s="73"/>
      <c r="F4784" s="73"/>
      <c r="G4784" s="73"/>
      <c r="H4784" s="36" t="s">
        <v>16877</v>
      </c>
      <c r="I4784" s="56" t="s">
        <v>36</v>
      </c>
      <c r="J4784" s="36"/>
      <c r="K4784" s="34">
        <v>24</v>
      </c>
      <c r="L4784" s="41">
        <v>51.653333333333336</v>
      </c>
      <c r="M4784" s="11"/>
      <c r="N4784" s="36">
        <f t="shared" si="244"/>
        <v>0</v>
      </c>
      <c r="O4784" s="47">
        <f>1.91*M4784</f>
        <v>0</v>
      </c>
      <c r="P4784" s="43">
        <f>0.02782*M4784</f>
        <v>0</v>
      </c>
      <c r="Q4784" s="50"/>
      <c r="R4784" s="36" t="s">
        <v>16878</v>
      </c>
      <c r="S4784" s="36" t="s">
        <v>435</v>
      </c>
      <c r="T4784" s="35" t="str">
        <f>HYPERLINK("https://miland.ru/api/getInfo/image/8e82611b-9843-11eb-a201-ac1f6b442185")</f>
        <v>https://miland.ru/api/getInfo/image/8e82611b-9843-11eb-a201-ac1f6b442185</v>
      </c>
      <c r="U4784" s="35"/>
      <c r="V4784" s="35" t="s">
        <v>11045</v>
      </c>
      <c r="W4784" s="35" t="s">
        <v>16797</v>
      </c>
      <c r="X4784" s="35"/>
      <c r="Y4784" s="35" t="s">
        <v>41</v>
      </c>
      <c r="Z4784" s="35"/>
      <c r="AA4784" s="35" t="str">
        <f>HYPERLINK("https://miland.ru/api/getInfo/item/8e82611b-9843-11eb-a201-ac1f6b442185")</f>
        <v>https://miland.ru/api/getInfo/item/8e82611b-9843-11eb-a201-ac1f6b442185</v>
      </c>
      <c r="AB4784" s="35" t="s">
        <v>42</v>
      </c>
      <c r="AC4784" s="35" t="s">
        <v>16870</v>
      </c>
      <c r="AD4784" s="35"/>
      <c r="AE4784" s="52" t="s">
        <v>9152</v>
      </c>
    </row>
    <row r="4785" spans="2:31" s="1" customFormat="1" ht="96.3" customHeight="1" outlineLevel="4">
      <c r="B4785" s="59">
        <v>3841</v>
      </c>
      <c r="C4785" s="35" t="s">
        <v>16875</v>
      </c>
      <c r="D4785" s="73" t="s">
        <v>16876</v>
      </c>
      <c r="E4785" s="73"/>
      <c r="F4785" s="73"/>
      <c r="G4785" s="73"/>
      <c r="H4785" s="36" t="s">
        <v>16877</v>
      </c>
      <c r="I4785" s="56" t="s">
        <v>36</v>
      </c>
      <c r="J4785" s="36"/>
      <c r="K4785" s="34">
        <v>24</v>
      </c>
      <c r="L4785" s="41">
        <v>51.653333333333336</v>
      </c>
      <c r="M4785" s="11"/>
      <c r="N4785" s="36">
        <f t="shared" si="244"/>
        <v>0</v>
      </c>
      <c r="O4785" s="47">
        <f>1.91*M4785</f>
        <v>0</v>
      </c>
      <c r="P4785" s="43">
        <f>0.02782*M4785</f>
        <v>0</v>
      </c>
      <c r="Q4785" s="50"/>
      <c r="R4785" s="36" t="s">
        <v>16878</v>
      </c>
      <c r="S4785" s="36" t="s">
        <v>435</v>
      </c>
      <c r="T4785" s="35" t="str">
        <f>HYPERLINK("https://miland.ru/api/getInfo/image/8e82611b-9843-11eb-a201-ac1f6b442185")</f>
        <v>https://miland.ru/api/getInfo/image/8e82611b-9843-11eb-a201-ac1f6b442185</v>
      </c>
      <c r="U4785" s="35"/>
      <c r="V4785" s="35" t="s">
        <v>11045</v>
      </c>
      <c r="W4785" s="35" t="s">
        <v>16797</v>
      </c>
      <c r="X4785" s="35"/>
      <c r="Y4785" s="35" t="s">
        <v>41</v>
      </c>
      <c r="Z4785" s="35"/>
      <c r="AA4785" s="35" t="str">
        <f>HYPERLINK("https://miland.ru/api/getInfo/item/8e82611b-9843-11eb-a201-ac1f6b442185")</f>
        <v>https://miland.ru/api/getInfo/item/8e82611b-9843-11eb-a201-ac1f6b442185</v>
      </c>
      <c r="AB4785" s="35" t="s">
        <v>42</v>
      </c>
      <c r="AC4785" s="35" t="s">
        <v>16870</v>
      </c>
      <c r="AD4785" s="35"/>
      <c r="AE4785" s="52" t="s">
        <v>9152</v>
      </c>
    </row>
    <row r="4786" spans="2:31" s="1" customFormat="1" ht="96.3" customHeight="1" outlineLevel="4">
      <c r="B4786" s="57">
        <v>3842</v>
      </c>
      <c r="C4786" s="21" t="s">
        <v>16879</v>
      </c>
      <c r="D4786" s="72" t="s">
        <v>16880</v>
      </c>
      <c r="E4786" s="72"/>
      <c r="F4786" s="72"/>
      <c r="G4786" s="72"/>
      <c r="H4786" s="22" t="s">
        <v>16881</v>
      </c>
      <c r="I4786" s="27">
        <v>418</v>
      </c>
      <c r="J4786" s="22"/>
      <c r="K4786" s="20">
        <v>12</v>
      </c>
      <c r="L4786" s="24">
        <v>61.38</v>
      </c>
      <c r="M4786" s="11"/>
      <c r="N4786" s="22">
        <f t="shared" si="244"/>
        <v>0</v>
      </c>
      <c r="O4786" s="25">
        <f>0.009*M4786</f>
        <v>0</v>
      </c>
      <c r="P4786" s="29">
        <f>0.0006*M4786</f>
        <v>0</v>
      </c>
      <c r="Q4786" s="30"/>
      <c r="R4786" s="22" t="s">
        <v>16882</v>
      </c>
      <c r="S4786" s="22" t="s">
        <v>435</v>
      </c>
      <c r="T4786" s="21" t="str">
        <f>HYPERLINK("https://miland.ru/api/getInfo/image/4d0fdc5e-9842-11eb-a201-ac1f6b442185")</f>
        <v>https://miland.ru/api/getInfo/image/4d0fdc5e-9842-11eb-a201-ac1f6b442185</v>
      </c>
      <c r="U4786" s="21"/>
      <c r="V4786" s="21" t="s">
        <v>11045</v>
      </c>
      <c r="W4786" s="21" t="s">
        <v>16797</v>
      </c>
      <c r="X4786" s="21"/>
      <c r="Y4786" s="21" t="s">
        <v>41</v>
      </c>
      <c r="Z4786" s="21"/>
      <c r="AA4786" s="21" t="str">
        <f>HYPERLINK("https://miland.ru/api/getInfo/item/4d0fdc5e-9842-11eb-a201-ac1f6b442185")</f>
        <v>https://miland.ru/api/getInfo/item/4d0fdc5e-9842-11eb-a201-ac1f6b442185</v>
      </c>
      <c r="AB4786" s="21" t="s">
        <v>42</v>
      </c>
      <c r="AC4786" s="21" t="s">
        <v>16883</v>
      </c>
      <c r="AD4786" s="21"/>
    </row>
    <row r="4787" spans="2:31" s="1" customFormat="1" ht="96.3" customHeight="1" outlineLevel="4">
      <c r="B4787" s="57">
        <v>3843</v>
      </c>
      <c r="C4787" s="21" t="s">
        <v>16884</v>
      </c>
      <c r="D4787" s="72" t="s">
        <v>16885</v>
      </c>
      <c r="E4787" s="72"/>
      <c r="F4787" s="72"/>
      <c r="G4787" s="72"/>
      <c r="H4787" s="22" t="s">
        <v>16886</v>
      </c>
      <c r="I4787" s="23" t="s">
        <v>36</v>
      </c>
      <c r="J4787" s="22"/>
      <c r="K4787" s="20">
        <v>24</v>
      </c>
      <c r="L4787" s="24">
        <v>77.11</v>
      </c>
      <c r="M4787" s="11"/>
      <c r="N4787" s="22">
        <f t="shared" si="244"/>
        <v>0</v>
      </c>
      <c r="O4787" s="25">
        <f>0.012*M4787</f>
        <v>0</v>
      </c>
      <c r="P4787" s="26">
        <f>0.00022*M4787</f>
        <v>0</v>
      </c>
      <c r="Q4787" s="30"/>
      <c r="R4787" s="22" t="s">
        <v>16887</v>
      </c>
      <c r="S4787" s="22" t="s">
        <v>435</v>
      </c>
      <c r="T4787" s="21" t="str">
        <f>HYPERLINK("https://miland.ru/api/getInfo/image/90a6acda-9846-11eb-a201-ac1f6b442185")</f>
        <v>https://miland.ru/api/getInfo/image/90a6acda-9846-11eb-a201-ac1f6b442185</v>
      </c>
      <c r="U4787" s="21"/>
      <c r="V4787" s="21" t="s">
        <v>11045</v>
      </c>
      <c r="W4787" s="21" t="s">
        <v>16797</v>
      </c>
      <c r="X4787" s="21"/>
      <c r="Y4787" s="21" t="s">
        <v>41</v>
      </c>
      <c r="Z4787" s="21"/>
      <c r="AA4787" s="21" t="str">
        <f>HYPERLINK("https://miland.ru/api/getInfo/item/90a6acda-9846-11eb-a201-ac1f6b442185")</f>
        <v>https://miland.ru/api/getInfo/item/90a6acda-9846-11eb-a201-ac1f6b442185</v>
      </c>
      <c r="AB4787" s="21" t="s">
        <v>42</v>
      </c>
      <c r="AC4787" s="21" t="s">
        <v>16870</v>
      </c>
      <c r="AD4787" s="21"/>
    </row>
    <row r="4788" spans="2:31" s="1" customFormat="1" ht="96.3" customHeight="1" outlineLevel="4">
      <c r="B4788" s="57">
        <v>3844</v>
      </c>
      <c r="C4788" s="21" t="s">
        <v>16884</v>
      </c>
      <c r="D4788" s="72" t="s">
        <v>16885</v>
      </c>
      <c r="E4788" s="72"/>
      <c r="F4788" s="72"/>
      <c r="G4788" s="72"/>
      <c r="H4788" s="22" t="s">
        <v>16886</v>
      </c>
      <c r="I4788" s="23" t="s">
        <v>36</v>
      </c>
      <c r="J4788" s="22"/>
      <c r="K4788" s="20">
        <v>24</v>
      </c>
      <c r="L4788" s="24">
        <v>77.11</v>
      </c>
      <c r="M4788" s="11"/>
      <c r="N4788" s="22">
        <f t="shared" si="244"/>
        <v>0</v>
      </c>
      <c r="O4788" s="25">
        <f>0.012*M4788</f>
        <v>0</v>
      </c>
      <c r="P4788" s="26">
        <f>0.00022*M4788</f>
        <v>0</v>
      </c>
      <c r="Q4788" s="30"/>
      <c r="R4788" s="22" t="s">
        <v>16887</v>
      </c>
      <c r="S4788" s="22" t="s">
        <v>435</v>
      </c>
      <c r="T4788" s="21" t="str">
        <f>HYPERLINK("https://miland.ru/api/getInfo/image/90a6acda-9846-11eb-a201-ac1f6b442185")</f>
        <v>https://miland.ru/api/getInfo/image/90a6acda-9846-11eb-a201-ac1f6b442185</v>
      </c>
      <c r="U4788" s="21"/>
      <c r="V4788" s="21" t="s">
        <v>11045</v>
      </c>
      <c r="W4788" s="21" t="s">
        <v>16797</v>
      </c>
      <c r="X4788" s="21"/>
      <c r="Y4788" s="21" t="s">
        <v>41</v>
      </c>
      <c r="Z4788" s="21"/>
      <c r="AA4788" s="21" t="str">
        <f>HYPERLINK("https://miland.ru/api/getInfo/item/90a6acda-9846-11eb-a201-ac1f6b442185")</f>
        <v>https://miland.ru/api/getInfo/item/90a6acda-9846-11eb-a201-ac1f6b442185</v>
      </c>
      <c r="AB4788" s="21" t="s">
        <v>42</v>
      </c>
      <c r="AC4788" s="21" t="s">
        <v>16870</v>
      </c>
      <c r="AD4788" s="21"/>
    </row>
    <row r="4789" spans="2:31" ht="12" customHeight="1" outlineLevel="3">
      <c r="B4789" s="70" t="s">
        <v>16888</v>
      </c>
      <c r="C4789" s="70"/>
      <c r="D4789" s="70"/>
      <c r="E4789" s="70"/>
      <c r="F4789" s="70"/>
      <c r="G4789" s="70"/>
    </row>
    <row r="4790" spans="2:31" ht="12" customHeight="1" outlineLevel="4">
      <c r="B4790" s="70" t="s">
        <v>16889</v>
      </c>
      <c r="C4790" s="70"/>
      <c r="D4790" s="70"/>
      <c r="E4790" s="70"/>
      <c r="F4790" s="70"/>
      <c r="G4790" s="70"/>
    </row>
    <row r="4791" spans="2:31" s="1" customFormat="1" ht="96.3" customHeight="1" outlineLevel="5">
      <c r="B4791" s="57">
        <v>3845</v>
      </c>
      <c r="C4791" s="21" t="s">
        <v>16890</v>
      </c>
      <c r="D4791" s="72" t="s">
        <v>16891</v>
      </c>
      <c r="E4791" s="72"/>
      <c r="F4791" s="72"/>
      <c r="G4791" s="72"/>
      <c r="H4791" s="22" t="s">
        <v>16892</v>
      </c>
      <c r="I4791" s="23" t="s">
        <v>36</v>
      </c>
      <c r="J4791" s="22"/>
      <c r="K4791" s="20">
        <v>7</v>
      </c>
      <c r="L4791" s="24">
        <v>83.91</v>
      </c>
      <c r="M4791" s="11"/>
      <c r="N4791" s="22">
        <f t="shared" ref="N4791:N4806" si="245">L4791*M4791</f>
        <v>0</v>
      </c>
      <c r="O4791" s="25">
        <f>0.102*M4791</f>
        <v>0</v>
      </c>
      <c r="P4791" s="26">
        <f>0.00269*M4791</f>
        <v>0</v>
      </c>
      <c r="Q4791" s="30"/>
      <c r="R4791" s="22" t="s">
        <v>16893</v>
      </c>
      <c r="S4791" s="22"/>
      <c r="T4791" s="21" t="str">
        <f>HYPERLINK("https://miland.ru/api/getInfo/image/72651ffd-a702-11e9-a22d-ac1f6b442184")</f>
        <v>https://miland.ru/api/getInfo/image/72651ffd-a702-11e9-a22d-ac1f6b442184</v>
      </c>
      <c r="U4791" s="21"/>
      <c r="V4791" s="21" t="s">
        <v>16894</v>
      </c>
      <c r="W4791" s="21" t="s">
        <v>16895</v>
      </c>
      <c r="X4791" s="21"/>
      <c r="Y4791" s="21" t="s">
        <v>41</v>
      </c>
      <c r="Z4791" s="21"/>
      <c r="AA4791" s="21" t="str">
        <f>HYPERLINK("https://miland.ru/api/getInfo/item/72651ffd-a702-11e9-a22d-ac1f6b442184")</f>
        <v>https://miland.ru/api/getInfo/item/72651ffd-a702-11e9-a22d-ac1f6b442184</v>
      </c>
      <c r="AB4791" s="21" t="s">
        <v>50</v>
      </c>
      <c r="AC4791" s="21" t="s">
        <v>16896</v>
      </c>
      <c r="AD4791" s="21"/>
    </row>
    <row r="4792" spans="2:31" s="1" customFormat="1" ht="96.3" customHeight="1" outlineLevel="5">
      <c r="B4792" s="57">
        <v>3846</v>
      </c>
      <c r="C4792" s="21" t="s">
        <v>16897</v>
      </c>
      <c r="D4792" s="72" t="s">
        <v>16898</v>
      </c>
      <c r="E4792" s="72"/>
      <c r="F4792" s="72"/>
      <c r="G4792" s="72"/>
      <c r="H4792" s="22" t="s">
        <v>16899</v>
      </c>
      <c r="I4792" s="27">
        <v>399</v>
      </c>
      <c r="J4792" s="22"/>
      <c r="K4792" s="20">
        <v>5</v>
      </c>
      <c r="L4792" s="24">
        <v>123.1</v>
      </c>
      <c r="M4792" s="11"/>
      <c r="N4792" s="22">
        <f t="shared" si="245"/>
        <v>0</v>
      </c>
      <c r="O4792" s="25">
        <f>0.102*M4792</f>
        <v>0</v>
      </c>
      <c r="P4792" s="26">
        <f>0.00269*M4792</f>
        <v>0</v>
      </c>
      <c r="Q4792" s="30"/>
      <c r="R4792" s="22" t="s">
        <v>16900</v>
      </c>
      <c r="S4792" s="22"/>
      <c r="T4792" s="21" t="str">
        <f>HYPERLINK("https://miland.ru/api/getInfo/image/f1a889d3-a700-11e9-a22d-ac1f6b442184")</f>
        <v>https://miland.ru/api/getInfo/image/f1a889d3-a700-11e9-a22d-ac1f6b442184</v>
      </c>
      <c r="U4792" s="21"/>
      <c r="V4792" s="21" t="s">
        <v>16894</v>
      </c>
      <c r="W4792" s="21" t="s">
        <v>16895</v>
      </c>
      <c r="X4792" s="21"/>
      <c r="Y4792" s="21" t="s">
        <v>41</v>
      </c>
      <c r="Z4792" s="21"/>
      <c r="AA4792" s="21" t="str">
        <f>HYPERLINK("https://miland.ru/api/getInfo/item/f1a889d3-a700-11e9-a22d-ac1f6b442184")</f>
        <v>https://miland.ru/api/getInfo/item/f1a889d3-a700-11e9-a22d-ac1f6b442184</v>
      </c>
      <c r="AB4792" s="21" t="s">
        <v>50</v>
      </c>
      <c r="AC4792" s="21" t="s">
        <v>16896</v>
      </c>
      <c r="AD4792" s="21"/>
    </row>
    <row r="4793" spans="2:31" s="1" customFormat="1" ht="96.3" customHeight="1" outlineLevel="5">
      <c r="B4793" s="57">
        <v>3847</v>
      </c>
      <c r="C4793" s="21" t="s">
        <v>16901</v>
      </c>
      <c r="D4793" s="72" t="s">
        <v>16902</v>
      </c>
      <c r="E4793" s="72"/>
      <c r="F4793" s="72"/>
      <c r="G4793" s="72"/>
      <c r="H4793" s="22" t="s">
        <v>16903</v>
      </c>
      <c r="I4793" s="27">
        <v>347</v>
      </c>
      <c r="J4793" s="22"/>
      <c r="K4793" s="20">
        <v>5</v>
      </c>
      <c r="L4793" s="24">
        <v>123.1</v>
      </c>
      <c r="M4793" s="11"/>
      <c r="N4793" s="22">
        <f t="shared" si="245"/>
        <v>0</v>
      </c>
      <c r="O4793" s="25">
        <f>0.101*M4793</f>
        <v>0</v>
      </c>
      <c r="P4793" s="26">
        <f>0.00206*M4793</f>
        <v>0</v>
      </c>
      <c r="Q4793" s="30"/>
      <c r="R4793" s="22" t="s">
        <v>16904</v>
      </c>
      <c r="S4793" s="22"/>
      <c r="T4793" s="21" t="str">
        <f>HYPERLINK("https://miland.ru/api/getInfo/image/284b34af-a700-11e9-a22d-ac1f6b442184")</f>
        <v>https://miland.ru/api/getInfo/image/284b34af-a700-11e9-a22d-ac1f6b442184</v>
      </c>
      <c r="U4793" s="21"/>
      <c r="V4793" s="21" t="s">
        <v>16894</v>
      </c>
      <c r="W4793" s="21" t="s">
        <v>16895</v>
      </c>
      <c r="X4793" s="21"/>
      <c r="Y4793" s="21" t="s">
        <v>41</v>
      </c>
      <c r="Z4793" s="21"/>
      <c r="AA4793" s="21" t="str">
        <f>HYPERLINK("https://miland.ru/api/getInfo/item/284b34af-a700-11e9-a22d-ac1f6b442184")</f>
        <v>https://miland.ru/api/getInfo/item/284b34af-a700-11e9-a22d-ac1f6b442184</v>
      </c>
      <c r="AB4793" s="21" t="s">
        <v>50</v>
      </c>
      <c r="AC4793" s="21" t="s">
        <v>16896</v>
      </c>
      <c r="AD4793" s="21"/>
    </row>
    <row r="4794" spans="2:31" s="1" customFormat="1" ht="96.3" customHeight="1" outlineLevel="5">
      <c r="B4794" s="57">
        <v>3848</v>
      </c>
      <c r="C4794" s="21" t="s">
        <v>16905</v>
      </c>
      <c r="D4794" s="72" t="s">
        <v>16906</v>
      </c>
      <c r="E4794" s="72"/>
      <c r="F4794" s="72"/>
      <c r="G4794" s="72"/>
      <c r="H4794" s="22" t="s">
        <v>16907</v>
      </c>
      <c r="I4794" s="27">
        <v>440</v>
      </c>
      <c r="J4794" s="22"/>
      <c r="K4794" s="20">
        <v>5</v>
      </c>
      <c r="L4794" s="24">
        <v>123.1</v>
      </c>
      <c r="M4794" s="11"/>
      <c r="N4794" s="22">
        <f t="shared" si="245"/>
        <v>0</v>
      </c>
      <c r="O4794" s="25">
        <f>0.107*M4794</f>
        <v>0</v>
      </c>
      <c r="P4794" s="26">
        <f>0.00316*M4794</f>
        <v>0</v>
      </c>
      <c r="Q4794" s="30"/>
      <c r="R4794" s="22" t="s">
        <v>16908</v>
      </c>
      <c r="S4794" s="22"/>
      <c r="T4794" s="21" t="str">
        <f>HYPERLINK("https://miland.ru/api/getInfo/image/5bc2d2f5-a700-11e9-a22d-ac1f6b442184")</f>
        <v>https://miland.ru/api/getInfo/image/5bc2d2f5-a700-11e9-a22d-ac1f6b442184</v>
      </c>
      <c r="U4794" s="21"/>
      <c r="V4794" s="21" t="s">
        <v>16894</v>
      </c>
      <c r="W4794" s="21" t="s">
        <v>16895</v>
      </c>
      <c r="X4794" s="21"/>
      <c r="Y4794" s="21" t="s">
        <v>41</v>
      </c>
      <c r="Z4794" s="21"/>
      <c r="AA4794" s="21" t="str">
        <f>HYPERLINK("https://miland.ru/api/getInfo/item/5bc2d2f5-a700-11e9-a22d-ac1f6b442184")</f>
        <v>https://miland.ru/api/getInfo/item/5bc2d2f5-a700-11e9-a22d-ac1f6b442184</v>
      </c>
      <c r="AB4794" s="21" t="s">
        <v>50</v>
      </c>
      <c r="AC4794" s="21" t="s">
        <v>16896</v>
      </c>
      <c r="AD4794" s="21"/>
    </row>
    <row r="4795" spans="2:31" s="1" customFormat="1" ht="96.3" customHeight="1" outlineLevel="5">
      <c r="B4795" s="57">
        <v>3849</v>
      </c>
      <c r="C4795" s="21" t="s">
        <v>16909</v>
      </c>
      <c r="D4795" s="72" t="s">
        <v>16910</v>
      </c>
      <c r="E4795" s="72"/>
      <c r="F4795" s="72"/>
      <c r="G4795" s="72"/>
      <c r="H4795" s="22" t="s">
        <v>16911</v>
      </c>
      <c r="I4795" s="27">
        <v>430</v>
      </c>
      <c r="J4795" s="22"/>
      <c r="K4795" s="20">
        <v>5</v>
      </c>
      <c r="L4795" s="24">
        <v>123.1</v>
      </c>
      <c r="M4795" s="11"/>
      <c r="N4795" s="22">
        <f t="shared" si="245"/>
        <v>0</v>
      </c>
      <c r="O4795" s="25">
        <f>0.104*M4795</f>
        <v>0</v>
      </c>
      <c r="P4795" s="26">
        <f>0.00254*M4795</f>
        <v>0</v>
      </c>
      <c r="Q4795" s="30"/>
      <c r="R4795" s="22" t="s">
        <v>16912</v>
      </c>
      <c r="S4795" s="22"/>
      <c r="T4795" s="21" t="str">
        <f>HYPERLINK("https://miland.ru/api/getInfo/image/bbf9b5fc-a700-11e9-a22d-ac1f6b442184")</f>
        <v>https://miland.ru/api/getInfo/image/bbf9b5fc-a700-11e9-a22d-ac1f6b442184</v>
      </c>
      <c r="U4795" s="21"/>
      <c r="V4795" s="21" t="s">
        <v>16894</v>
      </c>
      <c r="W4795" s="21" t="s">
        <v>16895</v>
      </c>
      <c r="X4795" s="21"/>
      <c r="Y4795" s="21" t="s">
        <v>41</v>
      </c>
      <c r="Z4795" s="21"/>
      <c r="AA4795" s="21" t="str">
        <f>HYPERLINK("https://miland.ru/api/getInfo/item/bbf9b5fc-a700-11e9-a22d-ac1f6b442184")</f>
        <v>https://miland.ru/api/getInfo/item/bbf9b5fc-a700-11e9-a22d-ac1f6b442184</v>
      </c>
      <c r="AB4795" s="21" t="s">
        <v>50</v>
      </c>
      <c r="AC4795" s="21" t="s">
        <v>16896</v>
      </c>
      <c r="AD4795" s="21"/>
    </row>
    <row r="4796" spans="2:31" s="1" customFormat="1" ht="96.3" customHeight="1" outlineLevel="5">
      <c r="B4796" s="57">
        <v>3850</v>
      </c>
      <c r="C4796" s="21" t="s">
        <v>16913</v>
      </c>
      <c r="D4796" s="72" t="s">
        <v>16914</v>
      </c>
      <c r="E4796" s="72"/>
      <c r="F4796" s="72"/>
      <c r="G4796" s="72"/>
      <c r="H4796" s="22" t="s">
        <v>16915</v>
      </c>
      <c r="I4796" s="27">
        <v>399</v>
      </c>
      <c r="J4796" s="22"/>
      <c r="K4796" s="20">
        <v>5</v>
      </c>
      <c r="L4796" s="24">
        <v>123.1</v>
      </c>
      <c r="M4796" s="11"/>
      <c r="N4796" s="22">
        <f t="shared" si="245"/>
        <v>0</v>
      </c>
      <c r="O4796" s="25">
        <f>0.106*M4796</f>
        <v>0</v>
      </c>
      <c r="P4796" s="29">
        <f>0.0014*M4796</f>
        <v>0</v>
      </c>
      <c r="Q4796" s="30"/>
      <c r="R4796" s="22" t="s">
        <v>16916</v>
      </c>
      <c r="S4796" s="22"/>
      <c r="T4796" s="21" t="str">
        <f>HYPERLINK("https://miland.ru/api/getInfo/image/8bafc321-a700-11e9-a22d-ac1f6b442184")</f>
        <v>https://miland.ru/api/getInfo/image/8bafc321-a700-11e9-a22d-ac1f6b442184</v>
      </c>
      <c r="U4796" s="21"/>
      <c r="V4796" s="21" t="s">
        <v>16894</v>
      </c>
      <c r="W4796" s="21" t="s">
        <v>16895</v>
      </c>
      <c r="X4796" s="21"/>
      <c r="Y4796" s="21" t="s">
        <v>41</v>
      </c>
      <c r="Z4796" s="21"/>
      <c r="AA4796" s="21" t="str">
        <f>HYPERLINK("https://miland.ru/api/getInfo/item/8bafc321-a700-11e9-a22d-ac1f6b442184")</f>
        <v>https://miland.ru/api/getInfo/item/8bafc321-a700-11e9-a22d-ac1f6b442184</v>
      </c>
      <c r="AB4796" s="21" t="s">
        <v>50</v>
      </c>
      <c r="AC4796" s="21" t="s">
        <v>16896</v>
      </c>
      <c r="AD4796" s="21"/>
    </row>
    <row r="4797" spans="2:31" s="1" customFormat="1" ht="96.3" customHeight="1" outlineLevel="5">
      <c r="B4797" s="57">
        <v>3851</v>
      </c>
      <c r="C4797" s="21" t="s">
        <v>16917</v>
      </c>
      <c r="D4797" s="72" t="s">
        <v>16918</v>
      </c>
      <c r="E4797" s="72"/>
      <c r="F4797" s="72"/>
      <c r="G4797" s="72"/>
      <c r="H4797" s="22" t="s">
        <v>16919</v>
      </c>
      <c r="I4797" s="27">
        <v>449</v>
      </c>
      <c r="J4797" s="22"/>
      <c r="K4797" s="20">
        <v>5</v>
      </c>
      <c r="L4797" s="24">
        <v>123.1</v>
      </c>
      <c r="M4797" s="11"/>
      <c r="N4797" s="22">
        <f t="shared" si="245"/>
        <v>0</v>
      </c>
      <c r="O4797" s="25">
        <f>0.108*M4797</f>
        <v>0</v>
      </c>
      <c r="P4797" s="26">
        <f>0.00024*M4797</f>
        <v>0</v>
      </c>
      <c r="Q4797" s="30"/>
      <c r="R4797" s="22" t="s">
        <v>16920</v>
      </c>
      <c r="S4797" s="22"/>
      <c r="T4797" s="21" t="str">
        <f>HYPERLINK("https://miland.ru/api/getInfo/image/2d9370b4-a701-11e9-a22d-ac1f6b442184")</f>
        <v>https://miland.ru/api/getInfo/image/2d9370b4-a701-11e9-a22d-ac1f6b442184</v>
      </c>
      <c r="U4797" s="21"/>
      <c r="V4797" s="21" t="s">
        <v>16894</v>
      </c>
      <c r="W4797" s="21" t="s">
        <v>16895</v>
      </c>
      <c r="X4797" s="21"/>
      <c r="Y4797" s="21" t="s">
        <v>41</v>
      </c>
      <c r="Z4797" s="21"/>
      <c r="AA4797" s="21" t="str">
        <f>HYPERLINK("https://miland.ru/api/getInfo/item/2d9370b4-a701-11e9-a22d-ac1f6b442184")</f>
        <v>https://miland.ru/api/getInfo/item/2d9370b4-a701-11e9-a22d-ac1f6b442184</v>
      </c>
      <c r="AB4797" s="21" t="s">
        <v>50</v>
      </c>
      <c r="AC4797" s="21" t="s">
        <v>16896</v>
      </c>
      <c r="AD4797" s="21"/>
    </row>
    <row r="4798" spans="2:31" s="1" customFormat="1" ht="96.3" customHeight="1" outlineLevel="5">
      <c r="B4798" s="57">
        <v>3852</v>
      </c>
      <c r="C4798" s="21" t="s">
        <v>16921</v>
      </c>
      <c r="D4798" s="72" t="s">
        <v>16922</v>
      </c>
      <c r="E4798" s="72"/>
      <c r="F4798" s="72"/>
      <c r="G4798" s="72"/>
      <c r="H4798" s="22" t="s">
        <v>16923</v>
      </c>
      <c r="I4798" s="27">
        <v>82</v>
      </c>
      <c r="J4798" s="22"/>
      <c r="K4798" s="20">
        <v>5</v>
      </c>
      <c r="L4798" s="24">
        <v>124.19</v>
      </c>
      <c r="M4798" s="11"/>
      <c r="N4798" s="22">
        <f t="shared" si="245"/>
        <v>0</v>
      </c>
      <c r="O4798" s="25">
        <f>0.103*M4798</f>
        <v>0</v>
      </c>
      <c r="P4798" s="26">
        <f>0.00048*M4798</f>
        <v>0</v>
      </c>
      <c r="Q4798" s="30"/>
      <c r="R4798" s="22" t="s">
        <v>16924</v>
      </c>
      <c r="S4798" s="22"/>
      <c r="T4798" s="21" t="str">
        <f>HYPERLINK("https://miland.ru/api/getInfo/image/0ddcacbf-a703-11e9-a22d-ac1f6b442184")</f>
        <v>https://miland.ru/api/getInfo/image/0ddcacbf-a703-11e9-a22d-ac1f6b442184</v>
      </c>
      <c r="U4798" s="21"/>
      <c r="V4798" s="21" t="s">
        <v>16894</v>
      </c>
      <c r="W4798" s="21" t="s">
        <v>16895</v>
      </c>
      <c r="X4798" s="21"/>
      <c r="Y4798" s="21" t="s">
        <v>41</v>
      </c>
      <c r="Z4798" s="21"/>
      <c r="AA4798" s="21" t="str">
        <f>HYPERLINK("https://miland.ru/api/getInfo/item/0ddcacbf-a703-11e9-a22d-ac1f6b442184")</f>
        <v>https://miland.ru/api/getInfo/item/0ddcacbf-a703-11e9-a22d-ac1f6b442184</v>
      </c>
      <c r="AB4798" s="21" t="s">
        <v>50</v>
      </c>
      <c r="AC4798" s="21" t="s">
        <v>16896</v>
      </c>
      <c r="AD4798" s="21"/>
    </row>
    <row r="4799" spans="2:31" s="1" customFormat="1" ht="96.3" customHeight="1" outlineLevel="5">
      <c r="B4799" s="57">
        <v>3853</v>
      </c>
      <c r="C4799" s="21" t="s">
        <v>16925</v>
      </c>
      <c r="D4799" s="72" t="s">
        <v>16926</v>
      </c>
      <c r="E4799" s="72"/>
      <c r="F4799" s="72"/>
      <c r="G4799" s="72"/>
      <c r="H4799" s="22" t="s">
        <v>16927</v>
      </c>
      <c r="I4799" s="27">
        <v>154</v>
      </c>
      <c r="J4799" s="22"/>
      <c r="K4799" s="20">
        <v>6</v>
      </c>
      <c r="L4799" s="24">
        <v>103.89</v>
      </c>
      <c r="M4799" s="11"/>
      <c r="N4799" s="22">
        <f t="shared" si="245"/>
        <v>0</v>
      </c>
      <c r="O4799" s="25">
        <f>0.105*M4799</f>
        <v>0</v>
      </c>
      <c r="P4799" s="26">
        <f>0.00077*M4799</f>
        <v>0</v>
      </c>
      <c r="Q4799" s="30"/>
      <c r="R4799" s="22" t="s">
        <v>16928</v>
      </c>
      <c r="S4799" s="22"/>
      <c r="T4799" s="21" t="str">
        <f>HYPERLINK("https://miland.ru/api/getInfo/image/e0c5c3d9-a702-11e9-a22d-ac1f6b442184")</f>
        <v>https://miland.ru/api/getInfo/image/e0c5c3d9-a702-11e9-a22d-ac1f6b442184</v>
      </c>
      <c r="U4799" s="21"/>
      <c r="V4799" s="21" t="s">
        <v>16894</v>
      </c>
      <c r="W4799" s="21" t="s">
        <v>16895</v>
      </c>
      <c r="X4799" s="21"/>
      <c r="Y4799" s="21" t="s">
        <v>41</v>
      </c>
      <c r="Z4799" s="21"/>
      <c r="AA4799" s="21" t="str">
        <f>HYPERLINK("https://miland.ru/api/getInfo/item/e0c5c3d9-a702-11e9-a22d-ac1f6b442184")</f>
        <v>https://miland.ru/api/getInfo/item/e0c5c3d9-a702-11e9-a22d-ac1f6b442184</v>
      </c>
      <c r="AB4799" s="21" t="s">
        <v>50</v>
      </c>
      <c r="AC4799" s="21" t="s">
        <v>16896</v>
      </c>
      <c r="AD4799" s="21"/>
    </row>
    <row r="4800" spans="2:31" s="1" customFormat="1" ht="96.3" customHeight="1" outlineLevel="5">
      <c r="B4800" s="57">
        <v>3854</v>
      </c>
      <c r="C4800" s="21" t="s">
        <v>16929</v>
      </c>
      <c r="D4800" s="72" t="s">
        <v>16930</v>
      </c>
      <c r="E4800" s="72"/>
      <c r="F4800" s="72"/>
      <c r="G4800" s="72"/>
      <c r="H4800" s="22" t="s">
        <v>16931</v>
      </c>
      <c r="I4800" s="23" t="s">
        <v>36</v>
      </c>
      <c r="J4800" s="22"/>
      <c r="K4800" s="20">
        <v>6</v>
      </c>
      <c r="L4800" s="24">
        <v>101.92</v>
      </c>
      <c r="M4800" s="11"/>
      <c r="N4800" s="22">
        <f t="shared" si="245"/>
        <v>0</v>
      </c>
      <c r="O4800" s="25">
        <f>0.106*M4800</f>
        <v>0</v>
      </c>
      <c r="P4800" s="26">
        <f>0.00019*M4800</f>
        <v>0</v>
      </c>
      <c r="Q4800" s="30"/>
      <c r="R4800" s="22" t="s">
        <v>16932</v>
      </c>
      <c r="S4800" s="22"/>
      <c r="T4800" s="21" t="str">
        <f>HYPERLINK("https://miland.ru/api/getInfo/image/8846f23a-a6ff-11e9-a22d-ac1f6b442184")</f>
        <v>https://miland.ru/api/getInfo/image/8846f23a-a6ff-11e9-a22d-ac1f6b442184</v>
      </c>
      <c r="U4800" s="21"/>
      <c r="V4800" s="21" t="s">
        <v>16894</v>
      </c>
      <c r="W4800" s="21" t="s">
        <v>16895</v>
      </c>
      <c r="X4800" s="21"/>
      <c r="Y4800" s="21" t="s">
        <v>41</v>
      </c>
      <c r="Z4800" s="21"/>
      <c r="AA4800" s="21" t="str">
        <f>HYPERLINK("https://miland.ru/api/getInfo/item/8846f23a-a6ff-11e9-a22d-ac1f6b442184")</f>
        <v>https://miland.ru/api/getInfo/item/8846f23a-a6ff-11e9-a22d-ac1f6b442184</v>
      </c>
      <c r="AB4800" s="21" t="s">
        <v>50</v>
      </c>
      <c r="AC4800" s="21" t="s">
        <v>16896</v>
      </c>
      <c r="AD4800" s="21"/>
    </row>
    <row r="4801" spans="2:30" s="1" customFormat="1" ht="96.3" customHeight="1" outlineLevel="5">
      <c r="B4801" s="57">
        <v>3855</v>
      </c>
      <c r="C4801" s="21" t="s">
        <v>16933</v>
      </c>
      <c r="D4801" s="72" t="s">
        <v>16934</v>
      </c>
      <c r="E4801" s="72"/>
      <c r="F4801" s="72"/>
      <c r="G4801" s="72"/>
      <c r="H4801" s="22" t="s">
        <v>16935</v>
      </c>
      <c r="I4801" s="27">
        <v>358</v>
      </c>
      <c r="J4801" s="22"/>
      <c r="K4801" s="20">
        <v>6</v>
      </c>
      <c r="L4801" s="24">
        <v>101.92</v>
      </c>
      <c r="M4801" s="11"/>
      <c r="N4801" s="22">
        <f t="shared" si="245"/>
        <v>0</v>
      </c>
      <c r="O4801" s="25">
        <f>0.106*M4801</f>
        <v>0</v>
      </c>
      <c r="P4801" s="26">
        <f>0.00018*M4801</f>
        <v>0</v>
      </c>
      <c r="Q4801" s="30"/>
      <c r="R4801" s="22" t="s">
        <v>16936</v>
      </c>
      <c r="S4801" s="22"/>
      <c r="T4801" s="21" t="str">
        <f>HYPERLINK("https://miland.ru/api/getInfo/image/edf326f8-a6ff-11e9-a22d-ac1f6b442184")</f>
        <v>https://miland.ru/api/getInfo/image/edf326f8-a6ff-11e9-a22d-ac1f6b442184</v>
      </c>
      <c r="U4801" s="21"/>
      <c r="V4801" s="21" t="s">
        <v>16894</v>
      </c>
      <c r="W4801" s="21" t="s">
        <v>16895</v>
      </c>
      <c r="X4801" s="21"/>
      <c r="Y4801" s="21" t="s">
        <v>41</v>
      </c>
      <c r="Z4801" s="21"/>
      <c r="AA4801" s="21" t="str">
        <f>HYPERLINK("https://miland.ru/api/getInfo/item/edf326f8-a6ff-11e9-a22d-ac1f6b442184")</f>
        <v>https://miland.ru/api/getInfo/item/edf326f8-a6ff-11e9-a22d-ac1f6b442184</v>
      </c>
      <c r="AB4801" s="21" t="s">
        <v>50</v>
      </c>
      <c r="AC4801" s="21" t="s">
        <v>16896</v>
      </c>
      <c r="AD4801" s="21"/>
    </row>
    <row r="4802" spans="2:30" s="1" customFormat="1" ht="96.3" customHeight="1" outlineLevel="5">
      <c r="B4802" s="57">
        <v>3856</v>
      </c>
      <c r="C4802" s="21" t="s">
        <v>16937</v>
      </c>
      <c r="D4802" s="72" t="s">
        <v>16938</v>
      </c>
      <c r="E4802" s="72"/>
      <c r="F4802" s="72"/>
      <c r="G4802" s="72"/>
      <c r="H4802" s="22" t="s">
        <v>16939</v>
      </c>
      <c r="I4802" s="23" t="s">
        <v>36</v>
      </c>
      <c r="J4802" s="22"/>
      <c r="K4802" s="20">
        <v>6</v>
      </c>
      <c r="L4802" s="24">
        <v>101.92</v>
      </c>
      <c r="M4802" s="11"/>
      <c r="N4802" s="22">
        <f t="shared" si="245"/>
        <v>0</v>
      </c>
      <c r="O4802" s="25">
        <f>0.106*M4802</f>
        <v>0</v>
      </c>
      <c r="P4802" s="26">
        <f>0.00091*M4802</f>
        <v>0</v>
      </c>
      <c r="Q4802" s="30"/>
      <c r="R4802" s="22" t="s">
        <v>16940</v>
      </c>
      <c r="S4802" s="22"/>
      <c r="T4802" s="21" t="str">
        <f>HYPERLINK("https://miland.ru/api/getInfo/image/aa3acf36-a6fe-11e9-a22d-ac1f6b442184")</f>
        <v>https://miland.ru/api/getInfo/image/aa3acf36-a6fe-11e9-a22d-ac1f6b442184</v>
      </c>
      <c r="U4802" s="21"/>
      <c r="V4802" s="21" t="s">
        <v>16894</v>
      </c>
      <c r="W4802" s="21" t="s">
        <v>16895</v>
      </c>
      <c r="X4802" s="21"/>
      <c r="Y4802" s="21" t="s">
        <v>41</v>
      </c>
      <c r="Z4802" s="21"/>
      <c r="AA4802" s="21" t="str">
        <f>HYPERLINK("https://miland.ru/api/getInfo/item/aa3acf36-a6fe-11e9-a22d-ac1f6b442184")</f>
        <v>https://miland.ru/api/getInfo/item/aa3acf36-a6fe-11e9-a22d-ac1f6b442184</v>
      </c>
      <c r="AB4802" s="21" t="s">
        <v>50</v>
      </c>
      <c r="AC4802" s="21" t="s">
        <v>16896</v>
      </c>
      <c r="AD4802" s="21"/>
    </row>
    <row r="4803" spans="2:30" s="1" customFormat="1" ht="96.3" customHeight="1" outlineLevel="5">
      <c r="B4803" s="57">
        <v>3857</v>
      </c>
      <c r="C4803" s="21" t="s">
        <v>16941</v>
      </c>
      <c r="D4803" s="72" t="s">
        <v>16942</v>
      </c>
      <c r="E4803" s="72"/>
      <c r="F4803" s="72"/>
      <c r="G4803" s="72"/>
      <c r="H4803" s="22" t="s">
        <v>16943</v>
      </c>
      <c r="I4803" s="23" t="s">
        <v>36</v>
      </c>
      <c r="J4803" s="22"/>
      <c r="K4803" s="20">
        <v>6</v>
      </c>
      <c r="L4803" s="24">
        <v>101.92</v>
      </c>
      <c r="M4803" s="11"/>
      <c r="N4803" s="22">
        <f t="shared" si="245"/>
        <v>0</v>
      </c>
      <c r="O4803" s="25">
        <f>0.104*M4803</f>
        <v>0</v>
      </c>
      <c r="P4803" s="26">
        <f>0.00203*M4803</f>
        <v>0</v>
      </c>
      <c r="Q4803" s="30"/>
      <c r="R4803" s="22" t="s">
        <v>16944</v>
      </c>
      <c r="S4803" s="22"/>
      <c r="T4803" s="21" t="str">
        <f>HYPERLINK("https://miland.ru/api/getInfo/image/bc235629-a6ff-11e9-a22d-ac1f6b442184")</f>
        <v>https://miland.ru/api/getInfo/image/bc235629-a6ff-11e9-a22d-ac1f6b442184</v>
      </c>
      <c r="U4803" s="21"/>
      <c r="V4803" s="21" t="s">
        <v>16894</v>
      </c>
      <c r="W4803" s="21" t="s">
        <v>16895</v>
      </c>
      <c r="X4803" s="21"/>
      <c r="Y4803" s="21" t="s">
        <v>41</v>
      </c>
      <c r="Z4803" s="21"/>
      <c r="AA4803" s="21" t="str">
        <f>HYPERLINK("https://miland.ru/api/getInfo/item/bc235629-a6ff-11e9-a22d-ac1f6b442184")</f>
        <v>https://miland.ru/api/getInfo/item/bc235629-a6ff-11e9-a22d-ac1f6b442184</v>
      </c>
      <c r="AB4803" s="21" t="s">
        <v>50</v>
      </c>
      <c r="AC4803" s="21" t="s">
        <v>16896</v>
      </c>
      <c r="AD4803" s="21"/>
    </row>
    <row r="4804" spans="2:30" s="1" customFormat="1" ht="96.3" customHeight="1" outlineLevel="5">
      <c r="B4804" s="57">
        <v>3858</v>
      </c>
      <c r="C4804" s="21" t="s">
        <v>16945</v>
      </c>
      <c r="D4804" s="72" t="s">
        <v>16946</v>
      </c>
      <c r="E4804" s="72"/>
      <c r="F4804" s="72"/>
      <c r="G4804" s="72"/>
      <c r="H4804" s="22" t="s">
        <v>16947</v>
      </c>
      <c r="I4804" s="23" t="s">
        <v>36</v>
      </c>
      <c r="J4804" s="22"/>
      <c r="K4804" s="20">
        <v>6</v>
      </c>
      <c r="L4804" s="24">
        <v>101.92</v>
      </c>
      <c r="M4804" s="11"/>
      <c r="N4804" s="22">
        <f t="shared" si="245"/>
        <v>0</v>
      </c>
      <c r="O4804" s="25">
        <f>0.103*M4804</f>
        <v>0</v>
      </c>
      <c r="P4804" s="26">
        <f>0.00053*M4804</f>
        <v>0</v>
      </c>
      <c r="Q4804" s="30"/>
      <c r="R4804" s="22" t="s">
        <v>16948</v>
      </c>
      <c r="S4804" s="22"/>
      <c r="T4804" s="21" t="str">
        <f>HYPERLINK("https://miland.ru/api/getInfo/image/4c66a0fa-a6ff-11e9-a22d-ac1f6b442184")</f>
        <v>https://miland.ru/api/getInfo/image/4c66a0fa-a6ff-11e9-a22d-ac1f6b442184</v>
      </c>
      <c r="U4804" s="21"/>
      <c r="V4804" s="21" t="s">
        <v>16894</v>
      </c>
      <c r="W4804" s="21" t="s">
        <v>16895</v>
      </c>
      <c r="X4804" s="21"/>
      <c r="Y4804" s="21" t="s">
        <v>41</v>
      </c>
      <c r="Z4804" s="21"/>
      <c r="AA4804" s="21" t="str">
        <f>HYPERLINK("https://miland.ru/api/getInfo/item/4c66a0fa-a6ff-11e9-a22d-ac1f6b442184")</f>
        <v>https://miland.ru/api/getInfo/item/4c66a0fa-a6ff-11e9-a22d-ac1f6b442184</v>
      </c>
      <c r="AB4804" s="21" t="s">
        <v>50</v>
      </c>
      <c r="AC4804" s="21" t="s">
        <v>16896</v>
      </c>
      <c r="AD4804" s="21"/>
    </row>
    <row r="4805" spans="2:30" s="1" customFormat="1" ht="96.3" customHeight="1" outlineLevel="5">
      <c r="B4805" s="57">
        <v>3859</v>
      </c>
      <c r="C4805" s="21" t="s">
        <v>16949</v>
      </c>
      <c r="D4805" s="72" t="s">
        <v>16950</v>
      </c>
      <c r="E4805" s="72"/>
      <c r="F4805" s="72"/>
      <c r="G4805" s="72"/>
      <c r="H4805" s="22" t="s">
        <v>16951</v>
      </c>
      <c r="I4805" s="23" t="s">
        <v>36</v>
      </c>
      <c r="J4805" s="22"/>
      <c r="K4805" s="20">
        <v>7</v>
      </c>
      <c r="L4805" s="24">
        <v>92.43</v>
      </c>
      <c r="M4805" s="11"/>
      <c r="N4805" s="22">
        <f t="shared" si="245"/>
        <v>0</v>
      </c>
      <c r="O4805" s="28">
        <f>0.09*M4805</f>
        <v>0</v>
      </c>
      <c r="P4805" s="26">
        <f>0.00117*M4805</f>
        <v>0</v>
      </c>
      <c r="Q4805" s="30"/>
      <c r="R4805" s="22" t="s">
        <v>16952</v>
      </c>
      <c r="S4805" s="22"/>
      <c r="T4805" s="21" t="str">
        <f>HYPERLINK("https://miland.ru/api/getInfo/image/5d0a5c07-32fa-11eb-a25e-ac1f6b442184")</f>
        <v>https://miland.ru/api/getInfo/image/5d0a5c07-32fa-11eb-a25e-ac1f6b442184</v>
      </c>
      <c r="U4805" s="21"/>
      <c r="V4805" s="21" t="s">
        <v>16894</v>
      </c>
      <c r="W4805" s="21" t="s">
        <v>16895</v>
      </c>
      <c r="X4805" s="21"/>
      <c r="Y4805" s="21" t="s">
        <v>41</v>
      </c>
      <c r="Z4805" s="21"/>
      <c r="AA4805" s="21" t="str">
        <f>HYPERLINK("https://miland.ru/api/getInfo/item/5d0a5c07-32fa-11eb-a25e-ac1f6b442184")</f>
        <v>https://miland.ru/api/getInfo/item/5d0a5c07-32fa-11eb-a25e-ac1f6b442184</v>
      </c>
      <c r="AB4805" s="21" t="s">
        <v>50</v>
      </c>
      <c r="AC4805" s="21" t="s">
        <v>16953</v>
      </c>
      <c r="AD4805" s="21"/>
    </row>
    <row r="4806" spans="2:30" s="1" customFormat="1" ht="96.3" customHeight="1" outlineLevel="5">
      <c r="B4806" s="57">
        <v>3860</v>
      </c>
      <c r="C4806" s="21" t="s">
        <v>16954</v>
      </c>
      <c r="D4806" s="72" t="s">
        <v>16955</v>
      </c>
      <c r="E4806" s="72"/>
      <c r="F4806" s="72"/>
      <c r="G4806" s="72"/>
      <c r="H4806" s="22" t="s">
        <v>16956</v>
      </c>
      <c r="I4806" s="23" t="s">
        <v>36</v>
      </c>
      <c r="J4806" s="22"/>
      <c r="K4806" s="20">
        <v>7</v>
      </c>
      <c r="L4806" s="24">
        <v>81.98</v>
      </c>
      <c r="M4806" s="11"/>
      <c r="N4806" s="22">
        <f t="shared" si="245"/>
        <v>0</v>
      </c>
      <c r="O4806" s="25">
        <f>0.104*M4806</f>
        <v>0</v>
      </c>
      <c r="P4806" s="26">
        <f>0.00373*M4806</f>
        <v>0</v>
      </c>
      <c r="Q4806" s="30"/>
      <c r="R4806" s="22" t="s">
        <v>16957</v>
      </c>
      <c r="S4806" s="22"/>
      <c r="T4806" s="21" t="str">
        <f>HYPERLINK("https://miland.ru/api/getInfo/image/4b3e2ebb-c256-11e9-a232-ac1f6b442184")</f>
        <v>https://miland.ru/api/getInfo/image/4b3e2ebb-c256-11e9-a232-ac1f6b442184</v>
      </c>
      <c r="U4806" s="21"/>
      <c r="V4806" s="21" t="s">
        <v>16894</v>
      </c>
      <c r="W4806" s="21" t="s">
        <v>16895</v>
      </c>
      <c r="X4806" s="21"/>
      <c r="Y4806" s="21" t="s">
        <v>41</v>
      </c>
      <c r="Z4806" s="21"/>
      <c r="AA4806" s="21" t="str">
        <f>HYPERLINK("https://miland.ru/api/getInfo/item/4b3e2ebb-c256-11e9-a232-ac1f6b442184")</f>
        <v>https://miland.ru/api/getInfo/item/4b3e2ebb-c256-11e9-a232-ac1f6b442184</v>
      </c>
      <c r="AB4806" s="21" t="s">
        <v>50</v>
      </c>
      <c r="AC4806" s="21" t="s">
        <v>16896</v>
      </c>
      <c r="AD4806" s="21"/>
    </row>
    <row r="4807" spans="2:30" ht="12" customHeight="1" outlineLevel="4">
      <c r="B4807" s="70" t="s">
        <v>16958</v>
      </c>
      <c r="C4807" s="70"/>
      <c r="D4807" s="70"/>
      <c r="E4807" s="70"/>
      <c r="F4807" s="70"/>
      <c r="G4807" s="70"/>
    </row>
    <row r="4808" spans="2:30" s="1" customFormat="1" ht="96.3" customHeight="1" outlineLevel="5">
      <c r="B4808" s="57">
        <v>3861</v>
      </c>
      <c r="C4808" s="21" t="s">
        <v>16959</v>
      </c>
      <c r="D4808" s="72" t="s">
        <v>16960</v>
      </c>
      <c r="E4808" s="72"/>
      <c r="F4808" s="72"/>
      <c r="G4808" s="72"/>
      <c r="H4808" s="22" t="s">
        <v>16961</v>
      </c>
      <c r="I4808" s="27">
        <v>73</v>
      </c>
      <c r="J4808" s="22"/>
      <c r="K4808" s="20">
        <v>2</v>
      </c>
      <c r="L4808" s="24">
        <v>328</v>
      </c>
      <c r="M4808" s="11"/>
      <c r="N4808" s="22">
        <f>L4808*M4808</f>
        <v>0</v>
      </c>
      <c r="O4808" s="25">
        <f>0.504*M4808</f>
        <v>0</v>
      </c>
      <c r="P4808" s="26">
        <f>0.01626*M4808</f>
        <v>0</v>
      </c>
      <c r="Q4808" s="30"/>
      <c r="R4808" s="22" t="s">
        <v>16962</v>
      </c>
      <c r="S4808" s="22"/>
      <c r="T4808" s="21" t="str">
        <f>HYPERLINK("https://miland.ru/api/getInfo/image/5e9fbaeb-3220-11f0-a27c-00155d82e908")</f>
        <v>https://miland.ru/api/getInfo/image/5e9fbaeb-3220-11f0-a27c-00155d82e908</v>
      </c>
      <c r="U4808" s="21"/>
      <c r="V4808" s="21" t="s">
        <v>16894</v>
      </c>
      <c r="W4808" s="21" t="s">
        <v>16895</v>
      </c>
      <c r="X4808" s="21"/>
      <c r="Y4808" s="21" t="s">
        <v>41</v>
      </c>
      <c r="Z4808" s="21"/>
      <c r="AA4808" s="21" t="str">
        <f>HYPERLINK("https://miland.ru/api/getInfo/item/5e9fbaeb-3220-11f0-a27c-00155d82e908")</f>
        <v>https://miland.ru/api/getInfo/item/5e9fbaeb-3220-11f0-a27c-00155d82e908</v>
      </c>
      <c r="AB4808" s="21" t="s">
        <v>50</v>
      </c>
      <c r="AC4808" s="21"/>
      <c r="AD4808" s="21"/>
    </row>
    <row r="4809" spans="2:30" s="1" customFormat="1" ht="96.3" customHeight="1" outlineLevel="5">
      <c r="B4809" s="57">
        <v>3862</v>
      </c>
      <c r="C4809" s="21" t="s">
        <v>16963</v>
      </c>
      <c r="D4809" s="72" t="s">
        <v>16964</v>
      </c>
      <c r="E4809" s="72"/>
      <c r="F4809" s="72"/>
      <c r="G4809" s="72"/>
      <c r="H4809" s="22" t="s">
        <v>16965</v>
      </c>
      <c r="I4809" s="27">
        <v>44</v>
      </c>
      <c r="J4809" s="22"/>
      <c r="K4809" s="20">
        <v>2</v>
      </c>
      <c r="L4809" s="24">
        <v>351.43</v>
      </c>
      <c r="M4809" s="11"/>
      <c r="N4809" s="22">
        <f>L4809*M4809</f>
        <v>0</v>
      </c>
      <c r="O4809" s="25">
        <f>0.503*M4809</f>
        <v>0</v>
      </c>
      <c r="P4809" s="26">
        <f>0.00737*M4809</f>
        <v>0</v>
      </c>
      <c r="Q4809" s="30"/>
      <c r="R4809" s="22" t="s">
        <v>16966</v>
      </c>
      <c r="S4809" s="22"/>
      <c r="T4809" s="21" t="str">
        <f>HYPERLINK("https://miland.ru/api/getInfo/image/06919e00-3220-11f0-a27c-00155d82e908")</f>
        <v>https://miland.ru/api/getInfo/image/06919e00-3220-11f0-a27c-00155d82e908</v>
      </c>
      <c r="U4809" s="21"/>
      <c r="V4809" s="21" t="s">
        <v>16894</v>
      </c>
      <c r="W4809" s="21" t="s">
        <v>16895</v>
      </c>
      <c r="X4809" s="21"/>
      <c r="Y4809" s="21" t="s">
        <v>41</v>
      </c>
      <c r="Z4809" s="21"/>
      <c r="AA4809" s="21" t="str">
        <f>HYPERLINK("https://miland.ru/api/getInfo/item/06919e00-3220-11f0-a27c-00155d82e908")</f>
        <v>https://miland.ru/api/getInfo/item/06919e00-3220-11f0-a27c-00155d82e908</v>
      </c>
      <c r="AB4809" s="21" t="s">
        <v>50</v>
      </c>
      <c r="AC4809" s="21"/>
      <c r="AD4809" s="21"/>
    </row>
    <row r="4810" spans="2:30" s="1" customFormat="1" ht="96.3" customHeight="1" outlineLevel="5">
      <c r="B4810" s="57">
        <v>3863</v>
      </c>
      <c r="C4810" s="21" t="s">
        <v>16967</v>
      </c>
      <c r="D4810" s="72" t="s">
        <v>16968</v>
      </c>
      <c r="E4810" s="72"/>
      <c r="F4810" s="72"/>
      <c r="G4810" s="72"/>
      <c r="H4810" s="22" t="s">
        <v>16969</v>
      </c>
      <c r="I4810" s="27">
        <v>62</v>
      </c>
      <c r="J4810" s="22"/>
      <c r="K4810" s="20">
        <v>3</v>
      </c>
      <c r="L4810" s="24">
        <v>246</v>
      </c>
      <c r="M4810" s="11"/>
      <c r="N4810" s="22">
        <f>L4810*M4810</f>
        <v>0</v>
      </c>
      <c r="O4810" s="25">
        <f>0.504*M4810</f>
        <v>0</v>
      </c>
      <c r="P4810" s="26">
        <f>0.01626*M4810</f>
        <v>0</v>
      </c>
      <c r="Q4810" s="30"/>
      <c r="R4810" s="22" t="s">
        <v>16970</v>
      </c>
      <c r="S4810" s="22"/>
      <c r="T4810" s="21" t="str">
        <f>HYPERLINK("https://miland.ru/api/getInfo/image/991b4da8-3220-11f0-a27c-00155d82e908")</f>
        <v>https://miland.ru/api/getInfo/image/991b4da8-3220-11f0-a27c-00155d82e908</v>
      </c>
      <c r="U4810" s="21"/>
      <c r="V4810" s="21" t="s">
        <v>16894</v>
      </c>
      <c r="W4810" s="21" t="s">
        <v>16895</v>
      </c>
      <c r="X4810" s="21"/>
      <c r="Y4810" s="21" t="s">
        <v>41</v>
      </c>
      <c r="Z4810" s="21"/>
      <c r="AA4810" s="21" t="str">
        <f>HYPERLINK("https://miland.ru/api/getInfo/item/991b4da8-3220-11f0-a27c-00155d82e908")</f>
        <v>https://miland.ru/api/getInfo/item/991b4da8-3220-11f0-a27c-00155d82e908</v>
      </c>
      <c r="AB4810" s="21" t="s">
        <v>50</v>
      </c>
      <c r="AC4810" s="21"/>
      <c r="AD4810" s="21"/>
    </row>
    <row r="4811" spans="2:30" ht="12" customHeight="1" outlineLevel="2">
      <c r="B4811" s="69" t="s">
        <v>16971</v>
      </c>
      <c r="C4811" s="69"/>
      <c r="D4811" s="69"/>
      <c r="E4811" s="69"/>
      <c r="F4811" s="69"/>
      <c r="G4811" s="69"/>
    </row>
    <row r="4812" spans="2:30" s="1" customFormat="1" ht="96.3" customHeight="1" outlineLevel="3">
      <c r="B4812" s="57">
        <v>3864</v>
      </c>
      <c r="C4812" s="21" t="s">
        <v>16972</v>
      </c>
      <c r="D4812" s="72" t="s">
        <v>16973</v>
      </c>
      <c r="E4812" s="72"/>
      <c r="F4812" s="72"/>
      <c r="G4812" s="72"/>
      <c r="H4812" s="22" t="s">
        <v>16974</v>
      </c>
      <c r="I4812" s="23" t="s">
        <v>36</v>
      </c>
      <c r="J4812" s="22"/>
      <c r="K4812" s="20">
        <v>4</v>
      </c>
      <c r="L4812" s="24">
        <v>165.34</v>
      </c>
      <c r="M4812" s="11"/>
      <c r="N4812" s="22">
        <f t="shared" ref="N4812:N4820" si="246">L4812*M4812</f>
        <v>0</v>
      </c>
      <c r="O4812" s="25">
        <f>0.199*M4812</f>
        <v>0</v>
      </c>
      <c r="P4812" s="26">
        <f>0.00037*M4812</f>
        <v>0</v>
      </c>
      <c r="Q4812" s="30"/>
      <c r="R4812" s="22" t="s">
        <v>16975</v>
      </c>
      <c r="S4812" s="22"/>
      <c r="T4812" s="21" t="str">
        <f>HYPERLINK("https://miland.ru/api/getInfo/image/18806ac6-ce65-11ef-a268-00155d82e908")</f>
        <v>https://miland.ru/api/getInfo/image/18806ac6-ce65-11ef-a268-00155d82e908</v>
      </c>
      <c r="U4812" s="21"/>
      <c r="V4812" s="21" t="s">
        <v>16976</v>
      </c>
      <c r="W4812" s="21" t="s">
        <v>16977</v>
      </c>
      <c r="X4812" s="21"/>
      <c r="Y4812" s="21" t="s">
        <v>41</v>
      </c>
      <c r="Z4812" s="21"/>
      <c r="AA4812" s="21" t="str">
        <f>HYPERLINK("https://miland.ru/api/getInfo/item/18806ac6-ce65-11ef-a268-00155d82e908")</f>
        <v>https://miland.ru/api/getInfo/item/18806ac6-ce65-11ef-a268-00155d82e908</v>
      </c>
      <c r="AB4812" s="21" t="s">
        <v>50</v>
      </c>
      <c r="AC4812" s="21"/>
      <c r="AD4812" s="21"/>
    </row>
    <row r="4813" spans="2:30" s="1" customFormat="1" ht="96.3" customHeight="1" outlineLevel="3">
      <c r="B4813" s="57">
        <v>3865</v>
      </c>
      <c r="C4813" s="21" t="s">
        <v>16978</v>
      </c>
      <c r="D4813" s="72" t="s">
        <v>16979</v>
      </c>
      <c r="E4813" s="72"/>
      <c r="F4813" s="72"/>
      <c r="G4813" s="72"/>
      <c r="H4813" s="22" t="s">
        <v>16980</v>
      </c>
      <c r="I4813" s="27">
        <v>44</v>
      </c>
      <c r="J4813" s="22"/>
      <c r="K4813" s="20">
        <v>4</v>
      </c>
      <c r="L4813" s="24">
        <v>165.34</v>
      </c>
      <c r="M4813" s="11"/>
      <c r="N4813" s="22">
        <f t="shared" si="246"/>
        <v>0</v>
      </c>
      <c r="O4813" s="25">
        <f>0.193*M4813</f>
        <v>0</v>
      </c>
      <c r="P4813" s="26">
        <f>0.00498*M4813</f>
        <v>0</v>
      </c>
      <c r="Q4813" s="30"/>
      <c r="R4813" s="22" t="s">
        <v>16981</v>
      </c>
      <c r="S4813" s="22"/>
      <c r="T4813" s="21" t="str">
        <f>HYPERLINK("https://miland.ru/api/getInfo/image/c2cb7bda-ce65-11ef-a268-00155d82e908")</f>
        <v>https://miland.ru/api/getInfo/image/c2cb7bda-ce65-11ef-a268-00155d82e908</v>
      </c>
      <c r="U4813" s="21"/>
      <c r="V4813" s="21" t="s">
        <v>16976</v>
      </c>
      <c r="W4813" s="21" t="s">
        <v>16977</v>
      </c>
      <c r="X4813" s="21"/>
      <c r="Y4813" s="21" t="s">
        <v>41</v>
      </c>
      <c r="Z4813" s="21"/>
      <c r="AA4813" s="21" t="str">
        <f>HYPERLINK("https://miland.ru/api/getInfo/item/c2cb7bda-ce65-11ef-a268-00155d82e908")</f>
        <v>https://miland.ru/api/getInfo/item/c2cb7bda-ce65-11ef-a268-00155d82e908</v>
      </c>
      <c r="AB4813" s="21" t="s">
        <v>50</v>
      </c>
      <c r="AC4813" s="21"/>
      <c r="AD4813" s="21"/>
    </row>
    <row r="4814" spans="2:30" s="1" customFormat="1" ht="96.3" customHeight="1" outlineLevel="3">
      <c r="B4814" s="57">
        <v>3866</v>
      </c>
      <c r="C4814" s="21" t="s">
        <v>16982</v>
      </c>
      <c r="D4814" s="72" t="s">
        <v>16983</v>
      </c>
      <c r="E4814" s="72"/>
      <c r="F4814" s="72"/>
      <c r="G4814" s="72"/>
      <c r="H4814" s="22" t="s">
        <v>16984</v>
      </c>
      <c r="I4814" s="27">
        <v>240</v>
      </c>
      <c r="J4814" s="22"/>
      <c r="K4814" s="20">
        <v>4</v>
      </c>
      <c r="L4814" s="24">
        <v>165.34</v>
      </c>
      <c r="M4814" s="11"/>
      <c r="N4814" s="22">
        <f t="shared" si="246"/>
        <v>0</v>
      </c>
      <c r="O4814" s="25">
        <f>0.197*M4814</f>
        <v>0</v>
      </c>
      <c r="P4814" s="26">
        <f>0.00638*M4814</f>
        <v>0</v>
      </c>
      <c r="Q4814" s="30"/>
      <c r="R4814" s="22" t="s">
        <v>16985</v>
      </c>
      <c r="S4814" s="22"/>
      <c r="T4814" s="21" t="str">
        <f>HYPERLINK("https://miland.ru/api/getInfo/image/99e71f27-ce65-11ef-a268-00155d82e908")</f>
        <v>https://miland.ru/api/getInfo/image/99e71f27-ce65-11ef-a268-00155d82e908</v>
      </c>
      <c r="U4814" s="21"/>
      <c r="V4814" s="21" t="s">
        <v>16976</v>
      </c>
      <c r="W4814" s="21" t="s">
        <v>16977</v>
      </c>
      <c r="X4814" s="21"/>
      <c r="Y4814" s="21" t="s">
        <v>41</v>
      </c>
      <c r="Z4814" s="21"/>
      <c r="AA4814" s="21" t="str">
        <f>HYPERLINK("https://miland.ru/api/getInfo/item/99e71f27-ce65-11ef-a268-00155d82e908")</f>
        <v>https://miland.ru/api/getInfo/item/99e71f27-ce65-11ef-a268-00155d82e908</v>
      </c>
      <c r="AB4814" s="21" t="s">
        <v>50</v>
      </c>
      <c r="AC4814" s="21"/>
      <c r="AD4814" s="21"/>
    </row>
    <row r="4815" spans="2:30" s="1" customFormat="1" ht="96.3" customHeight="1" outlineLevel="3">
      <c r="B4815" s="57">
        <v>3867</v>
      </c>
      <c r="C4815" s="21" t="s">
        <v>16986</v>
      </c>
      <c r="D4815" s="72" t="s">
        <v>16987</v>
      </c>
      <c r="E4815" s="72"/>
      <c r="F4815" s="72"/>
      <c r="G4815" s="72"/>
      <c r="H4815" s="22" t="s">
        <v>16988</v>
      </c>
      <c r="I4815" s="27">
        <v>267</v>
      </c>
      <c r="J4815" s="22"/>
      <c r="K4815" s="20">
        <v>4</v>
      </c>
      <c r="L4815" s="24">
        <v>165.34</v>
      </c>
      <c r="M4815" s="11"/>
      <c r="N4815" s="22">
        <f t="shared" si="246"/>
        <v>0</v>
      </c>
      <c r="O4815" s="25">
        <f>0.207*M4815</f>
        <v>0</v>
      </c>
      <c r="P4815" s="26">
        <f>0.00506*M4815</f>
        <v>0</v>
      </c>
      <c r="Q4815" s="30"/>
      <c r="R4815" s="22" t="s">
        <v>16989</v>
      </c>
      <c r="S4815" s="22"/>
      <c r="T4815" s="21" t="str">
        <f>HYPERLINK("https://miland.ru/api/getInfo/image/07150c65-ce62-11ef-a268-00155d82e908")</f>
        <v>https://miland.ru/api/getInfo/image/07150c65-ce62-11ef-a268-00155d82e908</v>
      </c>
      <c r="U4815" s="21"/>
      <c r="V4815" s="21" t="s">
        <v>16976</v>
      </c>
      <c r="W4815" s="21" t="s">
        <v>16977</v>
      </c>
      <c r="X4815" s="21"/>
      <c r="Y4815" s="21" t="s">
        <v>41</v>
      </c>
      <c r="Z4815" s="21"/>
      <c r="AA4815" s="21" t="str">
        <f>HYPERLINK("https://miland.ru/api/getInfo/item/07150c65-ce62-11ef-a268-00155d82e908")</f>
        <v>https://miland.ru/api/getInfo/item/07150c65-ce62-11ef-a268-00155d82e908</v>
      </c>
      <c r="AB4815" s="21" t="s">
        <v>50</v>
      </c>
      <c r="AC4815" s="21"/>
      <c r="AD4815" s="21"/>
    </row>
    <row r="4816" spans="2:30" s="1" customFormat="1" ht="96.3" customHeight="1" outlineLevel="3">
      <c r="B4816" s="57">
        <v>3868</v>
      </c>
      <c r="C4816" s="21" t="s">
        <v>16990</v>
      </c>
      <c r="D4816" s="72" t="s">
        <v>16991</v>
      </c>
      <c r="E4816" s="72"/>
      <c r="F4816" s="72"/>
      <c r="G4816" s="72"/>
      <c r="H4816" s="22" t="s">
        <v>16992</v>
      </c>
      <c r="I4816" s="27">
        <v>225</v>
      </c>
      <c r="J4816" s="22"/>
      <c r="K4816" s="20">
        <v>4</v>
      </c>
      <c r="L4816" s="24">
        <v>165.34</v>
      </c>
      <c r="M4816" s="11"/>
      <c r="N4816" s="22">
        <f t="shared" si="246"/>
        <v>0</v>
      </c>
      <c r="O4816" s="33">
        <f>0.2*M4816</f>
        <v>0</v>
      </c>
      <c r="P4816" s="26">
        <f>0.00043*M4816</f>
        <v>0</v>
      </c>
      <c r="Q4816" s="30"/>
      <c r="R4816" s="22" t="s">
        <v>16993</v>
      </c>
      <c r="S4816" s="22"/>
      <c r="T4816" s="21" t="str">
        <f>HYPERLINK("https://miland.ru/api/getInfo/image/131df1db-ce63-11ef-a268-00155d82e908")</f>
        <v>https://miland.ru/api/getInfo/image/131df1db-ce63-11ef-a268-00155d82e908</v>
      </c>
      <c r="U4816" s="21"/>
      <c r="V4816" s="21" t="s">
        <v>16976</v>
      </c>
      <c r="W4816" s="21" t="s">
        <v>16977</v>
      </c>
      <c r="X4816" s="21"/>
      <c r="Y4816" s="21" t="s">
        <v>41</v>
      </c>
      <c r="Z4816" s="21"/>
      <c r="AA4816" s="21" t="str">
        <f>HYPERLINK("https://miland.ru/api/getInfo/item/131df1db-ce63-11ef-a268-00155d82e908")</f>
        <v>https://miland.ru/api/getInfo/item/131df1db-ce63-11ef-a268-00155d82e908</v>
      </c>
      <c r="AB4816" s="21" t="s">
        <v>50</v>
      </c>
      <c r="AC4816" s="21"/>
      <c r="AD4816" s="21"/>
    </row>
    <row r="4817" spans="2:30" s="1" customFormat="1" ht="96.3" customHeight="1" outlineLevel="3">
      <c r="B4817" s="57">
        <v>3869</v>
      </c>
      <c r="C4817" s="21" t="s">
        <v>16994</v>
      </c>
      <c r="D4817" s="72" t="s">
        <v>16995</v>
      </c>
      <c r="E4817" s="72"/>
      <c r="F4817" s="72"/>
      <c r="G4817" s="72"/>
      <c r="H4817" s="22" t="s">
        <v>16996</v>
      </c>
      <c r="I4817" s="27">
        <v>42</v>
      </c>
      <c r="J4817" s="22"/>
      <c r="K4817" s="20">
        <v>4</v>
      </c>
      <c r="L4817" s="24">
        <v>165.34</v>
      </c>
      <c r="M4817" s="11"/>
      <c r="N4817" s="22">
        <f t="shared" si="246"/>
        <v>0</v>
      </c>
      <c r="O4817" s="33">
        <f>0.2*M4817</f>
        <v>0</v>
      </c>
      <c r="P4817" s="26">
        <f>0.00553*M4817</f>
        <v>0</v>
      </c>
      <c r="Q4817" s="30"/>
      <c r="R4817" s="22" t="s">
        <v>16997</v>
      </c>
      <c r="S4817" s="22"/>
      <c r="T4817" s="21" t="str">
        <f>HYPERLINK("https://miland.ru/api/getInfo/image/31164414-ce63-11ef-a268-00155d82e908")</f>
        <v>https://miland.ru/api/getInfo/image/31164414-ce63-11ef-a268-00155d82e908</v>
      </c>
      <c r="U4817" s="21"/>
      <c r="V4817" s="21" t="s">
        <v>16976</v>
      </c>
      <c r="W4817" s="21" t="s">
        <v>16977</v>
      </c>
      <c r="X4817" s="21"/>
      <c r="Y4817" s="21" t="s">
        <v>41</v>
      </c>
      <c r="Z4817" s="21"/>
      <c r="AA4817" s="21" t="str">
        <f>HYPERLINK("https://miland.ru/api/getInfo/item/31164414-ce63-11ef-a268-00155d82e908")</f>
        <v>https://miland.ru/api/getInfo/item/31164414-ce63-11ef-a268-00155d82e908</v>
      </c>
      <c r="AB4817" s="21" t="s">
        <v>50</v>
      </c>
      <c r="AC4817" s="21"/>
      <c r="AD4817" s="21"/>
    </row>
    <row r="4818" spans="2:30" s="1" customFormat="1" ht="96.3" customHeight="1" outlineLevel="3">
      <c r="B4818" s="57">
        <v>3870</v>
      </c>
      <c r="C4818" s="21" t="s">
        <v>16998</v>
      </c>
      <c r="D4818" s="72" t="s">
        <v>16999</v>
      </c>
      <c r="E4818" s="72"/>
      <c r="F4818" s="72"/>
      <c r="G4818" s="72"/>
      <c r="H4818" s="22" t="s">
        <v>17000</v>
      </c>
      <c r="I4818" s="27">
        <v>96</v>
      </c>
      <c r="J4818" s="22"/>
      <c r="K4818" s="20">
        <v>4</v>
      </c>
      <c r="L4818" s="24">
        <v>165.34</v>
      </c>
      <c r="M4818" s="11"/>
      <c r="N4818" s="22">
        <f t="shared" si="246"/>
        <v>0</v>
      </c>
      <c r="O4818" s="33">
        <f>0.2*M4818</f>
        <v>0</v>
      </c>
      <c r="P4818" s="26">
        <f>0.00046*M4818</f>
        <v>0</v>
      </c>
      <c r="Q4818" s="30"/>
      <c r="R4818" s="22" t="s">
        <v>17001</v>
      </c>
      <c r="S4818" s="22"/>
      <c r="T4818" s="21" t="str">
        <f>HYPERLINK("https://miland.ru/api/getInfo/image/4a5c7dba-ce63-11ef-a268-00155d82e908")</f>
        <v>https://miland.ru/api/getInfo/image/4a5c7dba-ce63-11ef-a268-00155d82e908</v>
      </c>
      <c r="U4818" s="21"/>
      <c r="V4818" s="21" t="s">
        <v>16976</v>
      </c>
      <c r="W4818" s="21" t="s">
        <v>16977</v>
      </c>
      <c r="X4818" s="21"/>
      <c r="Y4818" s="21" t="s">
        <v>41</v>
      </c>
      <c r="Z4818" s="21"/>
      <c r="AA4818" s="21" t="str">
        <f>HYPERLINK("https://miland.ru/api/getInfo/item/4a5c7dba-ce63-11ef-a268-00155d82e908")</f>
        <v>https://miland.ru/api/getInfo/item/4a5c7dba-ce63-11ef-a268-00155d82e908</v>
      </c>
      <c r="AB4818" s="21" t="s">
        <v>50</v>
      </c>
      <c r="AC4818" s="21"/>
      <c r="AD4818" s="21"/>
    </row>
    <row r="4819" spans="2:30" s="1" customFormat="1" ht="96.3" customHeight="1" outlineLevel="3">
      <c r="B4819" s="57">
        <v>3871</v>
      </c>
      <c r="C4819" s="21" t="s">
        <v>17002</v>
      </c>
      <c r="D4819" s="72" t="s">
        <v>17003</v>
      </c>
      <c r="E4819" s="72"/>
      <c r="F4819" s="72"/>
      <c r="G4819" s="72"/>
      <c r="H4819" s="22" t="s">
        <v>17004</v>
      </c>
      <c r="I4819" s="27">
        <v>100</v>
      </c>
      <c r="J4819" s="22"/>
      <c r="K4819" s="20">
        <v>4</v>
      </c>
      <c r="L4819" s="24">
        <v>165.34</v>
      </c>
      <c r="M4819" s="11"/>
      <c r="N4819" s="22">
        <f t="shared" si="246"/>
        <v>0</v>
      </c>
      <c r="O4819" s="25">
        <f>0.202*M4819</f>
        <v>0</v>
      </c>
      <c r="P4819" s="26">
        <f>0.00556*M4819</f>
        <v>0</v>
      </c>
      <c r="Q4819" s="30"/>
      <c r="R4819" s="22" t="s">
        <v>17005</v>
      </c>
      <c r="S4819" s="22"/>
      <c r="T4819" s="21" t="str">
        <f>HYPERLINK("https://miland.ru/api/getInfo/image/5f982ad8-ce63-11ef-a268-00155d82e908")</f>
        <v>https://miland.ru/api/getInfo/image/5f982ad8-ce63-11ef-a268-00155d82e908</v>
      </c>
      <c r="U4819" s="21"/>
      <c r="V4819" s="21" t="s">
        <v>16976</v>
      </c>
      <c r="W4819" s="21" t="s">
        <v>16977</v>
      </c>
      <c r="X4819" s="21"/>
      <c r="Y4819" s="21" t="s">
        <v>41</v>
      </c>
      <c r="Z4819" s="21"/>
      <c r="AA4819" s="21" t="str">
        <f>HYPERLINK("https://miland.ru/api/getInfo/item/5f982ad8-ce63-11ef-a268-00155d82e908")</f>
        <v>https://miland.ru/api/getInfo/item/5f982ad8-ce63-11ef-a268-00155d82e908</v>
      </c>
      <c r="AB4819" s="21" t="s">
        <v>50</v>
      </c>
      <c r="AC4819" s="21"/>
      <c r="AD4819" s="21"/>
    </row>
    <row r="4820" spans="2:30" s="1" customFormat="1" ht="96.3" customHeight="1" outlineLevel="3">
      <c r="B4820" s="57">
        <v>3872</v>
      </c>
      <c r="C4820" s="21" t="s">
        <v>17006</v>
      </c>
      <c r="D4820" s="72" t="s">
        <v>17007</v>
      </c>
      <c r="E4820" s="72"/>
      <c r="F4820" s="72"/>
      <c r="G4820" s="72"/>
      <c r="H4820" s="22" t="s">
        <v>17008</v>
      </c>
      <c r="I4820" s="27">
        <v>448</v>
      </c>
      <c r="J4820" s="22"/>
      <c r="K4820" s="20">
        <v>4</v>
      </c>
      <c r="L4820" s="24">
        <v>165.34</v>
      </c>
      <c r="M4820" s="11"/>
      <c r="N4820" s="22">
        <f t="shared" si="246"/>
        <v>0</v>
      </c>
      <c r="O4820" s="25">
        <f>0.203*M4820</f>
        <v>0</v>
      </c>
      <c r="P4820" s="29">
        <f>0.0064*M4820</f>
        <v>0</v>
      </c>
      <c r="Q4820" s="30"/>
      <c r="R4820" s="22" t="s">
        <v>17009</v>
      </c>
      <c r="S4820" s="22"/>
      <c r="T4820" s="21" t="str">
        <f>HYPERLINK("https://miland.ru/api/getInfo/image/653b55d5-ce65-11ef-a268-00155d82e908")</f>
        <v>https://miland.ru/api/getInfo/image/653b55d5-ce65-11ef-a268-00155d82e908</v>
      </c>
      <c r="U4820" s="21"/>
      <c r="V4820" s="21" t="s">
        <v>16976</v>
      </c>
      <c r="W4820" s="21" t="s">
        <v>16977</v>
      </c>
      <c r="X4820" s="21"/>
      <c r="Y4820" s="21" t="s">
        <v>41</v>
      </c>
      <c r="Z4820" s="21"/>
      <c r="AA4820" s="21" t="str">
        <f>HYPERLINK("https://miland.ru/api/getInfo/item/653b55d5-ce65-11ef-a268-00155d82e908")</f>
        <v>https://miland.ru/api/getInfo/item/653b55d5-ce65-11ef-a268-00155d82e908</v>
      </c>
      <c r="AB4820" s="21" t="s">
        <v>50</v>
      </c>
      <c r="AC4820" s="21"/>
      <c r="AD4820" s="21"/>
    </row>
    <row r="4821" spans="2:30" ht="16.05" customHeight="1" outlineLevel="1">
      <c r="B4821" s="68" t="s">
        <v>17010</v>
      </c>
      <c r="C4821" s="68"/>
      <c r="D4821" s="68"/>
      <c r="E4821" s="68"/>
      <c r="F4821" s="68"/>
      <c r="G4821" s="68"/>
    </row>
    <row r="4822" spans="2:30" ht="12" customHeight="1" outlineLevel="2">
      <c r="B4822" s="69" t="s">
        <v>17011</v>
      </c>
      <c r="C4822" s="69"/>
      <c r="D4822" s="69"/>
      <c r="E4822" s="69"/>
      <c r="F4822" s="69"/>
      <c r="G4822" s="69"/>
    </row>
    <row r="4823" spans="2:30" ht="12" customHeight="1" outlineLevel="3">
      <c r="B4823" s="70" t="s">
        <v>17012</v>
      </c>
      <c r="C4823" s="70"/>
      <c r="D4823" s="70"/>
      <c r="E4823" s="70"/>
      <c r="F4823" s="70"/>
      <c r="G4823" s="70"/>
    </row>
    <row r="4824" spans="2:30" ht="12" customHeight="1" outlineLevel="4">
      <c r="B4824" s="70" t="s">
        <v>17013</v>
      </c>
      <c r="C4824" s="70"/>
      <c r="D4824" s="70"/>
      <c r="E4824" s="70"/>
      <c r="F4824" s="70"/>
      <c r="G4824" s="70"/>
    </row>
    <row r="4825" spans="2:30" ht="12" customHeight="1" outlineLevel="5">
      <c r="B4825" s="70" t="s">
        <v>17014</v>
      </c>
      <c r="C4825" s="70"/>
      <c r="D4825" s="70"/>
      <c r="E4825" s="70"/>
      <c r="F4825" s="70"/>
      <c r="G4825" s="70"/>
    </row>
    <row r="4826" spans="2:30" s="1" customFormat="1" ht="96.3" customHeight="1" outlineLevel="6">
      <c r="B4826" s="57">
        <v>3873</v>
      </c>
      <c r="C4826" s="21" t="s">
        <v>17015</v>
      </c>
      <c r="D4826" s="72" t="s">
        <v>17016</v>
      </c>
      <c r="E4826" s="72"/>
      <c r="F4826" s="72"/>
      <c r="G4826" s="72"/>
      <c r="H4826" s="22" t="s">
        <v>17017</v>
      </c>
      <c r="I4826" s="23" t="s">
        <v>36</v>
      </c>
      <c r="J4826" s="22"/>
      <c r="K4826" s="20">
        <v>14</v>
      </c>
      <c r="L4826" s="24">
        <v>42.39</v>
      </c>
      <c r="M4826" s="11"/>
      <c r="N4826" s="22">
        <f>L4826*M4826</f>
        <v>0</v>
      </c>
      <c r="O4826" s="25">
        <f>0.047*M4826</f>
        <v>0</v>
      </c>
      <c r="P4826" s="26">
        <f>0.00037*M4826</f>
        <v>0</v>
      </c>
      <c r="Q4826" s="30"/>
      <c r="R4826" s="22" t="s">
        <v>17018</v>
      </c>
      <c r="S4826" s="22"/>
      <c r="T4826" s="21" t="str">
        <f>HYPERLINK("https://miland.ru/api/getInfo/image/5e0bced1-8a2a-11ef-a265-00155d82e908")</f>
        <v>https://miland.ru/api/getInfo/image/5e0bced1-8a2a-11ef-a265-00155d82e908</v>
      </c>
      <c r="U4826" s="21"/>
      <c r="V4826" s="21" t="s">
        <v>17019</v>
      </c>
      <c r="W4826" s="21" t="s">
        <v>17020</v>
      </c>
      <c r="X4826" s="21"/>
      <c r="Y4826" s="21" t="s">
        <v>697</v>
      </c>
      <c r="Z4826" s="21"/>
      <c r="AA4826" s="21" t="str">
        <f>HYPERLINK("https://miland.ru/api/getInfo/item/5e0bced1-8a2a-11ef-a265-00155d82e908")</f>
        <v>https://miland.ru/api/getInfo/item/5e0bced1-8a2a-11ef-a265-00155d82e908</v>
      </c>
      <c r="AB4826" s="21" t="s">
        <v>50</v>
      </c>
      <c r="AC4826" s="21" t="s">
        <v>10826</v>
      </c>
      <c r="AD4826" s="21"/>
    </row>
    <row r="4827" spans="2:30" s="1" customFormat="1" ht="96.3" customHeight="1" outlineLevel="6">
      <c r="B4827" s="57">
        <v>3874</v>
      </c>
      <c r="C4827" s="21" t="s">
        <v>17021</v>
      </c>
      <c r="D4827" s="72" t="s">
        <v>17022</v>
      </c>
      <c r="E4827" s="72"/>
      <c r="F4827" s="72"/>
      <c r="G4827" s="72"/>
      <c r="H4827" s="22" t="s">
        <v>17023</v>
      </c>
      <c r="I4827" s="27">
        <v>25</v>
      </c>
      <c r="J4827" s="22"/>
      <c r="K4827" s="20">
        <v>14</v>
      </c>
      <c r="L4827" s="24">
        <v>42.39</v>
      </c>
      <c r="M4827" s="11"/>
      <c r="N4827" s="22">
        <f>L4827*M4827</f>
        <v>0</v>
      </c>
      <c r="O4827" s="25">
        <f>0.043*M4827</f>
        <v>0</v>
      </c>
      <c r="P4827" s="26">
        <f>0.00034*M4827</f>
        <v>0</v>
      </c>
      <c r="Q4827" s="30"/>
      <c r="R4827" s="22" t="s">
        <v>17024</v>
      </c>
      <c r="S4827" s="22"/>
      <c r="T4827" s="21" t="str">
        <f>HYPERLINK("https://miland.ru/api/getInfo/image/1cde362c-8a2b-11ef-a265-00155d82e908")</f>
        <v>https://miland.ru/api/getInfo/image/1cde362c-8a2b-11ef-a265-00155d82e908</v>
      </c>
      <c r="U4827" s="21"/>
      <c r="V4827" s="21" t="s">
        <v>17019</v>
      </c>
      <c r="W4827" s="21" t="s">
        <v>17020</v>
      </c>
      <c r="X4827" s="21"/>
      <c r="Y4827" s="21" t="s">
        <v>697</v>
      </c>
      <c r="Z4827" s="21"/>
      <c r="AA4827" s="21" t="str">
        <f>HYPERLINK("https://miland.ru/api/getInfo/item/1cde362c-8a2b-11ef-a265-00155d82e908")</f>
        <v>https://miland.ru/api/getInfo/item/1cde362c-8a2b-11ef-a265-00155d82e908</v>
      </c>
      <c r="AB4827" s="21" t="s">
        <v>50</v>
      </c>
      <c r="AC4827" s="21" t="s">
        <v>10826</v>
      </c>
      <c r="AD4827" s="21"/>
    </row>
    <row r="4828" spans="2:30" s="1" customFormat="1" ht="96.3" customHeight="1" outlineLevel="6">
      <c r="B4828" s="57">
        <v>3875</v>
      </c>
      <c r="C4828" s="21" t="s">
        <v>17025</v>
      </c>
      <c r="D4828" s="72" t="s">
        <v>17026</v>
      </c>
      <c r="E4828" s="72"/>
      <c r="F4828" s="72"/>
      <c r="G4828" s="72"/>
      <c r="H4828" s="22" t="s">
        <v>17027</v>
      </c>
      <c r="I4828" s="27">
        <v>89</v>
      </c>
      <c r="J4828" s="22"/>
      <c r="K4828" s="20">
        <v>14</v>
      </c>
      <c r="L4828" s="24">
        <v>42.39</v>
      </c>
      <c r="M4828" s="11"/>
      <c r="N4828" s="22">
        <f>L4828*M4828</f>
        <v>0</v>
      </c>
      <c r="O4828" s="25">
        <f>0.048*M4828</f>
        <v>0</v>
      </c>
      <c r="P4828" s="26">
        <f>0.00008*M4828</f>
        <v>0</v>
      </c>
      <c r="Q4828" s="30"/>
      <c r="R4828" s="22" t="s">
        <v>17028</v>
      </c>
      <c r="S4828" s="22"/>
      <c r="T4828" s="21" t="str">
        <f>HYPERLINK("https://miland.ru/api/getInfo/image/65547065-8a2b-11ef-a265-00155d82e908")</f>
        <v>https://miland.ru/api/getInfo/image/65547065-8a2b-11ef-a265-00155d82e908</v>
      </c>
      <c r="U4828" s="21"/>
      <c r="V4828" s="21" t="s">
        <v>17019</v>
      </c>
      <c r="W4828" s="21" t="s">
        <v>17020</v>
      </c>
      <c r="X4828" s="21"/>
      <c r="Y4828" s="21" t="s">
        <v>697</v>
      </c>
      <c r="Z4828" s="21"/>
      <c r="AA4828" s="21" t="str">
        <f>HYPERLINK("https://miland.ru/api/getInfo/item/65547065-8a2b-11ef-a265-00155d82e908")</f>
        <v>https://miland.ru/api/getInfo/item/65547065-8a2b-11ef-a265-00155d82e908</v>
      </c>
      <c r="AB4828" s="21" t="s">
        <v>50</v>
      </c>
      <c r="AC4828" s="21" t="s">
        <v>10826</v>
      </c>
      <c r="AD4828" s="21"/>
    </row>
    <row r="4829" spans="2:30" ht="12" customHeight="1" outlineLevel="4">
      <c r="B4829" s="70" t="s">
        <v>17029</v>
      </c>
      <c r="C4829" s="70"/>
      <c r="D4829" s="70"/>
      <c r="E4829" s="70"/>
      <c r="F4829" s="70"/>
      <c r="G4829" s="70"/>
    </row>
    <row r="4830" spans="2:30" s="1" customFormat="1" ht="96.3" customHeight="1" outlineLevel="5">
      <c r="B4830" s="57">
        <v>3876</v>
      </c>
      <c r="C4830" s="21" t="s">
        <v>17030</v>
      </c>
      <c r="D4830" s="72" t="s">
        <v>17031</v>
      </c>
      <c r="E4830" s="72"/>
      <c r="F4830" s="72"/>
      <c r="G4830" s="72"/>
      <c r="H4830" s="22" t="s">
        <v>17032</v>
      </c>
      <c r="I4830" s="27">
        <v>179</v>
      </c>
      <c r="J4830" s="22"/>
      <c r="K4830" s="20">
        <v>3</v>
      </c>
      <c r="L4830" s="24">
        <v>262.39999999999998</v>
      </c>
      <c r="M4830" s="11"/>
      <c r="N4830" s="22">
        <f>L4830*M4830</f>
        <v>0</v>
      </c>
      <c r="O4830" s="25">
        <f>0.355*M4830</f>
        <v>0</v>
      </c>
      <c r="P4830" s="26">
        <f>0.00243*M4830</f>
        <v>0</v>
      </c>
      <c r="Q4830" s="30"/>
      <c r="R4830" s="22" t="s">
        <v>17033</v>
      </c>
      <c r="S4830" s="22"/>
      <c r="T4830" s="21" t="str">
        <f>HYPERLINK("https://miland.ru/api/getInfo/image/e7a54379-0e1c-11f0-a279-00155d82e908")</f>
        <v>https://miland.ru/api/getInfo/image/e7a54379-0e1c-11f0-a279-00155d82e908</v>
      </c>
      <c r="U4830" s="21"/>
      <c r="V4830" s="21" t="s">
        <v>17019</v>
      </c>
      <c r="W4830" s="21" t="s">
        <v>17020</v>
      </c>
      <c r="X4830" s="21"/>
      <c r="Y4830" s="21" t="s">
        <v>697</v>
      </c>
      <c r="Z4830" s="21"/>
      <c r="AA4830" s="21" t="str">
        <f>HYPERLINK("https://miland.ru/api/getInfo/item/e7a54379-0e1c-11f0-a279-00155d82e908")</f>
        <v>https://miland.ru/api/getInfo/item/e7a54379-0e1c-11f0-a279-00155d82e908</v>
      </c>
      <c r="AB4830" s="21" t="s">
        <v>50</v>
      </c>
      <c r="AC4830" s="21"/>
      <c r="AD4830" s="21"/>
    </row>
    <row r="4831" spans="2:30" s="1" customFormat="1" ht="96.3" customHeight="1" outlineLevel="5">
      <c r="B4831" s="57">
        <v>3877</v>
      </c>
      <c r="C4831" s="21" t="s">
        <v>17034</v>
      </c>
      <c r="D4831" s="72" t="s">
        <v>17035</v>
      </c>
      <c r="E4831" s="72"/>
      <c r="F4831" s="72"/>
      <c r="G4831" s="72"/>
      <c r="H4831" s="22" t="s">
        <v>17036</v>
      </c>
      <c r="I4831" s="27">
        <v>89</v>
      </c>
      <c r="J4831" s="22"/>
      <c r="K4831" s="20">
        <v>3</v>
      </c>
      <c r="L4831" s="24">
        <v>262.39999999999998</v>
      </c>
      <c r="M4831" s="11"/>
      <c r="N4831" s="22">
        <f>L4831*M4831</f>
        <v>0</v>
      </c>
      <c r="O4831" s="25">
        <f>0.355*M4831</f>
        <v>0</v>
      </c>
      <c r="P4831" s="26">
        <f>0.00167*M4831</f>
        <v>0</v>
      </c>
      <c r="Q4831" s="30"/>
      <c r="R4831" s="22" t="s">
        <v>17037</v>
      </c>
      <c r="S4831" s="22"/>
      <c r="T4831" s="21" t="str">
        <f>HYPERLINK("https://miland.ru/api/getInfo/image/e92e7b5f-0e1b-11f0-a279-00155d82e908")</f>
        <v>https://miland.ru/api/getInfo/image/e92e7b5f-0e1b-11f0-a279-00155d82e908</v>
      </c>
      <c r="U4831" s="21"/>
      <c r="V4831" s="21" t="s">
        <v>17019</v>
      </c>
      <c r="W4831" s="21" t="s">
        <v>17020</v>
      </c>
      <c r="X4831" s="21"/>
      <c r="Y4831" s="21" t="s">
        <v>697</v>
      </c>
      <c r="Z4831" s="21"/>
      <c r="AA4831" s="21" t="str">
        <f>HYPERLINK("https://miland.ru/api/getInfo/item/e92e7b5f-0e1b-11f0-a279-00155d82e908")</f>
        <v>https://miland.ru/api/getInfo/item/e92e7b5f-0e1b-11f0-a279-00155d82e908</v>
      </c>
      <c r="AB4831" s="21" t="s">
        <v>50</v>
      </c>
      <c r="AC4831" s="21"/>
      <c r="AD4831" s="21"/>
    </row>
    <row r="4832" spans="2:30" ht="12" customHeight="1" outlineLevel="4">
      <c r="B4832" s="70" t="s">
        <v>17038</v>
      </c>
      <c r="C4832" s="70"/>
      <c r="D4832" s="70"/>
      <c r="E4832" s="70"/>
      <c r="F4832" s="70"/>
      <c r="G4832" s="70"/>
    </row>
    <row r="4833" spans="2:30" ht="12" customHeight="1" outlineLevel="5">
      <c r="B4833" s="70" t="s">
        <v>17014</v>
      </c>
      <c r="C4833" s="70"/>
      <c r="D4833" s="70"/>
      <c r="E4833" s="70"/>
      <c r="F4833" s="70"/>
      <c r="G4833" s="70"/>
    </row>
    <row r="4834" spans="2:30" s="1" customFormat="1" ht="96.3" customHeight="1" outlineLevel="6">
      <c r="B4834" s="57">
        <v>3878</v>
      </c>
      <c r="C4834" s="21" t="s">
        <v>17039</v>
      </c>
      <c r="D4834" s="72" t="s">
        <v>17040</v>
      </c>
      <c r="E4834" s="72"/>
      <c r="F4834" s="72"/>
      <c r="G4834" s="72"/>
      <c r="H4834" s="22" t="s">
        <v>17041</v>
      </c>
      <c r="I4834" s="23" t="s">
        <v>36</v>
      </c>
      <c r="J4834" s="22"/>
      <c r="K4834" s="20">
        <v>10</v>
      </c>
      <c r="L4834" s="24">
        <v>58.98</v>
      </c>
      <c r="M4834" s="11"/>
      <c r="N4834" s="22">
        <f>L4834*M4834</f>
        <v>0</v>
      </c>
      <c r="O4834" s="25">
        <f>0.087*M4834</f>
        <v>0</v>
      </c>
      <c r="P4834" s="26">
        <f>0.00005*M4834</f>
        <v>0</v>
      </c>
      <c r="Q4834" s="30"/>
      <c r="R4834" s="22" t="s">
        <v>17042</v>
      </c>
      <c r="S4834" s="22"/>
      <c r="T4834" s="21" t="str">
        <f>HYPERLINK("https://miland.ru/api/getInfo/image/18495ad4-8a2c-11ef-a265-00155d82e908")</f>
        <v>https://miland.ru/api/getInfo/image/18495ad4-8a2c-11ef-a265-00155d82e908</v>
      </c>
      <c r="U4834" s="21"/>
      <c r="V4834" s="21" t="s">
        <v>17019</v>
      </c>
      <c r="W4834" s="21" t="s">
        <v>17020</v>
      </c>
      <c r="X4834" s="21"/>
      <c r="Y4834" s="21" t="s">
        <v>697</v>
      </c>
      <c r="Z4834" s="21"/>
      <c r="AA4834" s="21" t="str">
        <f>HYPERLINK("https://miland.ru/api/getInfo/item/18495ad4-8a2c-11ef-a265-00155d82e908")</f>
        <v>https://miland.ru/api/getInfo/item/18495ad4-8a2c-11ef-a265-00155d82e908</v>
      </c>
      <c r="AB4834" s="21" t="s">
        <v>50</v>
      </c>
      <c r="AC4834" s="21"/>
      <c r="AD4834" s="21"/>
    </row>
    <row r="4835" spans="2:30" s="1" customFormat="1" ht="96.3" customHeight="1" outlineLevel="6">
      <c r="B4835" s="57">
        <v>3879</v>
      </c>
      <c r="C4835" s="21" t="s">
        <v>17043</v>
      </c>
      <c r="D4835" s="72" t="s">
        <v>17044</v>
      </c>
      <c r="E4835" s="72"/>
      <c r="F4835" s="72"/>
      <c r="G4835" s="72"/>
      <c r="H4835" s="22" t="s">
        <v>17045</v>
      </c>
      <c r="I4835" s="23" t="s">
        <v>36</v>
      </c>
      <c r="J4835" s="22"/>
      <c r="K4835" s="20">
        <v>10</v>
      </c>
      <c r="L4835" s="24">
        <v>58.98</v>
      </c>
      <c r="M4835" s="11"/>
      <c r="N4835" s="22">
        <f>L4835*M4835</f>
        <v>0</v>
      </c>
      <c r="O4835" s="25">
        <f>0.088*M4835</f>
        <v>0</v>
      </c>
      <c r="P4835" s="26">
        <f>0.00006*M4835</f>
        <v>0</v>
      </c>
      <c r="Q4835" s="30"/>
      <c r="R4835" s="22" t="s">
        <v>17046</v>
      </c>
      <c r="S4835" s="22"/>
      <c r="T4835" s="21" t="str">
        <f>HYPERLINK("https://miland.ru/api/getInfo/image/ac82b18f-8a2c-11ef-a265-00155d82e908")</f>
        <v>https://miland.ru/api/getInfo/image/ac82b18f-8a2c-11ef-a265-00155d82e908</v>
      </c>
      <c r="U4835" s="21"/>
      <c r="V4835" s="21" t="s">
        <v>17019</v>
      </c>
      <c r="W4835" s="21" t="s">
        <v>17020</v>
      </c>
      <c r="X4835" s="21"/>
      <c r="Y4835" s="21" t="s">
        <v>697</v>
      </c>
      <c r="Z4835" s="21"/>
      <c r="AA4835" s="21" t="str">
        <f>HYPERLINK("https://miland.ru/api/getInfo/item/ac82b18f-8a2c-11ef-a265-00155d82e908")</f>
        <v>https://miland.ru/api/getInfo/item/ac82b18f-8a2c-11ef-a265-00155d82e908</v>
      </c>
      <c r="AB4835" s="21" t="s">
        <v>50</v>
      </c>
      <c r="AC4835" s="21"/>
      <c r="AD4835" s="21"/>
    </row>
    <row r="4836" spans="2:30" s="1" customFormat="1" ht="96.3" customHeight="1" outlineLevel="6">
      <c r="B4836" s="57">
        <v>3880</v>
      </c>
      <c r="C4836" s="21" t="s">
        <v>17047</v>
      </c>
      <c r="D4836" s="72" t="s">
        <v>17048</v>
      </c>
      <c r="E4836" s="72"/>
      <c r="F4836" s="72"/>
      <c r="G4836" s="72"/>
      <c r="H4836" s="22" t="s">
        <v>17049</v>
      </c>
      <c r="I4836" s="27">
        <v>51</v>
      </c>
      <c r="J4836" s="22"/>
      <c r="K4836" s="20">
        <v>10</v>
      </c>
      <c r="L4836" s="24">
        <v>58.98</v>
      </c>
      <c r="M4836" s="11"/>
      <c r="N4836" s="22">
        <f>L4836*M4836</f>
        <v>0</v>
      </c>
      <c r="O4836" s="25">
        <f>0.088*M4836</f>
        <v>0</v>
      </c>
      <c r="P4836" s="26">
        <f>0.00012*M4836</f>
        <v>0</v>
      </c>
      <c r="Q4836" s="30"/>
      <c r="R4836" s="22" t="s">
        <v>17050</v>
      </c>
      <c r="S4836" s="22"/>
      <c r="T4836" s="21" t="str">
        <f>HYPERLINK("https://miland.ru/api/getInfo/image/ffb69339-8a2c-11ef-a265-00155d82e908")</f>
        <v>https://miland.ru/api/getInfo/image/ffb69339-8a2c-11ef-a265-00155d82e908</v>
      </c>
      <c r="U4836" s="21"/>
      <c r="V4836" s="21" t="s">
        <v>17019</v>
      </c>
      <c r="W4836" s="21" t="s">
        <v>17020</v>
      </c>
      <c r="X4836" s="21"/>
      <c r="Y4836" s="21" t="s">
        <v>697</v>
      </c>
      <c r="Z4836" s="21"/>
      <c r="AA4836" s="21" t="str">
        <f>HYPERLINK("https://miland.ru/api/getInfo/item/ffb69339-8a2c-11ef-a265-00155d82e908")</f>
        <v>https://miland.ru/api/getInfo/item/ffb69339-8a2c-11ef-a265-00155d82e908</v>
      </c>
      <c r="AB4836" s="21" t="s">
        <v>50</v>
      </c>
      <c r="AC4836" s="21"/>
      <c r="AD4836" s="21"/>
    </row>
    <row r="4837" spans="2:30" s="1" customFormat="1" ht="96.3" customHeight="1" outlineLevel="6">
      <c r="B4837" s="57">
        <v>3881</v>
      </c>
      <c r="C4837" s="21" t="s">
        <v>17051</v>
      </c>
      <c r="D4837" s="72" t="s">
        <v>17052</v>
      </c>
      <c r="E4837" s="72"/>
      <c r="F4837" s="72"/>
      <c r="G4837" s="72"/>
      <c r="H4837" s="22" t="s">
        <v>17053</v>
      </c>
      <c r="I4837" s="27">
        <v>246</v>
      </c>
      <c r="J4837" s="22"/>
      <c r="K4837" s="20">
        <v>10</v>
      </c>
      <c r="L4837" s="24">
        <v>58.98</v>
      </c>
      <c r="M4837" s="11"/>
      <c r="N4837" s="22">
        <f>L4837*M4837</f>
        <v>0</v>
      </c>
      <c r="O4837" s="25">
        <f>0.088*M4837</f>
        <v>0</v>
      </c>
      <c r="P4837" s="26">
        <f>0.00235*M4837</f>
        <v>0</v>
      </c>
      <c r="Q4837" s="30"/>
      <c r="R4837" s="22" t="s">
        <v>17054</v>
      </c>
      <c r="S4837" s="22"/>
      <c r="T4837" s="21" t="str">
        <f>HYPERLINK("https://miland.ru/api/getInfo/image/68155731-8a2c-11ef-a265-00155d82e908")</f>
        <v>https://miland.ru/api/getInfo/image/68155731-8a2c-11ef-a265-00155d82e908</v>
      </c>
      <c r="U4837" s="21"/>
      <c r="V4837" s="21" t="s">
        <v>17019</v>
      </c>
      <c r="W4837" s="21" t="s">
        <v>17020</v>
      </c>
      <c r="X4837" s="21"/>
      <c r="Y4837" s="21" t="s">
        <v>697</v>
      </c>
      <c r="Z4837" s="21"/>
      <c r="AA4837" s="21" t="str">
        <f>HYPERLINK("https://miland.ru/api/getInfo/item/68155731-8a2c-11ef-a265-00155d82e908")</f>
        <v>https://miland.ru/api/getInfo/item/68155731-8a2c-11ef-a265-00155d82e908</v>
      </c>
      <c r="AB4837" s="21" t="s">
        <v>50</v>
      </c>
      <c r="AC4837" s="21"/>
      <c r="AD4837" s="21"/>
    </row>
    <row r="4838" spans="2:30" ht="12" customHeight="1" outlineLevel="3">
      <c r="B4838" s="70" t="s">
        <v>17055</v>
      </c>
      <c r="C4838" s="70"/>
      <c r="D4838" s="70"/>
      <c r="E4838" s="70"/>
      <c r="F4838" s="70"/>
      <c r="G4838" s="70"/>
    </row>
    <row r="4839" spans="2:30" ht="12" customHeight="1" outlineLevel="4">
      <c r="B4839" s="70" t="s">
        <v>17014</v>
      </c>
      <c r="C4839" s="70"/>
      <c r="D4839" s="70"/>
      <c r="E4839" s="70"/>
      <c r="F4839" s="70"/>
      <c r="G4839" s="70"/>
    </row>
    <row r="4840" spans="2:30" ht="12" customHeight="1" outlineLevel="5">
      <c r="B4840" s="70" t="s">
        <v>17056</v>
      </c>
      <c r="C4840" s="70"/>
      <c r="D4840" s="70"/>
      <c r="E4840" s="70"/>
      <c r="F4840" s="70"/>
      <c r="G4840" s="70"/>
    </row>
    <row r="4841" spans="2:30" s="1" customFormat="1" ht="96.3" customHeight="1" outlineLevel="6">
      <c r="B4841" s="57">
        <v>3882</v>
      </c>
      <c r="C4841" s="21" t="s">
        <v>17057</v>
      </c>
      <c r="D4841" s="72" t="s">
        <v>17058</v>
      </c>
      <c r="E4841" s="72"/>
      <c r="F4841" s="72"/>
      <c r="G4841" s="72"/>
      <c r="H4841" s="22" t="s">
        <v>17059</v>
      </c>
      <c r="I4841" s="27">
        <v>78</v>
      </c>
      <c r="J4841" s="22"/>
      <c r="K4841" s="20">
        <v>14</v>
      </c>
      <c r="L4841" s="24">
        <v>45.41</v>
      </c>
      <c r="M4841" s="11"/>
      <c r="N4841" s="22">
        <f t="shared" ref="N4841:N4846" si="247">L4841*M4841</f>
        <v>0</v>
      </c>
      <c r="O4841" s="25">
        <f>0.045*M4841</f>
        <v>0</v>
      </c>
      <c r="P4841" s="26">
        <f>0.00048*M4841</f>
        <v>0</v>
      </c>
      <c r="Q4841" s="30"/>
      <c r="R4841" s="22" t="s">
        <v>17060</v>
      </c>
      <c r="S4841" s="22"/>
      <c r="T4841" s="21" t="str">
        <f>HYPERLINK("https://miland.ru/api/getInfo/image/3dca3852-8a28-11ef-a265-00155d82e908")</f>
        <v>https://miland.ru/api/getInfo/image/3dca3852-8a28-11ef-a265-00155d82e908</v>
      </c>
      <c r="U4841" s="21"/>
      <c r="V4841" s="21" t="s">
        <v>17061</v>
      </c>
      <c r="W4841" s="21" t="s">
        <v>17062</v>
      </c>
      <c r="X4841" s="21"/>
      <c r="Y4841" s="21" t="s">
        <v>697</v>
      </c>
      <c r="Z4841" s="21"/>
      <c r="AA4841" s="21" t="str">
        <f>HYPERLINK("https://miland.ru/api/getInfo/item/3dca3852-8a28-11ef-a265-00155d82e908")</f>
        <v>https://miland.ru/api/getInfo/item/3dca3852-8a28-11ef-a265-00155d82e908</v>
      </c>
      <c r="AB4841" s="21" t="s">
        <v>50</v>
      </c>
      <c r="AC4841" s="21" t="s">
        <v>17063</v>
      </c>
      <c r="AD4841" s="21"/>
    </row>
    <row r="4842" spans="2:30" s="1" customFormat="1" ht="96.3" customHeight="1" outlineLevel="6">
      <c r="B4842" s="57">
        <v>3883</v>
      </c>
      <c r="C4842" s="21" t="s">
        <v>17064</v>
      </c>
      <c r="D4842" s="72" t="s">
        <v>17065</v>
      </c>
      <c r="E4842" s="72"/>
      <c r="F4842" s="72"/>
      <c r="G4842" s="72"/>
      <c r="H4842" s="22" t="s">
        <v>17066</v>
      </c>
      <c r="I4842" s="27">
        <v>91</v>
      </c>
      <c r="J4842" s="22"/>
      <c r="K4842" s="20">
        <v>14</v>
      </c>
      <c r="L4842" s="24">
        <v>45.41</v>
      </c>
      <c r="M4842" s="11"/>
      <c r="N4842" s="22">
        <f t="shared" si="247"/>
        <v>0</v>
      </c>
      <c r="O4842" s="25">
        <f>0.045*M4842</f>
        <v>0</v>
      </c>
      <c r="P4842" s="26">
        <f>0.00049*M4842</f>
        <v>0</v>
      </c>
      <c r="Q4842" s="30"/>
      <c r="R4842" s="22" t="s">
        <v>17067</v>
      </c>
      <c r="S4842" s="22"/>
      <c r="T4842" s="21" t="str">
        <f>HYPERLINK("https://miland.ru/api/getInfo/image/5cf1ebbc-8f87-11ef-a265-00155d82e908")</f>
        <v>https://miland.ru/api/getInfo/image/5cf1ebbc-8f87-11ef-a265-00155d82e908</v>
      </c>
      <c r="U4842" s="21"/>
      <c r="V4842" s="21" t="s">
        <v>17061</v>
      </c>
      <c r="W4842" s="21" t="s">
        <v>17062</v>
      </c>
      <c r="X4842" s="21"/>
      <c r="Y4842" s="21" t="s">
        <v>697</v>
      </c>
      <c r="Z4842" s="21"/>
      <c r="AA4842" s="21" t="str">
        <f>HYPERLINK("https://miland.ru/api/getInfo/item/5cf1ebbc-8f87-11ef-a265-00155d82e908")</f>
        <v>https://miland.ru/api/getInfo/item/5cf1ebbc-8f87-11ef-a265-00155d82e908</v>
      </c>
      <c r="AB4842" s="21" t="s">
        <v>50</v>
      </c>
      <c r="AC4842" s="21" t="s">
        <v>17063</v>
      </c>
      <c r="AD4842" s="21"/>
    </row>
    <row r="4843" spans="2:30" s="1" customFormat="1" ht="96.3" customHeight="1" outlineLevel="6">
      <c r="B4843" s="57">
        <v>3884</v>
      </c>
      <c r="C4843" s="21" t="s">
        <v>17068</v>
      </c>
      <c r="D4843" s="72" t="s">
        <v>17069</v>
      </c>
      <c r="E4843" s="72"/>
      <c r="F4843" s="72"/>
      <c r="G4843" s="72"/>
      <c r="H4843" s="22" t="s">
        <v>17070</v>
      </c>
      <c r="I4843" s="23" t="s">
        <v>36</v>
      </c>
      <c r="J4843" s="22"/>
      <c r="K4843" s="20">
        <v>14</v>
      </c>
      <c r="L4843" s="24">
        <v>45.41</v>
      </c>
      <c r="M4843" s="11"/>
      <c r="N4843" s="22">
        <f t="shared" si="247"/>
        <v>0</v>
      </c>
      <c r="O4843" s="25">
        <f>0.045*M4843</f>
        <v>0</v>
      </c>
      <c r="P4843" s="26">
        <f>0.00048*M4843</f>
        <v>0</v>
      </c>
      <c r="Q4843" s="30"/>
      <c r="R4843" s="22" t="s">
        <v>17071</v>
      </c>
      <c r="S4843" s="22"/>
      <c r="T4843" s="21" t="str">
        <f>HYPERLINK("https://miland.ru/api/getInfo/image/39f5c9f1-8a29-11ef-a265-00155d82e908")</f>
        <v>https://miland.ru/api/getInfo/image/39f5c9f1-8a29-11ef-a265-00155d82e908</v>
      </c>
      <c r="U4843" s="21"/>
      <c r="V4843" s="21" t="s">
        <v>17061</v>
      </c>
      <c r="W4843" s="21" t="s">
        <v>17062</v>
      </c>
      <c r="X4843" s="21"/>
      <c r="Y4843" s="21" t="s">
        <v>697</v>
      </c>
      <c r="Z4843" s="21"/>
      <c r="AA4843" s="21" t="str">
        <f>HYPERLINK("https://miland.ru/api/getInfo/item/39f5c9f1-8a29-11ef-a265-00155d82e908")</f>
        <v>https://miland.ru/api/getInfo/item/39f5c9f1-8a29-11ef-a265-00155d82e908</v>
      </c>
      <c r="AB4843" s="21" t="s">
        <v>50</v>
      </c>
      <c r="AC4843" s="21" t="s">
        <v>17063</v>
      </c>
      <c r="AD4843" s="21"/>
    </row>
    <row r="4844" spans="2:30" s="1" customFormat="1" ht="96.3" customHeight="1" outlineLevel="6">
      <c r="B4844" s="57">
        <v>3885</v>
      </c>
      <c r="C4844" s="21" t="s">
        <v>17072</v>
      </c>
      <c r="D4844" s="72" t="s">
        <v>17073</v>
      </c>
      <c r="E4844" s="72"/>
      <c r="F4844" s="72"/>
      <c r="G4844" s="72"/>
      <c r="H4844" s="22" t="s">
        <v>17074</v>
      </c>
      <c r="I4844" s="27">
        <v>151</v>
      </c>
      <c r="J4844" s="22"/>
      <c r="K4844" s="20">
        <v>14</v>
      </c>
      <c r="L4844" s="24">
        <v>45.41</v>
      </c>
      <c r="M4844" s="11"/>
      <c r="N4844" s="22">
        <f t="shared" si="247"/>
        <v>0</v>
      </c>
      <c r="O4844" s="25">
        <f>0.044*M4844</f>
        <v>0</v>
      </c>
      <c r="P4844" s="26">
        <f>0.00055*M4844</f>
        <v>0</v>
      </c>
      <c r="Q4844" s="30"/>
      <c r="R4844" s="22" t="s">
        <v>17075</v>
      </c>
      <c r="S4844" s="22"/>
      <c r="T4844" s="21" t="str">
        <f>HYPERLINK("https://miland.ru/api/getInfo/image/57f8cf6a-8a29-11ef-a265-00155d82e908")</f>
        <v>https://miland.ru/api/getInfo/image/57f8cf6a-8a29-11ef-a265-00155d82e908</v>
      </c>
      <c r="U4844" s="21"/>
      <c r="V4844" s="21" t="s">
        <v>17061</v>
      </c>
      <c r="W4844" s="21" t="s">
        <v>17062</v>
      </c>
      <c r="X4844" s="21"/>
      <c r="Y4844" s="21" t="s">
        <v>697</v>
      </c>
      <c r="Z4844" s="21"/>
      <c r="AA4844" s="21" t="str">
        <f>HYPERLINK("https://miland.ru/api/getInfo/item/57f8cf6a-8a29-11ef-a265-00155d82e908")</f>
        <v>https://miland.ru/api/getInfo/item/57f8cf6a-8a29-11ef-a265-00155d82e908</v>
      </c>
      <c r="AB4844" s="21" t="s">
        <v>50</v>
      </c>
      <c r="AC4844" s="21" t="s">
        <v>17063</v>
      </c>
      <c r="AD4844" s="21"/>
    </row>
    <row r="4845" spans="2:30" s="1" customFormat="1" ht="96.3" customHeight="1" outlineLevel="6">
      <c r="B4845" s="57">
        <v>3886</v>
      </c>
      <c r="C4845" s="21" t="s">
        <v>17076</v>
      </c>
      <c r="D4845" s="72" t="s">
        <v>17077</v>
      </c>
      <c r="E4845" s="72"/>
      <c r="F4845" s="72"/>
      <c r="G4845" s="72"/>
      <c r="H4845" s="22" t="s">
        <v>17078</v>
      </c>
      <c r="I4845" s="23" t="s">
        <v>36</v>
      </c>
      <c r="J4845" s="22"/>
      <c r="K4845" s="20">
        <v>14</v>
      </c>
      <c r="L4845" s="24">
        <v>45.41</v>
      </c>
      <c r="M4845" s="11"/>
      <c r="N4845" s="22">
        <f t="shared" si="247"/>
        <v>0</v>
      </c>
      <c r="O4845" s="25">
        <f>0.044*M4845</f>
        <v>0</v>
      </c>
      <c r="P4845" s="26">
        <f>0.00002*M4845</f>
        <v>0</v>
      </c>
      <c r="Q4845" s="30"/>
      <c r="R4845" s="22" t="s">
        <v>17079</v>
      </c>
      <c r="S4845" s="22"/>
      <c r="T4845" s="21" t="str">
        <f>HYPERLINK("https://miland.ru/api/getInfo/image/840ec46f-8a29-11ef-a265-00155d82e908")</f>
        <v>https://miland.ru/api/getInfo/image/840ec46f-8a29-11ef-a265-00155d82e908</v>
      </c>
      <c r="U4845" s="21"/>
      <c r="V4845" s="21" t="s">
        <v>17061</v>
      </c>
      <c r="W4845" s="21" t="s">
        <v>17062</v>
      </c>
      <c r="X4845" s="21"/>
      <c r="Y4845" s="21" t="s">
        <v>697</v>
      </c>
      <c r="Z4845" s="21"/>
      <c r="AA4845" s="21" t="str">
        <f>HYPERLINK("https://miland.ru/api/getInfo/item/840ec46f-8a29-11ef-a265-00155d82e908")</f>
        <v>https://miland.ru/api/getInfo/item/840ec46f-8a29-11ef-a265-00155d82e908</v>
      </c>
      <c r="AB4845" s="21" t="s">
        <v>50</v>
      </c>
      <c r="AC4845" s="21" t="s">
        <v>17063</v>
      </c>
      <c r="AD4845" s="21"/>
    </row>
    <row r="4846" spans="2:30" s="1" customFormat="1" ht="96.3" customHeight="1" outlineLevel="6">
      <c r="B4846" s="57">
        <v>3887</v>
      </c>
      <c r="C4846" s="21" t="s">
        <v>17080</v>
      </c>
      <c r="D4846" s="72" t="s">
        <v>17081</v>
      </c>
      <c r="E4846" s="72"/>
      <c r="F4846" s="72"/>
      <c r="G4846" s="72"/>
      <c r="H4846" s="22" t="s">
        <v>17082</v>
      </c>
      <c r="I4846" s="23" t="s">
        <v>36</v>
      </c>
      <c r="J4846" s="22"/>
      <c r="K4846" s="20">
        <v>14</v>
      </c>
      <c r="L4846" s="24">
        <v>45.41</v>
      </c>
      <c r="M4846" s="11"/>
      <c r="N4846" s="22">
        <f t="shared" si="247"/>
        <v>0</v>
      </c>
      <c r="O4846" s="25">
        <f>0.043*M4846</f>
        <v>0</v>
      </c>
      <c r="P4846" s="26">
        <f>0.00056*M4846</f>
        <v>0</v>
      </c>
      <c r="Q4846" s="30"/>
      <c r="R4846" s="22" t="s">
        <v>17083</v>
      </c>
      <c r="S4846" s="22"/>
      <c r="T4846" s="21" t="str">
        <f>HYPERLINK("https://miland.ru/api/getInfo/image/e364852f-8a29-11ef-a265-00155d82e908")</f>
        <v>https://miland.ru/api/getInfo/image/e364852f-8a29-11ef-a265-00155d82e908</v>
      </c>
      <c r="U4846" s="21"/>
      <c r="V4846" s="21" t="s">
        <v>17061</v>
      </c>
      <c r="W4846" s="21" t="s">
        <v>17062</v>
      </c>
      <c r="X4846" s="21"/>
      <c r="Y4846" s="21" t="s">
        <v>697</v>
      </c>
      <c r="Z4846" s="21"/>
      <c r="AA4846" s="21" t="str">
        <f>HYPERLINK("https://miland.ru/api/getInfo/item/e364852f-8a29-11ef-a265-00155d82e908")</f>
        <v>https://miland.ru/api/getInfo/item/e364852f-8a29-11ef-a265-00155d82e908</v>
      </c>
      <c r="AB4846" s="21" t="s">
        <v>50</v>
      </c>
      <c r="AC4846" s="21" t="s">
        <v>17063</v>
      </c>
      <c r="AD4846" s="21"/>
    </row>
    <row r="4847" spans="2:30" ht="12" customHeight="1" outlineLevel="3">
      <c r="B4847" s="70" t="s">
        <v>17084</v>
      </c>
      <c r="C4847" s="70"/>
      <c r="D4847" s="70"/>
      <c r="E4847" s="70"/>
      <c r="F4847" s="70"/>
      <c r="G4847" s="70"/>
    </row>
    <row r="4848" spans="2:30" s="1" customFormat="1" ht="96.3" customHeight="1" outlineLevel="4">
      <c r="B4848" s="57">
        <v>3888</v>
      </c>
      <c r="C4848" s="21" t="s">
        <v>17085</v>
      </c>
      <c r="D4848" s="72" t="s">
        <v>17086</v>
      </c>
      <c r="E4848" s="72"/>
      <c r="F4848" s="72"/>
      <c r="G4848" s="72"/>
      <c r="H4848" s="22" t="s">
        <v>17087</v>
      </c>
      <c r="I4848" s="23" t="s">
        <v>36</v>
      </c>
      <c r="J4848" s="22"/>
      <c r="K4848" s="20">
        <v>3</v>
      </c>
      <c r="L4848" s="24">
        <v>251.49</v>
      </c>
      <c r="M4848" s="11"/>
      <c r="N4848" s="22">
        <f t="shared" ref="N4848:N4855" si="248">L4848*M4848</f>
        <v>0</v>
      </c>
      <c r="O4848" s="25">
        <f>0.221*M4848</f>
        <v>0</v>
      </c>
      <c r="P4848" s="26">
        <f>0.00374*M4848</f>
        <v>0</v>
      </c>
      <c r="Q4848" s="30"/>
      <c r="R4848" s="22" t="s">
        <v>17088</v>
      </c>
      <c r="S4848" s="22"/>
      <c r="T4848" s="21" t="str">
        <f>HYPERLINK("https://miland.ru/api/getInfo/image/c06d74ae-8a2d-11ef-a265-00155d82e908")</f>
        <v>https://miland.ru/api/getInfo/image/c06d74ae-8a2d-11ef-a265-00155d82e908</v>
      </c>
      <c r="U4848" s="21"/>
      <c r="V4848" s="21" t="s">
        <v>17061</v>
      </c>
      <c r="W4848" s="21" t="s">
        <v>17062</v>
      </c>
      <c r="X4848" s="21"/>
      <c r="Y4848" s="21" t="s">
        <v>41</v>
      </c>
      <c r="Z4848" s="21"/>
      <c r="AA4848" s="21" t="str">
        <f>HYPERLINK("https://miland.ru/api/getInfo/item/c06d74ae-8a2d-11ef-a265-00155d82e908")</f>
        <v>https://miland.ru/api/getInfo/item/c06d74ae-8a2d-11ef-a265-00155d82e908</v>
      </c>
      <c r="AB4848" s="21" t="s">
        <v>50</v>
      </c>
      <c r="AC4848" s="21"/>
      <c r="AD4848" s="21"/>
    </row>
    <row r="4849" spans="2:31" s="1" customFormat="1" ht="96.3" customHeight="1" outlineLevel="4">
      <c r="B4849" s="57">
        <v>3889</v>
      </c>
      <c r="C4849" s="21" t="s">
        <v>17089</v>
      </c>
      <c r="D4849" s="72" t="s">
        <v>17090</v>
      </c>
      <c r="E4849" s="72"/>
      <c r="F4849" s="72"/>
      <c r="G4849" s="72"/>
      <c r="H4849" s="22" t="s">
        <v>17091</v>
      </c>
      <c r="I4849" s="23" t="s">
        <v>36</v>
      </c>
      <c r="J4849" s="22"/>
      <c r="K4849" s="20">
        <v>3</v>
      </c>
      <c r="L4849" s="24">
        <v>251.49</v>
      </c>
      <c r="M4849" s="11"/>
      <c r="N4849" s="22">
        <f t="shared" si="248"/>
        <v>0</v>
      </c>
      <c r="O4849" s="25">
        <f>0.218*M4849</f>
        <v>0</v>
      </c>
      <c r="P4849" s="26">
        <f>0.00396*M4849</f>
        <v>0</v>
      </c>
      <c r="Q4849" s="30"/>
      <c r="R4849" s="22" t="s">
        <v>17092</v>
      </c>
      <c r="S4849" s="22"/>
      <c r="T4849" s="21" t="str">
        <f>HYPERLINK("https://miland.ru/api/getInfo/image/3ca324f4-8a2e-11ef-a265-00155d82e908")</f>
        <v>https://miland.ru/api/getInfo/image/3ca324f4-8a2e-11ef-a265-00155d82e908</v>
      </c>
      <c r="U4849" s="21"/>
      <c r="V4849" s="21" t="s">
        <v>17061</v>
      </c>
      <c r="W4849" s="21" t="s">
        <v>17062</v>
      </c>
      <c r="X4849" s="21"/>
      <c r="Y4849" s="21" t="s">
        <v>41</v>
      </c>
      <c r="Z4849" s="21"/>
      <c r="AA4849" s="21" t="str">
        <f>HYPERLINK("https://miland.ru/api/getInfo/item/3ca324f4-8a2e-11ef-a265-00155d82e908")</f>
        <v>https://miland.ru/api/getInfo/item/3ca324f4-8a2e-11ef-a265-00155d82e908</v>
      </c>
      <c r="AB4849" s="21" t="s">
        <v>50</v>
      </c>
      <c r="AC4849" s="21"/>
      <c r="AD4849" s="21"/>
    </row>
    <row r="4850" spans="2:31" s="1" customFormat="1" ht="96.3" customHeight="1" outlineLevel="4">
      <c r="B4850" s="57">
        <v>3890</v>
      </c>
      <c r="C4850" s="21" t="s">
        <v>17093</v>
      </c>
      <c r="D4850" s="72" t="s">
        <v>17094</v>
      </c>
      <c r="E4850" s="72"/>
      <c r="F4850" s="72"/>
      <c r="G4850" s="72"/>
      <c r="H4850" s="22" t="s">
        <v>17095</v>
      </c>
      <c r="I4850" s="23" t="s">
        <v>36</v>
      </c>
      <c r="J4850" s="22"/>
      <c r="K4850" s="20">
        <v>3</v>
      </c>
      <c r="L4850" s="24">
        <v>251.49</v>
      </c>
      <c r="M4850" s="11"/>
      <c r="N4850" s="22">
        <f t="shared" si="248"/>
        <v>0</v>
      </c>
      <c r="O4850" s="25">
        <f>0.216*M4850</f>
        <v>0</v>
      </c>
      <c r="P4850" s="26">
        <f>0.00414*M4850</f>
        <v>0</v>
      </c>
      <c r="Q4850" s="30"/>
      <c r="R4850" s="22" t="s">
        <v>17096</v>
      </c>
      <c r="S4850" s="22"/>
      <c r="T4850" s="21" t="str">
        <f>HYPERLINK("https://miland.ru/api/getInfo/image/5f8911f3-8a2e-11ef-a265-00155d82e908")</f>
        <v>https://miland.ru/api/getInfo/image/5f8911f3-8a2e-11ef-a265-00155d82e908</v>
      </c>
      <c r="U4850" s="21"/>
      <c r="V4850" s="21" t="s">
        <v>17061</v>
      </c>
      <c r="W4850" s="21" t="s">
        <v>17062</v>
      </c>
      <c r="X4850" s="21"/>
      <c r="Y4850" s="21" t="s">
        <v>41</v>
      </c>
      <c r="Z4850" s="21"/>
      <c r="AA4850" s="21" t="str">
        <f>HYPERLINK("https://miland.ru/api/getInfo/item/5f8911f3-8a2e-11ef-a265-00155d82e908")</f>
        <v>https://miland.ru/api/getInfo/item/5f8911f3-8a2e-11ef-a265-00155d82e908</v>
      </c>
      <c r="AB4850" s="21" t="s">
        <v>50</v>
      </c>
      <c r="AC4850" s="21"/>
      <c r="AD4850" s="21"/>
    </row>
    <row r="4851" spans="2:31" s="1" customFormat="1" ht="96.3" customHeight="1" outlineLevel="4">
      <c r="B4851" s="57">
        <v>3891</v>
      </c>
      <c r="C4851" s="21" t="s">
        <v>17097</v>
      </c>
      <c r="D4851" s="72" t="s">
        <v>17098</v>
      </c>
      <c r="E4851" s="72"/>
      <c r="F4851" s="72"/>
      <c r="G4851" s="72"/>
      <c r="H4851" s="22" t="s">
        <v>17099</v>
      </c>
      <c r="I4851" s="27">
        <v>137</v>
      </c>
      <c r="J4851" s="22"/>
      <c r="K4851" s="20">
        <v>3</v>
      </c>
      <c r="L4851" s="24">
        <v>251.49</v>
      </c>
      <c r="M4851" s="11"/>
      <c r="N4851" s="22">
        <f t="shared" si="248"/>
        <v>0</v>
      </c>
      <c r="O4851" s="25">
        <f>0.217*M4851</f>
        <v>0</v>
      </c>
      <c r="P4851" s="26">
        <f>0.00402*M4851</f>
        <v>0</v>
      </c>
      <c r="Q4851" s="30"/>
      <c r="R4851" s="22" t="s">
        <v>17100</v>
      </c>
      <c r="S4851" s="22"/>
      <c r="T4851" s="21" t="str">
        <f>HYPERLINK("https://miland.ru/api/getInfo/image/a20830ae-8a2e-11ef-a265-00155d82e908")</f>
        <v>https://miland.ru/api/getInfo/image/a20830ae-8a2e-11ef-a265-00155d82e908</v>
      </c>
      <c r="U4851" s="21"/>
      <c r="V4851" s="21" t="s">
        <v>17061</v>
      </c>
      <c r="W4851" s="21" t="s">
        <v>17062</v>
      </c>
      <c r="X4851" s="21"/>
      <c r="Y4851" s="21" t="s">
        <v>41</v>
      </c>
      <c r="Z4851" s="21"/>
      <c r="AA4851" s="21" t="str">
        <f>HYPERLINK("https://miland.ru/api/getInfo/item/a20830ae-8a2e-11ef-a265-00155d82e908")</f>
        <v>https://miland.ru/api/getInfo/item/a20830ae-8a2e-11ef-a265-00155d82e908</v>
      </c>
      <c r="AB4851" s="21" t="s">
        <v>50</v>
      </c>
      <c r="AC4851" s="21"/>
      <c r="AD4851" s="21"/>
    </row>
    <row r="4852" spans="2:31" s="1" customFormat="1" ht="96.3" customHeight="1" outlineLevel="4">
      <c r="B4852" s="57">
        <v>3892</v>
      </c>
      <c r="C4852" s="21" t="s">
        <v>17101</v>
      </c>
      <c r="D4852" s="72" t="s">
        <v>17102</v>
      </c>
      <c r="E4852" s="72"/>
      <c r="F4852" s="72"/>
      <c r="G4852" s="72"/>
      <c r="H4852" s="22" t="s">
        <v>17103</v>
      </c>
      <c r="I4852" s="23" t="s">
        <v>36</v>
      </c>
      <c r="J4852" s="22"/>
      <c r="K4852" s="20">
        <v>3</v>
      </c>
      <c r="L4852" s="24">
        <v>251.49</v>
      </c>
      <c r="M4852" s="11"/>
      <c r="N4852" s="22">
        <f t="shared" si="248"/>
        <v>0</v>
      </c>
      <c r="O4852" s="25">
        <f>0.214*M4852</f>
        <v>0</v>
      </c>
      <c r="P4852" s="26">
        <f>0.00408*M4852</f>
        <v>0</v>
      </c>
      <c r="Q4852" s="30"/>
      <c r="R4852" s="22" t="s">
        <v>17104</v>
      </c>
      <c r="S4852" s="22"/>
      <c r="T4852" s="21" t="str">
        <f>HYPERLINK("https://miland.ru/api/getInfo/image/f603803b-8a2d-11ef-a265-00155d82e908")</f>
        <v>https://miland.ru/api/getInfo/image/f603803b-8a2d-11ef-a265-00155d82e908</v>
      </c>
      <c r="U4852" s="21"/>
      <c r="V4852" s="21" t="s">
        <v>17061</v>
      </c>
      <c r="W4852" s="21" t="s">
        <v>17062</v>
      </c>
      <c r="X4852" s="21"/>
      <c r="Y4852" s="21" t="s">
        <v>41</v>
      </c>
      <c r="Z4852" s="21"/>
      <c r="AA4852" s="21" t="str">
        <f>HYPERLINK("https://miland.ru/api/getInfo/item/f603803b-8a2d-11ef-a265-00155d82e908")</f>
        <v>https://miland.ru/api/getInfo/item/f603803b-8a2d-11ef-a265-00155d82e908</v>
      </c>
      <c r="AB4852" s="21" t="s">
        <v>50</v>
      </c>
      <c r="AC4852" s="21"/>
      <c r="AD4852" s="21"/>
    </row>
    <row r="4853" spans="2:31" s="1" customFormat="1" ht="96.3" customHeight="1" outlineLevel="4">
      <c r="B4853" s="57">
        <v>3893</v>
      </c>
      <c r="C4853" s="21" t="s">
        <v>17105</v>
      </c>
      <c r="D4853" s="72" t="s">
        <v>17106</v>
      </c>
      <c r="E4853" s="72"/>
      <c r="F4853" s="72"/>
      <c r="G4853" s="72"/>
      <c r="H4853" s="22" t="s">
        <v>17107</v>
      </c>
      <c r="I4853" s="23" t="s">
        <v>36</v>
      </c>
      <c r="J4853" s="22"/>
      <c r="K4853" s="20">
        <v>3</v>
      </c>
      <c r="L4853" s="24">
        <v>251.49</v>
      </c>
      <c r="M4853" s="11"/>
      <c r="N4853" s="22">
        <f t="shared" si="248"/>
        <v>0</v>
      </c>
      <c r="O4853" s="25">
        <f>0.219*M4853</f>
        <v>0</v>
      </c>
      <c r="P4853" s="26">
        <f>0.00402*M4853</f>
        <v>0</v>
      </c>
      <c r="Q4853" s="30"/>
      <c r="R4853" s="22" t="s">
        <v>17108</v>
      </c>
      <c r="S4853" s="22"/>
      <c r="T4853" s="21" t="str">
        <f>HYPERLINK("https://miland.ru/api/getInfo/image/80df0f7d-8a2e-11ef-a265-00155d82e908")</f>
        <v>https://miland.ru/api/getInfo/image/80df0f7d-8a2e-11ef-a265-00155d82e908</v>
      </c>
      <c r="U4853" s="21"/>
      <c r="V4853" s="21" t="s">
        <v>17061</v>
      </c>
      <c r="W4853" s="21" t="s">
        <v>17062</v>
      </c>
      <c r="X4853" s="21"/>
      <c r="Y4853" s="21" t="s">
        <v>41</v>
      </c>
      <c r="Z4853" s="21"/>
      <c r="AA4853" s="21" t="str">
        <f>HYPERLINK("https://miland.ru/api/getInfo/item/80df0f7d-8a2e-11ef-a265-00155d82e908")</f>
        <v>https://miland.ru/api/getInfo/item/80df0f7d-8a2e-11ef-a265-00155d82e908</v>
      </c>
      <c r="AB4853" s="21" t="s">
        <v>50</v>
      </c>
      <c r="AC4853" s="21"/>
      <c r="AD4853" s="21"/>
    </row>
    <row r="4854" spans="2:31" s="1" customFormat="1" ht="96.3" customHeight="1" outlineLevel="4">
      <c r="B4854" s="57">
        <v>3894</v>
      </c>
      <c r="C4854" s="21" t="s">
        <v>17109</v>
      </c>
      <c r="D4854" s="72" t="s">
        <v>17110</v>
      </c>
      <c r="E4854" s="72"/>
      <c r="F4854" s="72"/>
      <c r="G4854" s="72"/>
      <c r="H4854" s="22" t="s">
        <v>17111</v>
      </c>
      <c r="I4854" s="23" t="s">
        <v>36</v>
      </c>
      <c r="J4854" s="22"/>
      <c r="K4854" s="20">
        <v>3</v>
      </c>
      <c r="L4854" s="24">
        <v>251.49</v>
      </c>
      <c r="M4854" s="11"/>
      <c r="N4854" s="22">
        <f t="shared" si="248"/>
        <v>0</v>
      </c>
      <c r="O4854" s="25">
        <f>0.216*M4854</f>
        <v>0</v>
      </c>
      <c r="P4854" s="29">
        <f>0.0038*M4854</f>
        <v>0</v>
      </c>
      <c r="Q4854" s="30"/>
      <c r="R4854" s="22" t="s">
        <v>17112</v>
      </c>
      <c r="S4854" s="22"/>
      <c r="T4854" s="21" t="str">
        <f>HYPERLINK("https://miland.ru/api/getInfo/image/18b8bff1-8a2e-11ef-a265-00155d82e908")</f>
        <v>https://miland.ru/api/getInfo/image/18b8bff1-8a2e-11ef-a265-00155d82e908</v>
      </c>
      <c r="U4854" s="21"/>
      <c r="V4854" s="21" t="s">
        <v>17061</v>
      </c>
      <c r="W4854" s="21" t="s">
        <v>17062</v>
      </c>
      <c r="X4854" s="21"/>
      <c r="Y4854" s="21" t="s">
        <v>41</v>
      </c>
      <c r="Z4854" s="21"/>
      <c r="AA4854" s="21" t="str">
        <f>HYPERLINK("https://miland.ru/api/getInfo/item/18b8bff1-8a2e-11ef-a265-00155d82e908")</f>
        <v>https://miland.ru/api/getInfo/item/18b8bff1-8a2e-11ef-a265-00155d82e908</v>
      </c>
      <c r="AB4854" s="21" t="s">
        <v>50</v>
      </c>
      <c r="AC4854" s="21"/>
      <c r="AD4854" s="21"/>
    </row>
    <row r="4855" spans="2:31" s="1" customFormat="1" ht="96.3" customHeight="1" outlineLevel="4">
      <c r="B4855" s="57">
        <v>3895</v>
      </c>
      <c r="C4855" s="21" t="s">
        <v>17113</v>
      </c>
      <c r="D4855" s="72" t="s">
        <v>17114</v>
      </c>
      <c r="E4855" s="72"/>
      <c r="F4855" s="72"/>
      <c r="G4855" s="72"/>
      <c r="H4855" s="22" t="s">
        <v>17115</v>
      </c>
      <c r="I4855" s="23" t="s">
        <v>36</v>
      </c>
      <c r="J4855" s="22"/>
      <c r="K4855" s="20">
        <v>3</v>
      </c>
      <c r="L4855" s="24">
        <v>251.49</v>
      </c>
      <c r="M4855" s="11"/>
      <c r="N4855" s="22">
        <f t="shared" si="248"/>
        <v>0</v>
      </c>
      <c r="O4855" s="25">
        <f>0.215*M4855</f>
        <v>0</v>
      </c>
      <c r="P4855" s="26">
        <f>0.00384*M4855</f>
        <v>0</v>
      </c>
      <c r="Q4855" s="30"/>
      <c r="R4855" s="22" t="s">
        <v>17116</v>
      </c>
      <c r="S4855" s="22"/>
      <c r="T4855" s="21" t="str">
        <f>HYPERLINK("https://miland.ru/api/getInfo/image/c3e2c783-8a2e-11ef-a265-00155d82e908")</f>
        <v>https://miland.ru/api/getInfo/image/c3e2c783-8a2e-11ef-a265-00155d82e908</v>
      </c>
      <c r="U4855" s="21"/>
      <c r="V4855" s="21" t="s">
        <v>17061</v>
      </c>
      <c r="W4855" s="21" t="s">
        <v>17062</v>
      </c>
      <c r="X4855" s="21"/>
      <c r="Y4855" s="21" t="s">
        <v>41</v>
      </c>
      <c r="Z4855" s="21"/>
      <c r="AA4855" s="21" t="str">
        <f>HYPERLINK("https://miland.ru/api/getInfo/item/c3e2c783-8a2e-11ef-a265-00155d82e908")</f>
        <v>https://miland.ru/api/getInfo/item/c3e2c783-8a2e-11ef-a265-00155d82e908</v>
      </c>
      <c r="AB4855" s="21" t="s">
        <v>50</v>
      </c>
      <c r="AC4855" s="21"/>
      <c r="AD4855" s="21"/>
    </row>
    <row r="4856" spans="2:31" ht="12" customHeight="1" outlineLevel="2">
      <c r="B4856" s="69" t="s">
        <v>17117</v>
      </c>
      <c r="C4856" s="69"/>
      <c r="D4856" s="69"/>
      <c r="E4856" s="69"/>
      <c r="F4856" s="69"/>
      <c r="G4856" s="69"/>
    </row>
    <row r="4857" spans="2:31" ht="12" customHeight="1" outlineLevel="3">
      <c r="B4857" s="70" t="s">
        <v>17118</v>
      </c>
      <c r="C4857" s="70"/>
      <c r="D4857" s="70"/>
      <c r="E4857" s="70"/>
      <c r="F4857" s="70"/>
      <c r="G4857" s="70"/>
    </row>
    <row r="4858" spans="2:31" s="1" customFormat="1" ht="96.3" customHeight="1" outlineLevel="4">
      <c r="B4858" s="59">
        <v>3896</v>
      </c>
      <c r="C4858" s="35" t="s">
        <v>17119</v>
      </c>
      <c r="D4858" s="73" t="s">
        <v>17120</v>
      </c>
      <c r="E4858" s="73"/>
      <c r="F4858" s="73"/>
      <c r="G4858" s="73"/>
      <c r="H4858" s="36" t="s">
        <v>17121</v>
      </c>
      <c r="I4858" s="56" t="s">
        <v>36</v>
      </c>
      <c r="J4858" s="36"/>
      <c r="K4858" s="34">
        <v>16</v>
      </c>
      <c r="L4858" s="41">
        <v>18.253333333333334</v>
      </c>
      <c r="M4858" s="11"/>
      <c r="N4858" s="36">
        <f t="shared" ref="N4858:N4921" si="249">L4858*M4858</f>
        <v>0</v>
      </c>
      <c r="O4858" s="42">
        <f>0.012*M4858</f>
        <v>0</v>
      </c>
      <c r="P4858" s="55">
        <f>0.0001*M4858</f>
        <v>0</v>
      </c>
      <c r="Q4858" s="50"/>
      <c r="R4858" s="36" t="s">
        <v>17122</v>
      </c>
      <c r="S4858" s="36" t="s">
        <v>435</v>
      </c>
      <c r="T4858" s="35" t="str">
        <f>HYPERLINK("https://miland.ru/api/getInfo/image/2fde548f-9904-11eb-a201-ac1f6b442185")</f>
        <v>https://miland.ru/api/getInfo/image/2fde548f-9904-11eb-a201-ac1f6b442185</v>
      </c>
      <c r="U4858" s="35"/>
      <c r="V4858" s="35" t="s">
        <v>11948</v>
      </c>
      <c r="W4858" s="35" t="s">
        <v>1630</v>
      </c>
      <c r="X4858" s="35"/>
      <c r="Y4858" s="35" t="s">
        <v>697</v>
      </c>
      <c r="Z4858" s="35"/>
      <c r="AA4858" s="35" t="str">
        <f>HYPERLINK("https://miland.ru/api/getInfo/item/2fde548f-9904-11eb-a201-ac1f6b442185")</f>
        <v>https://miland.ru/api/getInfo/item/2fde548f-9904-11eb-a201-ac1f6b442185</v>
      </c>
      <c r="AB4858" s="35" t="s">
        <v>42</v>
      </c>
      <c r="AC4858" s="35"/>
      <c r="AD4858" s="35"/>
      <c r="AE4858" s="52" t="s">
        <v>1251</v>
      </c>
    </row>
    <row r="4859" spans="2:31" s="1" customFormat="1" ht="96.3" customHeight="1" outlineLevel="4">
      <c r="B4859" s="59">
        <v>3897</v>
      </c>
      <c r="C4859" s="35" t="s">
        <v>17123</v>
      </c>
      <c r="D4859" s="73" t="s">
        <v>17124</v>
      </c>
      <c r="E4859" s="73"/>
      <c r="F4859" s="73"/>
      <c r="G4859" s="73"/>
      <c r="H4859" s="36" t="s">
        <v>17125</v>
      </c>
      <c r="I4859" s="56" t="s">
        <v>36</v>
      </c>
      <c r="J4859" s="36"/>
      <c r="K4859" s="34">
        <v>16</v>
      </c>
      <c r="L4859" s="41">
        <v>18.253333333333334</v>
      </c>
      <c r="M4859" s="11"/>
      <c r="N4859" s="36">
        <f t="shared" si="249"/>
        <v>0</v>
      </c>
      <c r="O4859" s="42">
        <f>0.011*M4859</f>
        <v>0</v>
      </c>
      <c r="P4859" s="43">
        <f>0.00009*M4859</f>
        <v>0</v>
      </c>
      <c r="Q4859" s="50"/>
      <c r="R4859" s="36" t="s">
        <v>17126</v>
      </c>
      <c r="S4859" s="36" t="s">
        <v>435</v>
      </c>
      <c r="T4859" s="35" t="str">
        <f>HYPERLINK("https://miland.ru/api/getInfo/image/2991c20f-9905-11eb-a201-ac1f6b442185")</f>
        <v>https://miland.ru/api/getInfo/image/2991c20f-9905-11eb-a201-ac1f6b442185</v>
      </c>
      <c r="U4859" s="35"/>
      <c r="V4859" s="35" t="s">
        <v>11948</v>
      </c>
      <c r="W4859" s="35" t="s">
        <v>1630</v>
      </c>
      <c r="X4859" s="35"/>
      <c r="Y4859" s="35" t="s">
        <v>697</v>
      </c>
      <c r="Z4859" s="35"/>
      <c r="AA4859" s="35" t="str">
        <f>HYPERLINK("https://miland.ru/api/getInfo/item/2991c20f-9905-11eb-a201-ac1f6b442185")</f>
        <v>https://miland.ru/api/getInfo/item/2991c20f-9905-11eb-a201-ac1f6b442185</v>
      </c>
      <c r="AB4859" s="35" t="s">
        <v>42</v>
      </c>
      <c r="AC4859" s="35"/>
      <c r="AD4859" s="35"/>
      <c r="AE4859" s="52" t="s">
        <v>1251</v>
      </c>
    </row>
    <row r="4860" spans="2:31" s="1" customFormat="1" ht="96.3" customHeight="1" outlineLevel="4">
      <c r="B4860" s="59">
        <v>3898</v>
      </c>
      <c r="C4860" s="35" t="s">
        <v>17127</v>
      </c>
      <c r="D4860" s="73" t="s">
        <v>17128</v>
      </c>
      <c r="E4860" s="73"/>
      <c r="F4860" s="73"/>
      <c r="G4860" s="73"/>
      <c r="H4860" s="36" t="s">
        <v>17129</v>
      </c>
      <c r="I4860" s="56" t="s">
        <v>36</v>
      </c>
      <c r="J4860" s="36"/>
      <c r="K4860" s="34">
        <v>16</v>
      </c>
      <c r="L4860" s="41">
        <v>18.253333333333334</v>
      </c>
      <c r="M4860" s="11"/>
      <c r="N4860" s="36">
        <f t="shared" si="249"/>
        <v>0</v>
      </c>
      <c r="O4860" s="42">
        <f>0.013*M4860</f>
        <v>0</v>
      </c>
      <c r="P4860" s="43">
        <f>0.00001*M4860</f>
        <v>0</v>
      </c>
      <c r="Q4860" s="50"/>
      <c r="R4860" s="36" t="s">
        <v>17130</v>
      </c>
      <c r="S4860" s="36" t="s">
        <v>435</v>
      </c>
      <c r="T4860" s="35" t="str">
        <f>HYPERLINK("https://miland.ru/api/getInfo/image/a34a1dba-9907-11eb-a201-ac1f6b442185")</f>
        <v>https://miland.ru/api/getInfo/image/a34a1dba-9907-11eb-a201-ac1f6b442185</v>
      </c>
      <c r="U4860" s="35"/>
      <c r="V4860" s="35" t="s">
        <v>11948</v>
      </c>
      <c r="W4860" s="35" t="s">
        <v>1630</v>
      </c>
      <c r="X4860" s="35"/>
      <c r="Y4860" s="35" t="s">
        <v>697</v>
      </c>
      <c r="Z4860" s="35"/>
      <c r="AA4860" s="35" t="str">
        <f>HYPERLINK("https://miland.ru/api/getInfo/item/a34a1dba-9907-11eb-a201-ac1f6b442185")</f>
        <v>https://miland.ru/api/getInfo/item/a34a1dba-9907-11eb-a201-ac1f6b442185</v>
      </c>
      <c r="AB4860" s="35" t="s">
        <v>42</v>
      </c>
      <c r="AC4860" s="35"/>
      <c r="AD4860" s="35"/>
      <c r="AE4860" s="52" t="s">
        <v>1251</v>
      </c>
    </row>
    <row r="4861" spans="2:31" s="1" customFormat="1" ht="96.3" customHeight="1" outlineLevel="4">
      <c r="B4861" s="59">
        <v>3899</v>
      </c>
      <c r="C4861" s="35" t="s">
        <v>17131</v>
      </c>
      <c r="D4861" s="73" t="s">
        <v>17132</v>
      </c>
      <c r="E4861" s="73"/>
      <c r="F4861" s="73"/>
      <c r="G4861" s="73"/>
      <c r="H4861" s="36" t="s">
        <v>17133</v>
      </c>
      <c r="I4861" s="56" t="s">
        <v>36</v>
      </c>
      <c r="J4861" s="36"/>
      <c r="K4861" s="34">
        <v>16</v>
      </c>
      <c r="L4861" s="41">
        <v>18.253333333333334</v>
      </c>
      <c r="M4861" s="11"/>
      <c r="N4861" s="36">
        <f t="shared" si="249"/>
        <v>0</v>
      </c>
      <c r="O4861" s="42">
        <f>0.012*M4861</f>
        <v>0</v>
      </c>
      <c r="P4861" s="43">
        <f>0.00009*M4861</f>
        <v>0</v>
      </c>
      <c r="Q4861" s="50"/>
      <c r="R4861" s="36" t="s">
        <v>17134</v>
      </c>
      <c r="S4861" s="36" t="s">
        <v>435</v>
      </c>
      <c r="T4861" s="35" t="str">
        <f>HYPERLINK("https://miland.ru/api/getInfo/image/64b5ff8a-9908-11eb-a201-ac1f6b442185")</f>
        <v>https://miland.ru/api/getInfo/image/64b5ff8a-9908-11eb-a201-ac1f6b442185</v>
      </c>
      <c r="U4861" s="35"/>
      <c r="V4861" s="35" t="s">
        <v>11948</v>
      </c>
      <c r="W4861" s="35" t="s">
        <v>1630</v>
      </c>
      <c r="X4861" s="35"/>
      <c r="Y4861" s="35" t="s">
        <v>697</v>
      </c>
      <c r="Z4861" s="35"/>
      <c r="AA4861" s="35" t="str">
        <f>HYPERLINK("https://miland.ru/api/getInfo/item/64b5ff8a-9908-11eb-a201-ac1f6b442185")</f>
        <v>https://miland.ru/api/getInfo/item/64b5ff8a-9908-11eb-a201-ac1f6b442185</v>
      </c>
      <c r="AB4861" s="35" t="s">
        <v>42</v>
      </c>
      <c r="AC4861" s="35"/>
      <c r="AD4861" s="35"/>
      <c r="AE4861" s="52" t="s">
        <v>1251</v>
      </c>
    </row>
    <row r="4862" spans="2:31" s="1" customFormat="1" ht="96.3" customHeight="1" outlineLevel="4">
      <c r="B4862" s="59">
        <v>3900</v>
      </c>
      <c r="C4862" s="35" t="s">
        <v>17135</v>
      </c>
      <c r="D4862" s="73" t="s">
        <v>17136</v>
      </c>
      <c r="E4862" s="73"/>
      <c r="F4862" s="73"/>
      <c r="G4862" s="73"/>
      <c r="H4862" s="36" t="s">
        <v>17137</v>
      </c>
      <c r="I4862" s="56" t="s">
        <v>36</v>
      </c>
      <c r="J4862" s="36"/>
      <c r="K4862" s="34">
        <v>16</v>
      </c>
      <c r="L4862" s="41">
        <v>18.253333333333334</v>
      </c>
      <c r="M4862" s="11"/>
      <c r="N4862" s="36">
        <f t="shared" si="249"/>
        <v>0</v>
      </c>
      <c r="O4862" s="42">
        <f>0.011*M4862</f>
        <v>0</v>
      </c>
      <c r="P4862" s="43">
        <f>0.00008*M4862</f>
        <v>0</v>
      </c>
      <c r="Q4862" s="50"/>
      <c r="R4862" s="36" t="s">
        <v>17138</v>
      </c>
      <c r="S4862" s="36" t="s">
        <v>435</v>
      </c>
      <c r="T4862" s="35" t="str">
        <f>HYPERLINK("https://miland.ru/api/getInfo/image/073365e8-9909-11eb-a201-ac1f6b442185")</f>
        <v>https://miland.ru/api/getInfo/image/073365e8-9909-11eb-a201-ac1f6b442185</v>
      </c>
      <c r="U4862" s="35"/>
      <c r="V4862" s="35" t="s">
        <v>11948</v>
      </c>
      <c r="W4862" s="35" t="s">
        <v>1630</v>
      </c>
      <c r="X4862" s="35"/>
      <c r="Y4862" s="35" t="s">
        <v>697</v>
      </c>
      <c r="Z4862" s="35"/>
      <c r="AA4862" s="35" t="str">
        <f>HYPERLINK("https://miland.ru/api/getInfo/item/073365e8-9909-11eb-a201-ac1f6b442185")</f>
        <v>https://miland.ru/api/getInfo/item/073365e8-9909-11eb-a201-ac1f6b442185</v>
      </c>
      <c r="AB4862" s="35" t="s">
        <v>42</v>
      </c>
      <c r="AC4862" s="35"/>
      <c r="AD4862" s="35"/>
      <c r="AE4862" s="52" t="s">
        <v>1251</v>
      </c>
    </row>
    <row r="4863" spans="2:31" s="1" customFormat="1" ht="96.3" customHeight="1" outlineLevel="4">
      <c r="B4863" s="59">
        <v>3901</v>
      </c>
      <c r="C4863" s="35" t="s">
        <v>17139</v>
      </c>
      <c r="D4863" s="73" t="s">
        <v>17140</v>
      </c>
      <c r="E4863" s="73"/>
      <c r="F4863" s="73"/>
      <c r="G4863" s="73"/>
      <c r="H4863" s="36" t="s">
        <v>17141</v>
      </c>
      <c r="I4863" s="56" t="s">
        <v>36</v>
      </c>
      <c r="J4863" s="36"/>
      <c r="K4863" s="34">
        <v>16</v>
      </c>
      <c r="L4863" s="41">
        <v>18.253333333333334</v>
      </c>
      <c r="M4863" s="11"/>
      <c r="N4863" s="36">
        <f t="shared" si="249"/>
        <v>0</v>
      </c>
      <c r="O4863" s="42">
        <f>0.012*M4863</f>
        <v>0</v>
      </c>
      <c r="P4863" s="43">
        <f>0.00009*M4863</f>
        <v>0</v>
      </c>
      <c r="Q4863" s="50"/>
      <c r="R4863" s="36" t="s">
        <v>17142</v>
      </c>
      <c r="S4863" s="36" t="s">
        <v>435</v>
      </c>
      <c r="T4863" s="35" t="str">
        <f>HYPERLINK("https://miland.ru/api/getInfo/image/991f47bd-9909-11eb-a201-ac1f6b442185")</f>
        <v>https://miland.ru/api/getInfo/image/991f47bd-9909-11eb-a201-ac1f6b442185</v>
      </c>
      <c r="U4863" s="35"/>
      <c r="V4863" s="35" t="s">
        <v>11948</v>
      </c>
      <c r="W4863" s="35" t="s">
        <v>1630</v>
      </c>
      <c r="X4863" s="35"/>
      <c r="Y4863" s="35" t="s">
        <v>697</v>
      </c>
      <c r="Z4863" s="35"/>
      <c r="AA4863" s="35" t="str">
        <f>HYPERLINK("https://miland.ru/api/getInfo/item/991f47bd-9909-11eb-a201-ac1f6b442185")</f>
        <v>https://miland.ru/api/getInfo/item/991f47bd-9909-11eb-a201-ac1f6b442185</v>
      </c>
      <c r="AB4863" s="35" t="s">
        <v>42</v>
      </c>
      <c r="AC4863" s="35"/>
      <c r="AD4863" s="35"/>
      <c r="AE4863" s="52" t="s">
        <v>1251</v>
      </c>
    </row>
    <row r="4864" spans="2:31" s="1" customFormat="1" ht="96.3" customHeight="1" outlineLevel="4">
      <c r="B4864" s="59">
        <v>3902</v>
      </c>
      <c r="C4864" s="35" t="s">
        <v>17143</v>
      </c>
      <c r="D4864" s="73" t="s">
        <v>17144</v>
      </c>
      <c r="E4864" s="73"/>
      <c r="F4864" s="73"/>
      <c r="G4864" s="73"/>
      <c r="H4864" s="36" t="s">
        <v>17145</v>
      </c>
      <c r="I4864" s="40">
        <v>283</v>
      </c>
      <c r="J4864" s="36"/>
      <c r="K4864" s="34">
        <v>16</v>
      </c>
      <c r="L4864" s="41">
        <v>18.253333333333334</v>
      </c>
      <c r="M4864" s="11"/>
      <c r="N4864" s="36">
        <f t="shared" si="249"/>
        <v>0</v>
      </c>
      <c r="O4864" s="42">
        <f>0.012*M4864</f>
        <v>0</v>
      </c>
      <c r="P4864" s="43">
        <f>0.00007*M4864</f>
        <v>0</v>
      </c>
      <c r="Q4864" s="50"/>
      <c r="R4864" s="36" t="s">
        <v>17146</v>
      </c>
      <c r="S4864" s="36" t="s">
        <v>435</v>
      </c>
      <c r="T4864" s="35" t="str">
        <f>HYPERLINK("https://miland.ru/api/getInfo/image/27c1efd4-990a-11eb-a201-ac1f6b442185")</f>
        <v>https://miland.ru/api/getInfo/image/27c1efd4-990a-11eb-a201-ac1f6b442185</v>
      </c>
      <c r="U4864" s="35"/>
      <c r="V4864" s="35" t="s">
        <v>11948</v>
      </c>
      <c r="W4864" s="35" t="s">
        <v>1630</v>
      </c>
      <c r="X4864" s="35"/>
      <c r="Y4864" s="35" t="s">
        <v>697</v>
      </c>
      <c r="Z4864" s="35"/>
      <c r="AA4864" s="35" t="str">
        <f>HYPERLINK("https://miland.ru/api/getInfo/item/27c1efd4-990a-11eb-a201-ac1f6b442185")</f>
        <v>https://miland.ru/api/getInfo/item/27c1efd4-990a-11eb-a201-ac1f6b442185</v>
      </c>
      <c r="AB4864" s="35" t="s">
        <v>42</v>
      </c>
      <c r="AC4864" s="35"/>
      <c r="AD4864" s="35"/>
      <c r="AE4864" s="52" t="s">
        <v>1251</v>
      </c>
    </row>
    <row r="4865" spans="2:31" s="1" customFormat="1" ht="96.3" customHeight="1" outlineLevel="4">
      <c r="B4865" s="59">
        <v>3903</v>
      </c>
      <c r="C4865" s="35" t="s">
        <v>17147</v>
      </c>
      <c r="D4865" s="73" t="s">
        <v>17148</v>
      </c>
      <c r="E4865" s="73"/>
      <c r="F4865" s="73"/>
      <c r="G4865" s="73"/>
      <c r="H4865" s="36" t="s">
        <v>17149</v>
      </c>
      <c r="I4865" s="40">
        <v>425</v>
      </c>
      <c r="J4865" s="36"/>
      <c r="K4865" s="34">
        <v>16</v>
      </c>
      <c r="L4865" s="41">
        <v>18.253333333333334</v>
      </c>
      <c r="M4865" s="11"/>
      <c r="N4865" s="36">
        <f t="shared" si="249"/>
        <v>0</v>
      </c>
      <c r="O4865" s="42">
        <f>0.012*M4865</f>
        <v>0</v>
      </c>
      <c r="P4865" s="43">
        <f>0.00007*M4865</f>
        <v>0</v>
      </c>
      <c r="Q4865" s="50"/>
      <c r="R4865" s="36" t="s">
        <v>17150</v>
      </c>
      <c r="S4865" s="36" t="s">
        <v>435</v>
      </c>
      <c r="T4865" s="35" t="str">
        <f>HYPERLINK("https://miland.ru/api/getInfo/image/a26a3345-990a-11eb-a201-ac1f6b442185")</f>
        <v>https://miland.ru/api/getInfo/image/a26a3345-990a-11eb-a201-ac1f6b442185</v>
      </c>
      <c r="U4865" s="35"/>
      <c r="V4865" s="35" t="s">
        <v>11948</v>
      </c>
      <c r="W4865" s="35" t="s">
        <v>1630</v>
      </c>
      <c r="X4865" s="35"/>
      <c r="Y4865" s="35" t="s">
        <v>697</v>
      </c>
      <c r="Z4865" s="35"/>
      <c r="AA4865" s="35" t="str">
        <f>HYPERLINK("https://miland.ru/api/getInfo/item/a26a3345-990a-11eb-a201-ac1f6b442185")</f>
        <v>https://miland.ru/api/getInfo/item/a26a3345-990a-11eb-a201-ac1f6b442185</v>
      </c>
      <c r="AB4865" s="35" t="s">
        <v>42</v>
      </c>
      <c r="AC4865" s="35"/>
      <c r="AD4865" s="35"/>
      <c r="AE4865" s="52" t="s">
        <v>1251</v>
      </c>
    </row>
    <row r="4866" spans="2:31" s="1" customFormat="1" ht="96.3" customHeight="1" outlineLevel="4">
      <c r="B4866" s="59">
        <v>3904</v>
      </c>
      <c r="C4866" s="35" t="s">
        <v>17151</v>
      </c>
      <c r="D4866" s="73" t="s">
        <v>17152</v>
      </c>
      <c r="E4866" s="73"/>
      <c r="F4866" s="73"/>
      <c r="G4866" s="73"/>
      <c r="H4866" s="36" t="s">
        <v>17153</v>
      </c>
      <c r="I4866" s="40">
        <v>472</v>
      </c>
      <c r="J4866" s="36"/>
      <c r="K4866" s="34">
        <v>16</v>
      </c>
      <c r="L4866" s="41">
        <v>18.253333333333334</v>
      </c>
      <c r="M4866" s="11"/>
      <c r="N4866" s="36">
        <f t="shared" si="249"/>
        <v>0</v>
      </c>
      <c r="O4866" s="42">
        <f>0.013*M4866</f>
        <v>0</v>
      </c>
      <c r="P4866" s="43">
        <f>0.00007*M4866</f>
        <v>0</v>
      </c>
      <c r="Q4866" s="50"/>
      <c r="R4866" s="36" t="s">
        <v>17154</v>
      </c>
      <c r="S4866" s="36" t="s">
        <v>435</v>
      </c>
      <c r="T4866" s="35" t="str">
        <f>HYPERLINK("https://miland.ru/api/getInfo/image/9c472e42-990b-11eb-a201-ac1f6b442185")</f>
        <v>https://miland.ru/api/getInfo/image/9c472e42-990b-11eb-a201-ac1f6b442185</v>
      </c>
      <c r="U4866" s="35"/>
      <c r="V4866" s="35" t="s">
        <v>11948</v>
      </c>
      <c r="W4866" s="35" t="s">
        <v>1630</v>
      </c>
      <c r="X4866" s="35"/>
      <c r="Y4866" s="35" t="s">
        <v>697</v>
      </c>
      <c r="Z4866" s="35"/>
      <c r="AA4866" s="35" t="str">
        <f>HYPERLINK("https://miland.ru/api/getInfo/item/9c472e42-990b-11eb-a201-ac1f6b442185")</f>
        <v>https://miland.ru/api/getInfo/item/9c472e42-990b-11eb-a201-ac1f6b442185</v>
      </c>
      <c r="AB4866" s="35" t="s">
        <v>42</v>
      </c>
      <c r="AC4866" s="35"/>
      <c r="AD4866" s="35"/>
      <c r="AE4866" s="52" t="s">
        <v>1251</v>
      </c>
    </row>
    <row r="4867" spans="2:31" s="1" customFormat="1" ht="96.3" customHeight="1" outlineLevel="4">
      <c r="B4867" s="59">
        <v>3905</v>
      </c>
      <c r="C4867" s="35" t="s">
        <v>17155</v>
      </c>
      <c r="D4867" s="73" t="s">
        <v>17156</v>
      </c>
      <c r="E4867" s="73"/>
      <c r="F4867" s="73"/>
      <c r="G4867" s="73"/>
      <c r="H4867" s="36" t="s">
        <v>17157</v>
      </c>
      <c r="I4867" s="56" t="s">
        <v>36</v>
      </c>
      <c r="J4867" s="36"/>
      <c r="K4867" s="34">
        <v>16</v>
      </c>
      <c r="L4867" s="41">
        <v>18.253333333333334</v>
      </c>
      <c r="M4867" s="11"/>
      <c r="N4867" s="36">
        <f t="shared" si="249"/>
        <v>0</v>
      </c>
      <c r="O4867" s="42">
        <f>0.012*M4867</f>
        <v>0</v>
      </c>
      <c r="P4867" s="43">
        <f>0.00007*M4867</f>
        <v>0</v>
      </c>
      <c r="Q4867" s="50"/>
      <c r="R4867" s="36" t="s">
        <v>17158</v>
      </c>
      <c r="S4867" s="36" t="s">
        <v>435</v>
      </c>
      <c r="T4867" s="35" t="str">
        <f>HYPERLINK("https://miland.ru/api/getInfo/image/27a96186-990c-11eb-a201-ac1f6b442185")</f>
        <v>https://miland.ru/api/getInfo/image/27a96186-990c-11eb-a201-ac1f6b442185</v>
      </c>
      <c r="U4867" s="35"/>
      <c r="V4867" s="35" t="s">
        <v>11948</v>
      </c>
      <c r="W4867" s="35" t="s">
        <v>1630</v>
      </c>
      <c r="X4867" s="35"/>
      <c r="Y4867" s="35" t="s">
        <v>697</v>
      </c>
      <c r="Z4867" s="35"/>
      <c r="AA4867" s="35" t="str">
        <f>HYPERLINK("https://miland.ru/api/getInfo/item/27a96186-990c-11eb-a201-ac1f6b442185")</f>
        <v>https://miland.ru/api/getInfo/item/27a96186-990c-11eb-a201-ac1f6b442185</v>
      </c>
      <c r="AB4867" s="35" t="s">
        <v>42</v>
      </c>
      <c r="AC4867" s="35"/>
      <c r="AD4867" s="35"/>
      <c r="AE4867" s="52" t="s">
        <v>1251</v>
      </c>
    </row>
    <row r="4868" spans="2:31" s="1" customFormat="1" ht="96.3" customHeight="1" outlineLevel="4">
      <c r="B4868" s="59">
        <v>3906</v>
      </c>
      <c r="C4868" s="35" t="s">
        <v>17159</v>
      </c>
      <c r="D4868" s="73" t="s">
        <v>17160</v>
      </c>
      <c r="E4868" s="73"/>
      <c r="F4868" s="73"/>
      <c r="G4868" s="73"/>
      <c r="H4868" s="36" t="s">
        <v>17161</v>
      </c>
      <c r="I4868" s="56" t="s">
        <v>36</v>
      </c>
      <c r="J4868" s="36"/>
      <c r="K4868" s="34">
        <v>12</v>
      </c>
      <c r="L4868" s="41">
        <v>21.333333333333332</v>
      </c>
      <c r="M4868" s="11"/>
      <c r="N4868" s="36">
        <f t="shared" si="249"/>
        <v>0</v>
      </c>
      <c r="O4868" s="47">
        <f>0.25*M4868</f>
        <v>0</v>
      </c>
      <c r="P4868" s="43">
        <f>0.00009*M4868</f>
        <v>0</v>
      </c>
      <c r="Q4868" s="50"/>
      <c r="R4868" s="36" t="s">
        <v>17162</v>
      </c>
      <c r="S4868" s="36" t="s">
        <v>435</v>
      </c>
      <c r="T4868" s="35" t="str">
        <f>HYPERLINK("https://miland.ru/api/getInfo/image/e91c0f8e-4b87-11ec-a20f-ac1f6b442185")</f>
        <v>https://miland.ru/api/getInfo/image/e91c0f8e-4b87-11ec-a20f-ac1f6b442185</v>
      </c>
      <c r="U4868" s="35"/>
      <c r="V4868" s="35" t="s">
        <v>11948</v>
      </c>
      <c r="W4868" s="35" t="s">
        <v>1630</v>
      </c>
      <c r="X4868" s="35"/>
      <c r="Y4868" s="35" t="s">
        <v>697</v>
      </c>
      <c r="Z4868" s="35"/>
      <c r="AA4868" s="35" t="str">
        <f>HYPERLINK("https://miland.ru/api/getInfo/item/e91c0f8e-4b87-11ec-a20f-ac1f6b442185")</f>
        <v>https://miland.ru/api/getInfo/item/e91c0f8e-4b87-11ec-a20f-ac1f6b442185</v>
      </c>
      <c r="AB4868" s="35" t="s">
        <v>42</v>
      </c>
      <c r="AC4868" s="35"/>
      <c r="AD4868" s="35"/>
      <c r="AE4868" s="52" t="s">
        <v>1251</v>
      </c>
    </row>
    <row r="4869" spans="2:31" s="1" customFormat="1" ht="96.3" customHeight="1" outlineLevel="4">
      <c r="B4869" s="60">
        <v>3907</v>
      </c>
      <c r="C4869" s="38" t="s">
        <v>17163</v>
      </c>
      <c r="D4869" s="74" t="s">
        <v>17164</v>
      </c>
      <c r="E4869" s="74"/>
      <c r="F4869" s="74"/>
      <c r="G4869" s="74"/>
      <c r="H4869" s="39" t="s">
        <v>17165</v>
      </c>
      <c r="I4869" s="44">
        <v>7</v>
      </c>
      <c r="J4869" s="39"/>
      <c r="K4869" s="37">
        <v>7</v>
      </c>
      <c r="L4869" s="41">
        <v>15.373333333333333</v>
      </c>
      <c r="M4869" s="11"/>
      <c r="N4869" s="39">
        <f t="shared" si="249"/>
        <v>0</v>
      </c>
      <c r="O4869" s="45">
        <f t="shared" ref="O4869:O4880" si="250">0.02*M4869</f>
        <v>0</v>
      </c>
      <c r="P4869" s="46">
        <f>0.00006*M4869</f>
        <v>0</v>
      </c>
      <c r="Q4869" s="51"/>
      <c r="R4869" s="39" t="s">
        <v>17166</v>
      </c>
      <c r="S4869" s="39" t="s">
        <v>435</v>
      </c>
      <c r="T4869" s="38" t="str">
        <f>HYPERLINK("https://miland.ru/api/getInfo/image/6c46636c-0fd8-11ec-a20f-ac1f6b442185")</f>
        <v>https://miland.ru/api/getInfo/image/6c46636c-0fd8-11ec-a20f-ac1f6b442185</v>
      </c>
      <c r="U4869" s="38"/>
      <c r="V4869" s="38" t="s">
        <v>11948</v>
      </c>
      <c r="W4869" s="38" t="s">
        <v>1630</v>
      </c>
      <c r="X4869" s="38"/>
      <c r="Y4869" s="38" t="s">
        <v>697</v>
      </c>
      <c r="Z4869" s="38"/>
      <c r="AA4869" s="38" t="str">
        <f>HYPERLINK("https://miland.ru/api/getInfo/item/6c46636c-0fd8-11ec-a20f-ac1f6b442185")</f>
        <v>https://miland.ru/api/getInfo/item/6c46636c-0fd8-11ec-a20f-ac1f6b442185</v>
      </c>
      <c r="AB4869" s="38" t="s">
        <v>42</v>
      </c>
      <c r="AC4869" s="38"/>
      <c r="AD4869" s="38"/>
      <c r="AE4869" s="53" t="s">
        <v>1306</v>
      </c>
    </row>
    <row r="4870" spans="2:31" s="1" customFormat="1" ht="96.3" customHeight="1" outlineLevel="4">
      <c r="B4870" s="60">
        <v>3908</v>
      </c>
      <c r="C4870" s="38" t="s">
        <v>17167</v>
      </c>
      <c r="D4870" s="74" t="s">
        <v>17168</v>
      </c>
      <c r="E4870" s="74"/>
      <c r="F4870" s="74"/>
      <c r="G4870" s="74"/>
      <c r="H4870" s="39" t="s">
        <v>17169</v>
      </c>
      <c r="I4870" s="44">
        <v>35</v>
      </c>
      <c r="J4870" s="39"/>
      <c r="K4870" s="37">
        <v>12</v>
      </c>
      <c r="L4870" s="41">
        <v>15.373333333333333</v>
      </c>
      <c r="M4870" s="11"/>
      <c r="N4870" s="39">
        <f t="shared" si="249"/>
        <v>0</v>
      </c>
      <c r="O4870" s="45">
        <f t="shared" si="250"/>
        <v>0</v>
      </c>
      <c r="P4870" s="46">
        <f>0.00006*M4870</f>
        <v>0</v>
      </c>
      <c r="Q4870" s="51"/>
      <c r="R4870" s="39" t="s">
        <v>17170</v>
      </c>
      <c r="S4870" s="39" t="s">
        <v>435</v>
      </c>
      <c r="T4870" s="38" t="str">
        <f>HYPERLINK("https://miland.ru/api/getInfo/image/a7334ccf-0fd8-11ec-a20f-ac1f6b442185")</f>
        <v>https://miland.ru/api/getInfo/image/a7334ccf-0fd8-11ec-a20f-ac1f6b442185</v>
      </c>
      <c r="U4870" s="38"/>
      <c r="V4870" s="38" t="s">
        <v>11948</v>
      </c>
      <c r="W4870" s="38" t="s">
        <v>1630</v>
      </c>
      <c r="X4870" s="38"/>
      <c r="Y4870" s="38" t="s">
        <v>697</v>
      </c>
      <c r="Z4870" s="38"/>
      <c r="AA4870" s="38" t="str">
        <f>HYPERLINK("https://miland.ru/api/getInfo/item/a7334ccf-0fd8-11ec-a20f-ac1f6b442185")</f>
        <v>https://miland.ru/api/getInfo/item/a7334ccf-0fd8-11ec-a20f-ac1f6b442185</v>
      </c>
      <c r="AB4870" s="38" t="s">
        <v>42</v>
      </c>
      <c r="AC4870" s="38"/>
      <c r="AD4870" s="38"/>
      <c r="AE4870" s="53" t="s">
        <v>1306</v>
      </c>
    </row>
    <row r="4871" spans="2:31" s="1" customFormat="1" ht="96.3" customHeight="1" outlineLevel="4">
      <c r="B4871" s="59">
        <v>3909</v>
      </c>
      <c r="C4871" s="35" t="s">
        <v>17171</v>
      </c>
      <c r="D4871" s="73" t="s">
        <v>17172</v>
      </c>
      <c r="E4871" s="73"/>
      <c r="F4871" s="73"/>
      <c r="G4871" s="73"/>
      <c r="H4871" s="36" t="s">
        <v>17173</v>
      </c>
      <c r="I4871" s="40">
        <v>372</v>
      </c>
      <c r="J4871" s="36"/>
      <c r="K4871" s="34">
        <v>12</v>
      </c>
      <c r="L4871" s="41">
        <v>21.333333333333332</v>
      </c>
      <c r="M4871" s="11"/>
      <c r="N4871" s="36">
        <f t="shared" si="249"/>
        <v>0</v>
      </c>
      <c r="O4871" s="47">
        <f t="shared" si="250"/>
        <v>0</v>
      </c>
      <c r="P4871" s="43">
        <f>0.00009*M4871</f>
        <v>0</v>
      </c>
      <c r="Q4871" s="50"/>
      <c r="R4871" s="36" t="s">
        <v>17174</v>
      </c>
      <c r="S4871" s="36" t="s">
        <v>435</v>
      </c>
      <c r="T4871" s="35" t="str">
        <f>HYPERLINK("https://miland.ru/api/getInfo/image/c61c00e8-0fda-11ec-a20f-ac1f6b442185")</f>
        <v>https://miland.ru/api/getInfo/image/c61c00e8-0fda-11ec-a20f-ac1f6b442185</v>
      </c>
      <c r="U4871" s="35"/>
      <c r="V4871" s="35" t="s">
        <v>11948</v>
      </c>
      <c r="W4871" s="35" t="s">
        <v>1630</v>
      </c>
      <c r="X4871" s="35"/>
      <c r="Y4871" s="35" t="s">
        <v>697</v>
      </c>
      <c r="Z4871" s="35"/>
      <c r="AA4871" s="35" t="str">
        <f>HYPERLINK("https://miland.ru/api/getInfo/item/c61c00e8-0fda-11ec-a20f-ac1f6b442185")</f>
        <v>https://miland.ru/api/getInfo/item/c61c00e8-0fda-11ec-a20f-ac1f6b442185</v>
      </c>
      <c r="AB4871" s="35" t="s">
        <v>42</v>
      </c>
      <c r="AC4871" s="35"/>
      <c r="AD4871" s="35"/>
      <c r="AE4871" s="52" t="s">
        <v>1251</v>
      </c>
    </row>
    <row r="4872" spans="2:31" s="1" customFormat="1" ht="96.3" customHeight="1" outlineLevel="4">
      <c r="B4872" s="59">
        <v>3910</v>
      </c>
      <c r="C4872" s="35" t="s">
        <v>17175</v>
      </c>
      <c r="D4872" s="73" t="s">
        <v>17176</v>
      </c>
      <c r="E4872" s="73"/>
      <c r="F4872" s="73"/>
      <c r="G4872" s="73"/>
      <c r="H4872" s="36" t="s">
        <v>17177</v>
      </c>
      <c r="I4872" s="40">
        <v>421</v>
      </c>
      <c r="J4872" s="36"/>
      <c r="K4872" s="34">
        <v>12</v>
      </c>
      <c r="L4872" s="41">
        <v>21.333333333333332</v>
      </c>
      <c r="M4872" s="11"/>
      <c r="N4872" s="36">
        <f t="shared" si="249"/>
        <v>0</v>
      </c>
      <c r="O4872" s="47">
        <f t="shared" si="250"/>
        <v>0</v>
      </c>
      <c r="P4872" s="43">
        <f>0.00006*M4872</f>
        <v>0</v>
      </c>
      <c r="Q4872" s="50"/>
      <c r="R4872" s="36" t="s">
        <v>17178</v>
      </c>
      <c r="S4872" s="36" t="s">
        <v>435</v>
      </c>
      <c r="T4872" s="35" t="str">
        <f>HYPERLINK("https://miland.ru/api/getInfo/image/f9b2103d-0fda-11ec-a20f-ac1f6b442185")</f>
        <v>https://miland.ru/api/getInfo/image/f9b2103d-0fda-11ec-a20f-ac1f6b442185</v>
      </c>
      <c r="U4872" s="35"/>
      <c r="V4872" s="35" t="s">
        <v>11948</v>
      </c>
      <c r="W4872" s="35" t="s">
        <v>1630</v>
      </c>
      <c r="X4872" s="35"/>
      <c r="Y4872" s="35" t="s">
        <v>697</v>
      </c>
      <c r="Z4872" s="35"/>
      <c r="AA4872" s="35" t="str">
        <f>HYPERLINK("https://miland.ru/api/getInfo/item/f9b2103d-0fda-11ec-a20f-ac1f6b442185")</f>
        <v>https://miland.ru/api/getInfo/item/f9b2103d-0fda-11ec-a20f-ac1f6b442185</v>
      </c>
      <c r="AB4872" s="35" t="s">
        <v>42</v>
      </c>
      <c r="AC4872" s="35"/>
      <c r="AD4872" s="35"/>
      <c r="AE4872" s="52" t="s">
        <v>1251</v>
      </c>
    </row>
    <row r="4873" spans="2:31" s="1" customFormat="1" ht="96.3" customHeight="1" outlineLevel="4">
      <c r="B4873" s="59">
        <v>3911</v>
      </c>
      <c r="C4873" s="35" t="s">
        <v>17179</v>
      </c>
      <c r="D4873" s="73" t="s">
        <v>17180</v>
      </c>
      <c r="E4873" s="73"/>
      <c r="F4873" s="73"/>
      <c r="G4873" s="73"/>
      <c r="H4873" s="36" t="s">
        <v>17181</v>
      </c>
      <c r="I4873" s="56" t="s">
        <v>36</v>
      </c>
      <c r="J4873" s="36"/>
      <c r="K4873" s="34">
        <v>12</v>
      </c>
      <c r="L4873" s="41">
        <v>21.333333333333332</v>
      </c>
      <c r="M4873" s="11"/>
      <c r="N4873" s="36">
        <f t="shared" si="249"/>
        <v>0</v>
      </c>
      <c r="O4873" s="47">
        <f t="shared" si="250"/>
        <v>0</v>
      </c>
      <c r="P4873" s="43">
        <f>0.00009*M4873</f>
        <v>0</v>
      </c>
      <c r="Q4873" s="50"/>
      <c r="R4873" s="36" t="s">
        <v>17182</v>
      </c>
      <c r="S4873" s="36" t="s">
        <v>435</v>
      </c>
      <c r="T4873" s="35" t="str">
        <f>HYPERLINK("https://miland.ru/api/getInfo/image/850c1ba0-4b87-11ec-a20f-ac1f6b442185")</f>
        <v>https://miland.ru/api/getInfo/image/850c1ba0-4b87-11ec-a20f-ac1f6b442185</v>
      </c>
      <c r="U4873" s="35"/>
      <c r="V4873" s="35" t="s">
        <v>11948</v>
      </c>
      <c r="W4873" s="35" t="s">
        <v>1630</v>
      </c>
      <c r="X4873" s="35"/>
      <c r="Y4873" s="35" t="s">
        <v>697</v>
      </c>
      <c r="Z4873" s="35"/>
      <c r="AA4873" s="35" t="str">
        <f>HYPERLINK("https://miland.ru/api/getInfo/item/850c1ba0-4b87-11ec-a20f-ac1f6b442185")</f>
        <v>https://miland.ru/api/getInfo/item/850c1ba0-4b87-11ec-a20f-ac1f6b442185</v>
      </c>
      <c r="AB4873" s="35" t="s">
        <v>42</v>
      </c>
      <c r="AC4873" s="35"/>
      <c r="AD4873" s="35"/>
      <c r="AE4873" s="52" t="s">
        <v>1251</v>
      </c>
    </row>
    <row r="4874" spans="2:31" s="1" customFormat="1" ht="96.3" customHeight="1" outlineLevel="4">
      <c r="B4874" s="59">
        <v>3912</v>
      </c>
      <c r="C4874" s="35" t="s">
        <v>17183</v>
      </c>
      <c r="D4874" s="73" t="s">
        <v>17184</v>
      </c>
      <c r="E4874" s="73"/>
      <c r="F4874" s="73"/>
      <c r="G4874" s="73"/>
      <c r="H4874" s="36" t="s">
        <v>17185</v>
      </c>
      <c r="I4874" s="56" t="s">
        <v>36</v>
      </c>
      <c r="J4874" s="36"/>
      <c r="K4874" s="34">
        <v>12</v>
      </c>
      <c r="L4874" s="41">
        <v>21.333333333333332</v>
      </c>
      <c r="M4874" s="11"/>
      <c r="N4874" s="36">
        <f t="shared" si="249"/>
        <v>0</v>
      </c>
      <c r="O4874" s="47">
        <f t="shared" si="250"/>
        <v>0</v>
      </c>
      <c r="P4874" s="43">
        <f>0.00009*M4874</f>
        <v>0</v>
      </c>
      <c r="Q4874" s="50"/>
      <c r="R4874" s="36" t="s">
        <v>17186</v>
      </c>
      <c r="S4874" s="36" t="s">
        <v>435</v>
      </c>
      <c r="T4874" s="35" t="str">
        <f>HYPERLINK("https://miland.ru/api/getInfo/image/a781b148-4b87-11ec-a20f-ac1f6b442185")</f>
        <v>https://miland.ru/api/getInfo/image/a781b148-4b87-11ec-a20f-ac1f6b442185</v>
      </c>
      <c r="U4874" s="35"/>
      <c r="V4874" s="35" t="s">
        <v>11948</v>
      </c>
      <c r="W4874" s="35" t="s">
        <v>1630</v>
      </c>
      <c r="X4874" s="35"/>
      <c r="Y4874" s="35" t="s">
        <v>697</v>
      </c>
      <c r="Z4874" s="35"/>
      <c r="AA4874" s="35" t="str">
        <f>HYPERLINK("https://miland.ru/api/getInfo/item/a781b148-4b87-11ec-a20f-ac1f6b442185")</f>
        <v>https://miland.ru/api/getInfo/item/a781b148-4b87-11ec-a20f-ac1f6b442185</v>
      </c>
      <c r="AB4874" s="35" t="s">
        <v>42</v>
      </c>
      <c r="AC4874" s="35"/>
      <c r="AD4874" s="35"/>
      <c r="AE4874" s="52" t="s">
        <v>1251</v>
      </c>
    </row>
    <row r="4875" spans="2:31" s="1" customFormat="1" ht="96.3" customHeight="1" outlineLevel="4">
      <c r="B4875" s="59">
        <v>3913</v>
      </c>
      <c r="C4875" s="35" t="s">
        <v>17187</v>
      </c>
      <c r="D4875" s="73" t="s">
        <v>17188</v>
      </c>
      <c r="E4875" s="73"/>
      <c r="F4875" s="73"/>
      <c r="G4875" s="73"/>
      <c r="H4875" s="36" t="s">
        <v>17189</v>
      </c>
      <c r="I4875" s="40">
        <v>409</v>
      </c>
      <c r="J4875" s="36"/>
      <c r="K4875" s="34">
        <v>12</v>
      </c>
      <c r="L4875" s="41">
        <v>21.333333333333332</v>
      </c>
      <c r="M4875" s="11"/>
      <c r="N4875" s="36">
        <f t="shared" si="249"/>
        <v>0</v>
      </c>
      <c r="O4875" s="47">
        <f t="shared" si="250"/>
        <v>0</v>
      </c>
      <c r="P4875" s="43">
        <f t="shared" ref="P4875:P4880" si="251">0.00006*M4875</f>
        <v>0</v>
      </c>
      <c r="Q4875" s="50"/>
      <c r="R4875" s="36" t="s">
        <v>17190</v>
      </c>
      <c r="S4875" s="36" t="s">
        <v>435</v>
      </c>
      <c r="T4875" s="35" t="str">
        <f>HYPERLINK("https://miland.ru/api/getInfo/image/cda8de6c-0fd7-11ec-a20f-ac1f6b442185")</f>
        <v>https://miland.ru/api/getInfo/image/cda8de6c-0fd7-11ec-a20f-ac1f6b442185</v>
      </c>
      <c r="U4875" s="35"/>
      <c r="V4875" s="35" t="s">
        <v>11948</v>
      </c>
      <c r="W4875" s="35" t="s">
        <v>1630</v>
      </c>
      <c r="X4875" s="35"/>
      <c r="Y4875" s="35" t="s">
        <v>697</v>
      </c>
      <c r="Z4875" s="35"/>
      <c r="AA4875" s="35" t="str">
        <f>HYPERLINK("https://miland.ru/api/getInfo/item/cda8de6c-0fd7-11ec-a20f-ac1f6b442185")</f>
        <v>https://miland.ru/api/getInfo/item/cda8de6c-0fd7-11ec-a20f-ac1f6b442185</v>
      </c>
      <c r="AB4875" s="35" t="s">
        <v>42</v>
      </c>
      <c r="AC4875" s="35"/>
      <c r="AD4875" s="35"/>
      <c r="AE4875" s="52" t="s">
        <v>1251</v>
      </c>
    </row>
    <row r="4876" spans="2:31" s="1" customFormat="1" ht="96.3" customHeight="1" outlineLevel="4">
      <c r="B4876" s="59">
        <v>3914</v>
      </c>
      <c r="C4876" s="35" t="s">
        <v>17191</v>
      </c>
      <c r="D4876" s="73" t="s">
        <v>17192</v>
      </c>
      <c r="E4876" s="73"/>
      <c r="F4876" s="73"/>
      <c r="G4876" s="73"/>
      <c r="H4876" s="36" t="s">
        <v>17193</v>
      </c>
      <c r="I4876" s="40">
        <v>309</v>
      </c>
      <c r="J4876" s="36"/>
      <c r="K4876" s="34">
        <v>12</v>
      </c>
      <c r="L4876" s="41">
        <v>21.333333333333332</v>
      </c>
      <c r="M4876" s="11"/>
      <c r="N4876" s="36">
        <f t="shared" si="249"/>
        <v>0</v>
      </c>
      <c r="O4876" s="47">
        <f t="shared" si="250"/>
        <v>0</v>
      </c>
      <c r="P4876" s="43">
        <f t="shared" si="251"/>
        <v>0</v>
      </c>
      <c r="Q4876" s="50"/>
      <c r="R4876" s="36" t="s">
        <v>17194</v>
      </c>
      <c r="S4876" s="36" t="s">
        <v>435</v>
      </c>
      <c r="T4876" s="35" t="str">
        <f>HYPERLINK("https://miland.ru/api/getInfo/image/7c29afca-0fd6-11ec-a20f-ac1f6b442185")</f>
        <v>https://miland.ru/api/getInfo/image/7c29afca-0fd6-11ec-a20f-ac1f6b442185</v>
      </c>
      <c r="U4876" s="35"/>
      <c r="V4876" s="35" t="s">
        <v>11948</v>
      </c>
      <c r="W4876" s="35" t="s">
        <v>1630</v>
      </c>
      <c r="X4876" s="35"/>
      <c r="Y4876" s="35" t="s">
        <v>697</v>
      </c>
      <c r="Z4876" s="35"/>
      <c r="AA4876" s="35" t="str">
        <f>HYPERLINK("https://miland.ru/api/getInfo/item/7c29afca-0fd6-11ec-a20f-ac1f6b442185")</f>
        <v>https://miland.ru/api/getInfo/item/7c29afca-0fd6-11ec-a20f-ac1f6b442185</v>
      </c>
      <c r="AB4876" s="35" t="s">
        <v>42</v>
      </c>
      <c r="AC4876" s="35"/>
      <c r="AD4876" s="35"/>
      <c r="AE4876" s="52" t="s">
        <v>1251</v>
      </c>
    </row>
    <row r="4877" spans="2:31" s="1" customFormat="1" ht="96.3" customHeight="1" outlineLevel="4">
      <c r="B4877" s="59">
        <v>3915</v>
      </c>
      <c r="C4877" s="35" t="s">
        <v>17195</v>
      </c>
      <c r="D4877" s="73" t="s">
        <v>17196</v>
      </c>
      <c r="E4877" s="73"/>
      <c r="F4877" s="73"/>
      <c r="G4877" s="73"/>
      <c r="H4877" s="36" t="s">
        <v>17197</v>
      </c>
      <c r="I4877" s="56" t="s">
        <v>36</v>
      </c>
      <c r="J4877" s="36"/>
      <c r="K4877" s="34">
        <v>12</v>
      </c>
      <c r="L4877" s="41">
        <v>21.333333333333332</v>
      </c>
      <c r="M4877" s="11"/>
      <c r="N4877" s="36">
        <f t="shared" si="249"/>
        <v>0</v>
      </c>
      <c r="O4877" s="47">
        <f t="shared" si="250"/>
        <v>0</v>
      </c>
      <c r="P4877" s="43">
        <f t="shared" si="251"/>
        <v>0</v>
      </c>
      <c r="Q4877" s="50"/>
      <c r="R4877" s="36" t="s">
        <v>17198</v>
      </c>
      <c r="S4877" s="36" t="s">
        <v>435</v>
      </c>
      <c r="T4877" s="35" t="str">
        <f>HYPERLINK("https://miland.ru/api/getInfo/image/ed5b6859-0fd6-11ec-a20f-ac1f6b442185")</f>
        <v>https://miland.ru/api/getInfo/image/ed5b6859-0fd6-11ec-a20f-ac1f6b442185</v>
      </c>
      <c r="U4877" s="35"/>
      <c r="V4877" s="35" t="s">
        <v>11948</v>
      </c>
      <c r="W4877" s="35" t="s">
        <v>1630</v>
      </c>
      <c r="X4877" s="35"/>
      <c r="Y4877" s="35" t="s">
        <v>697</v>
      </c>
      <c r="Z4877" s="35"/>
      <c r="AA4877" s="35" t="str">
        <f>HYPERLINK("https://miland.ru/api/getInfo/item/ed5b6859-0fd6-11ec-a20f-ac1f6b442185")</f>
        <v>https://miland.ru/api/getInfo/item/ed5b6859-0fd6-11ec-a20f-ac1f6b442185</v>
      </c>
      <c r="AB4877" s="35" t="s">
        <v>42</v>
      </c>
      <c r="AC4877" s="35"/>
      <c r="AD4877" s="35"/>
      <c r="AE4877" s="52" t="s">
        <v>1251</v>
      </c>
    </row>
    <row r="4878" spans="2:31" s="1" customFormat="1" ht="96.3" customHeight="1" outlineLevel="4">
      <c r="B4878" s="59">
        <v>3916</v>
      </c>
      <c r="C4878" s="35" t="s">
        <v>17199</v>
      </c>
      <c r="D4878" s="73" t="s">
        <v>17200</v>
      </c>
      <c r="E4878" s="73"/>
      <c r="F4878" s="73"/>
      <c r="G4878" s="73"/>
      <c r="H4878" s="36" t="s">
        <v>17201</v>
      </c>
      <c r="I4878" s="40">
        <v>454</v>
      </c>
      <c r="J4878" s="36"/>
      <c r="K4878" s="34">
        <v>12</v>
      </c>
      <c r="L4878" s="41">
        <v>21.333333333333332</v>
      </c>
      <c r="M4878" s="11"/>
      <c r="N4878" s="36">
        <f t="shared" si="249"/>
        <v>0</v>
      </c>
      <c r="O4878" s="47">
        <f t="shared" si="250"/>
        <v>0</v>
      </c>
      <c r="P4878" s="43">
        <f t="shared" si="251"/>
        <v>0</v>
      </c>
      <c r="Q4878" s="50"/>
      <c r="R4878" s="36" t="s">
        <v>17202</v>
      </c>
      <c r="S4878" s="36" t="s">
        <v>435</v>
      </c>
      <c r="T4878" s="35" t="str">
        <f>HYPERLINK("https://miland.ru/api/getInfo/image/1bff8b8f-0fd7-11ec-a20f-ac1f6b442185")</f>
        <v>https://miland.ru/api/getInfo/image/1bff8b8f-0fd7-11ec-a20f-ac1f6b442185</v>
      </c>
      <c r="U4878" s="35"/>
      <c r="V4878" s="35" t="s">
        <v>11948</v>
      </c>
      <c r="W4878" s="35" t="s">
        <v>1630</v>
      </c>
      <c r="X4878" s="35"/>
      <c r="Y4878" s="35" t="s">
        <v>697</v>
      </c>
      <c r="Z4878" s="35"/>
      <c r="AA4878" s="35" t="str">
        <f>HYPERLINK("https://miland.ru/api/getInfo/item/1bff8b8f-0fd7-11ec-a20f-ac1f6b442185")</f>
        <v>https://miland.ru/api/getInfo/item/1bff8b8f-0fd7-11ec-a20f-ac1f6b442185</v>
      </c>
      <c r="AB4878" s="35" t="s">
        <v>42</v>
      </c>
      <c r="AC4878" s="35"/>
      <c r="AD4878" s="35"/>
      <c r="AE4878" s="52" t="s">
        <v>1251</v>
      </c>
    </row>
    <row r="4879" spans="2:31" s="1" customFormat="1" ht="96.3" customHeight="1" outlineLevel="4">
      <c r="B4879" s="59">
        <v>3917</v>
      </c>
      <c r="C4879" s="35" t="s">
        <v>17203</v>
      </c>
      <c r="D4879" s="73" t="s">
        <v>17204</v>
      </c>
      <c r="E4879" s="73"/>
      <c r="F4879" s="73"/>
      <c r="G4879" s="73"/>
      <c r="H4879" s="36" t="s">
        <v>17205</v>
      </c>
      <c r="I4879" s="56" t="s">
        <v>36</v>
      </c>
      <c r="J4879" s="36"/>
      <c r="K4879" s="34">
        <v>12</v>
      </c>
      <c r="L4879" s="41">
        <v>21.333333333333332</v>
      </c>
      <c r="M4879" s="11"/>
      <c r="N4879" s="36">
        <f t="shared" si="249"/>
        <v>0</v>
      </c>
      <c r="O4879" s="47">
        <f t="shared" si="250"/>
        <v>0</v>
      </c>
      <c r="P4879" s="43">
        <f t="shared" si="251"/>
        <v>0</v>
      </c>
      <c r="Q4879" s="50"/>
      <c r="R4879" s="36" t="s">
        <v>17206</v>
      </c>
      <c r="S4879" s="36" t="s">
        <v>435</v>
      </c>
      <c r="T4879" s="35" t="str">
        <f>HYPERLINK("https://miland.ru/api/getInfo/image/5c3df414-0fd7-11ec-a20f-ac1f6b442185")</f>
        <v>https://miland.ru/api/getInfo/image/5c3df414-0fd7-11ec-a20f-ac1f6b442185</v>
      </c>
      <c r="U4879" s="35"/>
      <c r="V4879" s="35" t="s">
        <v>11948</v>
      </c>
      <c r="W4879" s="35" t="s">
        <v>1630</v>
      </c>
      <c r="X4879" s="35"/>
      <c r="Y4879" s="35" t="s">
        <v>697</v>
      </c>
      <c r="Z4879" s="35"/>
      <c r="AA4879" s="35" t="str">
        <f>HYPERLINK("https://miland.ru/api/getInfo/item/5c3df414-0fd7-11ec-a20f-ac1f6b442185")</f>
        <v>https://miland.ru/api/getInfo/item/5c3df414-0fd7-11ec-a20f-ac1f6b442185</v>
      </c>
      <c r="AB4879" s="35" t="s">
        <v>42</v>
      </c>
      <c r="AC4879" s="35"/>
      <c r="AD4879" s="35"/>
      <c r="AE4879" s="52" t="s">
        <v>1251</v>
      </c>
    </row>
    <row r="4880" spans="2:31" s="1" customFormat="1" ht="96.3" customHeight="1" outlineLevel="4">
      <c r="B4880" s="59">
        <v>3918</v>
      </c>
      <c r="C4880" s="35" t="s">
        <v>17207</v>
      </c>
      <c r="D4880" s="73" t="s">
        <v>17208</v>
      </c>
      <c r="E4880" s="73"/>
      <c r="F4880" s="73"/>
      <c r="G4880" s="73"/>
      <c r="H4880" s="36" t="s">
        <v>17209</v>
      </c>
      <c r="I4880" s="56" t="s">
        <v>36</v>
      </c>
      <c r="J4880" s="36"/>
      <c r="K4880" s="34">
        <v>12</v>
      </c>
      <c r="L4880" s="41">
        <v>21.333333333333332</v>
      </c>
      <c r="M4880" s="11"/>
      <c r="N4880" s="36">
        <f t="shared" si="249"/>
        <v>0</v>
      </c>
      <c r="O4880" s="47">
        <f t="shared" si="250"/>
        <v>0</v>
      </c>
      <c r="P4880" s="43">
        <f t="shared" si="251"/>
        <v>0</v>
      </c>
      <c r="Q4880" s="50"/>
      <c r="R4880" s="36" t="s">
        <v>17210</v>
      </c>
      <c r="S4880" s="36" t="s">
        <v>435</v>
      </c>
      <c r="T4880" s="35" t="str">
        <f>HYPERLINK("https://miland.ru/api/getInfo/image/9485b9ee-0fd7-11ec-a20f-ac1f6b442185")</f>
        <v>https://miland.ru/api/getInfo/image/9485b9ee-0fd7-11ec-a20f-ac1f6b442185</v>
      </c>
      <c r="U4880" s="35"/>
      <c r="V4880" s="35" t="s">
        <v>11948</v>
      </c>
      <c r="W4880" s="35" t="s">
        <v>1630</v>
      </c>
      <c r="X4880" s="35"/>
      <c r="Y4880" s="35" t="s">
        <v>697</v>
      </c>
      <c r="Z4880" s="35"/>
      <c r="AA4880" s="35" t="str">
        <f>HYPERLINK("https://miland.ru/api/getInfo/item/9485b9ee-0fd7-11ec-a20f-ac1f6b442185")</f>
        <v>https://miland.ru/api/getInfo/item/9485b9ee-0fd7-11ec-a20f-ac1f6b442185</v>
      </c>
      <c r="AB4880" s="35" t="s">
        <v>42</v>
      </c>
      <c r="AC4880" s="35"/>
      <c r="AD4880" s="35"/>
      <c r="AE4880" s="52" t="s">
        <v>1251</v>
      </c>
    </row>
    <row r="4881" spans="2:31" s="1" customFormat="1" ht="96.3" customHeight="1" outlineLevel="4">
      <c r="B4881" s="59">
        <v>3919</v>
      </c>
      <c r="C4881" s="35" t="s">
        <v>17211</v>
      </c>
      <c r="D4881" s="73" t="s">
        <v>17212</v>
      </c>
      <c r="E4881" s="73"/>
      <c r="F4881" s="73"/>
      <c r="G4881" s="73"/>
      <c r="H4881" s="36" t="s">
        <v>17213</v>
      </c>
      <c r="I4881" s="56" t="s">
        <v>36</v>
      </c>
      <c r="J4881" s="36"/>
      <c r="K4881" s="34">
        <v>10</v>
      </c>
      <c r="L4881" s="41">
        <v>33.613333333333337</v>
      </c>
      <c r="M4881" s="11"/>
      <c r="N4881" s="36">
        <f t="shared" si="249"/>
        <v>0</v>
      </c>
      <c r="O4881" s="42">
        <f>0.032*M4881</f>
        <v>0</v>
      </c>
      <c r="P4881" s="55">
        <f>0.0002*M4881</f>
        <v>0</v>
      </c>
      <c r="Q4881" s="50"/>
      <c r="R4881" s="36" t="s">
        <v>17214</v>
      </c>
      <c r="S4881" s="36" t="s">
        <v>435</v>
      </c>
      <c r="T4881" s="35" t="str">
        <f>HYPERLINK("https://miland.ru/api/getInfo/image/f14755f6-01a9-11ed-a213-ac1f6b442185")</f>
        <v>https://miland.ru/api/getInfo/image/f14755f6-01a9-11ed-a213-ac1f6b442185</v>
      </c>
      <c r="U4881" s="35"/>
      <c r="V4881" s="35" t="s">
        <v>11948</v>
      </c>
      <c r="W4881" s="35" t="s">
        <v>1630</v>
      </c>
      <c r="X4881" s="35"/>
      <c r="Y4881" s="35" t="s">
        <v>697</v>
      </c>
      <c r="Z4881" s="35"/>
      <c r="AA4881" s="35" t="str">
        <f>HYPERLINK("https://miland.ru/api/getInfo/item/f14755f6-01a9-11ed-a213-ac1f6b442185")</f>
        <v>https://miland.ru/api/getInfo/item/f14755f6-01a9-11ed-a213-ac1f6b442185</v>
      </c>
      <c r="AB4881" s="35" t="s">
        <v>42</v>
      </c>
      <c r="AC4881" s="35"/>
      <c r="AD4881" s="35"/>
      <c r="AE4881" s="52" t="s">
        <v>1251</v>
      </c>
    </row>
    <row r="4882" spans="2:31" s="1" customFormat="1" ht="96.3" customHeight="1" outlineLevel="4">
      <c r="B4882" s="59">
        <v>3920</v>
      </c>
      <c r="C4882" s="35" t="s">
        <v>17215</v>
      </c>
      <c r="D4882" s="73" t="s">
        <v>17216</v>
      </c>
      <c r="E4882" s="73"/>
      <c r="F4882" s="73"/>
      <c r="G4882" s="73"/>
      <c r="H4882" s="36" t="s">
        <v>17217</v>
      </c>
      <c r="I4882" s="56" t="s">
        <v>36</v>
      </c>
      <c r="J4882" s="36"/>
      <c r="K4882" s="34">
        <v>16</v>
      </c>
      <c r="L4882" s="41">
        <v>21.666666666666668</v>
      </c>
      <c r="M4882" s="11"/>
      <c r="N4882" s="36">
        <f t="shared" si="249"/>
        <v>0</v>
      </c>
      <c r="O4882" s="42">
        <f>0.021*M4882</f>
        <v>0</v>
      </c>
      <c r="P4882" s="55">
        <f>0.0002*M4882</f>
        <v>0</v>
      </c>
      <c r="Q4882" s="50"/>
      <c r="R4882" s="36" t="s">
        <v>17218</v>
      </c>
      <c r="S4882" s="36" t="s">
        <v>435</v>
      </c>
      <c r="T4882" s="35" t="str">
        <f>HYPERLINK("https://miland.ru/api/getInfo/image/0c305c13-af56-11e7-b8ef-5cf3fc4a2490")</f>
        <v>https://miland.ru/api/getInfo/image/0c305c13-af56-11e7-b8ef-5cf3fc4a2490</v>
      </c>
      <c r="U4882" s="35"/>
      <c r="V4882" s="35" t="s">
        <v>11948</v>
      </c>
      <c r="W4882" s="35" t="s">
        <v>1630</v>
      </c>
      <c r="X4882" s="35"/>
      <c r="Y4882" s="35" t="s">
        <v>697</v>
      </c>
      <c r="Z4882" s="35"/>
      <c r="AA4882" s="35" t="str">
        <f>HYPERLINK("https://miland.ru/api/getInfo/item/0c305c13-af56-11e7-b8ef-5cf3fc4a2490")</f>
        <v>https://miland.ru/api/getInfo/item/0c305c13-af56-11e7-b8ef-5cf3fc4a2490</v>
      </c>
      <c r="AB4882" s="35" t="s">
        <v>42</v>
      </c>
      <c r="AC4882" s="35" t="s">
        <v>17219</v>
      </c>
      <c r="AD4882" s="35"/>
      <c r="AE4882" s="52" t="s">
        <v>1251</v>
      </c>
    </row>
    <row r="4883" spans="2:31" s="1" customFormat="1" ht="96.3" customHeight="1" outlineLevel="4">
      <c r="B4883" s="59">
        <v>3921</v>
      </c>
      <c r="C4883" s="35" t="s">
        <v>17220</v>
      </c>
      <c r="D4883" s="73" t="s">
        <v>17221</v>
      </c>
      <c r="E4883" s="73"/>
      <c r="F4883" s="73"/>
      <c r="G4883" s="73"/>
      <c r="H4883" s="36" t="s">
        <v>17222</v>
      </c>
      <c r="I4883" s="56" t="s">
        <v>36</v>
      </c>
      <c r="J4883" s="36"/>
      <c r="K4883" s="34">
        <v>16</v>
      </c>
      <c r="L4883" s="41">
        <v>21.666666666666668</v>
      </c>
      <c r="M4883" s="11"/>
      <c r="N4883" s="36">
        <f t="shared" si="249"/>
        <v>0</v>
      </c>
      <c r="O4883" s="42">
        <f>0.021*M4883</f>
        <v>0</v>
      </c>
      <c r="P4883" s="55">
        <f>0.0002*M4883</f>
        <v>0</v>
      </c>
      <c r="Q4883" s="50"/>
      <c r="R4883" s="36" t="s">
        <v>17223</v>
      </c>
      <c r="S4883" s="36" t="s">
        <v>435</v>
      </c>
      <c r="T4883" s="35" t="str">
        <f>HYPERLINK("https://miland.ru/api/getInfo/image/1c3ce812-af56-11e7-b8ef-5cf3fc4a2490")</f>
        <v>https://miland.ru/api/getInfo/image/1c3ce812-af56-11e7-b8ef-5cf3fc4a2490</v>
      </c>
      <c r="U4883" s="35"/>
      <c r="V4883" s="35" t="s">
        <v>11948</v>
      </c>
      <c r="W4883" s="35" t="s">
        <v>1630</v>
      </c>
      <c r="X4883" s="35"/>
      <c r="Y4883" s="35" t="s">
        <v>697</v>
      </c>
      <c r="Z4883" s="35"/>
      <c r="AA4883" s="35" t="str">
        <f>HYPERLINK("https://miland.ru/api/getInfo/item/1c3ce812-af56-11e7-b8ef-5cf3fc4a2490")</f>
        <v>https://miland.ru/api/getInfo/item/1c3ce812-af56-11e7-b8ef-5cf3fc4a2490</v>
      </c>
      <c r="AB4883" s="35" t="s">
        <v>42</v>
      </c>
      <c r="AC4883" s="35" t="s">
        <v>17219</v>
      </c>
      <c r="AD4883" s="35"/>
      <c r="AE4883" s="52" t="s">
        <v>1251</v>
      </c>
    </row>
    <row r="4884" spans="2:31" s="1" customFormat="1" ht="96.3" customHeight="1" outlineLevel="4">
      <c r="B4884" s="59">
        <v>3922</v>
      </c>
      <c r="C4884" s="35" t="s">
        <v>17224</v>
      </c>
      <c r="D4884" s="73" t="s">
        <v>17225</v>
      </c>
      <c r="E4884" s="73"/>
      <c r="F4884" s="73"/>
      <c r="G4884" s="73"/>
      <c r="H4884" s="36" t="s">
        <v>17226</v>
      </c>
      <c r="I4884" s="56" t="s">
        <v>36</v>
      </c>
      <c r="J4884" s="36"/>
      <c r="K4884" s="34">
        <v>16</v>
      </c>
      <c r="L4884" s="41">
        <v>21.666666666666668</v>
      </c>
      <c r="M4884" s="11"/>
      <c r="N4884" s="36">
        <f t="shared" si="249"/>
        <v>0</v>
      </c>
      <c r="O4884" s="42">
        <f>0.021*M4884</f>
        <v>0</v>
      </c>
      <c r="P4884" s="43">
        <f>0.00008*M4884</f>
        <v>0</v>
      </c>
      <c r="Q4884" s="50"/>
      <c r="R4884" s="36" t="s">
        <v>17227</v>
      </c>
      <c r="S4884" s="36" t="s">
        <v>435</v>
      </c>
      <c r="T4884" s="35" t="str">
        <f>HYPERLINK("https://miland.ru/api/getInfo/image/389dd87c-af56-11e7-b8ef-5cf3fc4a2490")</f>
        <v>https://miland.ru/api/getInfo/image/389dd87c-af56-11e7-b8ef-5cf3fc4a2490</v>
      </c>
      <c r="U4884" s="35"/>
      <c r="V4884" s="35" t="s">
        <v>11948</v>
      </c>
      <c r="W4884" s="35" t="s">
        <v>1630</v>
      </c>
      <c r="X4884" s="35"/>
      <c r="Y4884" s="35" t="s">
        <v>697</v>
      </c>
      <c r="Z4884" s="35"/>
      <c r="AA4884" s="35" t="str">
        <f>HYPERLINK("https://miland.ru/api/getInfo/item/389dd87c-af56-11e7-b8ef-5cf3fc4a2490")</f>
        <v>https://miland.ru/api/getInfo/item/389dd87c-af56-11e7-b8ef-5cf3fc4a2490</v>
      </c>
      <c r="AB4884" s="35" t="s">
        <v>42</v>
      </c>
      <c r="AC4884" s="35" t="s">
        <v>17219</v>
      </c>
      <c r="AD4884" s="35"/>
      <c r="AE4884" s="52" t="s">
        <v>1251</v>
      </c>
    </row>
    <row r="4885" spans="2:31" s="1" customFormat="1" ht="96.3" customHeight="1" outlineLevel="4">
      <c r="B4885" s="59">
        <v>3923</v>
      </c>
      <c r="C4885" s="35" t="s">
        <v>17228</v>
      </c>
      <c r="D4885" s="73" t="s">
        <v>17229</v>
      </c>
      <c r="E4885" s="73"/>
      <c r="F4885" s="73"/>
      <c r="G4885" s="73"/>
      <c r="H4885" s="36" t="s">
        <v>17230</v>
      </c>
      <c r="I4885" s="56" t="s">
        <v>36</v>
      </c>
      <c r="J4885" s="36"/>
      <c r="K4885" s="34">
        <v>16</v>
      </c>
      <c r="L4885" s="41">
        <v>21.666666666666668</v>
      </c>
      <c r="M4885" s="11"/>
      <c r="N4885" s="36">
        <f t="shared" si="249"/>
        <v>0</v>
      </c>
      <c r="O4885" s="47">
        <f>0.03*M4885</f>
        <v>0</v>
      </c>
      <c r="P4885" s="43">
        <f>0.00078*M4885</f>
        <v>0</v>
      </c>
      <c r="Q4885" s="50"/>
      <c r="R4885" s="36" t="s">
        <v>17231</v>
      </c>
      <c r="S4885" s="36" t="s">
        <v>435</v>
      </c>
      <c r="T4885" s="35" t="str">
        <f>HYPERLINK("https://miland.ru/api/getInfo/image/9280d29a-3e2c-11e8-b13b-5cf3fc4a2490")</f>
        <v>https://miland.ru/api/getInfo/image/9280d29a-3e2c-11e8-b13b-5cf3fc4a2490</v>
      </c>
      <c r="U4885" s="35"/>
      <c r="V4885" s="35" t="s">
        <v>11948</v>
      </c>
      <c r="W4885" s="35" t="s">
        <v>1630</v>
      </c>
      <c r="X4885" s="35"/>
      <c r="Y4885" s="35" t="s">
        <v>697</v>
      </c>
      <c r="Z4885" s="35"/>
      <c r="AA4885" s="35" t="str">
        <f>HYPERLINK("https://miland.ru/api/getInfo/item/9280d29a-3e2c-11e8-b13b-5cf3fc4a2490")</f>
        <v>https://miland.ru/api/getInfo/item/9280d29a-3e2c-11e8-b13b-5cf3fc4a2490</v>
      </c>
      <c r="AB4885" s="35" t="s">
        <v>42</v>
      </c>
      <c r="AC4885" s="35" t="s">
        <v>17219</v>
      </c>
      <c r="AD4885" s="35"/>
      <c r="AE4885" s="52" t="s">
        <v>1251</v>
      </c>
    </row>
    <row r="4886" spans="2:31" s="1" customFormat="1" ht="96.3" customHeight="1" outlineLevel="4">
      <c r="B4886" s="59">
        <v>3924</v>
      </c>
      <c r="C4886" s="35" t="s">
        <v>17232</v>
      </c>
      <c r="D4886" s="73" t="s">
        <v>17233</v>
      </c>
      <c r="E4886" s="73"/>
      <c r="F4886" s="73"/>
      <c r="G4886" s="73"/>
      <c r="H4886" s="36" t="s">
        <v>17234</v>
      </c>
      <c r="I4886" s="56" t="s">
        <v>36</v>
      </c>
      <c r="J4886" s="36"/>
      <c r="K4886" s="34">
        <v>16</v>
      </c>
      <c r="L4886" s="41">
        <v>20.453333333333333</v>
      </c>
      <c r="M4886" s="11"/>
      <c r="N4886" s="36">
        <f t="shared" si="249"/>
        <v>0</v>
      </c>
      <c r="O4886" s="42">
        <f>0.015*M4886</f>
        <v>0</v>
      </c>
      <c r="P4886" s="43">
        <f>0.00016*M4886</f>
        <v>0</v>
      </c>
      <c r="Q4886" s="50"/>
      <c r="R4886" s="36" t="s">
        <v>17235</v>
      </c>
      <c r="S4886" s="36" t="s">
        <v>435</v>
      </c>
      <c r="T4886" s="35" t="str">
        <f>HYPERLINK("https://miland.ru/api/getInfo/image/60463185-af56-11e7-b8ef-5cf3fc4a2490")</f>
        <v>https://miland.ru/api/getInfo/image/60463185-af56-11e7-b8ef-5cf3fc4a2490</v>
      </c>
      <c r="U4886" s="35"/>
      <c r="V4886" s="35" t="s">
        <v>11948</v>
      </c>
      <c r="W4886" s="35" t="s">
        <v>1630</v>
      </c>
      <c r="X4886" s="35"/>
      <c r="Y4886" s="35" t="s">
        <v>697</v>
      </c>
      <c r="Z4886" s="35"/>
      <c r="AA4886" s="35" t="str">
        <f>HYPERLINK("https://miland.ru/api/getInfo/item/60463185-af56-11e7-b8ef-5cf3fc4a2490")</f>
        <v>https://miland.ru/api/getInfo/item/60463185-af56-11e7-b8ef-5cf3fc4a2490</v>
      </c>
      <c r="AB4886" s="35" t="s">
        <v>42</v>
      </c>
      <c r="AC4886" s="35" t="s">
        <v>17219</v>
      </c>
      <c r="AD4886" s="35"/>
      <c r="AE4886" s="52" t="s">
        <v>1251</v>
      </c>
    </row>
    <row r="4887" spans="2:31" s="1" customFormat="1" ht="96.3" customHeight="1" outlineLevel="4">
      <c r="B4887" s="59">
        <v>3925</v>
      </c>
      <c r="C4887" s="35" t="s">
        <v>17236</v>
      </c>
      <c r="D4887" s="73" t="s">
        <v>17237</v>
      </c>
      <c r="E4887" s="73"/>
      <c r="F4887" s="73"/>
      <c r="G4887" s="73"/>
      <c r="H4887" s="36" t="s">
        <v>17238</v>
      </c>
      <c r="I4887" s="56" t="s">
        <v>36</v>
      </c>
      <c r="J4887" s="36"/>
      <c r="K4887" s="34">
        <v>16</v>
      </c>
      <c r="L4887" s="41">
        <v>21.666666666666668</v>
      </c>
      <c r="M4887" s="11"/>
      <c r="N4887" s="36">
        <f t="shared" si="249"/>
        <v>0</v>
      </c>
      <c r="O4887" s="42">
        <f>0.021*M4887</f>
        <v>0</v>
      </c>
      <c r="P4887" s="55">
        <f>0.0002*M4887</f>
        <v>0</v>
      </c>
      <c r="Q4887" s="50"/>
      <c r="R4887" s="36" t="s">
        <v>17239</v>
      </c>
      <c r="S4887" s="36" t="s">
        <v>435</v>
      </c>
      <c r="T4887" s="35" t="str">
        <f>HYPERLINK("https://miland.ru/api/getInfo/image/71f5b033-af56-11e7-b8ef-5cf3fc4a2490")</f>
        <v>https://miland.ru/api/getInfo/image/71f5b033-af56-11e7-b8ef-5cf3fc4a2490</v>
      </c>
      <c r="U4887" s="35"/>
      <c r="V4887" s="35" t="s">
        <v>11948</v>
      </c>
      <c r="W4887" s="35" t="s">
        <v>1630</v>
      </c>
      <c r="X4887" s="35"/>
      <c r="Y4887" s="35" t="s">
        <v>697</v>
      </c>
      <c r="Z4887" s="35"/>
      <c r="AA4887" s="35" t="str">
        <f>HYPERLINK("https://miland.ru/api/getInfo/item/71f5b033-af56-11e7-b8ef-5cf3fc4a2490")</f>
        <v>https://miland.ru/api/getInfo/item/71f5b033-af56-11e7-b8ef-5cf3fc4a2490</v>
      </c>
      <c r="AB4887" s="35" t="s">
        <v>42</v>
      </c>
      <c r="AC4887" s="35" t="s">
        <v>17219</v>
      </c>
      <c r="AD4887" s="35"/>
      <c r="AE4887" s="52" t="s">
        <v>1251</v>
      </c>
    </row>
    <row r="4888" spans="2:31" s="1" customFormat="1" ht="96.3" customHeight="1" outlineLevel="4">
      <c r="B4888" s="59">
        <v>3926</v>
      </c>
      <c r="C4888" s="35" t="s">
        <v>17240</v>
      </c>
      <c r="D4888" s="73" t="s">
        <v>17241</v>
      </c>
      <c r="E4888" s="73"/>
      <c r="F4888" s="73"/>
      <c r="G4888" s="73"/>
      <c r="H4888" s="36" t="s">
        <v>17242</v>
      </c>
      <c r="I4888" s="56" t="s">
        <v>36</v>
      </c>
      <c r="J4888" s="36"/>
      <c r="K4888" s="34">
        <v>16</v>
      </c>
      <c r="L4888" s="41">
        <v>21.666666666666668</v>
      </c>
      <c r="M4888" s="11"/>
      <c r="N4888" s="36">
        <f t="shared" si="249"/>
        <v>0</v>
      </c>
      <c r="O4888" s="42">
        <f>0.021*M4888</f>
        <v>0</v>
      </c>
      <c r="P4888" s="55">
        <f>0.0002*M4888</f>
        <v>0</v>
      </c>
      <c r="Q4888" s="50"/>
      <c r="R4888" s="36" t="s">
        <v>17243</v>
      </c>
      <c r="S4888" s="36" t="s">
        <v>435</v>
      </c>
      <c r="T4888" s="35" t="str">
        <f>HYPERLINK("https://miland.ru/api/getInfo/image/8f12ad8e-af56-11e7-b8ef-5cf3fc4a2490")</f>
        <v>https://miland.ru/api/getInfo/image/8f12ad8e-af56-11e7-b8ef-5cf3fc4a2490</v>
      </c>
      <c r="U4888" s="35"/>
      <c r="V4888" s="35" t="s">
        <v>11948</v>
      </c>
      <c r="W4888" s="35" t="s">
        <v>1630</v>
      </c>
      <c r="X4888" s="35"/>
      <c r="Y4888" s="35" t="s">
        <v>697</v>
      </c>
      <c r="Z4888" s="35"/>
      <c r="AA4888" s="35" t="str">
        <f>HYPERLINK("https://miland.ru/api/getInfo/item/8f12ad8e-af56-11e7-b8ef-5cf3fc4a2490")</f>
        <v>https://miland.ru/api/getInfo/item/8f12ad8e-af56-11e7-b8ef-5cf3fc4a2490</v>
      </c>
      <c r="AB4888" s="35" t="s">
        <v>42</v>
      </c>
      <c r="AC4888" s="35" t="s">
        <v>17219</v>
      </c>
      <c r="AD4888" s="35"/>
      <c r="AE4888" s="52" t="s">
        <v>1251</v>
      </c>
    </row>
    <row r="4889" spans="2:31" s="1" customFormat="1" ht="96.3" customHeight="1" outlineLevel="4">
      <c r="B4889" s="59">
        <v>3927</v>
      </c>
      <c r="C4889" s="35" t="s">
        <v>17244</v>
      </c>
      <c r="D4889" s="73" t="s">
        <v>17245</v>
      </c>
      <c r="E4889" s="73"/>
      <c r="F4889" s="73"/>
      <c r="G4889" s="73"/>
      <c r="H4889" s="36" t="s">
        <v>17246</v>
      </c>
      <c r="I4889" s="56" t="s">
        <v>36</v>
      </c>
      <c r="J4889" s="36"/>
      <c r="K4889" s="34">
        <v>16</v>
      </c>
      <c r="L4889" s="41">
        <v>21.666666666666668</v>
      </c>
      <c r="M4889" s="11"/>
      <c r="N4889" s="36">
        <f t="shared" si="249"/>
        <v>0</v>
      </c>
      <c r="O4889" s="42">
        <f>0.021*M4889</f>
        <v>0</v>
      </c>
      <c r="P4889" s="43">
        <f>0.00009*M4889</f>
        <v>0</v>
      </c>
      <c r="Q4889" s="50"/>
      <c r="R4889" s="36" t="s">
        <v>17247</v>
      </c>
      <c r="S4889" s="36" t="s">
        <v>435</v>
      </c>
      <c r="T4889" s="35" t="str">
        <f>HYPERLINK("https://miland.ru/api/getInfo/image/a59cbc06-af56-11e7-b8ef-5cf3fc4a2490")</f>
        <v>https://miland.ru/api/getInfo/image/a59cbc06-af56-11e7-b8ef-5cf3fc4a2490</v>
      </c>
      <c r="U4889" s="35"/>
      <c r="V4889" s="35" t="s">
        <v>11948</v>
      </c>
      <c r="W4889" s="35" t="s">
        <v>1630</v>
      </c>
      <c r="X4889" s="35"/>
      <c r="Y4889" s="35" t="s">
        <v>697</v>
      </c>
      <c r="Z4889" s="35"/>
      <c r="AA4889" s="35" t="str">
        <f>HYPERLINK("https://miland.ru/api/getInfo/item/a59cbc06-af56-11e7-b8ef-5cf3fc4a2490")</f>
        <v>https://miland.ru/api/getInfo/item/a59cbc06-af56-11e7-b8ef-5cf3fc4a2490</v>
      </c>
      <c r="AB4889" s="35" t="s">
        <v>42</v>
      </c>
      <c r="AC4889" s="35" t="s">
        <v>17219</v>
      </c>
      <c r="AD4889" s="35"/>
      <c r="AE4889" s="52" t="s">
        <v>1251</v>
      </c>
    </row>
    <row r="4890" spans="2:31" s="1" customFormat="1" ht="96.3" customHeight="1" outlineLevel="4">
      <c r="B4890" s="59">
        <v>3928</v>
      </c>
      <c r="C4890" s="35" t="s">
        <v>17248</v>
      </c>
      <c r="D4890" s="73" t="s">
        <v>17249</v>
      </c>
      <c r="E4890" s="73"/>
      <c r="F4890" s="73"/>
      <c r="G4890" s="73"/>
      <c r="H4890" s="36" t="s">
        <v>17250</v>
      </c>
      <c r="I4890" s="56" t="s">
        <v>36</v>
      </c>
      <c r="J4890" s="36"/>
      <c r="K4890" s="34">
        <v>16</v>
      </c>
      <c r="L4890" s="41">
        <v>21.666666666666668</v>
      </c>
      <c r="M4890" s="11"/>
      <c r="N4890" s="36">
        <f t="shared" si="249"/>
        <v>0</v>
      </c>
      <c r="O4890" s="47">
        <f>0.03*M4890</f>
        <v>0</v>
      </c>
      <c r="P4890" s="43">
        <f>0.00312*M4890</f>
        <v>0</v>
      </c>
      <c r="Q4890" s="50"/>
      <c r="R4890" s="36" t="s">
        <v>17251</v>
      </c>
      <c r="S4890" s="36" t="s">
        <v>435</v>
      </c>
      <c r="T4890" s="35" t="str">
        <f>HYPERLINK("https://miland.ru/api/getInfo/image/c74c91d9-3e2c-11e8-b13b-5cf3fc4a2490")</f>
        <v>https://miland.ru/api/getInfo/image/c74c91d9-3e2c-11e8-b13b-5cf3fc4a2490</v>
      </c>
      <c r="U4890" s="35"/>
      <c r="V4890" s="35" t="s">
        <v>11948</v>
      </c>
      <c r="W4890" s="35" t="s">
        <v>1630</v>
      </c>
      <c r="X4890" s="35"/>
      <c r="Y4890" s="35" t="s">
        <v>697</v>
      </c>
      <c r="Z4890" s="35"/>
      <c r="AA4890" s="35" t="str">
        <f>HYPERLINK("https://miland.ru/api/getInfo/item/c74c91d9-3e2c-11e8-b13b-5cf3fc4a2490")</f>
        <v>https://miland.ru/api/getInfo/item/c74c91d9-3e2c-11e8-b13b-5cf3fc4a2490</v>
      </c>
      <c r="AB4890" s="35" t="s">
        <v>42</v>
      </c>
      <c r="AC4890" s="35" t="s">
        <v>17219</v>
      </c>
      <c r="AD4890" s="35"/>
      <c r="AE4890" s="52" t="s">
        <v>1251</v>
      </c>
    </row>
    <row r="4891" spans="2:31" s="1" customFormat="1" ht="96.3" customHeight="1" outlineLevel="4">
      <c r="B4891" s="60">
        <v>3929</v>
      </c>
      <c r="C4891" s="38" t="s">
        <v>17252</v>
      </c>
      <c r="D4891" s="74" t="s">
        <v>17253</v>
      </c>
      <c r="E4891" s="74"/>
      <c r="F4891" s="74"/>
      <c r="G4891" s="74"/>
      <c r="H4891" s="39" t="s">
        <v>17254</v>
      </c>
      <c r="I4891" s="44">
        <v>110</v>
      </c>
      <c r="J4891" s="39"/>
      <c r="K4891" s="37">
        <v>5</v>
      </c>
      <c r="L4891" s="41">
        <v>28.093333333333334</v>
      </c>
      <c r="M4891" s="11"/>
      <c r="N4891" s="39">
        <f t="shared" si="249"/>
        <v>0</v>
      </c>
      <c r="O4891" s="45">
        <f t="shared" ref="O4891:O4902" si="252">0.02*M4891</f>
        <v>0</v>
      </c>
      <c r="P4891" s="46">
        <f>0.00004*M4891</f>
        <v>0</v>
      </c>
      <c r="Q4891" s="51"/>
      <c r="R4891" s="39" t="s">
        <v>17255</v>
      </c>
      <c r="S4891" s="39" t="s">
        <v>435</v>
      </c>
      <c r="T4891" s="38" t="str">
        <f>HYPERLINK("https://miland.ru/api/getInfo/image/641e285b-0fcf-11ec-a20f-ac1f6b442185")</f>
        <v>https://miland.ru/api/getInfo/image/641e285b-0fcf-11ec-a20f-ac1f6b442185</v>
      </c>
      <c r="U4891" s="38"/>
      <c r="V4891" s="38" t="s">
        <v>11948</v>
      </c>
      <c r="W4891" s="38" t="s">
        <v>1630</v>
      </c>
      <c r="X4891" s="38"/>
      <c r="Y4891" s="38" t="s">
        <v>697</v>
      </c>
      <c r="Z4891" s="38"/>
      <c r="AA4891" s="38" t="str">
        <f>HYPERLINK("https://miland.ru/api/getInfo/item/641e285b-0fcf-11ec-a20f-ac1f6b442185")</f>
        <v>https://miland.ru/api/getInfo/item/641e285b-0fcf-11ec-a20f-ac1f6b442185</v>
      </c>
      <c r="AB4891" s="38" t="s">
        <v>42</v>
      </c>
      <c r="AC4891" s="38"/>
      <c r="AD4891" s="38"/>
      <c r="AE4891" s="53" t="s">
        <v>1306</v>
      </c>
    </row>
    <row r="4892" spans="2:31" s="1" customFormat="1" ht="96.3" customHeight="1" outlineLevel="4">
      <c r="B4892" s="59">
        <v>3930</v>
      </c>
      <c r="C4892" s="35" t="s">
        <v>17256</v>
      </c>
      <c r="D4892" s="73" t="s">
        <v>17257</v>
      </c>
      <c r="E4892" s="73"/>
      <c r="F4892" s="73"/>
      <c r="G4892" s="73"/>
      <c r="H4892" s="36" t="s">
        <v>17258</v>
      </c>
      <c r="I4892" s="56" t="s">
        <v>36</v>
      </c>
      <c r="J4892" s="36"/>
      <c r="K4892" s="34">
        <v>12</v>
      </c>
      <c r="L4892" s="41">
        <v>21.333333333333332</v>
      </c>
      <c r="M4892" s="11"/>
      <c r="N4892" s="36">
        <f t="shared" si="249"/>
        <v>0</v>
      </c>
      <c r="O4892" s="47">
        <f t="shared" si="252"/>
        <v>0</v>
      </c>
      <c r="P4892" s="43">
        <f>0.00004*M4892</f>
        <v>0</v>
      </c>
      <c r="Q4892" s="50"/>
      <c r="R4892" s="36" t="s">
        <v>17259</v>
      </c>
      <c r="S4892" s="36" t="s">
        <v>435</v>
      </c>
      <c r="T4892" s="35" t="str">
        <f>HYPERLINK("https://miland.ru/api/getInfo/image/37957d53-0fd5-11ec-a20f-ac1f6b442185")</f>
        <v>https://miland.ru/api/getInfo/image/37957d53-0fd5-11ec-a20f-ac1f6b442185</v>
      </c>
      <c r="U4892" s="35"/>
      <c r="V4892" s="35" t="s">
        <v>11948</v>
      </c>
      <c r="W4892" s="35" t="s">
        <v>1630</v>
      </c>
      <c r="X4892" s="35"/>
      <c r="Y4892" s="35" t="s">
        <v>697</v>
      </c>
      <c r="Z4892" s="35"/>
      <c r="AA4892" s="35" t="str">
        <f>HYPERLINK("https://miland.ru/api/getInfo/item/37957d53-0fd5-11ec-a20f-ac1f6b442185")</f>
        <v>https://miland.ru/api/getInfo/item/37957d53-0fd5-11ec-a20f-ac1f6b442185</v>
      </c>
      <c r="AB4892" s="35" t="s">
        <v>42</v>
      </c>
      <c r="AC4892" s="35"/>
      <c r="AD4892" s="35"/>
      <c r="AE4892" s="52" t="s">
        <v>1251</v>
      </c>
    </row>
    <row r="4893" spans="2:31" s="1" customFormat="1" ht="96.3" customHeight="1" outlineLevel="4">
      <c r="B4893" s="59">
        <v>3931</v>
      </c>
      <c r="C4893" s="35" t="s">
        <v>17260</v>
      </c>
      <c r="D4893" s="73" t="s">
        <v>17261</v>
      </c>
      <c r="E4893" s="73"/>
      <c r="F4893" s="73"/>
      <c r="G4893" s="73"/>
      <c r="H4893" s="36" t="s">
        <v>17262</v>
      </c>
      <c r="I4893" s="40">
        <v>115</v>
      </c>
      <c r="J4893" s="36"/>
      <c r="K4893" s="34">
        <v>12</v>
      </c>
      <c r="L4893" s="41">
        <v>21.333333333333332</v>
      </c>
      <c r="M4893" s="11"/>
      <c r="N4893" s="36">
        <f t="shared" si="249"/>
        <v>0</v>
      </c>
      <c r="O4893" s="47">
        <f t="shared" si="252"/>
        <v>0</v>
      </c>
      <c r="P4893" s="43">
        <f>0.00004*M4893</f>
        <v>0</v>
      </c>
      <c r="Q4893" s="50"/>
      <c r="R4893" s="36" t="s">
        <v>17263</v>
      </c>
      <c r="S4893" s="36" t="s">
        <v>435</v>
      </c>
      <c r="T4893" s="35" t="str">
        <f>HYPERLINK("https://miland.ru/api/getInfo/image/a690d7a1-0fd4-11ec-a20f-ac1f6b442185")</f>
        <v>https://miland.ru/api/getInfo/image/a690d7a1-0fd4-11ec-a20f-ac1f6b442185</v>
      </c>
      <c r="U4893" s="35"/>
      <c r="V4893" s="35" t="s">
        <v>11948</v>
      </c>
      <c r="W4893" s="35" t="s">
        <v>1630</v>
      </c>
      <c r="X4893" s="35"/>
      <c r="Y4893" s="35" t="s">
        <v>697</v>
      </c>
      <c r="Z4893" s="35"/>
      <c r="AA4893" s="35" t="str">
        <f>HYPERLINK("https://miland.ru/api/getInfo/item/a690d7a1-0fd4-11ec-a20f-ac1f6b442185")</f>
        <v>https://miland.ru/api/getInfo/item/a690d7a1-0fd4-11ec-a20f-ac1f6b442185</v>
      </c>
      <c r="AB4893" s="35" t="s">
        <v>42</v>
      </c>
      <c r="AC4893" s="35"/>
      <c r="AD4893" s="35"/>
      <c r="AE4893" s="52" t="s">
        <v>1251</v>
      </c>
    </row>
    <row r="4894" spans="2:31" s="1" customFormat="1" ht="96.3" customHeight="1" outlineLevel="4">
      <c r="B4894" s="59">
        <v>3932</v>
      </c>
      <c r="C4894" s="35" t="s">
        <v>17264</v>
      </c>
      <c r="D4894" s="73" t="s">
        <v>17265</v>
      </c>
      <c r="E4894" s="73"/>
      <c r="F4894" s="73"/>
      <c r="G4894" s="73"/>
      <c r="H4894" s="36" t="s">
        <v>17266</v>
      </c>
      <c r="I4894" s="40">
        <v>183</v>
      </c>
      <c r="J4894" s="36"/>
      <c r="K4894" s="34">
        <v>12</v>
      </c>
      <c r="L4894" s="41">
        <v>21.333333333333332</v>
      </c>
      <c r="M4894" s="11"/>
      <c r="N4894" s="36">
        <f t="shared" si="249"/>
        <v>0</v>
      </c>
      <c r="O4894" s="47">
        <f t="shared" si="252"/>
        <v>0</v>
      </c>
      <c r="P4894" s="43">
        <f>0.00001*M4894</f>
        <v>0</v>
      </c>
      <c r="Q4894" s="50"/>
      <c r="R4894" s="36" t="s">
        <v>17267</v>
      </c>
      <c r="S4894" s="36" t="s">
        <v>435</v>
      </c>
      <c r="T4894" s="35" t="str">
        <f>HYPERLINK("https://miland.ru/api/getInfo/image/d16a9b67-0fd4-11ec-a20f-ac1f6b442185")</f>
        <v>https://miland.ru/api/getInfo/image/d16a9b67-0fd4-11ec-a20f-ac1f6b442185</v>
      </c>
      <c r="U4894" s="35"/>
      <c r="V4894" s="35" t="s">
        <v>11948</v>
      </c>
      <c r="W4894" s="35" t="s">
        <v>1630</v>
      </c>
      <c r="X4894" s="35"/>
      <c r="Y4894" s="35" t="s">
        <v>697</v>
      </c>
      <c r="Z4894" s="35"/>
      <c r="AA4894" s="35" t="str">
        <f>HYPERLINK("https://miland.ru/api/getInfo/item/d16a9b67-0fd4-11ec-a20f-ac1f6b442185")</f>
        <v>https://miland.ru/api/getInfo/item/d16a9b67-0fd4-11ec-a20f-ac1f6b442185</v>
      </c>
      <c r="AB4894" s="35" t="s">
        <v>42</v>
      </c>
      <c r="AC4894" s="35"/>
      <c r="AD4894" s="35"/>
      <c r="AE4894" s="52" t="s">
        <v>1251</v>
      </c>
    </row>
    <row r="4895" spans="2:31" s="1" customFormat="1" ht="96.3" customHeight="1" outlineLevel="4">
      <c r="B4895" s="59">
        <v>3933</v>
      </c>
      <c r="C4895" s="35" t="s">
        <v>17268</v>
      </c>
      <c r="D4895" s="73" t="s">
        <v>17269</v>
      </c>
      <c r="E4895" s="73"/>
      <c r="F4895" s="73"/>
      <c r="G4895" s="73"/>
      <c r="H4895" s="36" t="s">
        <v>17270</v>
      </c>
      <c r="I4895" s="40">
        <v>492</v>
      </c>
      <c r="J4895" s="36"/>
      <c r="K4895" s="34">
        <v>12</v>
      </c>
      <c r="L4895" s="41">
        <v>21.333333333333332</v>
      </c>
      <c r="M4895" s="11"/>
      <c r="N4895" s="36">
        <f t="shared" si="249"/>
        <v>0</v>
      </c>
      <c r="O4895" s="47">
        <f t="shared" si="252"/>
        <v>0</v>
      </c>
      <c r="P4895" s="43">
        <f>0.00004*M4895</f>
        <v>0</v>
      </c>
      <c r="Q4895" s="50"/>
      <c r="R4895" s="36" t="s">
        <v>17271</v>
      </c>
      <c r="S4895" s="36" t="s">
        <v>435</v>
      </c>
      <c r="T4895" s="35" t="str">
        <f>HYPERLINK("https://miland.ru/api/getInfo/image/0a94ffe5-0fd5-11ec-a20f-ac1f6b442185")</f>
        <v>https://miland.ru/api/getInfo/image/0a94ffe5-0fd5-11ec-a20f-ac1f6b442185</v>
      </c>
      <c r="U4895" s="35"/>
      <c r="V4895" s="35" t="s">
        <v>11948</v>
      </c>
      <c r="W4895" s="35" t="s">
        <v>1630</v>
      </c>
      <c r="X4895" s="35"/>
      <c r="Y4895" s="35" t="s">
        <v>697</v>
      </c>
      <c r="Z4895" s="35"/>
      <c r="AA4895" s="35" t="str">
        <f>HYPERLINK("https://miland.ru/api/getInfo/item/0a94ffe5-0fd5-11ec-a20f-ac1f6b442185")</f>
        <v>https://miland.ru/api/getInfo/item/0a94ffe5-0fd5-11ec-a20f-ac1f6b442185</v>
      </c>
      <c r="AB4895" s="35" t="s">
        <v>42</v>
      </c>
      <c r="AC4895" s="35"/>
      <c r="AD4895" s="35"/>
      <c r="AE4895" s="52" t="s">
        <v>1251</v>
      </c>
    </row>
    <row r="4896" spans="2:31" s="1" customFormat="1" ht="96.3" customHeight="1" outlineLevel="4">
      <c r="B4896" s="59">
        <v>3934</v>
      </c>
      <c r="C4896" s="35" t="s">
        <v>17272</v>
      </c>
      <c r="D4896" s="73" t="s">
        <v>17273</v>
      </c>
      <c r="E4896" s="73"/>
      <c r="F4896" s="73"/>
      <c r="G4896" s="73"/>
      <c r="H4896" s="36" t="s">
        <v>17274</v>
      </c>
      <c r="I4896" s="56" t="s">
        <v>36</v>
      </c>
      <c r="J4896" s="36"/>
      <c r="K4896" s="34">
        <v>12</v>
      </c>
      <c r="L4896" s="41">
        <v>21.333333333333332</v>
      </c>
      <c r="M4896" s="11"/>
      <c r="N4896" s="36">
        <f t="shared" si="249"/>
        <v>0</v>
      </c>
      <c r="O4896" s="47">
        <f t="shared" si="252"/>
        <v>0</v>
      </c>
      <c r="P4896" s="43">
        <f>0.00004*M4896</f>
        <v>0</v>
      </c>
      <c r="Q4896" s="50"/>
      <c r="R4896" s="36" t="s">
        <v>17275</v>
      </c>
      <c r="S4896" s="36" t="s">
        <v>435</v>
      </c>
      <c r="T4896" s="35" t="str">
        <f>HYPERLINK("https://miland.ru/api/getInfo/image/d94d98fd-0fd0-11ec-a20f-ac1f6b442185")</f>
        <v>https://miland.ru/api/getInfo/image/d94d98fd-0fd0-11ec-a20f-ac1f6b442185</v>
      </c>
      <c r="U4896" s="35"/>
      <c r="V4896" s="35" t="s">
        <v>11948</v>
      </c>
      <c r="W4896" s="35" t="s">
        <v>1630</v>
      </c>
      <c r="X4896" s="35"/>
      <c r="Y4896" s="35" t="s">
        <v>697</v>
      </c>
      <c r="Z4896" s="35"/>
      <c r="AA4896" s="35" t="str">
        <f>HYPERLINK("https://miland.ru/api/getInfo/item/d94d98fd-0fd0-11ec-a20f-ac1f6b442185")</f>
        <v>https://miland.ru/api/getInfo/item/d94d98fd-0fd0-11ec-a20f-ac1f6b442185</v>
      </c>
      <c r="AB4896" s="35" t="s">
        <v>42</v>
      </c>
      <c r="AC4896" s="35"/>
      <c r="AD4896" s="35"/>
      <c r="AE4896" s="52" t="s">
        <v>1251</v>
      </c>
    </row>
    <row r="4897" spans="2:31" s="1" customFormat="1" ht="96.3" customHeight="1" outlineLevel="4">
      <c r="B4897" s="60">
        <v>3935</v>
      </c>
      <c r="C4897" s="38" t="s">
        <v>17276</v>
      </c>
      <c r="D4897" s="74" t="s">
        <v>17277</v>
      </c>
      <c r="E4897" s="74"/>
      <c r="F4897" s="74"/>
      <c r="G4897" s="74"/>
      <c r="H4897" s="39" t="s">
        <v>17278</v>
      </c>
      <c r="I4897" s="44">
        <v>5</v>
      </c>
      <c r="J4897" s="39"/>
      <c r="K4897" s="37">
        <v>5</v>
      </c>
      <c r="L4897" s="41">
        <v>15.613333333333335</v>
      </c>
      <c r="M4897" s="11"/>
      <c r="N4897" s="39">
        <f t="shared" si="249"/>
        <v>0</v>
      </c>
      <c r="O4897" s="45">
        <f t="shared" si="252"/>
        <v>0</v>
      </c>
      <c r="P4897" s="46">
        <f>0.00001*M4897</f>
        <v>0</v>
      </c>
      <c r="Q4897" s="51"/>
      <c r="R4897" s="39" t="s">
        <v>17279</v>
      </c>
      <c r="S4897" s="39" t="s">
        <v>435</v>
      </c>
      <c r="T4897" s="38" t="str">
        <f>HYPERLINK("https://miland.ru/api/getInfo/image/7ed071f6-0fce-11ec-a20f-ac1f6b442185")</f>
        <v>https://miland.ru/api/getInfo/image/7ed071f6-0fce-11ec-a20f-ac1f6b442185</v>
      </c>
      <c r="U4897" s="38"/>
      <c r="V4897" s="38" t="s">
        <v>11948</v>
      </c>
      <c r="W4897" s="38" t="s">
        <v>1630</v>
      </c>
      <c r="X4897" s="38"/>
      <c r="Y4897" s="38" t="s">
        <v>697</v>
      </c>
      <c r="Z4897" s="38"/>
      <c r="AA4897" s="38" t="str">
        <f>HYPERLINK("https://miland.ru/api/getInfo/item/7ed071f6-0fce-11ec-a20f-ac1f6b442185")</f>
        <v>https://miland.ru/api/getInfo/item/7ed071f6-0fce-11ec-a20f-ac1f6b442185</v>
      </c>
      <c r="AB4897" s="38" t="s">
        <v>42</v>
      </c>
      <c r="AC4897" s="38"/>
      <c r="AD4897" s="38"/>
      <c r="AE4897" s="53" t="s">
        <v>1306</v>
      </c>
    </row>
    <row r="4898" spans="2:31" s="1" customFormat="1" ht="96.3" customHeight="1" outlineLevel="4">
      <c r="B4898" s="59">
        <v>3936</v>
      </c>
      <c r="C4898" s="35" t="s">
        <v>17280</v>
      </c>
      <c r="D4898" s="73" t="s">
        <v>17281</v>
      </c>
      <c r="E4898" s="73"/>
      <c r="F4898" s="73"/>
      <c r="G4898" s="73"/>
      <c r="H4898" s="36" t="s">
        <v>17282</v>
      </c>
      <c r="I4898" s="40">
        <v>272</v>
      </c>
      <c r="J4898" s="36"/>
      <c r="K4898" s="34">
        <v>12</v>
      </c>
      <c r="L4898" s="41">
        <v>21.333333333333332</v>
      </c>
      <c r="M4898" s="11"/>
      <c r="N4898" s="36">
        <f t="shared" si="249"/>
        <v>0</v>
      </c>
      <c r="O4898" s="47">
        <f t="shared" si="252"/>
        <v>0</v>
      </c>
      <c r="P4898" s="43">
        <f>0.00004*M4898</f>
        <v>0</v>
      </c>
      <c r="Q4898" s="50"/>
      <c r="R4898" s="36" t="s">
        <v>17283</v>
      </c>
      <c r="S4898" s="36" t="s">
        <v>435</v>
      </c>
      <c r="T4898" s="35" t="str">
        <f>HYPERLINK("https://miland.ru/api/getInfo/image/aac38bb0-0fce-11ec-a20f-ac1f6b442185")</f>
        <v>https://miland.ru/api/getInfo/image/aac38bb0-0fce-11ec-a20f-ac1f6b442185</v>
      </c>
      <c r="U4898" s="35"/>
      <c r="V4898" s="35" t="s">
        <v>11948</v>
      </c>
      <c r="W4898" s="35" t="s">
        <v>1630</v>
      </c>
      <c r="X4898" s="35"/>
      <c r="Y4898" s="35" t="s">
        <v>697</v>
      </c>
      <c r="Z4898" s="35"/>
      <c r="AA4898" s="35" t="str">
        <f>HYPERLINK("https://miland.ru/api/getInfo/item/aac38bb0-0fce-11ec-a20f-ac1f6b442185")</f>
        <v>https://miland.ru/api/getInfo/item/aac38bb0-0fce-11ec-a20f-ac1f6b442185</v>
      </c>
      <c r="AB4898" s="35" t="s">
        <v>42</v>
      </c>
      <c r="AC4898" s="35"/>
      <c r="AD4898" s="35"/>
      <c r="AE4898" s="52" t="s">
        <v>1251</v>
      </c>
    </row>
    <row r="4899" spans="2:31" s="1" customFormat="1" ht="96.3" customHeight="1" outlineLevel="4">
      <c r="B4899" s="60">
        <v>3937</v>
      </c>
      <c r="C4899" s="38" t="s">
        <v>17284</v>
      </c>
      <c r="D4899" s="74" t="s">
        <v>17285</v>
      </c>
      <c r="E4899" s="74"/>
      <c r="F4899" s="74"/>
      <c r="G4899" s="74"/>
      <c r="H4899" s="39" t="s">
        <v>17286</v>
      </c>
      <c r="I4899" s="44">
        <v>190</v>
      </c>
      <c r="J4899" s="39"/>
      <c r="K4899" s="37">
        <v>5</v>
      </c>
      <c r="L4899" s="41">
        <v>31.213333333333335</v>
      </c>
      <c r="M4899" s="11"/>
      <c r="N4899" s="39">
        <f t="shared" si="249"/>
        <v>0</v>
      </c>
      <c r="O4899" s="45">
        <f t="shared" si="252"/>
        <v>0</v>
      </c>
      <c r="P4899" s="46">
        <f>0.00004*M4899</f>
        <v>0</v>
      </c>
      <c r="Q4899" s="51"/>
      <c r="R4899" s="39" t="s">
        <v>17287</v>
      </c>
      <c r="S4899" s="39" t="s">
        <v>435</v>
      </c>
      <c r="T4899" s="38" t="str">
        <f>HYPERLINK("https://miland.ru/api/getInfo/image/ec4ade73-0fce-11ec-a20f-ac1f6b442185")</f>
        <v>https://miland.ru/api/getInfo/image/ec4ade73-0fce-11ec-a20f-ac1f6b442185</v>
      </c>
      <c r="U4899" s="38"/>
      <c r="V4899" s="38" t="s">
        <v>11948</v>
      </c>
      <c r="W4899" s="38" t="s">
        <v>1630</v>
      </c>
      <c r="X4899" s="38"/>
      <c r="Y4899" s="38" t="s">
        <v>697</v>
      </c>
      <c r="Z4899" s="38"/>
      <c r="AA4899" s="38" t="str">
        <f>HYPERLINK("https://miland.ru/api/getInfo/item/ec4ade73-0fce-11ec-a20f-ac1f6b442185")</f>
        <v>https://miland.ru/api/getInfo/item/ec4ade73-0fce-11ec-a20f-ac1f6b442185</v>
      </c>
      <c r="AB4899" s="38" t="s">
        <v>42</v>
      </c>
      <c r="AC4899" s="38"/>
      <c r="AD4899" s="38"/>
      <c r="AE4899" s="53" t="s">
        <v>1306</v>
      </c>
    </row>
    <row r="4900" spans="2:31" s="1" customFormat="1" ht="96.3" customHeight="1" outlineLevel="4">
      <c r="B4900" s="59">
        <v>3938</v>
      </c>
      <c r="C4900" s="35" t="s">
        <v>17288</v>
      </c>
      <c r="D4900" s="73" t="s">
        <v>17289</v>
      </c>
      <c r="E4900" s="73"/>
      <c r="F4900" s="73"/>
      <c r="G4900" s="73"/>
      <c r="H4900" s="36" t="s">
        <v>17290</v>
      </c>
      <c r="I4900" s="56" t="s">
        <v>36</v>
      </c>
      <c r="J4900" s="36"/>
      <c r="K4900" s="34">
        <v>12</v>
      </c>
      <c r="L4900" s="41">
        <v>21.333333333333332</v>
      </c>
      <c r="M4900" s="11"/>
      <c r="N4900" s="36">
        <f t="shared" si="249"/>
        <v>0</v>
      </c>
      <c r="O4900" s="47">
        <f t="shared" si="252"/>
        <v>0</v>
      </c>
      <c r="P4900" s="43">
        <f>0.00004*M4900</f>
        <v>0</v>
      </c>
      <c r="Q4900" s="50"/>
      <c r="R4900" s="36" t="s">
        <v>17291</v>
      </c>
      <c r="S4900" s="36" t="s">
        <v>435</v>
      </c>
      <c r="T4900" s="35" t="str">
        <f>HYPERLINK("https://miland.ru/api/getInfo/image/9ce6b439-0fcf-11ec-a20f-ac1f6b442185")</f>
        <v>https://miland.ru/api/getInfo/image/9ce6b439-0fcf-11ec-a20f-ac1f6b442185</v>
      </c>
      <c r="U4900" s="35"/>
      <c r="V4900" s="35" t="s">
        <v>11948</v>
      </c>
      <c r="W4900" s="35" t="s">
        <v>1630</v>
      </c>
      <c r="X4900" s="35"/>
      <c r="Y4900" s="35" t="s">
        <v>697</v>
      </c>
      <c r="Z4900" s="35"/>
      <c r="AA4900" s="35" t="str">
        <f>HYPERLINK("https://miland.ru/api/getInfo/item/9ce6b439-0fcf-11ec-a20f-ac1f6b442185")</f>
        <v>https://miland.ru/api/getInfo/item/9ce6b439-0fcf-11ec-a20f-ac1f6b442185</v>
      </c>
      <c r="AB4900" s="35" t="s">
        <v>42</v>
      </c>
      <c r="AC4900" s="35"/>
      <c r="AD4900" s="35"/>
      <c r="AE4900" s="52" t="s">
        <v>1251</v>
      </c>
    </row>
    <row r="4901" spans="2:31" s="1" customFormat="1" ht="96.3" customHeight="1" outlineLevel="4">
      <c r="B4901" s="59">
        <v>3939</v>
      </c>
      <c r="C4901" s="35" t="s">
        <v>17292</v>
      </c>
      <c r="D4901" s="73" t="s">
        <v>17293</v>
      </c>
      <c r="E4901" s="73"/>
      <c r="F4901" s="73"/>
      <c r="G4901" s="73"/>
      <c r="H4901" s="36" t="s">
        <v>17294</v>
      </c>
      <c r="I4901" s="40">
        <v>422</v>
      </c>
      <c r="J4901" s="36"/>
      <c r="K4901" s="34">
        <v>12</v>
      </c>
      <c r="L4901" s="41">
        <v>21.333333333333332</v>
      </c>
      <c r="M4901" s="11"/>
      <c r="N4901" s="36">
        <f t="shared" si="249"/>
        <v>0</v>
      </c>
      <c r="O4901" s="47">
        <f t="shared" si="252"/>
        <v>0</v>
      </c>
      <c r="P4901" s="43">
        <f>0.00004*M4901</f>
        <v>0</v>
      </c>
      <c r="Q4901" s="50"/>
      <c r="R4901" s="36" t="s">
        <v>17295</v>
      </c>
      <c r="S4901" s="36" t="s">
        <v>435</v>
      </c>
      <c r="T4901" s="35" t="str">
        <f>HYPERLINK("https://miland.ru/api/getInfo/image/12bbc363-0fd0-11ec-a20f-ac1f6b442185")</f>
        <v>https://miland.ru/api/getInfo/image/12bbc363-0fd0-11ec-a20f-ac1f6b442185</v>
      </c>
      <c r="U4901" s="35"/>
      <c r="V4901" s="35" t="s">
        <v>11948</v>
      </c>
      <c r="W4901" s="35" t="s">
        <v>1630</v>
      </c>
      <c r="X4901" s="35"/>
      <c r="Y4901" s="35" t="s">
        <v>697</v>
      </c>
      <c r="Z4901" s="35"/>
      <c r="AA4901" s="35" t="str">
        <f>HYPERLINK("https://miland.ru/api/getInfo/item/12bbc363-0fd0-11ec-a20f-ac1f6b442185")</f>
        <v>https://miland.ru/api/getInfo/item/12bbc363-0fd0-11ec-a20f-ac1f6b442185</v>
      </c>
      <c r="AB4901" s="35" t="s">
        <v>42</v>
      </c>
      <c r="AC4901" s="35"/>
      <c r="AD4901" s="35"/>
      <c r="AE4901" s="52" t="s">
        <v>1251</v>
      </c>
    </row>
    <row r="4902" spans="2:31" s="1" customFormat="1" ht="96.3" customHeight="1" outlineLevel="4">
      <c r="B4902" s="59">
        <v>3940</v>
      </c>
      <c r="C4902" s="35" t="s">
        <v>17296</v>
      </c>
      <c r="D4902" s="73" t="s">
        <v>17297</v>
      </c>
      <c r="E4902" s="73"/>
      <c r="F4902" s="73"/>
      <c r="G4902" s="73"/>
      <c r="H4902" s="36" t="s">
        <v>17298</v>
      </c>
      <c r="I4902" s="56" t="s">
        <v>36</v>
      </c>
      <c r="J4902" s="36"/>
      <c r="K4902" s="34">
        <v>12</v>
      </c>
      <c r="L4902" s="41">
        <v>21.333333333333332</v>
      </c>
      <c r="M4902" s="11"/>
      <c r="N4902" s="36">
        <f t="shared" si="249"/>
        <v>0</v>
      </c>
      <c r="O4902" s="47">
        <f t="shared" si="252"/>
        <v>0</v>
      </c>
      <c r="P4902" s="43">
        <f>0.00004*M4902</f>
        <v>0</v>
      </c>
      <c r="Q4902" s="50"/>
      <c r="R4902" s="36" t="s">
        <v>17299</v>
      </c>
      <c r="S4902" s="36" t="s">
        <v>435</v>
      </c>
      <c r="T4902" s="35" t="str">
        <f>HYPERLINK("https://miland.ru/api/getInfo/image/527496d6-0fd0-11ec-a20f-ac1f6b442185")</f>
        <v>https://miland.ru/api/getInfo/image/527496d6-0fd0-11ec-a20f-ac1f6b442185</v>
      </c>
      <c r="U4902" s="35"/>
      <c r="V4902" s="35" t="s">
        <v>11948</v>
      </c>
      <c r="W4902" s="35" t="s">
        <v>1630</v>
      </c>
      <c r="X4902" s="35"/>
      <c r="Y4902" s="35" t="s">
        <v>697</v>
      </c>
      <c r="Z4902" s="35"/>
      <c r="AA4902" s="35" t="str">
        <f>HYPERLINK("https://miland.ru/api/getInfo/item/527496d6-0fd0-11ec-a20f-ac1f6b442185")</f>
        <v>https://miland.ru/api/getInfo/item/527496d6-0fd0-11ec-a20f-ac1f6b442185</v>
      </c>
      <c r="AB4902" s="35" t="s">
        <v>42</v>
      </c>
      <c r="AC4902" s="35"/>
      <c r="AD4902" s="35"/>
      <c r="AE4902" s="52" t="s">
        <v>1251</v>
      </c>
    </row>
    <row r="4903" spans="2:31" s="1" customFormat="1" ht="96.3" customHeight="1" outlineLevel="4">
      <c r="B4903" s="59">
        <v>3941</v>
      </c>
      <c r="C4903" s="35" t="s">
        <v>17300</v>
      </c>
      <c r="D4903" s="73" t="s">
        <v>17301</v>
      </c>
      <c r="E4903" s="73"/>
      <c r="F4903" s="73"/>
      <c r="G4903" s="73"/>
      <c r="H4903" s="36" t="s">
        <v>17302</v>
      </c>
      <c r="I4903" s="56" t="s">
        <v>36</v>
      </c>
      <c r="J4903" s="36"/>
      <c r="K4903" s="34">
        <v>24</v>
      </c>
      <c r="L4903" s="41">
        <v>17.013333333333332</v>
      </c>
      <c r="M4903" s="11"/>
      <c r="N4903" s="36">
        <f t="shared" si="249"/>
        <v>0</v>
      </c>
      <c r="O4903" s="42">
        <f>0.022*M4903</f>
        <v>0</v>
      </c>
      <c r="P4903" s="43">
        <f>0.00013*M4903</f>
        <v>0</v>
      </c>
      <c r="Q4903" s="50"/>
      <c r="R4903" s="36" t="s">
        <v>17303</v>
      </c>
      <c r="S4903" s="36" t="s">
        <v>435</v>
      </c>
      <c r="T4903" s="35" t="str">
        <f>HYPERLINK("https://miland.ru/api/getInfo/image/c1818aee-dbf1-11ec-a213-ac1f6b442185")</f>
        <v>https://miland.ru/api/getInfo/image/c1818aee-dbf1-11ec-a213-ac1f6b442185</v>
      </c>
      <c r="U4903" s="35"/>
      <c r="V4903" s="35" t="s">
        <v>11948</v>
      </c>
      <c r="W4903" s="35" t="s">
        <v>1630</v>
      </c>
      <c r="X4903" s="35"/>
      <c r="Y4903" s="35" t="s">
        <v>697</v>
      </c>
      <c r="Z4903" s="35"/>
      <c r="AA4903" s="35" t="str">
        <f>HYPERLINK("https://miland.ru/api/getInfo/item/c1818aee-dbf1-11ec-a213-ac1f6b442185")</f>
        <v>https://miland.ru/api/getInfo/item/c1818aee-dbf1-11ec-a213-ac1f6b442185</v>
      </c>
      <c r="AB4903" s="35" t="s">
        <v>42</v>
      </c>
      <c r="AC4903" s="35"/>
      <c r="AD4903" s="35"/>
      <c r="AE4903" s="52" t="s">
        <v>1251</v>
      </c>
    </row>
    <row r="4904" spans="2:31" s="1" customFormat="1" ht="96.3" customHeight="1" outlineLevel="4">
      <c r="B4904" s="59">
        <v>3942</v>
      </c>
      <c r="C4904" s="35" t="s">
        <v>17304</v>
      </c>
      <c r="D4904" s="73" t="s">
        <v>17305</v>
      </c>
      <c r="E4904" s="73"/>
      <c r="F4904" s="73"/>
      <c r="G4904" s="73"/>
      <c r="H4904" s="36" t="s">
        <v>17306</v>
      </c>
      <c r="I4904" s="56" t="s">
        <v>36</v>
      </c>
      <c r="J4904" s="36"/>
      <c r="K4904" s="34">
        <v>24</v>
      </c>
      <c r="L4904" s="41">
        <v>17.013333333333332</v>
      </c>
      <c r="M4904" s="11"/>
      <c r="N4904" s="36">
        <f t="shared" si="249"/>
        <v>0</v>
      </c>
      <c r="O4904" s="47">
        <f>0.02*M4904</f>
        <v>0</v>
      </c>
      <c r="P4904" s="43">
        <f>0.00013*M4904</f>
        <v>0</v>
      </c>
      <c r="Q4904" s="50"/>
      <c r="R4904" s="36" t="s">
        <v>17307</v>
      </c>
      <c r="S4904" s="36" t="s">
        <v>435</v>
      </c>
      <c r="T4904" s="35" t="str">
        <f>HYPERLINK("https://miland.ru/api/getInfo/image/66fe21f2-dbf0-11ec-a213-ac1f6b442185")</f>
        <v>https://miland.ru/api/getInfo/image/66fe21f2-dbf0-11ec-a213-ac1f6b442185</v>
      </c>
      <c r="U4904" s="35"/>
      <c r="V4904" s="35" t="s">
        <v>11948</v>
      </c>
      <c r="W4904" s="35" t="s">
        <v>1630</v>
      </c>
      <c r="X4904" s="35"/>
      <c r="Y4904" s="35" t="s">
        <v>697</v>
      </c>
      <c r="Z4904" s="35"/>
      <c r="AA4904" s="35" t="str">
        <f>HYPERLINK("https://miland.ru/api/getInfo/item/66fe21f2-dbf0-11ec-a213-ac1f6b442185")</f>
        <v>https://miland.ru/api/getInfo/item/66fe21f2-dbf0-11ec-a213-ac1f6b442185</v>
      </c>
      <c r="AB4904" s="35" t="s">
        <v>42</v>
      </c>
      <c r="AC4904" s="35"/>
      <c r="AD4904" s="35"/>
      <c r="AE4904" s="52" t="s">
        <v>1251</v>
      </c>
    </row>
    <row r="4905" spans="2:31" s="1" customFormat="1" ht="96.3" customHeight="1" outlineLevel="4">
      <c r="B4905" s="59">
        <v>3943</v>
      </c>
      <c r="C4905" s="35" t="s">
        <v>17308</v>
      </c>
      <c r="D4905" s="73" t="s">
        <v>17309</v>
      </c>
      <c r="E4905" s="73"/>
      <c r="F4905" s="73"/>
      <c r="G4905" s="73"/>
      <c r="H4905" s="36" t="s">
        <v>17310</v>
      </c>
      <c r="I4905" s="56" t="s">
        <v>36</v>
      </c>
      <c r="J4905" s="36"/>
      <c r="K4905" s="34">
        <v>24</v>
      </c>
      <c r="L4905" s="41">
        <v>17.013333333333332</v>
      </c>
      <c r="M4905" s="11"/>
      <c r="N4905" s="36">
        <f t="shared" si="249"/>
        <v>0</v>
      </c>
      <c r="O4905" s="42">
        <f>0.019*M4905</f>
        <v>0</v>
      </c>
      <c r="P4905" s="43">
        <f>0.00013*M4905</f>
        <v>0</v>
      </c>
      <c r="Q4905" s="50"/>
      <c r="R4905" s="36" t="s">
        <v>17311</v>
      </c>
      <c r="S4905" s="36" t="s">
        <v>435</v>
      </c>
      <c r="T4905" s="35" t="str">
        <f>HYPERLINK("https://miland.ru/api/getInfo/image/8c1c03d6-dbf0-11ec-a213-ac1f6b442185")</f>
        <v>https://miland.ru/api/getInfo/image/8c1c03d6-dbf0-11ec-a213-ac1f6b442185</v>
      </c>
      <c r="U4905" s="35"/>
      <c r="V4905" s="35" t="s">
        <v>11948</v>
      </c>
      <c r="W4905" s="35" t="s">
        <v>1630</v>
      </c>
      <c r="X4905" s="35"/>
      <c r="Y4905" s="35" t="s">
        <v>697</v>
      </c>
      <c r="Z4905" s="35"/>
      <c r="AA4905" s="35" t="str">
        <f>HYPERLINK("https://miland.ru/api/getInfo/item/8c1c03d6-dbf0-11ec-a213-ac1f6b442185")</f>
        <v>https://miland.ru/api/getInfo/item/8c1c03d6-dbf0-11ec-a213-ac1f6b442185</v>
      </c>
      <c r="AB4905" s="35" t="s">
        <v>42</v>
      </c>
      <c r="AC4905" s="35"/>
      <c r="AD4905" s="35"/>
      <c r="AE4905" s="52" t="s">
        <v>1251</v>
      </c>
    </row>
    <row r="4906" spans="2:31" s="1" customFormat="1" ht="96.3" customHeight="1" outlineLevel="4">
      <c r="B4906" s="59">
        <v>3944</v>
      </c>
      <c r="C4906" s="35" t="s">
        <v>17312</v>
      </c>
      <c r="D4906" s="73" t="s">
        <v>17313</v>
      </c>
      <c r="E4906" s="73"/>
      <c r="F4906" s="73"/>
      <c r="G4906" s="73"/>
      <c r="H4906" s="36" t="s">
        <v>17314</v>
      </c>
      <c r="I4906" s="56" t="s">
        <v>36</v>
      </c>
      <c r="J4906" s="36"/>
      <c r="K4906" s="34">
        <v>10</v>
      </c>
      <c r="L4906" s="41">
        <v>30.253333333333334</v>
      </c>
      <c r="M4906" s="11"/>
      <c r="N4906" s="36">
        <f t="shared" si="249"/>
        <v>0</v>
      </c>
      <c r="O4906" s="42">
        <f>0.031*M4906</f>
        <v>0</v>
      </c>
      <c r="P4906" s="43">
        <f>0.00016*M4906</f>
        <v>0</v>
      </c>
      <c r="Q4906" s="50"/>
      <c r="R4906" s="36" t="s">
        <v>17315</v>
      </c>
      <c r="S4906" s="36" t="s">
        <v>435</v>
      </c>
      <c r="T4906" s="35" t="str">
        <f>HYPERLINK("https://miland.ru/api/getInfo/image/08936a65-01ae-11ed-a213-ac1f6b442185")</f>
        <v>https://miland.ru/api/getInfo/image/08936a65-01ae-11ed-a213-ac1f6b442185</v>
      </c>
      <c r="U4906" s="35"/>
      <c r="V4906" s="35" t="s">
        <v>11948</v>
      </c>
      <c r="W4906" s="35" t="s">
        <v>1630</v>
      </c>
      <c r="X4906" s="35"/>
      <c r="Y4906" s="35" t="s">
        <v>697</v>
      </c>
      <c r="Z4906" s="35"/>
      <c r="AA4906" s="35" t="str">
        <f>HYPERLINK("https://miland.ru/api/getInfo/item/08936a65-01ae-11ed-a213-ac1f6b442185")</f>
        <v>https://miland.ru/api/getInfo/item/08936a65-01ae-11ed-a213-ac1f6b442185</v>
      </c>
      <c r="AB4906" s="35" t="s">
        <v>42</v>
      </c>
      <c r="AC4906" s="35"/>
      <c r="AD4906" s="35"/>
      <c r="AE4906" s="52" t="s">
        <v>1251</v>
      </c>
    </row>
    <row r="4907" spans="2:31" s="1" customFormat="1" ht="96.3" customHeight="1" outlineLevel="4">
      <c r="B4907" s="57">
        <v>3945</v>
      </c>
      <c r="C4907" s="21" t="s">
        <v>17316</v>
      </c>
      <c r="D4907" s="72" t="s">
        <v>17317</v>
      </c>
      <c r="E4907" s="72"/>
      <c r="F4907" s="72"/>
      <c r="G4907" s="72"/>
      <c r="H4907" s="22" t="s">
        <v>17318</v>
      </c>
      <c r="I4907" s="23" t="s">
        <v>36</v>
      </c>
      <c r="J4907" s="22"/>
      <c r="K4907" s="20">
        <v>12</v>
      </c>
      <c r="L4907" s="24">
        <v>65.099999999999994</v>
      </c>
      <c r="M4907" s="11"/>
      <c r="N4907" s="22">
        <f t="shared" si="249"/>
        <v>0</v>
      </c>
      <c r="O4907" s="28">
        <f>0.02*M4907</f>
        <v>0</v>
      </c>
      <c r="P4907" s="26">
        <f>0.00009*M4907</f>
        <v>0</v>
      </c>
      <c r="Q4907" s="30"/>
      <c r="R4907" s="22" t="s">
        <v>17319</v>
      </c>
      <c r="S4907" s="22"/>
      <c r="T4907" s="21" t="str">
        <f>HYPERLINK("https://miland.ru/api/getInfo/image/3300c854-c992-11e9-a233-ac1f6b442184")</f>
        <v>https://miland.ru/api/getInfo/image/3300c854-c992-11e9-a233-ac1f6b442184</v>
      </c>
      <c r="U4907" s="21"/>
      <c r="V4907" s="21" t="s">
        <v>11948</v>
      </c>
      <c r="W4907" s="21" t="s">
        <v>1630</v>
      </c>
      <c r="X4907" s="21"/>
      <c r="Y4907" s="21" t="s">
        <v>697</v>
      </c>
      <c r="Z4907" s="21"/>
      <c r="AA4907" s="21" t="str">
        <f>HYPERLINK("https://miland.ru/api/getInfo/item/3300c854-c992-11e9-a233-ac1f6b442184")</f>
        <v>https://miland.ru/api/getInfo/item/3300c854-c992-11e9-a233-ac1f6b442184</v>
      </c>
      <c r="AB4907" s="21" t="s">
        <v>42</v>
      </c>
      <c r="AC4907" s="21"/>
      <c r="AD4907" s="21"/>
    </row>
    <row r="4908" spans="2:31" s="1" customFormat="1" ht="96.3" customHeight="1" outlineLevel="4">
      <c r="B4908" s="57">
        <v>3946</v>
      </c>
      <c r="C4908" s="21" t="s">
        <v>17320</v>
      </c>
      <c r="D4908" s="72" t="s">
        <v>17321</v>
      </c>
      <c r="E4908" s="72"/>
      <c r="F4908" s="72"/>
      <c r="G4908" s="72"/>
      <c r="H4908" s="22" t="s">
        <v>17322</v>
      </c>
      <c r="I4908" s="23" t="s">
        <v>36</v>
      </c>
      <c r="J4908" s="22"/>
      <c r="K4908" s="20">
        <v>12</v>
      </c>
      <c r="L4908" s="24">
        <v>65.099999999999994</v>
      </c>
      <c r="M4908" s="11"/>
      <c r="N4908" s="22">
        <f t="shared" si="249"/>
        <v>0</v>
      </c>
      <c r="O4908" s="28">
        <f>0.02*M4908</f>
        <v>0</v>
      </c>
      <c r="P4908" s="26">
        <f>0.00009*M4908</f>
        <v>0</v>
      </c>
      <c r="Q4908" s="30"/>
      <c r="R4908" s="22" t="s">
        <v>17323</v>
      </c>
      <c r="S4908" s="22"/>
      <c r="T4908" s="21" t="str">
        <f>HYPERLINK("https://miland.ru/api/getInfo/image/36976ea3-c991-11e9-a233-ac1f6b442184")</f>
        <v>https://miland.ru/api/getInfo/image/36976ea3-c991-11e9-a233-ac1f6b442184</v>
      </c>
      <c r="U4908" s="21"/>
      <c r="V4908" s="21" t="s">
        <v>11948</v>
      </c>
      <c r="W4908" s="21" t="s">
        <v>1630</v>
      </c>
      <c r="X4908" s="21"/>
      <c r="Y4908" s="21" t="s">
        <v>697</v>
      </c>
      <c r="Z4908" s="21"/>
      <c r="AA4908" s="21" t="str">
        <f>HYPERLINK("https://miland.ru/api/getInfo/item/36976ea3-c991-11e9-a233-ac1f6b442184")</f>
        <v>https://miland.ru/api/getInfo/item/36976ea3-c991-11e9-a233-ac1f6b442184</v>
      </c>
      <c r="AB4908" s="21" t="s">
        <v>42</v>
      </c>
      <c r="AC4908" s="21"/>
      <c r="AD4908" s="21"/>
    </row>
    <row r="4909" spans="2:31" s="1" customFormat="1" ht="96.3" customHeight="1" outlineLevel="4">
      <c r="B4909" s="57">
        <v>3947</v>
      </c>
      <c r="C4909" s="21" t="s">
        <v>17324</v>
      </c>
      <c r="D4909" s="72" t="s">
        <v>17325</v>
      </c>
      <c r="E4909" s="72"/>
      <c r="F4909" s="72"/>
      <c r="G4909" s="72"/>
      <c r="H4909" s="22" t="s">
        <v>17326</v>
      </c>
      <c r="I4909" s="23" t="s">
        <v>36</v>
      </c>
      <c r="J4909" s="22"/>
      <c r="K4909" s="20">
        <v>12</v>
      </c>
      <c r="L4909" s="24">
        <v>65.099999999999994</v>
      </c>
      <c r="M4909" s="11"/>
      <c r="N4909" s="22">
        <f t="shared" si="249"/>
        <v>0</v>
      </c>
      <c r="O4909" s="25">
        <f>0.014*M4909</f>
        <v>0</v>
      </c>
      <c r="P4909" s="26">
        <f>0.00006*M4909</f>
        <v>0</v>
      </c>
      <c r="Q4909" s="30"/>
      <c r="R4909" s="22" t="s">
        <v>17327</v>
      </c>
      <c r="S4909" s="22"/>
      <c r="T4909" s="21" t="str">
        <f>HYPERLINK("https://miland.ru/api/getInfo/image/4900b7a0-c992-11e9-a233-ac1f6b442184")</f>
        <v>https://miland.ru/api/getInfo/image/4900b7a0-c992-11e9-a233-ac1f6b442184</v>
      </c>
      <c r="U4909" s="21"/>
      <c r="V4909" s="21" t="s">
        <v>11948</v>
      </c>
      <c r="W4909" s="21" t="s">
        <v>1630</v>
      </c>
      <c r="X4909" s="21"/>
      <c r="Y4909" s="21" t="s">
        <v>697</v>
      </c>
      <c r="Z4909" s="21"/>
      <c r="AA4909" s="21" t="str">
        <f>HYPERLINK("https://miland.ru/api/getInfo/item/4900b7a0-c992-11e9-a233-ac1f6b442184")</f>
        <v>https://miland.ru/api/getInfo/item/4900b7a0-c992-11e9-a233-ac1f6b442184</v>
      </c>
      <c r="AB4909" s="21" t="s">
        <v>42</v>
      </c>
      <c r="AC4909" s="21"/>
      <c r="AD4909" s="21"/>
    </row>
    <row r="4910" spans="2:31" s="1" customFormat="1" ht="96.3" customHeight="1" outlineLevel="4">
      <c r="B4910" s="59">
        <v>3948</v>
      </c>
      <c r="C4910" s="35" t="s">
        <v>17328</v>
      </c>
      <c r="D4910" s="73" t="s">
        <v>17329</v>
      </c>
      <c r="E4910" s="73"/>
      <c r="F4910" s="73"/>
      <c r="G4910" s="73"/>
      <c r="H4910" s="36" t="s">
        <v>17330</v>
      </c>
      <c r="I4910" s="56" t="s">
        <v>36</v>
      </c>
      <c r="J4910" s="36"/>
      <c r="K4910" s="34">
        <v>12</v>
      </c>
      <c r="L4910" s="41">
        <v>41.666666666666664</v>
      </c>
      <c r="M4910" s="11"/>
      <c r="N4910" s="36">
        <f t="shared" si="249"/>
        <v>0</v>
      </c>
      <c r="O4910" s="42">
        <f>0.015*M4910</f>
        <v>0</v>
      </c>
      <c r="P4910" s="43">
        <f>0.00013*M4910</f>
        <v>0</v>
      </c>
      <c r="Q4910" s="50"/>
      <c r="R4910" s="36" t="s">
        <v>17331</v>
      </c>
      <c r="S4910" s="36"/>
      <c r="T4910" s="35" t="str">
        <f>HYPERLINK("https://miland.ru/api/getInfo/image/54193f7b-c991-11e9-a233-ac1f6b442184")</f>
        <v>https://miland.ru/api/getInfo/image/54193f7b-c991-11e9-a233-ac1f6b442184</v>
      </c>
      <c r="U4910" s="35"/>
      <c r="V4910" s="35" t="s">
        <v>11948</v>
      </c>
      <c r="W4910" s="35" t="s">
        <v>1630</v>
      </c>
      <c r="X4910" s="35"/>
      <c r="Y4910" s="35" t="s">
        <v>697</v>
      </c>
      <c r="Z4910" s="35"/>
      <c r="AA4910" s="35" t="str">
        <f>HYPERLINK("https://miland.ru/api/getInfo/item/54193f7b-c991-11e9-a233-ac1f6b442184")</f>
        <v>https://miland.ru/api/getInfo/item/54193f7b-c991-11e9-a233-ac1f6b442184</v>
      </c>
      <c r="AB4910" s="35" t="s">
        <v>42</v>
      </c>
      <c r="AC4910" s="35"/>
      <c r="AD4910" s="35"/>
      <c r="AE4910" s="52" t="s">
        <v>9152</v>
      </c>
    </row>
    <row r="4911" spans="2:31" s="1" customFormat="1" ht="96.3" customHeight="1" outlineLevel="4">
      <c r="B4911" s="59">
        <v>3949</v>
      </c>
      <c r="C4911" s="35" t="s">
        <v>17332</v>
      </c>
      <c r="D4911" s="73" t="s">
        <v>17333</v>
      </c>
      <c r="E4911" s="73"/>
      <c r="F4911" s="73"/>
      <c r="G4911" s="73"/>
      <c r="H4911" s="36" t="s">
        <v>17334</v>
      </c>
      <c r="I4911" s="56" t="s">
        <v>36</v>
      </c>
      <c r="J4911" s="36"/>
      <c r="K4911" s="34">
        <v>12</v>
      </c>
      <c r="L4911" s="41">
        <v>41.666666666666664</v>
      </c>
      <c r="M4911" s="11"/>
      <c r="N4911" s="36">
        <f t="shared" si="249"/>
        <v>0</v>
      </c>
      <c r="O4911" s="42">
        <f>0.025*M4911</f>
        <v>0</v>
      </c>
      <c r="P4911" s="43">
        <f>0.00019*M4911</f>
        <v>0</v>
      </c>
      <c r="Q4911" s="50"/>
      <c r="R4911" s="36" t="s">
        <v>17335</v>
      </c>
      <c r="S4911" s="36"/>
      <c r="T4911" s="35" t="str">
        <f>HYPERLINK("https://miland.ru/api/getInfo/image/62433b7c-c992-11e9-a233-ac1f6b442184")</f>
        <v>https://miland.ru/api/getInfo/image/62433b7c-c992-11e9-a233-ac1f6b442184</v>
      </c>
      <c r="U4911" s="35"/>
      <c r="V4911" s="35" t="s">
        <v>11948</v>
      </c>
      <c r="W4911" s="35" t="s">
        <v>1630</v>
      </c>
      <c r="X4911" s="35"/>
      <c r="Y4911" s="35" t="s">
        <v>697</v>
      </c>
      <c r="Z4911" s="35"/>
      <c r="AA4911" s="35" t="str">
        <f>HYPERLINK("https://miland.ru/api/getInfo/item/62433b7c-c992-11e9-a233-ac1f6b442184")</f>
        <v>https://miland.ru/api/getInfo/item/62433b7c-c992-11e9-a233-ac1f6b442184</v>
      </c>
      <c r="AB4911" s="35" t="s">
        <v>42</v>
      </c>
      <c r="AC4911" s="35"/>
      <c r="AD4911" s="35"/>
      <c r="AE4911" s="52" t="s">
        <v>9152</v>
      </c>
    </row>
    <row r="4912" spans="2:31" s="1" customFormat="1" ht="96.3" customHeight="1" outlineLevel="4">
      <c r="B4912" s="59">
        <v>3950</v>
      </c>
      <c r="C4912" s="35" t="s">
        <v>17336</v>
      </c>
      <c r="D4912" s="73" t="s">
        <v>17337</v>
      </c>
      <c r="E4912" s="73"/>
      <c r="F4912" s="73"/>
      <c r="G4912" s="73"/>
      <c r="H4912" s="36" t="s">
        <v>17338</v>
      </c>
      <c r="I4912" s="56" t="s">
        <v>36</v>
      </c>
      <c r="J4912" s="36"/>
      <c r="K4912" s="34">
        <v>12</v>
      </c>
      <c r="L4912" s="41">
        <v>41.666666666666664</v>
      </c>
      <c r="M4912" s="11"/>
      <c r="N4912" s="36">
        <f t="shared" si="249"/>
        <v>0</v>
      </c>
      <c r="O4912" s="42">
        <f>0.022*M4912</f>
        <v>0</v>
      </c>
      <c r="P4912" s="55">
        <f>0.0002*M4912</f>
        <v>0</v>
      </c>
      <c r="Q4912" s="50"/>
      <c r="R4912" s="36" t="s">
        <v>17339</v>
      </c>
      <c r="S4912" s="36"/>
      <c r="T4912" s="35" t="str">
        <f>HYPERLINK("https://miland.ru/api/getInfo/image/6c1ea414-c991-11e9-a233-ac1f6b442184")</f>
        <v>https://miland.ru/api/getInfo/image/6c1ea414-c991-11e9-a233-ac1f6b442184</v>
      </c>
      <c r="U4912" s="35"/>
      <c r="V4912" s="35" t="s">
        <v>11948</v>
      </c>
      <c r="W4912" s="35" t="s">
        <v>1630</v>
      </c>
      <c r="X4912" s="35"/>
      <c r="Y4912" s="35" t="s">
        <v>697</v>
      </c>
      <c r="Z4912" s="35"/>
      <c r="AA4912" s="35" t="str">
        <f>HYPERLINK("https://miland.ru/api/getInfo/item/6c1ea414-c991-11e9-a233-ac1f6b442184")</f>
        <v>https://miland.ru/api/getInfo/item/6c1ea414-c991-11e9-a233-ac1f6b442184</v>
      </c>
      <c r="AB4912" s="35" t="s">
        <v>42</v>
      </c>
      <c r="AC4912" s="35"/>
      <c r="AD4912" s="35"/>
      <c r="AE4912" s="52" t="s">
        <v>9152</v>
      </c>
    </row>
    <row r="4913" spans="2:31" s="1" customFormat="1" ht="96.3" customHeight="1" outlineLevel="4">
      <c r="B4913" s="59">
        <v>3951</v>
      </c>
      <c r="C4913" s="35" t="s">
        <v>17340</v>
      </c>
      <c r="D4913" s="73" t="s">
        <v>17341</v>
      </c>
      <c r="E4913" s="73"/>
      <c r="F4913" s="73"/>
      <c r="G4913" s="73"/>
      <c r="H4913" s="36" t="s">
        <v>17342</v>
      </c>
      <c r="I4913" s="56" t="s">
        <v>36</v>
      </c>
      <c r="J4913" s="36"/>
      <c r="K4913" s="34">
        <v>12</v>
      </c>
      <c r="L4913" s="41">
        <v>41.666666666666664</v>
      </c>
      <c r="M4913" s="11"/>
      <c r="N4913" s="36">
        <f t="shared" si="249"/>
        <v>0</v>
      </c>
      <c r="O4913" s="42">
        <f>0.017*M4913</f>
        <v>0</v>
      </c>
      <c r="P4913" s="43">
        <f>0.00013*M4913</f>
        <v>0</v>
      </c>
      <c r="Q4913" s="50"/>
      <c r="R4913" s="36" t="s">
        <v>17343</v>
      </c>
      <c r="S4913" s="36"/>
      <c r="T4913" s="35" t="str">
        <f>HYPERLINK("https://miland.ru/api/getInfo/image/779eaf41-c992-11e9-a233-ac1f6b442184")</f>
        <v>https://miland.ru/api/getInfo/image/779eaf41-c992-11e9-a233-ac1f6b442184</v>
      </c>
      <c r="U4913" s="35"/>
      <c r="V4913" s="35" t="s">
        <v>11948</v>
      </c>
      <c r="W4913" s="35" t="s">
        <v>1630</v>
      </c>
      <c r="X4913" s="35"/>
      <c r="Y4913" s="35" t="s">
        <v>697</v>
      </c>
      <c r="Z4913" s="35"/>
      <c r="AA4913" s="35" t="str">
        <f>HYPERLINK("https://miland.ru/api/getInfo/item/779eaf41-c992-11e9-a233-ac1f6b442184")</f>
        <v>https://miland.ru/api/getInfo/item/779eaf41-c992-11e9-a233-ac1f6b442184</v>
      </c>
      <c r="AB4913" s="35" t="s">
        <v>42</v>
      </c>
      <c r="AC4913" s="35"/>
      <c r="AD4913" s="35"/>
      <c r="AE4913" s="52" t="s">
        <v>9152</v>
      </c>
    </row>
    <row r="4914" spans="2:31" s="1" customFormat="1" ht="96.3" customHeight="1" outlineLevel="4">
      <c r="B4914" s="57">
        <v>3952</v>
      </c>
      <c r="C4914" s="21" t="s">
        <v>17344</v>
      </c>
      <c r="D4914" s="72" t="s">
        <v>17345</v>
      </c>
      <c r="E4914" s="72"/>
      <c r="F4914" s="72"/>
      <c r="G4914" s="72"/>
      <c r="H4914" s="22" t="s">
        <v>17346</v>
      </c>
      <c r="I4914" s="23" t="s">
        <v>36</v>
      </c>
      <c r="J4914" s="22"/>
      <c r="K4914" s="20">
        <v>12</v>
      </c>
      <c r="L4914" s="24">
        <v>65.099999999999994</v>
      </c>
      <c r="M4914" s="11"/>
      <c r="N4914" s="22">
        <f t="shared" si="249"/>
        <v>0</v>
      </c>
      <c r="O4914" s="25">
        <f>0.017*M4914</f>
        <v>0</v>
      </c>
      <c r="P4914" s="26">
        <f>0.00005*M4914</f>
        <v>0</v>
      </c>
      <c r="Q4914" s="30"/>
      <c r="R4914" s="22" t="s">
        <v>17347</v>
      </c>
      <c r="S4914" s="22"/>
      <c r="T4914" s="21" t="str">
        <f>HYPERLINK("https://miland.ru/api/getInfo/image/8ce5615e-c991-11e9-a233-ac1f6b442184")</f>
        <v>https://miland.ru/api/getInfo/image/8ce5615e-c991-11e9-a233-ac1f6b442184</v>
      </c>
      <c r="U4914" s="21"/>
      <c r="V4914" s="21" t="s">
        <v>11948</v>
      </c>
      <c r="W4914" s="21" t="s">
        <v>1630</v>
      </c>
      <c r="X4914" s="21"/>
      <c r="Y4914" s="21" t="s">
        <v>697</v>
      </c>
      <c r="Z4914" s="21"/>
      <c r="AA4914" s="21" t="str">
        <f>HYPERLINK("https://miland.ru/api/getInfo/item/8ce5615e-c991-11e9-a233-ac1f6b442184")</f>
        <v>https://miland.ru/api/getInfo/item/8ce5615e-c991-11e9-a233-ac1f6b442184</v>
      </c>
      <c r="AB4914" s="21" t="s">
        <v>42</v>
      </c>
      <c r="AC4914" s="21"/>
      <c r="AD4914" s="21"/>
    </row>
    <row r="4915" spans="2:31" s="1" customFormat="1" ht="96.3" customHeight="1" outlineLevel="4">
      <c r="B4915" s="59">
        <v>3953</v>
      </c>
      <c r="C4915" s="35" t="s">
        <v>17348</v>
      </c>
      <c r="D4915" s="73" t="s">
        <v>17349</v>
      </c>
      <c r="E4915" s="73"/>
      <c r="F4915" s="73"/>
      <c r="G4915" s="73"/>
      <c r="H4915" s="36" t="s">
        <v>17350</v>
      </c>
      <c r="I4915" s="56" t="s">
        <v>36</v>
      </c>
      <c r="J4915" s="36"/>
      <c r="K4915" s="34">
        <v>12</v>
      </c>
      <c r="L4915" s="41">
        <v>41.666666666666664</v>
      </c>
      <c r="M4915" s="11"/>
      <c r="N4915" s="36">
        <f t="shared" si="249"/>
        <v>0</v>
      </c>
      <c r="O4915" s="42">
        <f>0.018*M4915</f>
        <v>0</v>
      </c>
      <c r="P4915" s="55">
        <f>0.0001*M4915</f>
        <v>0</v>
      </c>
      <c r="Q4915" s="50"/>
      <c r="R4915" s="36" t="s">
        <v>17351</v>
      </c>
      <c r="S4915" s="36"/>
      <c r="T4915" s="35" t="str">
        <f>HYPERLINK("https://miland.ru/api/getInfo/image/8b60041a-c992-11e9-a233-ac1f6b442184")</f>
        <v>https://miland.ru/api/getInfo/image/8b60041a-c992-11e9-a233-ac1f6b442184</v>
      </c>
      <c r="U4915" s="35"/>
      <c r="V4915" s="35" t="s">
        <v>11948</v>
      </c>
      <c r="W4915" s="35" t="s">
        <v>1630</v>
      </c>
      <c r="X4915" s="35"/>
      <c r="Y4915" s="35" t="s">
        <v>697</v>
      </c>
      <c r="Z4915" s="35"/>
      <c r="AA4915" s="35" t="str">
        <f>HYPERLINK("https://miland.ru/api/getInfo/item/8b60041a-c992-11e9-a233-ac1f6b442184")</f>
        <v>https://miland.ru/api/getInfo/item/8b60041a-c992-11e9-a233-ac1f6b442184</v>
      </c>
      <c r="AB4915" s="35" t="s">
        <v>42</v>
      </c>
      <c r="AC4915" s="35"/>
      <c r="AD4915" s="35"/>
      <c r="AE4915" s="52" t="s">
        <v>9152</v>
      </c>
    </row>
    <row r="4916" spans="2:31" s="1" customFormat="1" ht="96.3" customHeight="1" outlineLevel="4">
      <c r="B4916" s="57">
        <v>3954</v>
      </c>
      <c r="C4916" s="21" t="s">
        <v>17352</v>
      </c>
      <c r="D4916" s="72" t="s">
        <v>17353</v>
      </c>
      <c r="E4916" s="72"/>
      <c r="F4916" s="72"/>
      <c r="G4916" s="72"/>
      <c r="H4916" s="22" t="s">
        <v>17354</v>
      </c>
      <c r="I4916" s="23" t="s">
        <v>36</v>
      </c>
      <c r="J4916" s="22"/>
      <c r="K4916" s="20">
        <v>12</v>
      </c>
      <c r="L4916" s="24">
        <v>65.099999999999994</v>
      </c>
      <c r="M4916" s="11"/>
      <c r="N4916" s="22">
        <f t="shared" si="249"/>
        <v>0</v>
      </c>
      <c r="O4916" s="28">
        <f>0.02*M4916</f>
        <v>0</v>
      </c>
      <c r="P4916" s="26">
        <f>0.00009*M4916</f>
        <v>0</v>
      </c>
      <c r="Q4916" s="30"/>
      <c r="R4916" s="22" t="s">
        <v>17355</v>
      </c>
      <c r="S4916" s="22"/>
      <c r="T4916" s="21" t="str">
        <f>HYPERLINK("https://miland.ru/api/getInfo/image/a62a4ffc-c991-11e9-a233-ac1f6b442184")</f>
        <v>https://miland.ru/api/getInfo/image/a62a4ffc-c991-11e9-a233-ac1f6b442184</v>
      </c>
      <c r="U4916" s="21"/>
      <c r="V4916" s="21" t="s">
        <v>11948</v>
      </c>
      <c r="W4916" s="21" t="s">
        <v>1630</v>
      </c>
      <c r="X4916" s="21"/>
      <c r="Y4916" s="21" t="s">
        <v>697</v>
      </c>
      <c r="Z4916" s="21"/>
      <c r="AA4916" s="21" t="str">
        <f>HYPERLINK("https://miland.ru/api/getInfo/item/a62a4ffc-c991-11e9-a233-ac1f6b442184")</f>
        <v>https://miland.ru/api/getInfo/item/a62a4ffc-c991-11e9-a233-ac1f6b442184</v>
      </c>
      <c r="AB4916" s="21" t="s">
        <v>42</v>
      </c>
      <c r="AC4916" s="21"/>
      <c r="AD4916" s="21"/>
    </row>
    <row r="4917" spans="2:31" s="1" customFormat="1" ht="96.3" customHeight="1" outlineLevel="4">
      <c r="B4917" s="57">
        <v>3955</v>
      </c>
      <c r="C4917" s="21" t="s">
        <v>17356</v>
      </c>
      <c r="D4917" s="72" t="s">
        <v>17357</v>
      </c>
      <c r="E4917" s="72"/>
      <c r="F4917" s="72"/>
      <c r="G4917" s="72"/>
      <c r="H4917" s="22" t="s">
        <v>17358</v>
      </c>
      <c r="I4917" s="23" t="s">
        <v>36</v>
      </c>
      <c r="J4917" s="22"/>
      <c r="K4917" s="20">
        <v>12</v>
      </c>
      <c r="L4917" s="24">
        <v>65.099999999999994</v>
      </c>
      <c r="M4917" s="11"/>
      <c r="N4917" s="22">
        <f t="shared" si="249"/>
        <v>0</v>
      </c>
      <c r="O4917" s="25">
        <f>0.022*M4917</f>
        <v>0</v>
      </c>
      <c r="P4917" s="26">
        <f>0.00011*M4917</f>
        <v>0</v>
      </c>
      <c r="Q4917" s="30"/>
      <c r="R4917" s="22" t="s">
        <v>17359</v>
      </c>
      <c r="S4917" s="22"/>
      <c r="T4917" s="21" t="str">
        <f>HYPERLINK("https://miland.ru/api/getInfo/image/b359e600-c992-11e9-a233-ac1f6b442184")</f>
        <v>https://miland.ru/api/getInfo/image/b359e600-c992-11e9-a233-ac1f6b442184</v>
      </c>
      <c r="U4917" s="21"/>
      <c r="V4917" s="21" t="s">
        <v>11948</v>
      </c>
      <c r="W4917" s="21" t="s">
        <v>1630</v>
      </c>
      <c r="X4917" s="21"/>
      <c r="Y4917" s="21" t="s">
        <v>697</v>
      </c>
      <c r="Z4917" s="21"/>
      <c r="AA4917" s="21" t="str">
        <f>HYPERLINK("https://miland.ru/api/getInfo/item/b359e600-c992-11e9-a233-ac1f6b442184")</f>
        <v>https://miland.ru/api/getInfo/item/b359e600-c992-11e9-a233-ac1f6b442184</v>
      </c>
      <c r="AB4917" s="21" t="s">
        <v>42</v>
      </c>
      <c r="AC4917" s="21"/>
      <c r="AD4917" s="21"/>
    </row>
    <row r="4918" spans="2:31" s="1" customFormat="1" ht="96.3" customHeight="1" outlineLevel="4">
      <c r="B4918" s="57">
        <v>3956</v>
      </c>
      <c r="C4918" s="21" t="s">
        <v>17360</v>
      </c>
      <c r="D4918" s="72" t="s">
        <v>17361</v>
      </c>
      <c r="E4918" s="72"/>
      <c r="F4918" s="72"/>
      <c r="G4918" s="72"/>
      <c r="H4918" s="22" t="s">
        <v>17362</v>
      </c>
      <c r="I4918" s="23" t="s">
        <v>36</v>
      </c>
      <c r="J4918" s="22"/>
      <c r="K4918" s="20">
        <v>12</v>
      </c>
      <c r="L4918" s="24">
        <v>65.099999999999994</v>
      </c>
      <c r="M4918" s="11"/>
      <c r="N4918" s="22">
        <f t="shared" si="249"/>
        <v>0</v>
      </c>
      <c r="O4918" s="28">
        <f t="shared" ref="O4918:O4932" si="253">0.02*M4918</f>
        <v>0</v>
      </c>
      <c r="P4918" s="26">
        <f t="shared" ref="P4918:P4932" si="254">0.00009*M4918</f>
        <v>0</v>
      </c>
      <c r="Q4918" s="30"/>
      <c r="R4918" s="22" t="s">
        <v>17363</v>
      </c>
      <c r="S4918" s="22"/>
      <c r="T4918" s="21" t="str">
        <f>HYPERLINK("https://miland.ru/api/getInfo/image/c235c422-c991-11e9-a233-ac1f6b442184")</f>
        <v>https://miland.ru/api/getInfo/image/c235c422-c991-11e9-a233-ac1f6b442184</v>
      </c>
      <c r="U4918" s="21"/>
      <c r="V4918" s="21" t="s">
        <v>11948</v>
      </c>
      <c r="W4918" s="21" t="s">
        <v>1630</v>
      </c>
      <c r="X4918" s="21"/>
      <c r="Y4918" s="21" t="s">
        <v>697</v>
      </c>
      <c r="Z4918" s="21"/>
      <c r="AA4918" s="21" t="str">
        <f>HYPERLINK("https://miland.ru/api/getInfo/item/c235c422-c991-11e9-a233-ac1f6b442184")</f>
        <v>https://miland.ru/api/getInfo/item/c235c422-c991-11e9-a233-ac1f6b442184</v>
      </c>
      <c r="AB4918" s="21" t="s">
        <v>42</v>
      </c>
      <c r="AC4918" s="21"/>
      <c r="AD4918" s="21"/>
    </row>
    <row r="4919" spans="2:31" s="1" customFormat="1" ht="96.3" customHeight="1" outlineLevel="4">
      <c r="B4919" s="57">
        <v>3957</v>
      </c>
      <c r="C4919" s="21" t="s">
        <v>17364</v>
      </c>
      <c r="D4919" s="72" t="s">
        <v>17365</v>
      </c>
      <c r="E4919" s="72"/>
      <c r="F4919" s="72"/>
      <c r="G4919" s="72"/>
      <c r="H4919" s="22" t="s">
        <v>17366</v>
      </c>
      <c r="I4919" s="23" t="s">
        <v>36</v>
      </c>
      <c r="J4919" s="22"/>
      <c r="K4919" s="20">
        <v>12</v>
      </c>
      <c r="L4919" s="24">
        <v>65.099999999999994</v>
      </c>
      <c r="M4919" s="11"/>
      <c r="N4919" s="22">
        <f t="shared" si="249"/>
        <v>0</v>
      </c>
      <c r="O4919" s="28">
        <f t="shared" si="253"/>
        <v>0</v>
      </c>
      <c r="P4919" s="26">
        <f t="shared" si="254"/>
        <v>0</v>
      </c>
      <c r="Q4919" s="30"/>
      <c r="R4919" s="22" t="s">
        <v>17367</v>
      </c>
      <c r="S4919" s="22"/>
      <c r="T4919" s="21" t="str">
        <f>HYPERLINK("https://miland.ru/api/getInfo/image/cf7147ec-c992-11e9-a233-ac1f6b442184")</f>
        <v>https://miland.ru/api/getInfo/image/cf7147ec-c992-11e9-a233-ac1f6b442184</v>
      </c>
      <c r="U4919" s="21"/>
      <c r="V4919" s="21" t="s">
        <v>11948</v>
      </c>
      <c r="W4919" s="21" t="s">
        <v>1630</v>
      </c>
      <c r="X4919" s="21"/>
      <c r="Y4919" s="21" t="s">
        <v>697</v>
      </c>
      <c r="Z4919" s="21"/>
      <c r="AA4919" s="21" t="str">
        <f>HYPERLINK("https://miland.ru/api/getInfo/item/cf7147ec-c992-11e9-a233-ac1f6b442184")</f>
        <v>https://miland.ru/api/getInfo/item/cf7147ec-c992-11e9-a233-ac1f6b442184</v>
      </c>
      <c r="AB4919" s="21" t="s">
        <v>42</v>
      </c>
      <c r="AC4919" s="21"/>
      <c r="AD4919" s="21"/>
    </row>
    <row r="4920" spans="2:31" s="1" customFormat="1" ht="96.3" customHeight="1" outlineLevel="4">
      <c r="B4920" s="57">
        <v>3958</v>
      </c>
      <c r="C4920" s="21" t="s">
        <v>17368</v>
      </c>
      <c r="D4920" s="72" t="s">
        <v>17369</v>
      </c>
      <c r="E4920" s="72"/>
      <c r="F4920" s="72"/>
      <c r="G4920" s="72"/>
      <c r="H4920" s="22" t="s">
        <v>17370</v>
      </c>
      <c r="I4920" s="23" t="s">
        <v>36</v>
      </c>
      <c r="J4920" s="22"/>
      <c r="K4920" s="20">
        <v>12</v>
      </c>
      <c r="L4920" s="24">
        <v>65.099999999999994</v>
      </c>
      <c r="M4920" s="11"/>
      <c r="N4920" s="22">
        <f t="shared" si="249"/>
        <v>0</v>
      </c>
      <c r="O4920" s="28">
        <f t="shared" si="253"/>
        <v>0</v>
      </c>
      <c r="P4920" s="26">
        <f t="shared" si="254"/>
        <v>0</v>
      </c>
      <c r="Q4920" s="30"/>
      <c r="R4920" s="22" t="s">
        <v>17371</v>
      </c>
      <c r="S4920" s="22"/>
      <c r="T4920" s="21" t="str">
        <f>HYPERLINK("https://miland.ru/api/getInfo/image/d81b7b50-c991-11e9-a233-ac1f6b442184")</f>
        <v>https://miland.ru/api/getInfo/image/d81b7b50-c991-11e9-a233-ac1f6b442184</v>
      </c>
      <c r="U4920" s="21"/>
      <c r="V4920" s="21" t="s">
        <v>11948</v>
      </c>
      <c r="W4920" s="21" t="s">
        <v>1630</v>
      </c>
      <c r="X4920" s="21"/>
      <c r="Y4920" s="21" t="s">
        <v>697</v>
      </c>
      <c r="Z4920" s="21"/>
      <c r="AA4920" s="21" t="str">
        <f>HYPERLINK("https://miland.ru/api/getInfo/item/d81b7b50-c991-11e9-a233-ac1f6b442184")</f>
        <v>https://miland.ru/api/getInfo/item/d81b7b50-c991-11e9-a233-ac1f6b442184</v>
      </c>
      <c r="AB4920" s="21" t="s">
        <v>42</v>
      </c>
      <c r="AC4920" s="21"/>
      <c r="AD4920" s="21"/>
    </row>
    <row r="4921" spans="2:31" s="1" customFormat="1" ht="96.3" customHeight="1" outlineLevel="4">
      <c r="B4921" s="57">
        <v>3959</v>
      </c>
      <c r="C4921" s="21" t="s">
        <v>17372</v>
      </c>
      <c r="D4921" s="72" t="s">
        <v>17373</v>
      </c>
      <c r="E4921" s="72"/>
      <c r="F4921" s="72"/>
      <c r="G4921" s="72"/>
      <c r="H4921" s="22" t="s">
        <v>17374</v>
      </c>
      <c r="I4921" s="23" t="s">
        <v>36</v>
      </c>
      <c r="J4921" s="22"/>
      <c r="K4921" s="20">
        <v>12</v>
      </c>
      <c r="L4921" s="24">
        <v>65.099999999999994</v>
      </c>
      <c r="M4921" s="11"/>
      <c r="N4921" s="22">
        <f t="shared" si="249"/>
        <v>0</v>
      </c>
      <c r="O4921" s="28">
        <f t="shared" si="253"/>
        <v>0</v>
      </c>
      <c r="P4921" s="26">
        <f t="shared" si="254"/>
        <v>0</v>
      </c>
      <c r="Q4921" s="30"/>
      <c r="R4921" s="22" t="s">
        <v>17375</v>
      </c>
      <c r="S4921" s="22"/>
      <c r="T4921" s="21" t="str">
        <f>HYPERLINK("https://miland.ru/api/getInfo/image/33b7d550-c993-11e9-a233-ac1f6b442184")</f>
        <v>https://miland.ru/api/getInfo/image/33b7d550-c993-11e9-a233-ac1f6b442184</v>
      </c>
      <c r="U4921" s="21"/>
      <c r="V4921" s="21" t="s">
        <v>11948</v>
      </c>
      <c r="W4921" s="21" t="s">
        <v>1630</v>
      </c>
      <c r="X4921" s="21"/>
      <c r="Y4921" s="21" t="s">
        <v>697</v>
      </c>
      <c r="Z4921" s="21"/>
      <c r="AA4921" s="21" t="str">
        <f>HYPERLINK("https://miland.ru/api/getInfo/item/33b7d550-c993-11e9-a233-ac1f6b442184")</f>
        <v>https://miland.ru/api/getInfo/item/33b7d550-c993-11e9-a233-ac1f6b442184</v>
      </c>
      <c r="AB4921" s="21" t="s">
        <v>42</v>
      </c>
      <c r="AC4921" s="21"/>
      <c r="AD4921" s="21"/>
    </row>
    <row r="4922" spans="2:31" s="1" customFormat="1" ht="96.3" customHeight="1" outlineLevel="4">
      <c r="B4922" s="57">
        <v>3960</v>
      </c>
      <c r="C4922" s="21" t="s">
        <v>17376</v>
      </c>
      <c r="D4922" s="72" t="s">
        <v>17377</v>
      </c>
      <c r="E4922" s="72"/>
      <c r="F4922" s="72"/>
      <c r="G4922" s="72"/>
      <c r="H4922" s="22" t="s">
        <v>17378</v>
      </c>
      <c r="I4922" s="23" t="s">
        <v>36</v>
      </c>
      <c r="J4922" s="22"/>
      <c r="K4922" s="20">
        <v>12</v>
      </c>
      <c r="L4922" s="24">
        <v>65.099999999999994</v>
      </c>
      <c r="M4922" s="11"/>
      <c r="N4922" s="22">
        <f t="shared" ref="N4922:N4985" si="255">L4922*M4922</f>
        <v>0</v>
      </c>
      <c r="O4922" s="28">
        <f t="shared" si="253"/>
        <v>0</v>
      </c>
      <c r="P4922" s="26">
        <f t="shared" si="254"/>
        <v>0</v>
      </c>
      <c r="Q4922" s="30"/>
      <c r="R4922" s="22" t="s">
        <v>17379</v>
      </c>
      <c r="S4922" s="22"/>
      <c r="T4922" s="21" t="str">
        <f>HYPERLINK("https://miland.ru/api/getInfo/image/ee570762-c991-11e9-a233-ac1f6b442184")</f>
        <v>https://miland.ru/api/getInfo/image/ee570762-c991-11e9-a233-ac1f6b442184</v>
      </c>
      <c r="U4922" s="21"/>
      <c r="V4922" s="21" t="s">
        <v>11948</v>
      </c>
      <c r="W4922" s="21" t="s">
        <v>1630</v>
      </c>
      <c r="X4922" s="21"/>
      <c r="Y4922" s="21" t="s">
        <v>697</v>
      </c>
      <c r="Z4922" s="21"/>
      <c r="AA4922" s="21" t="str">
        <f>HYPERLINK("https://miland.ru/api/getInfo/item/ee570762-c991-11e9-a233-ac1f6b442184")</f>
        <v>https://miland.ru/api/getInfo/item/ee570762-c991-11e9-a233-ac1f6b442184</v>
      </c>
      <c r="AB4922" s="21" t="s">
        <v>42</v>
      </c>
      <c r="AC4922" s="21"/>
      <c r="AD4922" s="21"/>
    </row>
    <row r="4923" spans="2:31" s="1" customFormat="1" ht="96.3" customHeight="1" outlineLevel="4">
      <c r="B4923" s="57">
        <v>3961</v>
      </c>
      <c r="C4923" s="21" t="s">
        <v>17380</v>
      </c>
      <c r="D4923" s="72" t="s">
        <v>17381</v>
      </c>
      <c r="E4923" s="72"/>
      <c r="F4923" s="72"/>
      <c r="G4923" s="72"/>
      <c r="H4923" s="22" t="s">
        <v>17382</v>
      </c>
      <c r="I4923" s="23" t="s">
        <v>36</v>
      </c>
      <c r="J4923" s="22"/>
      <c r="K4923" s="20">
        <v>12</v>
      </c>
      <c r="L4923" s="24">
        <v>65.099999999999994</v>
      </c>
      <c r="M4923" s="11"/>
      <c r="N4923" s="22">
        <f t="shared" si="255"/>
        <v>0</v>
      </c>
      <c r="O4923" s="28">
        <f t="shared" si="253"/>
        <v>0</v>
      </c>
      <c r="P4923" s="26">
        <f t="shared" si="254"/>
        <v>0</v>
      </c>
      <c r="Q4923" s="30"/>
      <c r="R4923" s="22" t="s">
        <v>17383</v>
      </c>
      <c r="S4923" s="22"/>
      <c r="T4923" s="21" t="str">
        <f>HYPERLINK("https://miland.ru/api/getInfo/image/538dbec9-c993-11e9-a233-ac1f6b442184")</f>
        <v>https://miland.ru/api/getInfo/image/538dbec9-c993-11e9-a233-ac1f6b442184</v>
      </c>
      <c r="U4923" s="21"/>
      <c r="V4923" s="21" t="s">
        <v>11948</v>
      </c>
      <c r="W4923" s="21" t="s">
        <v>1630</v>
      </c>
      <c r="X4923" s="21"/>
      <c r="Y4923" s="21" t="s">
        <v>697</v>
      </c>
      <c r="Z4923" s="21"/>
      <c r="AA4923" s="21" t="str">
        <f>HYPERLINK("https://miland.ru/api/getInfo/item/538dbec9-c993-11e9-a233-ac1f6b442184")</f>
        <v>https://miland.ru/api/getInfo/item/538dbec9-c993-11e9-a233-ac1f6b442184</v>
      </c>
      <c r="AB4923" s="21" t="s">
        <v>42</v>
      </c>
      <c r="AC4923" s="21"/>
      <c r="AD4923" s="21"/>
    </row>
    <row r="4924" spans="2:31" s="1" customFormat="1" ht="96.3" customHeight="1" outlineLevel="4">
      <c r="B4924" s="57">
        <v>3962</v>
      </c>
      <c r="C4924" s="21" t="s">
        <v>17384</v>
      </c>
      <c r="D4924" s="72" t="s">
        <v>17385</v>
      </c>
      <c r="E4924" s="72"/>
      <c r="F4924" s="72"/>
      <c r="G4924" s="72"/>
      <c r="H4924" s="22" t="s">
        <v>17386</v>
      </c>
      <c r="I4924" s="23" t="s">
        <v>36</v>
      </c>
      <c r="J4924" s="22"/>
      <c r="K4924" s="20">
        <v>12</v>
      </c>
      <c r="L4924" s="24">
        <v>65.099999999999994</v>
      </c>
      <c r="M4924" s="11"/>
      <c r="N4924" s="22">
        <f t="shared" si="255"/>
        <v>0</v>
      </c>
      <c r="O4924" s="28">
        <f t="shared" si="253"/>
        <v>0</v>
      </c>
      <c r="P4924" s="26">
        <f t="shared" si="254"/>
        <v>0</v>
      </c>
      <c r="Q4924" s="30"/>
      <c r="R4924" s="22" t="s">
        <v>17387</v>
      </c>
      <c r="S4924" s="22"/>
      <c r="T4924" s="21" t="str">
        <f>HYPERLINK("https://miland.ru/api/getInfo/image/05a98d45-c992-11e9-a233-ac1f6b442184")</f>
        <v>https://miland.ru/api/getInfo/image/05a98d45-c992-11e9-a233-ac1f6b442184</v>
      </c>
      <c r="U4924" s="21"/>
      <c r="V4924" s="21" t="s">
        <v>11948</v>
      </c>
      <c r="W4924" s="21" t="s">
        <v>1630</v>
      </c>
      <c r="X4924" s="21"/>
      <c r="Y4924" s="21" t="s">
        <v>697</v>
      </c>
      <c r="Z4924" s="21"/>
      <c r="AA4924" s="21" t="str">
        <f>HYPERLINK("https://miland.ru/api/getInfo/item/05a98d45-c992-11e9-a233-ac1f6b442184")</f>
        <v>https://miland.ru/api/getInfo/item/05a98d45-c992-11e9-a233-ac1f6b442184</v>
      </c>
      <c r="AB4924" s="21" t="s">
        <v>42</v>
      </c>
      <c r="AC4924" s="21"/>
      <c r="AD4924" s="21"/>
    </row>
    <row r="4925" spans="2:31" s="1" customFormat="1" ht="96.3" customHeight="1" outlineLevel="4">
      <c r="B4925" s="57">
        <v>3963</v>
      </c>
      <c r="C4925" s="21" t="s">
        <v>17388</v>
      </c>
      <c r="D4925" s="72" t="s">
        <v>17389</v>
      </c>
      <c r="E4925" s="72"/>
      <c r="F4925" s="72"/>
      <c r="G4925" s="72"/>
      <c r="H4925" s="22" t="s">
        <v>17390</v>
      </c>
      <c r="I4925" s="23" t="s">
        <v>36</v>
      </c>
      <c r="J4925" s="22"/>
      <c r="K4925" s="20">
        <v>12</v>
      </c>
      <c r="L4925" s="24">
        <v>65.099999999999994</v>
      </c>
      <c r="M4925" s="11"/>
      <c r="N4925" s="22">
        <f t="shared" si="255"/>
        <v>0</v>
      </c>
      <c r="O4925" s="28">
        <f t="shared" si="253"/>
        <v>0</v>
      </c>
      <c r="P4925" s="26">
        <f t="shared" si="254"/>
        <v>0</v>
      </c>
      <c r="Q4925" s="30"/>
      <c r="R4925" s="22" t="s">
        <v>17391</v>
      </c>
      <c r="S4925" s="22"/>
      <c r="T4925" s="21" t="str">
        <f>HYPERLINK("https://miland.ru/api/getInfo/image/69652f6c-c993-11e9-a233-ac1f6b442184")</f>
        <v>https://miland.ru/api/getInfo/image/69652f6c-c993-11e9-a233-ac1f6b442184</v>
      </c>
      <c r="U4925" s="21"/>
      <c r="V4925" s="21" t="s">
        <v>11948</v>
      </c>
      <c r="W4925" s="21" t="s">
        <v>1630</v>
      </c>
      <c r="X4925" s="21"/>
      <c r="Y4925" s="21" t="s">
        <v>697</v>
      </c>
      <c r="Z4925" s="21"/>
      <c r="AA4925" s="21" t="str">
        <f>HYPERLINK("https://miland.ru/api/getInfo/item/69652f6c-c993-11e9-a233-ac1f6b442184")</f>
        <v>https://miland.ru/api/getInfo/item/69652f6c-c993-11e9-a233-ac1f6b442184</v>
      </c>
      <c r="AB4925" s="21" t="s">
        <v>42</v>
      </c>
      <c r="AC4925" s="21"/>
      <c r="AD4925" s="21"/>
    </row>
    <row r="4926" spans="2:31" s="1" customFormat="1" ht="96.3" customHeight="1" outlineLevel="4">
      <c r="B4926" s="57">
        <v>3964</v>
      </c>
      <c r="C4926" s="21" t="s">
        <v>17392</v>
      </c>
      <c r="D4926" s="72" t="s">
        <v>17393</v>
      </c>
      <c r="E4926" s="72"/>
      <c r="F4926" s="72"/>
      <c r="G4926" s="72"/>
      <c r="H4926" s="22" t="s">
        <v>17394</v>
      </c>
      <c r="I4926" s="23" t="s">
        <v>36</v>
      </c>
      <c r="J4926" s="22"/>
      <c r="K4926" s="20">
        <v>12</v>
      </c>
      <c r="L4926" s="24">
        <v>65.099999999999994</v>
      </c>
      <c r="M4926" s="11"/>
      <c r="N4926" s="22">
        <f t="shared" si="255"/>
        <v>0</v>
      </c>
      <c r="O4926" s="28">
        <f t="shared" si="253"/>
        <v>0</v>
      </c>
      <c r="P4926" s="26">
        <f t="shared" si="254"/>
        <v>0</v>
      </c>
      <c r="Q4926" s="30"/>
      <c r="R4926" s="22" t="s">
        <v>17395</v>
      </c>
      <c r="S4926" s="22"/>
      <c r="T4926" s="21" t="str">
        <f>HYPERLINK("https://miland.ru/api/getInfo/image/1b8a7d7e-c992-11e9-a233-ac1f6b442184")</f>
        <v>https://miland.ru/api/getInfo/image/1b8a7d7e-c992-11e9-a233-ac1f6b442184</v>
      </c>
      <c r="U4926" s="21"/>
      <c r="V4926" s="21" t="s">
        <v>11948</v>
      </c>
      <c r="W4926" s="21" t="s">
        <v>1630</v>
      </c>
      <c r="X4926" s="21"/>
      <c r="Y4926" s="21" t="s">
        <v>697</v>
      </c>
      <c r="Z4926" s="21"/>
      <c r="AA4926" s="21" t="str">
        <f>HYPERLINK("https://miland.ru/api/getInfo/item/1b8a7d7e-c992-11e9-a233-ac1f6b442184")</f>
        <v>https://miland.ru/api/getInfo/item/1b8a7d7e-c992-11e9-a233-ac1f6b442184</v>
      </c>
      <c r="AB4926" s="21" t="s">
        <v>42</v>
      </c>
      <c r="AC4926" s="21"/>
      <c r="AD4926" s="21"/>
    </row>
    <row r="4927" spans="2:31" s="1" customFormat="1" ht="96.3" customHeight="1" outlineLevel="4">
      <c r="B4927" s="59">
        <v>3965</v>
      </c>
      <c r="C4927" s="35" t="s">
        <v>17396</v>
      </c>
      <c r="D4927" s="73" t="s">
        <v>17397</v>
      </c>
      <c r="E4927" s="73"/>
      <c r="F4927" s="73"/>
      <c r="G4927" s="73"/>
      <c r="H4927" s="36" t="s">
        <v>17398</v>
      </c>
      <c r="I4927" s="40">
        <v>13</v>
      </c>
      <c r="J4927" s="36"/>
      <c r="K4927" s="34">
        <v>12</v>
      </c>
      <c r="L4927" s="41">
        <v>14.373333333333333</v>
      </c>
      <c r="M4927" s="11"/>
      <c r="N4927" s="36">
        <f t="shared" si="255"/>
        <v>0</v>
      </c>
      <c r="O4927" s="47">
        <f t="shared" si="253"/>
        <v>0</v>
      </c>
      <c r="P4927" s="43">
        <f t="shared" si="254"/>
        <v>0</v>
      </c>
      <c r="Q4927" s="50"/>
      <c r="R4927" s="36" t="s">
        <v>17399</v>
      </c>
      <c r="S4927" s="36" t="s">
        <v>435</v>
      </c>
      <c r="T4927" s="35" t="str">
        <f>HYPERLINK("https://miland.ru/api/getInfo/image/a09a0649-1b2a-11ea-a237-ac1f6b442184")</f>
        <v>https://miland.ru/api/getInfo/image/a09a0649-1b2a-11ea-a237-ac1f6b442184</v>
      </c>
      <c r="U4927" s="35"/>
      <c r="V4927" s="35" t="s">
        <v>11948</v>
      </c>
      <c r="W4927" s="35" t="s">
        <v>1630</v>
      </c>
      <c r="X4927" s="35"/>
      <c r="Y4927" s="35" t="s">
        <v>697</v>
      </c>
      <c r="Z4927" s="35"/>
      <c r="AA4927" s="35" t="str">
        <f>HYPERLINK("https://miland.ru/api/getInfo/item/a09a0649-1b2a-11ea-a237-ac1f6b442184")</f>
        <v>https://miland.ru/api/getInfo/item/a09a0649-1b2a-11ea-a237-ac1f6b442184</v>
      </c>
      <c r="AB4927" s="35" t="s">
        <v>42</v>
      </c>
      <c r="AC4927" s="35" t="s">
        <v>656</v>
      </c>
      <c r="AD4927" s="35"/>
      <c r="AE4927" s="52" t="s">
        <v>1251</v>
      </c>
    </row>
    <row r="4928" spans="2:31" s="1" customFormat="1" ht="96.3" customHeight="1" outlineLevel="4">
      <c r="B4928" s="59">
        <v>3966</v>
      </c>
      <c r="C4928" s="35" t="s">
        <v>17400</v>
      </c>
      <c r="D4928" s="73" t="s">
        <v>17401</v>
      </c>
      <c r="E4928" s="73"/>
      <c r="F4928" s="73"/>
      <c r="G4928" s="73"/>
      <c r="H4928" s="36" t="s">
        <v>17402</v>
      </c>
      <c r="I4928" s="56" t="s">
        <v>36</v>
      </c>
      <c r="J4928" s="36"/>
      <c r="K4928" s="34">
        <v>12</v>
      </c>
      <c r="L4928" s="41">
        <v>14.373333333333333</v>
      </c>
      <c r="M4928" s="11"/>
      <c r="N4928" s="36">
        <f t="shared" si="255"/>
        <v>0</v>
      </c>
      <c r="O4928" s="47">
        <f t="shared" si="253"/>
        <v>0</v>
      </c>
      <c r="P4928" s="43">
        <f t="shared" si="254"/>
        <v>0</v>
      </c>
      <c r="Q4928" s="50"/>
      <c r="R4928" s="36" t="s">
        <v>17403</v>
      </c>
      <c r="S4928" s="36" t="s">
        <v>435</v>
      </c>
      <c r="T4928" s="35" t="str">
        <f>HYPERLINK("https://miland.ru/api/getInfo/image/689645af-1b2c-11ea-a237-ac1f6b442184")</f>
        <v>https://miland.ru/api/getInfo/image/689645af-1b2c-11ea-a237-ac1f6b442184</v>
      </c>
      <c r="U4928" s="35"/>
      <c r="V4928" s="35" t="s">
        <v>11948</v>
      </c>
      <c r="W4928" s="35" t="s">
        <v>1630</v>
      </c>
      <c r="X4928" s="35"/>
      <c r="Y4928" s="35" t="s">
        <v>697</v>
      </c>
      <c r="Z4928" s="35"/>
      <c r="AA4928" s="35" t="str">
        <f>HYPERLINK("https://miland.ru/api/getInfo/item/689645af-1b2c-11ea-a237-ac1f6b442184")</f>
        <v>https://miland.ru/api/getInfo/item/689645af-1b2c-11ea-a237-ac1f6b442184</v>
      </c>
      <c r="AB4928" s="35" t="s">
        <v>42</v>
      </c>
      <c r="AC4928" s="35" t="s">
        <v>656</v>
      </c>
      <c r="AD4928" s="35"/>
      <c r="AE4928" s="52" t="s">
        <v>1251</v>
      </c>
    </row>
    <row r="4929" spans="2:31" s="1" customFormat="1" ht="96.3" customHeight="1" outlineLevel="4">
      <c r="B4929" s="59">
        <v>3967</v>
      </c>
      <c r="C4929" s="35" t="s">
        <v>17404</v>
      </c>
      <c r="D4929" s="73" t="s">
        <v>17405</v>
      </c>
      <c r="E4929" s="73"/>
      <c r="F4929" s="73"/>
      <c r="G4929" s="73"/>
      <c r="H4929" s="36" t="s">
        <v>17406</v>
      </c>
      <c r="I4929" s="56" t="s">
        <v>36</v>
      </c>
      <c r="J4929" s="36"/>
      <c r="K4929" s="34">
        <v>12</v>
      </c>
      <c r="L4929" s="41">
        <v>14.373333333333333</v>
      </c>
      <c r="M4929" s="11"/>
      <c r="N4929" s="36">
        <f t="shared" si="255"/>
        <v>0</v>
      </c>
      <c r="O4929" s="47">
        <f t="shared" si="253"/>
        <v>0</v>
      </c>
      <c r="P4929" s="43">
        <f t="shared" si="254"/>
        <v>0</v>
      </c>
      <c r="Q4929" s="50"/>
      <c r="R4929" s="36" t="s">
        <v>17407</v>
      </c>
      <c r="S4929" s="36" t="s">
        <v>435</v>
      </c>
      <c r="T4929" s="35" t="str">
        <f>HYPERLINK("https://miland.ru/api/getInfo/image/e9fdaafb-1b2c-11ea-a237-ac1f6b442184")</f>
        <v>https://miland.ru/api/getInfo/image/e9fdaafb-1b2c-11ea-a237-ac1f6b442184</v>
      </c>
      <c r="U4929" s="35"/>
      <c r="V4929" s="35" t="s">
        <v>11948</v>
      </c>
      <c r="W4929" s="35" t="s">
        <v>1630</v>
      </c>
      <c r="X4929" s="35"/>
      <c r="Y4929" s="35" t="s">
        <v>697</v>
      </c>
      <c r="Z4929" s="35"/>
      <c r="AA4929" s="35" t="str">
        <f>HYPERLINK("https://miland.ru/api/getInfo/item/e9fdaafb-1b2c-11ea-a237-ac1f6b442184")</f>
        <v>https://miland.ru/api/getInfo/item/e9fdaafb-1b2c-11ea-a237-ac1f6b442184</v>
      </c>
      <c r="AB4929" s="35" t="s">
        <v>42</v>
      </c>
      <c r="AC4929" s="35" t="s">
        <v>656</v>
      </c>
      <c r="AD4929" s="35"/>
      <c r="AE4929" s="52" t="s">
        <v>1251</v>
      </c>
    </row>
    <row r="4930" spans="2:31" s="1" customFormat="1" ht="96.3" customHeight="1" outlineLevel="4">
      <c r="B4930" s="59">
        <v>3968</v>
      </c>
      <c r="C4930" s="35" t="s">
        <v>17408</v>
      </c>
      <c r="D4930" s="73" t="s">
        <v>17409</v>
      </c>
      <c r="E4930" s="73"/>
      <c r="F4930" s="73"/>
      <c r="G4930" s="73"/>
      <c r="H4930" s="36" t="s">
        <v>17410</v>
      </c>
      <c r="I4930" s="56" t="s">
        <v>36</v>
      </c>
      <c r="J4930" s="36"/>
      <c r="K4930" s="34">
        <v>12</v>
      </c>
      <c r="L4930" s="41">
        <v>14.373333333333333</v>
      </c>
      <c r="M4930" s="11"/>
      <c r="N4930" s="36">
        <f t="shared" si="255"/>
        <v>0</v>
      </c>
      <c r="O4930" s="47">
        <f t="shared" si="253"/>
        <v>0</v>
      </c>
      <c r="P4930" s="43">
        <f t="shared" si="254"/>
        <v>0</v>
      </c>
      <c r="Q4930" s="50"/>
      <c r="R4930" s="36" t="s">
        <v>17411</v>
      </c>
      <c r="S4930" s="36" t="s">
        <v>435</v>
      </c>
      <c r="T4930" s="35" t="str">
        <f>HYPERLINK("https://miland.ru/api/getInfo/image/09083cc4-1b2d-11ea-a237-ac1f6b442184")</f>
        <v>https://miland.ru/api/getInfo/image/09083cc4-1b2d-11ea-a237-ac1f6b442184</v>
      </c>
      <c r="U4930" s="35"/>
      <c r="V4930" s="35" t="s">
        <v>11948</v>
      </c>
      <c r="W4930" s="35" t="s">
        <v>1630</v>
      </c>
      <c r="X4930" s="35"/>
      <c r="Y4930" s="35" t="s">
        <v>697</v>
      </c>
      <c r="Z4930" s="35"/>
      <c r="AA4930" s="35" t="str">
        <f>HYPERLINK("https://miland.ru/api/getInfo/item/09083cc4-1b2d-11ea-a237-ac1f6b442184")</f>
        <v>https://miland.ru/api/getInfo/item/09083cc4-1b2d-11ea-a237-ac1f6b442184</v>
      </c>
      <c r="AB4930" s="35" t="s">
        <v>42</v>
      </c>
      <c r="AC4930" s="35" t="s">
        <v>656</v>
      </c>
      <c r="AD4930" s="35"/>
      <c r="AE4930" s="52" t="s">
        <v>1251</v>
      </c>
    </row>
    <row r="4931" spans="2:31" s="1" customFormat="1" ht="96.3" customHeight="1" outlineLevel="4">
      <c r="B4931" s="59">
        <v>3969</v>
      </c>
      <c r="C4931" s="35" t="s">
        <v>17412</v>
      </c>
      <c r="D4931" s="73" t="s">
        <v>17413</v>
      </c>
      <c r="E4931" s="73"/>
      <c r="F4931" s="73"/>
      <c r="G4931" s="73"/>
      <c r="H4931" s="36" t="s">
        <v>17414</v>
      </c>
      <c r="I4931" s="40">
        <v>7</v>
      </c>
      <c r="J4931" s="36"/>
      <c r="K4931" s="34">
        <v>7</v>
      </c>
      <c r="L4931" s="41">
        <v>14.373333333333333</v>
      </c>
      <c r="M4931" s="11"/>
      <c r="N4931" s="36">
        <f t="shared" si="255"/>
        <v>0</v>
      </c>
      <c r="O4931" s="47">
        <f t="shared" si="253"/>
        <v>0</v>
      </c>
      <c r="P4931" s="43">
        <f t="shared" si="254"/>
        <v>0</v>
      </c>
      <c r="Q4931" s="50"/>
      <c r="R4931" s="36" t="s">
        <v>17415</v>
      </c>
      <c r="S4931" s="36" t="s">
        <v>435</v>
      </c>
      <c r="T4931" s="35" t="str">
        <f>HYPERLINK("https://miland.ru/api/getInfo/image/247ae177-1b2d-11ea-a237-ac1f6b442184")</f>
        <v>https://miland.ru/api/getInfo/image/247ae177-1b2d-11ea-a237-ac1f6b442184</v>
      </c>
      <c r="U4931" s="35"/>
      <c r="V4931" s="35" t="s">
        <v>11948</v>
      </c>
      <c r="W4931" s="35" t="s">
        <v>1630</v>
      </c>
      <c r="X4931" s="35"/>
      <c r="Y4931" s="35" t="s">
        <v>697</v>
      </c>
      <c r="Z4931" s="35"/>
      <c r="AA4931" s="35" t="str">
        <f>HYPERLINK("https://miland.ru/api/getInfo/item/247ae177-1b2d-11ea-a237-ac1f6b442184")</f>
        <v>https://miland.ru/api/getInfo/item/247ae177-1b2d-11ea-a237-ac1f6b442184</v>
      </c>
      <c r="AB4931" s="35" t="s">
        <v>42</v>
      </c>
      <c r="AC4931" s="35" t="s">
        <v>656</v>
      </c>
      <c r="AD4931" s="35"/>
      <c r="AE4931" s="52" t="s">
        <v>1251</v>
      </c>
    </row>
    <row r="4932" spans="2:31" s="1" customFormat="1" ht="96.3" customHeight="1" outlineLevel="4">
      <c r="B4932" s="59">
        <v>3970</v>
      </c>
      <c r="C4932" s="35" t="s">
        <v>17416</v>
      </c>
      <c r="D4932" s="73" t="s">
        <v>17417</v>
      </c>
      <c r="E4932" s="73"/>
      <c r="F4932" s="73"/>
      <c r="G4932" s="73"/>
      <c r="H4932" s="36" t="s">
        <v>17418</v>
      </c>
      <c r="I4932" s="56" t="s">
        <v>36</v>
      </c>
      <c r="J4932" s="36"/>
      <c r="K4932" s="34">
        <v>12</v>
      </c>
      <c r="L4932" s="41">
        <v>14.373333333333333</v>
      </c>
      <c r="M4932" s="11"/>
      <c r="N4932" s="36">
        <f t="shared" si="255"/>
        <v>0</v>
      </c>
      <c r="O4932" s="47">
        <f t="shared" si="253"/>
        <v>0</v>
      </c>
      <c r="P4932" s="43">
        <f t="shared" si="254"/>
        <v>0</v>
      </c>
      <c r="Q4932" s="50"/>
      <c r="R4932" s="36" t="s">
        <v>17419</v>
      </c>
      <c r="S4932" s="36" t="s">
        <v>435</v>
      </c>
      <c r="T4932" s="35" t="str">
        <f>HYPERLINK("https://miland.ru/api/getInfo/image/922def47-1b2d-11ea-a237-ac1f6b442184")</f>
        <v>https://miland.ru/api/getInfo/image/922def47-1b2d-11ea-a237-ac1f6b442184</v>
      </c>
      <c r="U4932" s="35"/>
      <c r="V4932" s="35" t="s">
        <v>11948</v>
      </c>
      <c r="W4932" s="35" t="s">
        <v>1630</v>
      </c>
      <c r="X4932" s="35"/>
      <c r="Y4932" s="35" t="s">
        <v>697</v>
      </c>
      <c r="Z4932" s="35"/>
      <c r="AA4932" s="35" t="str">
        <f>HYPERLINK("https://miland.ru/api/getInfo/item/922def47-1b2d-11ea-a237-ac1f6b442184")</f>
        <v>https://miland.ru/api/getInfo/item/922def47-1b2d-11ea-a237-ac1f6b442184</v>
      </c>
      <c r="AB4932" s="35" t="s">
        <v>42</v>
      </c>
      <c r="AC4932" s="35" t="s">
        <v>656</v>
      </c>
      <c r="AD4932" s="35"/>
      <c r="AE4932" s="52" t="s">
        <v>1251</v>
      </c>
    </row>
    <row r="4933" spans="2:31" s="1" customFormat="1" ht="96.3" customHeight="1" outlineLevel="4">
      <c r="B4933" s="59">
        <v>3971</v>
      </c>
      <c r="C4933" s="35" t="s">
        <v>17420</v>
      </c>
      <c r="D4933" s="73" t="s">
        <v>17421</v>
      </c>
      <c r="E4933" s="73"/>
      <c r="F4933" s="73"/>
      <c r="G4933" s="73"/>
      <c r="H4933" s="36" t="s">
        <v>17422</v>
      </c>
      <c r="I4933" s="56" t="s">
        <v>36</v>
      </c>
      <c r="J4933" s="36"/>
      <c r="K4933" s="34">
        <v>12</v>
      </c>
      <c r="L4933" s="41">
        <v>29.77333333333333</v>
      </c>
      <c r="M4933" s="11"/>
      <c r="N4933" s="36">
        <f t="shared" si="255"/>
        <v>0</v>
      </c>
      <c r="O4933" s="42">
        <f>0.018*M4933</f>
        <v>0</v>
      </c>
      <c r="P4933" s="43">
        <f>0.00018*M4933</f>
        <v>0</v>
      </c>
      <c r="Q4933" s="50"/>
      <c r="R4933" s="36" t="s">
        <v>17423</v>
      </c>
      <c r="S4933" s="36" t="s">
        <v>435</v>
      </c>
      <c r="T4933" s="35" t="str">
        <f>HYPERLINK("https://miland.ru/api/getInfo/image/aeedee3e-1b2d-11ea-a237-ac1f6b442184")</f>
        <v>https://miland.ru/api/getInfo/image/aeedee3e-1b2d-11ea-a237-ac1f6b442184</v>
      </c>
      <c r="U4933" s="35"/>
      <c r="V4933" s="35" t="s">
        <v>11948</v>
      </c>
      <c r="W4933" s="35" t="s">
        <v>1630</v>
      </c>
      <c r="X4933" s="35"/>
      <c r="Y4933" s="35" t="s">
        <v>697</v>
      </c>
      <c r="Z4933" s="35"/>
      <c r="AA4933" s="35" t="str">
        <f>HYPERLINK("https://miland.ru/api/getInfo/item/aeedee3e-1b2d-11ea-a237-ac1f6b442184")</f>
        <v>https://miland.ru/api/getInfo/item/aeedee3e-1b2d-11ea-a237-ac1f6b442184</v>
      </c>
      <c r="AB4933" s="35" t="s">
        <v>42</v>
      </c>
      <c r="AC4933" s="35" t="s">
        <v>656</v>
      </c>
      <c r="AD4933" s="35"/>
      <c r="AE4933" s="52" t="s">
        <v>1251</v>
      </c>
    </row>
    <row r="4934" spans="2:31" s="1" customFormat="1" ht="96.3" customHeight="1" outlineLevel="4">
      <c r="B4934" s="59">
        <v>3972</v>
      </c>
      <c r="C4934" s="35" t="s">
        <v>17424</v>
      </c>
      <c r="D4934" s="73" t="s">
        <v>17425</v>
      </c>
      <c r="E4934" s="73"/>
      <c r="F4934" s="73"/>
      <c r="G4934" s="73"/>
      <c r="H4934" s="36" t="s">
        <v>17426</v>
      </c>
      <c r="I4934" s="56" t="s">
        <v>36</v>
      </c>
      <c r="J4934" s="36"/>
      <c r="K4934" s="34">
        <v>12</v>
      </c>
      <c r="L4934" s="41">
        <v>29.77333333333333</v>
      </c>
      <c r="M4934" s="11"/>
      <c r="N4934" s="36">
        <f t="shared" si="255"/>
        <v>0</v>
      </c>
      <c r="O4934" s="42">
        <f>0.015*M4934</f>
        <v>0</v>
      </c>
      <c r="P4934" s="43">
        <f>0.00014*M4934</f>
        <v>0</v>
      </c>
      <c r="Q4934" s="50"/>
      <c r="R4934" s="36" t="s">
        <v>17427</v>
      </c>
      <c r="S4934" s="36" t="s">
        <v>435</v>
      </c>
      <c r="T4934" s="35" t="str">
        <f>HYPERLINK("https://miland.ru/api/getInfo/image/d4743fe0-1b2d-11ea-a237-ac1f6b442184")</f>
        <v>https://miland.ru/api/getInfo/image/d4743fe0-1b2d-11ea-a237-ac1f6b442184</v>
      </c>
      <c r="U4934" s="35"/>
      <c r="V4934" s="35" t="s">
        <v>11948</v>
      </c>
      <c r="W4934" s="35" t="s">
        <v>1630</v>
      </c>
      <c r="X4934" s="35"/>
      <c r="Y4934" s="35" t="s">
        <v>697</v>
      </c>
      <c r="Z4934" s="35"/>
      <c r="AA4934" s="35" t="str">
        <f>HYPERLINK("https://miland.ru/api/getInfo/item/d4743fe0-1b2d-11ea-a237-ac1f6b442184")</f>
        <v>https://miland.ru/api/getInfo/item/d4743fe0-1b2d-11ea-a237-ac1f6b442184</v>
      </c>
      <c r="AB4934" s="35" t="s">
        <v>42</v>
      </c>
      <c r="AC4934" s="35" t="s">
        <v>656</v>
      </c>
      <c r="AD4934" s="35"/>
      <c r="AE4934" s="52" t="s">
        <v>1251</v>
      </c>
    </row>
    <row r="4935" spans="2:31" s="1" customFormat="1" ht="96.3" customHeight="1" outlineLevel="4">
      <c r="B4935" s="59">
        <v>3973</v>
      </c>
      <c r="C4935" s="35" t="s">
        <v>17428</v>
      </c>
      <c r="D4935" s="73" t="s">
        <v>17429</v>
      </c>
      <c r="E4935" s="73"/>
      <c r="F4935" s="73"/>
      <c r="G4935" s="73"/>
      <c r="H4935" s="36" t="s">
        <v>17430</v>
      </c>
      <c r="I4935" s="56" t="s">
        <v>36</v>
      </c>
      <c r="J4935" s="36"/>
      <c r="K4935" s="34">
        <v>12</v>
      </c>
      <c r="L4935" s="41">
        <v>29.77333333333333</v>
      </c>
      <c r="M4935" s="11"/>
      <c r="N4935" s="36">
        <f t="shared" si="255"/>
        <v>0</v>
      </c>
      <c r="O4935" s="42">
        <f>0.016*M4935</f>
        <v>0</v>
      </c>
      <c r="P4935" s="43">
        <f>0.00012*M4935</f>
        <v>0</v>
      </c>
      <c r="Q4935" s="50"/>
      <c r="R4935" s="36" t="s">
        <v>17431</v>
      </c>
      <c r="S4935" s="36" t="s">
        <v>435</v>
      </c>
      <c r="T4935" s="35" t="str">
        <f>HYPERLINK("https://miland.ru/api/getInfo/image/fea0abbe-1b2d-11ea-a237-ac1f6b442184")</f>
        <v>https://miland.ru/api/getInfo/image/fea0abbe-1b2d-11ea-a237-ac1f6b442184</v>
      </c>
      <c r="U4935" s="35"/>
      <c r="V4935" s="35" t="s">
        <v>11948</v>
      </c>
      <c r="W4935" s="35" t="s">
        <v>1630</v>
      </c>
      <c r="X4935" s="35"/>
      <c r="Y4935" s="35" t="s">
        <v>697</v>
      </c>
      <c r="Z4935" s="35"/>
      <c r="AA4935" s="35" t="str">
        <f>HYPERLINK("https://miland.ru/api/getInfo/item/fea0abbe-1b2d-11ea-a237-ac1f6b442184")</f>
        <v>https://miland.ru/api/getInfo/item/fea0abbe-1b2d-11ea-a237-ac1f6b442184</v>
      </c>
      <c r="AB4935" s="35" t="s">
        <v>42</v>
      </c>
      <c r="AC4935" s="35" t="s">
        <v>656</v>
      </c>
      <c r="AD4935" s="35"/>
      <c r="AE4935" s="52" t="s">
        <v>1251</v>
      </c>
    </row>
    <row r="4936" spans="2:31" s="1" customFormat="1" ht="96.3" customHeight="1" outlineLevel="4">
      <c r="B4936" s="59">
        <v>3974</v>
      </c>
      <c r="C4936" s="35" t="s">
        <v>17432</v>
      </c>
      <c r="D4936" s="73" t="s">
        <v>17433</v>
      </c>
      <c r="E4936" s="73"/>
      <c r="F4936" s="73"/>
      <c r="G4936" s="73"/>
      <c r="H4936" s="36" t="s">
        <v>17434</v>
      </c>
      <c r="I4936" s="56" t="s">
        <v>36</v>
      </c>
      <c r="J4936" s="36"/>
      <c r="K4936" s="34">
        <v>12</v>
      </c>
      <c r="L4936" s="41">
        <v>29.77333333333333</v>
      </c>
      <c r="M4936" s="11"/>
      <c r="N4936" s="36">
        <f t="shared" si="255"/>
        <v>0</v>
      </c>
      <c r="O4936" s="42">
        <f>0.014*M4936</f>
        <v>0</v>
      </c>
      <c r="P4936" s="43">
        <f>0.00015*M4936</f>
        <v>0</v>
      </c>
      <c r="Q4936" s="50"/>
      <c r="R4936" s="36" t="s">
        <v>17435</v>
      </c>
      <c r="S4936" s="36" t="s">
        <v>435</v>
      </c>
      <c r="T4936" s="35" t="str">
        <f>HYPERLINK("https://miland.ru/api/getInfo/image/7fa53340-1b2e-11ea-a237-ac1f6b442184")</f>
        <v>https://miland.ru/api/getInfo/image/7fa53340-1b2e-11ea-a237-ac1f6b442184</v>
      </c>
      <c r="U4936" s="35"/>
      <c r="V4936" s="35" t="s">
        <v>11948</v>
      </c>
      <c r="W4936" s="35" t="s">
        <v>1630</v>
      </c>
      <c r="X4936" s="35"/>
      <c r="Y4936" s="35" t="s">
        <v>697</v>
      </c>
      <c r="Z4936" s="35"/>
      <c r="AA4936" s="35" t="str">
        <f>HYPERLINK("https://miland.ru/api/getInfo/item/7fa53340-1b2e-11ea-a237-ac1f6b442184")</f>
        <v>https://miland.ru/api/getInfo/item/7fa53340-1b2e-11ea-a237-ac1f6b442184</v>
      </c>
      <c r="AB4936" s="35" t="s">
        <v>42</v>
      </c>
      <c r="AC4936" s="35" t="s">
        <v>656</v>
      </c>
      <c r="AD4936" s="35"/>
      <c r="AE4936" s="52" t="s">
        <v>1251</v>
      </c>
    </row>
    <row r="4937" spans="2:31" s="1" customFormat="1" ht="96.3" customHeight="1" outlineLevel="4">
      <c r="B4937" s="59">
        <v>3975</v>
      </c>
      <c r="C4937" s="35" t="s">
        <v>17436</v>
      </c>
      <c r="D4937" s="73" t="s">
        <v>17437</v>
      </c>
      <c r="E4937" s="73"/>
      <c r="F4937" s="73"/>
      <c r="G4937" s="73"/>
      <c r="H4937" s="36" t="s">
        <v>17438</v>
      </c>
      <c r="I4937" s="56" t="s">
        <v>36</v>
      </c>
      <c r="J4937" s="36"/>
      <c r="K4937" s="34">
        <v>12</v>
      </c>
      <c r="L4937" s="41">
        <v>29.77333333333333</v>
      </c>
      <c r="M4937" s="11"/>
      <c r="N4937" s="36">
        <f t="shared" si="255"/>
        <v>0</v>
      </c>
      <c r="O4937" s="42">
        <f>0.019*M4937</f>
        <v>0</v>
      </c>
      <c r="P4937" s="43">
        <f>0.00013*M4937</f>
        <v>0</v>
      </c>
      <c r="Q4937" s="50"/>
      <c r="R4937" s="36" t="s">
        <v>17439</v>
      </c>
      <c r="S4937" s="36" t="s">
        <v>435</v>
      </c>
      <c r="T4937" s="35" t="str">
        <f>HYPERLINK("https://miland.ru/api/getInfo/image/a4760078-1b2e-11ea-a237-ac1f6b442184")</f>
        <v>https://miland.ru/api/getInfo/image/a4760078-1b2e-11ea-a237-ac1f6b442184</v>
      </c>
      <c r="U4937" s="35"/>
      <c r="V4937" s="35" t="s">
        <v>11948</v>
      </c>
      <c r="W4937" s="35" t="s">
        <v>1630</v>
      </c>
      <c r="X4937" s="35"/>
      <c r="Y4937" s="35" t="s">
        <v>697</v>
      </c>
      <c r="Z4937" s="35"/>
      <c r="AA4937" s="35" t="str">
        <f>HYPERLINK("https://miland.ru/api/getInfo/item/a4760078-1b2e-11ea-a237-ac1f6b442184")</f>
        <v>https://miland.ru/api/getInfo/item/a4760078-1b2e-11ea-a237-ac1f6b442184</v>
      </c>
      <c r="AB4937" s="35" t="s">
        <v>42</v>
      </c>
      <c r="AC4937" s="35" t="s">
        <v>656</v>
      </c>
      <c r="AD4937" s="35"/>
      <c r="AE4937" s="52" t="s">
        <v>1251</v>
      </c>
    </row>
    <row r="4938" spans="2:31" s="1" customFormat="1" ht="96.3" customHeight="1" outlineLevel="4">
      <c r="B4938" s="59">
        <v>3976</v>
      </c>
      <c r="C4938" s="35" t="s">
        <v>17440</v>
      </c>
      <c r="D4938" s="73" t="s">
        <v>17441</v>
      </c>
      <c r="E4938" s="73"/>
      <c r="F4938" s="73"/>
      <c r="G4938" s="73"/>
      <c r="H4938" s="36" t="s">
        <v>17442</v>
      </c>
      <c r="I4938" s="56" t="s">
        <v>36</v>
      </c>
      <c r="J4938" s="36"/>
      <c r="K4938" s="34">
        <v>12</v>
      </c>
      <c r="L4938" s="41">
        <v>29.77333333333333</v>
      </c>
      <c r="M4938" s="11"/>
      <c r="N4938" s="36">
        <f t="shared" si="255"/>
        <v>0</v>
      </c>
      <c r="O4938" s="47">
        <f>0.02*M4938</f>
        <v>0</v>
      </c>
      <c r="P4938" s="43">
        <f>0.00014*M4938</f>
        <v>0</v>
      </c>
      <c r="Q4938" s="50"/>
      <c r="R4938" s="36" t="s">
        <v>17443</v>
      </c>
      <c r="S4938" s="36" t="s">
        <v>435</v>
      </c>
      <c r="T4938" s="35" t="str">
        <f>HYPERLINK("https://miland.ru/api/getInfo/image/d01f3392-1b2e-11ea-a237-ac1f6b442184")</f>
        <v>https://miland.ru/api/getInfo/image/d01f3392-1b2e-11ea-a237-ac1f6b442184</v>
      </c>
      <c r="U4938" s="35"/>
      <c r="V4938" s="35" t="s">
        <v>11948</v>
      </c>
      <c r="W4938" s="35" t="s">
        <v>1630</v>
      </c>
      <c r="X4938" s="35"/>
      <c r="Y4938" s="35" t="s">
        <v>697</v>
      </c>
      <c r="Z4938" s="35"/>
      <c r="AA4938" s="35" t="str">
        <f>HYPERLINK("https://miland.ru/api/getInfo/item/d01f3392-1b2e-11ea-a237-ac1f6b442184")</f>
        <v>https://miland.ru/api/getInfo/item/d01f3392-1b2e-11ea-a237-ac1f6b442184</v>
      </c>
      <c r="AB4938" s="35" t="s">
        <v>42</v>
      </c>
      <c r="AC4938" s="35" t="s">
        <v>656</v>
      </c>
      <c r="AD4938" s="35"/>
      <c r="AE4938" s="52" t="s">
        <v>1251</v>
      </c>
    </row>
    <row r="4939" spans="2:31" s="1" customFormat="1" ht="96.3" customHeight="1" outlineLevel="4">
      <c r="B4939" s="59">
        <v>3977</v>
      </c>
      <c r="C4939" s="35" t="s">
        <v>17444</v>
      </c>
      <c r="D4939" s="73" t="s">
        <v>17445</v>
      </c>
      <c r="E4939" s="73"/>
      <c r="F4939" s="73"/>
      <c r="G4939" s="73"/>
      <c r="H4939" s="36" t="s">
        <v>17446</v>
      </c>
      <c r="I4939" s="56" t="s">
        <v>36</v>
      </c>
      <c r="J4939" s="36"/>
      <c r="K4939" s="34">
        <v>12</v>
      </c>
      <c r="L4939" s="41">
        <v>29.77333333333333</v>
      </c>
      <c r="M4939" s="11"/>
      <c r="N4939" s="36">
        <f t="shared" si="255"/>
        <v>0</v>
      </c>
      <c r="O4939" s="42">
        <f>0.018*M4939</f>
        <v>0</v>
      </c>
      <c r="P4939" s="43">
        <f>0.00019*M4939</f>
        <v>0</v>
      </c>
      <c r="Q4939" s="50"/>
      <c r="R4939" s="36" t="s">
        <v>17447</v>
      </c>
      <c r="S4939" s="36" t="s">
        <v>435</v>
      </c>
      <c r="T4939" s="35" t="str">
        <f>HYPERLINK("https://miland.ru/api/getInfo/image/fb32681f-1b2e-11ea-a237-ac1f6b442184")</f>
        <v>https://miland.ru/api/getInfo/image/fb32681f-1b2e-11ea-a237-ac1f6b442184</v>
      </c>
      <c r="U4939" s="35"/>
      <c r="V4939" s="35" t="s">
        <v>11948</v>
      </c>
      <c r="W4939" s="35" t="s">
        <v>1630</v>
      </c>
      <c r="X4939" s="35"/>
      <c r="Y4939" s="35" t="s">
        <v>697</v>
      </c>
      <c r="Z4939" s="35"/>
      <c r="AA4939" s="35" t="str">
        <f>HYPERLINK("https://miland.ru/api/getInfo/item/fb32681f-1b2e-11ea-a237-ac1f6b442184")</f>
        <v>https://miland.ru/api/getInfo/item/fb32681f-1b2e-11ea-a237-ac1f6b442184</v>
      </c>
      <c r="AB4939" s="35" t="s">
        <v>42</v>
      </c>
      <c r="AC4939" s="35" t="s">
        <v>656</v>
      </c>
      <c r="AD4939" s="35"/>
      <c r="AE4939" s="52" t="s">
        <v>1251</v>
      </c>
    </row>
    <row r="4940" spans="2:31" s="1" customFormat="1" ht="96.3" customHeight="1" outlineLevel="4">
      <c r="B4940" s="59">
        <v>3978</v>
      </c>
      <c r="C4940" s="35" t="s">
        <v>17448</v>
      </c>
      <c r="D4940" s="73" t="s">
        <v>17449</v>
      </c>
      <c r="E4940" s="73"/>
      <c r="F4940" s="73"/>
      <c r="G4940" s="73"/>
      <c r="H4940" s="36" t="s">
        <v>17450</v>
      </c>
      <c r="I4940" s="56" t="s">
        <v>36</v>
      </c>
      <c r="J4940" s="36"/>
      <c r="K4940" s="34">
        <v>12</v>
      </c>
      <c r="L4940" s="41">
        <v>29.77333333333333</v>
      </c>
      <c r="M4940" s="11"/>
      <c r="N4940" s="36">
        <f t="shared" si="255"/>
        <v>0</v>
      </c>
      <c r="O4940" s="42">
        <f>0.014*M4940</f>
        <v>0</v>
      </c>
      <c r="P4940" s="43">
        <f>0.00014*M4940</f>
        <v>0</v>
      </c>
      <c r="Q4940" s="50"/>
      <c r="R4940" s="36" t="s">
        <v>17451</v>
      </c>
      <c r="S4940" s="36" t="s">
        <v>435</v>
      </c>
      <c r="T4940" s="35" t="str">
        <f>HYPERLINK("https://miland.ru/api/getInfo/image/142f827c-1b2f-11ea-a237-ac1f6b442184")</f>
        <v>https://miland.ru/api/getInfo/image/142f827c-1b2f-11ea-a237-ac1f6b442184</v>
      </c>
      <c r="U4940" s="35"/>
      <c r="V4940" s="35" t="s">
        <v>11948</v>
      </c>
      <c r="W4940" s="35" t="s">
        <v>1630</v>
      </c>
      <c r="X4940" s="35"/>
      <c r="Y4940" s="35" t="s">
        <v>697</v>
      </c>
      <c r="Z4940" s="35"/>
      <c r="AA4940" s="35" t="str">
        <f>HYPERLINK("https://miland.ru/api/getInfo/item/142f827c-1b2f-11ea-a237-ac1f6b442184")</f>
        <v>https://miland.ru/api/getInfo/item/142f827c-1b2f-11ea-a237-ac1f6b442184</v>
      </c>
      <c r="AB4940" s="35" t="s">
        <v>42</v>
      </c>
      <c r="AC4940" s="35" t="s">
        <v>656</v>
      </c>
      <c r="AD4940" s="35"/>
      <c r="AE4940" s="52" t="s">
        <v>1251</v>
      </c>
    </row>
    <row r="4941" spans="2:31" s="1" customFormat="1" ht="96.3" customHeight="1" outlineLevel="4">
      <c r="B4941" s="59">
        <v>3979</v>
      </c>
      <c r="C4941" s="35" t="s">
        <v>17452</v>
      </c>
      <c r="D4941" s="73" t="s">
        <v>17453</v>
      </c>
      <c r="E4941" s="73"/>
      <c r="F4941" s="73"/>
      <c r="G4941" s="73"/>
      <c r="H4941" s="36" t="s">
        <v>17454</v>
      </c>
      <c r="I4941" s="56" t="s">
        <v>36</v>
      </c>
      <c r="J4941" s="36"/>
      <c r="K4941" s="34">
        <v>12</v>
      </c>
      <c r="L4941" s="41">
        <v>29.77333333333333</v>
      </c>
      <c r="M4941" s="11"/>
      <c r="N4941" s="36">
        <f t="shared" si="255"/>
        <v>0</v>
      </c>
      <c r="O4941" s="42">
        <f>0.018*M4941</f>
        <v>0</v>
      </c>
      <c r="P4941" s="43">
        <f>0.00017*M4941</f>
        <v>0</v>
      </c>
      <c r="Q4941" s="50"/>
      <c r="R4941" s="36" t="s">
        <v>17455</v>
      </c>
      <c r="S4941" s="36" t="s">
        <v>435</v>
      </c>
      <c r="T4941" s="35" t="str">
        <f>HYPERLINK("https://miland.ru/api/getInfo/image/3b43909e-1b2f-11ea-a237-ac1f6b442184")</f>
        <v>https://miland.ru/api/getInfo/image/3b43909e-1b2f-11ea-a237-ac1f6b442184</v>
      </c>
      <c r="U4941" s="35"/>
      <c r="V4941" s="35" t="s">
        <v>11948</v>
      </c>
      <c r="W4941" s="35" t="s">
        <v>1630</v>
      </c>
      <c r="X4941" s="35"/>
      <c r="Y4941" s="35" t="s">
        <v>697</v>
      </c>
      <c r="Z4941" s="35"/>
      <c r="AA4941" s="35" t="str">
        <f>HYPERLINK("https://miland.ru/api/getInfo/item/3b43909e-1b2f-11ea-a237-ac1f6b442184")</f>
        <v>https://miland.ru/api/getInfo/item/3b43909e-1b2f-11ea-a237-ac1f6b442184</v>
      </c>
      <c r="AB4941" s="35" t="s">
        <v>42</v>
      </c>
      <c r="AC4941" s="35" t="s">
        <v>656</v>
      </c>
      <c r="AD4941" s="35"/>
      <c r="AE4941" s="52" t="s">
        <v>1251</v>
      </c>
    </row>
    <row r="4942" spans="2:31" s="1" customFormat="1" ht="96.3" customHeight="1" outlineLevel="4">
      <c r="B4942" s="59">
        <v>3980</v>
      </c>
      <c r="C4942" s="35" t="s">
        <v>17456</v>
      </c>
      <c r="D4942" s="73" t="s">
        <v>17457</v>
      </c>
      <c r="E4942" s="73"/>
      <c r="F4942" s="73"/>
      <c r="G4942" s="73"/>
      <c r="H4942" s="36" t="s">
        <v>17458</v>
      </c>
      <c r="I4942" s="56" t="s">
        <v>36</v>
      </c>
      <c r="J4942" s="36"/>
      <c r="K4942" s="34">
        <v>12</v>
      </c>
      <c r="L4942" s="41">
        <v>29.77333333333333</v>
      </c>
      <c r="M4942" s="11"/>
      <c r="N4942" s="36">
        <f t="shared" si="255"/>
        <v>0</v>
      </c>
      <c r="O4942" s="47">
        <f>0.02*M4942</f>
        <v>0</v>
      </c>
      <c r="P4942" s="43">
        <f>0.00009*M4942</f>
        <v>0</v>
      </c>
      <c r="Q4942" s="50"/>
      <c r="R4942" s="36" t="s">
        <v>17459</v>
      </c>
      <c r="S4942" s="36" t="s">
        <v>435</v>
      </c>
      <c r="T4942" s="35" t="str">
        <f>HYPERLINK("https://miland.ru/api/getInfo/image/5d149372-1b2f-11ea-a237-ac1f6b442184")</f>
        <v>https://miland.ru/api/getInfo/image/5d149372-1b2f-11ea-a237-ac1f6b442184</v>
      </c>
      <c r="U4942" s="35"/>
      <c r="V4942" s="35" t="s">
        <v>11948</v>
      </c>
      <c r="W4942" s="35" t="s">
        <v>1630</v>
      </c>
      <c r="X4942" s="35"/>
      <c r="Y4942" s="35" t="s">
        <v>697</v>
      </c>
      <c r="Z4942" s="35"/>
      <c r="AA4942" s="35" t="str">
        <f>HYPERLINK("https://miland.ru/api/getInfo/item/5d149372-1b2f-11ea-a237-ac1f6b442184")</f>
        <v>https://miland.ru/api/getInfo/item/5d149372-1b2f-11ea-a237-ac1f6b442184</v>
      </c>
      <c r="AB4942" s="35" t="s">
        <v>42</v>
      </c>
      <c r="AC4942" s="35" t="s">
        <v>656</v>
      </c>
      <c r="AD4942" s="35"/>
      <c r="AE4942" s="52" t="s">
        <v>1251</v>
      </c>
    </row>
    <row r="4943" spans="2:31" s="1" customFormat="1" ht="96.3" customHeight="1" outlineLevel="4">
      <c r="B4943" s="59">
        <v>3981</v>
      </c>
      <c r="C4943" s="35" t="s">
        <v>17460</v>
      </c>
      <c r="D4943" s="73" t="s">
        <v>17461</v>
      </c>
      <c r="E4943" s="73"/>
      <c r="F4943" s="73"/>
      <c r="G4943" s="73"/>
      <c r="H4943" s="36" t="s">
        <v>17462</v>
      </c>
      <c r="I4943" s="40">
        <v>52</v>
      </c>
      <c r="J4943" s="36"/>
      <c r="K4943" s="34">
        <v>12</v>
      </c>
      <c r="L4943" s="41">
        <v>20.733333333333334</v>
      </c>
      <c r="M4943" s="11"/>
      <c r="N4943" s="36">
        <f t="shared" si="255"/>
        <v>0</v>
      </c>
      <c r="O4943" s="42">
        <f>0.017*M4943</f>
        <v>0</v>
      </c>
      <c r="P4943" s="43">
        <f>0.00013*M4943</f>
        <v>0</v>
      </c>
      <c r="Q4943" s="50"/>
      <c r="R4943" s="36" t="s">
        <v>17463</v>
      </c>
      <c r="S4943" s="36" t="s">
        <v>435</v>
      </c>
      <c r="T4943" s="35" t="str">
        <f>HYPERLINK("https://miland.ru/api/getInfo/image/6d9ba107-3ac3-11eb-a25e-ac1f6b442184")</f>
        <v>https://miland.ru/api/getInfo/image/6d9ba107-3ac3-11eb-a25e-ac1f6b442184</v>
      </c>
      <c r="U4943" s="35"/>
      <c r="V4943" s="35" t="s">
        <v>11948</v>
      </c>
      <c r="W4943" s="35" t="s">
        <v>1630</v>
      </c>
      <c r="X4943" s="35"/>
      <c r="Y4943" s="35" t="s">
        <v>697</v>
      </c>
      <c r="Z4943" s="35"/>
      <c r="AA4943" s="35" t="str">
        <f>HYPERLINK("https://miland.ru/api/getInfo/item/6d9ba107-3ac3-11eb-a25e-ac1f6b442184")</f>
        <v>https://miland.ru/api/getInfo/item/6d9ba107-3ac3-11eb-a25e-ac1f6b442184</v>
      </c>
      <c r="AB4943" s="35" t="s">
        <v>42</v>
      </c>
      <c r="AC4943" s="35"/>
      <c r="AD4943" s="35"/>
      <c r="AE4943" s="52" t="s">
        <v>1251</v>
      </c>
    </row>
    <row r="4944" spans="2:31" s="1" customFormat="1" ht="96.3" customHeight="1" outlineLevel="4">
      <c r="B4944" s="59">
        <v>3982</v>
      </c>
      <c r="C4944" s="35" t="s">
        <v>17464</v>
      </c>
      <c r="D4944" s="73" t="s">
        <v>17465</v>
      </c>
      <c r="E4944" s="73"/>
      <c r="F4944" s="73"/>
      <c r="G4944" s="73"/>
      <c r="H4944" s="36" t="s">
        <v>17466</v>
      </c>
      <c r="I4944" s="40">
        <v>249</v>
      </c>
      <c r="J4944" s="36"/>
      <c r="K4944" s="34">
        <v>12</v>
      </c>
      <c r="L4944" s="41">
        <v>20.733333333333334</v>
      </c>
      <c r="M4944" s="11"/>
      <c r="N4944" s="36">
        <f t="shared" si="255"/>
        <v>0</v>
      </c>
      <c r="O4944" s="42">
        <f>0.019*M4944</f>
        <v>0</v>
      </c>
      <c r="P4944" s="43">
        <f>0.00013*M4944</f>
        <v>0</v>
      </c>
      <c r="Q4944" s="50"/>
      <c r="R4944" s="36" t="s">
        <v>17467</v>
      </c>
      <c r="S4944" s="36" t="s">
        <v>435</v>
      </c>
      <c r="T4944" s="35" t="str">
        <f>HYPERLINK("https://miland.ru/api/getInfo/image/1d6e84fa-3ac4-11eb-a25e-ac1f6b442184")</f>
        <v>https://miland.ru/api/getInfo/image/1d6e84fa-3ac4-11eb-a25e-ac1f6b442184</v>
      </c>
      <c r="U4944" s="35"/>
      <c r="V4944" s="35" t="s">
        <v>11948</v>
      </c>
      <c r="W4944" s="35" t="s">
        <v>1630</v>
      </c>
      <c r="X4944" s="35"/>
      <c r="Y4944" s="35" t="s">
        <v>697</v>
      </c>
      <c r="Z4944" s="35"/>
      <c r="AA4944" s="35" t="str">
        <f>HYPERLINK("https://miland.ru/api/getInfo/item/1d6e84fa-3ac4-11eb-a25e-ac1f6b442184")</f>
        <v>https://miland.ru/api/getInfo/item/1d6e84fa-3ac4-11eb-a25e-ac1f6b442184</v>
      </c>
      <c r="AB4944" s="35" t="s">
        <v>42</v>
      </c>
      <c r="AC4944" s="35"/>
      <c r="AD4944" s="35"/>
      <c r="AE4944" s="52" t="s">
        <v>1251</v>
      </c>
    </row>
    <row r="4945" spans="2:31" s="1" customFormat="1" ht="96.3" customHeight="1" outlineLevel="4">
      <c r="B4945" s="59">
        <v>3983</v>
      </c>
      <c r="C4945" s="35" t="s">
        <v>17468</v>
      </c>
      <c r="D4945" s="73" t="s">
        <v>17469</v>
      </c>
      <c r="E4945" s="73"/>
      <c r="F4945" s="73"/>
      <c r="G4945" s="73"/>
      <c r="H4945" s="36" t="s">
        <v>17470</v>
      </c>
      <c r="I4945" s="56" t="s">
        <v>36</v>
      </c>
      <c r="J4945" s="36"/>
      <c r="K4945" s="34">
        <v>12</v>
      </c>
      <c r="L4945" s="41">
        <v>19.933333333333334</v>
      </c>
      <c r="M4945" s="11"/>
      <c r="N4945" s="36">
        <f t="shared" si="255"/>
        <v>0</v>
      </c>
      <c r="O4945" s="42">
        <f>0.023*M4945</f>
        <v>0</v>
      </c>
      <c r="P4945" s="55">
        <f>0.0001*M4945</f>
        <v>0</v>
      </c>
      <c r="Q4945" s="50"/>
      <c r="R4945" s="36" t="s">
        <v>17471</v>
      </c>
      <c r="S4945" s="36" t="s">
        <v>435</v>
      </c>
      <c r="T4945" s="35" t="str">
        <f>HYPERLINK("https://miland.ru/api/getInfo/image/93bc1ee6-01ae-11ed-a213-ac1f6b442185")</f>
        <v>https://miland.ru/api/getInfo/image/93bc1ee6-01ae-11ed-a213-ac1f6b442185</v>
      </c>
      <c r="U4945" s="35"/>
      <c r="V4945" s="35" t="s">
        <v>11948</v>
      </c>
      <c r="W4945" s="35" t="s">
        <v>1630</v>
      </c>
      <c r="X4945" s="35"/>
      <c r="Y4945" s="35" t="s">
        <v>697</v>
      </c>
      <c r="Z4945" s="35"/>
      <c r="AA4945" s="35" t="str">
        <f>HYPERLINK("https://miland.ru/api/getInfo/item/93bc1ee6-01ae-11ed-a213-ac1f6b442185")</f>
        <v>https://miland.ru/api/getInfo/item/93bc1ee6-01ae-11ed-a213-ac1f6b442185</v>
      </c>
      <c r="AB4945" s="35" t="s">
        <v>42</v>
      </c>
      <c r="AC4945" s="35"/>
      <c r="AD4945" s="35"/>
      <c r="AE4945" s="52" t="s">
        <v>1251</v>
      </c>
    </row>
    <row r="4946" spans="2:31" s="1" customFormat="1" ht="96.3" customHeight="1" outlineLevel="4">
      <c r="B4946" s="59">
        <v>3984</v>
      </c>
      <c r="C4946" s="35" t="s">
        <v>17472</v>
      </c>
      <c r="D4946" s="73" t="s">
        <v>17473</v>
      </c>
      <c r="E4946" s="73"/>
      <c r="F4946" s="73"/>
      <c r="G4946" s="73"/>
      <c r="H4946" s="36" t="s">
        <v>17474</v>
      </c>
      <c r="I4946" s="56" t="s">
        <v>36</v>
      </c>
      <c r="J4946" s="36"/>
      <c r="K4946" s="34">
        <v>12</v>
      </c>
      <c r="L4946" s="41">
        <v>19.933333333333334</v>
      </c>
      <c r="M4946" s="11"/>
      <c r="N4946" s="36">
        <f t="shared" si="255"/>
        <v>0</v>
      </c>
      <c r="O4946" s="42">
        <f>0.023*M4946</f>
        <v>0</v>
      </c>
      <c r="P4946" s="55">
        <f>0.0001*M4946</f>
        <v>0</v>
      </c>
      <c r="Q4946" s="50"/>
      <c r="R4946" s="36" t="s">
        <v>17475</v>
      </c>
      <c r="S4946" s="36" t="s">
        <v>435</v>
      </c>
      <c r="T4946" s="35" t="str">
        <f>HYPERLINK("https://miland.ru/api/getInfo/image/f02c9aad-01b3-11ed-a213-ac1f6b442185")</f>
        <v>https://miland.ru/api/getInfo/image/f02c9aad-01b3-11ed-a213-ac1f6b442185</v>
      </c>
      <c r="U4946" s="35"/>
      <c r="V4946" s="35" t="s">
        <v>11948</v>
      </c>
      <c r="W4946" s="35" t="s">
        <v>1630</v>
      </c>
      <c r="X4946" s="35"/>
      <c r="Y4946" s="35" t="s">
        <v>697</v>
      </c>
      <c r="Z4946" s="35"/>
      <c r="AA4946" s="35" t="str">
        <f>HYPERLINK("https://miland.ru/api/getInfo/item/f02c9aad-01b3-11ed-a213-ac1f6b442185")</f>
        <v>https://miland.ru/api/getInfo/item/f02c9aad-01b3-11ed-a213-ac1f6b442185</v>
      </c>
      <c r="AB4946" s="35" t="s">
        <v>42</v>
      </c>
      <c r="AC4946" s="35"/>
      <c r="AD4946" s="35"/>
      <c r="AE4946" s="52" t="s">
        <v>1251</v>
      </c>
    </row>
    <row r="4947" spans="2:31" s="1" customFormat="1" ht="96.3" customHeight="1" outlineLevel="4">
      <c r="B4947" s="59">
        <v>3985</v>
      </c>
      <c r="C4947" s="35" t="s">
        <v>17476</v>
      </c>
      <c r="D4947" s="73" t="s">
        <v>17477</v>
      </c>
      <c r="E4947" s="73"/>
      <c r="F4947" s="73"/>
      <c r="G4947" s="73"/>
      <c r="H4947" s="36" t="s">
        <v>17478</v>
      </c>
      <c r="I4947" s="56" t="s">
        <v>36</v>
      </c>
      <c r="J4947" s="36"/>
      <c r="K4947" s="34">
        <v>12</v>
      </c>
      <c r="L4947" s="41">
        <v>19.933333333333334</v>
      </c>
      <c r="M4947" s="11"/>
      <c r="N4947" s="36">
        <f t="shared" si="255"/>
        <v>0</v>
      </c>
      <c r="O4947" s="42">
        <f>0.023*M4947</f>
        <v>0</v>
      </c>
      <c r="P4947" s="55">
        <f>0.0001*M4947</f>
        <v>0</v>
      </c>
      <c r="Q4947" s="50"/>
      <c r="R4947" s="36" t="s">
        <v>17479</v>
      </c>
      <c r="S4947" s="36" t="s">
        <v>435</v>
      </c>
      <c r="T4947" s="35" t="str">
        <f>HYPERLINK("https://miland.ru/api/getInfo/image/6f70c812-01b4-11ed-a213-ac1f6b442185")</f>
        <v>https://miland.ru/api/getInfo/image/6f70c812-01b4-11ed-a213-ac1f6b442185</v>
      </c>
      <c r="U4947" s="35"/>
      <c r="V4947" s="35" t="s">
        <v>11948</v>
      </c>
      <c r="W4947" s="35" t="s">
        <v>1630</v>
      </c>
      <c r="X4947" s="35"/>
      <c r="Y4947" s="35" t="s">
        <v>697</v>
      </c>
      <c r="Z4947" s="35"/>
      <c r="AA4947" s="35" t="str">
        <f>HYPERLINK("https://miland.ru/api/getInfo/item/6f70c812-01b4-11ed-a213-ac1f6b442185")</f>
        <v>https://miland.ru/api/getInfo/item/6f70c812-01b4-11ed-a213-ac1f6b442185</v>
      </c>
      <c r="AB4947" s="35" t="s">
        <v>42</v>
      </c>
      <c r="AC4947" s="35"/>
      <c r="AD4947" s="35"/>
      <c r="AE4947" s="52" t="s">
        <v>1251</v>
      </c>
    </row>
    <row r="4948" spans="2:31" s="1" customFormat="1" ht="96.3" customHeight="1" outlineLevel="4">
      <c r="B4948" s="59">
        <v>3986</v>
      </c>
      <c r="C4948" s="35" t="s">
        <v>17480</v>
      </c>
      <c r="D4948" s="73" t="s">
        <v>17481</v>
      </c>
      <c r="E4948" s="73"/>
      <c r="F4948" s="73"/>
      <c r="G4948" s="73"/>
      <c r="H4948" s="36" t="s">
        <v>17482</v>
      </c>
      <c r="I4948" s="40">
        <v>226</v>
      </c>
      <c r="J4948" s="36"/>
      <c r="K4948" s="34">
        <v>10</v>
      </c>
      <c r="L4948" s="41">
        <v>23.533333333333331</v>
      </c>
      <c r="M4948" s="11"/>
      <c r="N4948" s="36">
        <f t="shared" si="255"/>
        <v>0</v>
      </c>
      <c r="O4948" s="42">
        <f>0.026*M4948</f>
        <v>0</v>
      </c>
      <c r="P4948" s="55">
        <f>0.0002*M4948</f>
        <v>0</v>
      </c>
      <c r="Q4948" s="50"/>
      <c r="R4948" s="36" t="s">
        <v>17483</v>
      </c>
      <c r="S4948" s="36" t="s">
        <v>435</v>
      </c>
      <c r="T4948" s="35" t="str">
        <f>HYPERLINK("https://miland.ru/api/getInfo/image/5168ed48-01aa-11ed-a213-ac1f6b442185")</f>
        <v>https://miland.ru/api/getInfo/image/5168ed48-01aa-11ed-a213-ac1f6b442185</v>
      </c>
      <c r="U4948" s="35"/>
      <c r="V4948" s="35" t="s">
        <v>11948</v>
      </c>
      <c r="W4948" s="35" t="s">
        <v>1630</v>
      </c>
      <c r="X4948" s="35"/>
      <c r="Y4948" s="35" t="s">
        <v>697</v>
      </c>
      <c r="Z4948" s="35"/>
      <c r="AA4948" s="35" t="str">
        <f>HYPERLINK("https://miland.ru/api/getInfo/item/5168ed48-01aa-11ed-a213-ac1f6b442185")</f>
        <v>https://miland.ru/api/getInfo/item/5168ed48-01aa-11ed-a213-ac1f6b442185</v>
      </c>
      <c r="AB4948" s="35" t="s">
        <v>42</v>
      </c>
      <c r="AC4948" s="35"/>
      <c r="AD4948" s="35"/>
      <c r="AE4948" s="52" t="s">
        <v>1251</v>
      </c>
    </row>
    <row r="4949" spans="2:31" s="1" customFormat="1" ht="96.3" customHeight="1" outlineLevel="4">
      <c r="B4949" s="59">
        <v>3987</v>
      </c>
      <c r="C4949" s="35" t="s">
        <v>17484</v>
      </c>
      <c r="D4949" s="73" t="s">
        <v>17485</v>
      </c>
      <c r="E4949" s="73"/>
      <c r="F4949" s="73"/>
      <c r="G4949" s="73"/>
      <c r="H4949" s="36" t="s">
        <v>17486</v>
      </c>
      <c r="I4949" s="56" t="s">
        <v>36</v>
      </c>
      <c r="J4949" s="36"/>
      <c r="K4949" s="34">
        <v>10</v>
      </c>
      <c r="L4949" s="41">
        <v>23.533333333333331</v>
      </c>
      <c r="M4949" s="11"/>
      <c r="N4949" s="36">
        <f t="shared" si="255"/>
        <v>0</v>
      </c>
      <c r="O4949" s="42">
        <f>0.028*M4949</f>
        <v>0</v>
      </c>
      <c r="P4949" s="43">
        <f>0.00052*M4949</f>
        <v>0</v>
      </c>
      <c r="Q4949" s="50"/>
      <c r="R4949" s="36" t="s">
        <v>17487</v>
      </c>
      <c r="S4949" s="36" t="s">
        <v>435</v>
      </c>
      <c r="T4949" s="35" t="str">
        <f>HYPERLINK("https://miland.ru/api/getInfo/image/56d35569-01ad-11ed-a213-ac1f6b442185")</f>
        <v>https://miland.ru/api/getInfo/image/56d35569-01ad-11ed-a213-ac1f6b442185</v>
      </c>
      <c r="U4949" s="35"/>
      <c r="V4949" s="35" t="s">
        <v>11948</v>
      </c>
      <c r="W4949" s="35" t="s">
        <v>1630</v>
      </c>
      <c r="X4949" s="35"/>
      <c r="Y4949" s="35" t="s">
        <v>697</v>
      </c>
      <c r="Z4949" s="35"/>
      <c r="AA4949" s="35" t="str">
        <f>HYPERLINK("https://miland.ru/api/getInfo/item/56d35569-01ad-11ed-a213-ac1f6b442185")</f>
        <v>https://miland.ru/api/getInfo/item/56d35569-01ad-11ed-a213-ac1f6b442185</v>
      </c>
      <c r="AB4949" s="35" t="s">
        <v>42</v>
      </c>
      <c r="AC4949" s="35"/>
      <c r="AD4949" s="35"/>
      <c r="AE4949" s="52" t="s">
        <v>1251</v>
      </c>
    </row>
    <row r="4950" spans="2:31" s="1" customFormat="1" ht="96.3" customHeight="1" outlineLevel="4">
      <c r="B4950" s="59">
        <v>3988</v>
      </c>
      <c r="C4950" s="35" t="s">
        <v>17488</v>
      </c>
      <c r="D4950" s="73" t="s">
        <v>17489</v>
      </c>
      <c r="E4950" s="73"/>
      <c r="F4950" s="73"/>
      <c r="G4950" s="73"/>
      <c r="H4950" s="36" t="s">
        <v>17490</v>
      </c>
      <c r="I4950" s="56" t="s">
        <v>36</v>
      </c>
      <c r="J4950" s="36"/>
      <c r="K4950" s="34">
        <v>10</v>
      </c>
      <c r="L4950" s="41">
        <v>23.533333333333331</v>
      </c>
      <c r="M4950" s="11"/>
      <c r="N4950" s="36">
        <f t="shared" si="255"/>
        <v>0</v>
      </c>
      <c r="O4950" s="42">
        <f>0.033*M4950</f>
        <v>0</v>
      </c>
      <c r="P4950" s="55">
        <f>0.0002*M4950</f>
        <v>0</v>
      </c>
      <c r="Q4950" s="50"/>
      <c r="R4950" s="36" t="s">
        <v>17491</v>
      </c>
      <c r="S4950" s="36" t="s">
        <v>435</v>
      </c>
      <c r="T4950" s="35" t="str">
        <f>HYPERLINK("https://miland.ru/api/getInfo/image/a502125b-01ad-11ed-a213-ac1f6b442185")</f>
        <v>https://miland.ru/api/getInfo/image/a502125b-01ad-11ed-a213-ac1f6b442185</v>
      </c>
      <c r="U4950" s="35"/>
      <c r="V4950" s="35" t="s">
        <v>11948</v>
      </c>
      <c r="W4950" s="35" t="s">
        <v>1630</v>
      </c>
      <c r="X4950" s="35"/>
      <c r="Y4950" s="35" t="s">
        <v>697</v>
      </c>
      <c r="Z4950" s="35"/>
      <c r="AA4950" s="35" t="str">
        <f>HYPERLINK("https://miland.ru/api/getInfo/item/a502125b-01ad-11ed-a213-ac1f6b442185")</f>
        <v>https://miland.ru/api/getInfo/item/a502125b-01ad-11ed-a213-ac1f6b442185</v>
      </c>
      <c r="AB4950" s="35" t="s">
        <v>42</v>
      </c>
      <c r="AC4950" s="35"/>
      <c r="AD4950" s="35"/>
      <c r="AE4950" s="52" t="s">
        <v>1251</v>
      </c>
    </row>
    <row r="4951" spans="2:31" s="1" customFormat="1" ht="96.3" customHeight="1" outlineLevel="4">
      <c r="B4951" s="59">
        <v>3989</v>
      </c>
      <c r="C4951" s="35" t="s">
        <v>17492</v>
      </c>
      <c r="D4951" s="73" t="s">
        <v>17493</v>
      </c>
      <c r="E4951" s="73"/>
      <c r="F4951" s="73"/>
      <c r="G4951" s="73"/>
      <c r="H4951" s="36" t="s">
        <v>17494</v>
      </c>
      <c r="I4951" s="56" t="s">
        <v>36</v>
      </c>
      <c r="J4951" s="36"/>
      <c r="K4951" s="34">
        <v>12</v>
      </c>
      <c r="L4951" s="41">
        <v>41.666666666666664</v>
      </c>
      <c r="M4951" s="11"/>
      <c r="N4951" s="36">
        <f t="shared" si="255"/>
        <v>0</v>
      </c>
      <c r="O4951" s="42">
        <f>0.014*M4951</f>
        <v>0</v>
      </c>
      <c r="P4951" s="43">
        <f>0.00017*M4951</f>
        <v>0</v>
      </c>
      <c r="Q4951" s="50"/>
      <c r="R4951" s="36" t="s">
        <v>17495</v>
      </c>
      <c r="S4951" s="36"/>
      <c r="T4951" s="35" t="str">
        <f>HYPERLINK("https://miland.ru/api/getInfo/image/1e8ee921-1b5b-11ea-a237-ac1f6b442184")</f>
        <v>https://miland.ru/api/getInfo/image/1e8ee921-1b5b-11ea-a237-ac1f6b442184</v>
      </c>
      <c r="U4951" s="35"/>
      <c r="V4951" s="35" t="s">
        <v>11948</v>
      </c>
      <c r="W4951" s="35" t="s">
        <v>1630</v>
      </c>
      <c r="X4951" s="35"/>
      <c r="Y4951" s="35" t="s">
        <v>697</v>
      </c>
      <c r="Z4951" s="35"/>
      <c r="AA4951" s="35" t="str">
        <f>HYPERLINK("https://miland.ru/api/getInfo/item/1e8ee921-1b5b-11ea-a237-ac1f6b442184")</f>
        <v>https://miland.ru/api/getInfo/item/1e8ee921-1b5b-11ea-a237-ac1f6b442184</v>
      </c>
      <c r="AB4951" s="35" t="s">
        <v>42</v>
      </c>
      <c r="AC4951" s="35" t="s">
        <v>2396</v>
      </c>
      <c r="AD4951" s="35"/>
      <c r="AE4951" s="52" t="s">
        <v>9152</v>
      </c>
    </row>
    <row r="4952" spans="2:31" s="1" customFormat="1" ht="96.3" customHeight="1" outlineLevel="4">
      <c r="B4952" s="57">
        <v>3990</v>
      </c>
      <c r="C4952" s="21" t="s">
        <v>17496</v>
      </c>
      <c r="D4952" s="72" t="s">
        <v>17497</v>
      </c>
      <c r="E4952" s="72"/>
      <c r="F4952" s="72"/>
      <c r="G4952" s="72"/>
      <c r="H4952" s="22" t="s">
        <v>17498</v>
      </c>
      <c r="I4952" s="23" t="s">
        <v>36</v>
      </c>
      <c r="J4952" s="22"/>
      <c r="K4952" s="20">
        <v>12</v>
      </c>
      <c r="L4952" s="24">
        <v>65.099999999999994</v>
      </c>
      <c r="M4952" s="11"/>
      <c r="N4952" s="22">
        <f t="shared" si="255"/>
        <v>0</v>
      </c>
      <c r="O4952" s="25">
        <f>0.023*M4952</f>
        <v>0</v>
      </c>
      <c r="P4952" s="26">
        <f>0.00014*M4952</f>
        <v>0</v>
      </c>
      <c r="Q4952" s="30"/>
      <c r="R4952" s="22" t="s">
        <v>17499</v>
      </c>
      <c r="S4952" s="22"/>
      <c r="T4952" s="21" t="str">
        <f>HYPERLINK("https://miland.ru/api/getInfo/image/3f8c1be6-1b5b-11ea-a237-ac1f6b442184")</f>
        <v>https://miland.ru/api/getInfo/image/3f8c1be6-1b5b-11ea-a237-ac1f6b442184</v>
      </c>
      <c r="U4952" s="21"/>
      <c r="V4952" s="21" t="s">
        <v>11948</v>
      </c>
      <c r="W4952" s="21" t="s">
        <v>1630</v>
      </c>
      <c r="X4952" s="21"/>
      <c r="Y4952" s="21" t="s">
        <v>697</v>
      </c>
      <c r="Z4952" s="21"/>
      <c r="AA4952" s="21" t="str">
        <f>HYPERLINK("https://miland.ru/api/getInfo/item/3f8c1be6-1b5b-11ea-a237-ac1f6b442184")</f>
        <v>https://miland.ru/api/getInfo/item/3f8c1be6-1b5b-11ea-a237-ac1f6b442184</v>
      </c>
      <c r="AB4952" s="21" t="s">
        <v>42</v>
      </c>
      <c r="AC4952" s="21" t="s">
        <v>2396</v>
      </c>
      <c r="AD4952" s="21"/>
    </row>
    <row r="4953" spans="2:31" s="1" customFormat="1" ht="96.3" customHeight="1" outlineLevel="4">
      <c r="B4953" s="57">
        <v>3991</v>
      </c>
      <c r="C4953" s="21" t="s">
        <v>17500</v>
      </c>
      <c r="D4953" s="72" t="s">
        <v>17501</v>
      </c>
      <c r="E4953" s="72"/>
      <c r="F4953" s="72"/>
      <c r="G4953" s="72"/>
      <c r="H4953" s="22" t="s">
        <v>17502</v>
      </c>
      <c r="I4953" s="23" t="s">
        <v>36</v>
      </c>
      <c r="J4953" s="22"/>
      <c r="K4953" s="20">
        <v>12</v>
      </c>
      <c r="L4953" s="24">
        <v>65.099999999999994</v>
      </c>
      <c r="M4953" s="11"/>
      <c r="N4953" s="22">
        <f t="shared" si="255"/>
        <v>0</v>
      </c>
      <c r="O4953" s="28">
        <f>0.02*M4953</f>
        <v>0</v>
      </c>
      <c r="P4953" s="26">
        <f>0.00009*M4953</f>
        <v>0</v>
      </c>
      <c r="Q4953" s="30"/>
      <c r="R4953" s="22" t="s">
        <v>17503</v>
      </c>
      <c r="S4953" s="22"/>
      <c r="T4953" s="21" t="str">
        <f>HYPERLINK("https://miland.ru/api/getInfo/image/604b0a5c-1b5b-11ea-a237-ac1f6b442184")</f>
        <v>https://miland.ru/api/getInfo/image/604b0a5c-1b5b-11ea-a237-ac1f6b442184</v>
      </c>
      <c r="U4953" s="21"/>
      <c r="V4953" s="21" t="s">
        <v>11948</v>
      </c>
      <c r="W4953" s="21" t="s">
        <v>1630</v>
      </c>
      <c r="X4953" s="21"/>
      <c r="Y4953" s="21" t="s">
        <v>697</v>
      </c>
      <c r="Z4953" s="21"/>
      <c r="AA4953" s="21" t="str">
        <f>HYPERLINK("https://miland.ru/api/getInfo/item/604b0a5c-1b5b-11ea-a237-ac1f6b442184")</f>
        <v>https://miland.ru/api/getInfo/item/604b0a5c-1b5b-11ea-a237-ac1f6b442184</v>
      </c>
      <c r="AB4953" s="21" t="s">
        <v>42</v>
      </c>
      <c r="AC4953" s="21" t="s">
        <v>2396</v>
      </c>
      <c r="AD4953" s="21"/>
    </row>
    <row r="4954" spans="2:31" s="1" customFormat="1" ht="96.3" customHeight="1" outlineLevel="4">
      <c r="B4954" s="57">
        <v>3992</v>
      </c>
      <c r="C4954" s="21" t="s">
        <v>17504</v>
      </c>
      <c r="D4954" s="72" t="s">
        <v>17505</v>
      </c>
      <c r="E4954" s="72"/>
      <c r="F4954" s="72"/>
      <c r="G4954" s="72"/>
      <c r="H4954" s="22" t="s">
        <v>17506</v>
      </c>
      <c r="I4954" s="23" t="s">
        <v>36</v>
      </c>
      <c r="J4954" s="22"/>
      <c r="K4954" s="20">
        <v>12</v>
      </c>
      <c r="L4954" s="24">
        <v>65.099999999999994</v>
      </c>
      <c r="M4954" s="11"/>
      <c r="N4954" s="22">
        <f t="shared" si="255"/>
        <v>0</v>
      </c>
      <c r="O4954" s="28">
        <f>0.02*M4954</f>
        <v>0</v>
      </c>
      <c r="P4954" s="26">
        <f>0.00009*M4954</f>
        <v>0</v>
      </c>
      <c r="Q4954" s="30"/>
      <c r="R4954" s="22" t="s">
        <v>17507</v>
      </c>
      <c r="S4954" s="22"/>
      <c r="T4954" s="21" t="str">
        <f>HYPERLINK("https://miland.ru/api/getInfo/image/7eac5f62-1b5b-11ea-a237-ac1f6b442184")</f>
        <v>https://miland.ru/api/getInfo/image/7eac5f62-1b5b-11ea-a237-ac1f6b442184</v>
      </c>
      <c r="U4954" s="21"/>
      <c r="V4954" s="21" t="s">
        <v>11948</v>
      </c>
      <c r="W4954" s="21" t="s">
        <v>1630</v>
      </c>
      <c r="X4954" s="21"/>
      <c r="Y4954" s="21" t="s">
        <v>697</v>
      </c>
      <c r="Z4954" s="21"/>
      <c r="AA4954" s="21" t="str">
        <f>HYPERLINK("https://miland.ru/api/getInfo/item/7eac5f62-1b5b-11ea-a237-ac1f6b442184")</f>
        <v>https://miland.ru/api/getInfo/item/7eac5f62-1b5b-11ea-a237-ac1f6b442184</v>
      </c>
      <c r="AB4954" s="21" t="s">
        <v>42</v>
      </c>
      <c r="AC4954" s="21" t="s">
        <v>2396</v>
      </c>
      <c r="AD4954" s="21"/>
    </row>
    <row r="4955" spans="2:31" s="1" customFormat="1" ht="96.3" customHeight="1" outlineLevel="4">
      <c r="B4955" s="59">
        <v>3993</v>
      </c>
      <c r="C4955" s="35" t="s">
        <v>17508</v>
      </c>
      <c r="D4955" s="73" t="s">
        <v>17509</v>
      </c>
      <c r="E4955" s="73"/>
      <c r="F4955" s="73"/>
      <c r="G4955" s="73"/>
      <c r="H4955" s="36" t="s">
        <v>17510</v>
      </c>
      <c r="I4955" s="56" t="s">
        <v>36</v>
      </c>
      <c r="J4955" s="36"/>
      <c r="K4955" s="34">
        <v>12</v>
      </c>
      <c r="L4955" s="41">
        <v>31.533333333333331</v>
      </c>
      <c r="M4955" s="11"/>
      <c r="N4955" s="36">
        <f t="shared" si="255"/>
        <v>0</v>
      </c>
      <c r="O4955" s="42">
        <f>0.015*M4955</f>
        <v>0</v>
      </c>
      <c r="P4955" s="55">
        <f>0.0002*M4955</f>
        <v>0</v>
      </c>
      <c r="Q4955" s="50"/>
      <c r="R4955" s="36" t="s">
        <v>17511</v>
      </c>
      <c r="S4955" s="36"/>
      <c r="T4955" s="35" t="str">
        <f>HYPERLINK("https://miland.ru/api/getInfo/image/a7e754f2-1b5b-11ea-a237-ac1f6b442184")</f>
        <v>https://miland.ru/api/getInfo/image/a7e754f2-1b5b-11ea-a237-ac1f6b442184</v>
      </c>
      <c r="U4955" s="35"/>
      <c r="V4955" s="35" t="s">
        <v>11948</v>
      </c>
      <c r="W4955" s="35" t="s">
        <v>1630</v>
      </c>
      <c r="X4955" s="35"/>
      <c r="Y4955" s="35" t="s">
        <v>697</v>
      </c>
      <c r="Z4955" s="35"/>
      <c r="AA4955" s="35" t="str">
        <f>HYPERLINK("https://miland.ru/api/getInfo/item/a7e754f2-1b5b-11ea-a237-ac1f6b442184")</f>
        <v>https://miland.ru/api/getInfo/item/a7e754f2-1b5b-11ea-a237-ac1f6b442184</v>
      </c>
      <c r="AB4955" s="35" t="s">
        <v>42</v>
      </c>
      <c r="AC4955" s="35" t="s">
        <v>2396</v>
      </c>
      <c r="AD4955" s="35"/>
      <c r="AE4955" s="52" t="s">
        <v>9152</v>
      </c>
    </row>
    <row r="4956" spans="2:31" s="1" customFormat="1" ht="96.3" customHeight="1" outlineLevel="4">
      <c r="B4956" s="57">
        <v>3994</v>
      </c>
      <c r="C4956" s="21" t="s">
        <v>17512</v>
      </c>
      <c r="D4956" s="72" t="s">
        <v>17513</v>
      </c>
      <c r="E4956" s="72"/>
      <c r="F4956" s="72"/>
      <c r="G4956" s="72"/>
      <c r="H4956" s="22" t="s">
        <v>17514</v>
      </c>
      <c r="I4956" s="23" t="s">
        <v>36</v>
      </c>
      <c r="J4956" s="22"/>
      <c r="K4956" s="20">
        <v>12</v>
      </c>
      <c r="L4956" s="24">
        <v>65.099999999999994</v>
      </c>
      <c r="M4956" s="11"/>
      <c r="N4956" s="22">
        <f t="shared" si="255"/>
        <v>0</v>
      </c>
      <c r="O4956" s="28">
        <f>0.02*M4956</f>
        <v>0</v>
      </c>
      <c r="P4956" s="26">
        <f>0.00009*M4956</f>
        <v>0</v>
      </c>
      <c r="Q4956" s="30"/>
      <c r="R4956" s="22" t="s">
        <v>17515</v>
      </c>
      <c r="S4956" s="22"/>
      <c r="T4956" s="21" t="str">
        <f>HYPERLINK("https://miland.ru/api/getInfo/image/e6cbfd97-1b5b-11ea-a237-ac1f6b442184")</f>
        <v>https://miland.ru/api/getInfo/image/e6cbfd97-1b5b-11ea-a237-ac1f6b442184</v>
      </c>
      <c r="U4956" s="21"/>
      <c r="V4956" s="21" t="s">
        <v>11948</v>
      </c>
      <c r="W4956" s="21" t="s">
        <v>1630</v>
      </c>
      <c r="X4956" s="21"/>
      <c r="Y4956" s="21" t="s">
        <v>697</v>
      </c>
      <c r="Z4956" s="21"/>
      <c r="AA4956" s="21" t="str">
        <f>HYPERLINK("https://miland.ru/api/getInfo/item/e6cbfd97-1b5b-11ea-a237-ac1f6b442184")</f>
        <v>https://miland.ru/api/getInfo/item/e6cbfd97-1b5b-11ea-a237-ac1f6b442184</v>
      </c>
      <c r="AB4956" s="21" t="s">
        <v>42</v>
      </c>
      <c r="AC4956" s="21" t="s">
        <v>2396</v>
      </c>
      <c r="AD4956" s="21"/>
    </row>
    <row r="4957" spans="2:31" s="1" customFormat="1" ht="96.3" customHeight="1" outlineLevel="4">
      <c r="B4957" s="57">
        <v>3995</v>
      </c>
      <c r="C4957" s="21" t="s">
        <v>17516</v>
      </c>
      <c r="D4957" s="72" t="s">
        <v>17517</v>
      </c>
      <c r="E4957" s="72"/>
      <c r="F4957" s="72"/>
      <c r="G4957" s="72"/>
      <c r="H4957" s="22" t="s">
        <v>17518</v>
      </c>
      <c r="I4957" s="23" t="s">
        <v>36</v>
      </c>
      <c r="J4957" s="22"/>
      <c r="K4957" s="20">
        <v>12</v>
      </c>
      <c r="L4957" s="24">
        <v>65.099999999999994</v>
      </c>
      <c r="M4957" s="11"/>
      <c r="N4957" s="22">
        <f t="shared" si="255"/>
        <v>0</v>
      </c>
      <c r="O4957" s="28">
        <f>0.02*M4957</f>
        <v>0</v>
      </c>
      <c r="P4957" s="26">
        <f>0.00009*M4957</f>
        <v>0</v>
      </c>
      <c r="Q4957" s="30"/>
      <c r="R4957" s="22" t="s">
        <v>17519</v>
      </c>
      <c r="S4957" s="22"/>
      <c r="T4957" s="21" t="str">
        <f>HYPERLINK("https://miland.ru/api/getInfo/image/038e77d1-1b5c-11ea-a237-ac1f6b442184")</f>
        <v>https://miland.ru/api/getInfo/image/038e77d1-1b5c-11ea-a237-ac1f6b442184</v>
      </c>
      <c r="U4957" s="21"/>
      <c r="V4957" s="21" t="s">
        <v>11948</v>
      </c>
      <c r="W4957" s="21" t="s">
        <v>1630</v>
      </c>
      <c r="X4957" s="21"/>
      <c r="Y4957" s="21" t="s">
        <v>697</v>
      </c>
      <c r="Z4957" s="21"/>
      <c r="AA4957" s="21" t="str">
        <f>HYPERLINK("https://miland.ru/api/getInfo/item/038e77d1-1b5c-11ea-a237-ac1f6b442184")</f>
        <v>https://miland.ru/api/getInfo/item/038e77d1-1b5c-11ea-a237-ac1f6b442184</v>
      </c>
      <c r="AB4957" s="21" t="s">
        <v>42</v>
      </c>
      <c r="AC4957" s="21" t="s">
        <v>2396</v>
      </c>
      <c r="AD4957" s="21"/>
    </row>
    <row r="4958" spans="2:31" s="1" customFormat="1" ht="96.3" customHeight="1" outlineLevel="4">
      <c r="B4958" s="57">
        <v>3996</v>
      </c>
      <c r="C4958" s="21" t="s">
        <v>17520</v>
      </c>
      <c r="D4958" s="72" t="s">
        <v>17521</v>
      </c>
      <c r="E4958" s="72"/>
      <c r="F4958" s="72"/>
      <c r="G4958" s="72"/>
      <c r="H4958" s="22" t="s">
        <v>17522</v>
      </c>
      <c r="I4958" s="23" t="s">
        <v>36</v>
      </c>
      <c r="J4958" s="22"/>
      <c r="K4958" s="20">
        <v>12</v>
      </c>
      <c r="L4958" s="24">
        <v>65.099999999999994</v>
      </c>
      <c r="M4958" s="11"/>
      <c r="N4958" s="22">
        <f t="shared" si="255"/>
        <v>0</v>
      </c>
      <c r="O4958" s="28">
        <f>0.02*M4958</f>
        <v>0</v>
      </c>
      <c r="P4958" s="26">
        <f>0.00009*M4958</f>
        <v>0</v>
      </c>
      <c r="Q4958" s="30"/>
      <c r="R4958" s="22" t="s">
        <v>17523</v>
      </c>
      <c r="S4958" s="22"/>
      <c r="T4958" s="21" t="str">
        <f>HYPERLINK("https://miland.ru/api/getInfo/image/22011893-1b5c-11ea-a237-ac1f6b442184")</f>
        <v>https://miland.ru/api/getInfo/image/22011893-1b5c-11ea-a237-ac1f6b442184</v>
      </c>
      <c r="U4958" s="21"/>
      <c r="V4958" s="21" t="s">
        <v>11948</v>
      </c>
      <c r="W4958" s="21" t="s">
        <v>1630</v>
      </c>
      <c r="X4958" s="21"/>
      <c r="Y4958" s="21" t="s">
        <v>697</v>
      </c>
      <c r="Z4958" s="21"/>
      <c r="AA4958" s="21" t="str">
        <f>HYPERLINK("https://miland.ru/api/getInfo/item/22011893-1b5c-11ea-a237-ac1f6b442184")</f>
        <v>https://miland.ru/api/getInfo/item/22011893-1b5c-11ea-a237-ac1f6b442184</v>
      </c>
      <c r="AB4958" s="21" t="s">
        <v>42</v>
      </c>
      <c r="AC4958" s="21" t="s">
        <v>2396</v>
      </c>
      <c r="AD4958" s="21"/>
    </row>
    <row r="4959" spans="2:31" s="1" customFormat="1" ht="96.3" customHeight="1" outlineLevel="4">
      <c r="B4959" s="57">
        <v>3997</v>
      </c>
      <c r="C4959" s="21" t="s">
        <v>17524</v>
      </c>
      <c r="D4959" s="72" t="s">
        <v>17525</v>
      </c>
      <c r="E4959" s="72"/>
      <c r="F4959" s="72"/>
      <c r="G4959" s="72"/>
      <c r="H4959" s="22" t="s">
        <v>17526</v>
      </c>
      <c r="I4959" s="23" t="s">
        <v>36</v>
      </c>
      <c r="J4959" s="22"/>
      <c r="K4959" s="20">
        <v>12</v>
      </c>
      <c r="L4959" s="24">
        <v>65.099999999999994</v>
      </c>
      <c r="M4959" s="11"/>
      <c r="N4959" s="22">
        <f t="shared" si="255"/>
        <v>0</v>
      </c>
      <c r="O4959" s="28">
        <f>0.02*M4959</f>
        <v>0</v>
      </c>
      <c r="P4959" s="26">
        <f>0.00009*M4959</f>
        <v>0</v>
      </c>
      <c r="Q4959" s="30"/>
      <c r="R4959" s="22" t="s">
        <v>17527</v>
      </c>
      <c r="S4959" s="22"/>
      <c r="T4959" s="21" t="str">
        <f>HYPERLINK("https://miland.ru/api/getInfo/image/f86b845b-1b5a-11ea-a237-ac1f6b442184")</f>
        <v>https://miland.ru/api/getInfo/image/f86b845b-1b5a-11ea-a237-ac1f6b442184</v>
      </c>
      <c r="U4959" s="21"/>
      <c r="V4959" s="21" t="s">
        <v>11948</v>
      </c>
      <c r="W4959" s="21" t="s">
        <v>1630</v>
      </c>
      <c r="X4959" s="21"/>
      <c r="Y4959" s="21" t="s">
        <v>697</v>
      </c>
      <c r="Z4959" s="21"/>
      <c r="AA4959" s="21" t="str">
        <f>HYPERLINK("https://miland.ru/api/getInfo/item/f86b845b-1b5a-11ea-a237-ac1f6b442184")</f>
        <v>https://miland.ru/api/getInfo/item/f86b845b-1b5a-11ea-a237-ac1f6b442184</v>
      </c>
      <c r="AB4959" s="21" t="s">
        <v>42</v>
      </c>
      <c r="AC4959" s="21" t="s">
        <v>2396</v>
      </c>
      <c r="AD4959" s="21"/>
    </row>
    <row r="4960" spans="2:31" s="1" customFormat="1" ht="96.3" customHeight="1" outlineLevel="4">
      <c r="B4960" s="59">
        <v>3998</v>
      </c>
      <c r="C4960" s="35" t="s">
        <v>17528</v>
      </c>
      <c r="D4960" s="73" t="s">
        <v>17529</v>
      </c>
      <c r="E4960" s="73"/>
      <c r="F4960" s="73"/>
      <c r="G4960" s="73"/>
      <c r="H4960" s="36" t="s">
        <v>17530</v>
      </c>
      <c r="I4960" s="40">
        <v>66</v>
      </c>
      <c r="J4960" s="36"/>
      <c r="K4960" s="34">
        <v>12</v>
      </c>
      <c r="L4960" s="41">
        <v>25.933333333333334</v>
      </c>
      <c r="M4960" s="11"/>
      <c r="N4960" s="36">
        <f t="shared" si="255"/>
        <v>0</v>
      </c>
      <c r="O4960" s="42">
        <f>0.011*M4960</f>
        <v>0</v>
      </c>
      <c r="P4960" s="43">
        <f>0.00014*M4960</f>
        <v>0</v>
      </c>
      <c r="Q4960" s="50"/>
      <c r="R4960" s="36" t="s">
        <v>17531</v>
      </c>
      <c r="S4960" s="36" t="s">
        <v>435</v>
      </c>
      <c r="T4960" s="35" t="str">
        <f>HYPERLINK("https://miland.ru/api/getInfo/image/97a61590-1b5c-11ea-a237-ac1f6b442184")</f>
        <v>https://miland.ru/api/getInfo/image/97a61590-1b5c-11ea-a237-ac1f6b442184</v>
      </c>
      <c r="U4960" s="35"/>
      <c r="V4960" s="35" t="s">
        <v>11948</v>
      </c>
      <c r="W4960" s="35" t="s">
        <v>1630</v>
      </c>
      <c r="X4960" s="35"/>
      <c r="Y4960" s="35" t="s">
        <v>697</v>
      </c>
      <c r="Z4960" s="35"/>
      <c r="AA4960" s="35" t="str">
        <f>HYPERLINK("https://miland.ru/api/getInfo/item/97a61590-1b5c-11ea-a237-ac1f6b442184")</f>
        <v>https://miland.ru/api/getInfo/item/97a61590-1b5c-11ea-a237-ac1f6b442184</v>
      </c>
      <c r="AB4960" s="35" t="s">
        <v>42</v>
      </c>
      <c r="AC4960" s="35" t="s">
        <v>2396</v>
      </c>
      <c r="AD4960" s="35"/>
      <c r="AE4960" s="52" t="s">
        <v>1251</v>
      </c>
    </row>
    <row r="4961" spans="2:31" s="1" customFormat="1" ht="96.3" customHeight="1" outlineLevel="4">
      <c r="B4961" s="59">
        <v>3999</v>
      </c>
      <c r="C4961" s="35" t="s">
        <v>17532</v>
      </c>
      <c r="D4961" s="73" t="s">
        <v>17533</v>
      </c>
      <c r="E4961" s="73"/>
      <c r="F4961" s="73"/>
      <c r="G4961" s="73"/>
      <c r="H4961" s="36" t="s">
        <v>17534</v>
      </c>
      <c r="I4961" s="56" t="s">
        <v>36</v>
      </c>
      <c r="J4961" s="36"/>
      <c r="K4961" s="34">
        <v>12</v>
      </c>
      <c r="L4961" s="41">
        <v>25.933333333333334</v>
      </c>
      <c r="M4961" s="11"/>
      <c r="N4961" s="36">
        <f t="shared" si="255"/>
        <v>0</v>
      </c>
      <c r="O4961" s="42">
        <f>0.016*M4961</f>
        <v>0</v>
      </c>
      <c r="P4961" s="43">
        <f>0.00015*M4961</f>
        <v>0</v>
      </c>
      <c r="Q4961" s="50"/>
      <c r="R4961" s="36" t="s">
        <v>17535</v>
      </c>
      <c r="S4961" s="36" t="s">
        <v>435</v>
      </c>
      <c r="T4961" s="35" t="str">
        <f>HYPERLINK("https://miland.ru/api/getInfo/image/b35b8015-1b5c-11ea-a237-ac1f6b442184")</f>
        <v>https://miland.ru/api/getInfo/image/b35b8015-1b5c-11ea-a237-ac1f6b442184</v>
      </c>
      <c r="U4961" s="35"/>
      <c r="V4961" s="35" t="s">
        <v>11948</v>
      </c>
      <c r="W4961" s="35" t="s">
        <v>1630</v>
      </c>
      <c r="X4961" s="35"/>
      <c r="Y4961" s="35" t="s">
        <v>697</v>
      </c>
      <c r="Z4961" s="35"/>
      <c r="AA4961" s="35" t="str">
        <f>HYPERLINK("https://miland.ru/api/getInfo/item/b35b8015-1b5c-11ea-a237-ac1f6b442184")</f>
        <v>https://miland.ru/api/getInfo/item/b35b8015-1b5c-11ea-a237-ac1f6b442184</v>
      </c>
      <c r="AB4961" s="35" t="s">
        <v>42</v>
      </c>
      <c r="AC4961" s="35" t="s">
        <v>2396</v>
      </c>
      <c r="AD4961" s="35"/>
      <c r="AE4961" s="52" t="s">
        <v>1251</v>
      </c>
    </row>
    <row r="4962" spans="2:31" s="1" customFormat="1" ht="96.3" customHeight="1" outlineLevel="4">
      <c r="B4962" s="59">
        <v>4000</v>
      </c>
      <c r="C4962" s="35" t="s">
        <v>17536</v>
      </c>
      <c r="D4962" s="73" t="s">
        <v>17537</v>
      </c>
      <c r="E4962" s="73"/>
      <c r="F4962" s="73"/>
      <c r="G4962" s="73"/>
      <c r="H4962" s="36" t="s">
        <v>17538</v>
      </c>
      <c r="I4962" s="56" t="s">
        <v>36</v>
      </c>
      <c r="J4962" s="36"/>
      <c r="K4962" s="34">
        <v>12</v>
      </c>
      <c r="L4962" s="41">
        <v>25.933333333333334</v>
      </c>
      <c r="M4962" s="11"/>
      <c r="N4962" s="36">
        <f t="shared" si="255"/>
        <v>0</v>
      </c>
      <c r="O4962" s="47">
        <f>0.02*M4962</f>
        <v>0</v>
      </c>
      <c r="P4962" s="43">
        <f>0.00014*M4962</f>
        <v>0</v>
      </c>
      <c r="Q4962" s="50"/>
      <c r="R4962" s="36" t="s">
        <v>17539</v>
      </c>
      <c r="S4962" s="36" t="s">
        <v>435</v>
      </c>
      <c r="T4962" s="35" t="str">
        <f>HYPERLINK("https://miland.ru/api/getInfo/image/de22762a-1b5c-11ea-a237-ac1f6b442184")</f>
        <v>https://miland.ru/api/getInfo/image/de22762a-1b5c-11ea-a237-ac1f6b442184</v>
      </c>
      <c r="U4962" s="35"/>
      <c r="V4962" s="35" t="s">
        <v>11948</v>
      </c>
      <c r="W4962" s="35" t="s">
        <v>1630</v>
      </c>
      <c r="X4962" s="35"/>
      <c r="Y4962" s="35" t="s">
        <v>697</v>
      </c>
      <c r="Z4962" s="35"/>
      <c r="AA4962" s="35" t="str">
        <f>HYPERLINK("https://miland.ru/api/getInfo/item/de22762a-1b5c-11ea-a237-ac1f6b442184")</f>
        <v>https://miland.ru/api/getInfo/item/de22762a-1b5c-11ea-a237-ac1f6b442184</v>
      </c>
      <c r="AB4962" s="35" t="s">
        <v>42</v>
      </c>
      <c r="AC4962" s="35" t="s">
        <v>2396</v>
      </c>
      <c r="AD4962" s="35"/>
      <c r="AE4962" s="52" t="s">
        <v>1251</v>
      </c>
    </row>
    <row r="4963" spans="2:31" s="1" customFormat="1" ht="96.3" customHeight="1" outlineLevel="4">
      <c r="B4963" s="59">
        <v>4001</v>
      </c>
      <c r="C4963" s="35" t="s">
        <v>17540</v>
      </c>
      <c r="D4963" s="73" t="s">
        <v>17541</v>
      </c>
      <c r="E4963" s="73"/>
      <c r="F4963" s="73"/>
      <c r="G4963" s="73"/>
      <c r="H4963" s="36" t="s">
        <v>17542</v>
      </c>
      <c r="I4963" s="56" t="s">
        <v>36</v>
      </c>
      <c r="J4963" s="36"/>
      <c r="K4963" s="34">
        <v>12</v>
      </c>
      <c r="L4963" s="41">
        <v>25.933333333333334</v>
      </c>
      <c r="M4963" s="11"/>
      <c r="N4963" s="36">
        <f t="shared" si="255"/>
        <v>0</v>
      </c>
      <c r="O4963" s="47">
        <f>0.02*M4963</f>
        <v>0</v>
      </c>
      <c r="P4963" s="43">
        <f>0.00009*M4963</f>
        <v>0</v>
      </c>
      <c r="Q4963" s="50"/>
      <c r="R4963" s="36" t="s">
        <v>17543</v>
      </c>
      <c r="S4963" s="36" t="s">
        <v>435</v>
      </c>
      <c r="T4963" s="35" t="str">
        <f>HYPERLINK("https://miland.ru/api/getInfo/image/8947fbb5-1b5e-11ea-a237-ac1f6b442184")</f>
        <v>https://miland.ru/api/getInfo/image/8947fbb5-1b5e-11ea-a237-ac1f6b442184</v>
      </c>
      <c r="U4963" s="35"/>
      <c r="V4963" s="35" t="s">
        <v>11948</v>
      </c>
      <c r="W4963" s="35" t="s">
        <v>1630</v>
      </c>
      <c r="X4963" s="35"/>
      <c r="Y4963" s="35" t="s">
        <v>697</v>
      </c>
      <c r="Z4963" s="35"/>
      <c r="AA4963" s="35" t="str">
        <f>HYPERLINK("https://miland.ru/api/getInfo/item/8947fbb5-1b5e-11ea-a237-ac1f6b442184")</f>
        <v>https://miland.ru/api/getInfo/item/8947fbb5-1b5e-11ea-a237-ac1f6b442184</v>
      </c>
      <c r="AB4963" s="35" t="s">
        <v>42</v>
      </c>
      <c r="AC4963" s="35" t="s">
        <v>2396</v>
      </c>
      <c r="AD4963" s="35"/>
      <c r="AE4963" s="52" t="s">
        <v>1251</v>
      </c>
    </row>
    <row r="4964" spans="2:31" s="1" customFormat="1" ht="96.3" customHeight="1" outlineLevel="4">
      <c r="B4964" s="59">
        <v>4002</v>
      </c>
      <c r="C4964" s="35" t="s">
        <v>17544</v>
      </c>
      <c r="D4964" s="73" t="s">
        <v>17545</v>
      </c>
      <c r="E4964" s="73"/>
      <c r="F4964" s="73"/>
      <c r="G4964" s="73"/>
      <c r="H4964" s="36" t="s">
        <v>17546</v>
      </c>
      <c r="I4964" s="56" t="s">
        <v>36</v>
      </c>
      <c r="J4964" s="36"/>
      <c r="K4964" s="34">
        <v>12</v>
      </c>
      <c r="L4964" s="41">
        <v>25.933333333333334</v>
      </c>
      <c r="M4964" s="11"/>
      <c r="N4964" s="36">
        <f t="shared" si="255"/>
        <v>0</v>
      </c>
      <c r="O4964" s="42">
        <f>0.016*M4964</f>
        <v>0</v>
      </c>
      <c r="P4964" s="43">
        <f>0.00011*M4964</f>
        <v>0</v>
      </c>
      <c r="Q4964" s="50"/>
      <c r="R4964" s="36" t="s">
        <v>17547</v>
      </c>
      <c r="S4964" s="36" t="s">
        <v>435</v>
      </c>
      <c r="T4964" s="35" t="str">
        <f>HYPERLINK("https://miland.ru/api/getInfo/image/b8b71730-1b5e-11ea-a237-ac1f6b442184")</f>
        <v>https://miland.ru/api/getInfo/image/b8b71730-1b5e-11ea-a237-ac1f6b442184</v>
      </c>
      <c r="U4964" s="35"/>
      <c r="V4964" s="35" t="s">
        <v>11948</v>
      </c>
      <c r="W4964" s="35" t="s">
        <v>1630</v>
      </c>
      <c r="X4964" s="35"/>
      <c r="Y4964" s="35" t="s">
        <v>697</v>
      </c>
      <c r="Z4964" s="35"/>
      <c r="AA4964" s="35" t="str">
        <f>HYPERLINK("https://miland.ru/api/getInfo/item/b8b71730-1b5e-11ea-a237-ac1f6b442184")</f>
        <v>https://miland.ru/api/getInfo/item/b8b71730-1b5e-11ea-a237-ac1f6b442184</v>
      </c>
      <c r="AB4964" s="35" t="s">
        <v>42</v>
      </c>
      <c r="AC4964" s="35" t="s">
        <v>2396</v>
      </c>
      <c r="AD4964" s="35"/>
      <c r="AE4964" s="52" t="s">
        <v>1251</v>
      </c>
    </row>
    <row r="4965" spans="2:31" s="1" customFormat="1" ht="96.3" customHeight="1" outlineLevel="4">
      <c r="B4965" s="59">
        <v>4003</v>
      </c>
      <c r="C4965" s="35" t="s">
        <v>17548</v>
      </c>
      <c r="D4965" s="73" t="s">
        <v>17549</v>
      </c>
      <c r="E4965" s="73"/>
      <c r="F4965" s="73"/>
      <c r="G4965" s="73"/>
      <c r="H4965" s="36" t="s">
        <v>17550</v>
      </c>
      <c r="I4965" s="56" t="s">
        <v>36</v>
      </c>
      <c r="J4965" s="36"/>
      <c r="K4965" s="34">
        <v>12</v>
      </c>
      <c r="L4965" s="41">
        <v>25.933333333333334</v>
      </c>
      <c r="M4965" s="11"/>
      <c r="N4965" s="36">
        <f t="shared" si="255"/>
        <v>0</v>
      </c>
      <c r="O4965" s="47">
        <f t="shared" ref="O4965:O4971" si="256">0.02*M4965</f>
        <v>0</v>
      </c>
      <c r="P4965" s="43">
        <f t="shared" ref="P4965:P4970" si="257">0.00009*M4965</f>
        <v>0</v>
      </c>
      <c r="Q4965" s="50"/>
      <c r="R4965" s="36" t="s">
        <v>17551</v>
      </c>
      <c r="S4965" s="36" t="s">
        <v>435</v>
      </c>
      <c r="T4965" s="35" t="str">
        <f>HYPERLINK("https://miland.ru/api/getInfo/image/e32b2fcc-1b5e-11ea-a237-ac1f6b442184")</f>
        <v>https://miland.ru/api/getInfo/image/e32b2fcc-1b5e-11ea-a237-ac1f6b442184</v>
      </c>
      <c r="U4965" s="35"/>
      <c r="V4965" s="35" t="s">
        <v>11948</v>
      </c>
      <c r="W4965" s="35" t="s">
        <v>1630</v>
      </c>
      <c r="X4965" s="35"/>
      <c r="Y4965" s="35" t="s">
        <v>697</v>
      </c>
      <c r="Z4965" s="35"/>
      <c r="AA4965" s="35" t="str">
        <f>HYPERLINK("https://miland.ru/api/getInfo/item/e32b2fcc-1b5e-11ea-a237-ac1f6b442184")</f>
        <v>https://miland.ru/api/getInfo/item/e32b2fcc-1b5e-11ea-a237-ac1f6b442184</v>
      </c>
      <c r="AB4965" s="35" t="s">
        <v>42</v>
      </c>
      <c r="AC4965" s="35" t="s">
        <v>2396</v>
      </c>
      <c r="AD4965" s="35"/>
      <c r="AE4965" s="52" t="s">
        <v>1251</v>
      </c>
    </row>
    <row r="4966" spans="2:31" s="1" customFormat="1" ht="96.3" customHeight="1" outlineLevel="4">
      <c r="B4966" s="59">
        <v>4004</v>
      </c>
      <c r="C4966" s="35" t="s">
        <v>17552</v>
      </c>
      <c r="D4966" s="73" t="s">
        <v>17553</v>
      </c>
      <c r="E4966" s="73"/>
      <c r="F4966" s="73"/>
      <c r="G4966" s="73"/>
      <c r="H4966" s="36" t="s">
        <v>17554</v>
      </c>
      <c r="I4966" s="56" t="s">
        <v>36</v>
      </c>
      <c r="J4966" s="36"/>
      <c r="K4966" s="34">
        <v>12</v>
      </c>
      <c r="L4966" s="41">
        <v>25.933333333333334</v>
      </c>
      <c r="M4966" s="11"/>
      <c r="N4966" s="36">
        <f t="shared" si="255"/>
        <v>0</v>
      </c>
      <c r="O4966" s="47">
        <f t="shared" si="256"/>
        <v>0</v>
      </c>
      <c r="P4966" s="43">
        <f t="shared" si="257"/>
        <v>0</v>
      </c>
      <c r="Q4966" s="50"/>
      <c r="R4966" s="36" t="s">
        <v>17555</v>
      </c>
      <c r="S4966" s="36" t="s">
        <v>435</v>
      </c>
      <c r="T4966" s="35" t="str">
        <f>HYPERLINK("https://miland.ru/api/getInfo/image/0a194582-1b5f-11ea-a237-ac1f6b442184")</f>
        <v>https://miland.ru/api/getInfo/image/0a194582-1b5f-11ea-a237-ac1f6b442184</v>
      </c>
      <c r="U4966" s="35"/>
      <c r="V4966" s="35" t="s">
        <v>11948</v>
      </c>
      <c r="W4966" s="35" t="s">
        <v>1630</v>
      </c>
      <c r="X4966" s="35"/>
      <c r="Y4966" s="35" t="s">
        <v>697</v>
      </c>
      <c r="Z4966" s="35"/>
      <c r="AA4966" s="35" t="str">
        <f>HYPERLINK("https://miland.ru/api/getInfo/item/0a194582-1b5f-11ea-a237-ac1f6b442184")</f>
        <v>https://miland.ru/api/getInfo/item/0a194582-1b5f-11ea-a237-ac1f6b442184</v>
      </c>
      <c r="AB4966" s="35" t="s">
        <v>42</v>
      </c>
      <c r="AC4966" s="35" t="s">
        <v>2396</v>
      </c>
      <c r="AD4966" s="35"/>
      <c r="AE4966" s="52" t="s">
        <v>1251</v>
      </c>
    </row>
    <row r="4967" spans="2:31" s="1" customFormat="1" ht="96.3" customHeight="1" outlineLevel="4">
      <c r="B4967" s="59">
        <v>4005</v>
      </c>
      <c r="C4967" s="35" t="s">
        <v>17556</v>
      </c>
      <c r="D4967" s="73" t="s">
        <v>17557</v>
      </c>
      <c r="E4967" s="73"/>
      <c r="F4967" s="73"/>
      <c r="G4967" s="73"/>
      <c r="H4967" s="36" t="s">
        <v>17558</v>
      </c>
      <c r="I4967" s="56" t="s">
        <v>36</v>
      </c>
      <c r="J4967" s="36"/>
      <c r="K4967" s="34">
        <v>12</v>
      </c>
      <c r="L4967" s="41">
        <v>25.933333333333334</v>
      </c>
      <c r="M4967" s="11"/>
      <c r="N4967" s="36">
        <f t="shared" si="255"/>
        <v>0</v>
      </c>
      <c r="O4967" s="47">
        <f t="shared" si="256"/>
        <v>0</v>
      </c>
      <c r="P4967" s="43">
        <f t="shared" si="257"/>
        <v>0</v>
      </c>
      <c r="Q4967" s="50"/>
      <c r="R4967" s="36" t="s">
        <v>17559</v>
      </c>
      <c r="S4967" s="36" t="s">
        <v>435</v>
      </c>
      <c r="T4967" s="35" t="str">
        <f>HYPERLINK("https://miland.ru/api/getInfo/image/36d256ef-1b5f-11ea-a237-ac1f6b442184")</f>
        <v>https://miland.ru/api/getInfo/image/36d256ef-1b5f-11ea-a237-ac1f6b442184</v>
      </c>
      <c r="U4967" s="35"/>
      <c r="V4967" s="35" t="s">
        <v>11948</v>
      </c>
      <c r="W4967" s="35" t="s">
        <v>1630</v>
      </c>
      <c r="X4967" s="35"/>
      <c r="Y4967" s="35" t="s">
        <v>697</v>
      </c>
      <c r="Z4967" s="35"/>
      <c r="AA4967" s="35" t="str">
        <f>HYPERLINK("https://miland.ru/api/getInfo/item/36d256ef-1b5f-11ea-a237-ac1f6b442184")</f>
        <v>https://miland.ru/api/getInfo/item/36d256ef-1b5f-11ea-a237-ac1f6b442184</v>
      </c>
      <c r="AB4967" s="35" t="s">
        <v>42</v>
      </c>
      <c r="AC4967" s="35" t="s">
        <v>2396</v>
      </c>
      <c r="AD4967" s="35"/>
      <c r="AE4967" s="52" t="s">
        <v>1251</v>
      </c>
    </row>
    <row r="4968" spans="2:31" s="1" customFormat="1" ht="96.3" customHeight="1" outlineLevel="4">
      <c r="B4968" s="59">
        <v>4006</v>
      </c>
      <c r="C4968" s="35" t="s">
        <v>17560</v>
      </c>
      <c r="D4968" s="73" t="s">
        <v>17561</v>
      </c>
      <c r="E4968" s="73"/>
      <c r="F4968" s="73"/>
      <c r="G4968" s="73"/>
      <c r="H4968" s="36" t="s">
        <v>17562</v>
      </c>
      <c r="I4968" s="56" t="s">
        <v>36</v>
      </c>
      <c r="J4968" s="36"/>
      <c r="K4968" s="34">
        <v>12</v>
      </c>
      <c r="L4968" s="41">
        <v>25.933333333333334</v>
      </c>
      <c r="M4968" s="11"/>
      <c r="N4968" s="36">
        <f t="shared" si="255"/>
        <v>0</v>
      </c>
      <c r="O4968" s="47">
        <f t="shared" si="256"/>
        <v>0</v>
      </c>
      <c r="P4968" s="43">
        <f t="shared" si="257"/>
        <v>0</v>
      </c>
      <c r="Q4968" s="50"/>
      <c r="R4968" s="36" t="s">
        <v>17563</v>
      </c>
      <c r="S4968" s="36" t="s">
        <v>435</v>
      </c>
      <c r="T4968" s="35" t="str">
        <f>HYPERLINK("https://miland.ru/api/getInfo/image/60e64a22-1b5f-11ea-a237-ac1f6b442184")</f>
        <v>https://miland.ru/api/getInfo/image/60e64a22-1b5f-11ea-a237-ac1f6b442184</v>
      </c>
      <c r="U4968" s="35"/>
      <c r="V4968" s="35" t="s">
        <v>11948</v>
      </c>
      <c r="W4968" s="35" t="s">
        <v>1630</v>
      </c>
      <c r="X4968" s="35"/>
      <c r="Y4968" s="35" t="s">
        <v>697</v>
      </c>
      <c r="Z4968" s="35"/>
      <c r="AA4968" s="35" t="str">
        <f>HYPERLINK("https://miland.ru/api/getInfo/item/60e64a22-1b5f-11ea-a237-ac1f6b442184")</f>
        <v>https://miland.ru/api/getInfo/item/60e64a22-1b5f-11ea-a237-ac1f6b442184</v>
      </c>
      <c r="AB4968" s="35" t="s">
        <v>42</v>
      </c>
      <c r="AC4968" s="35" t="s">
        <v>2396</v>
      </c>
      <c r="AD4968" s="35"/>
      <c r="AE4968" s="52" t="s">
        <v>1251</v>
      </c>
    </row>
    <row r="4969" spans="2:31" s="1" customFormat="1" ht="96.3" customHeight="1" outlineLevel="4">
      <c r="B4969" s="59">
        <v>4007</v>
      </c>
      <c r="C4969" s="35" t="s">
        <v>17564</v>
      </c>
      <c r="D4969" s="73" t="s">
        <v>17565</v>
      </c>
      <c r="E4969" s="73"/>
      <c r="F4969" s="73"/>
      <c r="G4969" s="73"/>
      <c r="H4969" s="36" t="s">
        <v>17566</v>
      </c>
      <c r="I4969" s="56" t="s">
        <v>36</v>
      </c>
      <c r="J4969" s="36"/>
      <c r="K4969" s="34">
        <v>12</v>
      </c>
      <c r="L4969" s="41">
        <v>25.933333333333334</v>
      </c>
      <c r="M4969" s="11"/>
      <c r="N4969" s="36">
        <f t="shared" si="255"/>
        <v>0</v>
      </c>
      <c r="O4969" s="47">
        <f t="shared" si="256"/>
        <v>0</v>
      </c>
      <c r="P4969" s="43">
        <f t="shared" si="257"/>
        <v>0</v>
      </c>
      <c r="Q4969" s="50"/>
      <c r="R4969" s="36" t="s">
        <v>17567</v>
      </c>
      <c r="S4969" s="36" t="s">
        <v>435</v>
      </c>
      <c r="T4969" s="35" t="str">
        <f>HYPERLINK("https://miland.ru/api/getInfo/image/4457e9fb-1b5c-11ea-a237-ac1f6b442184")</f>
        <v>https://miland.ru/api/getInfo/image/4457e9fb-1b5c-11ea-a237-ac1f6b442184</v>
      </c>
      <c r="U4969" s="35"/>
      <c r="V4969" s="35" t="s">
        <v>11948</v>
      </c>
      <c r="W4969" s="35" t="s">
        <v>1630</v>
      </c>
      <c r="X4969" s="35"/>
      <c r="Y4969" s="35" t="s">
        <v>697</v>
      </c>
      <c r="Z4969" s="35"/>
      <c r="AA4969" s="35" t="str">
        <f>HYPERLINK("https://miland.ru/api/getInfo/item/4457e9fb-1b5c-11ea-a237-ac1f6b442184")</f>
        <v>https://miland.ru/api/getInfo/item/4457e9fb-1b5c-11ea-a237-ac1f6b442184</v>
      </c>
      <c r="AB4969" s="35" t="s">
        <v>42</v>
      </c>
      <c r="AC4969" s="35" t="s">
        <v>2396</v>
      </c>
      <c r="AD4969" s="35"/>
      <c r="AE4969" s="52" t="s">
        <v>1251</v>
      </c>
    </row>
    <row r="4970" spans="2:31" s="1" customFormat="1" ht="96.3" customHeight="1" outlineLevel="4">
      <c r="B4970" s="57">
        <v>4008</v>
      </c>
      <c r="C4970" s="21" t="s">
        <v>17568</v>
      </c>
      <c r="D4970" s="72" t="s">
        <v>17569</v>
      </c>
      <c r="E4970" s="72"/>
      <c r="F4970" s="72"/>
      <c r="G4970" s="72"/>
      <c r="H4970" s="22" t="s">
        <v>17570</v>
      </c>
      <c r="I4970" s="23" t="s">
        <v>36</v>
      </c>
      <c r="J4970" s="22"/>
      <c r="K4970" s="20">
        <v>12</v>
      </c>
      <c r="L4970" s="24">
        <v>48.83</v>
      </c>
      <c r="M4970" s="11"/>
      <c r="N4970" s="22">
        <f t="shared" si="255"/>
        <v>0</v>
      </c>
      <c r="O4970" s="28">
        <f t="shared" si="256"/>
        <v>0</v>
      </c>
      <c r="P4970" s="26">
        <f t="shared" si="257"/>
        <v>0</v>
      </c>
      <c r="Q4970" s="30"/>
      <c r="R4970" s="22" t="s">
        <v>17571</v>
      </c>
      <c r="S4970" s="22"/>
      <c r="T4970" s="21" t="str">
        <f>HYPERLINK("https://miland.ru/api/getInfo/image/0734b098-19b4-11e9-a21c-ac1f6b442184")</f>
        <v>https://miland.ru/api/getInfo/image/0734b098-19b4-11e9-a21c-ac1f6b442184</v>
      </c>
      <c r="U4970" s="21"/>
      <c r="V4970" s="21" t="s">
        <v>11948</v>
      </c>
      <c r="W4970" s="21" t="s">
        <v>1630</v>
      </c>
      <c r="X4970" s="21"/>
      <c r="Y4970" s="21" t="s">
        <v>697</v>
      </c>
      <c r="Z4970" s="21"/>
      <c r="AA4970" s="21" t="str">
        <f>HYPERLINK("https://miland.ru/api/getInfo/item/0734b098-19b4-11e9-a21c-ac1f6b442184")</f>
        <v>https://miland.ru/api/getInfo/item/0734b098-19b4-11e9-a21c-ac1f6b442184</v>
      </c>
      <c r="AB4970" s="21" t="s">
        <v>42</v>
      </c>
      <c r="AC4970" s="21" t="s">
        <v>17572</v>
      </c>
      <c r="AD4970" s="21"/>
    </row>
    <row r="4971" spans="2:31" s="1" customFormat="1" ht="96.3" customHeight="1" outlineLevel="4">
      <c r="B4971" s="57">
        <v>4009</v>
      </c>
      <c r="C4971" s="21" t="s">
        <v>17573</v>
      </c>
      <c r="D4971" s="72" t="s">
        <v>17574</v>
      </c>
      <c r="E4971" s="72"/>
      <c r="F4971" s="72"/>
      <c r="G4971" s="72"/>
      <c r="H4971" s="22" t="s">
        <v>17575</v>
      </c>
      <c r="I4971" s="23" t="s">
        <v>36</v>
      </c>
      <c r="J4971" s="22"/>
      <c r="K4971" s="20">
        <v>12</v>
      </c>
      <c r="L4971" s="24">
        <v>48.83</v>
      </c>
      <c r="M4971" s="11"/>
      <c r="N4971" s="22">
        <f t="shared" si="255"/>
        <v>0</v>
      </c>
      <c r="O4971" s="28">
        <f t="shared" si="256"/>
        <v>0</v>
      </c>
      <c r="P4971" s="26">
        <f>0.00007*M4971</f>
        <v>0</v>
      </c>
      <c r="Q4971" s="30"/>
      <c r="R4971" s="22" t="s">
        <v>17576</v>
      </c>
      <c r="S4971" s="22"/>
      <c r="T4971" s="21" t="str">
        <f>HYPERLINK("https://miland.ru/api/getInfo/image/2a3825f0-19b4-11e9-a21c-ac1f6b442184")</f>
        <v>https://miland.ru/api/getInfo/image/2a3825f0-19b4-11e9-a21c-ac1f6b442184</v>
      </c>
      <c r="U4971" s="21"/>
      <c r="V4971" s="21" t="s">
        <v>11948</v>
      </c>
      <c r="W4971" s="21" t="s">
        <v>1630</v>
      </c>
      <c r="X4971" s="21"/>
      <c r="Y4971" s="21" t="s">
        <v>697</v>
      </c>
      <c r="Z4971" s="21"/>
      <c r="AA4971" s="21" t="str">
        <f>HYPERLINK("https://miland.ru/api/getInfo/item/2a3825f0-19b4-11e9-a21c-ac1f6b442184")</f>
        <v>https://miland.ru/api/getInfo/item/2a3825f0-19b4-11e9-a21c-ac1f6b442184</v>
      </c>
      <c r="AB4971" s="21" t="s">
        <v>42</v>
      </c>
      <c r="AC4971" s="21" t="s">
        <v>17572</v>
      </c>
      <c r="AD4971" s="21"/>
    </row>
    <row r="4972" spans="2:31" s="1" customFormat="1" ht="96.3" customHeight="1" outlineLevel="4">
      <c r="B4972" s="57">
        <v>4010</v>
      </c>
      <c r="C4972" s="21" t="s">
        <v>17577</v>
      </c>
      <c r="D4972" s="72" t="s">
        <v>17578</v>
      </c>
      <c r="E4972" s="72"/>
      <c r="F4972" s="72"/>
      <c r="G4972" s="72"/>
      <c r="H4972" s="22" t="s">
        <v>17579</v>
      </c>
      <c r="I4972" s="23" t="s">
        <v>36</v>
      </c>
      <c r="J4972" s="22"/>
      <c r="K4972" s="20">
        <v>12</v>
      </c>
      <c r="L4972" s="24">
        <v>48.83</v>
      </c>
      <c r="M4972" s="11"/>
      <c r="N4972" s="22">
        <f t="shared" si="255"/>
        <v>0</v>
      </c>
      <c r="O4972" s="25">
        <f>0.018*M4972</f>
        <v>0</v>
      </c>
      <c r="P4972" s="22">
        <v>0</v>
      </c>
      <c r="Q4972" s="30"/>
      <c r="R4972" s="22" t="s">
        <v>17580</v>
      </c>
      <c r="S4972" s="22"/>
      <c r="T4972" s="21" t="str">
        <f>HYPERLINK("https://miland.ru/api/getInfo/image/557c9aaf-19b4-11e9-a21c-ac1f6b442184")</f>
        <v>https://miland.ru/api/getInfo/image/557c9aaf-19b4-11e9-a21c-ac1f6b442184</v>
      </c>
      <c r="U4972" s="21"/>
      <c r="V4972" s="21" t="s">
        <v>11948</v>
      </c>
      <c r="W4972" s="21" t="s">
        <v>1630</v>
      </c>
      <c r="X4972" s="21"/>
      <c r="Y4972" s="21" t="s">
        <v>697</v>
      </c>
      <c r="Z4972" s="21"/>
      <c r="AA4972" s="21" t="str">
        <f>HYPERLINK("https://miland.ru/api/getInfo/item/557c9aaf-19b4-11e9-a21c-ac1f6b442184")</f>
        <v>https://miland.ru/api/getInfo/item/557c9aaf-19b4-11e9-a21c-ac1f6b442184</v>
      </c>
      <c r="AB4972" s="21" t="s">
        <v>42</v>
      </c>
      <c r="AC4972" s="21" t="s">
        <v>17572</v>
      </c>
      <c r="AD4972" s="21"/>
    </row>
    <row r="4973" spans="2:31" s="1" customFormat="1" ht="96.3" customHeight="1" outlineLevel="4">
      <c r="B4973" s="57">
        <v>4011</v>
      </c>
      <c r="C4973" s="21" t="s">
        <v>17581</v>
      </c>
      <c r="D4973" s="72" t="s">
        <v>17582</v>
      </c>
      <c r="E4973" s="72"/>
      <c r="F4973" s="72"/>
      <c r="G4973" s="72"/>
      <c r="H4973" s="22" t="s">
        <v>17583</v>
      </c>
      <c r="I4973" s="23" t="s">
        <v>36</v>
      </c>
      <c r="J4973" s="22"/>
      <c r="K4973" s="20">
        <v>12</v>
      </c>
      <c r="L4973" s="24">
        <v>48.83</v>
      </c>
      <c r="M4973" s="11"/>
      <c r="N4973" s="22">
        <f t="shared" si="255"/>
        <v>0</v>
      </c>
      <c r="O4973" s="25">
        <f>0.017*M4973</f>
        <v>0</v>
      </c>
      <c r="P4973" s="26">
        <f>0.00012*M4973</f>
        <v>0</v>
      </c>
      <c r="Q4973" s="30"/>
      <c r="R4973" s="22" t="s">
        <v>17584</v>
      </c>
      <c r="S4973" s="22"/>
      <c r="T4973" s="21" t="str">
        <f>HYPERLINK("https://miland.ru/api/getInfo/image/a023eb26-19b4-11e9-a21c-ac1f6b442184")</f>
        <v>https://miland.ru/api/getInfo/image/a023eb26-19b4-11e9-a21c-ac1f6b442184</v>
      </c>
      <c r="U4973" s="21"/>
      <c r="V4973" s="21" t="s">
        <v>11948</v>
      </c>
      <c r="W4973" s="21" t="s">
        <v>1630</v>
      </c>
      <c r="X4973" s="21"/>
      <c r="Y4973" s="21" t="s">
        <v>697</v>
      </c>
      <c r="Z4973" s="21"/>
      <c r="AA4973" s="21" t="str">
        <f>HYPERLINK("https://miland.ru/api/getInfo/item/a023eb26-19b4-11e9-a21c-ac1f6b442184")</f>
        <v>https://miland.ru/api/getInfo/item/a023eb26-19b4-11e9-a21c-ac1f6b442184</v>
      </c>
      <c r="AB4973" s="21" t="s">
        <v>42</v>
      </c>
      <c r="AC4973" s="21" t="s">
        <v>17572</v>
      </c>
      <c r="AD4973" s="21"/>
    </row>
    <row r="4974" spans="2:31" s="1" customFormat="1" ht="96.3" customHeight="1" outlineLevel="4">
      <c r="B4974" s="57">
        <v>4012</v>
      </c>
      <c r="C4974" s="21" t="s">
        <v>17585</v>
      </c>
      <c r="D4974" s="72" t="s">
        <v>17586</v>
      </c>
      <c r="E4974" s="72"/>
      <c r="F4974" s="72"/>
      <c r="G4974" s="72"/>
      <c r="H4974" s="22" t="s">
        <v>17587</v>
      </c>
      <c r="I4974" s="23" t="s">
        <v>36</v>
      </c>
      <c r="J4974" s="22"/>
      <c r="K4974" s="20">
        <v>12</v>
      </c>
      <c r="L4974" s="24">
        <v>48.83</v>
      </c>
      <c r="M4974" s="11"/>
      <c r="N4974" s="22">
        <f t="shared" si="255"/>
        <v>0</v>
      </c>
      <c r="O4974" s="28">
        <f>0.02*M4974</f>
        <v>0</v>
      </c>
      <c r="P4974" s="26">
        <f>0.00017*M4974</f>
        <v>0</v>
      </c>
      <c r="Q4974" s="30"/>
      <c r="R4974" s="22" t="s">
        <v>17588</v>
      </c>
      <c r="S4974" s="22"/>
      <c r="T4974" s="21" t="str">
        <f>HYPERLINK("https://miland.ru/api/getInfo/image/c21010b1-19b4-11e9-a21c-ac1f6b442184")</f>
        <v>https://miland.ru/api/getInfo/image/c21010b1-19b4-11e9-a21c-ac1f6b442184</v>
      </c>
      <c r="U4974" s="21"/>
      <c r="V4974" s="21" t="s">
        <v>11948</v>
      </c>
      <c r="W4974" s="21" t="s">
        <v>1630</v>
      </c>
      <c r="X4974" s="21"/>
      <c r="Y4974" s="21" t="s">
        <v>697</v>
      </c>
      <c r="Z4974" s="21"/>
      <c r="AA4974" s="21" t="str">
        <f>HYPERLINK("https://miland.ru/api/getInfo/item/c21010b1-19b4-11e9-a21c-ac1f6b442184")</f>
        <v>https://miland.ru/api/getInfo/item/c21010b1-19b4-11e9-a21c-ac1f6b442184</v>
      </c>
      <c r="AB4974" s="21" t="s">
        <v>42</v>
      </c>
      <c r="AC4974" s="21" t="s">
        <v>17572</v>
      </c>
      <c r="AD4974" s="21"/>
    </row>
    <row r="4975" spans="2:31" s="1" customFormat="1" ht="96.3" customHeight="1" outlineLevel="4">
      <c r="B4975" s="57">
        <v>4013</v>
      </c>
      <c r="C4975" s="21" t="s">
        <v>17589</v>
      </c>
      <c r="D4975" s="72" t="s">
        <v>17590</v>
      </c>
      <c r="E4975" s="72"/>
      <c r="F4975" s="72"/>
      <c r="G4975" s="72"/>
      <c r="H4975" s="22" t="s">
        <v>17591</v>
      </c>
      <c r="I4975" s="23" t="s">
        <v>36</v>
      </c>
      <c r="J4975" s="22"/>
      <c r="K4975" s="20">
        <v>12</v>
      </c>
      <c r="L4975" s="24">
        <v>48.83</v>
      </c>
      <c r="M4975" s="11"/>
      <c r="N4975" s="22">
        <f t="shared" si="255"/>
        <v>0</v>
      </c>
      <c r="O4975" s="28">
        <f>0.02*M4975</f>
        <v>0</v>
      </c>
      <c r="P4975" s="26">
        <f>0.00014*M4975</f>
        <v>0</v>
      </c>
      <c r="Q4975" s="30"/>
      <c r="R4975" s="22" t="s">
        <v>17592</v>
      </c>
      <c r="S4975" s="22"/>
      <c r="T4975" s="21" t="str">
        <f>HYPERLINK("https://miland.ru/api/getInfo/image/e3aacea9-19b4-11e9-a21c-ac1f6b442184")</f>
        <v>https://miland.ru/api/getInfo/image/e3aacea9-19b4-11e9-a21c-ac1f6b442184</v>
      </c>
      <c r="U4975" s="21"/>
      <c r="V4975" s="21" t="s">
        <v>11948</v>
      </c>
      <c r="W4975" s="21" t="s">
        <v>1630</v>
      </c>
      <c r="X4975" s="21"/>
      <c r="Y4975" s="21" t="s">
        <v>697</v>
      </c>
      <c r="Z4975" s="21"/>
      <c r="AA4975" s="21" t="str">
        <f>HYPERLINK("https://miland.ru/api/getInfo/item/e3aacea9-19b4-11e9-a21c-ac1f6b442184")</f>
        <v>https://miland.ru/api/getInfo/item/e3aacea9-19b4-11e9-a21c-ac1f6b442184</v>
      </c>
      <c r="AB4975" s="21" t="s">
        <v>42</v>
      </c>
      <c r="AC4975" s="21" t="s">
        <v>17572</v>
      </c>
      <c r="AD4975" s="21"/>
    </row>
    <row r="4976" spans="2:31" s="1" customFormat="1" ht="96.3" customHeight="1" outlineLevel="4">
      <c r="B4976" s="57">
        <v>4014</v>
      </c>
      <c r="C4976" s="21" t="s">
        <v>17593</v>
      </c>
      <c r="D4976" s="72" t="s">
        <v>17594</v>
      </c>
      <c r="E4976" s="72"/>
      <c r="F4976" s="72"/>
      <c r="G4976" s="72"/>
      <c r="H4976" s="22" t="s">
        <v>17595</v>
      </c>
      <c r="I4976" s="23" t="s">
        <v>36</v>
      </c>
      <c r="J4976" s="22"/>
      <c r="K4976" s="20">
        <v>12</v>
      </c>
      <c r="L4976" s="24">
        <v>48.83</v>
      </c>
      <c r="M4976" s="11"/>
      <c r="N4976" s="22">
        <f t="shared" si="255"/>
        <v>0</v>
      </c>
      <c r="O4976" s="25">
        <f>0.017*M4976</f>
        <v>0</v>
      </c>
      <c r="P4976" s="26">
        <f>0.00015*M4976</f>
        <v>0</v>
      </c>
      <c r="Q4976" s="30"/>
      <c r="R4976" s="22" t="s">
        <v>17596</v>
      </c>
      <c r="S4976" s="22"/>
      <c r="T4976" s="21" t="str">
        <f>HYPERLINK("https://miland.ru/api/getInfo/image/079d6abf-19b5-11e9-a21c-ac1f6b442184")</f>
        <v>https://miland.ru/api/getInfo/image/079d6abf-19b5-11e9-a21c-ac1f6b442184</v>
      </c>
      <c r="U4976" s="21"/>
      <c r="V4976" s="21" t="s">
        <v>11948</v>
      </c>
      <c r="W4976" s="21" t="s">
        <v>1630</v>
      </c>
      <c r="X4976" s="21"/>
      <c r="Y4976" s="21" t="s">
        <v>697</v>
      </c>
      <c r="Z4976" s="21"/>
      <c r="AA4976" s="21" t="str">
        <f>HYPERLINK("https://miland.ru/api/getInfo/item/079d6abf-19b5-11e9-a21c-ac1f6b442184")</f>
        <v>https://miland.ru/api/getInfo/item/079d6abf-19b5-11e9-a21c-ac1f6b442184</v>
      </c>
      <c r="AB4976" s="21" t="s">
        <v>42</v>
      </c>
      <c r="AC4976" s="21" t="s">
        <v>17572</v>
      </c>
      <c r="AD4976" s="21"/>
    </row>
    <row r="4977" spans="2:31" s="1" customFormat="1" ht="96.3" customHeight="1" outlineLevel="4">
      <c r="B4977" s="57">
        <v>4015</v>
      </c>
      <c r="C4977" s="21" t="s">
        <v>17597</v>
      </c>
      <c r="D4977" s="72" t="s">
        <v>17598</v>
      </c>
      <c r="E4977" s="72"/>
      <c r="F4977" s="72"/>
      <c r="G4977" s="72"/>
      <c r="H4977" s="22" t="s">
        <v>17599</v>
      </c>
      <c r="I4977" s="23" t="s">
        <v>36</v>
      </c>
      <c r="J4977" s="22"/>
      <c r="K4977" s="20">
        <v>12</v>
      </c>
      <c r="L4977" s="24">
        <v>48.83</v>
      </c>
      <c r="M4977" s="11"/>
      <c r="N4977" s="22">
        <f t="shared" si="255"/>
        <v>0</v>
      </c>
      <c r="O4977" s="28">
        <f>0.02*M4977</f>
        <v>0</v>
      </c>
      <c r="P4977" s="26">
        <f>0.00009*M4977</f>
        <v>0</v>
      </c>
      <c r="Q4977" s="30"/>
      <c r="R4977" s="22" t="s">
        <v>17600</v>
      </c>
      <c r="S4977" s="22"/>
      <c r="T4977" s="21" t="str">
        <f>HYPERLINK("https://miland.ru/api/getInfo/image/2f63e1c0-19b5-11e9-a21c-ac1f6b442184")</f>
        <v>https://miland.ru/api/getInfo/image/2f63e1c0-19b5-11e9-a21c-ac1f6b442184</v>
      </c>
      <c r="U4977" s="21"/>
      <c r="V4977" s="21" t="s">
        <v>11948</v>
      </c>
      <c r="W4977" s="21" t="s">
        <v>1630</v>
      </c>
      <c r="X4977" s="21"/>
      <c r="Y4977" s="21" t="s">
        <v>697</v>
      </c>
      <c r="Z4977" s="21"/>
      <c r="AA4977" s="21" t="str">
        <f>HYPERLINK("https://miland.ru/api/getInfo/item/2f63e1c0-19b5-11e9-a21c-ac1f6b442184")</f>
        <v>https://miland.ru/api/getInfo/item/2f63e1c0-19b5-11e9-a21c-ac1f6b442184</v>
      </c>
      <c r="AB4977" s="21" t="s">
        <v>42</v>
      </c>
      <c r="AC4977" s="21" t="s">
        <v>17572</v>
      </c>
      <c r="AD4977" s="21"/>
    </row>
    <row r="4978" spans="2:31" s="1" customFormat="1" ht="96.3" customHeight="1" outlineLevel="4">
      <c r="B4978" s="57">
        <v>4016</v>
      </c>
      <c r="C4978" s="21" t="s">
        <v>17601</v>
      </c>
      <c r="D4978" s="72" t="s">
        <v>17602</v>
      </c>
      <c r="E4978" s="72"/>
      <c r="F4978" s="72"/>
      <c r="G4978" s="72"/>
      <c r="H4978" s="22" t="s">
        <v>17603</v>
      </c>
      <c r="I4978" s="27">
        <v>346</v>
      </c>
      <c r="J4978" s="22"/>
      <c r="K4978" s="20">
        <v>12</v>
      </c>
      <c r="L4978" s="24">
        <v>48.83</v>
      </c>
      <c r="M4978" s="11"/>
      <c r="N4978" s="22">
        <f t="shared" si="255"/>
        <v>0</v>
      </c>
      <c r="O4978" s="28">
        <f>0.02*M4978</f>
        <v>0</v>
      </c>
      <c r="P4978" s="26">
        <f>0.00009*M4978</f>
        <v>0</v>
      </c>
      <c r="Q4978" s="30"/>
      <c r="R4978" s="22" t="s">
        <v>17604</v>
      </c>
      <c r="S4978" s="22"/>
      <c r="T4978" s="21" t="str">
        <f>HYPERLINK("https://miland.ru/api/getInfo/image/533362e9-19b5-11e9-a21c-ac1f6b442184")</f>
        <v>https://miland.ru/api/getInfo/image/533362e9-19b5-11e9-a21c-ac1f6b442184</v>
      </c>
      <c r="U4978" s="21"/>
      <c r="V4978" s="21" t="s">
        <v>11948</v>
      </c>
      <c r="W4978" s="21" t="s">
        <v>1630</v>
      </c>
      <c r="X4978" s="21"/>
      <c r="Y4978" s="21" t="s">
        <v>697</v>
      </c>
      <c r="Z4978" s="21"/>
      <c r="AA4978" s="21" t="str">
        <f>HYPERLINK("https://miland.ru/api/getInfo/item/533362e9-19b5-11e9-a21c-ac1f6b442184")</f>
        <v>https://miland.ru/api/getInfo/item/533362e9-19b5-11e9-a21c-ac1f6b442184</v>
      </c>
      <c r="AB4978" s="21" t="s">
        <v>42</v>
      </c>
      <c r="AC4978" s="21" t="s">
        <v>17572</v>
      </c>
      <c r="AD4978" s="21"/>
    </row>
    <row r="4979" spans="2:31" s="1" customFormat="1" ht="96.3" customHeight="1" outlineLevel="4">
      <c r="B4979" s="57">
        <v>4017</v>
      </c>
      <c r="C4979" s="21" t="s">
        <v>17605</v>
      </c>
      <c r="D4979" s="72" t="s">
        <v>17606</v>
      </c>
      <c r="E4979" s="72"/>
      <c r="F4979" s="72"/>
      <c r="G4979" s="72"/>
      <c r="H4979" s="22" t="s">
        <v>17607</v>
      </c>
      <c r="I4979" s="23" t="s">
        <v>36</v>
      </c>
      <c r="J4979" s="22"/>
      <c r="K4979" s="20">
        <v>12</v>
      </c>
      <c r="L4979" s="24">
        <v>48.83</v>
      </c>
      <c r="M4979" s="11"/>
      <c r="N4979" s="22">
        <f t="shared" si="255"/>
        <v>0</v>
      </c>
      <c r="O4979" s="28">
        <f>0.02*M4979</f>
        <v>0</v>
      </c>
      <c r="P4979" s="26">
        <f>0.00009*M4979</f>
        <v>0</v>
      </c>
      <c r="Q4979" s="30"/>
      <c r="R4979" s="22" t="s">
        <v>17608</v>
      </c>
      <c r="S4979" s="22"/>
      <c r="T4979" s="21" t="str">
        <f>HYPERLINK("https://miland.ru/api/getInfo/image/776b990e-19b5-11e9-a21c-ac1f6b442184")</f>
        <v>https://miland.ru/api/getInfo/image/776b990e-19b5-11e9-a21c-ac1f6b442184</v>
      </c>
      <c r="U4979" s="21"/>
      <c r="V4979" s="21" t="s">
        <v>11948</v>
      </c>
      <c r="W4979" s="21" t="s">
        <v>1630</v>
      </c>
      <c r="X4979" s="21"/>
      <c r="Y4979" s="21" t="s">
        <v>697</v>
      </c>
      <c r="Z4979" s="21"/>
      <c r="AA4979" s="21" t="str">
        <f>HYPERLINK("https://miland.ru/api/getInfo/item/776b990e-19b5-11e9-a21c-ac1f6b442184")</f>
        <v>https://miland.ru/api/getInfo/item/776b990e-19b5-11e9-a21c-ac1f6b442184</v>
      </c>
      <c r="AB4979" s="21" t="s">
        <v>42</v>
      </c>
      <c r="AC4979" s="21" t="s">
        <v>17572</v>
      </c>
      <c r="AD4979" s="21"/>
    </row>
    <row r="4980" spans="2:31" s="1" customFormat="1" ht="96.3" customHeight="1" outlineLevel="4">
      <c r="B4980" s="59">
        <v>4018</v>
      </c>
      <c r="C4980" s="35" t="s">
        <v>17609</v>
      </c>
      <c r="D4980" s="73" t="s">
        <v>17610</v>
      </c>
      <c r="E4980" s="73"/>
      <c r="F4980" s="73"/>
      <c r="G4980" s="73"/>
      <c r="H4980" s="36" t="s">
        <v>17611</v>
      </c>
      <c r="I4980" s="56" t="s">
        <v>36</v>
      </c>
      <c r="J4980" s="36"/>
      <c r="K4980" s="34">
        <v>7</v>
      </c>
      <c r="L4980" s="41">
        <v>33.119999999999997</v>
      </c>
      <c r="M4980" s="11"/>
      <c r="N4980" s="36">
        <f t="shared" si="255"/>
        <v>0</v>
      </c>
      <c r="O4980" s="47">
        <f t="shared" ref="O4980:O4989" si="258">0.03*M4980</f>
        <v>0</v>
      </c>
      <c r="P4980" s="43">
        <f t="shared" ref="P4980:P4989" si="259">0.00019*M4980</f>
        <v>0</v>
      </c>
      <c r="Q4980" s="50"/>
      <c r="R4980" s="36" t="s">
        <v>17612</v>
      </c>
      <c r="S4980" s="36" t="s">
        <v>435</v>
      </c>
      <c r="T4980" s="35" t="str">
        <f>HYPERLINK("https://miland.ru/api/getInfo/image/d218bb15-1a2f-11e9-a21c-ac1f6b442184")</f>
        <v>https://miland.ru/api/getInfo/image/d218bb15-1a2f-11e9-a21c-ac1f6b442184</v>
      </c>
      <c r="U4980" s="35"/>
      <c r="V4980" s="35" t="s">
        <v>11948</v>
      </c>
      <c r="W4980" s="35" t="s">
        <v>1630</v>
      </c>
      <c r="X4980" s="35"/>
      <c r="Y4980" s="35" t="s">
        <v>697</v>
      </c>
      <c r="Z4980" s="35"/>
      <c r="AA4980" s="35" t="str">
        <f>HYPERLINK("https://miland.ru/api/getInfo/item/d218bb15-1a2f-11e9-a21c-ac1f6b442184")</f>
        <v>https://miland.ru/api/getInfo/item/d218bb15-1a2f-11e9-a21c-ac1f6b442184</v>
      </c>
      <c r="AB4980" s="35" t="s">
        <v>42</v>
      </c>
      <c r="AC4980" s="35" t="s">
        <v>17613</v>
      </c>
      <c r="AD4980" s="35"/>
      <c r="AE4980" s="52" t="s">
        <v>1251</v>
      </c>
    </row>
    <row r="4981" spans="2:31" s="1" customFormat="1" ht="96.3" customHeight="1" outlineLevel="4">
      <c r="B4981" s="59">
        <v>4019</v>
      </c>
      <c r="C4981" s="35" t="s">
        <v>17614</v>
      </c>
      <c r="D4981" s="73" t="s">
        <v>17615</v>
      </c>
      <c r="E4981" s="73"/>
      <c r="F4981" s="73"/>
      <c r="G4981" s="73"/>
      <c r="H4981" s="36" t="s">
        <v>17616</v>
      </c>
      <c r="I4981" s="56" t="s">
        <v>36</v>
      </c>
      <c r="J4981" s="36"/>
      <c r="K4981" s="34">
        <v>7</v>
      </c>
      <c r="L4981" s="41">
        <v>33.119999999999997</v>
      </c>
      <c r="M4981" s="11"/>
      <c r="N4981" s="36">
        <f t="shared" si="255"/>
        <v>0</v>
      </c>
      <c r="O4981" s="47">
        <f t="shared" si="258"/>
        <v>0</v>
      </c>
      <c r="P4981" s="43">
        <f t="shared" si="259"/>
        <v>0</v>
      </c>
      <c r="Q4981" s="50"/>
      <c r="R4981" s="36" t="s">
        <v>17617</v>
      </c>
      <c r="S4981" s="36" t="s">
        <v>435</v>
      </c>
      <c r="T4981" s="35" t="str">
        <f>HYPERLINK("https://miland.ru/api/getInfo/image/e93dfd97-1a2f-11e9-a21c-ac1f6b442184")</f>
        <v>https://miland.ru/api/getInfo/image/e93dfd97-1a2f-11e9-a21c-ac1f6b442184</v>
      </c>
      <c r="U4981" s="35"/>
      <c r="V4981" s="35" t="s">
        <v>11948</v>
      </c>
      <c r="W4981" s="35" t="s">
        <v>1630</v>
      </c>
      <c r="X4981" s="35"/>
      <c r="Y4981" s="35" t="s">
        <v>697</v>
      </c>
      <c r="Z4981" s="35"/>
      <c r="AA4981" s="35" t="str">
        <f>HYPERLINK("https://miland.ru/api/getInfo/item/e93dfd97-1a2f-11e9-a21c-ac1f6b442184")</f>
        <v>https://miland.ru/api/getInfo/item/e93dfd97-1a2f-11e9-a21c-ac1f6b442184</v>
      </c>
      <c r="AB4981" s="35" t="s">
        <v>42</v>
      </c>
      <c r="AC4981" s="35" t="s">
        <v>17613</v>
      </c>
      <c r="AD4981" s="35"/>
      <c r="AE4981" s="52" t="s">
        <v>1251</v>
      </c>
    </row>
    <row r="4982" spans="2:31" s="1" customFormat="1" ht="96.3" customHeight="1" outlineLevel="4">
      <c r="B4982" s="59">
        <v>4020</v>
      </c>
      <c r="C4982" s="35" t="s">
        <v>17618</v>
      </c>
      <c r="D4982" s="73" t="s">
        <v>17619</v>
      </c>
      <c r="E4982" s="73"/>
      <c r="F4982" s="73"/>
      <c r="G4982" s="73"/>
      <c r="H4982" s="36" t="s">
        <v>17620</v>
      </c>
      <c r="I4982" s="56" t="s">
        <v>36</v>
      </c>
      <c r="J4982" s="36"/>
      <c r="K4982" s="34">
        <v>7</v>
      </c>
      <c r="L4982" s="41">
        <v>33.119999999999997</v>
      </c>
      <c r="M4982" s="11"/>
      <c r="N4982" s="36">
        <f t="shared" si="255"/>
        <v>0</v>
      </c>
      <c r="O4982" s="47">
        <f t="shared" si="258"/>
        <v>0</v>
      </c>
      <c r="P4982" s="43">
        <f t="shared" si="259"/>
        <v>0</v>
      </c>
      <c r="Q4982" s="50"/>
      <c r="R4982" s="36" t="s">
        <v>17621</v>
      </c>
      <c r="S4982" s="36" t="s">
        <v>435</v>
      </c>
      <c r="T4982" s="35" t="str">
        <f>HYPERLINK("https://miland.ru/api/getInfo/image/fdbe1499-1a2f-11e9-a21c-ac1f6b442184")</f>
        <v>https://miland.ru/api/getInfo/image/fdbe1499-1a2f-11e9-a21c-ac1f6b442184</v>
      </c>
      <c r="U4982" s="35"/>
      <c r="V4982" s="35" t="s">
        <v>11948</v>
      </c>
      <c r="W4982" s="35" t="s">
        <v>1630</v>
      </c>
      <c r="X4982" s="35"/>
      <c r="Y4982" s="35" t="s">
        <v>697</v>
      </c>
      <c r="Z4982" s="35"/>
      <c r="AA4982" s="35" t="str">
        <f>HYPERLINK("https://miland.ru/api/getInfo/item/fdbe1499-1a2f-11e9-a21c-ac1f6b442184")</f>
        <v>https://miland.ru/api/getInfo/item/fdbe1499-1a2f-11e9-a21c-ac1f6b442184</v>
      </c>
      <c r="AB4982" s="35" t="s">
        <v>42</v>
      </c>
      <c r="AC4982" s="35" t="s">
        <v>17613</v>
      </c>
      <c r="AD4982" s="35"/>
      <c r="AE4982" s="52" t="s">
        <v>1251</v>
      </c>
    </row>
    <row r="4983" spans="2:31" s="1" customFormat="1" ht="96.3" customHeight="1" outlineLevel="4">
      <c r="B4983" s="59">
        <v>4021</v>
      </c>
      <c r="C4983" s="35" t="s">
        <v>17622</v>
      </c>
      <c r="D4983" s="73" t="s">
        <v>17623</v>
      </c>
      <c r="E4983" s="73"/>
      <c r="F4983" s="73"/>
      <c r="G4983" s="73"/>
      <c r="H4983" s="36" t="s">
        <v>17624</v>
      </c>
      <c r="I4983" s="56" t="s">
        <v>36</v>
      </c>
      <c r="J4983" s="36"/>
      <c r="K4983" s="34">
        <v>7</v>
      </c>
      <c r="L4983" s="41">
        <v>33.119999999999997</v>
      </c>
      <c r="M4983" s="11"/>
      <c r="N4983" s="36">
        <f t="shared" si="255"/>
        <v>0</v>
      </c>
      <c r="O4983" s="47">
        <f t="shared" si="258"/>
        <v>0</v>
      </c>
      <c r="P4983" s="43">
        <f t="shared" si="259"/>
        <v>0</v>
      </c>
      <c r="Q4983" s="50"/>
      <c r="R4983" s="36" t="s">
        <v>17625</v>
      </c>
      <c r="S4983" s="36" t="s">
        <v>435</v>
      </c>
      <c r="T4983" s="35" t="str">
        <f>HYPERLINK("https://miland.ru/api/getInfo/image/17aeaa8e-1a30-11e9-a21c-ac1f6b442184")</f>
        <v>https://miland.ru/api/getInfo/image/17aeaa8e-1a30-11e9-a21c-ac1f6b442184</v>
      </c>
      <c r="U4983" s="35"/>
      <c r="V4983" s="35" t="s">
        <v>11948</v>
      </c>
      <c r="W4983" s="35" t="s">
        <v>1630</v>
      </c>
      <c r="X4983" s="35"/>
      <c r="Y4983" s="35" t="s">
        <v>697</v>
      </c>
      <c r="Z4983" s="35"/>
      <c r="AA4983" s="35" t="str">
        <f>HYPERLINK("https://miland.ru/api/getInfo/item/17aeaa8e-1a30-11e9-a21c-ac1f6b442184")</f>
        <v>https://miland.ru/api/getInfo/item/17aeaa8e-1a30-11e9-a21c-ac1f6b442184</v>
      </c>
      <c r="AB4983" s="35" t="s">
        <v>42</v>
      </c>
      <c r="AC4983" s="35" t="s">
        <v>17613</v>
      </c>
      <c r="AD4983" s="35"/>
      <c r="AE4983" s="52" t="s">
        <v>1251</v>
      </c>
    </row>
    <row r="4984" spans="2:31" s="1" customFormat="1" ht="96.3" customHeight="1" outlineLevel="4">
      <c r="B4984" s="59">
        <v>4022</v>
      </c>
      <c r="C4984" s="35" t="s">
        <v>17626</v>
      </c>
      <c r="D4984" s="73" t="s">
        <v>17627</v>
      </c>
      <c r="E4984" s="73"/>
      <c r="F4984" s="73"/>
      <c r="G4984" s="73"/>
      <c r="H4984" s="36" t="s">
        <v>17628</v>
      </c>
      <c r="I4984" s="56" t="s">
        <v>36</v>
      </c>
      <c r="J4984" s="36"/>
      <c r="K4984" s="34">
        <v>7</v>
      </c>
      <c r="L4984" s="41">
        <v>33.119999999999997</v>
      </c>
      <c r="M4984" s="11"/>
      <c r="N4984" s="36">
        <f t="shared" si="255"/>
        <v>0</v>
      </c>
      <c r="O4984" s="47">
        <f t="shared" si="258"/>
        <v>0</v>
      </c>
      <c r="P4984" s="43">
        <f t="shared" si="259"/>
        <v>0</v>
      </c>
      <c r="Q4984" s="50"/>
      <c r="R4984" s="36" t="s">
        <v>17629</v>
      </c>
      <c r="S4984" s="36" t="s">
        <v>435</v>
      </c>
      <c r="T4984" s="35" t="str">
        <f>HYPERLINK("https://miland.ru/api/getInfo/image/2ed18b91-1a30-11e9-a21c-ac1f6b442184")</f>
        <v>https://miland.ru/api/getInfo/image/2ed18b91-1a30-11e9-a21c-ac1f6b442184</v>
      </c>
      <c r="U4984" s="35"/>
      <c r="V4984" s="35" t="s">
        <v>11948</v>
      </c>
      <c r="W4984" s="35" t="s">
        <v>1630</v>
      </c>
      <c r="X4984" s="35"/>
      <c r="Y4984" s="35" t="s">
        <v>697</v>
      </c>
      <c r="Z4984" s="35"/>
      <c r="AA4984" s="35" t="str">
        <f>HYPERLINK("https://miland.ru/api/getInfo/item/2ed18b91-1a30-11e9-a21c-ac1f6b442184")</f>
        <v>https://miland.ru/api/getInfo/item/2ed18b91-1a30-11e9-a21c-ac1f6b442184</v>
      </c>
      <c r="AB4984" s="35" t="s">
        <v>42</v>
      </c>
      <c r="AC4984" s="35" t="s">
        <v>17613</v>
      </c>
      <c r="AD4984" s="35"/>
      <c r="AE4984" s="52" t="s">
        <v>1251</v>
      </c>
    </row>
    <row r="4985" spans="2:31" s="1" customFormat="1" ht="96.3" customHeight="1" outlineLevel="4">
      <c r="B4985" s="59">
        <v>4023</v>
      </c>
      <c r="C4985" s="35" t="s">
        <v>17630</v>
      </c>
      <c r="D4985" s="73" t="s">
        <v>17631</v>
      </c>
      <c r="E4985" s="73"/>
      <c r="F4985" s="73"/>
      <c r="G4985" s="73"/>
      <c r="H4985" s="36" t="s">
        <v>17632</v>
      </c>
      <c r="I4985" s="56" t="s">
        <v>36</v>
      </c>
      <c r="J4985" s="36"/>
      <c r="K4985" s="34">
        <v>7</v>
      </c>
      <c r="L4985" s="41">
        <v>33.119999999999997</v>
      </c>
      <c r="M4985" s="11"/>
      <c r="N4985" s="36">
        <f t="shared" si="255"/>
        <v>0</v>
      </c>
      <c r="O4985" s="47">
        <f t="shared" si="258"/>
        <v>0</v>
      </c>
      <c r="P4985" s="43">
        <f t="shared" si="259"/>
        <v>0</v>
      </c>
      <c r="Q4985" s="50"/>
      <c r="R4985" s="36" t="s">
        <v>17633</v>
      </c>
      <c r="S4985" s="36" t="s">
        <v>435</v>
      </c>
      <c r="T4985" s="35" t="str">
        <f>HYPERLINK("https://miland.ru/api/getInfo/image/467791ba-1a30-11e9-a21c-ac1f6b442184")</f>
        <v>https://miland.ru/api/getInfo/image/467791ba-1a30-11e9-a21c-ac1f6b442184</v>
      </c>
      <c r="U4985" s="35"/>
      <c r="V4985" s="35" t="s">
        <v>11948</v>
      </c>
      <c r="W4985" s="35" t="s">
        <v>1630</v>
      </c>
      <c r="X4985" s="35"/>
      <c r="Y4985" s="35" t="s">
        <v>697</v>
      </c>
      <c r="Z4985" s="35"/>
      <c r="AA4985" s="35" t="str">
        <f>HYPERLINK("https://miland.ru/api/getInfo/item/467791ba-1a30-11e9-a21c-ac1f6b442184")</f>
        <v>https://miland.ru/api/getInfo/item/467791ba-1a30-11e9-a21c-ac1f6b442184</v>
      </c>
      <c r="AB4985" s="35" t="s">
        <v>42</v>
      </c>
      <c r="AC4985" s="35" t="s">
        <v>17613</v>
      </c>
      <c r="AD4985" s="35"/>
      <c r="AE4985" s="52" t="s">
        <v>1251</v>
      </c>
    </row>
    <row r="4986" spans="2:31" s="1" customFormat="1" ht="96.3" customHeight="1" outlineLevel="4">
      <c r="B4986" s="59">
        <v>4024</v>
      </c>
      <c r="C4986" s="35" t="s">
        <v>17634</v>
      </c>
      <c r="D4986" s="73" t="s">
        <v>17635</v>
      </c>
      <c r="E4986" s="73"/>
      <c r="F4986" s="73"/>
      <c r="G4986" s="73"/>
      <c r="H4986" s="36" t="s">
        <v>17636</v>
      </c>
      <c r="I4986" s="56" t="s">
        <v>36</v>
      </c>
      <c r="J4986" s="36"/>
      <c r="K4986" s="34">
        <v>7</v>
      </c>
      <c r="L4986" s="41">
        <v>33.119999999999997</v>
      </c>
      <c r="M4986" s="11"/>
      <c r="N4986" s="36">
        <f t="shared" ref="N4986:N5049" si="260">L4986*M4986</f>
        <v>0</v>
      </c>
      <c r="O4986" s="47">
        <f t="shared" si="258"/>
        <v>0</v>
      </c>
      <c r="P4986" s="43">
        <f t="shared" si="259"/>
        <v>0</v>
      </c>
      <c r="Q4986" s="50"/>
      <c r="R4986" s="36" t="s">
        <v>17637</v>
      </c>
      <c r="S4986" s="36" t="s">
        <v>435</v>
      </c>
      <c r="T4986" s="35" t="str">
        <f>HYPERLINK("https://miland.ru/api/getInfo/image/5c3e51fc-1a30-11e9-a21c-ac1f6b442184")</f>
        <v>https://miland.ru/api/getInfo/image/5c3e51fc-1a30-11e9-a21c-ac1f6b442184</v>
      </c>
      <c r="U4986" s="35"/>
      <c r="V4986" s="35" t="s">
        <v>11948</v>
      </c>
      <c r="W4986" s="35" t="s">
        <v>1630</v>
      </c>
      <c r="X4986" s="35"/>
      <c r="Y4986" s="35" t="s">
        <v>697</v>
      </c>
      <c r="Z4986" s="35"/>
      <c r="AA4986" s="35" t="str">
        <f>HYPERLINK("https://miland.ru/api/getInfo/item/5c3e51fc-1a30-11e9-a21c-ac1f6b442184")</f>
        <v>https://miland.ru/api/getInfo/item/5c3e51fc-1a30-11e9-a21c-ac1f6b442184</v>
      </c>
      <c r="AB4986" s="35" t="s">
        <v>42</v>
      </c>
      <c r="AC4986" s="35" t="s">
        <v>17613</v>
      </c>
      <c r="AD4986" s="35"/>
      <c r="AE4986" s="52" t="s">
        <v>1251</v>
      </c>
    </row>
    <row r="4987" spans="2:31" s="1" customFormat="1" ht="96.3" customHeight="1" outlineLevel="4">
      <c r="B4987" s="59">
        <v>4025</v>
      </c>
      <c r="C4987" s="35" t="s">
        <v>17638</v>
      </c>
      <c r="D4987" s="73" t="s">
        <v>17639</v>
      </c>
      <c r="E4987" s="73"/>
      <c r="F4987" s="73"/>
      <c r="G4987" s="73"/>
      <c r="H4987" s="36" t="s">
        <v>17640</v>
      </c>
      <c r="I4987" s="56" t="s">
        <v>36</v>
      </c>
      <c r="J4987" s="36"/>
      <c r="K4987" s="34">
        <v>7</v>
      </c>
      <c r="L4987" s="41">
        <v>33.119999999999997</v>
      </c>
      <c r="M4987" s="11"/>
      <c r="N4987" s="36">
        <f t="shared" si="260"/>
        <v>0</v>
      </c>
      <c r="O4987" s="47">
        <f t="shared" si="258"/>
        <v>0</v>
      </c>
      <c r="P4987" s="43">
        <f t="shared" si="259"/>
        <v>0</v>
      </c>
      <c r="Q4987" s="50"/>
      <c r="R4987" s="36" t="s">
        <v>17641</v>
      </c>
      <c r="S4987" s="36" t="s">
        <v>435</v>
      </c>
      <c r="T4987" s="35" t="str">
        <f>HYPERLINK("https://miland.ru/api/getInfo/image/747a8f25-1a30-11e9-a21c-ac1f6b442184")</f>
        <v>https://miland.ru/api/getInfo/image/747a8f25-1a30-11e9-a21c-ac1f6b442184</v>
      </c>
      <c r="U4987" s="35"/>
      <c r="V4987" s="35" t="s">
        <v>11948</v>
      </c>
      <c r="W4987" s="35" t="s">
        <v>1630</v>
      </c>
      <c r="X4987" s="35"/>
      <c r="Y4987" s="35" t="s">
        <v>697</v>
      </c>
      <c r="Z4987" s="35"/>
      <c r="AA4987" s="35" t="str">
        <f>HYPERLINK("https://miland.ru/api/getInfo/item/747a8f25-1a30-11e9-a21c-ac1f6b442184")</f>
        <v>https://miland.ru/api/getInfo/item/747a8f25-1a30-11e9-a21c-ac1f6b442184</v>
      </c>
      <c r="AB4987" s="35" t="s">
        <v>42</v>
      </c>
      <c r="AC4987" s="35" t="s">
        <v>17613</v>
      </c>
      <c r="AD4987" s="35"/>
      <c r="AE4987" s="52" t="s">
        <v>1251</v>
      </c>
    </row>
    <row r="4988" spans="2:31" s="1" customFormat="1" ht="96.3" customHeight="1" outlineLevel="4">
      <c r="B4988" s="59">
        <v>4026</v>
      </c>
      <c r="C4988" s="35" t="s">
        <v>17642</v>
      </c>
      <c r="D4988" s="73" t="s">
        <v>17643</v>
      </c>
      <c r="E4988" s="73"/>
      <c r="F4988" s="73"/>
      <c r="G4988" s="73"/>
      <c r="H4988" s="36" t="s">
        <v>17644</v>
      </c>
      <c r="I4988" s="56" t="s">
        <v>36</v>
      </c>
      <c r="J4988" s="36"/>
      <c r="K4988" s="34">
        <v>7</v>
      </c>
      <c r="L4988" s="41">
        <v>33.119999999999997</v>
      </c>
      <c r="M4988" s="11"/>
      <c r="N4988" s="36">
        <f t="shared" si="260"/>
        <v>0</v>
      </c>
      <c r="O4988" s="47">
        <f t="shared" si="258"/>
        <v>0</v>
      </c>
      <c r="P4988" s="43">
        <f t="shared" si="259"/>
        <v>0</v>
      </c>
      <c r="Q4988" s="50"/>
      <c r="R4988" s="36" t="s">
        <v>17645</v>
      </c>
      <c r="S4988" s="36" t="s">
        <v>435</v>
      </c>
      <c r="T4988" s="35" t="str">
        <f>HYPERLINK("https://miland.ru/api/getInfo/image/93456d9f-1a30-11e9-a21c-ac1f6b442184")</f>
        <v>https://miland.ru/api/getInfo/image/93456d9f-1a30-11e9-a21c-ac1f6b442184</v>
      </c>
      <c r="U4988" s="35"/>
      <c r="V4988" s="35" t="s">
        <v>11948</v>
      </c>
      <c r="W4988" s="35" t="s">
        <v>1630</v>
      </c>
      <c r="X4988" s="35"/>
      <c r="Y4988" s="35" t="s">
        <v>697</v>
      </c>
      <c r="Z4988" s="35"/>
      <c r="AA4988" s="35" t="str">
        <f>HYPERLINK("https://miland.ru/api/getInfo/item/93456d9f-1a30-11e9-a21c-ac1f6b442184")</f>
        <v>https://miland.ru/api/getInfo/item/93456d9f-1a30-11e9-a21c-ac1f6b442184</v>
      </c>
      <c r="AB4988" s="35" t="s">
        <v>42</v>
      </c>
      <c r="AC4988" s="35" t="s">
        <v>17613</v>
      </c>
      <c r="AD4988" s="35"/>
      <c r="AE4988" s="52" t="s">
        <v>1251</v>
      </c>
    </row>
    <row r="4989" spans="2:31" s="1" customFormat="1" ht="96.3" customHeight="1" outlineLevel="4">
      <c r="B4989" s="59">
        <v>4027</v>
      </c>
      <c r="C4989" s="35" t="s">
        <v>17646</v>
      </c>
      <c r="D4989" s="73" t="s">
        <v>17647</v>
      </c>
      <c r="E4989" s="73"/>
      <c r="F4989" s="73"/>
      <c r="G4989" s="73"/>
      <c r="H4989" s="36" t="s">
        <v>17648</v>
      </c>
      <c r="I4989" s="56" t="s">
        <v>36</v>
      </c>
      <c r="J4989" s="36"/>
      <c r="K4989" s="34">
        <v>7</v>
      </c>
      <c r="L4989" s="41">
        <v>33.119999999999997</v>
      </c>
      <c r="M4989" s="11"/>
      <c r="N4989" s="36">
        <f t="shared" si="260"/>
        <v>0</v>
      </c>
      <c r="O4989" s="47">
        <f t="shared" si="258"/>
        <v>0</v>
      </c>
      <c r="P4989" s="43">
        <f t="shared" si="259"/>
        <v>0</v>
      </c>
      <c r="Q4989" s="50"/>
      <c r="R4989" s="36" t="s">
        <v>17649</v>
      </c>
      <c r="S4989" s="36" t="s">
        <v>435</v>
      </c>
      <c r="T4989" s="35" t="str">
        <f>HYPERLINK("https://miland.ru/api/getInfo/image/abf8e31a-1a30-11e9-a21c-ac1f6b442184")</f>
        <v>https://miland.ru/api/getInfo/image/abf8e31a-1a30-11e9-a21c-ac1f6b442184</v>
      </c>
      <c r="U4989" s="35"/>
      <c r="V4989" s="35" t="s">
        <v>11948</v>
      </c>
      <c r="W4989" s="35" t="s">
        <v>1630</v>
      </c>
      <c r="X4989" s="35"/>
      <c r="Y4989" s="35" t="s">
        <v>697</v>
      </c>
      <c r="Z4989" s="35"/>
      <c r="AA4989" s="35" t="str">
        <f>HYPERLINK("https://miland.ru/api/getInfo/item/abf8e31a-1a30-11e9-a21c-ac1f6b442184")</f>
        <v>https://miland.ru/api/getInfo/item/abf8e31a-1a30-11e9-a21c-ac1f6b442184</v>
      </c>
      <c r="AB4989" s="35" t="s">
        <v>42</v>
      </c>
      <c r="AC4989" s="35" t="s">
        <v>17613</v>
      </c>
      <c r="AD4989" s="35"/>
      <c r="AE4989" s="52" t="s">
        <v>1251</v>
      </c>
    </row>
    <row r="4990" spans="2:31" s="1" customFormat="1" ht="96.3" customHeight="1" outlineLevel="4">
      <c r="B4990" s="59">
        <v>4028</v>
      </c>
      <c r="C4990" s="35" t="s">
        <v>17650</v>
      </c>
      <c r="D4990" s="73" t="s">
        <v>17651</v>
      </c>
      <c r="E4990" s="73"/>
      <c r="F4990" s="73"/>
      <c r="G4990" s="73"/>
      <c r="H4990" s="36" t="s">
        <v>17652</v>
      </c>
      <c r="I4990" s="56" t="s">
        <v>36</v>
      </c>
      <c r="J4990" s="36"/>
      <c r="K4990" s="34">
        <v>12</v>
      </c>
      <c r="L4990" s="41">
        <v>27.786666666666665</v>
      </c>
      <c r="M4990" s="11"/>
      <c r="N4990" s="36">
        <f t="shared" si="260"/>
        <v>0</v>
      </c>
      <c r="O4990" s="47">
        <f>0.01*M4990</f>
        <v>0</v>
      </c>
      <c r="P4990" s="55">
        <f>0.0001*M4990</f>
        <v>0</v>
      </c>
      <c r="Q4990" s="50"/>
      <c r="R4990" s="36" t="s">
        <v>17653</v>
      </c>
      <c r="S4990" s="36" t="s">
        <v>435</v>
      </c>
      <c r="T4990" s="35" t="str">
        <f>HYPERLINK("https://miland.ru/api/getInfo/image/3325532a-19b7-11e9-a21c-ac1f6b442184")</f>
        <v>https://miland.ru/api/getInfo/image/3325532a-19b7-11e9-a21c-ac1f6b442184</v>
      </c>
      <c r="U4990" s="35"/>
      <c r="V4990" s="35" t="s">
        <v>11948</v>
      </c>
      <c r="W4990" s="35" t="s">
        <v>1630</v>
      </c>
      <c r="X4990" s="35"/>
      <c r="Y4990" s="35" t="s">
        <v>697</v>
      </c>
      <c r="Z4990" s="35"/>
      <c r="AA4990" s="35" t="str">
        <f>HYPERLINK("https://miland.ru/api/getInfo/item/3325532a-19b7-11e9-a21c-ac1f6b442184")</f>
        <v>https://miland.ru/api/getInfo/item/3325532a-19b7-11e9-a21c-ac1f6b442184</v>
      </c>
      <c r="AB4990" s="35" t="s">
        <v>42</v>
      </c>
      <c r="AC4990" s="35" t="s">
        <v>17654</v>
      </c>
      <c r="AD4990" s="35"/>
      <c r="AE4990" s="52" t="s">
        <v>1251</v>
      </c>
    </row>
    <row r="4991" spans="2:31" s="1" customFormat="1" ht="96.3" customHeight="1" outlineLevel="4">
      <c r="B4991" s="59">
        <v>4029</v>
      </c>
      <c r="C4991" s="35" t="s">
        <v>17655</v>
      </c>
      <c r="D4991" s="73" t="s">
        <v>17656</v>
      </c>
      <c r="E4991" s="73"/>
      <c r="F4991" s="73"/>
      <c r="G4991" s="73"/>
      <c r="H4991" s="36" t="s">
        <v>17657</v>
      </c>
      <c r="I4991" s="56" t="s">
        <v>36</v>
      </c>
      <c r="J4991" s="36"/>
      <c r="K4991" s="34">
        <v>12</v>
      </c>
      <c r="L4991" s="41">
        <v>27.786666666666665</v>
      </c>
      <c r="M4991" s="11"/>
      <c r="N4991" s="36">
        <f t="shared" si="260"/>
        <v>0</v>
      </c>
      <c r="O4991" s="42">
        <f>0.014*M4991</f>
        <v>0</v>
      </c>
      <c r="P4991" s="43">
        <f>0.00022*M4991</f>
        <v>0</v>
      </c>
      <c r="Q4991" s="50"/>
      <c r="R4991" s="36" t="s">
        <v>17658</v>
      </c>
      <c r="S4991" s="36" t="s">
        <v>435</v>
      </c>
      <c r="T4991" s="35" t="str">
        <f>HYPERLINK("https://miland.ru/api/getInfo/image/5d8f5546-19b7-11e9-a21c-ac1f6b442184")</f>
        <v>https://miland.ru/api/getInfo/image/5d8f5546-19b7-11e9-a21c-ac1f6b442184</v>
      </c>
      <c r="U4991" s="35"/>
      <c r="V4991" s="35" t="s">
        <v>11948</v>
      </c>
      <c r="W4991" s="35" t="s">
        <v>1630</v>
      </c>
      <c r="X4991" s="35"/>
      <c r="Y4991" s="35" t="s">
        <v>697</v>
      </c>
      <c r="Z4991" s="35"/>
      <c r="AA4991" s="35" t="str">
        <f>HYPERLINK("https://miland.ru/api/getInfo/item/5d8f5546-19b7-11e9-a21c-ac1f6b442184")</f>
        <v>https://miland.ru/api/getInfo/item/5d8f5546-19b7-11e9-a21c-ac1f6b442184</v>
      </c>
      <c r="AB4991" s="35" t="s">
        <v>42</v>
      </c>
      <c r="AC4991" s="35" t="s">
        <v>17654</v>
      </c>
      <c r="AD4991" s="35"/>
      <c r="AE4991" s="52" t="s">
        <v>1251</v>
      </c>
    </row>
    <row r="4992" spans="2:31" s="1" customFormat="1" ht="96.3" customHeight="1" outlineLevel="4">
      <c r="B4992" s="59">
        <v>4030</v>
      </c>
      <c r="C4992" s="35" t="s">
        <v>17659</v>
      </c>
      <c r="D4992" s="73" t="s">
        <v>17660</v>
      </c>
      <c r="E4992" s="73"/>
      <c r="F4992" s="73"/>
      <c r="G4992" s="73"/>
      <c r="H4992" s="36" t="s">
        <v>17661</v>
      </c>
      <c r="I4992" s="56" t="s">
        <v>36</v>
      </c>
      <c r="J4992" s="36"/>
      <c r="K4992" s="34">
        <v>12</v>
      </c>
      <c r="L4992" s="41">
        <v>27.786666666666665</v>
      </c>
      <c r="M4992" s="11"/>
      <c r="N4992" s="36">
        <f t="shared" si="260"/>
        <v>0</v>
      </c>
      <c r="O4992" s="47">
        <f t="shared" ref="O4992:O4999" si="261">0.01*M4992</f>
        <v>0</v>
      </c>
      <c r="P4992" s="55">
        <f t="shared" ref="P4992:P4999" si="262">0.0001*M4992</f>
        <v>0</v>
      </c>
      <c r="Q4992" s="50"/>
      <c r="R4992" s="36" t="s">
        <v>17662</v>
      </c>
      <c r="S4992" s="36" t="s">
        <v>435</v>
      </c>
      <c r="T4992" s="35" t="str">
        <f>HYPERLINK("https://miland.ru/api/getInfo/image/7bc313bb-19b7-11e9-a21c-ac1f6b442184")</f>
        <v>https://miland.ru/api/getInfo/image/7bc313bb-19b7-11e9-a21c-ac1f6b442184</v>
      </c>
      <c r="U4992" s="35"/>
      <c r="V4992" s="35" t="s">
        <v>11948</v>
      </c>
      <c r="W4992" s="35" t="s">
        <v>1630</v>
      </c>
      <c r="X4992" s="35"/>
      <c r="Y4992" s="35" t="s">
        <v>697</v>
      </c>
      <c r="Z4992" s="35"/>
      <c r="AA4992" s="35" t="str">
        <f>HYPERLINK("https://miland.ru/api/getInfo/item/7bc313bb-19b7-11e9-a21c-ac1f6b442184")</f>
        <v>https://miland.ru/api/getInfo/item/7bc313bb-19b7-11e9-a21c-ac1f6b442184</v>
      </c>
      <c r="AB4992" s="35" t="s">
        <v>42</v>
      </c>
      <c r="AC4992" s="35" t="s">
        <v>17654</v>
      </c>
      <c r="AD4992" s="35"/>
      <c r="AE4992" s="52" t="s">
        <v>1251</v>
      </c>
    </row>
    <row r="4993" spans="2:31" s="1" customFormat="1" ht="96.3" customHeight="1" outlineLevel="4">
      <c r="B4993" s="59">
        <v>4031</v>
      </c>
      <c r="C4993" s="35" t="s">
        <v>17663</v>
      </c>
      <c r="D4993" s="73" t="s">
        <v>17664</v>
      </c>
      <c r="E4993" s="73"/>
      <c r="F4993" s="73"/>
      <c r="G4993" s="73"/>
      <c r="H4993" s="36" t="s">
        <v>17665</v>
      </c>
      <c r="I4993" s="56" t="s">
        <v>36</v>
      </c>
      <c r="J4993" s="36"/>
      <c r="K4993" s="34">
        <v>12</v>
      </c>
      <c r="L4993" s="41">
        <v>27.786666666666665</v>
      </c>
      <c r="M4993" s="11"/>
      <c r="N4993" s="36">
        <f t="shared" si="260"/>
        <v>0</v>
      </c>
      <c r="O4993" s="47">
        <f t="shared" si="261"/>
        <v>0</v>
      </c>
      <c r="P4993" s="55">
        <f t="shared" si="262"/>
        <v>0</v>
      </c>
      <c r="Q4993" s="50"/>
      <c r="R4993" s="36" t="s">
        <v>17666</v>
      </c>
      <c r="S4993" s="36" t="s">
        <v>435</v>
      </c>
      <c r="T4993" s="35" t="str">
        <f>HYPERLINK("https://miland.ru/api/getInfo/image/a3c1bcc3-19b7-11e9-a21c-ac1f6b442184")</f>
        <v>https://miland.ru/api/getInfo/image/a3c1bcc3-19b7-11e9-a21c-ac1f6b442184</v>
      </c>
      <c r="U4993" s="35"/>
      <c r="V4993" s="35" t="s">
        <v>11948</v>
      </c>
      <c r="W4993" s="35" t="s">
        <v>1630</v>
      </c>
      <c r="X4993" s="35"/>
      <c r="Y4993" s="35" t="s">
        <v>697</v>
      </c>
      <c r="Z4993" s="35"/>
      <c r="AA4993" s="35" t="str">
        <f>HYPERLINK("https://miland.ru/api/getInfo/item/a3c1bcc3-19b7-11e9-a21c-ac1f6b442184")</f>
        <v>https://miland.ru/api/getInfo/item/a3c1bcc3-19b7-11e9-a21c-ac1f6b442184</v>
      </c>
      <c r="AB4993" s="35" t="s">
        <v>42</v>
      </c>
      <c r="AC4993" s="35" t="s">
        <v>17654</v>
      </c>
      <c r="AD4993" s="35"/>
      <c r="AE4993" s="52" t="s">
        <v>1251</v>
      </c>
    </row>
    <row r="4994" spans="2:31" s="1" customFormat="1" ht="96.3" customHeight="1" outlineLevel="4">
      <c r="B4994" s="59">
        <v>4032</v>
      </c>
      <c r="C4994" s="35" t="s">
        <v>17667</v>
      </c>
      <c r="D4994" s="73" t="s">
        <v>17668</v>
      </c>
      <c r="E4994" s="73"/>
      <c r="F4994" s="73"/>
      <c r="G4994" s="73"/>
      <c r="H4994" s="36" t="s">
        <v>17669</v>
      </c>
      <c r="I4994" s="56" t="s">
        <v>36</v>
      </c>
      <c r="J4994" s="36"/>
      <c r="K4994" s="34">
        <v>12</v>
      </c>
      <c r="L4994" s="41">
        <v>27.786666666666665</v>
      </c>
      <c r="M4994" s="11"/>
      <c r="N4994" s="36">
        <f t="shared" si="260"/>
        <v>0</v>
      </c>
      <c r="O4994" s="47">
        <f t="shared" si="261"/>
        <v>0</v>
      </c>
      <c r="P4994" s="55">
        <f t="shared" si="262"/>
        <v>0</v>
      </c>
      <c r="Q4994" s="50"/>
      <c r="R4994" s="36" t="s">
        <v>17670</v>
      </c>
      <c r="S4994" s="36" t="s">
        <v>435</v>
      </c>
      <c r="T4994" s="35" t="str">
        <f>HYPERLINK("https://miland.ru/api/getInfo/image/eacd147f-19b7-11e9-a21c-ac1f6b442184")</f>
        <v>https://miland.ru/api/getInfo/image/eacd147f-19b7-11e9-a21c-ac1f6b442184</v>
      </c>
      <c r="U4994" s="35"/>
      <c r="V4994" s="35" t="s">
        <v>11948</v>
      </c>
      <c r="W4994" s="35" t="s">
        <v>1630</v>
      </c>
      <c r="X4994" s="35"/>
      <c r="Y4994" s="35" t="s">
        <v>697</v>
      </c>
      <c r="Z4994" s="35"/>
      <c r="AA4994" s="35" t="str">
        <f>HYPERLINK("https://miland.ru/api/getInfo/item/eacd147f-19b7-11e9-a21c-ac1f6b442184")</f>
        <v>https://miland.ru/api/getInfo/item/eacd147f-19b7-11e9-a21c-ac1f6b442184</v>
      </c>
      <c r="AB4994" s="35" t="s">
        <v>42</v>
      </c>
      <c r="AC4994" s="35" t="s">
        <v>17654</v>
      </c>
      <c r="AD4994" s="35"/>
      <c r="AE4994" s="52" t="s">
        <v>1251</v>
      </c>
    </row>
    <row r="4995" spans="2:31" s="1" customFormat="1" ht="96.3" customHeight="1" outlineLevel="4">
      <c r="B4995" s="59">
        <v>4033</v>
      </c>
      <c r="C4995" s="35" t="s">
        <v>17671</v>
      </c>
      <c r="D4995" s="73" t="s">
        <v>17672</v>
      </c>
      <c r="E4995" s="73"/>
      <c r="F4995" s="73"/>
      <c r="G4995" s="73"/>
      <c r="H4995" s="36" t="s">
        <v>17673</v>
      </c>
      <c r="I4995" s="56" t="s">
        <v>36</v>
      </c>
      <c r="J4995" s="36"/>
      <c r="K4995" s="34">
        <v>12</v>
      </c>
      <c r="L4995" s="41">
        <v>27.786666666666665</v>
      </c>
      <c r="M4995" s="11"/>
      <c r="N4995" s="36">
        <f t="shared" si="260"/>
        <v>0</v>
      </c>
      <c r="O4995" s="47">
        <f t="shared" si="261"/>
        <v>0</v>
      </c>
      <c r="P4995" s="55">
        <f t="shared" si="262"/>
        <v>0</v>
      </c>
      <c r="Q4995" s="50"/>
      <c r="R4995" s="36" t="s">
        <v>17674</v>
      </c>
      <c r="S4995" s="36" t="s">
        <v>435</v>
      </c>
      <c r="T4995" s="35" t="str">
        <f>HYPERLINK("https://miland.ru/api/getInfo/image/09070f30-19b8-11e9-a21c-ac1f6b442184")</f>
        <v>https://miland.ru/api/getInfo/image/09070f30-19b8-11e9-a21c-ac1f6b442184</v>
      </c>
      <c r="U4995" s="35"/>
      <c r="V4995" s="35" t="s">
        <v>11948</v>
      </c>
      <c r="W4995" s="35" t="s">
        <v>1630</v>
      </c>
      <c r="X4995" s="35"/>
      <c r="Y4995" s="35" t="s">
        <v>697</v>
      </c>
      <c r="Z4995" s="35"/>
      <c r="AA4995" s="35" t="str">
        <f>HYPERLINK("https://miland.ru/api/getInfo/item/09070f30-19b8-11e9-a21c-ac1f6b442184")</f>
        <v>https://miland.ru/api/getInfo/item/09070f30-19b8-11e9-a21c-ac1f6b442184</v>
      </c>
      <c r="AB4995" s="35" t="s">
        <v>42</v>
      </c>
      <c r="AC4995" s="35" t="s">
        <v>17654</v>
      </c>
      <c r="AD4995" s="35"/>
      <c r="AE4995" s="52" t="s">
        <v>1251</v>
      </c>
    </row>
    <row r="4996" spans="2:31" s="1" customFormat="1" ht="96.3" customHeight="1" outlineLevel="4">
      <c r="B4996" s="59">
        <v>4034</v>
      </c>
      <c r="C4996" s="35" t="s">
        <v>17675</v>
      </c>
      <c r="D4996" s="73" t="s">
        <v>17676</v>
      </c>
      <c r="E4996" s="73"/>
      <c r="F4996" s="73"/>
      <c r="G4996" s="73"/>
      <c r="H4996" s="36" t="s">
        <v>17677</v>
      </c>
      <c r="I4996" s="56" t="s">
        <v>36</v>
      </c>
      <c r="J4996" s="36"/>
      <c r="K4996" s="34">
        <v>12</v>
      </c>
      <c r="L4996" s="41">
        <v>27.786666666666665</v>
      </c>
      <c r="M4996" s="11"/>
      <c r="N4996" s="36">
        <f t="shared" si="260"/>
        <v>0</v>
      </c>
      <c r="O4996" s="47">
        <f t="shared" si="261"/>
        <v>0</v>
      </c>
      <c r="P4996" s="55">
        <f t="shared" si="262"/>
        <v>0</v>
      </c>
      <c r="Q4996" s="50"/>
      <c r="R4996" s="36" t="s">
        <v>17678</v>
      </c>
      <c r="S4996" s="36" t="s">
        <v>435</v>
      </c>
      <c r="T4996" s="35" t="str">
        <f>HYPERLINK("https://miland.ru/api/getInfo/image/278b92ff-19b8-11e9-a21c-ac1f6b442184")</f>
        <v>https://miland.ru/api/getInfo/image/278b92ff-19b8-11e9-a21c-ac1f6b442184</v>
      </c>
      <c r="U4996" s="35"/>
      <c r="V4996" s="35" t="s">
        <v>11948</v>
      </c>
      <c r="W4996" s="35" t="s">
        <v>1630</v>
      </c>
      <c r="X4996" s="35"/>
      <c r="Y4996" s="35" t="s">
        <v>697</v>
      </c>
      <c r="Z4996" s="35"/>
      <c r="AA4996" s="35" t="str">
        <f>HYPERLINK("https://miland.ru/api/getInfo/item/278b92ff-19b8-11e9-a21c-ac1f6b442184")</f>
        <v>https://miland.ru/api/getInfo/item/278b92ff-19b8-11e9-a21c-ac1f6b442184</v>
      </c>
      <c r="AB4996" s="35" t="s">
        <v>42</v>
      </c>
      <c r="AC4996" s="35" t="s">
        <v>17654</v>
      </c>
      <c r="AD4996" s="35"/>
      <c r="AE4996" s="52" t="s">
        <v>1251</v>
      </c>
    </row>
    <row r="4997" spans="2:31" s="1" customFormat="1" ht="96.3" customHeight="1" outlineLevel="4">
      <c r="B4997" s="59">
        <v>4035</v>
      </c>
      <c r="C4997" s="35" t="s">
        <v>17679</v>
      </c>
      <c r="D4997" s="73" t="s">
        <v>17680</v>
      </c>
      <c r="E4997" s="73"/>
      <c r="F4997" s="73"/>
      <c r="G4997" s="73"/>
      <c r="H4997" s="36" t="s">
        <v>17681</v>
      </c>
      <c r="I4997" s="56" t="s">
        <v>36</v>
      </c>
      <c r="J4997" s="36"/>
      <c r="K4997" s="34">
        <v>12</v>
      </c>
      <c r="L4997" s="41">
        <v>27.786666666666665</v>
      </c>
      <c r="M4997" s="11"/>
      <c r="N4997" s="36">
        <f t="shared" si="260"/>
        <v>0</v>
      </c>
      <c r="O4997" s="47">
        <f t="shared" si="261"/>
        <v>0</v>
      </c>
      <c r="P4997" s="55">
        <f t="shared" si="262"/>
        <v>0</v>
      </c>
      <c r="Q4997" s="50"/>
      <c r="R4997" s="36" t="s">
        <v>17682</v>
      </c>
      <c r="S4997" s="36" t="s">
        <v>435</v>
      </c>
      <c r="T4997" s="35" t="str">
        <f>HYPERLINK("https://miland.ru/api/getInfo/image/bb2af932-19b8-11e9-a21c-ac1f6b442184")</f>
        <v>https://miland.ru/api/getInfo/image/bb2af932-19b8-11e9-a21c-ac1f6b442184</v>
      </c>
      <c r="U4997" s="35"/>
      <c r="V4997" s="35" t="s">
        <v>11948</v>
      </c>
      <c r="W4997" s="35" t="s">
        <v>1630</v>
      </c>
      <c r="X4997" s="35"/>
      <c r="Y4997" s="35" t="s">
        <v>697</v>
      </c>
      <c r="Z4997" s="35"/>
      <c r="AA4997" s="35" t="str">
        <f>HYPERLINK("https://miland.ru/api/getInfo/item/bb2af932-19b8-11e9-a21c-ac1f6b442184")</f>
        <v>https://miland.ru/api/getInfo/item/bb2af932-19b8-11e9-a21c-ac1f6b442184</v>
      </c>
      <c r="AB4997" s="35" t="s">
        <v>42</v>
      </c>
      <c r="AC4997" s="35" t="s">
        <v>17654</v>
      </c>
      <c r="AD4997" s="35"/>
      <c r="AE4997" s="52" t="s">
        <v>1251</v>
      </c>
    </row>
    <row r="4998" spans="2:31" s="1" customFormat="1" ht="96.3" customHeight="1" outlineLevel="4">
      <c r="B4998" s="59">
        <v>4036</v>
      </c>
      <c r="C4998" s="35" t="s">
        <v>17683</v>
      </c>
      <c r="D4998" s="73" t="s">
        <v>17684</v>
      </c>
      <c r="E4998" s="73"/>
      <c r="F4998" s="73"/>
      <c r="G4998" s="73"/>
      <c r="H4998" s="36" t="s">
        <v>17685</v>
      </c>
      <c r="I4998" s="56" t="s">
        <v>36</v>
      </c>
      <c r="J4998" s="36"/>
      <c r="K4998" s="34">
        <v>12</v>
      </c>
      <c r="L4998" s="41">
        <v>27.786666666666665</v>
      </c>
      <c r="M4998" s="11"/>
      <c r="N4998" s="36">
        <f t="shared" si="260"/>
        <v>0</v>
      </c>
      <c r="O4998" s="47">
        <f t="shared" si="261"/>
        <v>0</v>
      </c>
      <c r="P4998" s="55">
        <f t="shared" si="262"/>
        <v>0</v>
      </c>
      <c r="Q4998" s="50"/>
      <c r="R4998" s="36" t="s">
        <v>17686</v>
      </c>
      <c r="S4998" s="36" t="s">
        <v>435</v>
      </c>
      <c r="T4998" s="35" t="str">
        <f>HYPERLINK("https://miland.ru/api/getInfo/image/e10ec078-19b8-11e9-a21c-ac1f6b442184")</f>
        <v>https://miland.ru/api/getInfo/image/e10ec078-19b8-11e9-a21c-ac1f6b442184</v>
      </c>
      <c r="U4998" s="35"/>
      <c r="V4998" s="35" t="s">
        <v>11948</v>
      </c>
      <c r="W4998" s="35" t="s">
        <v>1630</v>
      </c>
      <c r="X4998" s="35"/>
      <c r="Y4998" s="35" t="s">
        <v>697</v>
      </c>
      <c r="Z4998" s="35"/>
      <c r="AA4998" s="35" t="str">
        <f>HYPERLINK("https://miland.ru/api/getInfo/item/e10ec078-19b8-11e9-a21c-ac1f6b442184")</f>
        <v>https://miland.ru/api/getInfo/item/e10ec078-19b8-11e9-a21c-ac1f6b442184</v>
      </c>
      <c r="AB4998" s="35" t="s">
        <v>42</v>
      </c>
      <c r="AC4998" s="35" t="s">
        <v>17654</v>
      </c>
      <c r="AD4998" s="35"/>
      <c r="AE4998" s="52" t="s">
        <v>1251</v>
      </c>
    </row>
    <row r="4999" spans="2:31" s="1" customFormat="1" ht="96.3" customHeight="1" outlineLevel="4">
      <c r="B4999" s="59">
        <v>4037</v>
      </c>
      <c r="C4999" s="35" t="s">
        <v>17687</v>
      </c>
      <c r="D4999" s="73" t="s">
        <v>17688</v>
      </c>
      <c r="E4999" s="73"/>
      <c r="F4999" s="73"/>
      <c r="G4999" s="73"/>
      <c r="H4999" s="36" t="s">
        <v>17689</v>
      </c>
      <c r="I4999" s="56" t="s">
        <v>36</v>
      </c>
      <c r="J4999" s="36"/>
      <c r="K4999" s="34">
        <v>12</v>
      </c>
      <c r="L4999" s="41">
        <v>27.786666666666665</v>
      </c>
      <c r="M4999" s="11"/>
      <c r="N4999" s="36">
        <f t="shared" si="260"/>
        <v>0</v>
      </c>
      <c r="O4999" s="47">
        <f t="shared" si="261"/>
        <v>0</v>
      </c>
      <c r="P4999" s="55">
        <f t="shared" si="262"/>
        <v>0</v>
      </c>
      <c r="Q4999" s="50"/>
      <c r="R4999" s="36" t="s">
        <v>17690</v>
      </c>
      <c r="S4999" s="36" t="s">
        <v>435</v>
      </c>
      <c r="T4999" s="35" t="str">
        <f>HYPERLINK("https://miland.ru/api/getInfo/image/fe03e351-19b8-11e9-a21c-ac1f6b442184")</f>
        <v>https://miland.ru/api/getInfo/image/fe03e351-19b8-11e9-a21c-ac1f6b442184</v>
      </c>
      <c r="U4999" s="35"/>
      <c r="V4999" s="35" t="s">
        <v>11948</v>
      </c>
      <c r="W4999" s="35" t="s">
        <v>1630</v>
      </c>
      <c r="X4999" s="35"/>
      <c r="Y4999" s="35" t="s">
        <v>697</v>
      </c>
      <c r="Z4999" s="35"/>
      <c r="AA4999" s="35" t="str">
        <f>HYPERLINK("https://miland.ru/api/getInfo/item/fe03e351-19b8-11e9-a21c-ac1f6b442184")</f>
        <v>https://miland.ru/api/getInfo/item/fe03e351-19b8-11e9-a21c-ac1f6b442184</v>
      </c>
      <c r="AB4999" s="35" t="s">
        <v>42</v>
      </c>
      <c r="AC4999" s="35" t="s">
        <v>17654</v>
      </c>
      <c r="AD4999" s="35"/>
      <c r="AE4999" s="52" t="s">
        <v>1251</v>
      </c>
    </row>
    <row r="5000" spans="2:31" s="1" customFormat="1" ht="96.3" customHeight="1" outlineLevel="4">
      <c r="B5000" s="57">
        <v>4038</v>
      </c>
      <c r="C5000" s="21" t="s">
        <v>17691</v>
      </c>
      <c r="D5000" s="72" t="s">
        <v>17692</v>
      </c>
      <c r="E5000" s="72"/>
      <c r="F5000" s="72"/>
      <c r="G5000" s="72"/>
      <c r="H5000" s="22" t="s">
        <v>17693</v>
      </c>
      <c r="I5000" s="27">
        <v>330</v>
      </c>
      <c r="J5000" s="22"/>
      <c r="K5000" s="20">
        <v>12</v>
      </c>
      <c r="L5000" s="24">
        <v>52.32</v>
      </c>
      <c r="M5000" s="11"/>
      <c r="N5000" s="22">
        <f t="shared" si="260"/>
        <v>0</v>
      </c>
      <c r="O5000" s="25">
        <f>0.026*M5000</f>
        <v>0</v>
      </c>
      <c r="P5000" s="26">
        <f>0.00011*M5000</f>
        <v>0</v>
      </c>
      <c r="Q5000" s="30"/>
      <c r="R5000" s="22" t="s">
        <v>17694</v>
      </c>
      <c r="S5000" s="22"/>
      <c r="T5000" s="21" t="str">
        <f>HYPERLINK("https://miland.ru/api/getInfo/image/47bfacb8-1b59-11ea-a237-ac1f6b442184")</f>
        <v>https://miland.ru/api/getInfo/image/47bfacb8-1b59-11ea-a237-ac1f6b442184</v>
      </c>
      <c r="U5000" s="21"/>
      <c r="V5000" s="21" t="s">
        <v>11948</v>
      </c>
      <c r="W5000" s="21" t="s">
        <v>1630</v>
      </c>
      <c r="X5000" s="21"/>
      <c r="Y5000" s="21" t="s">
        <v>697</v>
      </c>
      <c r="Z5000" s="21"/>
      <c r="AA5000" s="21" t="str">
        <f>HYPERLINK("https://miland.ru/api/getInfo/item/47bfacb8-1b59-11ea-a237-ac1f6b442184")</f>
        <v>https://miland.ru/api/getInfo/item/47bfacb8-1b59-11ea-a237-ac1f6b442184</v>
      </c>
      <c r="AB5000" s="21" t="s">
        <v>42</v>
      </c>
      <c r="AC5000" s="21" t="s">
        <v>4205</v>
      </c>
      <c r="AD5000" s="21"/>
    </row>
    <row r="5001" spans="2:31" s="1" customFormat="1" ht="96.3" customHeight="1" outlineLevel="4">
      <c r="B5001" s="59">
        <v>4039</v>
      </c>
      <c r="C5001" s="35" t="s">
        <v>17695</v>
      </c>
      <c r="D5001" s="73" t="s">
        <v>17696</v>
      </c>
      <c r="E5001" s="73"/>
      <c r="F5001" s="73"/>
      <c r="G5001" s="73"/>
      <c r="H5001" s="36" t="s">
        <v>17697</v>
      </c>
      <c r="I5001" s="56" t="s">
        <v>36</v>
      </c>
      <c r="J5001" s="36"/>
      <c r="K5001" s="34">
        <v>12</v>
      </c>
      <c r="L5001" s="41">
        <v>33.479999999999997</v>
      </c>
      <c r="M5001" s="11"/>
      <c r="N5001" s="36">
        <f t="shared" si="260"/>
        <v>0</v>
      </c>
      <c r="O5001" s="42">
        <f>0.021*M5001</f>
        <v>0</v>
      </c>
      <c r="P5001" s="43">
        <f>0.00021*M5001</f>
        <v>0</v>
      </c>
      <c r="Q5001" s="50"/>
      <c r="R5001" s="36" t="s">
        <v>17698</v>
      </c>
      <c r="S5001" s="36"/>
      <c r="T5001" s="35" t="str">
        <f>HYPERLINK("https://miland.ru/api/getInfo/image/6f0bedc9-1b59-11ea-a237-ac1f6b442184")</f>
        <v>https://miland.ru/api/getInfo/image/6f0bedc9-1b59-11ea-a237-ac1f6b442184</v>
      </c>
      <c r="U5001" s="35"/>
      <c r="V5001" s="35" t="s">
        <v>11948</v>
      </c>
      <c r="W5001" s="35" t="s">
        <v>1630</v>
      </c>
      <c r="X5001" s="35"/>
      <c r="Y5001" s="35" t="s">
        <v>697</v>
      </c>
      <c r="Z5001" s="35"/>
      <c r="AA5001" s="35" t="str">
        <f>HYPERLINK("https://miland.ru/api/getInfo/item/6f0bedc9-1b59-11ea-a237-ac1f6b442184")</f>
        <v>https://miland.ru/api/getInfo/item/6f0bedc9-1b59-11ea-a237-ac1f6b442184</v>
      </c>
      <c r="AB5001" s="35" t="s">
        <v>42</v>
      </c>
      <c r="AC5001" s="35" t="s">
        <v>4205</v>
      </c>
      <c r="AD5001" s="35"/>
      <c r="AE5001" s="52" t="s">
        <v>9152</v>
      </c>
    </row>
    <row r="5002" spans="2:31" s="1" customFormat="1" ht="96.3" customHeight="1" outlineLevel="4">
      <c r="B5002" s="57">
        <v>4040</v>
      </c>
      <c r="C5002" s="21" t="s">
        <v>17699</v>
      </c>
      <c r="D5002" s="72" t="s">
        <v>17700</v>
      </c>
      <c r="E5002" s="72"/>
      <c r="F5002" s="72"/>
      <c r="G5002" s="72"/>
      <c r="H5002" s="22" t="s">
        <v>17701</v>
      </c>
      <c r="I5002" s="27">
        <v>298</v>
      </c>
      <c r="J5002" s="22"/>
      <c r="K5002" s="20">
        <v>12</v>
      </c>
      <c r="L5002" s="24">
        <v>52.32</v>
      </c>
      <c r="M5002" s="11"/>
      <c r="N5002" s="22">
        <f t="shared" si="260"/>
        <v>0</v>
      </c>
      <c r="O5002" s="25">
        <f>0.028*M5002</f>
        <v>0</v>
      </c>
      <c r="P5002" s="26">
        <f>0.00015*M5002</f>
        <v>0</v>
      </c>
      <c r="Q5002" s="30"/>
      <c r="R5002" s="22" t="s">
        <v>17702</v>
      </c>
      <c r="S5002" s="22"/>
      <c r="T5002" s="21" t="str">
        <f>HYPERLINK("https://miland.ru/api/getInfo/image/d0b2765d-1b59-11ea-a237-ac1f6b442184")</f>
        <v>https://miland.ru/api/getInfo/image/d0b2765d-1b59-11ea-a237-ac1f6b442184</v>
      </c>
      <c r="U5002" s="21"/>
      <c r="V5002" s="21" t="s">
        <v>11948</v>
      </c>
      <c r="W5002" s="21" t="s">
        <v>1630</v>
      </c>
      <c r="X5002" s="21"/>
      <c r="Y5002" s="21" t="s">
        <v>697</v>
      </c>
      <c r="Z5002" s="21"/>
      <c r="AA5002" s="21" t="str">
        <f>HYPERLINK("https://miland.ru/api/getInfo/item/d0b2765d-1b59-11ea-a237-ac1f6b442184")</f>
        <v>https://miland.ru/api/getInfo/item/d0b2765d-1b59-11ea-a237-ac1f6b442184</v>
      </c>
      <c r="AB5002" s="21" t="s">
        <v>42</v>
      </c>
      <c r="AC5002" s="21" t="s">
        <v>4205</v>
      </c>
      <c r="AD5002" s="21"/>
    </row>
    <row r="5003" spans="2:31" s="1" customFormat="1" ht="96.3" customHeight="1" outlineLevel="4">
      <c r="B5003" s="59">
        <v>4041</v>
      </c>
      <c r="C5003" s="35" t="s">
        <v>17703</v>
      </c>
      <c r="D5003" s="73" t="s">
        <v>17704</v>
      </c>
      <c r="E5003" s="73"/>
      <c r="F5003" s="73"/>
      <c r="G5003" s="73"/>
      <c r="H5003" s="36" t="s">
        <v>17705</v>
      </c>
      <c r="I5003" s="56" t="s">
        <v>36</v>
      </c>
      <c r="J5003" s="36"/>
      <c r="K5003" s="34">
        <v>12</v>
      </c>
      <c r="L5003" s="41">
        <v>33.479999999999997</v>
      </c>
      <c r="M5003" s="11"/>
      <c r="N5003" s="36">
        <f t="shared" si="260"/>
        <v>0</v>
      </c>
      <c r="O5003" s="42">
        <f>0.025*M5003</f>
        <v>0</v>
      </c>
      <c r="P5003" s="43">
        <f>0.00017*M5003</f>
        <v>0</v>
      </c>
      <c r="Q5003" s="50"/>
      <c r="R5003" s="36" t="s">
        <v>17706</v>
      </c>
      <c r="S5003" s="36"/>
      <c r="T5003" s="35" t="str">
        <f>HYPERLINK("https://miland.ru/api/getInfo/image/f266fdb8-1b59-11ea-a237-ac1f6b442184")</f>
        <v>https://miland.ru/api/getInfo/image/f266fdb8-1b59-11ea-a237-ac1f6b442184</v>
      </c>
      <c r="U5003" s="35"/>
      <c r="V5003" s="35" t="s">
        <v>11948</v>
      </c>
      <c r="W5003" s="35" t="s">
        <v>1630</v>
      </c>
      <c r="X5003" s="35"/>
      <c r="Y5003" s="35" t="s">
        <v>697</v>
      </c>
      <c r="Z5003" s="35"/>
      <c r="AA5003" s="35" t="str">
        <f>HYPERLINK("https://miland.ru/api/getInfo/item/f266fdb8-1b59-11ea-a237-ac1f6b442184")</f>
        <v>https://miland.ru/api/getInfo/item/f266fdb8-1b59-11ea-a237-ac1f6b442184</v>
      </c>
      <c r="AB5003" s="35" t="s">
        <v>42</v>
      </c>
      <c r="AC5003" s="35" t="s">
        <v>4205</v>
      </c>
      <c r="AD5003" s="35"/>
      <c r="AE5003" s="52" t="s">
        <v>9152</v>
      </c>
    </row>
    <row r="5004" spans="2:31" s="1" customFormat="1" ht="96.3" customHeight="1" outlineLevel="4">
      <c r="B5004" s="59">
        <v>4042</v>
      </c>
      <c r="C5004" s="35" t="s">
        <v>17707</v>
      </c>
      <c r="D5004" s="73" t="s">
        <v>17708</v>
      </c>
      <c r="E5004" s="73"/>
      <c r="F5004" s="73"/>
      <c r="G5004" s="73"/>
      <c r="H5004" s="36" t="s">
        <v>17709</v>
      </c>
      <c r="I5004" s="56" t="s">
        <v>36</v>
      </c>
      <c r="J5004" s="36"/>
      <c r="K5004" s="34">
        <v>12</v>
      </c>
      <c r="L5004" s="41">
        <v>33.479999999999997</v>
      </c>
      <c r="M5004" s="11"/>
      <c r="N5004" s="36">
        <f t="shared" si="260"/>
        <v>0</v>
      </c>
      <c r="O5004" s="42">
        <f>0.022*M5004</f>
        <v>0</v>
      </c>
      <c r="P5004" s="43">
        <f>0.00025*M5004</f>
        <v>0</v>
      </c>
      <c r="Q5004" s="50"/>
      <c r="R5004" s="36" t="s">
        <v>17710</v>
      </c>
      <c r="S5004" s="36"/>
      <c r="T5004" s="35" t="str">
        <f>HYPERLINK("https://miland.ru/api/getInfo/image/14598d24-1b5a-11ea-a237-ac1f6b442184")</f>
        <v>https://miland.ru/api/getInfo/image/14598d24-1b5a-11ea-a237-ac1f6b442184</v>
      </c>
      <c r="U5004" s="35"/>
      <c r="V5004" s="35" t="s">
        <v>11948</v>
      </c>
      <c r="W5004" s="35" t="s">
        <v>1630</v>
      </c>
      <c r="X5004" s="35"/>
      <c r="Y5004" s="35" t="s">
        <v>697</v>
      </c>
      <c r="Z5004" s="35"/>
      <c r="AA5004" s="35" t="str">
        <f>HYPERLINK("https://miland.ru/api/getInfo/item/14598d24-1b5a-11ea-a237-ac1f6b442184")</f>
        <v>https://miland.ru/api/getInfo/item/14598d24-1b5a-11ea-a237-ac1f6b442184</v>
      </c>
      <c r="AB5004" s="35" t="s">
        <v>42</v>
      </c>
      <c r="AC5004" s="35" t="s">
        <v>4205</v>
      </c>
      <c r="AD5004" s="35"/>
      <c r="AE5004" s="52" t="s">
        <v>9152</v>
      </c>
    </row>
    <row r="5005" spans="2:31" s="1" customFormat="1" ht="96.3" customHeight="1" outlineLevel="4">
      <c r="B5005" s="57">
        <v>4043</v>
      </c>
      <c r="C5005" s="21" t="s">
        <v>17711</v>
      </c>
      <c r="D5005" s="72" t="s">
        <v>17712</v>
      </c>
      <c r="E5005" s="72"/>
      <c r="F5005" s="72"/>
      <c r="G5005" s="72"/>
      <c r="H5005" s="22" t="s">
        <v>17713</v>
      </c>
      <c r="I5005" s="27">
        <v>12</v>
      </c>
      <c r="J5005" s="22"/>
      <c r="K5005" s="20">
        <v>12</v>
      </c>
      <c r="L5005" s="24">
        <v>52.32</v>
      </c>
      <c r="M5005" s="11"/>
      <c r="N5005" s="22">
        <f t="shared" si="260"/>
        <v>0</v>
      </c>
      <c r="O5005" s="25">
        <f>0.026*M5005</f>
        <v>0</v>
      </c>
      <c r="P5005" s="26">
        <f>0.00011*M5005</f>
        <v>0</v>
      </c>
      <c r="Q5005" s="30"/>
      <c r="R5005" s="22" t="s">
        <v>17714</v>
      </c>
      <c r="S5005" s="22"/>
      <c r="T5005" s="21" t="str">
        <f>HYPERLINK("https://miland.ru/api/getInfo/image/3278d940-1b5a-11ea-a237-ac1f6b442184")</f>
        <v>https://miland.ru/api/getInfo/image/3278d940-1b5a-11ea-a237-ac1f6b442184</v>
      </c>
      <c r="U5005" s="21"/>
      <c r="V5005" s="21" t="s">
        <v>11948</v>
      </c>
      <c r="W5005" s="21" t="s">
        <v>1630</v>
      </c>
      <c r="X5005" s="21"/>
      <c r="Y5005" s="21" t="s">
        <v>697</v>
      </c>
      <c r="Z5005" s="21"/>
      <c r="AA5005" s="21" t="str">
        <f>HYPERLINK("https://miland.ru/api/getInfo/item/3278d940-1b5a-11ea-a237-ac1f6b442184")</f>
        <v>https://miland.ru/api/getInfo/item/3278d940-1b5a-11ea-a237-ac1f6b442184</v>
      </c>
      <c r="AB5005" s="21" t="s">
        <v>42</v>
      </c>
      <c r="AC5005" s="21" t="s">
        <v>4205</v>
      </c>
      <c r="AD5005" s="21"/>
    </row>
    <row r="5006" spans="2:31" s="1" customFormat="1" ht="96.3" customHeight="1" outlineLevel="4">
      <c r="B5006" s="57">
        <v>4044</v>
      </c>
      <c r="C5006" s="21" t="s">
        <v>17715</v>
      </c>
      <c r="D5006" s="72" t="s">
        <v>17716</v>
      </c>
      <c r="E5006" s="72"/>
      <c r="F5006" s="72"/>
      <c r="G5006" s="72"/>
      <c r="H5006" s="22" t="s">
        <v>17717</v>
      </c>
      <c r="I5006" s="23" t="s">
        <v>36</v>
      </c>
      <c r="J5006" s="22"/>
      <c r="K5006" s="20">
        <v>12</v>
      </c>
      <c r="L5006" s="24">
        <v>52.32</v>
      </c>
      <c r="M5006" s="11"/>
      <c r="N5006" s="22">
        <f t="shared" si="260"/>
        <v>0</v>
      </c>
      <c r="O5006" s="25">
        <f>0.026*M5006</f>
        <v>0</v>
      </c>
      <c r="P5006" s="26">
        <f>0.00011*M5006</f>
        <v>0</v>
      </c>
      <c r="Q5006" s="30"/>
      <c r="R5006" s="22" t="s">
        <v>17718</v>
      </c>
      <c r="S5006" s="22"/>
      <c r="T5006" s="21" t="str">
        <f>HYPERLINK("https://miland.ru/api/getInfo/image/560c951b-1b5a-11ea-a237-ac1f6b442184")</f>
        <v>https://miland.ru/api/getInfo/image/560c951b-1b5a-11ea-a237-ac1f6b442184</v>
      </c>
      <c r="U5006" s="21"/>
      <c r="V5006" s="21" t="s">
        <v>11948</v>
      </c>
      <c r="W5006" s="21" t="s">
        <v>1630</v>
      </c>
      <c r="X5006" s="21"/>
      <c r="Y5006" s="21" t="s">
        <v>697</v>
      </c>
      <c r="Z5006" s="21"/>
      <c r="AA5006" s="21" t="str">
        <f>HYPERLINK("https://miland.ru/api/getInfo/item/560c951b-1b5a-11ea-a237-ac1f6b442184")</f>
        <v>https://miland.ru/api/getInfo/item/560c951b-1b5a-11ea-a237-ac1f6b442184</v>
      </c>
      <c r="AB5006" s="21" t="s">
        <v>42</v>
      </c>
      <c r="AC5006" s="21" t="s">
        <v>4205</v>
      </c>
      <c r="AD5006" s="21"/>
    </row>
    <row r="5007" spans="2:31" s="1" customFormat="1" ht="96.3" customHeight="1" outlineLevel="4">
      <c r="B5007" s="57">
        <v>4045</v>
      </c>
      <c r="C5007" s="21" t="s">
        <v>17719</v>
      </c>
      <c r="D5007" s="72" t="s">
        <v>17720</v>
      </c>
      <c r="E5007" s="72"/>
      <c r="F5007" s="72"/>
      <c r="G5007" s="72"/>
      <c r="H5007" s="22" t="s">
        <v>17721</v>
      </c>
      <c r="I5007" s="23" t="s">
        <v>36</v>
      </c>
      <c r="J5007" s="22"/>
      <c r="K5007" s="20">
        <v>12</v>
      </c>
      <c r="L5007" s="24">
        <v>52.32</v>
      </c>
      <c r="M5007" s="11"/>
      <c r="N5007" s="22">
        <f t="shared" si="260"/>
        <v>0</v>
      </c>
      <c r="O5007" s="25">
        <f>0.026*M5007</f>
        <v>0</v>
      </c>
      <c r="P5007" s="26">
        <f>0.00011*M5007</f>
        <v>0</v>
      </c>
      <c r="Q5007" s="30"/>
      <c r="R5007" s="22" t="s">
        <v>17722</v>
      </c>
      <c r="S5007" s="22"/>
      <c r="T5007" s="21" t="str">
        <f>HYPERLINK("https://miland.ru/api/getInfo/image/7721573a-1b5a-11ea-a237-ac1f6b442184")</f>
        <v>https://miland.ru/api/getInfo/image/7721573a-1b5a-11ea-a237-ac1f6b442184</v>
      </c>
      <c r="U5007" s="21"/>
      <c r="V5007" s="21" t="s">
        <v>11948</v>
      </c>
      <c r="W5007" s="21" t="s">
        <v>1630</v>
      </c>
      <c r="X5007" s="21"/>
      <c r="Y5007" s="21" t="s">
        <v>697</v>
      </c>
      <c r="Z5007" s="21"/>
      <c r="AA5007" s="21" t="str">
        <f>HYPERLINK("https://miland.ru/api/getInfo/item/7721573a-1b5a-11ea-a237-ac1f6b442184")</f>
        <v>https://miland.ru/api/getInfo/item/7721573a-1b5a-11ea-a237-ac1f6b442184</v>
      </c>
      <c r="AB5007" s="21" t="s">
        <v>42</v>
      </c>
      <c r="AC5007" s="21" t="s">
        <v>4205</v>
      </c>
      <c r="AD5007" s="21"/>
    </row>
    <row r="5008" spans="2:31" s="1" customFormat="1" ht="96.3" customHeight="1" outlineLevel="4">
      <c r="B5008" s="59">
        <v>4046</v>
      </c>
      <c r="C5008" s="35" t="s">
        <v>17723</v>
      </c>
      <c r="D5008" s="73" t="s">
        <v>17724</v>
      </c>
      <c r="E5008" s="73"/>
      <c r="F5008" s="73"/>
      <c r="G5008" s="73"/>
      <c r="H5008" s="36" t="s">
        <v>17725</v>
      </c>
      <c r="I5008" s="56" t="s">
        <v>36</v>
      </c>
      <c r="J5008" s="36"/>
      <c r="K5008" s="34">
        <v>12</v>
      </c>
      <c r="L5008" s="41">
        <v>33.479999999999997</v>
      </c>
      <c r="M5008" s="11"/>
      <c r="N5008" s="36">
        <f t="shared" si="260"/>
        <v>0</v>
      </c>
      <c r="O5008" s="42">
        <f>0.029*M5008</f>
        <v>0</v>
      </c>
      <c r="P5008" s="43">
        <f>0.00022*M5008</f>
        <v>0</v>
      </c>
      <c r="Q5008" s="50"/>
      <c r="R5008" s="36" t="s">
        <v>17726</v>
      </c>
      <c r="S5008" s="36"/>
      <c r="T5008" s="35" t="str">
        <f>HYPERLINK("https://miland.ru/api/getInfo/image/ab4ba2f9-1b5a-11ea-a237-ac1f6b442184")</f>
        <v>https://miland.ru/api/getInfo/image/ab4ba2f9-1b5a-11ea-a237-ac1f6b442184</v>
      </c>
      <c r="U5008" s="35"/>
      <c r="V5008" s="35" t="s">
        <v>11948</v>
      </c>
      <c r="W5008" s="35" t="s">
        <v>1630</v>
      </c>
      <c r="X5008" s="35"/>
      <c r="Y5008" s="35" t="s">
        <v>697</v>
      </c>
      <c r="Z5008" s="35"/>
      <c r="AA5008" s="35" t="str">
        <f>HYPERLINK("https://miland.ru/api/getInfo/item/ab4ba2f9-1b5a-11ea-a237-ac1f6b442184")</f>
        <v>https://miland.ru/api/getInfo/item/ab4ba2f9-1b5a-11ea-a237-ac1f6b442184</v>
      </c>
      <c r="AB5008" s="35" t="s">
        <v>42</v>
      </c>
      <c r="AC5008" s="35" t="s">
        <v>4205</v>
      </c>
      <c r="AD5008" s="35"/>
      <c r="AE5008" s="52" t="s">
        <v>9152</v>
      </c>
    </row>
    <row r="5009" spans="2:31" s="1" customFormat="1" ht="96.3" customHeight="1" outlineLevel="4">
      <c r="B5009" s="57">
        <v>4047</v>
      </c>
      <c r="C5009" s="21" t="s">
        <v>17727</v>
      </c>
      <c r="D5009" s="72" t="s">
        <v>17728</v>
      </c>
      <c r="E5009" s="72"/>
      <c r="F5009" s="72"/>
      <c r="G5009" s="72"/>
      <c r="H5009" s="22" t="s">
        <v>17729</v>
      </c>
      <c r="I5009" s="23" t="s">
        <v>36</v>
      </c>
      <c r="J5009" s="22"/>
      <c r="K5009" s="20">
        <v>12</v>
      </c>
      <c r="L5009" s="24">
        <v>52.32</v>
      </c>
      <c r="M5009" s="11"/>
      <c r="N5009" s="22">
        <f t="shared" si="260"/>
        <v>0</v>
      </c>
      <c r="O5009" s="25">
        <f>0.026*M5009</f>
        <v>0</v>
      </c>
      <c r="P5009" s="26">
        <f>0.00011*M5009</f>
        <v>0</v>
      </c>
      <c r="Q5009" s="30"/>
      <c r="R5009" s="22" t="s">
        <v>17730</v>
      </c>
      <c r="S5009" s="22"/>
      <c r="T5009" s="21" t="str">
        <f>HYPERLINK("https://miland.ru/api/getInfo/image/d2b36aca-1b5a-11ea-a237-ac1f6b442184")</f>
        <v>https://miland.ru/api/getInfo/image/d2b36aca-1b5a-11ea-a237-ac1f6b442184</v>
      </c>
      <c r="U5009" s="21"/>
      <c r="V5009" s="21" t="s">
        <v>11948</v>
      </c>
      <c r="W5009" s="21" t="s">
        <v>1630</v>
      </c>
      <c r="X5009" s="21"/>
      <c r="Y5009" s="21" t="s">
        <v>697</v>
      </c>
      <c r="Z5009" s="21"/>
      <c r="AA5009" s="21" t="str">
        <f>HYPERLINK("https://miland.ru/api/getInfo/item/d2b36aca-1b5a-11ea-a237-ac1f6b442184")</f>
        <v>https://miland.ru/api/getInfo/item/d2b36aca-1b5a-11ea-a237-ac1f6b442184</v>
      </c>
      <c r="AB5009" s="21" t="s">
        <v>42</v>
      </c>
      <c r="AC5009" s="21" t="s">
        <v>4205</v>
      </c>
      <c r="AD5009" s="21"/>
    </row>
    <row r="5010" spans="2:31" s="1" customFormat="1" ht="96.3" customHeight="1" outlineLevel="4">
      <c r="B5010" s="59">
        <v>4048</v>
      </c>
      <c r="C5010" s="35" t="s">
        <v>17731</v>
      </c>
      <c r="D5010" s="73" t="s">
        <v>17732</v>
      </c>
      <c r="E5010" s="73"/>
      <c r="F5010" s="73"/>
      <c r="G5010" s="73"/>
      <c r="H5010" s="36" t="s">
        <v>17733</v>
      </c>
      <c r="I5010" s="56" t="s">
        <v>36</v>
      </c>
      <c r="J5010" s="36"/>
      <c r="K5010" s="34">
        <v>4</v>
      </c>
      <c r="L5010" s="41">
        <v>26.066666666666666</v>
      </c>
      <c r="M5010" s="11"/>
      <c r="N5010" s="36">
        <f t="shared" si="260"/>
        <v>0</v>
      </c>
      <c r="O5010" s="47">
        <f t="shared" ref="O5010:O5018" si="263">0.03*M5010</f>
        <v>0</v>
      </c>
      <c r="P5010" s="43">
        <f t="shared" ref="P5010:P5018" si="264">0.00019*M5010</f>
        <v>0</v>
      </c>
      <c r="Q5010" s="50"/>
      <c r="R5010" s="36" t="s">
        <v>17734</v>
      </c>
      <c r="S5010" s="36" t="s">
        <v>435</v>
      </c>
      <c r="T5010" s="35" t="str">
        <f>HYPERLINK("https://miland.ru/api/getInfo/image/cf5cbad6-1a2b-11e9-a21c-ac1f6b442184")</f>
        <v>https://miland.ru/api/getInfo/image/cf5cbad6-1a2b-11e9-a21c-ac1f6b442184</v>
      </c>
      <c r="U5010" s="35"/>
      <c r="V5010" s="35" t="s">
        <v>11948</v>
      </c>
      <c r="W5010" s="35" t="s">
        <v>1630</v>
      </c>
      <c r="X5010" s="35"/>
      <c r="Y5010" s="35" t="s">
        <v>697</v>
      </c>
      <c r="Z5010" s="35"/>
      <c r="AA5010" s="35" t="str">
        <f>HYPERLINK("https://miland.ru/api/getInfo/item/cf5cbad6-1a2b-11e9-a21c-ac1f6b442184")</f>
        <v>https://miland.ru/api/getInfo/item/cf5cbad6-1a2b-11e9-a21c-ac1f6b442184</v>
      </c>
      <c r="AB5010" s="35" t="s">
        <v>42</v>
      </c>
      <c r="AC5010" s="35" t="s">
        <v>17735</v>
      </c>
      <c r="AD5010" s="35"/>
      <c r="AE5010" s="52" t="s">
        <v>1251</v>
      </c>
    </row>
    <row r="5011" spans="2:31" s="1" customFormat="1" ht="96.3" customHeight="1" outlineLevel="4">
      <c r="B5011" s="59">
        <v>4049</v>
      </c>
      <c r="C5011" s="35" t="s">
        <v>17736</v>
      </c>
      <c r="D5011" s="73" t="s">
        <v>17737</v>
      </c>
      <c r="E5011" s="73"/>
      <c r="F5011" s="73"/>
      <c r="G5011" s="73"/>
      <c r="H5011" s="36" t="s">
        <v>17738</v>
      </c>
      <c r="I5011" s="56" t="s">
        <v>36</v>
      </c>
      <c r="J5011" s="36"/>
      <c r="K5011" s="34">
        <v>4</v>
      </c>
      <c r="L5011" s="41">
        <v>26.066666666666666</v>
      </c>
      <c r="M5011" s="11"/>
      <c r="N5011" s="36">
        <f t="shared" si="260"/>
        <v>0</v>
      </c>
      <c r="O5011" s="47">
        <f t="shared" si="263"/>
        <v>0</v>
      </c>
      <c r="P5011" s="43">
        <f t="shared" si="264"/>
        <v>0</v>
      </c>
      <c r="Q5011" s="50"/>
      <c r="R5011" s="36" t="s">
        <v>17739</v>
      </c>
      <c r="S5011" s="36" t="s">
        <v>435</v>
      </c>
      <c r="T5011" s="35" t="str">
        <f>HYPERLINK("https://miland.ru/api/getInfo/image/11748483-1a2c-11e9-a21c-ac1f6b442184")</f>
        <v>https://miland.ru/api/getInfo/image/11748483-1a2c-11e9-a21c-ac1f6b442184</v>
      </c>
      <c r="U5011" s="35"/>
      <c r="V5011" s="35" t="s">
        <v>11948</v>
      </c>
      <c r="W5011" s="35" t="s">
        <v>1630</v>
      </c>
      <c r="X5011" s="35"/>
      <c r="Y5011" s="35" t="s">
        <v>697</v>
      </c>
      <c r="Z5011" s="35"/>
      <c r="AA5011" s="35" t="str">
        <f>HYPERLINK("https://miland.ru/api/getInfo/item/11748483-1a2c-11e9-a21c-ac1f6b442184")</f>
        <v>https://miland.ru/api/getInfo/item/11748483-1a2c-11e9-a21c-ac1f6b442184</v>
      </c>
      <c r="AB5011" s="35" t="s">
        <v>42</v>
      </c>
      <c r="AC5011" s="35" t="s">
        <v>17735</v>
      </c>
      <c r="AD5011" s="35"/>
      <c r="AE5011" s="52" t="s">
        <v>1251</v>
      </c>
    </row>
    <row r="5012" spans="2:31" s="1" customFormat="1" ht="96.3" customHeight="1" outlineLevel="4">
      <c r="B5012" s="59">
        <v>4050</v>
      </c>
      <c r="C5012" s="35" t="s">
        <v>17740</v>
      </c>
      <c r="D5012" s="73" t="s">
        <v>17741</v>
      </c>
      <c r="E5012" s="73"/>
      <c r="F5012" s="73"/>
      <c r="G5012" s="73"/>
      <c r="H5012" s="36" t="s">
        <v>17742</v>
      </c>
      <c r="I5012" s="40">
        <v>217</v>
      </c>
      <c r="J5012" s="36"/>
      <c r="K5012" s="34">
        <v>4</v>
      </c>
      <c r="L5012" s="41">
        <v>26.066666666666666</v>
      </c>
      <c r="M5012" s="11"/>
      <c r="N5012" s="36">
        <f t="shared" si="260"/>
        <v>0</v>
      </c>
      <c r="O5012" s="47">
        <f t="shared" si="263"/>
        <v>0</v>
      </c>
      <c r="P5012" s="43">
        <f t="shared" si="264"/>
        <v>0</v>
      </c>
      <c r="Q5012" s="50"/>
      <c r="R5012" s="36" t="s">
        <v>17743</v>
      </c>
      <c r="S5012" s="36" t="s">
        <v>435</v>
      </c>
      <c r="T5012" s="35" t="str">
        <f>HYPERLINK("https://miland.ru/api/getInfo/image/2a95a8dc-1a2c-11e9-a21c-ac1f6b442184")</f>
        <v>https://miland.ru/api/getInfo/image/2a95a8dc-1a2c-11e9-a21c-ac1f6b442184</v>
      </c>
      <c r="U5012" s="35"/>
      <c r="V5012" s="35" t="s">
        <v>11948</v>
      </c>
      <c r="W5012" s="35" t="s">
        <v>1630</v>
      </c>
      <c r="X5012" s="35"/>
      <c r="Y5012" s="35" t="s">
        <v>697</v>
      </c>
      <c r="Z5012" s="35"/>
      <c r="AA5012" s="35" t="str">
        <f>HYPERLINK("https://miland.ru/api/getInfo/item/2a95a8dc-1a2c-11e9-a21c-ac1f6b442184")</f>
        <v>https://miland.ru/api/getInfo/item/2a95a8dc-1a2c-11e9-a21c-ac1f6b442184</v>
      </c>
      <c r="AB5012" s="35" t="s">
        <v>42</v>
      </c>
      <c r="AC5012" s="35" t="s">
        <v>17735</v>
      </c>
      <c r="AD5012" s="35"/>
      <c r="AE5012" s="52" t="s">
        <v>1251</v>
      </c>
    </row>
    <row r="5013" spans="2:31" s="1" customFormat="1" ht="96.3" customHeight="1" outlineLevel="4">
      <c r="B5013" s="59">
        <v>4051</v>
      </c>
      <c r="C5013" s="35" t="s">
        <v>17744</v>
      </c>
      <c r="D5013" s="73" t="s">
        <v>17745</v>
      </c>
      <c r="E5013" s="73"/>
      <c r="F5013" s="73"/>
      <c r="G5013" s="73"/>
      <c r="H5013" s="36" t="s">
        <v>17746</v>
      </c>
      <c r="I5013" s="40">
        <v>329</v>
      </c>
      <c r="J5013" s="36"/>
      <c r="K5013" s="34">
        <v>4</v>
      </c>
      <c r="L5013" s="41">
        <v>26.066666666666666</v>
      </c>
      <c r="M5013" s="11"/>
      <c r="N5013" s="36">
        <f t="shared" si="260"/>
        <v>0</v>
      </c>
      <c r="O5013" s="47">
        <f t="shared" si="263"/>
        <v>0</v>
      </c>
      <c r="P5013" s="43">
        <f t="shared" si="264"/>
        <v>0</v>
      </c>
      <c r="Q5013" s="50"/>
      <c r="R5013" s="36" t="s">
        <v>17747</v>
      </c>
      <c r="S5013" s="36" t="s">
        <v>435</v>
      </c>
      <c r="T5013" s="35" t="str">
        <f>HYPERLINK("https://miland.ru/api/getInfo/image/4445ddb3-1a2c-11e9-a21c-ac1f6b442184")</f>
        <v>https://miland.ru/api/getInfo/image/4445ddb3-1a2c-11e9-a21c-ac1f6b442184</v>
      </c>
      <c r="U5013" s="35"/>
      <c r="V5013" s="35" t="s">
        <v>11948</v>
      </c>
      <c r="W5013" s="35" t="s">
        <v>1630</v>
      </c>
      <c r="X5013" s="35"/>
      <c r="Y5013" s="35" t="s">
        <v>697</v>
      </c>
      <c r="Z5013" s="35"/>
      <c r="AA5013" s="35" t="str">
        <f>HYPERLINK("https://miland.ru/api/getInfo/item/4445ddb3-1a2c-11e9-a21c-ac1f6b442184")</f>
        <v>https://miland.ru/api/getInfo/item/4445ddb3-1a2c-11e9-a21c-ac1f6b442184</v>
      </c>
      <c r="AB5013" s="35" t="s">
        <v>42</v>
      </c>
      <c r="AC5013" s="35" t="s">
        <v>17735</v>
      </c>
      <c r="AD5013" s="35"/>
      <c r="AE5013" s="52" t="s">
        <v>1251</v>
      </c>
    </row>
    <row r="5014" spans="2:31" s="1" customFormat="1" ht="96.3" customHeight="1" outlineLevel="4">
      <c r="B5014" s="59">
        <v>4052</v>
      </c>
      <c r="C5014" s="35" t="s">
        <v>17748</v>
      </c>
      <c r="D5014" s="73" t="s">
        <v>17749</v>
      </c>
      <c r="E5014" s="73"/>
      <c r="F5014" s="73"/>
      <c r="G5014" s="73"/>
      <c r="H5014" s="36" t="s">
        <v>17750</v>
      </c>
      <c r="I5014" s="40">
        <v>35</v>
      </c>
      <c r="J5014" s="36"/>
      <c r="K5014" s="34">
        <v>4</v>
      </c>
      <c r="L5014" s="41">
        <v>26.066666666666666</v>
      </c>
      <c r="M5014" s="11"/>
      <c r="N5014" s="36">
        <f t="shared" si="260"/>
        <v>0</v>
      </c>
      <c r="O5014" s="47">
        <f t="shared" si="263"/>
        <v>0</v>
      </c>
      <c r="P5014" s="43">
        <f t="shared" si="264"/>
        <v>0</v>
      </c>
      <c r="Q5014" s="50"/>
      <c r="R5014" s="36" t="s">
        <v>17751</v>
      </c>
      <c r="S5014" s="36" t="s">
        <v>435</v>
      </c>
      <c r="T5014" s="35" t="str">
        <f>HYPERLINK("https://miland.ru/api/getInfo/image/5866944d-1a2c-11e9-a21c-ac1f6b442184")</f>
        <v>https://miland.ru/api/getInfo/image/5866944d-1a2c-11e9-a21c-ac1f6b442184</v>
      </c>
      <c r="U5014" s="35"/>
      <c r="V5014" s="35" t="s">
        <v>11948</v>
      </c>
      <c r="W5014" s="35" t="s">
        <v>1630</v>
      </c>
      <c r="X5014" s="35"/>
      <c r="Y5014" s="35" t="s">
        <v>697</v>
      </c>
      <c r="Z5014" s="35"/>
      <c r="AA5014" s="35" t="str">
        <f>HYPERLINK("https://miland.ru/api/getInfo/item/5866944d-1a2c-11e9-a21c-ac1f6b442184")</f>
        <v>https://miland.ru/api/getInfo/item/5866944d-1a2c-11e9-a21c-ac1f6b442184</v>
      </c>
      <c r="AB5014" s="35" t="s">
        <v>42</v>
      </c>
      <c r="AC5014" s="35" t="s">
        <v>17735</v>
      </c>
      <c r="AD5014" s="35"/>
      <c r="AE5014" s="52" t="s">
        <v>1251</v>
      </c>
    </row>
    <row r="5015" spans="2:31" s="1" customFormat="1" ht="96.3" customHeight="1" outlineLevel="4">
      <c r="B5015" s="59">
        <v>4053</v>
      </c>
      <c r="C5015" s="35" t="s">
        <v>17752</v>
      </c>
      <c r="D5015" s="73" t="s">
        <v>17753</v>
      </c>
      <c r="E5015" s="73"/>
      <c r="F5015" s="73"/>
      <c r="G5015" s="73"/>
      <c r="H5015" s="36" t="s">
        <v>17754</v>
      </c>
      <c r="I5015" s="56" t="s">
        <v>36</v>
      </c>
      <c r="J5015" s="36"/>
      <c r="K5015" s="34">
        <v>4</v>
      </c>
      <c r="L5015" s="41">
        <v>26.066666666666666</v>
      </c>
      <c r="M5015" s="11"/>
      <c r="N5015" s="36">
        <f t="shared" si="260"/>
        <v>0</v>
      </c>
      <c r="O5015" s="47">
        <f t="shared" si="263"/>
        <v>0</v>
      </c>
      <c r="P5015" s="43">
        <f t="shared" si="264"/>
        <v>0</v>
      </c>
      <c r="Q5015" s="50"/>
      <c r="R5015" s="36" t="s">
        <v>17755</v>
      </c>
      <c r="S5015" s="36" t="s">
        <v>435</v>
      </c>
      <c r="T5015" s="35" t="str">
        <f>HYPERLINK("https://miland.ru/api/getInfo/image/6d3a1faf-1a2c-11e9-a21c-ac1f6b442184")</f>
        <v>https://miland.ru/api/getInfo/image/6d3a1faf-1a2c-11e9-a21c-ac1f6b442184</v>
      </c>
      <c r="U5015" s="35"/>
      <c r="V5015" s="35" t="s">
        <v>11948</v>
      </c>
      <c r="W5015" s="35" t="s">
        <v>1630</v>
      </c>
      <c r="X5015" s="35"/>
      <c r="Y5015" s="35" t="s">
        <v>697</v>
      </c>
      <c r="Z5015" s="35"/>
      <c r="AA5015" s="35" t="str">
        <f>HYPERLINK("https://miland.ru/api/getInfo/item/6d3a1faf-1a2c-11e9-a21c-ac1f6b442184")</f>
        <v>https://miland.ru/api/getInfo/item/6d3a1faf-1a2c-11e9-a21c-ac1f6b442184</v>
      </c>
      <c r="AB5015" s="35" t="s">
        <v>42</v>
      </c>
      <c r="AC5015" s="35" t="s">
        <v>17735</v>
      </c>
      <c r="AD5015" s="35"/>
      <c r="AE5015" s="52" t="s">
        <v>1251</v>
      </c>
    </row>
    <row r="5016" spans="2:31" s="1" customFormat="1" ht="96.3" customHeight="1" outlineLevel="4">
      <c r="B5016" s="59">
        <v>4054</v>
      </c>
      <c r="C5016" s="35" t="s">
        <v>17756</v>
      </c>
      <c r="D5016" s="73" t="s">
        <v>17757</v>
      </c>
      <c r="E5016" s="73"/>
      <c r="F5016" s="73"/>
      <c r="G5016" s="73"/>
      <c r="H5016" s="36" t="s">
        <v>17758</v>
      </c>
      <c r="I5016" s="56" t="s">
        <v>36</v>
      </c>
      <c r="J5016" s="36"/>
      <c r="K5016" s="34">
        <v>4</v>
      </c>
      <c r="L5016" s="41">
        <v>26.066666666666666</v>
      </c>
      <c r="M5016" s="11"/>
      <c r="N5016" s="36">
        <f t="shared" si="260"/>
        <v>0</v>
      </c>
      <c r="O5016" s="47">
        <f t="shared" si="263"/>
        <v>0</v>
      </c>
      <c r="P5016" s="43">
        <f t="shared" si="264"/>
        <v>0</v>
      </c>
      <c r="Q5016" s="50"/>
      <c r="R5016" s="36" t="s">
        <v>17759</v>
      </c>
      <c r="S5016" s="36" t="s">
        <v>435</v>
      </c>
      <c r="T5016" s="35" t="str">
        <f>HYPERLINK("https://miland.ru/api/getInfo/image/837818b2-1a2c-11e9-a21c-ac1f6b442184")</f>
        <v>https://miland.ru/api/getInfo/image/837818b2-1a2c-11e9-a21c-ac1f6b442184</v>
      </c>
      <c r="U5016" s="35"/>
      <c r="V5016" s="35" t="s">
        <v>11948</v>
      </c>
      <c r="W5016" s="35" t="s">
        <v>1630</v>
      </c>
      <c r="X5016" s="35"/>
      <c r="Y5016" s="35" t="s">
        <v>697</v>
      </c>
      <c r="Z5016" s="35"/>
      <c r="AA5016" s="35" t="str">
        <f>HYPERLINK("https://miland.ru/api/getInfo/item/837818b2-1a2c-11e9-a21c-ac1f6b442184")</f>
        <v>https://miland.ru/api/getInfo/item/837818b2-1a2c-11e9-a21c-ac1f6b442184</v>
      </c>
      <c r="AB5016" s="35" t="s">
        <v>42</v>
      </c>
      <c r="AC5016" s="35" t="s">
        <v>17735</v>
      </c>
      <c r="AD5016" s="35"/>
      <c r="AE5016" s="52" t="s">
        <v>1251</v>
      </c>
    </row>
    <row r="5017" spans="2:31" s="1" customFormat="1" ht="96.3" customHeight="1" outlineLevel="4">
      <c r="B5017" s="59">
        <v>4055</v>
      </c>
      <c r="C5017" s="35" t="s">
        <v>17760</v>
      </c>
      <c r="D5017" s="73" t="s">
        <v>17761</v>
      </c>
      <c r="E5017" s="73"/>
      <c r="F5017" s="73"/>
      <c r="G5017" s="73"/>
      <c r="H5017" s="36" t="s">
        <v>17762</v>
      </c>
      <c r="I5017" s="56" t="s">
        <v>36</v>
      </c>
      <c r="J5017" s="36"/>
      <c r="K5017" s="34">
        <v>4</v>
      </c>
      <c r="L5017" s="41">
        <v>26.066666666666666</v>
      </c>
      <c r="M5017" s="11"/>
      <c r="N5017" s="36">
        <f t="shared" si="260"/>
        <v>0</v>
      </c>
      <c r="O5017" s="47">
        <f t="shared" si="263"/>
        <v>0</v>
      </c>
      <c r="P5017" s="43">
        <f t="shared" si="264"/>
        <v>0</v>
      </c>
      <c r="Q5017" s="50"/>
      <c r="R5017" s="36" t="s">
        <v>17763</v>
      </c>
      <c r="S5017" s="36" t="s">
        <v>435</v>
      </c>
      <c r="T5017" s="35" t="str">
        <f>HYPERLINK("https://miland.ru/api/getInfo/image/aedcc22d-1a2d-11e9-a21c-ac1f6b442184")</f>
        <v>https://miland.ru/api/getInfo/image/aedcc22d-1a2d-11e9-a21c-ac1f6b442184</v>
      </c>
      <c r="U5017" s="35"/>
      <c r="V5017" s="35" t="s">
        <v>11948</v>
      </c>
      <c r="W5017" s="35" t="s">
        <v>1630</v>
      </c>
      <c r="X5017" s="35"/>
      <c r="Y5017" s="35" t="s">
        <v>697</v>
      </c>
      <c r="Z5017" s="35"/>
      <c r="AA5017" s="35" t="str">
        <f>HYPERLINK("https://miland.ru/api/getInfo/item/aedcc22d-1a2d-11e9-a21c-ac1f6b442184")</f>
        <v>https://miland.ru/api/getInfo/item/aedcc22d-1a2d-11e9-a21c-ac1f6b442184</v>
      </c>
      <c r="AB5017" s="35" t="s">
        <v>42</v>
      </c>
      <c r="AC5017" s="35" t="s">
        <v>17735</v>
      </c>
      <c r="AD5017" s="35"/>
      <c r="AE5017" s="52" t="s">
        <v>1251</v>
      </c>
    </row>
    <row r="5018" spans="2:31" s="1" customFormat="1" ht="96.3" customHeight="1" outlineLevel="4">
      <c r="B5018" s="59">
        <v>4056</v>
      </c>
      <c r="C5018" s="35" t="s">
        <v>17764</v>
      </c>
      <c r="D5018" s="73" t="s">
        <v>17765</v>
      </c>
      <c r="E5018" s="73"/>
      <c r="F5018" s="73"/>
      <c r="G5018" s="73"/>
      <c r="H5018" s="36" t="s">
        <v>17766</v>
      </c>
      <c r="I5018" s="56" t="s">
        <v>36</v>
      </c>
      <c r="J5018" s="36"/>
      <c r="K5018" s="34">
        <v>4</v>
      </c>
      <c r="L5018" s="41">
        <v>26.066666666666666</v>
      </c>
      <c r="M5018" s="11"/>
      <c r="N5018" s="36">
        <f t="shared" si="260"/>
        <v>0</v>
      </c>
      <c r="O5018" s="47">
        <f t="shared" si="263"/>
        <v>0</v>
      </c>
      <c r="P5018" s="43">
        <f t="shared" si="264"/>
        <v>0</v>
      </c>
      <c r="Q5018" s="50"/>
      <c r="R5018" s="36" t="s">
        <v>17767</v>
      </c>
      <c r="S5018" s="36" t="s">
        <v>435</v>
      </c>
      <c r="T5018" s="35" t="str">
        <f>HYPERLINK("https://miland.ru/api/getInfo/image/c5886a55-1a2d-11e9-a21c-ac1f6b442184")</f>
        <v>https://miland.ru/api/getInfo/image/c5886a55-1a2d-11e9-a21c-ac1f6b442184</v>
      </c>
      <c r="U5018" s="35"/>
      <c r="V5018" s="35" t="s">
        <v>11948</v>
      </c>
      <c r="W5018" s="35" t="s">
        <v>1630</v>
      </c>
      <c r="X5018" s="35"/>
      <c r="Y5018" s="35" t="s">
        <v>697</v>
      </c>
      <c r="Z5018" s="35"/>
      <c r="AA5018" s="35" t="str">
        <f>HYPERLINK("https://miland.ru/api/getInfo/item/c5886a55-1a2d-11e9-a21c-ac1f6b442184")</f>
        <v>https://miland.ru/api/getInfo/item/c5886a55-1a2d-11e9-a21c-ac1f6b442184</v>
      </c>
      <c r="AB5018" s="35" t="s">
        <v>42</v>
      </c>
      <c r="AC5018" s="35" t="s">
        <v>17735</v>
      </c>
      <c r="AD5018" s="35"/>
      <c r="AE5018" s="52" t="s">
        <v>1251</v>
      </c>
    </row>
    <row r="5019" spans="2:31" s="1" customFormat="1" ht="96.3" customHeight="1" outlineLevel="4">
      <c r="B5019" s="59">
        <v>4057</v>
      </c>
      <c r="C5019" s="35" t="s">
        <v>17768</v>
      </c>
      <c r="D5019" s="73" t="s">
        <v>17769</v>
      </c>
      <c r="E5019" s="73"/>
      <c r="F5019" s="73"/>
      <c r="G5019" s="73"/>
      <c r="H5019" s="36" t="s">
        <v>17770</v>
      </c>
      <c r="I5019" s="40">
        <v>26</v>
      </c>
      <c r="J5019" s="36"/>
      <c r="K5019" s="34">
        <v>12</v>
      </c>
      <c r="L5019" s="41">
        <v>19</v>
      </c>
      <c r="M5019" s="11"/>
      <c r="N5019" s="36">
        <f t="shared" si="260"/>
        <v>0</v>
      </c>
      <c r="O5019" s="42">
        <f>0.011*M5019</f>
        <v>0</v>
      </c>
      <c r="P5019" s="43">
        <f>0.00007*M5019</f>
        <v>0</v>
      </c>
      <c r="Q5019" s="50"/>
      <c r="R5019" s="36" t="s">
        <v>17771</v>
      </c>
      <c r="S5019" s="36" t="s">
        <v>435</v>
      </c>
      <c r="T5019" s="35" t="str">
        <f>HYPERLINK("https://miland.ru/api/getInfo/image/5782f819-986f-11eb-a201-ac1f6b442185")</f>
        <v>https://miland.ru/api/getInfo/image/5782f819-986f-11eb-a201-ac1f6b442185</v>
      </c>
      <c r="U5019" s="35"/>
      <c r="V5019" s="35" t="s">
        <v>11948</v>
      </c>
      <c r="W5019" s="35" t="s">
        <v>1630</v>
      </c>
      <c r="X5019" s="35"/>
      <c r="Y5019" s="35" t="s">
        <v>697</v>
      </c>
      <c r="Z5019" s="35"/>
      <c r="AA5019" s="35" t="str">
        <f>HYPERLINK("https://miland.ru/api/getInfo/item/5782f819-986f-11eb-a201-ac1f6b442185")</f>
        <v>https://miland.ru/api/getInfo/item/5782f819-986f-11eb-a201-ac1f6b442185</v>
      </c>
      <c r="AB5019" s="35" t="s">
        <v>42</v>
      </c>
      <c r="AC5019" s="35"/>
      <c r="AD5019" s="35"/>
      <c r="AE5019" s="52" t="s">
        <v>1251</v>
      </c>
    </row>
    <row r="5020" spans="2:31" s="1" customFormat="1" ht="96.3" customHeight="1" outlineLevel="4">
      <c r="B5020" s="59">
        <v>4058</v>
      </c>
      <c r="C5020" s="35" t="s">
        <v>17772</v>
      </c>
      <c r="D5020" s="73" t="s">
        <v>17773</v>
      </c>
      <c r="E5020" s="73"/>
      <c r="F5020" s="73"/>
      <c r="G5020" s="73"/>
      <c r="H5020" s="36" t="s">
        <v>17774</v>
      </c>
      <c r="I5020" s="40">
        <v>74</v>
      </c>
      <c r="J5020" s="36"/>
      <c r="K5020" s="34">
        <v>12</v>
      </c>
      <c r="L5020" s="41">
        <v>19</v>
      </c>
      <c r="M5020" s="11"/>
      <c r="N5020" s="36">
        <f t="shared" si="260"/>
        <v>0</v>
      </c>
      <c r="O5020" s="42">
        <f>0.012*M5020</f>
        <v>0</v>
      </c>
      <c r="P5020" s="43">
        <f>0.00015*M5020</f>
        <v>0</v>
      </c>
      <c r="Q5020" s="50"/>
      <c r="R5020" s="36" t="s">
        <v>17775</v>
      </c>
      <c r="S5020" s="36" t="s">
        <v>435</v>
      </c>
      <c r="T5020" s="35" t="str">
        <f>HYPERLINK("https://miland.ru/api/getInfo/image/cf54102b-9871-11eb-a201-ac1f6b442185")</f>
        <v>https://miland.ru/api/getInfo/image/cf54102b-9871-11eb-a201-ac1f6b442185</v>
      </c>
      <c r="U5020" s="35"/>
      <c r="V5020" s="35" t="s">
        <v>11948</v>
      </c>
      <c r="W5020" s="35" t="s">
        <v>1630</v>
      </c>
      <c r="X5020" s="35"/>
      <c r="Y5020" s="35" t="s">
        <v>697</v>
      </c>
      <c r="Z5020" s="35"/>
      <c r="AA5020" s="35" t="str">
        <f>HYPERLINK("https://miland.ru/api/getInfo/item/cf54102b-9871-11eb-a201-ac1f6b442185")</f>
        <v>https://miland.ru/api/getInfo/item/cf54102b-9871-11eb-a201-ac1f6b442185</v>
      </c>
      <c r="AB5020" s="35" t="s">
        <v>42</v>
      </c>
      <c r="AC5020" s="35"/>
      <c r="AD5020" s="35"/>
      <c r="AE5020" s="52" t="s">
        <v>1251</v>
      </c>
    </row>
    <row r="5021" spans="2:31" s="1" customFormat="1" ht="96.3" customHeight="1" outlineLevel="4">
      <c r="B5021" s="59">
        <v>4059</v>
      </c>
      <c r="C5021" s="35" t="s">
        <v>17776</v>
      </c>
      <c r="D5021" s="73" t="s">
        <v>17777</v>
      </c>
      <c r="E5021" s="73"/>
      <c r="F5021" s="73"/>
      <c r="G5021" s="73"/>
      <c r="H5021" s="36" t="s">
        <v>17778</v>
      </c>
      <c r="I5021" s="40">
        <v>386</v>
      </c>
      <c r="J5021" s="36"/>
      <c r="K5021" s="34">
        <v>12</v>
      </c>
      <c r="L5021" s="41">
        <v>19</v>
      </c>
      <c r="M5021" s="11"/>
      <c r="N5021" s="36">
        <f t="shared" si="260"/>
        <v>0</v>
      </c>
      <c r="O5021" s="42">
        <f>0.012*M5021</f>
        <v>0</v>
      </c>
      <c r="P5021" s="43">
        <f>0.00015*M5021</f>
        <v>0</v>
      </c>
      <c r="Q5021" s="50"/>
      <c r="R5021" s="36" t="s">
        <v>17779</v>
      </c>
      <c r="S5021" s="36" t="s">
        <v>435</v>
      </c>
      <c r="T5021" s="35" t="str">
        <f>HYPERLINK("https://miland.ru/api/getInfo/image/70f8b9a6-9872-11eb-a201-ac1f6b442185")</f>
        <v>https://miland.ru/api/getInfo/image/70f8b9a6-9872-11eb-a201-ac1f6b442185</v>
      </c>
      <c r="U5021" s="35"/>
      <c r="V5021" s="35" t="s">
        <v>11948</v>
      </c>
      <c r="W5021" s="35" t="s">
        <v>1630</v>
      </c>
      <c r="X5021" s="35"/>
      <c r="Y5021" s="35" t="s">
        <v>697</v>
      </c>
      <c r="Z5021" s="35"/>
      <c r="AA5021" s="35" t="str">
        <f>HYPERLINK("https://miland.ru/api/getInfo/item/70f8b9a6-9872-11eb-a201-ac1f6b442185")</f>
        <v>https://miland.ru/api/getInfo/item/70f8b9a6-9872-11eb-a201-ac1f6b442185</v>
      </c>
      <c r="AB5021" s="35" t="s">
        <v>42</v>
      </c>
      <c r="AC5021" s="35"/>
      <c r="AD5021" s="35"/>
      <c r="AE5021" s="52" t="s">
        <v>1251</v>
      </c>
    </row>
    <row r="5022" spans="2:31" s="1" customFormat="1" ht="96.3" customHeight="1" outlineLevel="4">
      <c r="B5022" s="59">
        <v>4060</v>
      </c>
      <c r="C5022" s="35" t="s">
        <v>17780</v>
      </c>
      <c r="D5022" s="73" t="s">
        <v>17781</v>
      </c>
      <c r="E5022" s="73"/>
      <c r="F5022" s="73"/>
      <c r="G5022" s="73"/>
      <c r="H5022" s="36" t="s">
        <v>17782</v>
      </c>
      <c r="I5022" s="56" t="s">
        <v>36</v>
      </c>
      <c r="J5022" s="36"/>
      <c r="K5022" s="34">
        <v>12</v>
      </c>
      <c r="L5022" s="41">
        <v>19</v>
      </c>
      <c r="M5022" s="11"/>
      <c r="N5022" s="36">
        <f t="shared" si="260"/>
        <v>0</v>
      </c>
      <c r="O5022" s="42">
        <f>0.012*M5022</f>
        <v>0</v>
      </c>
      <c r="P5022" s="43">
        <f>0.00015*M5022</f>
        <v>0</v>
      </c>
      <c r="Q5022" s="50"/>
      <c r="R5022" s="36" t="s">
        <v>17783</v>
      </c>
      <c r="S5022" s="36" t="s">
        <v>435</v>
      </c>
      <c r="T5022" s="35" t="str">
        <f>HYPERLINK("https://miland.ru/api/getInfo/image/c995cee1-9873-11eb-a201-ac1f6b442185")</f>
        <v>https://miland.ru/api/getInfo/image/c995cee1-9873-11eb-a201-ac1f6b442185</v>
      </c>
      <c r="U5022" s="35"/>
      <c r="V5022" s="35" t="s">
        <v>11948</v>
      </c>
      <c r="W5022" s="35" t="s">
        <v>1630</v>
      </c>
      <c r="X5022" s="35"/>
      <c r="Y5022" s="35" t="s">
        <v>697</v>
      </c>
      <c r="Z5022" s="35"/>
      <c r="AA5022" s="35" t="str">
        <f>HYPERLINK("https://miland.ru/api/getInfo/item/c995cee1-9873-11eb-a201-ac1f6b442185")</f>
        <v>https://miland.ru/api/getInfo/item/c995cee1-9873-11eb-a201-ac1f6b442185</v>
      </c>
      <c r="AB5022" s="35" t="s">
        <v>42</v>
      </c>
      <c r="AC5022" s="35"/>
      <c r="AD5022" s="35"/>
      <c r="AE5022" s="52" t="s">
        <v>1251</v>
      </c>
    </row>
    <row r="5023" spans="2:31" s="1" customFormat="1" ht="96.3" customHeight="1" outlineLevel="4">
      <c r="B5023" s="59">
        <v>4061</v>
      </c>
      <c r="C5023" s="35" t="s">
        <v>17784</v>
      </c>
      <c r="D5023" s="73" t="s">
        <v>17785</v>
      </c>
      <c r="E5023" s="73"/>
      <c r="F5023" s="73"/>
      <c r="G5023" s="73"/>
      <c r="H5023" s="36" t="s">
        <v>17786</v>
      </c>
      <c r="I5023" s="56" t="s">
        <v>36</v>
      </c>
      <c r="J5023" s="36"/>
      <c r="K5023" s="34">
        <v>7</v>
      </c>
      <c r="L5023" s="41">
        <v>26.066666666666666</v>
      </c>
      <c r="M5023" s="11"/>
      <c r="N5023" s="36">
        <f t="shared" si="260"/>
        <v>0</v>
      </c>
      <c r="O5023" s="47">
        <f t="shared" ref="O5023:O5031" si="265">0.05*M5023</f>
        <v>0</v>
      </c>
      <c r="P5023" s="43">
        <f t="shared" ref="P5023:P5031" si="266">0.00038*M5023</f>
        <v>0</v>
      </c>
      <c r="Q5023" s="50"/>
      <c r="R5023" s="36" t="s">
        <v>17787</v>
      </c>
      <c r="S5023" s="36" t="s">
        <v>435</v>
      </c>
      <c r="T5023" s="35" t="str">
        <f>HYPERLINK("https://miland.ru/api/getInfo/image/d34547f3-1a25-11e9-a21c-ac1f6b442184")</f>
        <v>https://miland.ru/api/getInfo/image/d34547f3-1a25-11e9-a21c-ac1f6b442184</v>
      </c>
      <c r="U5023" s="35"/>
      <c r="V5023" s="35" t="s">
        <v>11948</v>
      </c>
      <c r="W5023" s="35" t="s">
        <v>1630</v>
      </c>
      <c r="X5023" s="35"/>
      <c r="Y5023" s="35" t="s">
        <v>697</v>
      </c>
      <c r="Z5023" s="35"/>
      <c r="AA5023" s="35" t="str">
        <f>HYPERLINK("https://miland.ru/api/getInfo/item/d34547f3-1a25-11e9-a21c-ac1f6b442184")</f>
        <v>https://miland.ru/api/getInfo/item/d34547f3-1a25-11e9-a21c-ac1f6b442184</v>
      </c>
      <c r="AB5023" s="35" t="s">
        <v>42</v>
      </c>
      <c r="AC5023" s="35" t="s">
        <v>17735</v>
      </c>
      <c r="AD5023" s="35"/>
      <c r="AE5023" s="52" t="s">
        <v>1251</v>
      </c>
    </row>
    <row r="5024" spans="2:31" s="1" customFormat="1" ht="96.3" customHeight="1" outlineLevel="4">
      <c r="B5024" s="59">
        <v>4062</v>
      </c>
      <c r="C5024" s="35" t="s">
        <v>17788</v>
      </c>
      <c r="D5024" s="73" t="s">
        <v>17789</v>
      </c>
      <c r="E5024" s="73"/>
      <c r="F5024" s="73"/>
      <c r="G5024" s="73"/>
      <c r="H5024" s="36" t="s">
        <v>17790</v>
      </c>
      <c r="I5024" s="56" t="s">
        <v>36</v>
      </c>
      <c r="J5024" s="36"/>
      <c r="K5024" s="34">
        <v>7</v>
      </c>
      <c r="L5024" s="41">
        <v>26.066666666666666</v>
      </c>
      <c r="M5024" s="11"/>
      <c r="N5024" s="36">
        <f t="shared" si="260"/>
        <v>0</v>
      </c>
      <c r="O5024" s="47">
        <f t="shared" si="265"/>
        <v>0</v>
      </c>
      <c r="P5024" s="43">
        <f t="shared" si="266"/>
        <v>0</v>
      </c>
      <c r="Q5024" s="50"/>
      <c r="R5024" s="36" t="s">
        <v>17791</v>
      </c>
      <c r="S5024" s="36" t="s">
        <v>435</v>
      </c>
      <c r="T5024" s="35" t="str">
        <f>HYPERLINK("https://miland.ru/api/getInfo/image/032a4850-1a26-11e9-a21c-ac1f6b442184")</f>
        <v>https://miland.ru/api/getInfo/image/032a4850-1a26-11e9-a21c-ac1f6b442184</v>
      </c>
      <c r="U5024" s="35"/>
      <c r="V5024" s="35" t="s">
        <v>11948</v>
      </c>
      <c r="W5024" s="35" t="s">
        <v>1630</v>
      </c>
      <c r="X5024" s="35"/>
      <c r="Y5024" s="35" t="s">
        <v>697</v>
      </c>
      <c r="Z5024" s="35"/>
      <c r="AA5024" s="35" t="str">
        <f>HYPERLINK("https://miland.ru/api/getInfo/item/032a4850-1a26-11e9-a21c-ac1f6b442184")</f>
        <v>https://miland.ru/api/getInfo/item/032a4850-1a26-11e9-a21c-ac1f6b442184</v>
      </c>
      <c r="AB5024" s="35" t="s">
        <v>42</v>
      </c>
      <c r="AC5024" s="35" t="s">
        <v>17735</v>
      </c>
      <c r="AD5024" s="35"/>
      <c r="AE5024" s="52" t="s">
        <v>1251</v>
      </c>
    </row>
    <row r="5025" spans="2:31" s="1" customFormat="1" ht="96.3" customHeight="1" outlineLevel="4">
      <c r="B5025" s="59">
        <v>4063</v>
      </c>
      <c r="C5025" s="35" t="s">
        <v>17792</v>
      </c>
      <c r="D5025" s="73" t="s">
        <v>17793</v>
      </c>
      <c r="E5025" s="73"/>
      <c r="F5025" s="73"/>
      <c r="G5025" s="73"/>
      <c r="H5025" s="36" t="s">
        <v>17794</v>
      </c>
      <c r="I5025" s="56" t="s">
        <v>36</v>
      </c>
      <c r="J5025" s="36"/>
      <c r="K5025" s="34">
        <v>7</v>
      </c>
      <c r="L5025" s="41">
        <v>26.066666666666666</v>
      </c>
      <c r="M5025" s="11"/>
      <c r="N5025" s="36">
        <f t="shared" si="260"/>
        <v>0</v>
      </c>
      <c r="O5025" s="47">
        <f t="shared" si="265"/>
        <v>0</v>
      </c>
      <c r="P5025" s="43">
        <f t="shared" si="266"/>
        <v>0</v>
      </c>
      <c r="Q5025" s="50"/>
      <c r="R5025" s="36" t="s">
        <v>17795</v>
      </c>
      <c r="S5025" s="36" t="s">
        <v>435</v>
      </c>
      <c r="T5025" s="35" t="str">
        <f>HYPERLINK("https://miland.ru/api/getInfo/image/1be76ecb-1a26-11e9-a21c-ac1f6b442184")</f>
        <v>https://miland.ru/api/getInfo/image/1be76ecb-1a26-11e9-a21c-ac1f6b442184</v>
      </c>
      <c r="U5025" s="35"/>
      <c r="V5025" s="35" t="s">
        <v>11948</v>
      </c>
      <c r="W5025" s="35" t="s">
        <v>1630</v>
      </c>
      <c r="X5025" s="35"/>
      <c r="Y5025" s="35" t="s">
        <v>697</v>
      </c>
      <c r="Z5025" s="35"/>
      <c r="AA5025" s="35" t="str">
        <f>HYPERLINK("https://miland.ru/api/getInfo/item/1be76ecb-1a26-11e9-a21c-ac1f6b442184")</f>
        <v>https://miland.ru/api/getInfo/item/1be76ecb-1a26-11e9-a21c-ac1f6b442184</v>
      </c>
      <c r="AB5025" s="35" t="s">
        <v>42</v>
      </c>
      <c r="AC5025" s="35" t="s">
        <v>17735</v>
      </c>
      <c r="AD5025" s="35"/>
      <c r="AE5025" s="52" t="s">
        <v>1251</v>
      </c>
    </row>
    <row r="5026" spans="2:31" s="1" customFormat="1" ht="96.3" customHeight="1" outlineLevel="4">
      <c r="B5026" s="59">
        <v>4064</v>
      </c>
      <c r="C5026" s="35" t="s">
        <v>17796</v>
      </c>
      <c r="D5026" s="73" t="s">
        <v>17797</v>
      </c>
      <c r="E5026" s="73"/>
      <c r="F5026" s="73"/>
      <c r="G5026" s="73"/>
      <c r="H5026" s="36" t="s">
        <v>17798</v>
      </c>
      <c r="I5026" s="56" t="s">
        <v>36</v>
      </c>
      <c r="J5026" s="36"/>
      <c r="K5026" s="34">
        <v>7</v>
      </c>
      <c r="L5026" s="41">
        <v>26.066666666666666</v>
      </c>
      <c r="M5026" s="11"/>
      <c r="N5026" s="36">
        <f t="shared" si="260"/>
        <v>0</v>
      </c>
      <c r="O5026" s="47">
        <f t="shared" si="265"/>
        <v>0</v>
      </c>
      <c r="P5026" s="43">
        <f t="shared" si="266"/>
        <v>0</v>
      </c>
      <c r="Q5026" s="50"/>
      <c r="R5026" s="36" t="s">
        <v>17799</v>
      </c>
      <c r="S5026" s="36" t="s">
        <v>435</v>
      </c>
      <c r="T5026" s="35" t="str">
        <f>HYPERLINK("https://miland.ru/api/getInfo/image/32afd169-1a26-11e9-a21c-ac1f6b442184")</f>
        <v>https://miland.ru/api/getInfo/image/32afd169-1a26-11e9-a21c-ac1f6b442184</v>
      </c>
      <c r="U5026" s="35"/>
      <c r="V5026" s="35" t="s">
        <v>11948</v>
      </c>
      <c r="W5026" s="35" t="s">
        <v>1630</v>
      </c>
      <c r="X5026" s="35"/>
      <c r="Y5026" s="35" t="s">
        <v>697</v>
      </c>
      <c r="Z5026" s="35"/>
      <c r="AA5026" s="35" t="str">
        <f>HYPERLINK("https://miland.ru/api/getInfo/item/32afd169-1a26-11e9-a21c-ac1f6b442184")</f>
        <v>https://miland.ru/api/getInfo/item/32afd169-1a26-11e9-a21c-ac1f6b442184</v>
      </c>
      <c r="AB5026" s="35" t="s">
        <v>42</v>
      </c>
      <c r="AC5026" s="35" t="s">
        <v>17735</v>
      </c>
      <c r="AD5026" s="35"/>
      <c r="AE5026" s="52" t="s">
        <v>1251</v>
      </c>
    </row>
    <row r="5027" spans="2:31" s="1" customFormat="1" ht="96.3" customHeight="1" outlineLevel="4">
      <c r="B5027" s="59">
        <v>4065</v>
      </c>
      <c r="C5027" s="35" t="s">
        <v>17800</v>
      </c>
      <c r="D5027" s="73" t="s">
        <v>17801</v>
      </c>
      <c r="E5027" s="73"/>
      <c r="F5027" s="73"/>
      <c r="G5027" s="73"/>
      <c r="H5027" s="36" t="s">
        <v>17802</v>
      </c>
      <c r="I5027" s="56" t="s">
        <v>36</v>
      </c>
      <c r="J5027" s="36"/>
      <c r="K5027" s="34">
        <v>7</v>
      </c>
      <c r="L5027" s="41">
        <v>26.066666666666666</v>
      </c>
      <c r="M5027" s="11"/>
      <c r="N5027" s="36">
        <f t="shared" si="260"/>
        <v>0</v>
      </c>
      <c r="O5027" s="47">
        <f t="shared" si="265"/>
        <v>0</v>
      </c>
      <c r="P5027" s="43">
        <f t="shared" si="266"/>
        <v>0</v>
      </c>
      <c r="Q5027" s="50"/>
      <c r="R5027" s="36" t="s">
        <v>17803</v>
      </c>
      <c r="S5027" s="36" t="s">
        <v>435</v>
      </c>
      <c r="T5027" s="35" t="str">
        <f>HYPERLINK("https://miland.ru/api/getInfo/image/4b9c9df3-1a26-11e9-a21c-ac1f6b442184")</f>
        <v>https://miland.ru/api/getInfo/image/4b9c9df3-1a26-11e9-a21c-ac1f6b442184</v>
      </c>
      <c r="U5027" s="35"/>
      <c r="V5027" s="35" t="s">
        <v>11948</v>
      </c>
      <c r="W5027" s="35" t="s">
        <v>1630</v>
      </c>
      <c r="X5027" s="35"/>
      <c r="Y5027" s="35" t="s">
        <v>697</v>
      </c>
      <c r="Z5027" s="35"/>
      <c r="AA5027" s="35" t="str">
        <f>HYPERLINK("https://miland.ru/api/getInfo/item/4b9c9df3-1a26-11e9-a21c-ac1f6b442184")</f>
        <v>https://miland.ru/api/getInfo/item/4b9c9df3-1a26-11e9-a21c-ac1f6b442184</v>
      </c>
      <c r="AB5027" s="35" t="s">
        <v>42</v>
      </c>
      <c r="AC5027" s="35" t="s">
        <v>17735</v>
      </c>
      <c r="AD5027" s="35"/>
      <c r="AE5027" s="52" t="s">
        <v>1251</v>
      </c>
    </row>
    <row r="5028" spans="2:31" s="1" customFormat="1" ht="96.3" customHeight="1" outlineLevel="4">
      <c r="B5028" s="59">
        <v>4066</v>
      </c>
      <c r="C5028" s="35" t="s">
        <v>17804</v>
      </c>
      <c r="D5028" s="73" t="s">
        <v>17805</v>
      </c>
      <c r="E5028" s="73"/>
      <c r="F5028" s="73"/>
      <c r="G5028" s="73"/>
      <c r="H5028" s="36" t="s">
        <v>17806</v>
      </c>
      <c r="I5028" s="56" t="s">
        <v>36</v>
      </c>
      <c r="J5028" s="36"/>
      <c r="K5028" s="34">
        <v>7</v>
      </c>
      <c r="L5028" s="41">
        <v>26.066666666666666</v>
      </c>
      <c r="M5028" s="11"/>
      <c r="N5028" s="36">
        <f t="shared" si="260"/>
        <v>0</v>
      </c>
      <c r="O5028" s="47">
        <f t="shared" si="265"/>
        <v>0</v>
      </c>
      <c r="P5028" s="43">
        <f t="shared" si="266"/>
        <v>0</v>
      </c>
      <c r="Q5028" s="50"/>
      <c r="R5028" s="36" t="s">
        <v>17807</v>
      </c>
      <c r="S5028" s="36" t="s">
        <v>435</v>
      </c>
      <c r="T5028" s="35" t="str">
        <f>HYPERLINK("https://miland.ru/api/getInfo/image/7092175a-1a26-11e9-a21c-ac1f6b442184")</f>
        <v>https://miland.ru/api/getInfo/image/7092175a-1a26-11e9-a21c-ac1f6b442184</v>
      </c>
      <c r="U5028" s="35"/>
      <c r="V5028" s="35" t="s">
        <v>11948</v>
      </c>
      <c r="W5028" s="35" t="s">
        <v>1630</v>
      </c>
      <c r="X5028" s="35"/>
      <c r="Y5028" s="35" t="s">
        <v>697</v>
      </c>
      <c r="Z5028" s="35"/>
      <c r="AA5028" s="35" t="str">
        <f>HYPERLINK("https://miland.ru/api/getInfo/item/7092175a-1a26-11e9-a21c-ac1f6b442184")</f>
        <v>https://miland.ru/api/getInfo/item/7092175a-1a26-11e9-a21c-ac1f6b442184</v>
      </c>
      <c r="AB5028" s="35" t="s">
        <v>42</v>
      </c>
      <c r="AC5028" s="35" t="s">
        <v>17735</v>
      </c>
      <c r="AD5028" s="35"/>
      <c r="AE5028" s="52" t="s">
        <v>1251</v>
      </c>
    </row>
    <row r="5029" spans="2:31" s="1" customFormat="1" ht="96.3" customHeight="1" outlineLevel="4">
      <c r="B5029" s="59">
        <v>4067</v>
      </c>
      <c r="C5029" s="35" t="s">
        <v>17808</v>
      </c>
      <c r="D5029" s="73" t="s">
        <v>17809</v>
      </c>
      <c r="E5029" s="73"/>
      <c r="F5029" s="73"/>
      <c r="G5029" s="73"/>
      <c r="H5029" s="36" t="s">
        <v>17810</v>
      </c>
      <c r="I5029" s="56" t="s">
        <v>36</v>
      </c>
      <c r="J5029" s="36"/>
      <c r="K5029" s="34">
        <v>7</v>
      </c>
      <c r="L5029" s="41">
        <v>26.066666666666666</v>
      </c>
      <c r="M5029" s="11"/>
      <c r="N5029" s="36">
        <f t="shared" si="260"/>
        <v>0</v>
      </c>
      <c r="O5029" s="47">
        <f t="shared" si="265"/>
        <v>0</v>
      </c>
      <c r="P5029" s="43">
        <f t="shared" si="266"/>
        <v>0</v>
      </c>
      <c r="Q5029" s="50"/>
      <c r="R5029" s="36" t="s">
        <v>17811</v>
      </c>
      <c r="S5029" s="36" t="s">
        <v>435</v>
      </c>
      <c r="T5029" s="35" t="str">
        <f>HYPERLINK("https://miland.ru/api/getInfo/image/4e367b43-1a2b-11e9-a21c-ac1f6b442184")</f>
        <v>https://miland.ru/api/getInfo/image/4e367b43-1a2b-11e9-a21c-ac1f6b442184</v>
      </c>
      <c r="U5029" s="35"/>
      <c r="V5029" s="35" t="s">
        <v>11948</v>
      </c>
      <c r="W5029" s="35" t="s">
        <v>1630</v>
      </c>
      <c r="X5029" s="35"/>
      <c r="Y5029" s="35" t="s">
        <v>697</v>
      </c>
      <c r="Z5029" s="35"/>
      <c r="AA5029" s="35" t="str">
        <f>HYPERLINK("https://miland.ru/api/getInfo/item/4e367b43-1a2b-11e9-a21c-ac1f6b442184")</f>
        <v>https://miland.ru/api/getInfo/item/4e367b43-1a2b-11e9-a21c-ac1f6b442184</v>
      </c>
      <c r="AB5029" s="35" t="s">
        <v>42</v>
      </c>
      <c r="AC5029" s="35" t="s">
        <v>17735</v>
      </c>
      <c r="AD5029" s="35"/>
      <c r="AE5029" s="52" t="s">
        <v>1251</v>
      </c>
    </row>
    <row r="5030" spans="2:31" s="1" customFormat="1" ht="96.3" customHeight="1" outlineLevel="4">
      <c r="B5030" s="59">
        <v>4068</v>
      </c>
      <c r="C5030" s="35" t="s">
        <v>17812</v>
      </c>
      <c r="D5030" s="73" t="s">
        <v>17813</v>
      </c>
      <c r="E5030" s="73"/>
      <c r="F5030" s="73"/>
      <c r="G5030" s="73"/>
      <c r="H5030" s="36" t="s">
        <v>17814</v>
      </c>
      <c r="I5030" s="56" t="s">
        <v>36</v>
      </c>
      <c r="J5030" s="36"/>
      <c r="K5030" s="34">
        <v>7</v>
      </c>
      <c r="L5030" s="41">
        <v>26.066666666666666</v>
      </c>
      <c r="M5030" s="11"/>
      <c r="N5030" s="36">
        <f t="shared" si="260"/>
        <v>0</v>
      </c>
      <c r="O5030" s="47">
        <f t="shared" si="265"/>
        <v>0</v>
      </c>
      <c r="P5030" s="43">
        <f t="shared" si="266"/>
        <v>0</v>
      </c>
      <c r="Q5030" s="50"/>
      <c r="R5030" s="36" t="s">
        <v>17815</v>
      </c>
      <c r="S5030" s="36" t="s">
        <v>435</v>
      </c>
      <c r="T5030" s="35" t="str">
        <f>HYPERLINK("https://miland.ru/api/getInfo/image/7fc8529b-1a2b-11e9-a21c-ac1f6b442184")</f>
        <v>https://miland.ru/api/getInfo/image/7fc8529b-1a2b-11e9-a21c-ac1f6b442184</v>
      </c>
      <c r="U5030" s="35"/>
      <c r="V5030" s="35" t="s">
        <v>11948</v>
      </c>
      <c r="W5030" s="35" t="s">
        <v>1630</v>
      </c>
      <c r="X5030" s="35"/>
      <c r="Y5030" s="35" t="s">
        <v>697</v>
      </c>
      <c r="Z5030" s="35"/>
      <c r="AA5030" s="35" t="str">
        <f>HYPERLINK("https://miland.ru/api/getInfo/item/7fc8529b-1a2b-11e9-a21c-ac1f6b442184")</f>
        <v>https://miland.ru/api/getInfo/item/7fc8529b-1a2b-11e9-a21c-ac1f6b442184</v>
      </c>
      <c r="AB5030" s="35" t="s">
        <v>42</v>
      </c>
      <c r="AC5030" s="35" t="s">
        <v>17735</v>
      </c>
      <c r="AD5030" s="35"/>
      <c r="AE5030" s="52" t="s">
        <v>1251</v>
      </c>
    </row>
    <row r="5031" spans="2:31" s="1" customFormat="1" ht="96.3" customHeight="1" outlineLevel="4">
      <c r="B5031" s="59">
        <v>4069</v>
      </c>
      <c r="C5031" s="35" t="s">
        <v>17816</v>
      </c>
      <c r="D5031" s="73" t="s">
        <v>17817</v>
      </c>
      <c r="E5031" s="73"/>
      <c r="F5031" s="73"/>
      <c r="G5031" s="73"/>
      <c r="H5031" s="36" t="s">
        <v>17818</v>
      </c>
      <c r="I5031" s="56" t="s">
        <v>36</v>
      </c>
      <c r="J5031" s="36"/>
      <c r="K5031" s="34">
        <v>7</v>
      </c>
      <c r="L5031" s="41">
        <v>26.066666666666666</v>
      </c>
      <c r="M5031" s="11"/>
      <c r="N5031" s="36">
        <f t="shared" si="260"/>
        <v>0</v>
      </c>
      <c r="O5031" s="47">
        <f t="shared" si="265"/>
        <v>0</v>
      </c>
      <c r="P5031" s="43">
        <f t="shared" si="266"/>
        <v>0</v>
      </c>
      <c r="Q5031" s="50"/>
      <c r="R5031" s="36" t="s">
        <v>17819</v>
      </c>
      <c r="S5031" s="36" t="s">
        <v>435</v>
      </c>
      <c r="T5031" s="35" t="str">
        <f>HYPERLINK("https://miland.ru/api/getInfo/image/a30e170d-1a2b-11e9-a21c-ac1f6b442184")</f>
        <v>https://miland.ru/api/getInfo/image/a30e170d-1a2b-11e9-a21c-ac1f6b442184</v>
      </c>
      <c r="U5031" s="35"/>
      <c r="V5031" s="35" t="s">
        <v>11948</v>
      </c>
      <c r="W5031" s="35" t="s">
        <v>1630</v>
      </c>
      <c r="X5031" s="35"/>
      <c r="Y5031" s="35" t="s">
        <v>697</v>
      </c>
      <c r="Z5031" s="35"/>
      <c r="AA5031" s="35" t="str">
        <f>HYPERLINK("https://miland.ru/api/getInfo/item/a30e170d-1a2b-11e9-a21c-ac1f6b442184")</f>
        <v>https://miland.ru/api/getInfo/item/a30e170d-1a2b-11e9-a21c-ac1f6b442184</v>
      </c>
      <c r="AB5031" s="35" t="s">
        <v>42</v>
      </c>
      <c r="AC5031" s="35" t="s">
        <v>17735</v>
      </c>
      <c r="AD5031" s="35"/>
      <c r="AE5031" s="52" t="s">
        <v>1251</v>
      </c>
    </row>
    <row r="5032" spans="2:31" s="1" customFormat="1" ht="96.3" customHeight="1" outlineLevel="4">
      <c r="B5032" s="59">
        <v>4070</v>
      </c>
      <c r="C5032" s="35" t="s">
        <v>17820</v>
      </c>
      <c r="D5032" s="73" t="s">
        <v>17821</v>
      </c>
      <c r="E5032" s="73"/>
      <c r="F5032" s="73"/>
      <c r="G5032" s="73"/>
      <c r="H5032" s="36" t="s">
        <v>17822</v>
      </c>
      <c r="I5032" s="56" t="s">
        <v>36</v>
      </c>
      <c r="J5032" s="36"/>
      <c r="K5032" s="34">
        <v>12</v>
      </c>
      <c r="L5032" s="41">
        <v>25.013333333333335</v>
      </c>
      <c r="M5032" s="11"/>
      <c r="N5032" s="36">
        <f t="shared" si="260"/>
        <v>0</v>
      </c>
      <c r="O5032" s="47">
        <f>0.02*M5032</f>
        <v>0</v>
      </c>
      <c r="P5032" s="43">
        <f>0.00009*M5032</f>
        <v>0</v>
      </c>
      <c r="Q5032" s="50"/>
      <c r="R5032" s="36" t="s">
        <v>17823</v>
      </c>
      <c r="S5032" s="36" t="s">
        <v>435</v>
      </c>
      <c r="T5032" s="35" t="str">
        <f>HYPERLINK("https://miland.ru/api/getInfo/image/7a14f706-1b2f-11ea-a237-ac1f6b442184")</f>
        <v>https://miland.ru/api/getInfo/image/7a14f706-1b2f-11ea-a237-ac1f6b442184</v>
      </c>
      <c r="U5032" s="35"/>
      <c r="V5032" s="35" t="s">
        <v>11948</v>
      </c>
      <c r="W5032" s="35" t="s">
        <v>1630</v>
      </c>
      <c r="X5032" s="35"/>
      <c r="Y5032" s="35" t="s">
        <v>697</v>
      </c>
      <c r="Z5032" s="35"/>
      <c r="AA5032" s="35" t="str">
        <f>HYPERLINK("https://miland.ru/api/getInfo/item/7a14f706-1b2f-11ea-a237-ac1f6b442184")</f>
        <v>https://miland.ru/api/getInfo/item/7a14f706-1b2f-11ea-a237-ac1f6b442184</v>
      </c>
      <c r="AB5032" s="35" t="s">
        <v>42</v>
      </c>
      <c r="AC5032" s="35" t="s">
        <v>656</v>
      </c>
      <c r="AD5032" s="35"/>
      <c r="AE5032" s="52" t="s">
        <v>1251</v>
      </c>
    </row>
    <row r="5033" spans="2:31" s="1" customFormat="1" ht="96.3" customHeight="1" outlineLevel="4">
      <c r="B5033" s="59">
        <v>4071</v>
      </c>
      <c r="C5033" s="35" t="s">
        <v>17824</v>
      </c>
      <c r="D5033" s="73" t="s">
        <v>17825</v>
      </c>
      <c r="E5033" s="73"/>
      <c r="F5033" s="73"/>
      <c r="G5033" s="73"/>
      <c r="H5033" s="36" t="s">
        <v>17826</v>
      </c>
      <c r="I5033" s="40">
        <v>455</v>
      </c>
      <c r="J5033" s="36"/>
      <c r="K5033" s="34">
        <v>12</v>
      </c>
      <c r="L5033" s="41">
        <v>25.013333333333335</v>
      </c>
      <c r="M5033" s="11"/>
      <c r="N5033" s="36">
        <f t="shared" si="260"/>
        <v>0</v>
      </c>
      <c r="O5033" s="42">
        <f>0.011*M5033</f>
        <v>0</v>
      </c>
      <c r="P5033" s="43">
        <f>0.00014*M5033</f>
        <v>0</v>
      </c>
      <c r="Q5033" s="50"/>
      <c r="R5033" s="36" t="s">
        <v>17827</v>
      </c>
      <c r="S5033" s="36" t="s">
        <v>435</v>
      </c>
      <c r="T5033" s="35" t="str">
        <f>HYPERLINK("https://miland.ru/api/getInfo/image/c6ae5f26-1b2f-11ea-a237-ac1f6b442184")</f>
        <v>https://miland.ru/api/getInfo/image/c6ae5f26-1b2f-11ea-a237-ac1f6b442184</v>
      </c>
      <c r="U5033" s="35"/>
      <c r="V5033" s="35" t="s">
        <v>11948</v>
      </c>
      <c r="W5033" s="35" t="s">
        <v>1630</v>
      </c>
      <c r="X5033" s="35"/>
      <c r="Y5033" s="35" t="s">
        <v>697</v>
      </c>
      <c r="Z5033" s="35"/>
      <c r="AA5033" s="35" t="str">
        <f>HYPERLINK("https://miland.ru/api/getInfo/item/c6ae5f26-1b2f-11ea-a237-ac1f6b442184")</f>
        <v>https://miland.ru/api/getInfo/item/c6ae5f26-1b2f-11ea-a237-ac1f6b442184</v>
      </c>
      <c r="AB5033" s="35" t="s">
        <v>42</v>
      </c>
      <c r="AC5033" s="35" t="s">
        <v>656</v>
      </c>
      <c r="AD5033" s="35"/>
      <c r="AE5033" s="52" t="s">
        <v>1251</v>
      </c>
    </row>
    <row r="5034" spans="2:31" s="1" customFormat="1" ht="96.3" customHeight="1" outlineLevel="4">
      <c r="B5034" s="59">
        <v>4072</v>
      </c>
      <c r="C5034" s="35" t="s">
        <v>17828</v>
      </c>
      <c r="D5034" s="73" t="s">
        <v>17829</v>
      </c>
      <c r="E5034" s="73"/>
      <c r="F5034" s="73"/>
      <c r="G5034" s="73"/>
      <c r="H5034" s="36" t="s">
        <v>17830</v>
      </c>
      <c r="I5034" s="40">
        <v>5</v>
      </c>
      <c r="J5034" s="36"/>
      <c r="K5034" s="34">
        <v>5</v>
      </c>
      <c r="L5034" s="41">
        <v>25.013333333333335</v>
      </c>
      <c r="M5034" s="11"/>
      <c r="N5034" s="36">
        <f t="shared" si="260"/>
        <v>0</v>
      </c>
      <c r="O5034" s="42">
        <f>0.021*M5034</f>
        <v>0</v>
      </c>
      <c r="P5034" s="43">
        <f>0.00018*M5034</f>
        <v>0</v>
      </c>
      <c r="Q5034" s="50"/>
      <c r="R5034" s="36" t="s">
        <v>17831</v>
      </c>
      <c r="S5034" s="36" t="s">
        <v>435</v>
      </c>
      <c r="T5034" s="35" t="str">
        <f>HYPERLINK("https://miland.ru/api/getInfo/image/f7bc5c43-1b2f-11ea-a237-ac1f6b442184")</f>
        <v>https://miland.ru/api/getInfo/image/f7bc5c43-1b2f-11ea-a237-ac1f6b442184</v>
      </c>
      <c r="U5034" s="35"/>
      <c r="V5034" s="35" t="s">
        <v>11948</v>
      </c>
      <c r="W5034" s="35" t="s">
        <v>1630</v>
      </c>
      <c r="X5034" s="35"/>
      <c r="Y5034" s="35" t="s">
        <v>697</v>
      </c>
      <c r="Z5034" s="35"/>
      <c r="AA5034" s="35" t="str">
        <f>HYPERLINK("https://miland.ru/api/getInfo/item/f7bc5c43-1b2f-11ea-a237-ac1f6b442184")</f>
        <v>https://miland.ru/api/getInfo/item/f7bc5c43-1b2f-11ea-a237-ac1f6b442184</v>
      </c>
      <c r="AB5034" s="35" t="s">
        <v>42</v>
      </c>
      <c r="AC5034" s="35" t="s">
        <v>656</v>
      </c>
      <c r="AD5034" s="35"/>
      <c r="AE5034" s="52" t="s">
        <v>1251</v>
      </c>
    </row>
    <row r="5035" spans="2:31" s="1" customFormat="1" ht="96.3" customHeight="1" outlineLevel="4">
      <c r="B5035" s="59">
        <v>4073</v>
      </c>
      <c r="C5035" s="35" t="s">
        <v>17832</v>
      </c>
      <c r="D5035" s="73" t="s">
        <v>17833</v>
      </c>
      <c r="E5035" s="73"/>
      <c r="F5035" s="73"/>
      <c r="G5035" s="73"/>
      <c r="H5035" s="36" t="s">
        <v>17834</v>
      </c>
      <c r="I5035" s="56" t="s">
        <v>36</v>
      </c>
      <c r="J5035" s="36"/>
      <c r="K5035" s="34">
        <v>12</v>
      </c>
      <c r="L5035" s="41">
        <v>25.013333333333335</v>
      </c>
      <c r="M5035" s="11"/>
      <c r="N5035" s="36">
        <f t="shared" si="260"/>
        <v>0</v>
      </c>
      <c r="O5035" s="42">
        <f>0.017*M5035</f>
        <v>0</v>
      </c>
      <c r="P5035" s="43">
        <f>0.00013*M5035</f>
        <v>0</v>
      </c>
      <c r="Q5035" s="50"/>
      <c r="R5035" s="36" t="s">
        <v>17835</v>
      </c>
      <c r="S5035" s="36" t="s">
        <v>435</v>
      </c>
      <c r="T5035" s="35" t="str">
        <f>HYPERLINK("https://miland.ru/api/getInfo/image/1b83dea7-1b30-11ea-a237-ac1f6b442184")</f>
        <v>https://miland.ru/api/getInfo/image/1b83dea7-1b30-11ea-a237-ac1f6b442184</v>
      </c>
      <c r="U5035" s="35"/>
      <c r="V5035" s="35" t="s">
        <v>11948</v>
      </c>
      <c r="W5035" s="35" t="s">
        <v>1630</v>
      </c>
      <c r="X5035" s="35"/>
      <c r="Y5035" s="35" t="s">
        <v>697</v>
      </c>
      <c r="Z5035" s="35"/>
      <c r="AA5035" s="35" t="str">
        <f>HYPERLINK("https://miland.ru/api/getInfo/item/1b83dea7-1b30-11ea-a237-ac1f6b442184")</f>
        <v>https://miland.ru/api/getInfo/item/1b83dea7-1b30-11ea-a237-ac1f6b442184</v>
      </c>
      <c r="AB5035" s="35" t="s">
        <v>42</v>
      </c>
      <c r="AC5035" s="35" t="s">
        <v>656</v>
      </c>
      <c r="AD5035" s="35"/>
      <c r="AE5035" s="52" t="s">
        <v>1251</v>
      </c>
    </row>
    <row r="5036" spans="2:31" s="1" customFormat="1" ht="96.3" customHeight="1" outlineLevel="4">
      <c r="B5036" s="59">
        <v>4074</v>
      </c>
      <c r="C5036" s="35" t="s">
        <v>17836</v>
      </c>
      <c r="D5036" s="73" t="s">
        <v>17837</v>
      </c>
      <c r="E5036" s="73"/>
      <c r="F5036" s="73"/>
      <c r="G5036" s="73"/>
      <c r="H5036" s="36" t="s">
        <v>17838</v>
      </c>
      <c r="I5036" s="56" t="s">
        <v>36</v>
      </c>
      <c r="J5036" s="36"/>
      <c r="K5036" s="34">
        <v>12</v>
      </c>
      <c r="L5036" s="41">
        <v>25.013333333333335</v>
      </c>
      <c r="M5036" s="11"/>
      <c r="N5036" s="36">
        <f t="shared" si="260"/>
        <v>0</v>
      </c>
      <c r="O5036" s="47">
        <f>0.02*M5036</f>
        <v>0</v>
      </c>
      <c r="P5036" s="43">
        <f>0.00009*M5036</f>
        <v>0</v>
      </c>
      <c r="Q5036" s="50"/>
      <c r="R5036" s="36" t="s">
        <v>17839</v>
      </c>
      <c r="S5036" s="36" t="s">
        <v>435</v>
      </c>
      <c r="T5036" s="35" t="str">
        <f>HYPERLINK("https://miland.ru/api/getInfo/image/3dab0d88-1b30-11ea-a237-ac1f6b442184")</f>
        <v>https://miland.ru/api/getInfo/image/3dab0d88-1b30-11ea-a237-ac1f6b442184</v>
      </c>
      <c r="U5036" s="35"/>
      <c r="V5036" s="35" t="s">
        <v>11948</v>
      </c>
      <c r="W5036" s="35" t="s">
        <v>1630</v>
      </c>
      <c r="X5036" s="35"/>
      <c r="Y5036" s="35" t="s">
        <v>697</v>
      </c>
      <c r="Z5036" s="35"/>
      <c r="AA5036" s="35" t="str">
        <f>HYPERLINK("https://miland.ru/api/getInfo/item/3dab0d88-1b30-11ea-a237-ac1f6b442184")</f>
        <v>https://miland.ru/api/getInfo/item/3dab0d88-1b30-11ea-a237-ac1f6b442184</v>
      </c>
      <c r="AB5036" s="35" t="s">
        <v>42</v>
      </c>
      <c r="AC5036" s="35" t="s">
        <v>656</v>
      </c>
      <c r="AD5036" s="35"/>
      <c r="AE5036" s="52" t="s">
        <v>1251</v>
      </c>
    </row>
    <row r="5037" spans="2:31" s="1" customFormat="1" ht="96.3" customHeight="1" outlineLevel="4">
      <c r="B5037" s="59">
        <v>4075</v>
      </c>
      <c r="C5037" s="35" t="s">
        <v>17840</v>
      </c>
      <c r="D5037" s="73" t="s">
        <v>17841</v>
      </c>
      <c r="E5037" s="73"/>
      <c r="F5037" s="73"/>
      <c r="G5037" s="73"/>
      <c r="H5037" s="36" t="s">
        <v>17842</v>
      </c>
      <c r="I5037" s="56" t="s">
        <v>36</v>
      </c>
      <c r="J5037" s="36"/>
      <c r="K5037" s="34">
        <v>12</v>
      </c>
      <c r="L5037" s="41">
        <v>69.760000000000005</v>
      </c>
      <c r="M5037" s="11"/>
      <c r="N5037" s="36">
        <f t="shared" si="260"/>
        <v>0</v>
      </c>
      <c r="O5037" s="42">
        <f>0.015*M5037</f>
        <v>0</v>
      </c>
      <c r="P5037" s="43">
        <f>0.00016*M5037</f>
        <v>0</v>
      </c>
      <c r="Q5037" s="50"/>
      <c r="R5037" s="36" t="s">
        <v>17843</v>
      </c>
      <c r="S5037" s="36" t="s">
        <v>435</v>
      </c>
      <c r="T5037" s="35" t="str">
        <f>HYPERLINK("https://miland.ru/api/getInfo/image/761e608f-1b30-11ea-a237-ac1f6b442184")</f>
        <v>https://miland.ru/api/getInfo/image/761e608f-1b30-11ea-a237-ac1f6b442184</v>
      </c>
      <c r="U5037" s="35"/>
      <c r="V5037" s="35" t="s">
        <v>11948</v>
      </c>
      <c r="W5037" s="35" t="s">
        <v>1630</v>
      </c>
      <c r="X5037" s="35"/>
      <c r="Y5037" s="35" t="s">
        <v>697</v>
      </c>
      <c r="Z5037" s="35"/>
      <c r="AA5037" s="35" t="str">
        <f>HYPERLINK("https://miland.ru/api/getInfo/item/761e608f-1b30-11ea-a237-ac1f6b442184")</f>
        <v>https://miland.ru/api/getInfo/item/761e608f-1b30-11ea-a237-ac1f6b442184</v>
      </c>
      <c r="AB5037" s="35" t="s">
        <v>42</v>
      </c>
      <c r="AC5037" s="35" t="s">
        <v>656</v>
      </c>
      <c r="AD5037" s="35"/>
      <c r="AE5037" s="52" t="s">
        <v>9152</v>
      </c>
    </row>
    <row r="5038" spans="2:31" s="1" customFormat="1" ht="96.3" customHeight="1" outlineLevel="4">
      <c r="B5038" s="59">
        <v>4076</v>
      </c>
      <c r="C5038" s="35" t="s">
        <v>17844</v>
      </c>
      <c r="D5038" s="73" t="s">
        <v>17845</v>
      </c>
      <c r="E5038" s="73"/>
      <c r="F5038" s="73"/>
      <c r="G5038" s="73"/>
      <c r="H5038" s="36" t="s">
        <v>17846</v>
      </c>
      <c r="I5038" s="56" t="s">
        <v>36</v>
      </c>
      <c r="J5038" s="36"/>
      <c r="K5038" s="34">
        <v>12</v>
      </c>
      <c r="L5038" s="41">
        <v>69.760000000000005</v>
      </c>
      <c r="M5038" s="11"/>
      <c r="N5038" s="36">
        <f t="shared" si="260"/>
        <v>0</v>
      </c>
      <c r="O5038" s="42">
        <f>0.014*M5038</f>
        <v>0</v>
      </c>
      <c r="P5038" s="43">
        <f>0.00012*M5038</f>
        <v>0</v>
      </c>
      <c r="Q5038" s="50"/>
      <c r="R5038" s="36" t="s">
        <v>17847</v>
      </c>
      <c r="S5038" s="36" t="s">
        <v>435</v>
      </c>
      <c r="T5038" s="35" t="str">
        <f>HYPERLINK("https://miland.ru/api/getInfo/image/965c9317-1b30-11ea-a237-ac1f6b442184")</f>
        <v>https://miland.ru/api/getInfo/image/965c9317-1b30-11ea-a237-ac1f6b442184</v>
      </c>
      <c r="U5038" s="35"/>
      <c r="V5038" s="35" t="s">
        <v>11948</v>
      </c>
      <c r="W5038" s="35" t="s">
        <v>1630</v>
      </c>
      <c r="X5038" s="35"/>
      <c r="Y5038" s="35" t="s">
        <v>697</v>
      </c>
      <c r="Z5038" s="35"/>
      <c r="AA5038" s="35" t="str">
        <f>HYPERLINK("https://miland.ru/api/getInfo/item/965c9317-1b30-11ea-a237-ac1f6b442184")</f>
        <v>https://miland.ru/api/getInfo/item/965c9317-1b30-11ea-a237-ac1f6b442184</v>
      </c>
      <c r="AB5038" s="35" t="s">
        <v>42</v>
      </c>
      <c r="AC5038" s="35" t="s">
        <v>656</v>
      </c>
      <c r="AD5038" s="35"/>
      <c r="AE5038" s="52" t="s">
        <v>9152</v>
      </c>
    </row>
    <row r="5039" spans="2:31" s="1" customFormat="1" ht="96.3" customHeight="1" outlineLevel="4">
      <c r="B5039" s="59">
        <v>4077</v>
      </c>
      <c r="C5039" s="35" t="s">
        <v>17848</v>
      </c>
      <c r="D5039" s="73" t="s">
        <v>17849</v>
      </c>
      <c r="E5039" s="73"/>
      <c r="F5039" s="73"/>
      <c r="G5039" s="73"/>
      <c r="H5039" s="36" t="s">
        <v>17850</v>
      </c>
      <c r="I5039" s="56" t="s">
        <v>36</v>
      </c>
      <c r="J5039" s="36"/>
      <c r="K5039" s="34">
        <v>12</v>
      </c>
      <c r="L5039" s="41">
        <v>69.760000000000005</v>
      </c>
      <c r="M5039" s="11"/>
      <c r="N5039" s="36">
        <f t="shared" si="260"/>
        <v>0</v>
      </c>
      <c r="O5039" s="42">
        <f>0.014*M5039</f>
        <v>0</v>
      </c>
      <c r="P5039" s="43">
        <f>0.00013*M5039</f>
        <v>0</v>
      </c>
      <c r="Q5039" s="50"/>
      <c r="R5039" s="36" t="s">
        <v>17851</v>
      </c>
      <c r="S5039" s="36" t="s">
        <v>435</v>
      </c>
      <c r="T5039" s="35" t="str">
        <f>HYPERLINK("https://miland.ru/api/getInfo/image/dfe8fbd3-1b30-11ea-a237-ac1f6b442184")</f>
        <v>https://miland.ru/api/getInfo/image/dfe8fbd3-1b30-11ea-a237-ac1f6b442184</v>
      </c>
      <c r="U5039" s="35"/>
      <c r="V5039" s="35" t="s">
        <v>11948</v>
      </c>
      <c r="W5039" s="35" t="s">
        <v>1630</v>
      </c>
      <c r="X5039" s="35"/>
      <c r="Y5039" s="35" t="s">
        <v>697</v>
      </c>
      <c r="Z5039" s="35"/>
      <c r="AA5039" s="35" t="str">
        <f>HYPERLINK("https://miland.ru/api/getInfo/item/dfe8fbd3-1b30-11ea-a237-ac1f6b442184")</f>
        <v>https://miland.ru/api/getInfo/item/dfe8fbd3-1b30-11ea-a237-ac1f6b442184</v>
      </c>
      <c r="AB5039" s="35" t="s">
        <v>42</v>
      </c>
      <c r="AC5039" s="35" t="s">
        <v>656</v>
      </c>
      <c r="AD5039" s="35"/>
      <c r="AE5039" s="52" t="s">
        <v>9152</v>
      </c>
    </row>
    <row r="5040" spans="2:31" s="1" customFormat="1" ht="96.3" customHeight="1" outlineLevel="4">
      <c r="B5040" s="59">
        <v>4078</v>
      </c>
      <c r="C5040" s="35" t="s">
        <v>17852</v>
      </c>
      <c r="D5040" s="73" t="s">
        <v>17853</v>
      </c>
      <c r="E5040" s="73"/>
      <c r="F5040" s="73"/>
      <c r="G5040" s="73"/>
      <c r="H5040" s="36" t="s">
        <v>17854</v>
      </c>
      <c r="I5040" s="56" t="s">
        <v>36</v>
      </c>
      <c r="J5040" s="36"/>
      <c r="K5040" s="34">
        <v>12</v>
      </c>
      <c r="L5040" s="41">
        <v>69.760000000000005</v>
      </c>
      <c r="M5040" s="11"/>
      <c r="N5040" s="36">
        <f t="shared" si="260"/>
        <v>0</v>
      </c>
      <c r="O5040" s="42">
        <f>0.015*M5040</f>
        <v>0</v>
      </c>
      <c r="P5040" s="43">
        <f>0.00017*M5040</f>
        <v>0</v>
      </c>
      <c r="Q5040" s="50"/>
      <c r="R5040" s="36" t="s">
        <v>17855</v>
      </c>
      <c r="S5040" s="36" t="s">
        <v>435</v>
      </c>
      <c r="T5040" s="35" t="str">
        <f>HYPERLINK("https://miland.ru/api/getInfo/image/0658a08a-1b31-11ea-a237-ac1f6b442184")</f>
        <v>https://miland.ru/api/getInfo/image/0658a08a-1b31-11ea-a237-ac1f6b442184</v>
      </c>
      <c r="U5040" s="35"/>
      <c r="V5040" s="35" t="s">
        <v>11948</v>
      </c>
      <c r="W5040" s="35" t="s">
        <v>1630</v>
      </c>
      <c r="X5040" s="35"/>
      <c r="Y5040" s="35" t="s">
        <v>697</v>
      </c>
      <c r="Z5040" s="35"/>
      <c r="AA5040" s="35" t="str">
        <f>HYPERLINK("https://miland.ru/api/getInfo/item/0658a08a-1b31-11ea-a237-ac1f6b442184")</f>
        <v>https://miland.ru/api/getInfo/item/0658a08a-1b31-11ea-a237-ac1f6b442184</v>
      </c>
      <c r="AB5040" s="35" t="s">
        <v>42</v>
      </c>
      <c r="AC5040" s="35" t="s">
        <v>656</v>
      </c>
      <c r="AD5040" s="35"/>
      <c r="AE5040" s="52" t="s">
        <v>9152</v>
      </c>
    </row>
    <row r="5041" spans="2:31" s="1" customFormat="1" ht="96.3" customHeight="1" outlineLevel="4">
      <c r="B5041" s="59">
        <v>4079</v>
      </c>
      <c r="C5041" s="35" t="s">
        <v>17856</v>
      </c>
      <c r="D5041" s="73" t="s">
        <v>17857</v>
      </c>
      <c r="E5041" s="73"/>
      <c r="F5041" s="73"/>
      <c r="G5041" s="73"/>
      <c r="H5041" s="36" t="s">
        <v>17858</v>
      </c>
      <c r="I5041" s="56" t="s">
        <v>36</v>
      </c>
      <c r="J5041" s="36"/>
      <c r="K5041" s="34">
        <v>12</v>
      </c>
      <c r="L5041" s="41">
        <v>25.013333333333335</v>
      </c>
      <c r="M5041" s="11"/>
      <c r="N5041" s="36">
        <f t="shared" si="260"/>
        <v>0</v>
      </c>
      <c r="O5041" s="42">
        <f>0.013*M5041</f>
        <v>0</v>
      </c>
      <c r="P5041" s="43">
        <f>0.00011*M5041</f>
        <v>0</v>
      </c>
      <c r="Q5041" s="50"/>
      <c r="R5041" s="36" t="s">
        <v>17859</v>
      </c>
      <c r="S5041" s="36" t="s">
        <v>435</v>
      </c>
      <c r="T5041" s="35" t="str">
        <f>HYPERLINK("https://miland.ru/api/getInfo/image/2a0429d0-1b31-11ea-a237-ac1f6b442184")</f>
        <v>https://miland.ru/api/getInfo/image/2a0429d0-1b31-11ea-a237-ac1f6b442184</v>
      </c>
      <c r="U5041" s="35"/>
      <c r="V5041" s="35" t="s">
        <v>11948</v>
      </c>
      <c r="W5041" s="35" t="s">
        <v>1630</v>
      </c>
      <c r="X5041" s="35"/>
      <c r="Y5041" s="35" t="s">
        <v>697</v>
      </c>
      <c r="Z5041" s="35"/>
      <c r="AA5041" s="35" t="str">
        <f>HYPERLINK("https://miland.ru/api/getInfo/item/2a0429d0-1b31-11ea-a237-ac1f6b442184")</f>
        <v>https://miland.ru/api/getInfo/item/2a0429d0-1b31-11ea-a237-ac1f6b442184</v>
      </c>
      <c r="AB5041" s="35" t="s">
        <v>42</v>
      </c>
      <c r="AC5041" s="35" t="s">
        <v>656</v>
      </c>
      <c r="AD5041" s="35"/>
      <c r="AE5041" s="52" t="s">
        <v>1251</v>
      </c>
    </row>
    <row r="5042" spans="2:31" s="1" customFormat="1" ht="96.3" customHeight="1" outlineLevel="4">
      <c r="B5042" s="59">
        <v>4080</v>
      </c>
      <c r="C5042" s="35" t="s">
        <v>17860</v>
      </c>
      <c r="D5042" s="73" t="s">
        <v>17861</v>
      </c>
      <c r="E5042" s="73"/>
      <c r="F5042" s="73"/>
      <c r="G5042" s="73"/>
      <c r="H5042" s="36" t="s">
        <v>17862</v>
      </c>
      <c r="I5042" s="56" t="s">
        <v>36</v>
      </c>
      <c r="J5042" s="36"/>
      <c r="K5042" s="34">
        <v>12</v>
      </c>
      <c r="L5042" s="41">
        <v>25.053333333333331</v>
      </c>
      <c r="M5042" s="11"/>
      <c r="N5042" s="36">
        <f t="shared" si="260"/>
        <v>0</v>
      </c>
      <c r="O5042" s="42">
        <f t="shared" ref="O5042:O5048" si="267">0.023*M5042</f>
        <v>0</v>
      </c>
      <c r="P5042" s="55">
        <f>0.0001*M5042</f>
        <v>0</v>
      </c>
      <c r="Q5042" s="50"/>
      <c r="R5042" s="36" t="s">
        <v>17863</v>
      </c>
      <c r="S5042" s="36" t="s">
        <v>435</v>
      </c>
      <c r="T5042" s="35" t="str">
        <f>HYPERLINK("https://miland.ru/api/getInfo/image/c6b41a19-01b4-11ed-a213-ac1f6b442185")</f>
        <v>https://miland.ru/api/getInfo/image/c6b41a19-01b4-11ed-a213-ac1f6b442185</v>
      </c>
      <c r="U5042" s="35"/>
      <c r="V5042" s="35" t="s">
        <v>11948</v>
      </c>
      <c r="W5042" s="35" t="s">
        <v>1630</v>
      </c>
      <c r="X5042" s="35"/>
      <c r="Y5042" s="35" t="s">
        <v>697</v>
      </c>
      <c r="Z5042" s="35"/>
      <c r="AA5042" s="35" t="str">
        <f>HYPERLINK("https://miland.ru/api/getInfo/item/c6b41a19-01b4-11ed-a213-ac1f6b442185")</f>
        <v>https://miland.ru/api/getInfo/item/c6b41a19-01b4-11ed-a213-ac1f6b442185</v>
      </c>
      <c r="AB5042" s="35" t="s">
        <v>42</v>
      </c>
      <c r="AC5042" s="35"/>
      <c r="AD5042" s="35"/>
      <c r="AE5042" s="52" t="s">
        <v>1251</v>
      </c>
    </row>
    <row r="5043" spans="2:31" s="1" customFormat="1" ht="96.3" customHeight="1" outlineLevel="4">
      <c r="B5043" s="59">
        <v>4081</v>
      </c>
      <c r="C5043" s="35" t="s">
        <v>17864</v>
      </c>
      <c r="D5043" s="73" t="s">
        <v>17865</v>
      </c>
      <c r="E5043" s="73"/>
      <c r="F5043" s="73"/>
      <c r="G5043" s="73"/>
      <c r="H5043" s="36" t="s">
        <v>17866</v>
      </c>
      <c r="I5043" s="56" t="s">
        <v>36</v>
      </c>
      <c r="J5043" s="36"/>
      <c r="K5043" s="34">
        <v>12</v>
      </c>
      <c r="L5043" s="41">
        <v>25.053333333333331</v>
      </c>
      <c r="M5043" s="11"/>
      <c r="N5043" s="36">
        <f t="shared" si="260"/>
        <v>0</v>
      </c>
      <c r="O5043" s="42">
        <f t="shared" si="267"/>
        <v>0</v>
      </c>
      <c r="P5043" s="43">
        <f>0.03568*M5043</f>
        <v>0</v>
      </c>
      <c r="Q5043" s="50"/>
      <c r="R5043" s="36" t="s">
        <v>17867</v>
      </c>
      <c r="S5043" s="36" t="s">
        <v>435</v>
      </c>
      <c r="T5043" s="35" t="str">
        <f>HYPERLINK("https://miland.ru/api/getInfo/image/c6e647de-01b5-11ed-a213-ac1f6b442185")</f>
        <v>https://miland.ru/api/getInfo/image/c6e647de-01b5-11ed-a213-ac1f6b442185</v>
      </c>
      <c r="U5043" s="35"/>
      <c r="V5043" s="35" t="s">
        <v>11948</v>
      </c>
      <c r="W5043" s="35" t="s">
        <v>1630</v>
      </c>
      <c r="X5043" s="35"/>
      <c r="Y5043" s="35" t="s">
        <v>697</v>
      </c>
      <c r="Z5043" s="35"/>
      <c r="AA5043" s="35" t="str">
        <f>HYPERLINK("https://miland.ru/api/getInfo/item/c6e647de-01b5-11ed-a213-ac1f6b442185")</f>
        <v>https://miland.ru/api/getInfo/item/c6e647de-01b5-11ed-a213-ac1f6b442185</v>
      </c>
      <c r="AB5043" s="35" t="s">
        <v>42</v>
      </c>
      <c r="AC5043" s="35"/>
      <c r="AD5043" s="35"/>
      <c r="AE5043" s="52" t="s">
        <v>1251</v>
      </c>
    </row>
    <row r="5044" spans="2:31" s="1" customFormat="1" ht="96.3" customHeight="1" outlineLevel="4">
      <c r="B5044" s="59">
        <v>4082</v>
      </c>
      <c r="C5044" s="35" t="s">
        <v>17868</v>
      </c>
      <c r="D5044" s="73" t="s">
        <v>17869</v>
      </c>
      <c r="E5044" s="73"/>
      <c r="F5044" s="73"/>
      <c r="G5044" s="73"/>
      <c r="H5044" s="36" t="s">
        <v>17870</v>
      </c>
      <c r="I5044" s="56" t="s">
        <v>36</v>
      </c>
      <c r="J5044" s="36"/>
      <c r="K5044" s="34">
        <v>12</v>
      </c>
      <c r="L5044" s="41">
        <v>25.053333333333331</v>
      </c>
      <c r="M5044" s="11"/>
      <c r="N5044" s="36">
        <f t="shared" si="260"/>
        <v>0</v>
      </c>
      <c r="O5044" s="42">
        <f t="shared" si="267"/>
        <v>0</v>
      </c>
      <c r="P5044" s="55">
        <f t="shared" ref="P5044:P5052" si="268">0.0001*M5044</f>
        <v>0</v>
      </c>
      <c r="Q5044" s="50"/>
      <c r="R5044" s="36" t="s">
        <v>17871</v>
      </c>
      <c r="S5044" s="36" t="s">
        <v>435</v>
      </c>
      <c r="T5044" s="35" t="str">
        <f>HYPERLINK("https://miland.ru/api/getInfo/image/1c271eeb-01b6-11ed-a213-ac1f6b442185")</f>
        <v>https://miland.ru/api/getInfo/image/1c271eeb-01b6-11ed-a213-ac1f6b442185</v>
      </c>
      <c r="U5044" s="35"/>
      <c r="V5044" s="35" t="s">
        <v>11948</v>
      </c>
      <c r="W5044" s="35" t="s">
        <v>1630</v>
      </c>
      <c r="X5044" s="35"/>
      <c r="Y5044" s="35" t="s">
        <v>697</v>
      </c>
      <c r="Z5044" s="35"/>
      <c r="AA5044" s="35" t="str">
        <f>HYPERLINK("https://miland.ru/api/getInfo/item/1c271eeb-01b6-11ed-a213-ac1f6b442185")</f>
        <v>https://miland.ru/api/getInfo/item/1c271eeb-01b6-11ed-a213-ac1f6b442185</v>
      </c>
      <c r="AB5044" s="35" t="s">
        <v>42</v>
      </c>
      <c r="AC5044" s="35"/>
      <c r="AD5044" s="35"/>
      <c r="AE5044" s="52" t="s">
        <v>1251</v>
      </c>
    </row>
    <row r="5045" spans="2:31" s="1" customFormat="1" ht="96.3" customHeight="1" outlineLevel="4">
      <c r="B5045" s="59">
        <v>4083</v>
      </c>
      <c r="C5045" s="35" t="s">
        <v>17872</v>
      </c>
      <c r="D5045" s="73" t="s">
        <v>17873</v>
      </c>
      <c r="E5045" s="73"/>
      <c r="F5045" s="73"/>
      <c r="G5045" s="73"/>
      <c r="H5045" s="36" t="s">
        <v>17874</v>
      </c>
      <c r="I5045" s="56" t="s">
        <v>36</v>
      </c>
      <c r="J5045" s="36"/>
      <c r="K5045" s="34">
        <v>12</v>
      </c>
      <c r="L5045" s="41">
        <v>25.053333333333331</v>
      </c>
      <c r="M5045" s="11"/>
      <c r="N5045" s="36">
        <f t="shared" si="260"/>
        <v>0</v>
      </c>
      <c r="O5045" s="42">
        <f t="shared" si="267"/>
        <v>0</v>
      </c>
      <c r="P5045" s="55">
        <f t="shared" si="268"/>
        <v>0</v>
      </c>
      <c r="Q5045" s="50"/>
      <c r="R5045" s="36" t="s">
        <v>17875</v>
      </c>
      <c r="S5045" s="36" t="s">
        <v>435</v>
      </c>
      <c r="T5045" s="35" t="str">
        <f>HYPERLINK("https://miland.ru/api/getInfo/image/b6e14015-01b6-11ed-a213-ac1f6b442185")</f>
        <v>https://miland.ru/api/getInfo/image/b6e14015-01b6-11ed-a213-ac1f6b442185</v>
      </c>
      <c r="U5045" s="35"/>
      <c r="V5045" s="35" t="s">
        <v>11948</v>
      </c>
      <c r="W5045" s="35" t="s">
        <v>1630</v>
      </c>
      <c r="X5045" s="35"/>
      <c r="Y5045" s="35" t="s">
        <v>697</v>
      </c>
      <c r="Z5045" s="35"/>
      <c r="AA5045" s="35" t="str">
        <f>HYPERLINK("https://miland.ru/api/getInfo/item/b6e14015-01b6-11ed-a213-ac1f6b442185")</f>
        <v>https://miland.ru/api/getInfo/item/b6e14015-01b6-11ed-a213-ac1f6b442185</v>
      </c>
      <c r="AB5045" s="35" t="s">
        <v>42</v>
      </c>
      <c r="AC5045" s="35"/>
      <c r="AD5045" s="35"/>
      <c r="AE5045" s="52" t="s">
        <v>1251</v>
      </c>
    </row>
    <row r="5046" spans="2:31" s="1" customFormat="1" ht="96.3" customHeight="1" outlineLevel="4">
      <c r="B5046" s="59">
        <v>4084</v>
      </c>
      <c r="C5046" s="35" t="s">
        <v>17876</v>
      </c>
      <c r="D5046" s="73" t="s">
        <v>17877</v>
      </c>
      <c r="E5046" s="73"/>
      <c r="F5046" s="73"/>
      <c r="G5046" s="73"/>
      <c r="H5046" s="36" t="s">
        <v>17878</v>
      </c>
      <c r="I5046" s="56" t="s">
        <v>36</v>
      </c>
      <c r="J5046" s="36"/>
      <c r="K5046" s="34">
        <v>12</v>
      </c>
      <c r="L5046" s="41">
        <v>25.053333333333331</v>
      </c>
      <c r="M5046" s="11"/>
      <c r="N5046" s="36">
        <f t="shared" si="260"/>
        <v>0</v>
      </c>
      <c r="O5046" s="42">
        <f t="shared" si="267"/>
        <v>0</v>
      </c>
      <c r="P5046" s="55">
        <f t="shared" si="268"/>
        <v>0</v>
      </c>
      <c r="Q5046" s="50"/>
      <c r="R5046" s="36" t="s">
        <v>17879</v>
      </c>
      <c r="S5046" s="36" t="s">
        <v>435</v>
      </c>
      <c r="T5046" s="35" t="str">
        <f>HYPERLINK("https://miland.ru/api/getInfo/image/0bb43657-01b7-11ed-a213-ac1f6b442185")</f>
        <v>https://miland.ru/api/getInfo/image/0bb43657-01b7-11ed-a213-ac1f6b442185</v>
      </c>
      <c r="U5046" s="35"/>
      <c r="V5046" s="35" t="s">
        <v>11948</v>
      </c>
      <c r="W5046" s="35" t="s">
        <v>1630</v>
      </c>
      <c r="X5046" s="35"/>
      <c r="Y5046" s="35" t="s">
        <v>697</v>
      </c>
      <c r="Z5046" s="35"/>
      <c r="AA5046" s="35" t="str">
        <f>HYPERLINK("https://miland.ru/api/getInfo/item/0bb43657-01b7-11ed-a213-ac1f6b442185")</f>
        <v>https://miland.ru/api/getInfo/item/0bb43657-01b7-11ed-a213-ac1f6b442185</v>
      </c>
      <c r="AB5046" s="35" t="s">
        <v>42</v>
      </c>
      <c r="AC5046" s="35"/>
      <c r="AD5046" s="35"/>
      <c r="AE5046" s="52" t="s">
        <v>1251</v>
      </c>
    </row>
    <row r="5047" spans="2:31" s="1" customFormat="1" ht="96.3" customHeight="1" outlineLevel="4">
      <c r="B5047" s="59">
        <v>4085</v>
      </c>
      <c r="C5047" s="35" t="s">
        <v>17880</v>
      </c>
      <c r="D5047" s="73" t="s">
        <v>17881</v>
      </c>
      <c r="E5047" s="73"/>
      <c r="F5047" s="73"/>
      <c r="G5047" s="73"/>
      <c r="H5047" s="36" t="s">
        <v>17882</v>
      </c>
      <c r="I5047" s="56" t="s">
        <v>36</v>
      </c>
      <c r="J5047" s="36"/>
      <c r="K5047" s="34">
        <v>12</v>
      </c>
      <c r="L5047" s="41">
        <v>25.053333333333331</v>
      </c>
      <c r="M5047" s="11"/>
      <c r="N5047" s="36">
        <f t="shared" si="260"/>
        <v>0</v>
      </c>
      <c r="O5047" s="42">
        <f t="shared" si="267"/>
        <v>0</v>
      </c>
      <c r="P5047" s="55">
        <f t="shared" si="268"/>
        <v>0</v>
      </c>
      <c r="Q5047" s="50"/>
      <c r="R5047" s="36" t="s">
        <v>17883</v>
      </c>
      <c r="S5047" s="36" t="s">
        <v>435</v>
      </c>
      <c r="T5047" s="35" t="str">
        <f>HYPERLINK("https://miland.ru/api/getInfo/image/6e8bec20-01b7-11ed-a213-ac1f6b442185")</f>
        <v>https://miland.ru/api/getInfo/image/6e8bec20-01b7-11ed-a213-ac1f6b442185</v>
      </c>
      <c r="U5047" s="35"/>
      <c r="V5047" s="35" t="s">
        <v>11948</v>
      </c>
      <c r="W5047" s="35" t="s">
        <v>1630</v>
      </c>
      <c r="X5047" s="35"/>
      <c r="Y5047" s="35" t="s">
        <v>697</v>
      </c>
      <c r="Z5047" s="35"/>
      <c r="AA5047" s="35" t="str">
        <f>HYPERLINK("https://miland.ru/api/getInfo/item/6e8bec20-01b7-11ed-a213-ac1f6b442185")</f>
        <v>https://miland.ru/api/getInfo/item/6e8bec20-01b7-11ed-a213-ac1f6b442185</v>
      </c>
      <c r="AB5047" s="35" t="s">
        <v>42</v>
      </c>
      <c r="AC5047" s="35"/>
      <c r="AD5047" s="35"/>
      <c r="AE5047" s="52" t="s">
        <v>1251</v>
      </c>
    </row>
    <row r="5048" spans="2:31" s="1" customFormat="1" ht="96.3" customHeight="1" outlineLevel="4">
      <c r="B5048" s="59">
        <v>4086</v>
      </c>
      <c r="C5048" s="35" t="s">
        <v>17884</v>
      </c>
      <c r="D5048" s="73" t="s">
        <v>17885</v>
      </c>
      <c r="E5048" s="73"/>
      <c r="F5048" s="73"/>
      <c r="G5048" s="73"/>
      <c r="H5048" s="36" t="s">
        <v>17886</v>
      </c>
      <c r="I5048" s="56" t="s">
        <v>36</v>
      </c>
      <c r="J5048" s="36"/>
      <c r="K5048" s="34">
        <v>12</v>
      </c>
      <c r="L5048" s="41">
        <v>25.053333333333331</v>
      </c>
      <c r="M5048" s="11"/>
      <c r="N5048" s="36">
        <f t="shared" si="260"/>
        <v>0</v>
      </c>
      <c r="O5048" s="42">
        <f t="shared" si="267"/>
        <v>0</v>
      </c>
      <c r="P5048" s="55">
        <f t="shared" si="268"/>
        <v>0</v>
      </c>
      <c r="Q5048" s="50"/>
      <c r="R5048" s="36" t="s">
        <v>17887</v>
      </c>
      <c r="S5048" s="36" t="s">
        <v>435</v>
      </c>
      <c r="T5048" s="35" t="str">
        <f>HYPERLINK("https://miland.ru/api/getInfo/image/b93ee9cb-01b7-11ed-a213-ac1f6b442185")</f>
        <v>https://miland.ru/api/getInfo/image/b93ee9cb-01b7-11ed-a213-ac1f6b442185</v>
      </c>
      <c r="U5048" s="35"/>
      <c r="V5048" s="35" t="s">
        <v>11948</v>
      </c>
      <c r="W5048" s="35" t="s">
        <v>1630</v>
      </c>
      <c r="X5048" s="35"/>
      <c r="Y5048" s="35" t="s">
        <v>697</v>
      </c>
      <c r="Z5048" s="35"/>
      <c r="AA5048" s="35" t="str">
        <f>HYPERLINK("https://miland.ru/api/getInfo/item/b93ee9cb-01b7-11ed-a213-ac1f6b442185")</f>
        <v>https://miland.ru/api/getInfo/item/b93ee9cb-01b7-11ed-a213-ac1f6b442185</v>
      </c>
      <c r="AB5048" s="35" t="s">
        <v>42</v>
      </c>
      <c r="AC5048" s="35"/>
      <c r="AD5048" s="35"/>
      <c r="AE5048" s="52" t="s">
        <v>1251</v>
      </c>
    </row>
    <row r="5049" spans="2:31" s="1" customFormat="1" ht="96.3" customHeight="1" outlineLevel="4">
      <c r="B5049" s="59">
        <v>4087</v>
      </c>
      <c r="C5049" s="35" t="s">
        <v>17888</v>
      </c>
      <c r="D5049" s="73" t="s">
        <v>17889</v>
      </c>
      <c r="E5049" s="73"/>
      <c r="F5049" s="73"/>
      <c r="G5049" s="73"/>
      <c r="H5049" s="36" t="s">
        <v>17890</v>
      </c>
      <c r="I5049" s="56" t="s">
        <v>36</v>
      </c>
      <c r="J5049" s="36"/>
      <c r="K5049" s="34">
        <v>12</v>
      </c>
      <c r="L5049" s="41">
        <v>13.840000000000002</v>
      </c>
      <c r="M5049" s="11"/>
      <c r="N5049" s="36">
        <f t="shared" si="260"/>
        <v>0</v>
      </c>
      <c r="O5049" s="47">
        <f t="shared" ref="O5049:O5057" si="269">0.02*M5049</f>
        <v>0</v>
      </c>
      <c r="P5049" s="55">
        <f t="shared" si="268"/>
        <v>0</v>
      </c>
      <c r="Q5049" s="50"/>
      <c r="R5049" s="36" t="s">
        <v>17891</v>
      </c>
      <c r="S5049" s="36" t="s">
        <v>435</v>
      </c>
      <c r="T5049" s="35" t="str">
        <f>HYPERLINK("https://miland.ru/api/getInfo/image/67842919-062d-11ec-a20e-ac1f6b442185")</f>
        <v>https://miland.ru/api/getInfo/image/67842919-062d-11ec-a20e-ac1f6b442185</v>
      </c>
      <c r="U5049" s="35"/>
      <c r="V5049" s="35" t="s">
        <v>11948</v>
      </c>
      <c r="W5049" s="35" t="s">
        <v>1630</v>
      </c>
      <c r="X5049" s="35"/>
      <c r="Y5049" s="35" t="s">
        <v>697</v>
      </c>
      <c r="Z5049" s="35"/>
      <c r="AA5049" s="35" t="str">
        <f>HYPERLINK("https://miland.ru/api/getInfo/item/67842919-062d-11ec-a20e-ac1f6b442185")</f>
        <v>https://miland.ru/api/getInfo/item/67842919-062d-11ec-a20e-ac1f6b442185</v>
      </c>
      <c r="AB5049" s="35" t="s">
        <v>42</v>
      </c>
      <c r="AC5049" s="35"/>
      <c r="AD5049" s="35"/>
      <c r="AE5049" s="52" t="s">
        <v>1251</v>
      </c>
    </row>
    <row r="5050" spans="2:31" s="1" customFormat="1" ht="96.3" customHeight="1" outlineLevel="4">
      <c r="B5050" s="59">
        <v>4088</v>
      </c>
      <c r="C5050" s="35" t="s">
        <v>17892</v>
      </c>
      <c r="D5050" s="73" t="s">
        <v>17893</v>
      </c>
      <c r="E5050" s="73"/>
      <c r="F5050" s="73"/>
      <c r="G5050" s="73"/>
      <c r="H5050" s="36" t="s">
        <v>17894</v>
      </c>
      <c r="I5050" s="40">
        <v>171</v>
      </c>
      <c r="J5050" s="36"/>
      <c r="K5050" s="34">
        <v>6</v>
      </c>
      <c r="L5050" s="41">
        <v>13.840000000000002</v>
      </c>
      <c r="M5050" s="11"/>
      <c r="N5050" s="36">
        <f t="shared" ref="N5050:N5113" si="270">L5050*M5050</f>
        <v>0</v>
      </c>
      <c r="O5050" s="47">
        <f t="shared" si="269"/>
        <v>0</v>
      </c>
      <c r="P5050" s="55">
        <f t="shared" si="268"/>
        <v>0</v>
      </c>
      <c r="Q5050" s="50"/>
      <c r="R5050" s="36" t="s">
        <v>17895</v>
      </c>
      <c r="S5050" s="36" t="s">
        <v>435</v>
      </c>
      <c r="T5050" s="35" t="str">
        <f>HYPERLINK("https://miland.ru/api/getInfo/image/50a45b80-05b0-11ec-a20e-ac1f6b442185")</f>
        <v>https://miland.ru/api/getInfo/image/50a45b80-05b0-11ec-a20e-ac1f6b442185</v>
      </c>
      <c r="U5050" s="35"/>
      <c r="V5050" s="35" t="s">
        <v>11948</v>
      </c>
      <c r="W5050" s="35" t="s">
        <v>1630</v>
      </c>
      <c r="X5050" s="35"/>
      <c r="Y5050" s="35" t="s">
        <v>697</v>
      </c>
      <c r="Z5050" s="35"/>
      <c r="AA5050" s="35" t="str">
        <f>HYPERLINK("https://miland.ru/api/getInfo/item/50a45b80-05b0-11ec-a20e-ac1f6b442185")</f>
        <v>https://miland.ru/api/getInfo/item/50a45b80-05b0-11ec-a20e-ac1f6b442185</v>
      </c>
      <c r="AB5050" s="35" t="s">
        <v>42</v>
      </c>
      <c r="AC5050" s="35"/>
      <c r="AD5050" s="35"/>
      <c r="AE5050" s="52" t="s">
        <v>1251</v>
      </c>
    </row>
    <row r="5051" spans="2:31" s="1" customFormat="1" ht="96.3" customHeight="1" outlineLevel="4">
      <c r="B5051" s="59">
        <v>4089</v>
      </c>
      <c r="C5051" s="35" t="s">
        <v>17896</v>
      </c>
      <c r="D5051" s="73" t="s">
        <v>17897</v>
      </c>
      <c r="E5051" s="73"/>
      <c r="F5051" s="73"/>
      <c r="G5051" s="73"/>
      <c r="H5051" s="36" t="s">
        <v>17898</v>
      </c>
      <c r="I5051" s="40">
        <v>413</v>
      </c>
      <c r="J5051" s="36"/>
      <c r="K5051" s="34">
        <v>12</v>
      </c>
      <c r="L5051" s="41">
        <v>13.840000000000002</v>
      </c>
      <c r="M5051" s="11"/>
      <c r="N5051" s="36">
        <f t="shared" si="270"/>
        <v>0</v>
      </c>
      <c r="O5051" s="47">
        <f t="shared" si="269"/>
        <v>0</v>
      </c>
      <c r="P5051" s="55">
        <f t="shared" si="268"/>
        <v>0</v>
      </c>
      <c r="Q5051" s="50"/>
      <c r="R5051" s="36" t="s">
        <v>17899</v>
      </c>
      <c r="S5051" s="36" t="s">
        <v>435</v>
      </c>
      <c r="T5051" s="35" t="str">
        <f>HYPERLINK("https://miland.ru/api/getInfo/image/06f9f374-062d-11ec-a20e-ac1f6b442185")</f>
        <v>https://miland.ru/api/getInfo/image/06f9f374-062d-11ec-a20e-ac1f6b442185</v>
      </c>
      <c r="U5051" s="35"/>
      <c r="V5051" s="35" t="s">
        <v>11948</v>
      </c>
      <c r="W5051" s="35" t="s">
        <v>1630</v>
      </c>
      <c r="X5051" s="35"/>
      <c r="Y5051" s="35" t="s">
        <v>697</v>
      </c>
      <c r="Z5051" s="35"/>
      <c r="AA5051" s="35" t="str">
        <f>HYPERLINK("https://miland.ru/api/getInfo/item/06f9f374-062d-11ec-a20e-ac1f6b442185")</f>
        <v>https://miland.ru/api/getInfo/item/06f9f374-062d-11ec-a20e-ac1f6b442185</v>
      </c>
      <c r="AB5051" s="35" t="s">
        <v>42</v>
      </c>
      <c r="AC5051" s="35"/>
      <c r="AD5051" s="35"/>
      <c r="AE5051" s="52" t="s">
        <v>1251</v>
      </c>
    </row>
    <row r="5052" spans="2:31" s="1" customFormat="1" ht="96.3" customHeight="1" outlineLevel="4">
      <c r="B5052" s="60">
        <v>4090</v>
      </c>
      <c r="C5052" s="38" t="s">
        <v>17900</v>
      </c>
      <c r="D5052" s="74" t="s">
        <v>17901</v>
      </c>
      <c r="E5052" s="74"/>
      <c r="F5052" s="74"/>
      <c r="G5052" s="74"/>
      <c r="H5052" s="39" t="s">
        <v>17902</v>
      </c>
      <c r="I5052" s="44">
        <v>70</v>
      </c>
      <c r="J5052" s="39"/>
      <c r="K5052" s="37">
        <v>6</v>
      </c>
      <c r="L5052" s="41">
        <v>14.133333333333333</v>
      </c>
      <c r="M5052" s="11"/>
      <c r="N5052" s="39">
        <f t="shared" si="270"/>
        <v>0</v>
      </c>
      <c r="O5052" s="45">
        <f t="shared" si="269"/>
        <v>0</v>
      </c>
      <c r="P5052" s="49">
        <f t="shared" si="268"/>
        <v>0</v>
      </c>
      <c r="Q5052" s="51"/>
      <c r="R5052" s="39" t="s">
        <v>17903</v>
      </c>
      <c r="S5052" s="39" t="s">
        <v>435</v>
      </c>
      <c r="T5052" s="38" t="str">
        <f>HYPERLINK("https://miland.ru/api/getInfo/image/3ca9b7b9-062d-11ec-a20e-ac1f6b442185")</f>
        <v>https://miland.ru/api/getInfo/image/3ca9b7b9-062d-11ec-a20e-ac1f6b442185</v>
      </c>
      <c r="U5052" s="38"/>
      <c r="V5052" s="38" t="s">
        <v>11948</v>
      </c>
      <c r="W5052" s="38" t="s">
        <v>1630</v>
      </c>
      <c r="X5052" s="38"/>
      <c r="Y5052" s="38" t="s">
        <v>697</v>
      </c>
      <c r="Z5052" s="38"/>
      <c r="AA5052" s="38" t="str">
        <f>HYPERLINK("https://miland.ru/api/getInfo/item/3ca9b7b9-062d-11ec-a20e-ac1f6b442185")</f>
        <v>https://miland.ru/api/getInfo/item/3ca9b7b9-062d-11ec-a20e-ac1f6b442185</v>
      </c>
      <c r="AB5052" s="38" t="s">
        <v>42</v>
      </c>
      <c r="AC5052" s="38"/>
      <c r="AD5052" s="38"/>
      <c r="AE5052" s="53" t="s">
        <v>1306</v>
      </c>
    </row>
    <row r="5053" spans="2:31" s="1" customFormat="1" ht="96.3" customHeight="1" outlineLevel="4">
      <c r="B5053" s="60">
        <v>4091</v>
      </c>
      <c r="C5053" s="38" t="s">
        <v>17904</v>
      </c>
      <c r="D5053" s="74" t="s">
        <v>17905</v>
      </c>
      <c r="E5053" s="74"/>
      <c r="F5053" s="74"/>
      <c r="G5053" s="74"/>
      <c r="H5053" s="39" t="s">
        <v>17906</v>
      </c>
      <c r="I5053" s="44">
        <v>222</v>
      </c>
      <c r="J5053" s="39"/>
      <c r="K5053" s="37">
        <v>7</v>
      </c>
      <c r="L5053" s="41">
        <v>12.506666666666668</v>
      </c>
      <c r="M5053" s="11"/>
      <c r="N5053" s="39">
        <f t="shared" si="270"/>
        <v>0</v>
      </c>
      <c r="O5053" s="45">
        <f t="shared" si="269"/>
        <v>0</v>
      </c>
      <c r="P5053" s="46">
        <f>0.00006*M5053</f>
        <v>0</v>
      </c>
      <c r="Q5053" s="51"/>
      <c r="R5053" s="39" t="s">
        <v>17907</v>
      </c>
      <c r="S5053" s="39" t="s">
        <v>435</v>
      </c>
      <c r="T5053" s="38" t="str">
        <f>HYPERLINK("https://miland.ru/api/getInfo/image/261e32e5-05a0-11ec-a20e-ac1f6b442185")</f>
        <v>https://miland.ru/api/getInfo/image/261e32e5-05a0-11ec-a20e-ac1f6b442185</v>
      </c>
      <c r="U5053" s="38"/>
      <c r="V5053" s="38" t="s">
        <v>11948</v>
      </c>
      <c r="W5053" s="38" t="s">
        <v>1630</v>
      </c>
      <c r="X5053" s="38"/>
      <c r="Y5053" s="38" t="s">
        <v>697</v>
      </c>
      <c r="Z5053" s="38"/>
      <c r="AA5053" s="38" t="str">
        <f>HYPERLINK("https://miland.ru/api/getInfo/item/261e32e5-05a0-11ec-a20e-ac1f6b442185")</f>
        <v>https://miland.ru/api/getInfo/item/261e32e5-05a0-11ec-a20e-ac1f6b442185</v>
      </c>
      <c r="AB5053" s="38" t="s">
        <v>42</v>
      </c>
      <c r="AC5053" s="38"/>
      <c r="AD5053" s="38"/>
      <c r="AE5053" s="53" t="s">
        <v>1306</v>
      </c>
    </row>
    <row r="5054" spans="2:31" s="1" customFormat="1" ht="96.3" customHeight="1" outlineLevel="4">
      <c r="B5054" s="59">
        <v>4092</v>
      </c>
      <c r="C5054" s="35" t="s">
        <v>17908</v>
      </c>
      <c r="D5054" s="73" t="s">
        <v>17909</v>
      </c>
      <c r="E5054" s="73"/>
      <c r="F5054" s="73"/>
      <c r="G5054" s="73"/>
      <c r="H5054" s="36" t="s">
        <v>17910</v>
      </c>
      <c r="I5054" s="40">
        <v>361</v>
      </c>
      <c r="J5054" s="36"/>
      <c r="K5054" s="34">
        <v>16</v>
      </c>
      <c r="L5054" s="41">
        <v>12.253333333333332</v>
      </c>
      <c r="M5054" s="11"/>
      <c r="N5054" s="36">
        <f t="shared" si="270"/>
        <v>0</v>
      </c>
      <c r="O5054" s="47">
        <f t="shared" si="269"/>
        <v>0</v>
      </c>
      <c r="P5054" s="43">
        <f>0.00006*M5054</f>
        <v>0</v>
      </c>
      <c r="Q5054" s="50"/>
      <c r="R5054" s="36" t="s">
        <v>17911</v>
      </c>
      <c r="S5054" s="36" t="s">
        <v>435</v>
      </c>
      <c r="T5054" s="35" t="str">
        <f>HYPERLINK("https://miland.ru/api/getInfo/image/5f04e634-05a2-11ec-a20e-ac1f6b442185")</f>
        <v>https://miland.ru/api/getInfo/image/5f04e634-05a2-11ec-a20e-ac1f6b442185</v>
      </c>
      <c r="U5054" s="35"/>
      <c r="V5054" s="35" t="s">
        <v>11948</v>
      </c>
      <c r="W5054" s="35" t="s">
        <v>1630</v>
      </c>
      <c r="X5054" s="35"/>
      <c r="Y5054" s="35" t="s">
        <v>697</v>
      </c>
      <c r="Z5054" s="35"/>
      <c r="AA5054" s="35" t="str">
        <f>HYPERLINK("https://miland.ru/api/getInfo/item/5f04e634-05a2-11ec-a20e-ac1f6b442185")</f>
        <v>https://miland.ru/api/getInfo/item/5f04e634-05a2-11ec-a20e-ac1f6b442185</v>
      </c>
      <c r="AB5054" s="35" t="s">
        <v>42</v>
      </c>
      <c r="AC5054" s="35"/>
      <c r="AD5054" s="35"/>
      <c r="AE5054" s="52" t="s">
        <v>1251</v>
      </c>
    </row>
    <row r="5055" spans="2:31" s="1" customFormat="1" ht="96.3" customHeight="1" outlineLevel="4">
      <c r="B5055" s="59">
        <v>4093</v>
      </c>
      <c r="C5055" s="35" t="s">
        <v>17912</v>
      </c>
      <c r="D5055" s="73" t="s">
        <v>17913</v>
      </c>
      <c r="E5055" s="73"/>
      <c r="F5055" s="73"/>
      <c r="G5055" s="73"/>
      <c r="H5055" s="36" t="s">
        <v>17914</v>
      </c>
      <c r="I5055" s="56" t="s">
        <v>36</v>
      </c>
      <c r="J5055" s="36"/>
      <c r="K5055" s="34">
        <v>16</v>
      </c>
      <c r="L5055" s="41">
        <v>12.253333333333332</v>
      </c>
      <c r="M5055" s="11"/>
      <c r="N5055" s="36">
        <f t="shared" si="270"/>
        <v>0</v>
      </c>
      <c r="O5055" s="47">
        <f t="shared" si="269"/>
        <v>0</v>
      </c>
      <c r="P5055" s="43">
        <f>0.00006*M5055</f>
        <v>0</v>
      </c>
      <c r="Q5055" s="50"/>
      <c r="R5055" s="36" t="s">
        <v>17915</v>
      </c>
      <c r="S5055" s="36" t="s">
        <v>435</v>
      </c>
      <c r="T5055" s="35" t="str">
        <f>HYPERLINK("https://miland.ru/api/getInfo/image/620aae49-05a3-11ec-a20e-ac1f6b442185")</f>
        <v>https://miland.ru/api/getInfo/image/620aae49-05a3-11ec-a20e-ac1f6b442185</v>
      </c>
      <c r="U5055" s="35"/>
      <c r="V5055" s="35" t="s">
        <v>11948</v>
      </c>
      <c r="W5055" s="35" t="s">
        <v>1630</v>
      </c>
      <c r="X5055" s="35"/>
      <c r="Y5055" s="35" t="s">
        <v>697</v>
      </c>
      <c r="Z5055" s="35"/>
      <c r="AA5055" s="35" t="str">
        <f>HYPERLINK("https://miland.ru/api/getInfo/item/620aae49-05a3-11ec-a20e-ac1f6b442185")</f>
        <v>https://miland.ru/api/getInfo/item/620aae49-05a3-11ec-a20e-ac1f6b442185</v>
      </c>
      <c r="AB5055" s="35" t="s">
        <v>42</v>
      </c>
      <c r="AC5055" s="35"/>
      <c r="AD5055" s="35"/>
      <c r="AE5055" s="52" t="s">
        <v>1251</v>
      </c>
    </row>
    <row r="5056" spans="2:31" s="1" customFormat="1" ht="96.3" customHeight="1" outlineLevel="4">
      <c r="B5056" s="59">
        <v>4094</v>
      </c>
      <c r="C5056" s="35" t="s">
        <v>17916</v>
      </c>
      <c r="D5056" s="73" t="s">
        <v>17917</v>
      </c>
      <c r="E5056" s="73"/>
      <c r="F5056" s="73"/>
      <c r="G5056" s="73"/>
      <c r="H5056" s="36" t="s">
        <v>17918</v>
      </c>
      <c r="I5056" s="56" t="s">
        <v>36</v>
      </c>
      <c r="J5056" s="36"/>
      <c r="K5056" s="34">
        <v>16</v>
      </c>
      <c r="L5056" s="41">
        <v>12.253333333333332</v>
      </c>
      <c r="M5056" s="11"/>
      <c r="N5056" s="36">
        <f t="shared" si="270"/>
        <v>0</v>
      </c>
      <c r="O5056" s="47">
        <f t="shared" si="269"/>
        <v>0</v>
      </c>
      <c r="P5056" s="43">
        <f>0.00006*M5056</f>
        <v>0</v>
      </c>
      <c r="Q5056" s="50"/>
      <c r="R5056" s="36" t="s">
        <v>17919</v>
      </c>
      <c r="S5056" s="36" t="s">
        <v>435</v>
      </c>
      <c r="T5056" s="35" t="str">
        <f>HYPERLINK("https://miland.ru/api/getInfo/image/baf5355d-05a0-11ec-a20e-ac1f6b442185")</f>
        <v>https://miland.ru/api/getInfo/image/baf5355d-05a0-11ec-a20e-ac1f6b442185</v>
      </c>
      <c r="U5056" s="35"/>
      <c r="V5056" s="35" t="s">
        <v>11948</v>
      </c>
      <c r="W5056" s="35" t="s">
        <v>1630</v>
      </c>
      <c r="X5056" s="35"/>
      <c r="Y5056" s="35" t="s">
        <v>697</v>
      </c>
      <c r="Z5056" s="35"/>
      <c r="AA5056" s="35" t="str">
        <f>HYPERLINK("https://miland.ru/api/getInfo/item/baf5355d-05a0-11ec-a20e-ac1f6b442185")</f>
        <v>https://miland.ru/api/getInfo/item/baf5355d-05a0-11ec-a20e-ac1f6b442185</v>
      </c>
      <c r="AB5056" s="35" t="s">
        <v>42</v>
      </c>
      <c r="AC5056" s="35"/>
      <c r="AD5056" s="35"/>
      <c r="AE5056" s="52" t="s">
        <v>1251</v>
      </c>
    </row>
    <row r="5057" spans="2:31" s="1" customFormat="1" ht="96.3" customHeight="1" outlineLevel="4">
      <c r="B5057" s="59">
        <v>4095</v>
      </c>
      <c r="C5057" s="35" t="s">
        <v>17920</v>
      </c>
      <c r="D5057" s="73" t="s">
        <v>17921</v>
      </c>
      <c r="E5057" s="73"/>
      <c r="F5057" s="73"/>
      <c r="G5057" s="73"/>
      <c r="H5057" s="36" t="s">
        <v>17922</v>
      </c>
      <c r="I5057" s="56" t="s">
        <v>36</v>
      </c>
      <c r="J5057" s="36"/>
      <c r="K5057" s="34">
        <v>16</v>
      </c>
      <c r="L5057" s="41">
        <v>12.253333333333332</v>
      </c>
      <c r="M5057" s="11"/>
      <c r="N5057" s="36">
        <f t="shared" si="270"/>
        <v>0</v>
      </c>
      <c r="O5057" s="47">
        <f t="shared" si="269"/>
        <v>0</v>
      </c>
      <c r="P5057" s="55">
        <f>0.0001*M5057</f>
        <v>0</v>
      </c>
      <c r="Q5057" s="50"/>
      <c r="R5057" s="36" t="s">
        <v>17923</v>
      </c>
      <c r="S5057" s="36" t="s">
        <v>435</v>
      </c>
      <c r="T5057" s="35" t="str">
        <f>HYPERLINK("https://miland.ru/api/getInfo/image/c94f4544-05a7-11ec-a20e-ac1f6b442185")</f>
        <v>https://miland.ru/api/getInfo/image/c94f4544-05a7-11ec-a20e-ac1f6b442185</v>
      </c>
      <c r="U5057" s="35"/>
      <c r="V5057" s="35" t="s">
        <v>11948</v>
      </c>
      <c r="W5057" s="35" t="s">
        <v>1630</v>
      </c>
      <c r="X5057" s="35"/>
      <c r="Y5057" s="35" t="s">
        <v>697</v>
      </c>
      <c r="Z5057" s="35"/>
      <c r="AA5057" s="35" t="str">
        <f>HYPERLINK("https://miland.ru/api/getInfo/item/c94f4544-05a7-11ec-a20e-ac1f6b442185")</f>
        <v>https://miland.ru/api/getInfo/item/c94f4544-05a7-11ec-a20e-ac1f6b442185</v>
      </c>
      <c r="AB5057" s="35" t="s">
        <v>42</v>
      </c>
      <c r="AC5057" s="35"/>
      <c r="AD5057" s="35"/>
      <c r="AE5057" s="52" t="s">
        <v>1251</v>
      </c>
    </row>
    <row r="5058" spans="2:31" s="1" customFormat="1" ht="96.3" customHeight="1" outlineLevel="4">
      <c r="B5058" s="59">
        <v>4096</v>
      </c>
      <c r="C5058" s="35" t="s">
        <v>17924</v>
      </c>
      <c r="D5058" s="73" t="s">
        <v>17925</v>
      </c>
      <c r="E5058" s="73"/>
      <c r="F5058" s="73"/>
      <c r="G5058" s="73"/>
      <c r="H5058" s="36" t="s">
        <v>17926</v>
      </c>
      <c r="I5058" s="56" t="s">
        <v>36</v>
      </c>
      <c r="J5058" s="36"/>
      <c r="K5058" s="34">
        <v>12</v>
      </c>
      <c r="L5058" s="41">
        <v>23.12</v>
      </c>
      <c r="M5058" s="11"/>
      <c r="N5058" s="36">
        <f t="shared" si="270"/>
        <v>0</v>
      </c>
      <c r="O5058" s="47">
        <f t="shared" ref="O5058:O5064" si="271">0.01*M5058</f>
        <v>0</v>
      </c>
      <c r="P5058" s="43">
        <f t="shared" ref="P5058:P5065" si="272">0.00009*M5058</f>
        <v>0</v>
      </c>
      <c r="Q5058" s="50"/>
      <c r="R5058" s="36" t="s">
        <v>17927</v>
      </c>
      <c r="S5058" s="36" t="s">
        <v>435</v>
      </c>
      <c r="T5058" s="35" t="str">
        <f>HYPERLINK("https://miland.ru/api/getInfo/image/8ed576d6-1b31-11ea-a237-ac1f6b442184")</f>
        <v>https://miland.ru/api/getInfo/image/8ed576d6-1b31-11ea-a237-ac1f6b442184</v>
      </c>
      <c r="U5058" s="35"/>
      <c r="V5058" s="35" t="s">
        <v>11948</v>
      </c>
      <c r="W5058" s="35" t="s">
        <v>1630</v>
      </c>
      <c r="X5058" s="35"/>
      <c r="Y5058" s="35" t="s">
        <v>697</v>
      </c>
      <c r="Z5058" s="35"/>
      <c r="AA5058" s="35" t="str">
        <f>HYPERLINK("https://miland.ru/api/getInfo/item/8ed576d6-1b31-11ea-a237-ac1f6b442184")</f>
        <v>https://miland.ru/api/getInfo/item/8ed576d6-1b31-11ea-a237-ac1f6b442184</v>
      </c>
      <c r="AB5058" s="35" t="s">
        <v>42</v>
      </c>
      <c r="AC5058" s="35" t="s">
        <v>4205</v>
      </c>
      <c r="AD5058" s="35"/>
      <c r="AE5058" s="52" t="s">
        <v>1251</v>
      </c>
    </row>
    <row r="5059" spans="2:31" s="1" customFormat="1" ht="96.3" customHeight="1" outlineLevel="4">
      <c r="B5059" s="59">
        <v>4097</v>
      </c>
      <c r="C5059" s="35" t="s">
        <v>17928</v>
      </c>
      <c r="D5059" s="73" t="s">
        <v>17929</v>
      </c>
      <c r="E5059" s="73"/>
      <c r="F5059" s="73"/>
      <c r="G5059" s="73"/>
      <c r="H5059" s="36" t="s">
        <v>17930</v>
      </c>
      <c r="I5059" s="56" t="s">
        <v>36</v>
      </c>
      <c r="J5059" s="36"/>
      <c r="K5059" s="34">
        <v>12</v>
      </c>
      <c r="L5059" s="41">
        <v>23.12</v>
      </c>
      <c r="M5059" s="11"/>
      <c r="N5059" s="36">
        <f t="shared" si="270"/>
        <v>0</v>
      </c>
      <c r="O5059" s="47">
        <f t="shared" si="271"/>
        <v>0</v>
      </c>
      <c r="P5059" s="43">
        <f t="shared" si="272"/>
        <v>0</v>
      </c>
      <c r="Q5059" s="50"/>
      <c r="R5059" s="36" t="s">
        <v>17931</v>
      </c>
      <c r="S5059" s="36" t="s">
        <v>435</v>
      </c>
      <c r="T5059" s="35" t="str">
        <f>HYPERLINK("https://miland.ru/api/getInfo/image/0dd7dfdc-1b32-11ea-a237-ac1f6b442184")</f>
        <v>https://miland.ru/api/getInfo/image/0dd7dfdc-1b32-11ea-a237-ac1f6b442184</v>
      </c>
      <c r="U5059" s="35"/>
      <c r="V5059" s="35" t="s">
        <v>11948</v>
      </c>
      <c r="W5059" s="35" t="s">
        <v>1630</v>
      </c>
      <c r="X5059" s="35"/>
      <c r="Y5059" s="35" t="s">
        <v>697</v>
      </c>
      <c r="Z5059" s="35"/>
      <c r="AA5059" s="35" t="str">
        <f>HYPERLINK("https://miland.ru/api/getInfo/item/0dd7dfdc-1b32-11ea-a237-ac1f6b442184")</f>
        <v>https://miland.ru/api/getInfo/item/0dd7dfdc-1b32-11ea-a237-ac1f6b442184</v>
      </c>
      <c r="AB5059" s="35" t="s">
        <v>42</v>
      </c>
      <c r="AC5059" s="35" t="s">
        <v>4205</v>
      </c>
      <c r="AD5059" s="35"/>
      <c r="AE5059" s="52" t="s">
        <v>1251</v>
      </c>
    </row>
    <row r="5060" spans="2:31" s="1" customFormat="1" ht="96.3" customHeight="1" outlineLevel="4">
      <c r="B5060" s="59">
        <v>4098</v>
      </c>
      <c r="C5060" s="35" t="s">
        <v>17932</v>
      </c>
      <c r="D5060" s="73" t="s">
        <v>17933</v>
      </c>
      <c r="E5060" s="73"/>
      <c r="F5060" s="73"/>
      <c r="G5060" s="73"/>
      <c r="H5060" s="36" t="s">
        <v>17934</v>
      </c>
      <c r="I5060" s="56" t="s">
        <v>36</v>
      </c>
      <c r="J5060" s="36"/>
      <c r="K5060" s="34">
        <v>12</v>
      </c>
      <c r="L5060" s="41">
        <v>23.12</v>
      </c>
      <c r="M5060" s="11"/>
      <c r="N5060" s="36">
        <f t="shared" si="270"/>
        <v>0</v>
      </c>
      <c r="O5060" s="47">
        <f t="shared" si="271"/>
        <v>0</v>
      </c>
      <c r="P5060" s="43">
        <f t="shared" si="272"/>
        <v>0</v>
      </c>
      <c r="Q5060" s="50"/>
      <c r="R5060" s="36" t="s">
        <v>17935</v>
      </c>
      <c r="S5060" s="36" t="s">
        <v>435</v>
      </c>
      <c r="T5060" s="35" t="str">
        <f>HYPERLINK("https://miland.ru/api/getInfo/image/2cb9f7ec-1b32-11ea-a237-ac1f6b442184")</f>
        <v>https://miland.ru/api/getInfo/image/2cb9f7ec-1b32-11ea-a237-ac1f6b442184</v>
      </c>
      <c r="U5060" s="35"/>
      <c r="V5060" s="35" t="s">
        <v>11948</v>
      </c>
      <c r="W5060" s="35" t="s">
        <v>1630</v>
      </c>
      <c r="X5060" s="35"/>
      <c r="Y5060" s="35" t="s">
        <v>697</v>
      </c>
      <c r="Z5060" s="35"/>
      <c r="AA5060" s="35" t="str">
        <f>HYPERLINK("https://miland.ru/api/getInfo/item/2cb9f7ec-1b32-11ea-a237-ac1f6b442184")</f>
        <v>https://miland.ru/api/getInfo/item/2cb9f7ec-1b32-11ea-a237-ac1f6b442184</v>
      </c>
      <c r="AB5060" s="35" t="s">
        <v>42</v>
      </c>
      <c r="AC5060" s="35" t="s">
        <v>4205</v>
      </c>
      <c r="AD5060" s="35"/>
      <c r="AE5060" s="52" t="s">
        <v>1251</v>
      </c>
    </row>
    <row r="5061" spans="2:31" s="1" customFormat="1" ht="96.3" customHeight="1" outlineLevel="4">
      <c r="B5061" s="59">
        <v>4099</v>
      </c>
      <c r="C5061" s="35" t="s">
        <v>17936</v>
      </c>
      <c r="D5061" s="73" t="s">
        <v>17937</v>
      </c>
      <c r="E5061" s="73"/>
      <c r="F5061" s="73"/>
      <c r="G5061" s="73"/>
      <c r="H5061" s="36" t="s">
        <v>17938</v>
      </c>
      <c r="I5061" s="56" t="s">
        <v>36</v>
      </c>
      <c r="J5061" s="36"/>
      <c r="K5061" s="34">
        <v>12</v>
      </c>
      <c r="L5061" s="41">
        <v>23.12</v>
      </c>
      <c r="M5061" s="11"/>
      <c r="N5061" s="36">
        <f t="shared" si="270"/>
        <v>0</v>
      </c>
      <c r="O5061" s="47">
        <f t="shared" si="271"/>
        <v>0</v>
      </c>
      <c r="P5061" s="43">
        <f t="shared" si="272"/>
        <v>0</v>
      </c>
      <c r="Q5061" s="50"/>
      <c r="R5061" s="36" t="s">
        <v>17939</v>
      </c>
      <c r="S5061" s="36" t="s">
        <v>435</v>
      </c>
      <c r="T5061" s="35" t="str">
        <f>HYPERLINK("https://miland.ru/api/getInfo/image/4cf8275b-1b32-11ea-a237-ac1f6b442184")</f>
        <v>https://miland.ru/api/getInfo/image/4cf8275b-1b32-11ea-a237-ac1f6b442184</v>
      </c>
      <c r="U5061" s="35"/>
      <c r="V5061" s="35" t="s">
        <v>11948</v>
      </c>
      <c r="W5061" s="35" t="s">
        <v>1630</v>
      </c>
      <c r="X5061" s="35"/>
      <c r="Y5061" s="35" t="s">
        <v>697</v>
      </c>
      <c r="Z5061" s="35"/>
      <c r="AA5061" s="35" t="str">
        <f>HYPERLINK("https://miland.ru/api/getInfo/item/4cf8275b-1b32-11ea-a237-ac1f6b442184")</f>
        <v>https://miland.ru/api/getInfo/item/4cf8275b-1b32-11ea-a237-ac1f6b442184</v>
      </c>
      <c r="AB5061" s="35" t="s">
        <v>42</v>
      </c>
      <c r="AC5061" s="35" t="s">
        <v>4205</v>
      </c>
      <c r="AD5061" s="35"/>
      <c r="AE5061" s="52" t="s">
        <v>1251</v>
      </c>
    </row>
    <row r="5062" spans="2:31" s="1" customFormat="1" ht="96.3" customHeight="1" outlineLevel="4">
      <c r="B5062" s="59">
        <v>4100</v>
      </c>
      <c r="C5062" s="35" t="s">
        <v>17940</v>
      </c>
      <c r="D5062" s="73" t="s">
        <v>17941</v>
      </c>
      <c r="E5062" s="73"/>
      <c r="F5062" s="73"/>
      <c r="G5062" s="73"/>
      <c r="H5062" s="36" t="s">
        <v>17942</v>
      </c>
      <c r="I5062" s="56" t="s">
        <v>36</v>
      </c>
      <c r="J5062" s="36"/>
      <c r="K5062" s="34">
        <v>12</v>
      </c>
      <c r="L5062" s="41">
        <v>23.12</v>
      </c>
      <c r="M5062" s="11"/>
      <c r="N5062" s="36">
        <f t="shared" si="270"/>
        <v>0</v>
      </c>
      <c r="O5062" s="47">
        <f t="shared" si="271"/>
        <v>0</v>
      </c>
      <c r="P5062" s="43">
        <f t="shared" si="272"/>
        <v>0</v>
      </c>
      <c r="Q5062" s="50"/>
      <c r="R5062" s="36" t="s">
        <v>17943</v>
      </c>
      <c r="S5062" s="36" t="s">
        <v>435</v>
      </c>
      <c r="T5062" s="35" t="str">
        <f>HYPERLINK("https://miland.ru/api/getInfo/image/8bfa2e3a-1b39-11ea-a237-ac1f6b442184")</f>
        <v>https://miland.ru/api/getInfo/image/8bfa2e3a-1b39-11ea-a237-ac1f6b442184</v>
      </c>
      <c r="U5062" s="35"/>
      <c r="V5062" s="35" t="s">
        <v>11948</v>
      </c>
      <c r="W5062" s="35" t="s">
        <v>1630</v>
      </c>
      <c r="X5062" s="35"/>
      <c r="Y5062" s="35" t="s">
        <v>697</v>
      </c>
      <c r="Z5062" s="35"/>
      <c r="AA5062" s="35" t="str">
        <f>HYPERLINK("https://miland.ru/api/getInfo/item/8bfa2e3a-1b39-11ea-a237-ac1f6b442184")</f>
        <v>https://miland.ru/api/getInfo/item/8bfa2e3a-1b39-11ea-a237-ac1f6b442184</v>
      </c>
      <c r="AB5062" s="35" t="s">
        <v>42</v>
      </c>
      <c r="AC5062" s="35" t="s">
        <v>4205</v>
      </c>
      <c r="AD5062" s="35"/>
      <c r="AE5062" s="52" t="s">
        <v>1251</v>
      </c>
    </row>
    <row r="5063" spans="2:31" s="1" customFormat="1" ht="96.3" customHeight="1" outlineLevel="4">
      <c r="B5063" s="59">
        <v>4101</v>
      </c>
      <c r="C5063" s="35" t="s">
        <v>17944</v>
      </c>
      <c r="D5063" s="73" t="s">
        <v>17945</v>
      </c>
      <c r="E5063" s="73"/>
      <c r="F5063" s="73"/>
      <c r="G5063" s="73"/>
      <c r="H5063" s="36" t="s">
        <v>17946</v>
      </c>
      <c r="I5063" s="56" t="s">
        <v>36</v>
      </c>
      <c r="J5063" s="36"/>
      <c r="K5063" s="34">
        <v>12</v>
      </c>
      <c r="L5063" s="41">
        <v>23.12</v>
      </c>
      <c r="M5063" s="11"/>
      <c r="N5063" s="36">
        <f t="shared" si="270"/>
        <v>0</v>
      </c>
      <c r="O5063" s="47">
        <f t="shared" si="271"/>
        <v>0</v>
      </c>
      <c r="P5063" s="43">
        <f t="shared" si="272"/>
        <v>0</v>
      </c>
      <c r="Q5063" s="50"/>
      <c r="R5063" s="36" t="s">
        <v>17947</v>
      </c>
      <c r="S5063" s="36" t="s">
        <v>435</v>
      </c>
      <c r="T5063" s="35" t="str">
        <f>HYPERLINK("https://miland.ru/api/getInfo/image/c9509756-1b39-11ea-a237-ac1f6b442184")</f>
        <v>https://miland.ru/api/getInfo/image/c9509756-1b39-11ea-a237-ac1f6b442184</v>
      </c>
      <c r="U5063" s="35"/>
      <c r="V5063" s="35" t="s">
        <v>11948</v>
      </c>
      <c r="W5063" s="35" t="s">
        <v>1630</v>
      </c>
      <c r="X5063" s="35"/>
      <c r="Y5063" s="35" t="s">
        <v>697</v>
      </c>
      <c r="Z5063" s="35"/>
      <c r="AA5063" s="35" t="str">
        <f>HYPERLINK("https://miland.ru/api/getInfo/item/c9509756-1b39-11ea-a237-ac1f6b442184")</f>
        <v>https://miland.ru/api/getInfo/item/c9509756-1b39-11ea-a237-ac1f6b442184</v>
      </c>
      <c r="AB5063" s="35" t="s">
        <v>42</v>
      </c>
      <c r="AC5063" s="35" t="s">
        <v>4205</v>
      </c>
      <c r="AD5063" s="35"/>
      <c r="AE5063" s="52" t="s">
        <v>1251</v>
      </c>
    </row>
    <row r="5064" spans="2:31" s="1" customFormat="1" ht="96.3" customHeight="1" outlineLevel="4">
      <c r="B5064" s="59">
        <v>4102</v>
      </c>
      <c r="C5064" s="35" t="s">
        <v>17948</v>
      </c>
      <c r="D5064" s="73" t="s">
        <v>17949</v>
      </c>
      <c r="E5064" s="73"/>
      <c r="F5064" s="73"/>
      <c r="G5064" s="73"/>
      <c r="H5064" s="36" t="s">
        <v>17950</v>
      </c>
      <c r="I5064" s="56" t="s">
        <v>36</v>
      </c>
      <c r="J5064" s="36"/>
      <c r="K5064" s="34">
        <v>12</v>
      </c>
      <c r="L5064" s="41">
        <v>23.12</v>
      </c>
      <c r="M5064" s="11"/>
      <c r="N5064" s="36">
        <f t="shared" si="270"/>
        <v>0</v>
      </c>
      <c r="O5064" s="47">
        <f t="shared" si="271"/>
        <v>0</v>
      </c>
      <c r="P5064" s="43">
        <f t="shared" si="272"/>
        <v>0</v>
      </c>
      <c r="Q5064" s="50"/>
      <c r="R5064" s="36" t="s">
        <v>17951</v>
      </c>
      <c r="S5064" s="36" t="s">
        <v>435</v>
      </c>
      <c r="T5064" s="35" t="str">
        <f>HYPERLINK("https://miland.ru/api/getInfo/image/e803376a-1b39-11ea-a237-ac1f6b442184")</f>
        <v>https://miland.ru/api/getInfo/image/e803376a-1b39-11ea-a237-ac1f6b442184</v>
      </c>
      <c r="U5064" s="35"/>
      <c r="V5064" s="35" t="s">
        <v>11948</v>
      </c>
      <c r="W5064" s="35" t="s">
        <v>1630</v>
      </c>
      <c r="X5064" s="35"/>
      <c r="Y5064" s="35" t="s">
        <v>697</v>
      </c>
      <c r="Z5064" s="35"/>
      <c r="AA5064" s="35" t="str">
        <f>HYPERLINK("https://miland.ru/api/getInfo/item/e803376a-1b39-11ea-a237-ac1f6b442184")</f>
        <v>https://miland.ru/api/getInfo/item/e803376a-1b39-11ea-a237-ac1f6b442184</v>
      </c>
      <c r="AB5064" s="35" t="s">
        <v>42</v>
      </c>
      <c r="AC5064" s="35" t="s">
        <v>4205</v>
      </c>
      <c r="AD5064" s="35"/>
      <c r="AE5064" s="52" t="s">
        <v>1251</v>
      </c>
    </row>
    <row r="5065" spans="2:31" s="1" customFormat="1" ht="96.3" customHeight="1" outlineLevel="4">
      <c r="B5065" s="59">
        <v>4103</v>
      </c>
      <c r="C5065" s="35" t="s">
        <v>17952</v>
      </c>
      <c r="D5065" s="73" t="s">
        <v>17953</v>
      </c>
      <c r="E5065" s="73"/>
      <c r="F5065" s="73"/>
      <c r="G5065" s="73"/>
      <c r="H5065" s="36" t="s">
        <v>17954</v>
      </c>
      <c r="I5065" s="56" t="s">
        <v>36</v>
      </c>
      <c r="J5065" s="36"/>
      <c r="K5065" s="34">
        <v>12</v>
      </c>
      <c r="L5065" s="41">
        <v>23.12</v>
      </c>
      <c r="M5065" s="11"/>
      <c r="N5065" s="36">
        <f t="shared" si="270"/>
        <v>0</v>
      </c>
      <c r="O5065" s="61">
        <f>0.1*M5065</f>
        <v>0</v>
      </c>
      <c r="P5065" s="43">
        <f t="shared" si="272"/>
        <v>0</v>
      </c>
      <c r="Q5065" s="50"/>
      <c r="R5065" s="36" t="s">
        <v>17955</v>
      </c>
      <c r="S5065" s="36" t="s">
        <v>435</v>
      </c>
      <c r="T5065" s="35" t="str">
        <f>HYPERLINK("https://miland.ru/api/getInfo/image/0df974c0-1b3a-11ea-a237-ac1f6b442184")</f>
        <v>https://miland.ru/api/getInfo/image/0df974c0-1b3a-11ea-a237-ac1f6b442184</v>
      </c>
      <c r="U5065" s="35"/>
      <c r="V5065" s="35" t="s">
        <v>11948</v>
      </c>
      <c r="W5065" s="35" t="s">
        <v>1630</v>
      </c>
      <c r="X5065" s="35"/>
      <c r="Y5065" s="35" t="s">
        <v>697</v>
      </c>
      <c r="Z5065" s="35"/>
      <c r="AA5065" s="35" t="str">
        <f>HYPERLINK("https://miland.ru/api/getInfo/item/0df974c0-1b3a-11ea-a237-ac1f6b442184")</f>
        <v>https://miland.ru/api/getInfo/item/0df974c0-1b3a-11ea-a237-ac1f6b442184</v>
      </c>
      <c r="AB5065" s="35" t="s">
        <v>42</v>
      </c>
      <c r="AC5065" s="35" t="s">
        <v>4205</v>
      </c>
      <c r="AD5065" s="35"/>
      <c r="AE5065" s="52" t="s">
        <v>1251</v>
      </c>
    </row>
    <row r="5066" spans="2:31" s="1" customFormat="1" ht="96.3" customHeight="1" outlineLevel="4">
      <c r="B5066" s="57">
        <v>4104</v>
      </c>
      <c r="C5066" s="21" t="s">
        <v>17956</v>
      </c>
      <c r="D5066" s="72" t="s">
        <v>17957</v>
      </c>
      <c r="E5066" s="72"/>
      <c r="F5066" s="72"/>
      <c r="G5066" s="72"/>
      <c r="H5066" s="22" t="s">
        <v>17958</v>
      </c>
      <c r="I5066" s="23" t="s">
        <v>36</v>
      </c>
      <c r="J5066" s="22"/>
      <c r="K5066" s="20">
        <v>24</v>
      </c>
      <c r="L5066" s="24">
        <v>31.97</v>
      </c>
      <c r="M5066" s="11"/>
      <c r="N5066" s="22">
        <f t="shared" si="270"/>
        <v>0</v>
      </c>
      <c r="O5066" s="28">
        <f>0.01*M5066</f>
        <v>0</v>
      </c>
      <c r="P5066" s="26">
        <f>0.00095*M5066</f>
        <v>0</v>
      </c>
      <c r="Q5066" s="30"/>
      <c r="R5066" s="22" t="s">
        <v>17959</v>
      </c>
      <c r="S5066" s="22"/>
      <c r="T5066" s="21" t="str">
        <f>HYPERLINK("https://miland.ru/api/getInfo/image/217c9506-77db-11ea-a244-ac1f6b442184")</f>
        <v>https://miland.ru/api/getInfo/image/217c9506-77db-11ea-a244-ac1f6b442184</v>
      </c>
      <c r="U5066" s="21"/>
      <c r="V5066" s="21" t="s">
        <v>11948</v>
      </c>
      <c r="W5066" s="21" t="s">
        <v>1630</v>
      </c>
      <c r="X5066" s="21"/>
      <c r="Y5066" s="21" t="s">
        <v>697</v>
      </c>
      <c r="Z5066" s="21"/>
      <c r="AA5066" s="21" t="str">
        <f>HYPERLINK("https://miland.ru/api/getInfo/item/217c9506-77db-11ea-a244-ac1f6b442184")</f>
        <v>https://miland.ru/api/getInfo/item/217c9506-77db-11ea-a244-ac1f6b442184</v>
      </c>
      <c r="AB5066" s="21" t="s">
        <v>42</v>
      </c>
      <c r="AC5066" s="21"/>
      <c r="AD5066" s="21"/>
    </row>
    <row r="5067" spans="2:31" s="1" customFormat="1" ht="96.3" customHeight="1" outlineLevel="4">
      <c r="B5067" s="57">
        <v>4105</v>
      </c>
      <c r="C5067" s="21" t="s">
        <v>17960</v>
      </c>
      <c r="D5067" s="72" t="s">
        <v>17961</v>
      </c>
      <c r="E5067" s="72"/>
      <c r="F5067" s="72"/>
      <c r="G5067" s="72"/>
      <c r="H5067" s="22" t="s">
        <v>17962</v>
      </c>
      <c r="I5067" s="23" t="s">
        <v>36</v>
      </c>
      <c r="J5067" s="22"/>
      <c r="K5067" s="20">
        <v>24</v>
      </c>
      <c r="L5067" s="24">
        <v>31.97</v>
      </c>
      <c r="M5067" s="11"/>
      <c r="N5067" s="22">
        <f t="shared" si="270"/>
        <v>0</v>
      </c>
      <c r="O5067" s="28">
        <f>0.01*M5067</f>
        <v>0</v>
      </c>
      <c r="P5067" s="26">
        <f>0.00009*M5067</f>
        <v>0</v>
      </c>
      <c r="Q5067" s="30"/>
      <c r="R5067" s="22" t="s">
        <v>17963</v>
      </c>
      <c r="S5067" s="22"/>
      <c r="T5067" s="21" t="str">
        <f>HYPERLINK("https://miland.ru/api/getInfo/image/98a5bd87-c986-11e9-a233-ac1f6b442184")</f>
        <v>https://miland.ru/api/getInfo/image/98a5bd87-c986-11e9-a233-ac1f6b442184</v>
      </c>
      <c r="U5067" s="21"/>
      <c r="V5067" s="21" t="s">
        <v>11948</v>
      </c>
      <c r="W5067" s="21" t="s">
        <v>1630</v>
      </c>
      <c r="X5067" s="21"/>
      <c r="Y5067" s="21" t="s">
        <v>697</v>
      </c>
      <c r="Z5067" s="21"/>
      <c r="AA5067" s="21" t="str">
        <f>HYPERLINK("https://miland.ru/api/getInfo/item/98a5bd87-c986-11e9-a233-ac1f6b442184")</f>
        <v>https://miland.ru/api/getInfo/item/98a5bd87-c986-11e9-a233-ac1f6b442184</v>
      </c>
      <c r="AB5067" s="21" t="s">
        <v>42</v>
      </c>
      <c r="AC5067" s="21"/>
      <c r="AD5067" s="21"/>
    </row>
    <row r="5068" spans="2:31" s="1" customFormat="1" ht="96.3" customHeight="1" outlineLevel="4">
      <c r="B5068" s="57">
        <v>4106</v>
      </c>
      <c r="C5068" s="21" t="s">
        <v>17964</v>
      </c>
      <c r="D5068" s="72" t="s">
        <v>17965</v>
      </c>
      <c r="E5068" s="72"/>
      <c r="F5068" s="72"/>
      <c r="G5068" s="72"/>
      <c r="H5068" s="22" t="s">
        <v>17966</v>
      </c>
      <c r="I5068" s="23" t="s">
        <v>36</v>
      </c>
      <c r="J5068" s="22"/>
      <c r="K5068" s="20">
        <v>24</v>
      </c>
      <c r="L5068" s="24">
        <v>31.97</v>
      </c>
      <c r="M5068" s="11"/>
      <c r="N5068" s="22">
        <f t="shared" si="270"/>
        <v>0</v>
      </c>
      <c r="O5068" s="28">
        <f>0.01*M5068</f>
        <v>0</v>
      </c>
      <c r="P5068" s="26">
        <f>0.00009*M5068</f>
        <v>0</v>
      </c>
      <c r="Q5068" s="30"/>
      <c r="R5068" s="22" t="s">
        <v>17967</v>
      </c>
      <c r="S5068" s="22"/>
      <c r="T5068" s="21" t="str">
        <f>HYPERLINK("https://miland.ru/api/getInfo/image/adadbd1a-c986-11e9-a233-ac1f6b442184")</f>
        <v>https://miland.ru/api/getInfo/image/adadbd1a-c986-11e9-a233-ac1f6b442184</v>
      </c>
      <c r="U5068" s="21"/>
      <c r="V5068" s="21" t="s">
        <v>11948</v>
      </c>
      <c r="W5068" s="21" t="s">
        <v>1630</v>
      </c>
      <c r="X5068" s="21"/>
      <c r="Y5068" s="21" t="s">
        <v>697</v>
      </c>
      <c r="Z5068" s="21"/>
      <c r="AA5068" s="21" t="str">
        <f>HYPERLINK("https://miland.ru/api/getInfo/item/adadbd1a-c986-11e9-a233-ac1f6b442184")</f>
        <v>https://miland.ru/api/getInfo/item/adadbd1a-c986-11e9-a233-ac1f6b442184</v>
      </c>
      <c r="AB5068" s="21" t="s">
        <v>42</v>
      </c>
      <c r="AC5068" s="21"/>
      <c r="AD5068" s="21"/>
    </row>
    <row r="5069" spans="2:31" s="1" customFormat="1" ht="96.3" customHeight="1" outlineLevel="4">
      <c r="B5069" s="57">
        <v>4107</v>
      </c>
      <c r="C5069" s="21" t="s">
        <v>17968</v>
      </c>
      <c r="D5069" s="72" t="s">
        <v>17969</v>
      </c>
      <c r="E5069" s="72"/>
      <c r="F5069" s="72"/>
      <c r="G5069" s="72"/>
      <c r="H5069" s="22" t="s">
        <v>17970</v>
      </c>
      <c r="I5069" s="23" t="s">
        <v>36</v>
      </c>
      <c r="J5069" s="22"/>
      <c r="K5069" s="20">
        <v>24</v>
      </c>
      <c r="L5069" s="24">
        <v>31.97</v>
      </c>
      <c r="M5069" s="11"/>
      <c r="N5069" s="22">
        <f t="shared" si="270"/>
        <v>0</v>
      </c>
      <c r="O5069" s="28">
        <f>0.01*M5069</f>
        <v>0</v>
      </c>
      <c r="P5069" s="26">
        <f>0.00009*M5069</f>
        <v>0</v>
      </c>
      <c r="Q5069" s="30"/>
      <c r="R5069" s="22" t="s">
        <v>17971</v>
      </c>
      <c r="S5069" s="22"/>
      <c r="T5069" s="21" t="str">
        <f>HYPERLINK("https://miland.ru/api/getInfo/image/c2efd7dd-c986-11e9-a233-ac1f6b442184")</f>
        <v>https://miland.ru/api/getInfo/image/c2efd7dd-c986-11e9-a233-ac1f6b442184</v>
      </c>
      <c r="U5069" s="21"/>
      <c r="V5069" s="21" t="s">
        <v>11948</v>
      </c>
      <c r="W5069" s="21" t="s">
        <v>1630</v>
      </c>
      <c r="X5069" s="21"/>
      <c r="Y5069" s="21" t="s">
        <v>697</v>
      </c>
      <c r="Z5069" s="21"/>
      <c r="AA5069" s="21" t="str">
        <f>HYPERLINK("https://miland.ru/api/getInfo/item/c2efd7dd-c986-11e9-a233-ac1f6b442184")</f>
        <v>https://miland.ru/api/getInfo/item/c2efd7dd-c986-11e9-a233-ac1f6b442184</v>
      </c>
      <c r="AB5069" s="21" t="s">
        <v>42</v>
      </c>
      <c r="AC5069" s="21"/>
      <c r="AD5069" s="21"/>
    </row>
    <row r="5070" spans="2:31" s="1" customFormat="1" ht="96.3" customHeight="1" outlineLevel="4">
      <c r="B5070" s="57">
        <v>4108</v>
      </c>
      <c r="C5070" s="21" t="s">
        <v>17972</v>
      </c>
      <c r="D5070" s="72" t="s">
        <v>17973</v>
      </c>
      <c r="E5070" s="72"/>
      <c r="F5070" s="72"/>
      <c r="G5070" s="72"/>
      <c r="H5070" s="22" t="s">
        <v>17974</v>
      </c>
      <c r="I5070" s="23" t="s">
        <v>36</v>
      </c>
      <c r="J5070" s="22"/>
      <c r="K5070" s="20">
        <v>24</v>
      </c>
      <c r="L5070" s="24">
        <v>31.97</v>
      </c>
      <c r="M5070" s="11"/>
      <c r="N5070" s="22">
        <f t="shared" si="270"/>
        <v>0</v>
      </c>
      <c r="O5070" s="28">
        <f>0.01*M5070</f>
        <v>0</v>
      </c>
      <c r="P5070" s="26">
        <f>0.00009*M5070</f>
        <v>0</v>
      </c>
      <c r="Q5070" s="30"/>
      <c r="R5070" s="22" t="s">
        <v>17975</v>
      </c>
      <c r="S5070" s="22"/>
      <c r="T5070" s="21" t="str">
        <f>HYPERLINK("https://miland.ru/api/getInfo/image/d7c140d9-c986-11e9-a233-ac1f6b442184")</f>
        <v>https://miland.ru/api/getInfo/image/d7c140d9-c986-11e9-a233-ac1f6b442184</v>
      </c>
      <c r="U5070" s="21"/>
      <c r="V5070" s="21" t="s">
        <v>11948</v>
      </c>
      <c r="W5070" s="21" t="s">
        <v>1630</v>
      </c>
      <c r="X5070" s="21"/>
      <c r="Y5070" s="21" t="s">
        <v>697</v>
      </c>
      <c r="Z5070" s="21"/>
      <c r="AA5070" s="21" t="str">
        <f>HYPERLINK("https://miland.ru/api/getInfo/item/d7c140d9-c986-11e9-a233-ac1f6b442184")</f>
        <v>https://miland.ru/api/getInfo/item/d7c140d9-c986-11e9-a233-ac1f6b442184</v>
      </c>
      <c r="AB5070" s="21" t="s">
        <v>42</v>
      </c>
      <c r="AC5070" s="21"/>
      <c r="AD5070" s="21"/>
    </row>
    <row r="5071" spans="2:31" s="1" customFormat="1" ht="96.3" customHeight="1" outlineLevel="4">
      <c r="B5071" s="57">
        <v>4109</v>
      </c>
      <c r="C5071" s="21" t="s">
        <v>17976</v>
      </c>
      <c r="D5071" s="72" t="s">
        <v>17977</v>
      </c>
      <c r="E5071" s="72"/>
      <c r="F5071" s="72"/>
      <c r="G5071" s="72"/>
      <c r="H5071" s="22" t="s">
        <v>17978</v>
      </c>
      <c r="I5071" s="23" t="s">
        <v>36</v>
      </c>
      <c r="J5071" s="22"/>
      <c r="K5071" s="20">
        <v>24</v>
      </c>
      <c r="L5071" s="24">
        <v>31.97</v>
      </c>
      <c r="M5071" s="11"/>
      <c r="N5071" s="22">
        <f t="shared" si="270"/>
        <v>0</v>
      </c>
      <c r="O5071" s="25">
        <f>0.013*M5071</f>
        <v>0</v>
      </c>
      <c r="P5071" s="26">
        <f>0.00013*M5071</f>
        <v>0</v>
      </c>
      <c r="Q5071" s="30"/>
      <c r="R5071" s="22" t="s">
        <v>17979</v>
      </c>
      <c r="S5071" s="22"/>
      <c r="T5071" s="21" t="str">
        <f>HYPERLINK("https://miland.ru/api/getInfo/image/ee4de9e8-c986-11e9-a233-ac1f6b442184")</f>
        <v>https://miland.ru/api/getInfo/image/ee4de9e8-c986-11e9-a233-ac1f6b442184</v>
      </c>
      <c r="U5071" s="21"/>
      <c r="V5071" s="21" t="s">
        <v>11948</v>
      </c>
      <c r="W5071" s="21" t="s">
        <v>1630</v>
      </c>
      <c r="X5071" s="21"/>
      <c r="Y5071" s="21" t="s">
        <v>697</v>
      </c>
      <c r="Z5071" s="21"/>
      <c r="AA5071" s="21" t="str">
        <f>HYPERLINK("https://miland.ru/api/getInfo/item/ee4de9e8-c986-11e9-a233-ac1f6b442184")</f>
        <v>https://miland.ru/api/getInfo/item/ee4de9e8-c986-11e9-a233-ac1f6b442184</v>
      </c>
      <c r="AB5071" s="21" t="s">
        <v>42</v>
      </c>
      <c r="AC5071" s="21"/>
      <c r="AD5071" s="21"/>
    </row>
    <row r="5072" spans="2:31" s="1" customFormat="1" ht="96.3" customHeight="1" outlineLevel="4">
      <c r="B5072" s="57">
        <v>4110</v>
      </c>
      <c r="C5072" s="21" t="s">
        <v>17980</v>
      </c>
      <c r="D5072" s="72" t="s">
        <v>17981</v>
      </c>
      <c r="E5072" s="72"/>
      <c r="F5072" s="72"/>
      <c r="G5072" s="72"/>
      <c r="H5072" s="22" t="s">
        <v>17982</v>
      </c>
      <c r="I5072" s="23" t="s">
        <v>36</v>
      </c>
      <c r="J5072" s="22"/>
      <c r="K5072" s="20">
        <v>24</v>
      </c>
      <c r="L5072" s="24">
        <v>31.97</v>
      </c>
      <c r="M5072" s="11"/>
      <c r="N5072" s="22">
        <f t="shared" si="270"/>
        <v>0</v>
      </c>
      <c r="O5072" s="25">
        <f>0.014*M5072</f>
        <v>0</v>
      </c>
      <c r="P5072" s="26">
        <f>0.00002*M5072</f>
        <v>0</v>
      </c>
      <c r="Q5072" s="30"/>
      <c r="R5072" s="22" t="s">
        <v>17983</v>
      </c>
      <c r="S5072" s="22"/>
      <c r="T5072" s="21" t="str">
        <f>HYPERLINK("https://miland.ru/api/getInfo/image/05fd7874-c987-11e9-a233-ac1f6b442184")</f>
        <v>https://miland.ru/api/getInfo/image/05fd7874-c987-11e9-a233-ac1f6b442184</v>
      </c>
      <c r="U5072" s="21"/>
      <c r="V5072" s="21" t="s">
        <v>11948</v>
      </c>
      <c r="W5072" s="21" t="s">
        <v>1630</v>
      </c>
      <c r="X5072" s="21"/>
      <c r="Y5072" s="21" t="s">
        <v>697</v>
      </c>
      <c r="Z5072" s="21"/>
      <c r="AA5072" s="21" t="str">
        <f>HYPERLINK("https://miland.ru/api/getInfo/item/05fd7874-c987-11e9-a233-ac1f6b442184")</f>
        <v>https://miland.ru/api/getInfo/item/05fd7874-c987-11e9-a233-ac1f6b442184</v>
      </c>
      <c r="AB5072" s="21" t="s">
        <v>42</v>
      </c>
      <c r="AC5072" s="21"/>
      <c r="AD5072" s="21"/>
    </row>
    <row r="5073" spans="2:31" s="1" customFormat="1" ht="96.3" customHeight="1" outlineLevel="4">
      <c r="B5073" s="57">
        <v>4111</v>
      </c>
      <c r="C5073" s="21" t="s">
        <v>17984</v>
      </c>
      <c r="D5073" s="72" t="s">
        <v>17985</v>
      </c>
      <c r="E5073" s="72"/>
      <c r="F5073" s="72"/>
      <c r="G5073" s="72"/>
      <c r="H5073" s="22" t="s">
        <v>17986</v>
      </c>
      <c r="I5073" s="23" t="s">
        <v>36</v>
      </c>
      <c r="J5073" s="22"/>
      <c r="K5073" s="20">
        <v>24</v>
      </c>
      <c r="L5073" s="24">
        <v>31.97</v>
      </c>
      <c r="M5073" s="11"/>
      <c r="N5073" s="22">
        <f t="shared" si="270"/>
        <v>0</v>
      </c>
      <c r="O5073" s="25">
        <f>0.013*M5073</f>
        <v>0</v>
      </c>
      <c r="P5073" s="26">
        <f>0.00014*M5073</f>
        <v>0</v>
      </c>
      <c r="Q5073" s="30"/>
      <c r="R5073" s="22" t="s">
        <v>17987</v>
      </c>
      <c r="S5073" s="22"/>
      <c r="T5073" s="21" t="str">
        <f>HYPERLINK("https://miland.ru/api/getInfo/image/1c1c71ab-c987-11e9-a233-ac1f6b442184")</f>
        <v>https://miland.ru/api/getInfo/image/1c1c71ab-c987-11e9-a233-ac1f6b442184</v>
      </c>
      <c r="U5073" s="21"/>
      <c r="V5073" s="21" t="s">
        <v>11948</v>
      </c>
      <c r="W5073" s="21" t="s">
        <v>1630</v>
      </c>
      <c r="X5073" s="21"/>
      <c r="Y5073" s="21" t="s">
        <v>697</v>
      </c>
      <c r="Z5073" s="21"/>
      <c r="AA5073" s="21" t="str">
        <f>HYPERLINK("https://miland.ru/api/getInfo/item/1c1c71ab-c987-11e9-a233-ac1f6b442184")</f>
        <v>https://miland.ru/api/getInfo/item/1c1c71ab-c987-11e9-a233-ac1f6b442184</v>
      </c>
      <c r="AB5073" s="21" t="s">
        <v>42</v>
      </c>
      <c r="AC5073" s="21"/>
      <c r="AD5073" s="21"/>
    </row>
    <row r="5074" spans="2:31" s="1" customFormat="1" ht="96.3" customHeight="1" outlineLevel="4">
      <c r="B5074" s="57">
        <v>4112</v>
      </c>
      <c r="C5074" s="21" t="s">
        <v>17988</v>
      </c>
      <c r="D5074" s="72" t="s">
        <v>17989</v>
      </c>
      <c r="E5074" s="72"/>
      <c r="F5074" s="72"/>
      <c r="G5074" s="72"/>
      <c r="H5074" s="22" t="s">
        <v>17990</v>
      </c>
      <c r="I5074" s="23" t="s">
        <v>36</v>
      </c>
      <c r="J5074" s="22"/>
      <c r="K5074" s="20">
        <v>24</v>
      </c>
      <c r="L5074" s="24">
        <v>31.97</v>
      </c>
      <c r="M5074" s="11"/>
      <c r="N5074" s="22">
        <f t="shared" si="270"/>
        <v>0</v>
      </c>
      <c r="O5074" s="25">
        <f>0.013*M5074</f>
        <v>0</v>
      </c>
      <c r="P5074" s="26">
        <f>0.00014*M5074</f>
        <v>0</v>
      </c>
      <c r="Q5074" s="30"/>
      <c r="R5074" s="22" t="s">
        <v>17991</v>
      </c>
      <c r="S5074" s="22"/>
      <c r="T5074" s="21" t="str">
        <f>HYPERLINK("https://miland.ru/api/getInfo/image/306f39cc-c987-11e9-a233-ac1f6b442184")</f>
        <v>https://miland.ru/api/getInfo/image/306f39cc-c987-11e9-a233-ac1f6b442184</v>
      </c>
      <c r="U5074" s="21"/>
      <c r="V5074" s="21" t="s">
        <v>11948</v>
      </c>
      <c r="W5074" s="21" t="s">
        <v>1630</v>
      </c>
      <c r="X5074" s="21"/>
      <c r="Y5074" s="21" t="s">
        <v>697</v>
      </c>
      <c r="Z5074" s="21"/>
      <c r="AA5074" s="21" t="str">
        <f>HYPERLINK("https://miland.ru/api/getInfo/item/306f39cc-c987-11e9-a233-ac1f6b442184")</f>
        <v>https://miland.ru/api/getInfo/item/306f39cc-c987-11e9-a233-ac1f6b442184</v>
      </c>
      <c r="AB5074" s="21" t="s">
        <v>42</v>
      </c>
      <c r="AC5074" s="21"/>
      <c r="AD5074" s="21"/>
    </row>
    <row r="5075" spans="2:31" s="1" customFormat="1" ht="96.3" customHeight="1" outlineLevel="4">
      <c r="B5075" s="57">
        <v>4113</v>
      </c>
      <c r="C5075" s="21" t="s">
        <v>17992</v>
      </c>
      <c r="D5075" s="72" t="s">
        <v>17993</v>
      </c>
      <c r="E5075" s="72"/>
      <c r="F5075" s="72"/>
      <c r="G5075" s="72"/>
      <c r="H5075" s="22" t="s">
        <v>17994</v>
      </c>
      <c r="I5075" s="23" t="s">
        <v>36</v>
      </c>
      <c r="J5075" s="22"/>
      <c r="K5075" s="20">
        <v>24</v>
      </c>
      <c r="L5075" s="24">
        <v>31.97</v>
      </c>
      <c r="M5075" s="11"/>
      <c r="N5075" s="22">
        <f t="shared" si="270"/>
        <v>0</v>
      </c>
      <c r="O5075" s="25">
        <f>0.013*M5075</f>
        <v>0</v>
      </c>
      <c r="P5075" s="26">
        <f>0.00014*M5075</f>
        <v>0</v>
      </c>
      <c r="Q5075" s="30"/>
      <c r="R5075" s="22" t="s">
        <v>17995</v>
      </c>
      <c r="S5075" s="22"/>
      <c r="T5075" s="21" t="str">
        <f>HYPERLINK("https://miland.ru/api/getInfo/image/4411903b-c987-11e9-a233-ac1f6b442184")</f>
        <v>https://miland.ru/api/getInfo/image/4411903b-c987-11e9-a233-ac1f6b442184</v>
      </c>
      <c r="U5075" s="21"/>
      <c r="V5075" s="21" t="s">
        <v>11948</v>
      </c>
      <c r="W5075" s="21" t="s">
        <v>1630</v>
      </c>
      <c r="X5075" s="21"/>
      <c r="Y5075" s="21" t="s">
        <v>697</v>
      </c>
      <c r="Z5075" s="21"/>
      <c r="AA5075" s="21" t="str">
        <f>HYPERLINK("https://miland.ru/api/getInfo/item/4411903b-c987-11e9-a233-ac1f6b442184")</f>
        <v>https://miland.ru/api/getInfo/item/4411903b-c987-11e9-a233-ac1f6b442184</v>
      </c>
      <c r="AB5075" s="21" t="s">
        <v>42</v>
      </c>
      <c r="AC5075" s="21"/>
      <c r="AD5075" s="21"/>
    </row>
    <row r="5076" spans="2:31" s="1" customFormat="1" ht="96.3" customHeight="1" outlineLevel="4">
      <c r="B5076" s="57">
        <v>4114</v>
      </c>
      <c r="C5076" s="21" t="s">
        <v>17996</v>
      </c>
      <c r="D5076" s="72" t="s">
        <v>17997</v>
      </c>
      <c r="E5076" s="72"/>
      <c r="F5076" s="72"/>
      <c r="G5076" s="72"/>
      <c r="H5076" s="22" t="s">
        <v>17998</v>
      </c>
      <c r="I5076" s="23" t="s">
        <v>36</v>
      </c>
      <c r="J5076" s="22"/>
      <c r="K5076" s="20">
        <v>24</v>
      </c>
      <c r="L5076" s="24">
        <v>31.97</v>
      </c>
      <c r="M5076" s="11"/>
      <c r="N5076" s="22">
        <f t="shared" si="270"/>
        <v>0</v>
      </c>
      <c r="O5076" s="25">
        <f>0.012*M5076</f>
        <v>0</v>
      </c>
      <c r="P5076" s="26">
        <f>0.00446*M5076</f>
        <v>0</v>
      </c>
      <c r="Q5076" s="30"/>
      <c r="R5076" s="22" t="s">
        <v>17999</v>
      </c>
      <c r="S5076" s="22"/>
      <c r="T5076" s="21" t="str">
        <f>HYPERLINK("https://miland.ru/api/getInfo/image/596f6681-c987-11e9-a233-ac1f6b442184")</f>
        <v>https://miland.ru/api/getInfo/image/596f6681-c987-11e9-a233-ac1f6b442184</v>
      </c>
      <c r="U5076" s="21"/>
      <c r="V5076" s="21" t="s">
        <v>11948</v>
      </c>
      <c r="W5076" s="21" t="s">
        <v>1630</v>
      </c>
      <c r="X5076" s="21"/>
      <c r="Y5076" s="21" t="s">
        <v>697</v>
      </c>
      <c r="Z5076" s="21"/>
      <c r="AA5076" s="21" t="str">
        <f>HYPERLINK("https://miland.ru/api/getInfo/item/596f6681-c987-11e9-a233-ac1f6b442184")</f>
        <v>https://miland.ru/api/getInfo/item/596f6681-c987-11e9-a233-ac1f6b442184</v>
      </c>
      <c r="AB5076" s="21" t="s">
        <v>42</v>
      </c>
      <c r="AC5076" s="21"/>
      <c r="AD5076" s="21"/>
    </row>
    <row r="5077" spans="2:31" s="1" customFormat="1" ht="96.3" customHeight="1" outlineLevel="4">
      <c r="B5077" s="57">
        <v>4115</v>
      </c>
      <c r="C5077" s="21" t="s">
        <v>18000</v>
      </c>
      <c r="D5077" s="72" t="s">
        <v>18001</v>
      </c>
      <c r="E5077" s="72"/>
      <c r="F5077" s="72"/>
      <c r="G5077" s="72"/>
      <c r="H5077" s="22" t="s">
        <v>18002</v>
      </c>
      <c r="I5077" s="23" t="s">
        <v>36</v>
      </c>
      <c r="J5077" s="22"/>
      <c r="K5077" s="20">
        <v>24</v>
      </c>
      <c r="L5077" s="24">
        <v>31.97</v>
      </c>
      <c r="M5077" s="11"/>
      <c r="N5077" s="22">
        <f t="shared" si="270"/>
        <v>0</v>
      </c>
      <c r="O5077" s="28">
        <f>0.01*M5077</f>
        <v>0</v>
      </c>
      <c r="P5077" s="26">
        <f>0.00009*M5077</f>
        <v>0</v>
      </c>
      <c r="Q5077" s="30"/>
      <c r="R5077" s="22" t="s">
        <v>18003</v>
      </c>
      <c r="S5077" s="22"/>
      <c r="T5077" s="21" t="str">
        <f>HYPERLINK("https://miland.ru/api/getInfo/image/7d9ed44c-c987-11e9-a233-ac1f6b442184")</f>
        <v>https://miland.ru/api/getInfo/image/7d9ed44c-c987-11e9-a233-ac1f6b442184</v>
      </c>
      <c r="U5077" s="21"/>
      <c r="V5077" s="21" t="s">
        <v>11948</v>
      </c>
      <c r="W5077" s="21" t="s">
        <v>1630</v>
      </c>
      <c r="X5077" s="21"/>
      <c r="Y5077" s="21" t="s">
        <v>697</v>
      </c>
      <c r="Z5077" s="21"/>
      <c r="AA5077" s="21" t="str">
        <f>HYPERLINK("https://miland.ru/api/getInfo/item/7d9ed44c-c987-11e9-a233-ac1f6b442184")</f>
        <v>https://miland.ru/api/getInfo/item/7d9ed44c-c987-11e9-a233-ac1f6b442184</v>
      </c>
      <c r="AB5077" s="21" t="s">
        <v>42</v>
      </c>
      <c r="AC5077" s="21"/>
      <c r="AD5077" s="21"/>
    </row>
    <row r="5078" spans="2:31" s="1" customFormat="1" ht="96.3" customHeight="1" outlineLevel="4">
      <c r="B5078" s="57">
        <v>4116</v>
      </c>
      <c r="C5078" s="21" t="s">
        <v>18004</v>
      </c>
      <c r="D5078" s="72" t="s">
        <v>18005</v>
      </c>
      <c r="E5078" s="72"/>
      <c r="F5078" s="72"/>
      <c r="G5078" s="72"/>
      <c r="H5078" s="22" t="s">
        <v>18006</v>
      </c>
      <c r="I5078" s="23" t="s">
        <v>36</v>
      </c>
      <c r="J5078" s="22"/>
      <c r="K5078" s="20">
        <v>24</v>
      </c>
      <c r="L5078" s="24">
        <v>31.97</v>
      </c>
      <c r="M5078" s="11"/>
      <c r="N5078" s="22">
        <f t="shared" si="270"/>
        <v>0</v>
      </c>
      <c r="O5078" s="28">
        <f>0.01*M5078</f>
        <v>0</v>
      </c>
      <c r="P5078" s="26">
        <f>0.00009*M5078</f>
        <v>0</v>
      </c>
      <c r="Q5078" s="30"/>
      <c r="R5078" s="22" t="s">
        <v>18007</v>
      </c>
      <c r="S5078" s="22"/>
      <c r="T5078" s="21" t="str">
        <f>HYPERLINK("https://miland.ru/api/getInfo/image/a9062f55-c987-11e9-a233-ac1f6b442184")</f>
        <v>https://miland.ru/api/getInfo/image/a9062f55-c987-11e9-a233-ac1f6b442184</v>
      </c>
      <c r="U5078" s="21"/>
      <c r="V5078" s="21" t="s">
        <v>11948</v>
      </c>
      <c r="W5078" s="21" t="s">
        <v>1630</v>
      </c>
      <c r="X5078" s="21"/>
      <c r="Y5078" s="21" t="s">
        <v>697</v>
      </c>
      <c r="Z5078" s="21"/>
      <c r="AA5078" s="21" t="str">
        <f>HYPERLINK("https://miland.ru/api/getInfo/item/a9062f55-c987-11e9-a233-ac1f6b442184")</f>
        <v>https://miland.ru/api/getInfo/item/a9062f55-c987-11e9-a233-ac1f6b442184</v>
      </c>
      <c r="AB5078" s="21" t="s">
        <v>42</v>
      </c>
      <c r="AC5078" s="21"/>
      <c r="AD5078" s="21"/>
    </row>
    <row r="5079" spans="2:31" s="1" customFormat="1" ht="96.3" customHeight="1" outlineLevel="4">
      <c r="B5079" s="59">
        <v>4117</v>
      </c>
      <c r="C5079" s="35" t="s">
        <v>18008</v>
      </c>
      <c r="D5079" s="73" t="s">
        <v>18009</v>
      </c>
      <c r="E5079" s="73"/>
      <c r="F5079" s="73"/>
      <c r="G5079" s="73"/>
      <c r="H5079" s="36" t="s">
        <v>18010</v>
      </c>
      <c r="I5079" s="56" t="s">
        <v>36</v>
      </c>
      <c r="J5079" s="36"/>
      <c r="K5079" s="34">
        <v>24</v>
      </c>
      <c r="L5079" s="41">
        <v>20.466666666666665</v>
      </c>
      <c r="M5079" s="11"/>
      <c r="N5079" s="36">
        <f t="shared" si="270"/>
        <v>0</v>
      </c>
      <c r="O5079" s="42">
        <f>0.014*M5079</f>
        <v>0</v>
      </c>
      <c r="P5079" s="43">
        <f>0.00016*M5079</f>
        <v>0</v>
      </c>
      <c r="Q5079" s="50"/>
      <c r="R5079" s="36" t="s">
        <v>18011</v>
      </c>
      <c r="S5079" s="36"/>
      <c r="T5079" s="35" t="str">
        <f>HYPERLINK("https://miland.ru/api/getInfo/image/7e354268-c985-11e9-a233-ac1f6b442184")</f>
        <v>https://miland.ru/api/getInfo/image/7e354268-c985-11e9-a233-ac1f6b442184</v>
      </c>
      <c r="U5079" s="35"/>
      <c r="V5079" s="35" t="s">
        <v>11948</v>
      </c>
      <c r="W5079" s="35" t="s">
        <v>1630</v>
      </c>
      <c r="X5079" s="35"/>
      <c r="Y5079" s="35" t="s">
        <v>697</v>
      </c>
      <c r="Z5079" s="35"/>
      <c r="AA5079" s="35" t="str">
        <f>HYPERLINK("https://miland.ru/api/getInfo/item/7e354268-c985-11e9-a233-ac1f6b442184")</f>
        <v>https://miland.ru/api/getInfo/item/7e354268-c985-11e9-a233-ac1f6b442184</v>
      </c>
      <c r="AB5079" s="35" t="s">
        <v>42</v>
      </c>
      <c r="AC5079" s="35"/>
      <c r="AD5079" s="35"/>
      <c r="AE5079" s="52" t="s">
        <v>9152</v>
      </c>
    </row>
    <row r="5080" spans="2:31" s="1" customFormat="1" ht="96.3" customHeight="1" outlineLevel="4">
      <c r="B5080" s="59">
        <v>4118</v>
      </c>
      <c r="C5080" s="35" t="s">
        <v>18012</v>
      </c>
      <c r="D5080" s="73" t="s">
        <v>18013</v>
      </c>
      <c r="E5080" s="73"/>
      <c r="F5080" s="73"/>
      <c r="G5080" s="73"/>
      <c r="H5080" s="36" t="s">
        <v>18014</v>
      </c>
      <c r="I5080" s="56" t="s">
        <v>36</v>
      </c>
      <c r="J5080" s="36"/>
      <c r="K5080" s="34">
        <v>24</v>
      </c>
      <c r="L5080" s="41">
        <v>20.466666666666665</v>
      </c>
      <c r="M5080" s="11"/>
      <c r="N5080" s="36">
        <f t="shared" si="270"/>
        <v>0</v>
      </c>
      <c r="O5080" s="42">
        <f>0.012*M5080</f>
        <v>0</v>
      </c>
      <c r="P5080" s="43">
        <f>0.00019*M5080</f>
        <v>0</v>
      </c>
      <c r="Q5080" s="50"/>
      <c r="R5080" s="36" t="s">
        <v>18015</v>
      </c>
      <c r="S5080" s="36"/>
      <c r="T5080" s="35" t="str">
        <f>HYPERLINK("https://miland.ru/api/getInfo/image/1991bbc1-c986-11e9-a233-ac1f6b442184")</f>
        <v>https://miland.ru/api/getInfo/image/1991bbc1-c986-11e9-a233-ac1f6b442184</v>
      </c>
      <c r="U5080" s="35"/>
      <c r="V5080" s="35" t="s">
        <v>11948</v>
      </c>
      <c r="W5080" s="35" t="s">
        <v>1630</v>
      </c>
      <c r="X5080" s="35"/>
      <c r="Y5080" s="35" t="s">
        <v>697</v>
      </c>
      <c r="Z5080" s="35"/>
      <c r="AA5080" s="35" t="str">
        <f>HYPERLINK("https://miland.ru/api/getInfo/item/1991bbc1-c986-11e9-a233-ac1f6b442184")</f>
        <v>https://miland.ru/api/getInfo/item/1991bbc1-c986-11e9-a233-ac1f6b442184</v>
      </c>
      <c r="AB5080" s="35" t="s">
        <v>42</v>
      </c>
      <c r="AC5080" s="35"/>
      <c r="AD5080" s="35"/>
      <c r="AE5080" s="52" t="s">
        <v>9152</v>
      </c>
    </row>
    <row r="5081" spans="2:31" s="1" customFormat="1" ht="96.3" customHeight="1" outlineLevel="4">
      <c r="B5081" s="59">
        <v>4119</v>
      </c>
      <c r="C5081" s="35" t="s">
        <v>18016</v>
      </c>
      <c r="D5081" s="73" t="s">
        <v>18017</v>
      </c>
      <c r="E5081" s="73"/>
      <c r="F5081" s="73"/>
      <c r="G5081" s="73"/>
      <c r="H5081" s="36" t="s">
        <v>18018</v>
      </c>
      <c r="I5081" s="56" t="s">
        <v>36</v>
      </c>
      <c r="J5081" s="36"/>
      <c r="K5081" s="34">
        <v>24</v>
      </c>
      <c r="L5081" s="41">
        <v>20.466666666666665</v>
      </c>
      <c r="M5081" s="11"/>
      <c r="N5081" s="36">
        <f t="shared" si="270"/>
        <v>0</v>
      </c>
      <c r="O5081" s="42">
        <f>0.028*M5081</f>
        <v>0</v>
      </c>
      <c r="P5081" s="43">
        <f>0.00016*M5081</f>
        <v>0</v>
      </c>
      <c r="Q5081" s="50"/>
      <c r="R5081" s="36" t="s">
        <v>18019</v>
      </c>
      <c r="S5081" s="36"/>
      <c r="T5081" s="35" t="str">
        <f>HYPERLINK("https://miland.ru/api/getInfo/image/311a0e8d-c986-11e9-a233-ac1f6b442184")</f>
        <v>https://miland.ru/api/getInfo/image/311a0e8d-c986-11e9-a233-ac1f6b442184</v>
      </c>
      <c r="U5081" s="35"/>
      <c r="V5081" s="35" t="s">
        <v>11948</v>
      </c>
      <c r="W5081" s="35" t="s">
        <v>1630</v>
      </c>
      <c r="X5081" s="35"/>
      <c r="Y5081" s="35" t="s">
        <v>697</v>
      </c>
      <c r="Z5081" s="35"/>
      <c r="AA5081" s="35" t="str">
        <f>HYPERLINK("https://miland.ru/api/getInfo/item/311a0e8d-c986-11e9-a233-ac1f6b442184")</f>
        <v>https://miland.ru/api/getInfo/item/311a0e8d-c986-11e9-a233-ac1f6b442184</v>
      </c>
      <c r="AB5081" s="35" t="s">
        <v>42</v>
      </c>
      <c r="AC5081" s="35"/>
      <c r="AD5081" s="35"/>
      <c r="AE5081" s="52" t="s">
        <v>9152</v>
      </c>
    </row>
    <row r="5082" spans="2:31" s="1" customFormat="1" ht="96.3" customHeight="1" outlineLevel="4">
      <c r="B5082" s="59">
        <v>4120</v>
      </c>
      <c r="C5082" s="35" t="s">
        <v>18020</v>
      </c>
      <c r="D5082" s="73" t="s">
        <v>18021</v>
      </c>
      <c r="E5082" s="73"/>
      <c r="F5082" s="73"/>
      <c r="G5082" s="73"/>
      <c r="H5082" s="36" t="s">
        <v>18022</v>
      </c>
      <c r="I5082" s="56" t="s">
        <v>36</v>
      </c>
      <c r="J5082" s="36"/>
      <c r="K5082" s="34">
        <v>24</v>
      </c>
      <c r="L5082" s="41">
        <v>20.466666666666665</v>
      </c>
      <c r="M5082" s="11"/>
      <c r="N5082" s="36">
        <f t="shared" si="270"/>
        <v>0</v>
      </c>
      <c r="O5082" s="42">
        <f>0.012*M5082</f>
        <v>0</v>
      </c>
      <c r="P5082" s="43">
        <f>0.00014*M5082</f>
        <v>0</v>
      </c>
      <c r="Q5082" s="50"/>
      <c r="R5082" s="36" t="s">
        <v>18023</v>
      </c>
      <c r="S5082" s="36"/>
      <c r="T5082" s="35" t="str">
        <f>HYPERLINK("https://miland.ru/api/getInfo/image/48ddcc3a-c986-11e9-a233-ac1f6b442184")</f>
        <v>https://miland.ru/api/getInfo/image/48ddcc3a-c986-11e9-a233-ac1f6b442184</v>
      </c>
      <c r="U5082" s="35"/>
      <c r="V5082" s="35" t="s">
        <v>11948</v>
      </c>
      <c r="W5082" s="35" t="s">
        <v>1630</v>
      </c>
      <c r="X5082" s="35"/>
      <c r="Y5082" s="35" t="s">
        <v>697</v>
      </c>
      <c r="Z5082" s="35"/>
      <c r="AA5082" s="35" t="str">
        <f>HYPERLINK("https://miland.ru/api/getInfo/item/48ddcc3a-c986-11e9-a233-ac1f6b442184")</f>
        <v>https://miland.ru/api/getInfo/item/48ddcc3a-c986-11e9-a233-ac1f6b442184</v>
      </c>
      <c r="AB5082" s="35" t="s">
        <v>42</v>
      </c>
      <c r="AC5082" s="35"/>
      <c r="AD5082" s="35"/>
      <c r="AE5082" s="52" t="s">
        <v>9152</v>
      </c>
    </row>
    <row r="5083" spans="2:31" s="1" customFormat="1" ht="96.3" customHeight="1" outlineLevel="4">
      <c r="B5083" s="59">
        <v>4121</v>
      </c>
      <c r="C5083" s="35" t="s">
        <v>18024</v>
      </c>
      <c r="D5083" s="73" t="s">
        <v>18025</v>
      </c>
      <c r="E5083" s="73"/>
      <c r="F5083" s="73"/>
      <c r="G5083" s="73"/>
      <c r="H5083" s="36" t="s">
        <v>18026</v>
      </c>
      <c r="I5083" s="56" t="s">
        <v>36</v>
      </c>
      <c r="J5083" s="36"/>
      <c r="K5083" s="34">
        <v>24</v>
      </c>
      <c r="L5083" s="41">
        <v>20.466666666666665</v>
      </c>
      <c r="M5083" s="11"/>
      <c r="N5083" s="36">
        <f t="shared" si="270"/>
        <v>0</v>
      </c>
      <c r="O5083" s="42">
        <f>0.026*M5083</f>
        <v>0</v>
      </c>
      <c r="P5083" s="43">
        <f>0.00015*M5083</f>
        <v>0</v>
      </c>
      <c r="Q5083" s="50"/>
      <c r="R5083" s="36" t="s">
        <v>18027</v>
      </c>
      <c r="S5083" s="36"/>
      <c r="T5083" s="35" t="str">
        <f>HYPERLINK("https://miland.ru/api/getInfo/image/5f887032-c986-11e9-a233-ac1f6b442184")</f>
        <v>https://miland.ru/api/getInfo/image/5f887032-c986-11e9-a233-ac1f6b442184</v>
      </c>
      <c r="U5083" s="35"/>
      <c r="V5083" s="35" t="s">
        <v>11948</v>
      </c>
      <c r="W5083" s="35" t="s">
        <v>1630</v>
      </c>
      <c r="X5083" s="35"/>
      <c r="Y5083" s="35" t="s">
        <v>697</v>
      </c>
      <c r="Z5083" s="35"/>
      <c r="AA5083" s="35" t="str">
        <f>HYPERLINK("https://miland.ru/api/getInfo/item/5f887032-c986-11e9-a233-ac1f6b442184")</f>
        <v>https://miland.ru/api/getInfo/item/5f887032-c986-11e9-a233-ac1f6b442184</v>
      </c>
      <c r="AB5083" s="35" t="s">
        <v>42</v>
      </c>
      <c r="AC5083" s="35"/>
      <c r="AD5083" s="35"/>
      <c r="AE5083" s="52" t="s">
        <v>9152</v>
      </c>
    </row>
    <row r="5084" spans="2:31" s="1" customFormat="1" ht="96.3" customHeight="1" outlineLevel="4">
      <c r="B5084" s="59">
        <v>4122</v>
      </c>
      <c r="C5084" s="35" t="s">
        <v>18028</v>
      </c>
      <c r="D5084" s="73" t="s">
        <v>18029</v>
      </c>
      <c r="E5084" s="73"/>
      <c r="F5084" s="73"/>
      <c r="G5084" s="73"/>
      <c r="H5084" s="36" t="s">
        <v>18030</v>
      </c>
      <c r="I5084" s="56" t="s">
        <v>36</v>
      </c>
      <c r="J5084" s="36"/>
      <c r="K5084" s="34">
        <v>12</v>
      </c>
      <c r="L5084" s="41">
        <v>26.466666666666669</v>
      </c>
      <c r="M5084" s="11"/>
      <c r="N5084" s="36">
        <f t="shared" si="270"/>
        <v>0</v>
      </c>
      <c r="O5084" s="47">
        <f>0.01*M5084</f>
        <v>0</v>
      </c>
      <c r="P5084" s="43">
        <f>0.00009*M5084</f>
        <v>0</v>
      </c>
      <c r="Q5084" s="50"/>
      <c r="R5084" s="36" t="s">
        <v>18031</v>
      </c>
      <c r="S5084" s="36" t="s">
        <v>435</v>
      </c>
      <c r="T5084" s="35" t="str">
        <f>HYPERLINK("https://miland.ru/api/getInfo/image/2fce71d5-1b3a-11ea-a237-ac1f6b442184")</f>
        <v>https://miland.ru/api/getInfo/image/2fce71d5-1b3a-11ea-a237-ac1f6b442184</v>
      </c>
      <c r="U5084" s="35"/>
      <c r="V5084" s="35" t="s">
        <v>11948</v>
      </c>
      <c r="W5084" s="35" t="s">
        <v>1630</v>
      </c>
      <c r="X5084" s="35"/>
      <c r="Y5084" s="35" t="s">
        <v>697</v>
      </c>
      <c r="Z5084" s="35"/>
      <c r="AA5084" s="35" t="str">
        <f>HYPERLINK("https://miland.ru/api/getInfo/item/2fce71d5-1b3a-11ea-a237-ac1f6b442184")</f>
        <v>https://miland.ru/api/getInfo/item/2fce71d5-1b3a-11ea-a237-ac1f6b442184</v>
      </c>
      <c r="AB5084" s="35" t="s">
        <v>42</v>
      </c>
      <c r="AC5084" s="35" t="s">
        <v>4205</v>
      </c>
      <c r="AD5084" s="35"/>
      <c r="AE5084" s="52" t="s">
        <v>1251</v>
      </c>
    </row>
    <row r="5085" spans="2:31" s="1" customFormat="1" ht="96.3" customHeight="1" outlineLevel="4">
      <c r="B5085" s="59">
        <v>4123</v>
      </c>
      <c r="C5085" s="35" t="s">
        <v>18032</v>
      </c>
      <c r="D5085" s="73" t="s">
        <v>18033</v>
      </c>
      <c r="E5085" s="73"/>
      <c r="F5085" s="73"/>
      <c r="G5085" s="73"/>
      <c r="H5085" s="36" t="s">
        <v>18034</v>
      </c>
      <c r="I5085" s="40">
        <v>158</v>
      </c>
      <c r="J5085" s="36"/>
      <c r="K5085" s="34">
        <v>12</v>
      </c>
      <c r="L5085" s="41">
        <v>26.466666666666669</v>
      </c>
      <c r="M5085" s="11"/>
      <c r="N5085" s="36">
        <f t="shared" si="270"/>
        <v>0</v>
      </c>
      <c r="O5085" s="47">
        <f>0.01*M5085</f>
        <v>0</v>
      </c>
      <c r="P5085" s="43">
        <f>0.00009*M5085</f>
        <v>0</v>
      </c>
      <c r="Q5085" s="50"/>
      <c r="R5085" s="36" t="s">
        <v>18035</v>
      </c>
      <c r="S5085" s="36" t="s">
        <v>435</v>
      </c>
      <c r="T5085" s="35" t="str">
        <f>HYPERLINK("https://miland.ru/api/getInfo/image/f77867ce-1b55-11ea-a237-ac1f6b442184")</f>
        <v>https://miland.ru/api/getInfo/image/f77867ce-1b55-11ea-a237-ac1f6b442184</v>
      </c>
      <c r="U5085" s="35"/>
      <c r="V5085" s="35" t="s">
        <v>11948</v>
      </c>
      <c r="W5085" s="35" t="s">
        <v>1630</v>
      </c>
      <c r="X5085" s="35"/>
      <c r="Y5085" s="35" t="s">
        <v>697</v>
      </c>
      <c r="Z5085" s="35"/>
      <c r="AA5085" s="35" t="str">
        <f>HYPERLINK("https://miland.ru/api/getInfo/item/f77867ce-1b55-11ea-a237-ac1f6b442184")</f>
        <v>https://miland.ru/api/getInfo/item/f77867ce-1b55-11ea-a237-ac1f6b442184</v>
      </c>
      <c r="AB5085" s="35" t="s">
        <v>42</v>
      </c>
      <c r="AC5085" s="35" t="s">
        <v>4205</v>
      </c>
      <c r="AD5085" s="35"/>
      <c r="AE5085" s="52" t="s">
        <v>1251</v>
      </c>
    </row>
    <row r="5086" spans="2:31" s="1" customFormat="1" ht="96.3" customHeight="1" outlineLevel="4">
      <c r="B5086" s="59">
        <v>4124</v>
      </c>
      <c r="C5086" s="35" t="s">
        <v>18036</v>
      </c>
      <c r="D5086" s="73" t="s">
        <v>18037</v>
      </c>
      <c r="E5086" s="73"/>
      <c r="F5086" s="73"/>
      <c r="G5086" s="73"/>
      <c r="H5086" s="36" t="s">
        <v>18038</v>
      </c>
      <c r="I5086" s="56" t="s">
        <v>36</v>
      </c>
      <c r="J5086" s="36"/>
      <c r="K5086" s="34">
        <v>12</v>
      </c>
      <c r="L5086" s="41">
        <v>26.466666666666669</v>
      </c>
      <c r="M5086" s="11"/>
      <c r="N5086" s="36">
        <f t="shared" si="270"/>
        <v>0</v>
      </c>
      <c r="O5086" s="42">
        <f>0.025*M5086</f>
        <v>0</v>
      </c>
      <c r="P5086" s="43">
        <f>0.00006*M5086</f>
        <v>0</v>
      </c>
      <c r="Q5086" s="50"/>
      <c r="R5086" s="36" t="s">
        <v>18039</v>
      </c>
      <c r="S5086" s="36" t="s">
        <v>435</v>
      </c>
      <c r="T5086" s="35" t="str">
        <f>HYPERLINK("https://miland.ru/api/getInfo/image/14f267c0-1b56-11ea-a237-ac1f6b442184")</f>
        <v>https://miland.ru/api/getInfo/image/14f267c0-1b56-11ea-a237-ac1f6b442184</v>
      </c>
      <c r="U5086" s="35"/>
      <c r="V5086" s="35" t="s">
        <v>11948</v>
      </c>
      <c r="W5086" s="35" t="s">
        <v>1630</v>
      </c>
      <c r="X5086" s="35"/>
      <c r="Y5086" s="35" t="s">
        <v>697</v>
      </c>
      <c r="Z5086" s="35"/>
      <c r="AA5086" s="35" t="str">
        <f>HYPERLINK("https://miland.ru/api/getInfo/item/14f267c0-1b56-11ea-a237-ac1f6b442184")</f>
        <v>https://miland.ru/api/getInfo/item/14f267c0-1b56-11ea-a237-ac1f6b442184</v>
      </c>
      <c r="AB5086" s="35" t="s">
        <v>42</v>
      </c>
      <c r="AC5086" s="35" t="s">
        <v>4205</v>
      </c>
      <c r="AD5086" s="35"/>
      <c r="AE5086" s="52" t="s">
        <v>1251</v>
      </c>
    </row>
    <row r="5087" spans="2:31" s="1" customFormat="1" ht="96.3" customHeight="1" outlineLevel="4">
      <c r="B5087" s="59">
        <v>4125</v>
      </c>
      <c r="C5087" s="35" t="s">
        <v>18040</v>
      </c>
      <c r="D5087" s="73" t="s">
        <v>18041</v>
      </c>
      <c r="E5087" s="73"/>
      <c r="F5087" s="73"/>
      <c r="G5087" s="73"/>
      <c r="H5087" s="36" t="s">
        <v>18042</v>
      </c>
      <c r="I5087" s="56" t="s">
        <v>36</v>
      </c>
      <c r="J5087" s="36"/>
      <c r="K5087" s="34">
        <v>12</v>
      </c>
      <c r="L5087" s="41">
        <v>26.466666666666669</v>
      </c>
      <c r="M5087" s="11"/>
      <c r="N5087" s="36">
        <f t="shared" si="270"/>
        <v>0</v>
      </c>
      <c r="O5087" s="47">
        <f t="shared" ref="O5087:O5093" si="273">0.01*M5087</f>
        <v>0</v>
      </c>
      <c r="P5087" s="43">
        <f t="shared" ref="P5087:P5093" si="274">0.00009*M5087</f>
        <v>0</v>
      </c>
      <c r="Q5087" s="50"/>
      <c r="R5087" s="36" t="s">
        <v>18043</v>
      </c>
      <c r="S5087" s="36" t="s">
        <v>435</v>
      </c>
      <c r="T5087" s="35" t="str">
        <f>HYPERLINK("https://miland.ru/api/getInfo/image/8d6a50d8-1b56-11ea-a237-ac1f6b442184")</f>
        <v>https://miland.ru/api/getInfo/image/8d6a50d8-1b56-11ea-a237-ac1f6b442184</v>
      </c>
      <c r="U5087" s="35"/>
      <c r="V5087" s="35" t="s">
        <v>11948</v>
      </c>
      <c r="W5087" s="35" t="s">
        <v>1630</v>
      </c>
      <c r="X5087" s="35"/>
      <c r="Y5087" s="35" t="s">
        <v>697</v>
      </c>
      <c r="Z5087" s="35"/>
      <c r="AA5087" s="35" t="str">
        <f>HYPERLINK("https://miland.ru/api/getInfo/item/8d6a50d8-1b56-11ea-a237-ac1f6b442184")</f>
        <v>https://miland.ru/api/getInfo/item/8d6a50d8-1b56-11ea-a237-ac1f6b442184</v>
      </c>
      <c r="AB5087" s="35" t="s">
        <v>42</v>
      </c>
      <c r="AC5087" s="35" t="s">
        <v>4205</v>
      </c>
      <c r="AD5087" s="35"/>
      <c r="AE5087" s="52" t="s">
        <v>1251</v>
      </c>
    </row>
    <row r="5088" spans="2:31" s="1" customFormat="1" ht="96.3" customHeight="1" outlineLevel="4">
      <c r="B5088" s="59">
        <v>4126</v>
      </c>
      <c r="C5088" s="35" t="s">
        <v>18044</v>
      </c>
      <c r="D5088" s="73" t="s">
        <v>18045</v>
      </c>
      <c r="E5088" s="73"/>
      <c r="F5088" s="73"/>
      <c r="G5088" s="73"/>
      <c r="H5088" s="36" t="s">
        <v>18046</v>
      </c>
      <c r="I5088" s="56" t="s">
        <v>36</v>
      </c>
      <c r="J5088" s="36"/>
      <c r="K5088" s="34">
        <v>12</v>
      </c>
      <c r="L5088" s="41">
        <v>26.466666666666669</v>
      </c>
      <c r="M5088" s="11"/>
      <c r="N5088" s="36">
        <f t="shared" si="270"/>
        <v>0</v>
      </c>
      <c r="O5088" s="47">
        <f t="shared" si="273"/>
        <v>0</v>
      </c>
      <c r="P5088" s="43">
        <f t="shared" si="274"/>
        <v>0</v>
      </c>
      <c r="Q5088" s="50"/>
      <c r="R5088" s="36" t="s">
        <v>18047</v>
      </c>
      <c r="S5088" s="36" t="s">
        <v>435</v>
      </c>
      <c r="T5088" s="35" t="str">
        <f>HYPERLINK("https://miland.ru/api/getInfo/image/bf49c77d-1b56-11ea-a237-ac1f6b442184")</f>
        <v>https://miland.ru/api/getInfo/image/bf49c77d-1b56-11ea-a237-ac1f6b442184</v>
      </c>
      <c r="U5088" s="35"/>
      <c r="V5088" s="35" t="s">
        <v>11948</v>
      </c>
      <c r="W5088" s="35" t="s">
        <v>1630</v>
      </c>
      <c r="X5088" s="35"/>
      <c r="Y5088" s="35" t="s">
        <v>697</v>
      </c>
      <c r="Z5088" s="35"/>
      <c r="AA5088" s="35" t="str">
        <f>HYPERLINK("https://miland.ru/api/getInfo/item/bf49c77d-1b56-11ea-a237-ac1f6b442184")</f>
        <v>https://miland.ru/api/getInfo/item/bf49c77d-1b56-11ea-a237-ac1f6b442184</v>
      </c>
      <c r="AB5088" s="35" t="s">
        <v>42</v>
      </c>
      <c r="AC5088" s="35" t="s">
        <v>4205</v>
      </c>
      <c r="AD5088" s="35"/>
      <c r="AE5088" s="52" t="s">
        <v>1251</v>
      </c>
    </row>
    <row r="5089" spans="2:31" s="1" customFormat="1" ht="96.3" customHeight="1" outlineLevel="4">
      <c r="B5089" s="59">
        <v>4127</v>
      </c>
      <c r="C5089" s="35" t="s">
        <v>18048</v>
      </c>
      <c r="D5089" s="73" t="s">
        <v>18049</v>
      </c>
      <c r="E5089" s="73"/>
      <c r="F5089" s="73"/>
      <c r="G5089" s="73"/>
      <c r="H5089" s="36" t="s">
        <v>18050</v>
      </c>
      <c r="I5089" s="56" t="s">
        <v>36</v>
      </c>
      <c r="J5089" s="36"/>
      <c r="K5089" s="34">
        <v>12</v>
      </c>
      <c r="L5089" s="41">
        <v>26.466666666666669</v>
      </c>
      <c r="M5089" s="11"/>
      <c r="N5089" s="36">
        <f t="shared" si="270"/>
        <v>0</v>
      </c>
      <c r="O5089" s="47">
        <f t="shared" si="273"/>
        <v>0</v>
      </c>
      <c r="P5089" s="43">
        <f t="shared" si="274"/>
        <v>0</v>
      </c>
      <c r="Q5089" s="50"/>
      <c r="R5089" s="36" t="s">
        <v>18051</v>
      </c>
      <c r="S5089" s="36" t="s">
        <v>435</v>
      </c>
      <c r="T5089" s="35" t="str">
        <f>HYPERLINK("https://miland.ru/api/getInfo/image/dbd5d80e-1b56-11ea-a237-ac1f6b442184")</f>
        <v>https://miland.ru/api/getInfo/image/dbd5d80e-1b56-11ea-a237-ac1f6b442184</v>
      </c>
      <c r="U5089" s="35"/>
      <c r="V5089" s="35" t="s">
        <v>11948</v>
      </c>
      <c r="W5089" s="35" t="s">
        <v>1630</v>
      </c>
      <c r="X5089" s="35"/>
      <c r="Y5089" s="35" t="s">
        <v>697</v>
      </c>
      <c r="Z5089" s="35"/>
      <c r="AA5089" s="35" t="str">
        <f>HYPERLINK("https://miland.ru/api/getInfo/item/dbd5d80e-1b56-11ea-a237-ac1f6b442184")</f>
        <v>https://miland.ru/api/getInfo/item/dbd5d80e-1b56-11ea-a237-ac1f6b442184</v>
      </c>
      <c r="AB5089" s="35" t="s">
        <v>42</v>
      </c>
      <c r="AC5089" s="35" t="s">
        <v>4205</v>
      </c>
      <c r="AD5089" s="35"/>
      <c r="AE5089" s="52" t="s">
        <v>1251</v>
      </c>
    </row>
    <row r="5090" spans="2:31" s="1" customFormat="1" ht="96.3" customHeight="1" outlineLevel="4">
      <c r="B5090" s="59">
        <v>4128</v>
      </c>
      <c r="C5090" s="35" t="s">
        <v>18052</v>
      </c>
      <c r="D5090" s="73" t="s">
        <v>18053</v>
      </c>
      <c r="E5090" s="73"/>
      <c r="F5090" s="73"/>
      <c r="G5090" s="73"/>
      <c r="H5090" s="36" t="s">
        <v>18054</v>
      </c>
      <c r="I5090" s="56" t="s">
        <v>36</v>
      </c>
      <c r="J5090" s="36"/>
      <c r="K5090" s="34">
        <v>12</v>
      </c>
      <c r="L5090" s="41">
        <v>26.466666666666669</v>
      </c>
      <c r="M5090" s="11"/>
      <c r="N5090" s="36">
        <f t="shared" si="270"/>
        <v>0</v>
      </c>
      <c r="O5090" s="47">
        <f t="shared" si="273"/>
        <v>0</v>
      </c>
      <c r="P5090" s="43">
        <f t="shared" si="274"/>
        <v>0</v>
      </c>
      <c r="Q5090" s="50"/>
      <c r="R5090" s="36" t="s">
        <v>18055</v>
      </c>
      <c r="S5090" s="36" t="s">
        <v>435</v>
      </c>
      <c r="T5090" s="35" t="str">
        <f>HYPERLINK("https://miland.ru/api/getInfo/image/fc840a47-1b56-11ea-a237-ac1f6b442184")</f>
        <v>https://miland.ru/api/getInfo/image/fc840a47-1b56-11ea-a237-ac1f6b442184</v>
      </c>
      <c r="U5090" s="35"/>
      <c r="V5090" s="35" t="s">
        <v>11948</v>
      </c>
      <c r="W5090" s="35" t="s">
        <v>1630</v>
      </c>
      <c r="X5090" s="35"/>
      <c r="Y5090" s="35" t="s">
        <v>697</v>
      </c>
      <c r="Z5090" s="35"/>
      <c r="AA5090" s="35" t="str">
        <f>HYPERLINK("https://miland.ru/api/getInfo/item/fc840a47-1b56-11ea-a237-ac1f6b442184")</f>
        <v>https://miland.ru/api/getInfo/item/fc840a47-1b56-11ea-a237-ac1f6b442184</v>
      </c>
      <c r="AB5090" s="35" t="s">
        <v>42</v>
      </c>
      <c r="AC5090" s="35" t="s">
        <v>4205</v>
      </c>
      <c r="AD5090" s="35"/>
      <c r="AE5090" s="52" t="s">
        <v>1251</v>
      </c>
    </row>
    <row r="5091" spans="2:31" s="1" customFormat="1" ht="96.3" customHeight="1" outlineLevel="4">
      <c r="B5091" s="59">
        <v>4129</v>
      </c>
      <c r="C5091" s="35" t="s">
        <v>18056</v>
      </c>
      <c r="D5091" s="73" t="s">
        <v>18057</v>
      </c>
      <c r="E5091" s="73"/>
      <c r="F5091" s="73"/>
      <c r="G5091" s="73"/>
      <c r="H5091" s="36" t="s">
        <v>18058</v>
      </c>
      <c r="I5091" s="56" t="s">
        <v>36</v>
      </c>
      <c r="J5091" s="36"/>
      <c r="K5091" s="34">
        <v>12</v>
      </c>
      <c r="L5091" s="41">
        <v>26.466666666666669</v>
      </c>
      <c r="M5091" s="11"/>
      <c r="N5091" s="36">
        <f t="shared" si="270"/>
        <v>0</v>
      </c>
      <c r="O5091" s="47">
        <f t="shared" si="273"/>
        <v>0</v>
      </c>
      <c r="P5091" s="43">
        <f t="shared" si="274"/>
        <v>0</v>
      </c>
      <c r="Q5091" s="50"/>
      <c r="R5091" s="36" t="s">
        <v>18059</v>
      </c>
      <c r="S5091" s="36" t="s">
        <v>435</v>
      </c>
      <c r="T5091" s="35" t="str">
        <f>HYPERLINK("https://miland.ru/api/getInfo/image/19c393d4-1b57-11ea-a237-ac1f6b442184")</f>
        <v>https://miland.ru/api/getInfo/image/19c393d4-1b57-11ea-a237-ac1f6b442184</v>
      </c>
      <c r="U5091" s="35"/>
      <c r="V5091" s="35" t="s">
        <v>11948</v>
      </c>
      <c r="W5091" s="35" t="s">
        <v>1630</v>
      </c>
      <c r="X5091" s="35"/>
      <c r="Y5091" s="35" t="s">
        <v>697</v>
      </c>
      <c r="Z5091" s="35"/>
      <c r="AA5091" s="35" t="str">
        <f>HYPERLINK("https://miland.ru/api/getInfo/item/19c393d4-1b57-11ea-a237-ac1f6b442184")</f>
        <v>https://miland.ru/api/getInfo/item/19c393d4-1b57-11ea-a237-ac1f6b442184</v>
      </c>
      <c r="AB5091" s="35" t="s">
        <v>42</v>
      </c>
      <c r="AC5091" s="35" t="s">
        <v>4205</v>
      </c>
      <c r="AD5091" s="35"/>
      <c r="AE5091" s="52" t="s">
        <v>1251</v>
      </c>
    </row>
    <row r="5092" spans="2:31" s="1" customFormat="1" ht="96.3" customHeight="1" outlineLevel="4">
      <c r="B5092" s="59">
        <v>4130</v>
      </c>
      <c r="C5092" s="35" t="s">
        <v>18060</v>
      </c>
      <c r="D5092" s="73" t="s">
        <v>18061</v>
      </c>
      <c r="E5092" s="73"/>
      <c r="F5092" s="73"/>
      <c r="G5092" s="73"/>
      <c r="H5092" s="36" t="s">
        <v>18062</v>
      </c>
      <c r="I5092" s="56" t="s">
        <v>36</v>
      </c>
      <c r="J5092" s="36"/>
      <c r="K5092" s="34">
        <v>12</v>
      </c>
      <c r="L5092" s="41">
        <v>26.466666666666669</v>
      </c>
      <c r="M5092" s="11"/>
      <c r="N5092" s="36">
        <f t="shared" si="270"/>
        <v>0</v>
      </c>
      <c r="O5092" s="47">
        <f t="shared" si="273"/>
        <v>0</v>
      </c>
      <c r="P5092" s="43">
        <f t="shared" si="274"/>
        <v>0</v>
      </c>
      <c r="Q5092" s="50"/>
      <c r="R5092" s="36" t="s">
        <v>18063</v>
      </c>
      <c r="S5092" s="36" t="s">
        <v>435</v>
      </c>
      <c r="T5092" s="35" t="str">
        <f>HYPERLINK("https://miland.ru/api/getInfo/image/3b27ff09-1b57-11ea-a237-ac1f6b442184")</f>
        <v>https://miland.ru/api/getInfo/image/3b27ff09-1b57-11ea-a237-ac1f6b442184</v>
      </c>
      <c r="U5092" s="35"/>
      <c r="V5092" s="35" t="s">
        <v>11948</v>
      </c>
      <c r="W5092" s="35" t="s">
        <v>1630</v>
      </c>
      <c r="X5092" s="35"/>
      <c r="Y5092" s="35" t="s">
        <v>697</v>
      </c>
      <c r="Z5092" s="35"/>
      <c r="AA5092" s="35" t="str">
        <f>HYPERLINK("https://miland.ru/api/getInfo/item/3b27ff09-1b57-11ea-a237-ac1f6b442184")</f>
        <v>https://miland.ru/api/getInfo/item/3b27ff09-1b57-11ea-a237-ac1f6b442184</v>
      </c>
      <c r="AB5092" s="35" t="s">
        <v>42</v>
      </c>
      <c r="AC5092" s="35" t="s">
        <v>4205</v>
      </c>
      <c r="AD5092" s="35"/>
      <c r="AE5092" s="52" t="s">
        <v>1251</v>
      </c>
    </row>
    <row r="5093" spans="2:31" s="1" customFormat="1" ht="96.3" customHeight="1" outlineLevel="4">
      <c r="B5093" s="57">
        <v>4131</v>
      </c>
      <c r="C5093" s="21" t="s">
        <v>18064</v>
      </c>
      <c r="D5093" s="72" t="s">
        <v>18065</v>
      </c>
      <c r="E5093" s="72"/>
      <c r="F5093" s="72"/>
      <c r="G5093" s="72"/>
      <c r="H5093" s="22" t="s">
        <v>18066</v>
      </c>
      <c r="I5093" s="23" t="s">
        <v>36</v>
      </c>
      <c r="J5093" s="22"/>
      <c r="K5093" s="20">
        <v>24</v>
      </c>
      <c r="L5093" s="24">
        <v>31.97</v>
      </c>
      <c r="M5093" s="11"/>
      <c r="N5093" s="22">
        <f t="shared" si="270"/>
        <v>0</v>
      </c>
      <c r="O5093" s="28">
        <f t="shared" si="273"/>
        <v>0</v>
      </c>
      <c r="P5093" s="26">
        <f t="shared" si="274"/>
        <v>0</v>
      </c>
      <c r="Q5093" s="30"/>
      <c r="R5093" s="22" t="s">
        <v>18067</v>
      </c>
      <c r="S5093" s="22"/>
      <c r="T5093" s="21" t="str">
        <f>HYPERLINK("https://miland.ru/api/getInfo/image/16d1bd10-4b88-11ec-a20f-ac1f6b442185")</f>
        <v>https://miland.ru/api/getInfo/image/16d1bd10-4b88-11ec-a20f-ac1f6b442185</v>
      </c>
      <c r="U5093" s="21"/>
      <c r="V5093" s="21" t="s">
        <v>11948</v>
      </c>
      <c r="W5093" s="21" t="s">
        <v>1630</v>
      </c>
      <c r="X5093" s="21"/>
      <c r="Y5093" s="21" t="s">
        <v>697</v>
      </c>
      <c r="Z5093" s="21"/>
      <c r="AA5093" s="21" t="str">
        <f>HYPERLINK("https://miland.ru/api/getInfo/item/16d1bd10-4b88-11ec-a20f-ac1f6b442185")</f>
        <v>https://miland.ru/api/getInfo/item/16d1bd10-4b88-11ec-a20f-ac1f6b442185</v>
      </c>
      <c r="AB5093" s="21" t="s">
        <v>42</v>
      </c>
      <c r="AC5093" s="21"/>
      <c r="AD5093" s="21"/>
    </row>
    <row r="5094" spans="2:31" s="1" customFormat="1" ht="96.3" customHeight="1" outlineLevel="4">
      <c r="B5094" s="57">
        <v>4132</v>
      </c>
      <c r="C5094" s="21" t="s">
        <v>18068</v>
      </c>
      <c r="D5094" s="72" t="s">
        <v>18069</v>
      </c>
      <c r="E5094" s="72"/>
      <c r="F5094" s="72"/>
      <c r="G5094" s="72"/>
      <c r="H5094" s="22" t="s">
        <v>18070</v>
      </c>
      <c r="I5094" s="23" t="s">
        <v>36</v>
      </c>
      <c r="J5094" s="22"/>
      <c r="K5094" s="20">
        <v>24</v>
      </c>
      <c r="L5094" s="24">
        <v>31.97</v>
      </c>
      <c r="M5094" s="11"/>
      <c r="N5094" s="22">
        <f t="shared" si="270"/>
        <v>0</v>
      </c>
      <c r="O5094" s="25">
        <f>0.012*M5094</f>
        <v>0</v>
      </c>
      <c r="P5094" s="26">
        <f>0.00014*M5094</f>
        <v>0</v>
      </c>
      <c r="Q5094" s="30"/>
      <c r="R5094" s="22" t="s">
        <v>18071</v>
      </c>
      <c r="S5094" s="22"/>
      <c r="T5094" s="21" t="str">
        <f>HYPERLINK("https://miland.ru/api/getInfo/image/b501eb71-77db-11ea-a244-ac1f6b442184")</f>
        <v>https://miland.ru/api/getInfo/image/b501eb71-77db-11ea-a244-ac1f6b442184</v>
      </c>
      <c r="U5094" s="21"/>
      <c r="V5094" s="21" t="s">
        <v>11948</v>
      </c>
      <c r="W5094" s="21" t="s">
        <v>1630</v>
      </c>
      <c r="X5094" s="21"/>
      <c r="Y5094" s="21" t="s">
        <v>697</v>
      </c>
      <c r="Z5094" s="21"/>
      <c r="AA5094" s="21" t="str">
        <f>HYPERLINK("https://miland.ru/api/getInfo/item/b501eb71-77db-11ea-a244-ac1f6b442184")</f>
        <v>https://miland.ru/api/getInfo/item/b501eb71-77db-11ea-a244-ac1f6b442184</v>
      </c>
      <c r="AB5094" s="21" t="s">
        <v>42</v>
      </c>
      <c r="AC5094" s="21"/>
      <c r="AD5094" s="21"/>
    </row>
    <row r="5095" spans="2:31" s="1" customFormat="1" ht="96.3" customHeight="1" outlineLevel="4">
      <c r="B5095" s="57">
        <v>4133</v>
      </c>
      <c r="C5095" s="21" t="s">
        <v>18072</v>
      </c>
      <c r="D5095" s="72" t="s">
        <v>18073</v>
      </c>
      <c r="E5095" s="72"/>
      <c r="F5095" s="72"/>
      <c r="G5095" s="72"/>
      <c r="H5095" s="22" t="s">
        <v>18074</v>
      </c>
      <c r="I5095" s="23" t="s">
        <v>36</v>
      </c>
      <c r="J5095" s="22"/>
      <c r="K5095" s="20">
        <v>24</v>
      </c>
      <c r="L5095" s="24">
        <v>31.97</v>
      </c>
      <c r="M5095" s="11"/>
      <c r="N5095" s="22">
        <f t="shared" si="270"/>
        <v>0</v>
      </c>
      <c r="O5095" s="25">
        <f>0.015*M5095</f>
        <v>0</v>
      </c>
      <c r="P5095" s="26">
        <f>0.00014*M5095</f>
        <v>0</v>
      </c>
      <c r="Q5095" s="30"/>
      <c r="R5095" s="22" t="s">
        <v>18075</v>
      </c>
      <c r="S5095" s="22"/>
      <c r="T5095" s="21" t="str">
        <f>HYPERLINK("https://miland.ru/api/getInfo/image/e465b8a2-77db-11ea-a244-ac1f6b442184")</f>
        <v>https://miland.ru/api/getInfo/image/e465b8a2-77db-11ea-a244-ac1f6b442184</v>
      </c>
      <c r="U5095" s="21"/>
      <c r="V5095" s="21" t="s">
        <v>11948</v>
      </c>
      <c r="W5095" s="21" t="s">
        <v>1630</v>
      </c>
      <c r="X5095" s="21"/>
      <c r="Y5095" s="21" t="s">
        <v>697</v>
      </c>
      <c r="Z5095" s="21"/>
      <c r="AA5095" s="21" t="str">
        <f>HYPERLINK("https://miland.ru/api/getInfo/item/e465b8a2-77db-11ea-a244-ac1f6b442184")</f>
        <v>https://miland.ru/api/getInfo/item/e465b8a2-77db-11ea-a244-ac1f6b442184</v>
      </c>
      <c r="AB5095" s="21" t="s">
        <v>42</v>
      </c>
      <c r="AC5095" s="21"/>
      <c r="AD5095" s="21"/>
    </row>
    <row r="5096" spans="2:31" s="1" customFormat="1" ht="96.3" customHeight="1" outlineLevel="4">
      <c r="B5096" s="57">
        <v>4134</v>
      </c>
      <c r="C5096" s="21" t="s">
        <v>18076</v>
      </c>
      <c r="D5096" s="72" t="s">
        <v>18077</v>
      </c>
      <c r="E5096" s="72"/>
      <c r="F5096" s="72"/>
      <c r="G5096" s="72"/>
      <c r="H5096" s="22" t="s">
        <v>18078</v>
      </c>
      <c r="I5096" s="23" t="s">
        <v>36</v>
      </c>
      <c r="J5096" s="22"/>
      <c r="K5096" s="20">
        <v>24</v>
      </c>
      <c r="L5096" s="24">
        <v>31.97</v>
      </c>
      <c r="M5096" s="11"/>
      <c r="N5096" s="22">
        <f t="shared" si="270"/>
        <v>0</v>
      </c>
      <c r="O5096" s="25">
        <f>0.015*M5096</f>
        <v>0</v>
      </c>
      <c r="P5096" s="26">
        <f>0.00013*M5096</f>
        <v>0</v>
      </c>
      <c r="Q5096" s="30"/>
      <c r="R5096" s="22" t="s">
        <v>18079</v>
      </c>
      <c r="S5096" s="22"/>
      <c r="T5096" s="21" t="str">
        <f>HYPERLINK("https://miland.ru/api/getInfo/image/083a2632-77dc-11ea-a244-ac1f6b442184")</f>
        <v>https://miland.ru/api/getInfo/image/083a2632-77dc-11ea-a244-ac1f6b442184</v>
      </c>
      <c r="U5096" s="21"/>
      <c r="V5096" s="21" t="s">
        <v>11948</v>
      </c>
      <c r="W5096" s="21" t="s">
        <v>1630</v>
      </c>
      <c r="X5096" s="21"/>
      <c r="Y5096" s="21" t="s">
        <v>697</v>
      </c>
      <c r="Z5096" s="21"/>
      <c r="AA5096" s="21" t="str">
        <f>HYPERLINK("https://miland.ru/api/getInfo/item/083a2632-77dc-11ea-a244-ac1f6b442184")</f>
        <v>https://miland.ru/api/getInfo/item/083a2632-77dc-11ea-a244-ac1f6b442184</v>
      </c>
      <c r="AB5096" s="21" t="s">
        <v>42</v>
      </c>
      <c r="AC5096" s="21"/>
      <c r="AD5096" s="21"/>
    </row>
    <row r="5097" spans="2:31" s="1" customFormat="1" ht="96.3" customHeight="1" outlineLevel="4">
      <c r="B5097" s="59">
        <v>4135</v>
      </c>
      <c r="C5097" s="35" t="s">
        <v>18080</v>
      </c>
      <c r="D5097" s="73" t="s">
        <v>18081</v>
      </c>
      <c r="E5097" s="73"/>
      <c r="F5097" s="73"/>
      <c r="G5097" s="73"/>
      <c r="H5097" s="36" t="s">
        <v>18082</v>
      </c>
      <c r="I5097" s="56" t="s">
        <v>36</v>
      </c>
      <c r="J5097" s="36"/>
      <c r="K5097" s="34">
        <v>24</v>
      </c>
      <c r="L5097" s="41">
        <v>20.466666666666665</v>
      </c>
      <c r="M5097" s="11"/>
      <c r="N5097" s="36">
        <f t="shared" si="270"/>
        <v>0</v>
      </c>
      <c r="O5097" s="42">
        <f>0.013*M5097</f>
        <v>0</v>
      </c>
      <c r="P5097" s="43">
        <f>0.00013*M5097</f>
        <v>0</v>
      </c>
      <c r="Q5097" s="50"/>
      <c r="R5097" s="36" t="s">
        <v>18083</v>
      </c>
      <c r="S5097" s="36"/>
      <c r="T5097" s="35" t="str">
        <f>HYPERLINK("https://miland.ru/api/getInfo/image/27b26118-77dc-11ea-a244-ac1f6b442184")</f>
        <v>https://miland.ru/api/getInfo/image/27b26118-77dc-11ea-a244-ac1f6b442184</v>
      </c>
      <c r="U5097" s="35"/>
      <c r="V5097" s="35" t="s">
        <v>11948</v>
      </c>
      <c r="W5097" s="35" t="s">
        <v>1630</v>
      </c>
      <c r="X5097" s="35"/>
      <c r="Y5097" s="35" t="s">
        <v>697</v>
      </c>
      <c r="Z5097" s="35"/>
      <c r="AA5097" s="35" t="str">
        <f>HYPERLINK("https://miland.ru/api/getInfo/item/27b26118-77dc-11ea-a244-ac1f6b442184")</f>
        <v>https://miland.ru/api/getInfo/item/27b26118-77dc-11ea-a244-ac1f6b442184</v>
      </c>
      <c r="AB5097" s="35" t="s">
        <v>42</v>
      </c>
      <c r="AC5097" s="35"/>
      <c r="AD5097" s="35"/>
      <c r="AE5097" s="52" t="s">
        <v>9152</v>
      </c>
    </row>
    <row r="5098" spans="2:31" s="1" customFormat="1" ht="96.3" customHeight="1" outlineLevel="4">
      <c r="B5098" s="57">
        <v>4136</v>
      </c>
      <c r="C5098" s="21" t="s">
        <v>18084</v>
      </c>
      <c r="D5098" s="72" t="s">
        <v>18085</v>
      </c>
      <c r="E5098" s="72"/>
      <c r="F5098" s="72"/>
      <c r="G5098" s="72"/>
      <c r="H5098" s="22" t="s">
        <v>18086</v>
      </c>
      <c r="I5098" s="23" t="s">
        <v>36</v>
      </c>
      <c r="J5098" s="22"/>
      <c r="K5098" s="20">
        <v>24</v>
      </c>
      <c r="L5098" s="24">
        <v>31.97</v>
      </c>
      <c r="M5098" s="11"/>
      <c r="N5098" s="22">
        <f t="shared" si="270"/>
        <v>0</v>
      </c>
      <c r="O5098" s="25">
        <f>0.015*M5098</f>
        <v>0</v>
      </c>
      <c r="P5098" s="26">
        <f>0.00012*M5098</f>
        <v>0</v>
      </c>
      <c r="Q5098" s="30"/>
      <c r="R5098" s="22" t="s">
        <v>18087</v>
      </c>
      <c r="S5098" s="22"/>
      <c r="T5098" s="21" t="str">
        <f>HYPERLINK("https://miland.ru/api/getInfo/image/68bead03-77dc-11ea-a244-ac1f6b442184")</f>
        <v>https://miland.ru/api/getInfo/image/68bead03-77dc-11ea-a244-ac1f6b442184</v>
      </c>
      <c r="U5098" s="21"/>
      <c r="V5098" s="21" t="s">
        <v>11948</v>
      </c>
      <c r="W5098" s="21" t="s">
        <v>1630</v>
      </c>
      <c r="X5098" s="21"/>
      <c r="Y5098" s="21" t="s">
        <v>697</v>
      </c>
      <c r="Z5098" s="21"/>
      <c r="AA5098" s="21" t="str">
        <f>HYPERLINK("https://miland.ru/api/getInfo/item/68bead03-77dc-11ea-a244-ac1f6b442184")</f>
        <v>https://miland.ru/api/getInfo/item/68bead03-77dc-11ea-a244-ac1f6b442184</v>
      </c>
      <c r="AB5098" s="21" t="s">
        <v>42</v>
      </c>
      <c r="AC5098" s="21"/>
      <c r="AD5098" s="21"/>
    </row>
    <row r="5099" spans="2:31" s="1" customFormat="1" ht="96.3" customHeight="1" outlineLevel="4">
      <c r="B5099" s="59">
        <v>4137</v>
      </c>
      <c r="C5099" s="35" t="s">
        <v>18088</v>
      </c>
      <c r="D5099" s="73" t="s">
        <v>18089</v>
      </c>
      <c r="E5099" s="73"/>
      <c r="F5099" s="73"/>
      <c r="G5099" s="73"/>
      <c r="H5099" s="36" t="s">
        <v>18090</v>
      </c>
      <c r="I5099" s="56" t="s">
        <v>36</v>
      </c>
      <c r="J5099" s="36"/>
      <c r="K5099" s="34">
        <v>24</v>
      </c>
      <c r="L5099" s="41">
        <v>20.466666666666665</v>
      </c>
      <c r="M5099" s="11"/>
      <c r="N5099" s="36">
        <f t="shared" si="270"/>
        <v>0</v>
      </c>
      <c r="O5099" s="42">
        <f>0.012*M5099</f>
        <v>0</v>
      </c>
      <c r="P5099" s="43">
        <f>0.00013*M5099</f>
        <v>0</v>
      </c>
      <c r="Q5099" s="50"/>
      <c r="R5099" s="36" t="s">
        <v>18091</v>
      </c>
      <c r="S5099" s="36"/>
      <c r="T5099" s="35" t="str">
        <f>HYPERLINK("https://miland.ru/api/getInfo/image/8a5e393a-77dc-11ea-a244-ac1f6b442184")</f>
        <v>https://miland.ru/api/getInfo/image/8a5e393a-77dc-11ea-a244-ac1f6b442184</v>
      </c>
      <c r="U5099" s="35"/>
      <c r="V5099" s="35" t="s">
        <v>11948</v>
      </c>
      <c r="W5099" s="35" t="s">
        <v>1630</v>
      </c>
      <c r="X5099" s="35"/>
      <c r="Y5099" s="35" t="s">
        <v>697</v>
      </c>
      <c r="Z5099" s="35"/>
      <c r="AA5099" s="35" t="str">
        <f>HYPERLINK("https://miland.ru/api/getInfo/item/8a5e393a-77dc-11ea-a244-ac1f6b442184")</f>
        <v>https://miland.ru/api/getInfo/item/8a5e393a-77dc-11ea-a244-ac1f6b442184</v>
      </c>
      <c r="AB5099" s="35" t="s">
        <v>42</v>
      </c>
      <c r="AC5099" s="35"/>
      <c r="AD5099" s="35"/>
      <c r="AE5099" s="52" t="s">
        <v>9152</v>
      </c>
    </row>
    <row r="5100" spans="2:31" s="1" customFormat="1" ht="96.3" customHeight="1" outlineLevel="4">
      <c r="B5100" s="59">
        <v>4138</v>
      </c>
      <c r="C5100" s="35" t="s">
        <v>18092</v>
      </c>
      <c r="D5100" s="73" t="s">
        <v>18093</v>
      </c>
      <c r="E5100" s="73"/>
      <c r="F5100" s="73"/>
      <c r="G5100" s="73"/>
      <c r="H5100" s="36" t="s">
        <v>18094</v>
      </c>
      <c r="I5100" s="56" t="s">
        <v>36</v>
      </c>
      <c r="J5100" s="36"/>
      <c r="K5100" s="34">
        <v>24</v>
      </c>
      <c r="L5100" s="41">
        <v>20.466666666666665</v>
      </c>
      <c r="M5100" s="11"/>
      <c r="N5100" s="36">
        <f t="shared" si="270"/>
        <v>0</v>
      </c>
      <c r="O5100" s="42">
        <f>0.013*M5100</f>
        <v>0</v>
      </c>
      <c r="P5100" s="43">
        <f>0.00009*M5100</f>
        <v>0</v>
      </c>
      <c r="Q5100" s="50"/>
      <c r="R5100" s="36" t="s">
        <v>18095</v>
      </c>
      <c r="S5100" s="36"/>
      <c r="T5100" s="35" t="str">
        <f>HYPERLINK("https://miland.ru/api/getInfo/image/b48f7227-77dc-11ea-a244-ac1f6b442184")</f>
        <v>https://miland.ru/api/getInfo/image/b48f7227-77dc-11ea-a244-ac1f6b442184</v>
      </c>
      <c r="U5100" s="35"/>
      <c r="V5100" s="35" t="s">
        <v>11948</v>
      </c>
      <c r="W5100" s="35" t="s">
        <v>1630</v>
      </c>
      <c r="X5100" s="35"/>
      <c r="Y5100" s="35" t="s">
        <v>697</v>
      </c>
      <c r="Z5100" s="35"/>
      <c r="AA5100" s="35" t="str">
        <f>HYPERLINK("https://miland.ru/api/getInfo/item/b48f7227-77dc-11ea-a244-ac1f6b442184")</f>
        <v>https://miland.ru/api/getInfo/item/b48f7227-77dc-11ea-a244-ac1f6b442184</v>
      </c>
      <c r="AB5100" s="35" t="s">
        <v>42</v>
      </c>
      <c r="AC5100" s="35"/>
      <c r="AD5100" s="35"/>
      <c r="AE5100" s="52" t="s">
        <v>9152</v>
      </c>
    </row>
    <row r="5101" spans="2:31" s="1" customFormat="1" ht="96.3" customHeight="1" outlineLevel="4">
      <c r="B5101" s="57">
        <v>4139</v>
      </c>
      <c r="C5101" s="21" t="s">
        <v>18096</v>
      </c>
      <c r="D5101" s="72" t="s">
        <v>18097</v>
      </c>
      <c r="E5101" s="72"/>
      <c r="F5101" s="72"/>
      <c r="G5101" s="72"/>
      <c r="H5101" s="22" t="s">
        <v>18098</v>
      </c>
      <c r="I5101" s="23" t="s">
        <v>36</v>
      </c>
      <c r="J5101" s="22"/>
      <c r="K5101" s="20">
        <v>24</v>
      </c>
      <c r="L5101" s="24">
        <v>31.97</v>
      </c>
      <c r="M5101" s="11"/>
      <c r="N5101" s="22">
        <f t="shared" si="270"/>
        <v>0</v>
      </c>
      <c r="O5101" s="28">
        <f>0.01*M5101</f>
        <v>0</v>
      </c>
      <c r="P5101" s="26">
        <f>0.00095*M5101</f>
        <v>0</v>
      </c>
      <c r="Q5101" s="30"/>
      <c r="R5101" s="22" t="s">
        <v>18099</v>
      </c>
      <c r="S5101" s="22"/>
      <c r="T5101" s="21" t="str">
        <f>HYPERLINK("https://miland.ru/api/getInfo/image/d697f808-77dc-11ea-a244-ac1f6b442184")</f>
        <v>https://miland.ru/api/getInfo/image/d697f808-77dc-11ea-a244-ac1f6b442184</v>
      </c>
      <c r="U5101" s="21"/>
      <c r="V5101" s="21" t="s">
        <v>11948</v>
      </c>
      <c r="W5101" s="21" t="s">
        <v>1630</v>
      </c>
      <c r="X5101" s="21"/>
      <c r="Y5101" s="21" t="s">
        <v>697</v>
      </c>
      <c r="Z5101" s="21"/>
      <c r="AA5101" s="21" t="str">
        <f>HYPERLINK("https://miland.ru/api/getInfo/item/d697f808-77dc-11ea-a244-ac1f6b442184")</f>
        <v>https://miland.ru/api/getInfo/item/d697f808-77dc-11ea-a244-ac1f6b442184</v>
      </c>
      <c r="AB5101" s="21" t="s">
        <v>42</v>
      </c>
      <c r="AC5101" s="21"/>
      <c r="AD5101" s="21"/>
    </row>
    <row r="5102" spans="2:31" s="1" customFormat="1" ht="96.3" customHeight="1" outlineLevel="4">
      <c r="B5102" s="57">
        <v>4140</v>
      </c>
      <c r="C5102" s="21" t="s">
        <v>18100</v>
      </c>
      <c r="D5102" s="72" t="s">
        <v>18101</v>
      </c>
      <c r="E5102" s="72"/>
      <c r="F5102" s="72"/>
      <c r="G5102" s="72"/>
      <c r="H5102" s="22" t="s">
        <v>18102</v>
      </c>
      <c r="I5102" s="23" t="s">
        <v>36</v>
      </c>
      <c r="J5102" s="22"/>
      <c r="K5102" s="20">
        <v>24</v>
      </c>
      <c r="L5102" s="24">
        <v>31.97</v>
      </c>
      <c r="M5102" s="11"/>
      <c r="N5102" s="22">
        <f t="shared" si="270"/>
        <v>0</v>
      </c>
      <c r="O5102" s="28">
        <f>0.02*M5102</f>
        <v>0</v>
      </c>
      <c r="P5102" s="26">
        <f>0.00234*M5102</f>
        <v>0</v>
      </c>
      <c r="Q5102" s="30"/>
      <c r="R5102" s="22" t="s">
        <v>18103</v>
      </c>
      <c r="S5102" s="22"/>
      <c r="T5102" s="21" t="str">
        <f>HYPERLINK("https://miland.ru/api/getInfo/image/f693c003-1970-11e9-a21c-ac1f6b442184")</f>
        <v>https://miland.ru/api/getInfo/image/f693c003-1970-11e9-a21c-ac1f6b442184</v>
      </c>
      <c r="U5102" s="21"/>
      <c r="V5102" s="21" t="s">
        <v>11948</v>
      </c>
      <c r="W5102" s="21" t="s">
        <v>1630</v>
      </c>
      <c r="X5102" s="21"/>
      <c r="Y5102" s="21" t="s">
        <v>697</v>
      </c>
      <c r="Z5102" s="21"/>
      <c r="AA5102" s="21" t="str">
        <f>HYPERLINK("https://miland.ru/api/getInfo/item/f693c003-1970-11e9-a21c-ac1f6b442184")</f>
        <v>https://miland.ru/api/getInfo/item/f693c003-1970-11e9-a21c-ac1f6b442184</v>
      </c>
      <c r="AB5102" s="21" t="s">
        <v>42</v>
      </c>
      <c r="AC5102" s="21" t="s">
        <v>17654</v>
      </c>
      <c r="AD5102" s="21"/>
    </row>
    <row r="5103" spans="2:31" s="1" customFormat="1" ht="96.3" customHeight="1" outlineLevel="4">
      <c r="B5103" s="57">
        <v>4141</v>
      </c>
      <c r="C5103" s="21" t="s">
        <v>18104</v>
      </c>
      <c r="D5103" s="72" t="s">
        <v>18105</v>
      </c>
      <c r="E5103" s="72"/>
      <c r="F5103" s="72"/>
      <c r="G5103" s="72"/>
      <c r="H5103" s="22" t="s">
        <v>18106</v>
      </c>
      <c r="I5103" s="23" t="s">
        <v>36</v>
      </c>
      <c r="J5103" s="22"/>
      <c r="K5103" s="20">
        <v>12</v>
      </c>
      <c r="L5103" s="24">
        <v>48.83</v>
      </c>
      <c r="M5103" s="11"/>
      <c r="N5103" s="22">
        <f t="shared" si="270"/>
        <v>0</v>
      </c>
      <c r="O5103" s="28">
        <f>0.02*M5103</f>
        <v>0</v>
      </c>
      <c r="P5103" s="26">
        <f>0.00009*M5103</f>
        <v>0</v>
      </c>
      <c r="Q5103" s="30"/>
      <c r="R5103" s="22" t="s">
        <v>18107</v>
      </c>
      <c r="S5103" s="22"/>
      <c r="T5103" s="21" t="str">
        <f>HYPERLINK("https://miland.ru/api/getInfo/image/acd282ee-19b5-11e9-a21c-ac1f6b442184")</f>
        <v>https://miland.ru/api/getInfo/image/acd282ee-19b5-11e9-a21c-ac1f6b442184</v>
      </c>
      <c r="U5103" s="21"/>
      <c r="V5103" s="21" t="s">
        <v>11948</v>
      </c>
      <c r="W5103" s="21" t="s">
        <v>1630</v>
      </c>
      <c r="X5103" s="21"/>
      <c r="Y5103" s="21" t="s">
        <v>697</v>
      </c>
      <c r="Z5103" s="21"/>
      <c r="AA5103" s="21" t="str">
        <f>HYPERLINK("https://miland.ru/api/getInfo/item/acd282ee-19b5-11e9-a21c-ac1f6b442184")</f>
        <v>https://miland.ru/api/getInfo/item/acd282ee-19b5-11e9-a21c-ac1f6b442184</v>
      </c>
      <c r="AB5103" s="21" t="s">
        <v>42</v>
      </c>
      <c r="AC5103" s="21" t="s">
        <v>17572</v>
      </c>
      <c r="AD5103" s="21"/>
    </row>
    <row r="5104" spans="2:31" s="1" customFormat="1" ht="96.3" customHeight="1" outlineLevel="4">
      <c r="B5104" s="59">
        <v>4142</v>
      </c>
      <c r="C5104" s="35" t="s">
        <v>18108</v>
      </c>
      <c r="D5104" s="73" t="s">
        <v>18109</v>
      </c>
      <c r="E5104" s="73"/>
      <c r="F5104" s="73"/>
      <c r="G5104" s="73"/>
      <c r="H5104" s="36" t="s">
        <v>18110</v>
      </c>
      <c r="I5104" s="56" t="s">
        <v>36</v>
      </c>
      <c r="J5104" s="36"/>
      <c r="K5104" s="34">
        <v>12</v>
      </c>
      <c r="L5104" s="41">
        <v>31.253333333333334</v>
      </c>
      <c r="M5104" s="11"/>
      <c r="N5104" s="36">
        <f t="shared" si="270"/>
        <v>0</v>
      </c>
      <c r="O5104" s="42">
        <f>0.033*M5104</f>
        <v>0</v>
      </c>
      <c r="P5104" s="43">
        <f>0.00017*M5104</f>
        <v>0</v>
      </c>
      <c r="Q5104" s="50"/>
      <c r="R5104" s="36" t="s">
        <v>18111</v>
      </c>
      <c r="S5104" s="36"/>
      <c r="T5104" s="35" t="str">
        <f>HYPERLINK("https://miland.ru/api/getInfo/image/dc6791a1-19b5-11e9-a21c-ac1f6b442184")</f>
        <v>https://miland.ru/api/getInfo/image/dc6791a1-19b5-11e9-a21c-ac1f6b442184</v>
      </c>
      <c r="U5104" s="35"/>
      <c r="V5104" s="35" t="s">
        <v>11948</v>
      </c>
      <c r="W5104" s="35" t="s">
        <v>1630</v>
      </c>
      <c r="X5104" s="35"/>
      <c r="Y5104" s="35" t="s">
        <v>697</v>
      </c>
      <c r="Z5104" s="35"/>
      <c r="AA5104" s="35" t="str">
        <f>HYPERLINK("https://miland.ru/api/getInfo/item/dc6791a1-19b5-11e9-a21c-ac1f6b442184")</f>
        <v>https://miland.ru/api/getInfo/item/dc6791a1-19b5-11e9-a21c-ac1f6b442184</v>
      </c>
      <c r="AB5104" s="35" t="s">
        <v>42</v>
      </c>
      <c r="AC5104" s="35" t="s">
        <v>17572</v>
      </c>
      <c r="AD5104" s="35"/>
      <c r="AE5104" s="52" t="s">
        <v>9152</v>
      </c>
    </row>
    <row r="5105" spans="2:31" s="1" customFormat="1" ht="96.3" customHeight="1" outlineLevel="4">
      <c r="B5105" s="59">
        <v>4143</v>
      </c>
      <c r="C5105" s="35" t="s">
        <v>18112</v>
      </c>
      <c r="D5105" s="73" t="s">
        <v>18113</v>
      </c>
      <c r="E5105" s="73"/>
      <c r="F5105" s="73"/>
      <c r="G5105" s="73"/>
      <c r="H5105" s="36" t="s">
        <v>18114</v>
      </c>
      <c r="I5105" s="56" t="s">
        <v>36</v>
      </c>
      <c r="J5105" s="36"/>
      <c r="K5105" s="34">
        <v>12</v>
      </c>
      <c r="L5105" s="41">
        <v>31.253333333333334</v>
      </c>
      <c r="M5105" s="11"/>
      <c r="N5105" s="36">
        <f t="shared" si="270"/>
        <v>0</v>
      </c>
      <c r="O5105" s="42">
        <f>0.017*M5105</f>
        <v>0</v>
      </c>
      <c r="P5105" s="55">
        <f>0.0002*M5105</f>
        <v>0</v>
      </c>
      <c r="Q5105" s="50"/>
      <c r="R5105" s="36" t="s">
        <v>18115</v>
      </c>
      <c r="S5105" s="36"/>
      <c r="T5105" s="35" t="str">
        <f>HYPERLINK("https://miland.ru/api/getInfo/image/fb4f7ad6-19b5-11e9-a21c-ac1f6b442184")</f>
        <v>https://miland.ru/api/getInfo/image/fb4f7ad6-19b5-11e9-a21c-ac1f6b442184</v>
      </c>
      <c r="U5105" s="35"/>
      <c r="V5105" s="35" t="s">
        <v>11948</v>
      </c>
      <c r="W5105" s="35" t="s">
        <v>1630</v>
      </c>
      <c r="X5105" s="35"/>
      <c r="Y5105" s="35" t="s">
        <v>697</v>
      </c>
      <c r="Z5105" s="35"/>
      <c r="AA5105" s="35" t="str">
        <f>HYPERLINK("https://miland.ru/api/getInfo/item/fb4f7ad6-19b5-11e9-a21c-ac1f6b442184")</f>
        <v>https://miland.ru/api/getInfo/item/fb4f7ad6-19b5-11e9-a21c-ac1f6b442184</v>
      </c>
      <c r="AB5105" s="35" t="s">
        <v>42</v>
      </c>
      <c r="AC5105" s="35" t="s">
        <v>17572</v>
      </c>
      <c r="AD5105" s="35"/>
      <c r="AE5105" s="52" t="s">
        <v>9152</v>
      </c>
    </row>
    <row r="5106" spans="2:31" s="1" customFormat="1" ht="96.3" customHeight="1" outlineLevel="4">
      <c r="B5106" s="59">
        <v>4144</v>
      </c>
      <c r="C5106" s="35" t="s">
        <v>18116</v>
      </c>
      <c r="D5106" s="73" t="s">
        <v>18117</v>
      </c>
      <c r="E5106" s="73"/>
      <c r="F5106" s="73"/>
      <c r="G5106" s="73"/>
      <c r="H5106" s="36" t="s">
        <v>18118</v>
      </c>
      <c r="I5106" s="56" t="s">
        <v>36</v>
      </c>
      <c r="J5106" s="36"/>
      <c r="K5106" s="34">
        <v>12</v>
      </c>
      <c r="L5106" s="41">
        <v>31.253333333333334</v>
      </c>
      <c r="M5106" s="11"/>
      <c r="N5106" s="36">
        <f t="shared" si="270"/>
        <v>0</v>
      </c>
      <c r="O5106" s="42">
        <f>0.018*M5106</f>
        <v>0</v>
      </c>
      <c r="P5106" s="43">
        <f>0.00012*M5106</f>
        <v>0</v>
      </c>
      <c r="Q5106" s="50"/>
      <c r="R5106" s="36" t="s">
        <v>18119</v>
      </c>
      <c r="S5106" s="36"/>
      <c r="T5106" s="35" t="str">
        <f>HYPERLINK("https://miland.ru/api/getInfo/image/1dce1869-19b6-11e9-a21c-ac1f6b442184")</f>
        <v>https://miland.ru/api/getInfo/image/1dce1869-19b6-11e9-a21c-ac1f6b442184</v>
      </c>
      <c r="U5106" s="35"/>
      <c r="V5106" s="35" t="s">
        <v>11948</v>
      </c>
      <c r="W5106" s="35" t="s">
        <v>1630</v>
      </c>
      <c r="X5106" s="35"/>
      <c r="Y5106" s="35" t="s">
        <v>697</v>
      </c>
      <c r="Z5106" s="35"/>
      <c r="AA5106" s="35" t="str">
        <f>HYPERLINK("https://miland.ru/api/getInfo/item/1dce1869-19b6-11e9-a21c-ac1f6b442184")</f>
        <v>https://miland.ru/api/getInfo/item/1dce1869-19b6-11e9-a21c-ac1f6b442184</v>
      </c>
      <c r="AB5106" s="35" t="s">
        <v>42</v>
      </c>
      <c r="AC5106" s="35" t="s">
        <v>17572</v>
      </c>
      <c r="AD5106" s="35"/>
      <c r="AE5106" s="52" t="s">
        <v>9152</v>
      </c>
    </row>
    <row r="5107" spans="2:31" s="1" customFormat="1" ht="96.3" customHeight="1" outlineLevel="4">
      <c r="B5107" s="57">
        <v>4145</v>
      </c>
      <c r="C5107" s="21" t="s">
        <v>18120</v>
      </c>
      <c r="D5107" s="72" t="s">
        <v>18121</v>
      </c>
      <c r="E5107" s="72"/>
      <c r="F5107" s="72"/>
      <c r="G5107" s="72"/>
      <c r="H5107" s="22" t="s">
        <v>18122</v>
      </c>
      <c r="I5107" s="23" t="s">
        <v>36</v>
      </c>
      <c r="J5107" s="22"/>
      <c r="K5107" s="20">
        <v>12</v>
      </c>
      <c r="L5107" s="24">
        <v>48.83</v>
      </c>
      <c r="M5107" s="11"/>
      <c r="N5107" s="22">
        <f t="shared" si="270"/>
        <v>0</v>
      </c>
      <c r="O5107" s="28">
        <f>0.02*M5107</f>
        <v>0</v>
      </c>
      <c r="P5107" s="26">
        <f>0.00009*M5107</f>
        <v>0</v>
      </c>
      <c r="Q5107" s="30"/>
      <c r="R5107" s="22" t="s">
        <v>18123</v>
      </c>
      <c r="S5107" s="22"/>
      <c r="T5107" s="21" t="str">
        <f>HYPERLINK("https://miland.ru/api/getInfo/image/47979971-19b6-11e9-a21c-ac1f6b442184")</f>
        <v>https://miland.ru/api/getInfo/image/47979971-19b6-11e9-a21c-ac1f6b442184</v>
      </c>
      <c r="U5107" s="21"/>
      <c r="V5107" s="21" t="s">
        <v>11948</v>
      </c>
      <c r="W5107" s="21" t="s">
        <v>1630</v>
      </c>
      <c r="X5107" s="21"/>
      <c r="Y5107" s="21" t="s">
        <v>697</v>
      </c>
      <c r="Z5107" s="21"/>
      <c r="AA5107" s="21" t="str">
        <f>HYPERLINK("https://miland.ru/api/getInfo/item/47979971-19b6-11e9-a21c-ac1f6b442184")</f>
        <v>https://miland.ru/api/getInfo/item/47979971-19b6-11e9-a21c-ac1f6b442184</v>
      </c>
      <c r="AB5107" s="21" t="s">
        <v>42</v>
      </c>
      <c r="AC5107" s="21" t="s">
        <v>17572</v>
      </c>
      <c r="AD5107" s="21"/>
    </row>
    <row r="5108" spans="2:31" s="1" customFormat="1" ht="96.3" customHeight="1" outlineLevel="4">
      <c r="B5108" s="59">
        <v>4146</v>
      </c>
      <c r="C5108" s="35" t="s">
        <v>18124</v>
      </c>
      <c r="D5108" s="73" t="s">
        <v>18125</v>
      </c>
      <c r="E5108" s="73"/>
      <c r="F5108" s="73"/>
      <c r="G5108" s="73"/>
      <c r="H5108" s="36" t="s">
        <v>18126</v>
      </c>
      <c r="I5108" s="56" t="s">
        <v>36</v>
      </c>
      <c r="J5108" s="36"/>
      <c r="K5108" s="34">
        <v>12</v>
      </c>
      <c r="L5108" s="41">
        <v>31.253333333333334</v>
      </c>
      <c r="M5108" s="11"/>
      <c r="N5108" s="36">
        <f t="shared" si="270"/>
        <v>0</v>
      </c>
      <c r="O5108" s="42">
        <f>0.017*M5108</f>
        <v>0</v>
      </c>
      <c r="P5108" s="43">
        <f>0.00015*M5108</f>
        <v>0</v>
      </c>
      <c r="Q5108" s="50"/>
      <c r="R5108" s="36" t="s">
        <v>18127</v>
      </c>
      <c r="S5108" s="36"/>
      <c r="T5108" s="35" t="str">
        <f>HYPERLINK("https://miland.ru/api/getInfo/image/6e981196-19b6-11e9-a21c-ac1f6b442184")</f>
        <v>https://miland.ru/api/getInfo/image/6e981196-19b6-11e9-a21c-ac1f6b442184</v>
      </c>
      <c r="U5108" s="35"/>
      <c r="V5108" s="35" t="s">
        <v>11948</v>
      </c>
      <c r="W5108" s="35" t="s">
        <v>1630</v>
      </c>
      <c r="X5108" s="35"/>
      <c r="Y5108" s="35" t="s">
        <v>697</v>
      </c>
      <c r="Z5108" s="35"/>
      <c r="AA5108" s="35" t="str">
        <f>HYPERLINK("https://miland.ru/api/getInfo/item/6e981196-19b6-11e9-a21c-ac1f6b442184")</f>
        <v>https://miland.ru/api/getInfo/item/6e981196-19b6-11e9-a21c-ac1f6b442184</v>
      </c>
      <c r="AB5108" s="35" t="s">
        <v>42</v>
      </c>
      <c r="AC5108" s="35" t="s">
        <v>17572</v>
      </c>
      <c r="AD5108" s="35"/>
      <c r="AE5108" s="52" t="s">
        <v>9152</v>
      </c>
    </row>
    <row r="5109" spans="2:31" s="1" customFormat="1" ht="96.3" customHeight="1" outlineLevel="4">
      <c r="B5109" s="57">
        <v>4147</v>
      </c>
      <c r="C5109" s="21" t="s">
        <v>18128</v>
      </c>
      <c r="D5109" s="72" t="s">
        <v>18129</v>
      </c>
      <c r="E5109" s="72"/>
      <c r="F5109" s="72"/>
      <c r="G5109" s="72"/>
      <c r="H5109" s="22" t="s">
        <v>18130</v>
      </c>
      <c r="I5109" s="23" t="s">
        <v>36</v>
      </c>
      <c r="J5109" s="22"/>
      <c r="K5109" s="20">
        <v>12</v>
      </c>
      <c r="L5109" s="24">
        <v>48.83</v>
      </c>
      <c r="M5109" s="11"/>
      <c r="N5109" s="22">
        <f t="shared" si="270"/>
        <v>0</v>
      </c>
      <c r="O5109" s="28">
        <f>0.02*M5109</f>
        <v>0</v>
      </c>
      <c r="P5109" s="26">
        <f>0.00009*M5109</f>
        <v>0</v>
      </c>
      <c r="Q5109" s="30"/>
      <c r="R5109" s="22" t="s">
        <v>18131</v>
      </c>
      <c r="S5109" s="22"/>
      <c r="T5109" s="21" t="str">
        <f>HYPERLINK("https://miland.ru/api/getInfo/image/9c1b8cea-19b6-11e9-a21c-ac1f6b442184")</f>
        <v>https://miland.ru/api/getInfo/image/9c1b8cea-19b6-11e9-a21c-ac1f6b442184</v>
      </c>
      <c r="U5109" s="21"/>
      <c r="V5109" s="21" t="s">
        <v>11948</v>
      </c>
      <c r="W5109" s="21" t="s">
        <v>1630</v>
      </c>
      <c r="X5109" s="21"/>
      <c r="Y5109" s="21" t="s">
        <v>697</v>
      </c>
      <c r="Z5109" s="21"/>
      <c r="AA5109" s="21" t="str">
        <f>HYPERLINK("https://miland.ru/api/getInfo/item/9c1b8cea-19b6-11e9-a21c-ac1f6b442184")</f>
        <v>https://miland.ru/api/getInfo/item/9c1b8cea-19b6-11e9-a21c-ac1f6b442184</v>
      </c>
      <c r="AB5109" s="21" t="s">
        <v>42</v>
      </c>
      <c r="AC5109" s="21" t="s">
        <v>17572</v>
      </c>
      <c r="AD5109" s="21"/>
    </row>
    <row r="5110" spans="2:31" s="1" customFormat="1" ht="96.3" customHeight="1" outlineLevel="4">
      <c r="B5110" s="57">
        <v>4148</v>
      </c>
      <c r="C5110" s="21" t="s">
        <v>18132</v>
      </c>
      <c r="D5110" s="72" t="s">
        <v>18133</v>
      </c>
      <c r="E5110" s="72"/>
      <c r="F5110" s="72"/>
      <c r="G5110" s="72"/>
      <c r="H5110" s="22" t="s">
        <v>18134</v>
      </c>
      <c r="I5110" s="23" t="s">
        <v>36</v>
      </c>
      <c r="J5110" s="22"/>
      <c r="K5110" s="20">
        <v>12</v>
      </c>
      <c r="L5110" s="24">
        <v>48.83</v>
      </c>
      <c r="M5110" s="11"/>
      <c r="N5110" s="22">
        <f t="shared" si="270"/>
        <v>0</v>
      </c>
      <c r="O5110" s="28">
        <f>0.02*M5110</f>
        <v>0</v>
      </c>
      <c r="P5110" s="26">
        <f>0.00009*M5110</f>
        <v>0</v>
      </c>
      <c r="Q5110" s="30"/>
      <c r="R5110" s="22" t="s">
        <v>18135</v>
      </c>
      <c r="S5110" s="22"/>
      <c r="T5110" s="21" t="str">
        <f>HYPERLINK("https://miland.ru/api/getInfo/image/d6e7ba5f-19b6-11e9-a21c-ac1f6b442184")</f>
        <v>https://miland.ru/api/getInfo/image/d6e7ba5f-19b6-11e9-a21c-ac1f6b442184</v>
      </c>
      <c r="U5110" s="21"/>
      <c r="V5110" s="21" t="s">
        <v>11948</v>
      </c>
      <c r="W5110" s="21" t="s">
        <v>1630</v>
      </c>
      <c r="X5110" s="21"/>
      <c r="Y5110" s="21" t="s">
        <v>697</v>
      </c>
      <c r="Z5110" s="21"/>
      <c r="AA5110" s="21" t="str">
        <f>HYPERLINK("https://miland.ru/api/getInfo/item/d6e7ba5f-19b6-11e9-a21c-ac1f6b442184")</f>
        <v>https://miland.ru/api/getInfo/item/d6e7ba5f-19b6-11e9-a21c-ac1f6b442184</v>
      </c>
      <c r="AB5110" s="21" t="s">
        <v>42</v>
      </c>
      <c r="AC5110" s="21" t="s">
        <v>17572</v>
      </c>
      <c r="AD5110" s="21"/>
    </row>
    <row r="5111" spans="2:31" s="1" customFormat="1" ht="96.3" customHeight="1" outlineLevel="4">
      <c r="B5111" s="57">
        <v>4149</v>
      </c>
      <c r="C5111" s="21" t="s">
        <v>18136</v>
      </c>
      <c r="D5111" s="72" t="s">
        <v>18137</v>
      </c>
      <c r="E5111" s="72"/>
      <c r="F5111" s="72"/>
      <c r="G5111" s="72"/>
      <c r="H5111" s="22" t="s">
        <v>18138</v>
      </c>
      <c r="I5111" s="23" t="s">
        <v>36</v>
      </c>
      <c r="J5111" s="22"/>
      <c r="K5111" s="20">
        <v>12</v>
      </c>
      <c r="L5111" s="24">
        <v>48.83</v>
      </c>
      <c r="M5111" s="11"/>
      <c r="N5111" s="22">
        <f t="shared" si="270"/>
        <v>0</v>
      </c>
      <c r="O5111" s="28">
        <f>0.02*M5111</f>
        <v>0</v>
      </c>
      <c r="P5111" s="26">
        <f>0.00009*M5111</f>
        <v>0</v>
      </c>
      <c r="Q5111" s="30"/>
      <c r="R5111" s="22" t="s">
        <v>18139</v>
      </c>
      <c r="S5111" s="22"/>
      <c r="T5111" s="21" t="str">
        <f>HYPERLINK("https://miland.ru/api/getInfo/image/f5ca966c-19b6-11e9-a21c-ac1f6b442184")</f>
        <v>https://miland.ru/api/getInfo/image/f5ca966c-19b6-11e9-a21c-ac1f6b442184</v>
      </c>
      <c r="U5111" s="21"/>
      <c r="V5111" s="21" t="s">
        <v>11948</v>
      </c>
      <c r="W5111" s="21" t="s">
        <v>1630</v>
      </c>
      <c r="X5111" s="21"/>
      <c r="Y5111" s="21" t="s">
        <v>697</v>
      </c>
      <c r="Z5111" s="21"/>
      <c r="AA5111" s="21" t="str">
        <f>HYPERLINK("https://miland.ru/api/getInfo/item/f5ca966c-19b6-11e9-a21c-ac1f6b442184")</f>
        <v>https://miland.ru/api/getInfo/item/f5ca966c-19b6-11e9-a21c-ac1f6b442184</v>
      </c>
      <c r="AB5111" s="21" t="s">
        <v>42</v>
      </c>
      <c r="AC5111" s="21" t="s">
        <v>17572</v>
      </c>
      <c r="AD5111" s="21"/>
    </row>
    <row r="5112" spans="2:31" s="1" customFormat="1" ht="96.3" customHeight="1" outlineLevel="4">
      <c r="B5112" s="57">
        <v>4150</v>
      </c>
      <c r="C5112" s="21" t="s">
        <v>18140</v>
      </c>
      <c r="D5112" s="72" t="s">
        <v>18141</v>
      </c>
      <c r="E5112" s="72"/>
      <c r="F5112" s="72"/>
      <c r="G5112" s="72"/>
      <c r="H5112" s="22" t="s">
        <v>18142</v>
      </c>
      <c r="I5112" s="23" t="s">
        <v>36</v>
      </c>
      <c r="J5112" s="22"/>
      <c r="K5112" s="20">
        <v>12</v>
      </c>
      <c r="L5112" s="24">
        <v>48.83</v>
      </c>
      <c r="M5112" s="11"/>
      <c r="N5112" s="22">
        <f t="shared" si="270"/>
        <v>0</v>
      </c>
      <c r="O5112" s="28">
        <f>0.02*M5112</f>
        <v>0</v>
      </c>
      <c r="P5112" s="26">
        <f>0.00009*M5112</f>
        <v>0</v>
      </c>
      <c r="Q5112" s="30"/>
      <c r="R5112" s="22" t="s">
        <v>18143</v>
      </c>
      <c r="S5112" s="22"/>
      <c r="T5112" s="21" t="str">
        <f>HYPERLINK("https://miland.ru/api/getInfo/image/12a31ba4-19b7-11e9-a21c-ac1f6b442184")</f>
        <v>https://miland.ru/api/getInfo/image/12a31ba4-19b7-11e9-a21c-ac1f6b442184</v>
      </c>
      <c r="U5112" s="21"/>
      <c r="V5112" s="21" t="s">
        <v>11948</v>
      </c>
      <c r="W5112" s="21" t="s">
        <v>1630</v>
      </c>
      <c r="X5112" s="21"/>
      <c r="Y5112" s="21" t="s">
        <v>697</v>
      </c>
      <c r="Z5112" s="21"/>
      <c r="AA5112" s="21" t="str">
        <f>HYPERLINK("https://miland.ru/api/getInfo/item/12a31ba4-19b7-11e9-a21c-ac1f6b442184")</f>
        <v>https://miland.ru/api/getInfo/item/12a31ba4-19b7-11e9-a21c-ac1f6b442184</v>
      </c>
      <c r="AB5112" s="21" t="s">
        <v>42</v>
      </c>
      <c r="AC5112" s="21" t="s">
        <v>17572</v>
      </c>
      <c r="AD5112" s="21"/>
    </row>
    <row r="5113" spans="2:31" s="1" customFormat="1" ht="96.3" customHeight="1" outlineLevel="4">
      <c r="B5113" s="59">
        <v>4151</v>
      </c>
      <c r="C5113" s="35" t="s">
        <v>18144</v>
      </c>
      <c r="D5113" s="73" t="s">
        <v>18145</v>
      </c>
      <c r="E5113" s="73"/>
      <c r="F5113" s="73"/>
      <c r="G5113" s="73"/>
      <c r="H5113" s="36" t="s">
        <v>18146</v>
      </c>
      <c r="I5113" s="56" t="s">
        <v>36</v>
      </c>
      <c r="J5113" s="36"/>
      <c r="K5113" s="34">
        <v>7</v>
      </c>
      <c r="L5113" s="41">
        <v>56.773333333333333</v>
      </c>
      <c r="M5113" s="11"/>
      <c r="N5113" s="36">
        <f t="shared" si="270"/>
        <v>0</v>
      </c>
      <c r="O5113" s="47">
        <f>0.03*M5113</f>
        <v>0</v>
      </c>
      <c r="P5113" s="43">
        <f>0.00019*M5113</f>
        <v>0</v>
      </c>
      <c r="Q5113" s="50"/>
      <c r="R5113" s="36" t="s">
        <v>18147</v>
      </c>
      <c r="S5113" s="36" t="s">
        <v>435</v>
      </c>
      <c r="T5113" s="35" t="str">
        <f>HYPERLINK("https://miland.ru/api/getInfo/image/f041410e-1a2e-11e9-a21c-ac1f6b442184")</f>
        <v>https://miland.ru/api/getInfo/image/f041410e-1a2e-11e9-a21c-ac1f6b442184</v>
      </c>
      <c r="U5113" s="35"/>
      <c r="V5113" s="35" t="s">
        <v>11948</v>
      </c>
      <c r="W5113" s="35" t="s">
        <v>1630</v>
      </c>
      <c r="X5113" s="35"/>
      <c r="Y5113" s="35" t="s">
        <v>697</v>
      </c>
      <c r="Z5113" s="35"/>
      <c r="AA5113" s="35" t="str">
        <f>HYPERLINK("https://miland.ru/api/getInfo/item/f041410e-1a2e-11e9-a21c-ac1f6b442184")</f>
        <v>https://miland.ru/api/getInfo/item/f041410e-1a2e-11e9-a21c-ac1f6b442184</v>
      </c>
      <c r="AB5113" s="35" t="s">
        <v>42</v>
      </c>
      <c r="AC5113" s="35" t="s">
        <v>17613</v>
      </c>
      <c r="AD5113" s="35"/>
      <c r="AE5113" s="52" t="s">
        <v>1251</v>
      </c>
    </row>
    <row r="5114" spans="2:31" s="1" customFormat="1" ht="96.3" customHeight="1" outlineLevel="4">
      <c r="B5114" s="59">
        <v>4152</v>
      </c>
      <c r="C5114" s="35" t="s">
        <v>18148</v>
      </c>
      <c r="D5114" s="73" t="s">
        <v>18149</v>
      </c>
      <c r="E5114" s="73"/>
      <c r="F5114" s="73"/>
      <c r="G5114" s="73"/>
      <c r="H5114" s="36" t="s">
        <v>18150</v>
      </c>
      <c r="I5114" s="56" t="s">
        <v>36</v>
      </c>
      <c r="J5114" s="36"/>
      <c r="K5114" s="34">
        <v>7</v>
      </c>
      <c r="L5114" s="41">
        <v>56.773333333333333</v>
      </c>
      <c r="M5114" s="11"/>
      <c r="N5114" s="36">
        <f t="shared" ref="N5114:N5177" si="275">L5114*M5114</f>
        <v>0</v>
      </c>
      <c r="O5114" s="47">
        <f>0.03*M5114</f>
        <v>0</v>
      </c>
      <c r="P5114" s="43">
        <f>0.00019*M5114</f>
        <v>0</v>
      </c>
      <c r="Q5114" s="50"/>
      <c r="R5114" s="36" t="s">
        <v>18151</v>
      </c>
      <c r="S5114" s="36" t="s">
        <v>435</v>
      </c>
      <c r="T5114" s="35" t="str">
        <f>HYPERLINK("https://miland.ru/api/getInfo/image/082a09e1-1a2f-11e9-a21c-ac1f6b442184")</f>
        <v>https://miland.ru/api/getInfo/image/082a09e1-1a2f-11e9-a21c-ac1f6b442184</v>
      </c>
      <c r="U5114" s="35"/>
      <c r="V5114" s="35" t="s">
        <v>11948</v>
      </c>
      <c r="W5114" s="35" t="s">
        <v>1630</v>
      </c>
      <c r="X5114" s="35"/>
      <c r="Y5114" s="35" t="s">
        <v>697</v>
      </c>
      <c r="Z5114" s="35"/>
      <c r="AA5114" s="35" t="str">
        <f>HYPERLINK("https://miland.ru/api/getInfo/item/082a09e1-1a2f-11e9-a21c-ac1f6b442184")</f>
        <v>https://miland.ru/api/getInfo/item/082a09e1-1a2f-11e9-a21c-ac1f6b442184</v>
      </c>
      <c r="AB5114" s="35" t="s">
        <v>42</v>
      </c>
      <c r="AC5114" s="35" t="s">
        <v>17613</v>
      </c>
      <c r="AD5114" s="35"/>
      <c r="AE5114" s="52" t="s">
        <v>1251</v>
      </c>
    </row>
    <row r="5115" spans="2:31" s="1" customFormat="1" ht="96.3" customHeight="1" outlineLevel="4">
      <c r="B5115" s="59">
        <v>4153</v>
      </c>
      <c r="C5115" s="35" t="s">
        <v>18152</v>
      </c>
      <c r="D5115" s="73" t="s">
        <v>18153</v>
      </c>
      <c r="E5115" s="73"/>
      <c r="F5115" s="73"/>
      <c r="G5115" s="73"/>
      <c r="H5115" s="36" t="s">
        <v>18154</v>
      </c>
      <c r="I5115" s="56" t="s">
        <v>36</v>
      </c>
      <c r="J5115" s="36"/>
      <c r="K5115" s="34">
        <v>7</v>
      </c>
      <c r="L5115" s="41">
        <v>56.773333333333333</v>
      </c>
      <c r="M5115" s="11"/>
      <c r="N5115" s="36">
        <f t="shared" si="275"/>
        <v>0</v>
      </c>
      <c r="O5115" s="47">
        <f>0.03*M5115</f>
        <v>0</v>
      </c>
      <c r="P5115" s="43">
        <f>0.00019*M5115</f>
        <v>0</v>
      </c>
      <c r="Q5115" s="50"/>
      <c r="R5115" s="36" t="s">
        <v>18155</v>
      </c>
      <c r="S5115" s="36" t="s">
        <v>435</v>
      </c>
      <c r="T5115" s="35" t="str">
        <f>HYPERLINK("https://miland.ru/api/getInfo/image/1ee19de2-1a2f-11e9-a21c-ac1f6b442184")</f>
        <v>https://miland.ru/api/getInfo/image/1ee19de2-1a2f-11e9-a21c-ac1f6b442184</v>
      </c>
      <c r="U5115" s="35"/>
      <c r="V5115" s="35" t="s">
        <v>11948</v>
      </c>
      <c r="W5115" s="35" t="s">
        <v>1630</v>
      </c>
      <c r="X5115" s="35"/>
      <c r="Y5115" s="35" t="s">
        <v>697</v>
      </c>
      <c r="Z5115" s="35"/>
      <c r="AA5115" s="35" t="str">
        <f>HYPERLINK("https://miland.ru/api/getInfo/item/1ee19de2-1a2f-11e9-a21c-ac1f6b442184")</f>
        <v>https://miland.ru/api/getInfo/item/1ee19de2-1a2f-11e9-a21c-ac1f6b442184</v>
      </c>
      <c r="AB5115" s="35" t="s">
        <v>42</v>
      </c>
      <c r="AC5115" s="35" t="s">
        <v>17613</v>
      </c>
      <c r="AD5115" s="35"/>
      <c r="AE5115" s="52" t="s">
        <v>1251</v>
      </c>
    </row>
    <row r="5116" spans="2:31" s="1" customFormat="1" ht="96.3" customHeight="1" outlineLevel="4">
      <c r="B5116" s="59">
        <v>4154</v>
      </c>
      <c r="C5116" s="35" t="s">
        <v>18156</v>
      </c>
      <c r="D5116" s="73" t="s">
        <v>18157</v>
      </c>
      <c r="E5116" s="73"/>
      <c r="F5116" s="73"/>
      <c r="G5116" s="73"/>
      <c r="H5116" s="36" t="s">
        <v>18158</v>
      </c>
      <c r="I5116" s="56" t="s">
        <v>36</v>
      </c>
      <c r="J5116" s="36"/>
      <c r="K5116" s="34">
        <v>7</v>
      </c>
      <c r="L5116" s="41">
        <v>56.773333333333333</v>
      </c>
      <c r="M5116" s="11"/>
      <c r="N5116" s="36">
        <f t="shared" si="275"/>
        <v>0</v>
      </c>
      <c r="O5116" s="47">
        <f>0.03*M5116</f>
        <v>0</v>
      </c>
      <c r="P5116" s="43">
        <f>0.00019*M5116</f>
        <v>0</v>
      </c>
      <c r="Q5116" s="50"/>
      <c r="R5116" s="36" t="s">
        <v>18159</v>
      </c>
      <c r="S5116" s="36" t="s">
        <v>435</v>
      </c>
      <c r="T5116" s="35" t="str">
        <f>HYPERLINK("https://miland.ru/api/getInfo/image/3649a482-1a2f-11e9-a21c-ac1f6b442184")</f>
        <v>https://miland.ru/api/getInfo/image/3649a482-1a2f-11e9-a21c-ac1f6b442184</v>
      </c>
      <c r="U5116" s="35"/>
      <c r="V5116" s="35" t="s">
        <v>11948</v>
      </c>
      <c r="W5116" s="35" t="s">
        <v>1630</v>
      </c>
      <c r="X5116" s="35"/>
      <c r="Y5116" s="35" t="s">
        <v>697</v>
      </c>
      <c r="Z5116" s="35"/>
      <c r="AA5116" s="35" t="str">
        <f>HYPERLINK("https://miland.ru/api/getInfo/item/3649a482-1a2f-11e9-a21c-ac1f6b442184")</f>
        <v>https://miland.ru/api/getInfo/item/3649a482-1a2f-11e9-a21c-ac1f6b442184</v>
      </c>
      <c r="AB5116" s="35" t="s">
        <v>42</v>
      </c>
      <c r="AC5116" s="35" t="s">
        <v>17613</v>
      </c>
      <c r="AD5116" s="35"/>
      <c r="AE5116" s="52" t="s">
        <v>1251</v>
      </c>
    </row>
    <row r="5117" spans="2:31" s="1" customFormat="1" ht="96.3" customHeight="1" outlineLevel="4">
      <c r="B5117" s="59">
        <v>4155</v>
      </c>
      <c r="C5117" s="35" t="s">
        <v>18160</v>
      </c>
      <c r="D5117" s="73" t="s">
        <v>18161</v>
      </c>
      <c r="E5117" s="73"/>
      <c r="F5117" s="73"/>
      <c r="G5117" s="73"/>
      <c r="H5117" s="36" t="s">
        <v>18162</v>
      </c>
      <c r="I5117" s="56" t="s">
        <v>36</v>
      </c>
      <c r="J5117" s="36"/>
      <c r="K5117" s="34">
        <v>7</v>
      </c>
      <c r="L5117" s="41">
        <v>56.773333333333333</v>
      </c>
      <c r="M5117" s="11"/>
      <c r="N5117" s="36">
        <f t="shared" si="275"/>
        <v>0</v>
      </c>
      <c r="O5117" s="47">
        <f>0.03*M5117</f>
        <v>0</v>
      </c>
      <c r="P5117" s="43">
        <f>0.00019*M5117</f>
        <v>0</v>
      </c>
      <c r="Q5117" s="50"/>
      <c r="R5117" s="36" t="s">
        <v>18163</v>
      </c>
      <c r="S5117" s="36" t="s">
        <v>435</v>
      </c>
      <c r="T5117" s="35" t="str">
        <f>HYPERLINK("https://miland.ru/api/getInfo/image/4c7bdcfb-1a2f-11e9-a21c-ac1f6b442184")</f>
        <v>https://miland.ru/api/getInfo/image/4c7bdcfb-1a2f-11e9-a21c-ac1f6b442184</v>
      </c>
      <c r="U5117" s="35"/>
      <c r="V5117" s="35" t="s">
        <v>11948</v>
      </c>
      <c r="W5117" s="35" t="s">
        <v>1630</v>
      </c>
      <c r="X5117" s="35"/>
      <c r="Y5117" s="35" t="s">
        <v>697</v>
      </c>
      <c r="Z5117" s="35"/>
      <c r="AA5117" s="35" t="str">
        <f>HYPERLINK("https://miland.ru/api/getInfo/item/4c7bdcfb-1a2f-11e9-a21c-ac1f6b442184")</f>
        <v>https://miland.ru/api/getInfo/item/4c7bdcfb-1a2f-11e9-a21c-ac1f6b442184</v>
      </c>
      <c r="AB5117" s="35" t="s">
        <v>42</v>
      </c>
      <c r="AC5117" s="35" t="s">
        <v>17613</v>
      </c>
      <c r="AD5117" s="35"/>
      <c r="AE5117" s="52" t="s">
        <v>1251</v>
      </c>
    </row>
    <row r="5118" spans="2:31" s="1" customFormat="1" ht="96.3" customHeight="1" outlineLevel="4">
      <c r="B5118" s="59">
        <v>4156</v>
      </c>
      <c r="C5118" s="35" t="s">
        <v>18164</v>
      </c>
      <c r="D5118" s="73" t="s">
        <v>18165</v>
      </c>
      <c r="E5118" s="73"/>
      <c r="F5118" s="73"/>
      <c r="G5118" s="73"/>
      <c r="H5118" s="36" t="s">
        <v>18166</v>
      </c>
      <c r="I5118" s="56" t="s">
        <v>36</v>
      </c>
      <c r="J5118" s="36"/>
      <c r="K5118" s="34">
        <v>7</v>
      </c>
      <c r="L5118" s="41">
        <v>56.773333333333333</v>
      </c>
      <c r="M5118" s="11"/>
      <c r="N5118" s="36">
        <f t="shared" si="275"/>
        <v>0</v>
      </c>
      <c r="O5118" s="42">
        <f>0.037*M5118</f>
        <v>0</v>
      </c>
      <c r="P5118" s="43">
        <f>0.00044*M5118</f>
        <v>0</v>
      </c>
      <c r="Q5118" s="50"/>
      <c r="R5118" s="36" t="s">
        <v>18167</v>
      </c>
      <c r="S5118" s="36" t="s">
        <v>435</v>
      </c>
      <c r="T5118" s="35" t="str">
        <f>HYPERLINK("https://miland.ru/api/getInfo/image/63ce82e3-1a2f-11e9-a21c-ac1f6b442184")</f>
        <v>https://miland.ru/api/getInfo/image/63ce82e3-1a2f-11e9-a21c-ac1f6b442184</v>
      </c>
      <c r="U5118" s="35"/>
      <c r="V5118" s="35" t="s">
        <v>11948</v>
      </c>
      <c r="W5118" s="35" t="s">
        <v>1630</v>
      </c>
      <c r="X5118" s="35"/>
      <c r="Y5118" s="35" t="s">
        <v>697</v>
      </c>
      <c r="Z5118" s="35"/>
      <c r="AA5118" s="35" t="str">
        <f>HYPERLINK("https://miland.ru/api/getInfo/item/63ce82e3-1a2f-11e9-a21c-ac1f6b442184")</f>
        <v>https://miland.ru/api/getInfo/item/63ce82e3-1a2f-11e9-a21c-ac1f6b442184</v>
      </c>
      <c r="AB5118" s="35" t="s">
        <v>42</v>
      </c>
      <c r="AC5118" s="35" t="s">
        <v>17613</v>
      </c>
      <c r="AD5118" s="35"/>
      <c r="AE5118" s="52" t="s">
        <v>1251</v>
      </c>
    </row>
    <row r="5119" spans="2:31" s="1" customFormat="1" ht="96.3" customHeight="1" outlineLevel="4">
      <c r="B5119" s="59">
        <v>4157</v>
      </c>
      <c r="C5119" s="35" t="s">
        <v>18168</v>
      </c>
      <c r="D5119" s="73" t="s">
        <v>18169</v>
      </c>
      <c r="E5119" s="73"/>
      <c r="F5119" s="73"/>
      <c r="G5119" s="73"/>
      <c r="H5119" s="36" t="s">
        <v>18170</v>
      </c>
      <c r="I5119" s="56" t="s">
        <v>36</v>
      </c>
      <c r="J5119" s="36"/>
      <c r="K5119" s="34">
        <v>7</v>
      </c>
      <c r="L5119" s="41">
        <v>56.773333333333333</v>
      </c>
      <c r="M5119" s="11"/>
      <c r="N5119" s="36">
        <f t="shared" si="275"/>
        <v>0</v>
      </c>
      <c r="O5119" s="47">
        <f>0.03*M5119</f>
        <v>0</v>
      </c>
      <c r="P5119" s="43">
        <f>0.00019*M5119</f>
        <v>0</v>
      </c>
      <c r="Q5119" s="50"/>
      <c r="R5119" s="36" t="s">
        <v>18171</v>
      </c>
      <c r="S5119" s="36" t="s">
        <v>435</v>
      </c>
      <c r="T5119" s="35" t="str">
        <f>HYPERLINK("https://miland.ru/api/getInfo/image/75bc8027-1a2f-11e9-a21c-ac1f6b442184")</f>
        <v>https://miland.ru/api/getInfo/image/75bc8027-1a2f-11e9-a21c-ac1f6b442184</v>
      </c>
      <c r="U5119" s="35"/>
      <c r="V5119" s="35" t="s">
        <v>11948</v>
      </c>
      <c r="W5119" s="35" t="s">
        <v>1630</v>
      </c>
      <c r="X5119" s="35"/>
      <c r="Y5119" s="35" t="s">
        <v>697</v>
      </c>
      <c r="Z5119" s="35"/>
      <c r="AA5119" s="35" t="str">
        <f>HYPERLINK("https://miland.ru/api/getInfo/item/75bc8027-1a2f-11e9-a21c-ac1f6b442184")</f>
        <v>https://miland.ru/api/getInfo/item/75bc8027-1a2f-11e9-a21c-ac1f6b442184</v>
      </c>
      <c r="AB5119" s="35" t="s">
        <v>42</v>
      </c>
      <c r="AC5119" s="35" t="s">
        <v>17613</v>
      </c>
      <c r="AD5119" s="35"/>
      <c r="AE5119" s="52" t="s">
        <v>1251</v>
      </c>
    </row>
    <row r="5120" spans="2:31" s="1" customFormat="1" ht="96.3" customHeight="1" outlineLevel="4">
      <c r="B5120" s="59">
        <v>4158</v>
      </c>
      <c r="C5120" s="35" t="s">
        <v>18172</v>
      </c>
      <c r="D5120" s="73" t="s">
        <v>18173</v>
      </c>
      <c r="E5120" s="73"/>
      <c r="F5120" s="73"/>
      <c r="G5120" s="73"/>
      <c r="H5120" s="36" t="s">
        <v>18174</v>
      </c>
      <c r="I5120" s="56" t="s">
        <v>36</v>
      </c>
      <c r="J5120" s="36"/>
      <c r="K5120" s="34">
        <v>7</v>
      </c>
      <c r="L5120" s="41">
        <v>56.773333333333333</v>
      </c>
      <c r="M5120" s="11"/>
      <c r="N5120" s="36">
        <f t="shared" si="275"/>
        <v>0</v>
      </c>
      <c r="O5120" s="47">
        <f>0.03*M5120</f>
        <v>0</v>
      </c>
      <c r="P5120" s="43">
        <f>0.00019*M5120</f>
        <v>0</v>
      </c>
      <c r="Q5120" s="50"/>
      <c r="R5120" s="36" t="s">
        <v>18175</v>
      </c>
      <c r="S5120" s="36" t="s">
        <v>435</v>
      </c>
      <c r="T5120" s="35" t="str">
        <f>HYPERLINK("https://miland.ru/api/getInfo/image/8f1941ab-1a2f-11e9-a21c-ac1f6b442184")</f>
        <v>https://miland.ru/api/getInfo/image/8f1941ab-1a2f-11e9-a21c-ac1f6b442184</v>
      </c>
      <c r="U5120" s="35"/>
      <c r="V5120" s="35" t="s">
        <v>11948</v>
      </c>
      <c r="W5120" s="35" t="s">
        <v>1630</v>
      </c>
      <c r="X5120" s="35"/>
      <c r="Y5120" s="35" t="s">
        <v>697</v>
      </c>
      <c r="Z5120" s="35"/>
      <c r="AA5120" s="35" t="str">
        <f>HYPERLINK("https://miland.ru/api/getInfo/item/8f1941ab-1a2f-11e9-a21c-ac1f6b442184")</f>
        <v>https://miland.ru/api/getInfo/item/8f1941ab-1a2f-11e9-a21c-ac1f6b442184</v>
      </c>
      <c r="AB5120" s="35" t="s">
        <v>42</v>
      </c>
      <c r="AC5120" s="35" t="s">
        <v>17613</v>
      </c>
      <c r="AD5120" s="35"/>
      <c r="AE5120" s="52" t="s">
        <v>1251</v>
      </c>
    </row>
    <row r="5121" spans="2:31" s="1" customFormat="1" ht="96.3" customHeight="1" outlineLevel="4">
      <c r="B5121" s="59">
        <v>4159</v>
      </c>
      <c r="C5121" s="35" t="s">
        <v>18176</v>
      </c>
      <c r="D5121" s="73" t="s">
        <v>18177</v>
      </c>
      <c r="E5121" s="73"/>
      <c r="F5121" s="73"/>
      <c r="G5121" s="73"/>
      <c r="H5121" s="36" t="s">
        <v>18178</v>
      </c>
      <c r="I5121" s="56" t="s">
        <v>36</v>
      </c>
      <c r="J5121" s="36"/>
      <c r="K5121" s="34">
        <v>7</v>
      </c>
      <c r="L5121" s="41">
        <v>56.773333333333333</v>
      </c>
      <c r="M5121" s="11"/>
      <c r="N5121" s="36">
        <f t="shared" si="275"/>
        <v>0</v>
      </c>
      <c r="O5121" s="47">
        <f>0.03*M5121</f>
        <v>0</v>
      </c>
      <c r="P5121" s="43">
        <f>0.00019*M5121</f>
        <v>0</v>
      </c>
      <c r="Q5121" s="50"/>
      <c r="R5121" s="36" t="s">
        <v>18179</v>
      </c>
      <c r="S5121" s="36" t="s">
        <v>435</v>
      </c>
      <c r="T5121" s="35" t="str">
        <f>HYPERLINK("https://miland.ru/api/getInfo/image/a68f96df-1a2f-11e9-a21c-ac1f6b442184")</f>
        <v>https://miland.ru/api/getInfo/image/a68f96df-1a2f-11e9-a21c-ac1f6b442184</v>
      </c>
      <c r="U5121" s="35"/>
      <c r="V5121" s="35" t="s">
        <v>11948</v>
      </c>
      <c r="W5121" s="35" t="s">
        <v>1630</v>
      </c>
      <c r="X5121" s="35"/>
      <c r="Y5121" s="35" t="s">
        <v>697</v>
      </c>
      <c r="Z5121" s="35"/>
      <c r="AA5121" s="35" t="str">
        <f>HYPERLINK("https://miland.ru/api/getInfo/item/a68f96df-1a2f-11e9-a21c-ac1f6b442184")</f>
        <v>https://miland.ru/api/getInfo/item/a68f96df-1a2f-11e9-a21c-ac1f6b442184</v>
      </c>
      <c r="AB5121" s="35" t="s">
        <v>42</v>
      </c>
      <c r="AC5121" s="35" t="s">
        <v>17613</v>
      </c>
      <c r="AD5121" s="35"/>
      <c r="AE5121" s="52" t="s">
        <v>1251</v>
      </c>
    </row>
    <row r="5122" spans="2:31" s="1" customFormat="1" ht="96.3" customHeight="1" outlineLevel="4">
      <c r="B5122" s="59">
        <v>4160</v>
      </c>
      <c r="C5122" s="35" t="s">
        <v>18180</v>
      </c>
      <c r="D5122" s="73" t="s">
        <v>18181</v>
      </c>
      <c r="E5122" s="73"/>
      <c r="F5122" s="73"/>
      <c r="G5122" s="73"/>
      <c r="H5122" s="36" t="s">
        <v>18182</v>
      </c>
      <c r="I5122" s="56" t="s">
        <v>36</v>
      </c>
      <c r="J5122" s="36"/>
      <c r="K5122" s="34">
        <v>7</v>
      </c>
      <c r="L5122" s="41">
        <v>56.773333333333333</v>
      </c>
      <c r="M5122" s="11"/>
      <c r="N5122" s="36">
        <f t="shared" si="275"/>
        <v>0</v>
      </c>
      <c r="O5122" s="47">
        <f>0.03*M5122</f>
        <v>0</v>
      </c>
      <c r="P5122" s="43">
        <f>0.00019*M5122</f>
        <v>0</v>
      </c>
      <c r="Q5122" s="50"/>
      <c r="R5122" s="36" t="s">
        <v>18183</v>
      </c>
      <c r="S5122" s="36" t="s">
        <v>435</v>
      </c>
      <c r="T5122" s="35" t="str">
        <f>HYPERLINK("https://miland.ru/api/getInfo/image/bc8ff8a0-1a2f-11e9-a21c-ac1f6b442184")</f>
        <v>https://miland.ru/api/getInfo/image/bc8ff8a0-1a2f-11e9-a21c-ac1f6b442184</v>
      </c>
      <c r="U5122" s="35"/>
      <c r="V5122" s="35" t="s">
        <v>11948</v>
      </c>
      <c r="W5122" s="35" t="s">
        <v>1630</v>
      </c>
      <c r="X5122" s="35"/>
      <c r="Y5122" s="35" t="s">
        <v>697</v>
      </c>
      <c r="Z5122" s="35"/>
      <c r="AA5122" s="35" t="str">
        <f>HYPERLINK("https://miland.ru/api/getInfo/item/bc8ff8a0-1a2f-11e9-a21c-ac1f6b442184")</f>
        <v>https://miland.ru/api/getInfo/item/bc8ff8a0-1a2f-11e9-a21c-ac1f6b442184</v>
      </c>
      <c r="AB5122" s="35" t="s">
        <v>42</v>
      </c>
      <c r="AC5122" s="35" t="s">
        <v>17613</v>
      </c>
      <c r="AD5122" s="35"/>
      <c r="AE5122" s="52" t="s">
        <v>1251</v>
      </c>
    </row>
    <row r="5123" spans="2:31" s="1" customFormat="1" ht="96.3" customHeight="1" outlineLevel="4">
      <c r="B5123" s="59">
        <v>4161</v>
      </c>
      <c r="C5123" s="35" t="s">
        <v>18184</v>
      </c>
      <c r="D5123" s="73" t="s">
        <v>18185</v>
      </c>
      <c r="E5123" s="73"/>
      <c r="F5123" s="73"/>
      <c r="G5123" s="73"/>
      <c r="H5123" s="36" t="s">
        <v>18186</v>
      </c>
      <c r="I5123" s="56" t="s">
        <v>36</v>
      </c>
      <c r="J5123" s="36"/>
      <c r="K5123" s="34">
        <v>12</v>
      </c>
      <c r="L5123" s="41">
        <v>29.680000000000003</v>
      </c>
      <c r="M5123" s="11"/>
      <c r="N5123" s="36">
        <f t="shared" si="275"/>
        <v>0</v>
      </c>
      <c r="O5123" s="47">
        <f t="shared" ref="O5123:O5132" si="276">0.01*M5123</f>
        <v>0</v>
      </c>
      <c r="P5123" s="55">
        <f t="shared" ref="P5123:P5132" si="277">0.0001*M5123</f>
        <v>0</v>
      </c>
      <c r="Q5123" s="50"/>
      <c r="R5123" s="36" t="s">
        <v>18187</v>
      </c>
      <c r="S5123" s="36" t="s">
        <v>435</v>
      </c>
      <c r="T5123" s="35" t="str">
        <f>HYPERLINK("https://miland.ru/api/getInfo/image/391ffd1f-19b9-11e9-a21c-ac1f6b442184")</f>
        <v>https://miland.ru/api/getInfo/image/391ffd1f-19b9-11e9-a21c-ac1f6b442184</v>
      </c>
      <c r="U5123" s="35"/>
      <c r="V5123" s="35" t="s">
        <v>11948</v>
      </c>
      <c r="W5123" s="35" t="s">
        <v>1630</v>
      </c>
      <c r="X5123" s="35"/>
      <c r="Y5123" s="35" t="s">
        <v>697</v>
      </c>
      <c r="Z5123" s="35"/>
      <c r="AA5123" s="35" t="str">
        <f>HYPERLINK("https://miland.ru/api/getInfo/item/391ffd1f-19b9-11e9-a21c-ac1f6b442184")</f>
        <v>https://miland.ru/api/getInfo/item/391ffd1f-19b9-11e9-a21c-ac1f6b442184</v>
      </c>
      <c r="AB5123" s="35" t="s">
        <v>42</v>
      </c>
      <c r="AC5123" s="35" t="s">
        <v>17654</v>
      </c>
      <c r="AD5123" s="35"/>
      <c r="AE5123" s="52" t="s">
        <v>1251</v>
      </c>
    </row>
    <row r="5124" spans="2:31" s="1" customFormat="1" ht="96.3" customHeight="1" outlineLevel="4">
      <c r="B5124" s="59">
        <v>4162</v>
      </c>
      <c r="C5124" s="35" t="s">
        <v>18188</v>
      </c>
      <c r="D5124" s="73" t="s">
        <v>18189</v>
      </c>
      <c r="E5124" s="73"/>
      <c r="F5124" s="73"/>
      <c r="G5124" s="73"/>
      <c r="H5124" s="36" t="s">
        <v>18190</v>
      </c>
      <c r="I5124" s="56" t="s">
        <v>36</v>
      </c>
      <c r="J5124" s="36"/>
      <c r="K5124" s="34">
        <v>12</v>
      </c>
      <c r="L5124" s="41">
        <v>29.680000000000003</v>
      </c>
      <c r="M5124" s="11"/>
      <c r="N5124" s="36">
        <f t="shared" si="275"/>
        <v>0</v>
      </c>
      <c r="O5124" s="47">
        <f t="shared" si="276"/>
        <v>0</v>
      </c>
      <c r="P5124" s="55">
        <f t="shared" si="277"/>
        <v>0</v>
      </c>
      <c r="Q5124" s="50"/>
      <c r="R5124" s="36" t="s">
        <v>18191</v>
      </c>
      <c r="S5124" s="36" t="s">
        <v>435</v>
      </c>
      <c r="T5124" s="35" t="str">
        <f>HYPERLINK("https://miland.ru/api/getInfo/image/57e10bd0-19b9-11e9-a21c-ac1f6b442184")</f>
        <v>https://miland.ru/api/getInfo/image/57e10bd0-19b9-11e9-a21c-ac1f6b442184</v>
      </c>
      <c r="U5124" s="35"/>
      <c r="V5124" s="35" t="s">
        <v>11948</v>
      </c>
      <c r="W5124" s="35" t="s">
        <v>1630</v>
      </c>
      <c r="X5124" s="35"/>
      <c r="Y5124" s="35" t="s">
        <v>697</v>
      </c>
      <c r="Z5124" s="35"/>
      <c r="AA5124" s="35" t="str">
        <f>HYPERLINK("https://miland.ru/api/getInfo/item/57e10bd0-19b9-11e9-a21c-ac1f6b442184")</f>
        <v>https://miland.ru/api/getInfo/item/57e10bd0-19b9-11e9-a21c-ac1f6b442184</v>
      </c>
      <c r="AB5124" s="35" t="s">
        <v>42</v>
      </c>
      <c r="AC5124" s="35" t="s">
        <v>17654</v>
      </c>
      <c r="AD5124" s="35"/>
      <c r="AE5124" s="52" t="s">
        <v>1251</v>
      </c>
    </row>
    <row r="5125" spans="2:31" s="1" customFormat="1" ht="96.3" customHeight="1" outlineLevel="4">
      <c r="B5125" s="59">
        <v>4163</v>
      </c>
      <c r="C5125" s="35" t="s">
        <v>18192</v>
      </c>
      <c r="D5125" s="73" t="s">
        <v>18193</v>
      </c>
      <c r="E5125" s="73"/>
      <c r="F5125" s="73"/>
      <c r="G5125" s="73"/>
      <c r="H5125" s="36" t="s">
        <v>18194</v>
      </c>
      <c r="I5125" s="56" t="s">
        <v>36</v>
      </c>
      <c r="J5125" s="36"/>
      <c r="K5125" s="34">
        <v>12</v>
      </c>
      <c r="L5125" s="41">
        <v>29.680000000000003</v>
      </c>
      <c r="M5125" s="11"/>
      <c r="N5125" s="36">
        <f t="shared" si="275"/>
        <v>0</v>
      </c>
      <c r="O5125" s="47">
        <f t="shared" si="276"/>
        <v>0</v>
      </c>
      <c r="P5125" s="55">
        <f t="shared" si="277"/>
        <v>0</v>
      </c>
      <c r="Q5125" s="50"/>
      <c r="R5125" s="36" t="s">
        <v>18195</v>
      </c>
      <c r="S5125" s="36" t="s">
        <v>435</v>
      </c>
      <c r="T5125" s="35" t="str">
        <f>HYPERLINK("https://miland.ru/api/getInfo/image/6f12cc4c-19b9-11e9-a21c-ac1f6b442184")</f>
        <v>https://miland.ru/api/getInfo/image/6f12cc4c-19b9-11e9-a21c-ac1f6b442184</v>
      </c>
      <c r="U5125" s="35"/>
      <c r="V5125" s="35" t="s">
        <v>11948</v>
      </c>
      <c r="W5125" s="35" t="s">
        <v>1630</v>
      </c>
      <c r="X5125" s="35"/>
      <c r="Y5125" s="35" t="s">
        <v>697</v>
      </c>
      <c r="Z5125" s="35"/>
      <c r="AA5125" s="35" t="str">
        <f>HYPERLINK("https://miland.ru/api/getInfo/item/6f12cc4c-19b9-11e9-a21c-ac1f6b442184")</f>
        <v>https://miland.ru/api/getInfo/item/6f12cc4c-19b9-11e9-a21c-ac1f6b442184</v>
      </c>
      <c r="AB5125" s="35" t="s">
        <v>42</v>
      </c>
      <c r="AC5125" s="35" t="s">
        <v>17654</v>
      </c>
      <c r="AD5125" s="35"/>
      <c r="AE5125" s="52" t="s">
        <v>1251</v>
      </c>
    </row>
    <row r="5126" spans="2:31" s="1" customFormat="1" ht="96.3" customHeight="1" outlineLevel="4">
      <c r="B5126" s="59">
        <v>4164</v>
      </c>
      <c r="C5126" s="35" t="s">
        <v>18196</v>
      </c>
      <c r="D5126" s="73" t="s">
        <v>18197</v>
      </c>
      <c r="E5126" s="73"/>
      <c r="F5126" s="73"/>
      <c r="G5126" s="73"/>
      <c r="H5126" s="36" t="s">
        <v>18198</v>
      </c>
      <c r="I5126" s="56" t="s">
        <v>36</v>
      </c>
      <c r="J5126" s="36"/>
      <c r="K5126" s="34">
        <v>12</v>
      </c>
      <c r="L5126" s="41">
        <v>29.680000000000003</v>
      </c>
      <c r="M5126" s="11"/>
      <c r="N5126" s="36">
        <f t="shared" si="275"/>
        <v>0</v>
      </c>
      <c r="O5126" s="47">
        <f t="shared" si="276"/>
        <v>0</v>
      </c>
      <c r="P5126" s="55">
        <f t="shared" si="277"/>
        <v>0</v>
      </c>
      <c r="Q5126" s="50"/>
      <c r="R5126" s="36" t="s">
        <v>18199</v>
      </c>
      <c r="S5126" s="36" t="s">
        <v>435</v>
      </c>
      <c r="T5126" s="35" t="str">
        <f>HYPERLINK("https://miland.ru/api/getInfo/image/8eab6a52-19b9-11e9-a21c-ac1f6b442184")</f>
        <v>https://miland.ru/api/getInfo/image/8eab6a52-19b9-11e9-a21c-ac1f6b442184</v>
      </c>
      <c r="U5126" s="35"/>
      <c r="V5126" s="35" t="s">
        <v>11948</v>
      </c>
      <c r="W5126" s="35" t="s">
        <v>1630</v>
      </c>
      <c r="X5126" s="35"/>
      <c r="Y5126" s="35" t="s">
        <v>697</v>
      </c>
      <c r="Z5126" s="35"/>
      <c r="AA5126" s="35" t="str">
        <f>HYPERLINK("https://miland.ru/api/getInfo/item/8eab6a52-19b9-11e9-a21c-ac1f6b442184")</f>
        <v>https://miland.ru/api/getInfo/item/8eab6a52-19b9-11e9-a21c-ac1f6b442184</v>
      </c>
      <c r="AB5126" s="35" t="s">
        <v>42</v>
      </c>
      <c r="AC5126" s="35" t="s">
        <v>17654</v>
      </c>
      <c r="AD5126" s="35"/>
      <c r="AE5126" s="52" t="s">
        <v>1251</v>
      </c>
    </row>
    <row r="5127" spans="2:31" s="1" customFormat="1" ht="96.3" customHeight="1" outlineLevel="4">
      <c r="B5127" s="59">
        <v>4165</v>
      </c>
      <c r="C5127" s="35" t="s">
        <v>18200</v>
      </c>
      <c r="D5127" s="73" t="s">
        <v>18201</v>
      </c>
      <c r="E5127" s="73"/>
      <c r="F5127" s="73"/>
      <c r="G5127" s="73"/>
      <c r="H5127" s="36" t="s">
        <v>18202</v>
      </c>
      <c r="I5127" s="56" t="s">
        <v>36</v>
      </c>
      <c r="J5127" s="36"/>
      <c r="K5127" s="34">
        <v>12</v>
      </c>
      <c r="L5127" s="41">
        <v>29.680000000000003</v>
      </c>
      <c r="M5127" s="11"/>
      <c r="N5127" s="36">
        <f t="shared" si="275"/>
        <v>0</v>
      </c>
      <c r="O5127" s="47">
        <f t="shared" si="276"/>
        <v>0</v>
      </c>
      <c r="P5127" s="55">
        <f t="shared" si="277"/>
        <v>0</v>
      </c>
      <c r="Q5127" s="50"/>
      <c r="R5127" s="36" t="s">
        <v>18203</v>
      </c>
      <c r="S5127" s="36" t="s">
        <v>435</v>
      </c>
      <c r="T5127" s="35" t="str">
        <f>HYPERLINK("https://miland.ru/api/getInfo/image/adc8decc-19b9-11e9-a21c-ac1f6b442184")</f>
        <v>https://miland.ru/api/getInfo/image/adc8decc-19b9-11e9-a21c-ac1f6b442184</v>
      </c>
      <c r="U5127" s="35"/>
      <c r="V5127" s="35" t="s">
        <v>11948</v>
      </c>
      <c r="W5127" s="35" t="s">
        <v>1630</v>
      </c>
      <c r="X5127" s="35"/>
      <c r="Y5127" s="35" t="s">
        <v>697</v>
      </c>
      <c r="Z5127" s="35"/>
      <c r="AA5127" s="35" t="str">
        <f>HYPERLINK("https://miland.ru/api/getInfo/item/adc8decc-19b9-11e9-a21c-ac1f6b442184")</f>
        <v>https://miland.ru/api/getInfo/item/adc8decc-19b9-11e9-a21c-ac1f6b442184</v>
      </c>
      <c r="AB5127" s="35" t="s">
        <v>42</v>
      </c>
      <c r="AC5127" s="35" t="s">
        <v>17654</v>
      </c>
      <c r="AD5127" s="35"/>
      <c r="AE5127" s="52" t="s">
        <v>1251</v>
      </c>
    </row>
    <row r="5128" spans="2:31" s="1" customFormat="1" ht="96.3" customHeight="1" outlineLevel="4">
      <c r="B5128" s="59">
        <v>4166</v>
      </c>
      <c r="C5128" s="35" t="s">
        <v>18204</v>
      </c>
      <c r="D5128" s="73" t="s">
        <v>18205</v>
      </c>
      <c r="E5128" s="73"/>
      <c r="F5128" s="73"/>
      <c r="G5128" s="73"/>
      <c r="H5128" s="36" t="s">
        <v>18206</v>
      </c>
      <c r="I5128" s="56" t="s">
        <v>36</v>
      </c>
      <c r="J5128" s="36"/>
      <c r="K5128" s="34">
        <v>12</v>
      </c>
      <c r="L5128" s="41">
        <v>29.680000000000003</v>
      </c>
      <c r="M5128" s="11"/>
      <c r="N5128" s="36">
        <f t="shared" si="275"/>
        <v>0</v>
      </c>
      <c r="O5128" s="47">
        <f t="shared" si="276"/>
        <v>0</v>
      </c>
      <c r="P5128" s="55">
        <f t="shared" si="277"/>
        <v>0</v>
      </c>
      <c r="Q5128" s="50"/>
      <c r="R5128" s="36" t="s">
        <v>18207</v>
      </c>
      <c r="S5128" s="36" t="s">
        <v>435</v>
      </c>
      <c r="T5128" s="35" t="str">
        <f>HYPERLINK("https://miland.ru/api/getInfo/image/ca239cb9-19b9-11e9-a21c-ac1f6b442184")</f>
        <v>https://miland.ru/api/getInfo/image/ca239cb9-19b9-11e9-a21c-ac1f6b442184</v>
      </c>
      <c r="U5128" s="35"/>
      <c r="V5128" s="35" t="s">
        <v>11948</v>
      </c>
      <c r="W5128" s="35" t="s">
        <v>1630</v>
      </c>
      <c r="X5128" s="35"/>
      <c r="Y5128" s="35" t="s">
        <v>697</v>
      </c>
      <c r="Z5128" s="35"/>
      <c r="AA5128" s="35" t="str">
        <f>HYPERLINK("https://miland.ru/api/getInfo/item/ca239cb9-19b9-11e9-a21c-ac1f6b442184")</f>
        <v>https://miland.ru/api/getInfo/item/ca239cb9-19b9-11e9-a21c-ac1f6b442184</v>
      </c>
      <c r="AB5128" s="35" t="s">
        <v>42</v>
      </c>
      <c r="AC5128" s="35" t="s">
        <v>17654</v>
      </c>
      <c r="AD5128" s="35"/>
      <c r="AE5128" s="52" t="s">
        <v>1251</v>
      </c>
    </row>
    <row r="5129" spans="2:31" s="1" customFormat="1" ht="96.3" customHeight="1" outlineLevel="4">
      <c r="B5129" s="59">
        <v>4167</v>
      </c>
      <c r="C5129" s="35" t="s">
        <v>18208</v>
      </c>
      <c r="D5129" s="73" t="s">
        <v>18209</v>
      </c>
      <c r="E5129" s="73"/>
      <c r="F5129" s="73"/>
      <c r="G5129" s="73"/>
      <c r="H5129" s="36" t="s">
        <v>18210</v>
      </c>
      <c r="I5129" s="56" t="s">
        <v>36</v>
      </c>
      <c r="J5129" s="36"/>
      <c r="K5129" s="34">
        <v>12</v>
      </c>
      <c r="L5129" s="41">
        <v>29.680000000000003</v>
      </c>
      <c r="M5129" s="11"/>
      <c r="N5129" s="36">
        <f t="shared" si="275"/>
        <v>0</v>
      </c>
      <c r="O5129" s="47">
        <f t="shared" si="276"/>
        <v>0</v>
      </c>
      <c r="P5129" s="55">
        <f t="shared" si="277"/>
        <v>0</v>
      </c>
      <c r="Q5129" s="50"/>
      <c r="R5129" s="36" t="s">
        <v>18211</v>
      </c>
      <c r="S5129" s="36" t="s">
        <v>435</v>
      </c>
      <c r="T5129" s="35" t="str">
        <f>HYPERLINK("https://miland.ru/api/getInfo/image/e1915772-19b9-11e9-a21c-ac1f6b442184")</f>
        <v>https://miland.ru/api/getInfo/image/e1915772-19b9-11e9-a21c-ac1f6b442184</v>
      </c>
      <c r="U5129" s="35"/>
      <c r="V5129" s="35" t="s">
        <v>11948</v>
      </c>
      <c r="W5129" s="35" t="s">
        <v>1630</v>
      </c>
      <c r="X5129" s="35"/>
      <c r="Y5129" s="35" t="s">
        <v>697</v>
      </c>
      <c r="Z5129" s="35"/>
      <c r="AA5129" s="35" t="str">
        <f>HYPERLINK("https://miland.ru/api/getInfo/item/e1915772-19b9-11e9-a21c-ac1f6b442184")</f>
        <v>https://miland.ru/api/getInfo/item/e1915772-19b9-11e9-a21c-ac1f6b442184</v>
      </c>
      <c r="AB5129" s="35" t="s">
        <v>42</v>
      </c>
      <c r="AC5129" s="35" t="s">
        <v>17654</v>
      </c>
      <c r="AD5129" s="35"/>
      <c r="AE5129" s="52" t="s">
        <v>1251</v>
      </c>
    </row>
    <row r="5130" spans="2:31" s="1" customFormat="1" ht="96.3" customHeight="1" outlineLevel="4">
      <c r="B5130" s="59">
        <v>4168</v>
      </c>
      <c r="C5130" s="35" t="s">
        <v>18212</v>
      </c>
      <c r="D5130" s="73" t="s">
        <v>18213</v>
      </c>
      <c r="E5130" s="73"/>
      <c r="F5130" s="73"/>
      <c r="G5130" s="73"/>
      <c r="H5130" s="36" t="s">
        <v>18214</v>
      </c>
      <c r="I5130" s="56" t="s">
        <v>36</v>
      </c>
      <c r="J5130" s="36"/>
      <c r="K5130" s="34">
        <v>12</v>
      </c>
      <c r="L5130" s="41">
        <v>29.680000000000003</v>
      </c>
      <c r="M5130" s="11"/>
      <c r="N5130" s="36">
        <f t="shared" si="275"/>
        <v>0</v>
      </c>
      <c r="O5130" s="47">
        <f t="shared" si="276"/>
        <v>0</v>
      </c>
      <c r="P5130" s="55">
        <f t="shared" si="277"/>
        <v>0</v>
      </c>
      <c r="Q5130" s="50"/>
      <c r="R5130" s="36" t="s">
        <v>18215</v>
      </c>
      <c r="S5130" s="36" t="s">
        <v>435</v>
      </c>
      <c r="T5130" s="35" t="str">
        <f>HYPERLINK("https://miland.ru/api/getInfo/image/0406cbad-19ba-11e9-a21c-ac1f6b442184")</f>
        <v>https://miland.ru/api/getInfo/image/0406cbad-19ba-11e9-a21c-ac1f6b442184</v>
      </c>
      <c r="U5130" s="35"/>
      <c r="V5130" s="35" t="s">
        <v>11948</v>
      </c>
      <c r="W5130" s="35" t="s">
        <v>1630</v>
      </c>
      <c r="X5130" s="35"/>
      <c r="Y5130" s="35" t="s">
        <v>697</v>
      </c>
      <c r="Z5130" s="35"/>
      <c r="AA5130" s="35" t="str">
        <f>HYPERLINK("https://miland.ru/api/getInfo/item/0406cbad-19ba-11e9-a21c-ac1f6b442184")</f>
        <v>https://miland.ru/api/getInfo/item/0406cbad-19ba-11e9-a21c-ac1f6b442184</v>
      </c>
      <c r="AB5130" s="35" t="s">
        <v>42</v>
      </c>
      <c r="AC5130" s="35" t="s">
        <v>17654</v>
      </c>
      <c r="AD5130" s="35"/>
      <c r="AE5130" s="52" t="s">
        <v>1251</v>
      </c>
    </row>
    <row r="5131" spans="2:31" s="1" customFormat="1" ht="96.3" customHeight="1" outlineLevel="4">
      <c r="B5131" s="59">
        <v>4169</v>
      </c>
      <c r="C5131" s="35" t="s">
        <v>18216</v>
      </c>
      <c r="D5131" s="73" t="s">
        <v>18217</v>
      </c>
      <c r="E5131" s="73"/>
      <c r="F5131" s="73"/>
      <c r="G5131" s="73"/>
      <c r="H5131" s="36" t="s">
        <v>18218</v>
      </c>
      <c r="I5131" s="56" t="s">
        <v>36</v>
      </c>
      <c r="J5131" s="36"/>
      <c r="K5131" s="34">
        <v>12</v>
      </c>
      <c r="L5131" s="41">
        <v>29.680000000000003</v>
      </c>
      <c r="M5131" s="11"/>
      <c r="N5131" s="36">
        <f t="shared" si="275"/>
        <v>0</v>
      </c>
      <c r="O5131" s="47">
        <f t="shared" si="276"/>
        <v>0</v>
      </c>
      <c r="P5131" s="55">
        <f t="shared" si="277"/>
        <v>0</v>
      </c>
      <c r="Q5131" s="50"/>
      <c r="R5131" s="36" t="s">
        <v>18219</v>
      </c>
      <c r="S5131" s="36" t="s">
        <v>435</v>
      </c>
      <c r="T5131" s="35" t="str">
        <f>HYPERLINK("https://miland.ru/api/getInfo/image/2318e683-19ba-11e9-a21c-ac1f6b442184")</f>
        <v>https://miland.ru/api/getInfo/image/2318e683-19ba-11e9-a21c-ac1f6b442184</v>
      </c>
      <c r="U5131" s="35"/>
      <c r="V5131" s="35" t="s">
        <v>11948</v>
      </c>
      <c r="W5131" s="35" t="s">
        <v>1630</v>
      </c>
      <c r="X5131" s="35"/>
      <c r="Y5131" s="35" t="s">
        <v>697</v>
      </c>
      <c r="Z5131" s="35"/>
      <c r="AA5131" s="35" t="str">
        <f>HYPERLINK("https://miland.ru/api/getInfo/item/2318e683-19ba-11e9-a21c-ac1f6b442184")</f>
        <v>https://miland.ru/api/getInfo/item/2318e683-19ba-11e9-a21c-ac1f6b442184</v>
      </c>
      <c r="AB5131" s="35" t="s">
        <v>42</v>
      </c>
      <c r="AC5131" s="35" t="s">
        <v>17654</v>
      </c>
      <c r="AD5131" s="35"/>
      <c r="AE5131" s="52" t="s">
        <v>1251</v>
      </c>
    </row>
    <row r="5132" spans="2:31" s="1" customFormat="1" ht="96.3" customHeight="1" outlineLevel="4">
      <c r="B5132" s="59">
        <v>4170</v>
      </c>
      <c r="C5132" s="35" t="s">
        <v>18220</v>
      </c>
      <c r="D5132" s="73" t="s">
        <v>18221</v>
      </c>
      <c r="E5132" s="73"/>
      <c r="F5132" s="73"/>
      <c r="G5132" s="73"/>
      <c r="H5132" s="36" t="s">
        <v>18222</v>
      </c>
      <c r="I5132" s="56" t="s">
        <v>36</v>
      </c>
      <c r="J5132" s="36"/>
      <c r="K5132" s="34">
        <v>12</v>
      </c>
      <c r="L5132" s="41">
        <v>29.680000000000003</v>
      </c>
      <c r="M5132" s="11"/>
      <c r="N5132" s="36">
        <f t="shared" si="275"/>
        <v>0</v>
      </c>
      <c r="O5132" s="47">
        <f t="shared" si="276"/>
        <v>0</v>
      </c>
      <c r="P5132" s="55">
        <f t="shared" si="277"/>
        <v>0</v>
      </c>
      <c r="Q5132" s="50"/>
      <c r="R5132" s="36" t="s">
        <v>18223</v>
      </c>
      <c r="S5132" s="36" t="s">
        <v>435</v>
      </c>
      <c r="T5132" s="35" t="str">
        <f>HYPERLINK("https://miland.ru/api/getInfo/image/4221d18b-19ba-11e9-a21c-ac1f6b442184")</f>
        <v>https://miland.ru/api/getInfo/image/4221d18b-19ba-11e9-a21c-ac1f6b442184</v>
      </c>
      <c r="U5132" s="35"/>
      <c r="V5132" s="35" t="s">
        <v>11948</v>
      </c>
      <c r="W5132" s="35" t="s">
        <v>1630</v>
      </c>
      <c r="X5132" s="35"/>
      <c r="Y5132" s="35" t="s">
        <v>697</v>
      </c>
      <c r="Z5132" s="35"/>
      <c r="AA5132" s="35" t="str">
        <f>HYPERLINK("https://miland.ru/api/getInfo/item/4221d18b-19ba-11e9-a21c-ac1f6b442184")</f>
        <v>https://miland.ru/api/getInfo/item/4221d18b-19ba-11e9-a21c-ac1f6b442184</v>
      </c>
      <c r="AB5132" s="35" t="s">
        <v>42</v>
      </c>
      <c r="AC5132" s="35" t="s">
        <v>17654</v>
      </c>
      <c r="AD5132" s="35"/>
      <c r="AE5132" s="52" t="s">
        <v>1251</v>
      </c>
    </row>
    <row r="5133" spans="2:31" s="1" customFormat="1" ht="96.3" customHeight="1" outlineLevel="4">
      <c r="B5133" s="59">
        <v>4171</v>
      </c>
      <c r="C5133" s="35" t="s">
        <v>18224</v>
      </c>
      <c r="D5133" s="73" t="s">
        <v>18225</v>
      </c>
      <c r="E5133" s="73"/>
      <c r="F5133" s="73"/>
      <c r="G5133" s="73"/>
      <c r="H5133" s="36" t="s">
        <v>18226</v>
      </c>
      <c r="I5133" s="40">
        <v>458</v>
      </c>
      <c r="J5133" s="36"/>
      <c r="K5133" s="34">
        <v>12</v>
      </c>
      <c r="L5133" s="41">
        <v>15.693333333333333</v>
      </c>
      <c r="M5133" s="11"/>
      <c r="N5133" s="36">
        <f t="shared" si="275"/>
        <v>0</v>
      </c>
      <c r="O5133" s="42">
        <f>0.026*M5133</f>
        <v>0</v>
      </c>
      <c r="P5133" s="43">
        <f>0.00011*M5133</f>
        <v>0</v>
      </c>
      <c r="Q5133" s="50"/>
      <c r="R5133" s="36" t="s">
        <v>18227</v>
      </c>
      <c r="S5133" s="36" t="s">
        <v>435</v>
      </c>
      <c r="T5133" s="35" t="str">
        <f>HYPERLINK("https://miland.ru/api/getInfo/image/627cf3ab-1b57-11ea-a237-ac1f6b442184")</f>
        <v>https://miland.ru/api/getInfo/image/627cf3ab-1b57-11ea-a237-ac1f6b442184</v>
      </c>
      <c r="U5133" s="35"/>
      <c r="V5133" s="35" t="s">
        <v>11948</v>
      </c>
      <c r="W5133" s="35" t="s">
        <v>1630</v>
      </c>
      <c r="X5133" s="35"/>
      <c r="Y5133" s="35" t="s">
        <v>697</v>
      </c>
      <c r="Z5133" s="35"/>
      <c r="AA5133" s="35" t="str">
        <f>HYPERLINK("https://miland.ru/api/getInfo/item/627cf3ab-1b57-11ea-a237-ac1f6b442184")</f>
        <v>https://miland.ru/api/getInfo/item/627cf3ab-1b57-11ea-a237-ac1f6b442184</v>
      </c>
      <c r="AB5133" s="35" t="s">
        <v>42</v>
      </c>
      <c r="AC5133" s="35" t="s">
        <v>4205</v>
      </c>
      <c r="AD5133" s="35"/>
      <c r="AE5133" s="52" t="s">
        <v>1251</v>
      </c>
    </row>
    <row r="5134" spans="2:31" s="1" customFormat="1" ht="96.3" customHeight="1" outlineLevel="4">
      <c r="B5134" s="60">
        <v>4172</v>
      </c>
      <c r="C5134" s="38" t="s">
        <v>18228</v>
      </c>
      <c r="D5134" s="74" t="s">
        <v>18229</v>
      </c>
      <c r="E5134" s="74"/>
      <c r="F5134" s="74"/>
      <c r="G5134" s="74"/>
      <c r="H5134" s="39" t="s">
        <v>18230</v>
      </c>
      <c r="I5134" s="44">
        <v>11</v>
      </c>
      <c r="J5134" s="39"/>
      <c r="K5134" s="37">
        <v>11</v>
      </c>
      <c r="L5134" s="41">
        <v>11.213333333333333</v>
      </c>
      <c r="M5134" s="11"/>
      <c r="N5134" s="39">
        <f t="shared" si="275"/>
        <v>0</v>
      </c>
      <c r="O5134" s="48">
        <f>0.026*M5134</f>
        <v>0</v>
      </c>
      <c r="P5134" s="46">
        <f>0.00011*M5134</f>
        <v>0</v>
      </c>
      <c r="Q5134" s="51"/>
      <c r="R5134" s="39" t="s">
        <v>18231</v>
      </c>
      <c r="S5134" s="39" t="s">
        <v>435</v>
      </c>
      <c r="T5134" s="38" t="str">
        <f>HYPERLINK("https://miland.ru/api/getInfo/image/dd8e8a36-1b58-11ea-a237-ac1f6b442184")</f>
        <v>https://miland.ru/api/getInfo/image/dd8e8a36-1b58-11ea-a237-ac1f6b442184</v>
      </c>
      <c r="U5134" s="38"/>
      <c r="V5134" s="38" t="s">
        <v>11948</v>
      </c>
      <c r="W5134" s="38" t="s">
        <v>1630</v>
      </c>
      <c r="X5134" s="38"/>
      <c r="Y5134" s="38" t="s">
        <v>697</v>
      </c>
      <c r="Z5134" s="38"/>
      <c r="AA5134" s="38" t="str">
        <f>HYPERLINK("https://miland.ru/api/getInfo/item/dd8e8a36-1b58-11ea-a237-ac1f6b442184")</f>
        <v>https://miland.ru/api/getInfo/item/dd8e8a36-1b58-11ea-a237-ac1f6b442184</v>
      </c>
      <c r="AB5134" s="38" t="s">
        <v>42</v>
      </c>
      <c r="AC5134" s="38" t="s">
        <v>4205</v>
      </c>
      <c r="AD5134" s="38"/>
      <c r="AE5134" s="53" t="s">
        <v>1306</v>
      </c>
    </row>
    <row r="5135" spans="2:31" s="1" customFormat="1" ht="96.3" customHeight="1" outlineLevel="4">
      <c r="B5135" s="59">
        <v>4173</v>
      </c>
      <c r="C5135" s="35" t="s">
        <v>18232</v>
      </c>
      <c r="D5135" s="73" t="s">
        <v>18233</v>
      </c>
      <c r="E5135" s="73"/>
      <c r="F5135" s="73"/>
      <c r="G5135" s="73"/>
      <c r="H5135" s="36" t="s">
        <v>18234</v>
      </c>
      <c r="I5135" s="56" t="s">
        <v>36</v>
      </c>
      <c r="J5135" s="36"/>
      <c r="K5135" s="34">
        <v>4</v>
      </c>
      <c r="L5135" s="41">
        <v>37.24</v>
      </c>
      <c r="M5135" s="11"/>
      <c r="N5135" s="36">
        <f t="shared" si="275"/>
        <v>0</v>
      </c>
      <c r="O5135" s="47">
        <f>0.03*M5135</f>
        <v>0</v>
      </c>
      <c r="P5135" s="43">
        <f>0.00019*M5135</f>
        <v>0</v>
      </c>
      <c r="Q5135" s="50"/>
      <c r="R5135" s="36" t="s">
        <v>18235</v>
      </c>
      <c r="S5135" s="36" t="s">
        <v>435</v>
      </c>
      <c r="T5135" s="35" t="str">
        <f>HYPERLINK("https://miland.ru/api/getInfo/image/df199fb0-1a2d-11e9-a21c-ac1f6b442184")</f>
        <v>https://miland.ru/api/getInfo/image/df199fb0-1a2d-11e9-a21c-ac1f6b442184</v>
      </c>
      <c r="U5135" s="35"/>
      <c r="V5135" s="35" t="s">
        <v>11948</v>
      </c>
      <c r="W5135" s="35" t="s">
        <v>1630</v>
      </c>
      <c r="X5135" s="35"/>
      <c r="Y5135" s="35" t="s">
        <v>697</v>
      </c>
      <c r="Z5135" s="35"/>
      <c r="AA5135" s="35" t="str">
        <f>HYPERLINK("https://miland.ru/api/getInfo/item/df199fb0-1a2d-11e9-a21c-ac1f6b442184")</f>
        <v>https://miland.ru/api/getInfo/item/df199fb0-1a2d-11e9-a21c-ac1f6b442184</v>
      </c>
      <c r="AB5135" s="35" t="s">
        <v>42</v>
      </c>
      <c r="AC5135" s="35" t="s">
        <v>17735</v>
      </c>
      <c r="AD5135" s="35"/>
      <c r="AE5135" s="52" t="s">
        <v>1251</v>
      </c>
    </row>
    <row r="5136" spans="2:31" s="1" customFormat="1" ht="96.3" customHeight="1" outlineLevel="4">
      <c r="B5136" s="59">
        <v>4174</v>
      </c>
      <c r="C5136" s="35" t="s">
        <v>18236</v>
      </c>
      <c r="D5136" s="73" t="s">
        <v>18237</v>
      </c>
      <c r="E5136" s="73"/>
      <c r="F5136" s="73"/>
      <c r="G5136" s="73"/>
      <c r="H5136" s="36" t="s">
        <v>18238</v>
      </c>
      <c r="I5136" s="56" t="s">
        <v>36</v>
      </c>
      <c r="J5136" s="36"/>
      <c r="K5136" s="34">
        <v>4</v>
      </c>
      <c r="L5136" s="41">
        <v>37.24</v>
      </c>
      <c r="M5136" s="11"/>
      <c r="N5136" s="36">
        <f t="shared" si="275"/>
        <v>0</v>
      </c>
      <c r="O5136" s="42">
        <f>0.038*M5136</f>
        <v>0</v>
      </c>
      <c r="P5136" s="43">
        <f>0.00025*M5136</f>
        <v>0</v>
      </c>
      <c r="Q5136" s="50"/>
      <c r="R5136" s="36" t="s">
        <v>18239</v>
      </c>
      <c r="S5136" s="36" t="s">
        <v>435</v>
      </c>
      <c r="T5136" s="35" t="str">
        <f>HYPERLINK("https://miland.ru/api/getInfo/image/f6ecf204-1a2d-11e9-a21c-ac1f6b442184")</f>
        <v>https://miland.ru/api/getInfo/image/f6ecf204-1a2d-11e9-a21c-ac1f6b442184</v>
      </c>
      <c r="U5136" s="35"/>
      <c r="V5136" s="35" t="s">
        <v>11948</v>
      </c>
      <c r="W5136" s="35" t="s">
        <v>1630</v>
      </c>
      <c r="X5136" s="35"/>
      <c r="Y5136" s="35" t="s">
        <v>697</v>
      </c>
      <c r="Z5136" s="35"/>
      <c r="AA5136" s="35" t="str">
        <f>HYPERLINK("https://miland.ru/api/getInfo/item/f6ecf204-1a2d-11e9-a21c-ac1f6b442184")</f>
        <v>https://miland.ru/api/getInfo/item/f6ecf204-1a2d-11e9-a21c-ac1f6b442184</v>
      </c>
      <c r="AB5136" s="35" t="s">
        <v>42</v>
      </c>
      <c r="AC5136" s="35" t="s">
        <v>17735</v>
      </c>
      <c r="AD5136" s="35"/>
      <c r="AE5136" s="52" t="s">
        <v>1251</v>
      </c>
    </row>
    <row r="5137" spans="2:31" s="1" customFormat="1" ht="96.3" customHeight="1" outlineLevel="4">
      <c r="B5137" s="59">
        <v>4175</v>
      </c>
      <c r="C5137" s="35" t="s">
        <v>18240</v>
      </c>
      <c r="D5137" s="73" t="s">
        <v>18241</v>
      </c>
      <c r="E5137" s="73"/>
      <c r="F5137" s="73"/>
      <c r="G5137" s="73"/>
      <c r="H5137" s="36" t="s">
        <v>18242</v>
      </c>
      <c r="I5137" s="56" t="s">
        <v>36</v>
      </c>
      <c r="J5137" s="36"/>
      <c r="K5137" s="34">
        <v>4</v>
      </c>
      <c r="L5137" s="41">
        <v>37.24</v>
      </c>
      <c r="M5137" s="11"/>
      <c r="N5137" s="36">
        <f t="shared" si="275"/>
        <v>0</v>
      </c>
      <c r="O5137" s="47">
        <f t="shared" ref="O5137:O5142" si="278">0.03*M5137</f>
        <v>0</v>
      </c>
      <c r="P5137" s="43">
        <f t="shared" ref="P5137:P5144" si="279">0.00019*M5137</f>
        <v>0</v>
      </c>
      <c r="Q5137" s="50"/>
      <c r="R5137" s="36" t="s">
        <v>18243</v>
      </c>
      <c r="S5137" s="36" t="s">
        <v>435</v>
      </c>
      <c r="T5137" s="35" t="str">
        <f>HYPERLINK("https://miland.ru/api/getInfo/image/0f6bf35a-1a2e-11e9-a21c-ac1f6b442184")</f>
        <v>https://miland.ru/api/getInfo/image/0f6bf35a-1a2e-11e9-a21c-ac1f6b442184</v>
      </c>
      <c r="U5137" s="35"/>
      <c r="V5137" s="35" t="s">
        <v>11948</v>
      </c>
      <c r="W5137" s="35" t="s">
        <v>1630</v>
      </c>
      <c r="X5137" s="35"/>
      <c r="Y5137" s="35" t="s">
        <v>697</v>
      </c>
      <c r="Z5137" s="35"/>
      <c r="AA5137" s="35" t="str">
        <f>HYPERLINK("https://miland.ru/api/getInfo/item/0f6bf35a-1a2e-11e9-a21c-ac1f6b442184")</f>
        <v>https://miland.ru/api/getInfo/item/0f6bf35a-1a2e-11e9-a21c-ac1f6b442184</v>
      </c>
      <c r="AB5137" s="35" t="s">
        <v>42</v>
      </c>
      <c r="AC5137" s="35" t="s">
        <v>17735</v>
      </c>
      <c r="AD5137" s="35"/>
      <c r="AE5137" s="52" t="s">
        <v>1251</v>
      </c>
    </row>
    <row r="5138" spans="2:31" s="1" customFormat="1" ht="96.3" customHeight="1" outlineLevel="4">
      <c r="B5138" s="59">
        <v>4176</v>
      </c>
      <c r="C5138" s="35" t="s">
        <v>18244</v>
      </c>
      <c r="D5138" s="73" t="s">
        <v>18245</v>
      </c>
      <c r="E5138" s="73"/>
      <c r="F5138" s="73"/>
      <c r="G5138" s="73"/>
      <c r="H5138" s="36" t="s">
        <v>18246</v>
      </c>
      <c r="I5138" s="56" t="s">
        <v>36</v>
      </c>
      <c r="J5138" s="36"/>
      <c r="K5138" s="34">
        <v>4</v>
      </c>
      <c r="L5138" s="41">
        <v>37.24</v>
      </c>
      <c r="M5138" s="11"/>
      <c r="N5138" s="36">
        <f t="shared" si="275"/>
        <v>0</v>
      </c>
      <c r="O5138" s="47">
        <f t="shared" si="278"/>
        <v>0</v>
      </c>
      <c r="P5138" s="43">
        <f t="shared" si="279"/>
        <v>0</v>
      </c>
      <c r="Q5138" s="50"/>
      <c r="R5138" s="36" t="s">
        <v>18247</v>
      </c>
      <c r="S5138" s="36" t="s">
        <v>435</v>
      </c>
      <c r="T5138" s="35" t="str">
        <f>HYPERLINK("https://miland.ru/api/getInfo/image/28bcc7b7-1a2e-11e9-a21c-ac1f6b442184")</f>
        <v>https://miland.ru/api/getInfo/image/28bcc7b7-1a2e-11e9-a21c-ac1f6b442184</v>
      </c>
      <c r="U5138" s="35"/>
      <c r="V5138" s="35" t="s">
        <v>11948</v>
      </c>
      <c r="W5138" s="35" t="s">
        <v>1630</v>
      </c>
      <c r="X5138" s="35"/>
      <c r="Y5138" s="35" t="s">
        <v>697</v>
      </c>
      <c r="Z5138" s="35"/>
      <c r="AA5138" s="35" t="str">
        <f>HYPERLINK("https://miland.ru/api/getInfo/item/28bcc7b7-1a2e-11e9-a21c-ac1f6b442184")</f>
        <v>https://miland.ru/api/getInfo/item/28bcc7b7-1a2e-11e9-a21c-ac1f6b442184</v>
      </c>
      <c r="AB5138" s="35" t="s">
        <v>42</v>
      </c>
      <c r="AC5138" s="35" t="s">
        <v>17735</v>
      </c>
      <c r="AD5138" s="35"/>
      <c r="AE5138" s="52" t="s">
        <v>1251</v>
      </c>
    </row>
    <row r="5139" spans="2:31" s="1" customFormat="1" ht="96.3" customHeight="1" outlineLevel="4">
      <c r="B5139" s="59">
        <v>4177</v>
      </c>
      <c r="C5139" s="35" t="s">
        <v>18248</v>
      </c>
      <c r="D5139" s="73" t="s">
        <v>18249</v>
      </c>
      <c r="E5139" s="73"/>
      <c r="F5139" s="73"/>
      <c r="G5139" s="73"/>
      <c r="H5139" s="36" t="s">
        <v>18250</v>
      </c>
      <c r="I5139" s="56" t="s">
        <v>36</v>
      </c>
      <c r="J5139" s="36"/>
      <c r="K5139" s="34">
        <v>4</v>
      </c>
      <c r="L5139" s="41">
        <v>37.24</v>
      </c>
      <c r="M5139" s="11"/>
      <c r="N5139" s="36">
        <f t="shared" si="275"/>
        <v>0</v>
      </c>
      <c r="O5139" s="47">
        <f t="shared" si="278"/>
        <v>0</v>
      </c>
      <c r="P5139" s="43">
        <f t="shared" si="279"/>
        <v>0</v>
      </c>
      <c r="Q5139" s="50"/>
      <c r="R5139" s="36" t="s">
        <v>18251</v>
      </c>
      <c r="S5139" s="36" t="s">
        <v>435</v>
      </c>
      <c r="T5139" s="35" t="str">
        <f>HYPERLINK("https://miland.ru/api/getInfo/image/623e22ad-1a2e-11e9-a21c-ac1f6b442184")</f>
        <v>https://miland.ru/api/getInfo/image/623e22ad-1a2e-11e9-a21c-ac1f6b442184</v>
      </c>
      <c r="U5139" s="35"/>
      <c r="V5139" s="35" t="s">
        <v>11948</v>
      </c>
      <c r="W5139" s="35" t="s">
        <v>1630</v>
      </c>
      <c r="X5139" s="35"/>
      <c r="Y5139" s="35" t="s">
        <v>697</v>
      </c>
      <c r="Z5139" s="35"/>
      <c r="AA5139" s="35" t="str">
        <f>HYPERLINK("https://miland.ru/api/getInfo/item/623e22ad-1a2e-11e9-a21c-ac1f6b442184")</f>
        <v>https://miland.ru/api/getInfo/item/623e22ad-1a2e-11e9-a21c-ac1f6b442184</v>
      </c>
      <c r="AB5139" s="35" t="s">
        <v>42</v>
      </c>
      <c r="AC5139" s="35" t="s">
        <v>17735</v>
      </c>
      <c r="AD5139" s="35"/>
      <c r="AE5139" s="52" t="s">
        <v>1251</v>
      </c>
    </row>
    <row r="5140" spans="2:31" s="1" customFormat="1" ht="96.3" customHeight="1" outlineLevel="4">
      <c r="B5140" s="59">
        <v>4178</v>
      </c>
      <c r="C5140" s="35" t="s">
        <v>18252</v>
      </c>
      <c r="D5140" s="73" t="s">
        <v>18253</v>
      </c>
      <c r="E5140" s="73"/>
      <c r="F5140" s="73"/>
      <c r="G5140" s="73"/>
      <c r="H5140" s="36" t="s">
        <v>18254</v>
      </c>
      <c r="I5140" s="56" t="s">
        <v>36</v>
      </c>
      <c r="J5140" s="36"/>
      <c r="K5140" s="34">
        <v>4</v>
      </c>
      <c r="L5140" s="41">
        <v>37.24</v>
      </c>
      <c r="M5140" s="11"/>
      <c r="N5140" s="36">
        <f t="shared" si="275"/>
        <v>0</v>
      </c>
      <c r="O5140" s="47">
        <f t="shared" si="278"/>
        <v>0</v>
      </c>
      <c r="P5140" s="43">
        <f t="shared" si="279"/>
        <v>0</v>
      </c>
      <c r="Q5140" s="50"/>
      <c r="R5140" s="36" t="s">
        <v>18255</v>
      </c>
      <c r="S5140" s="36" t="s">
        <v>435</v>
      </c>
      <c r="T5140" s="35" t="str">
        <f>HYPERLINK("https://miland.ru/api/getInfo/image/7a438764-1a2e-11e9-a21c-ac1f6b442184")</f>
        <v>https://miland.ru/api/getInfo/image/7a438764-1a2e-11e9-a21c-ac1f6b442184</v>
      </c>
      <c r="U5140" s="35"/>
      <c r="V5140" s="35" t="s">
        <v>11948</v>
      </c>
      <c r="W5140" s="35" t="s">
        <v>1630</v>
      </c>
      <c r="X5140" s="35"/>
      <c r="Y5140" s="35" t="s">
        <v>697</v>
      </c>
      <c r="Z5140" s="35"/>
      <c r="AA5140" s="35" t="str">
        <f>HYPERLINK("https://miland.ru/api/getInfo/item/7a438764-1a2e-11e9-a21c-ac1f6b442184")</f>
        <v>https://miland.ru/api/getInfo/item/7a438764-1a2e-11e9-a21c-ac1f6b442184</v>
      </c>
      <c r="AB5140" s="35" t="s">
        <v>42</v>
      </c>
      <c r="AC5140" s="35" t="s">
        <v>17735</v>
      </c>
      <c r="AD5140" s="35"/>
      <c r="AE5140" s="52" t="s">
        <v>1251</v>
      </c>
    </row>
    <row r="5141" spans="2:31" s="1" customFormat="1" ht="96.3" customHeight="1" outlineLevel="4">
      <c r="B5141" s="59">
        <v>4179</v>
      </c>
      <c r="C5141" s="35" t="s">
        <v>18256</v>
      </c>
      <c r="D5141" s="73" t="s">
        <v>18257</v>
      </c>
      <c r="E5141" s="73"/>
      <c r="F5141" s="73"/>
      <c r="G5141" s="73"/>
      <c r="H5141" s="36" t="s">
        <v>18258</v>
      </c>
      <c r="I5141" s="56" t="s">
        <v>36</v>
      </c>
      <c r="J5141" s="36"/>
      <c r="K5141" s="34">
        <v>4</v>
      </c>
      <c r="L5141" s="41">
        <v>37.24</v>
      </c>
      <c r="M5141" s="11"/>
      <c r="N5141" s="36">
        <f t="shared" si="275"/>
        <v>0</v>
      </c>
      <c r="O5141" s="47">
        <f t="shared" si="278"/>
        <v>0</v>
      </c>
      <c r="P5141" s="43">
        <f t="shared" si="279"/>
        <v>0</v>
      </c>
      <c r="Q5141" s="50"/>
      <c r="R5141" s="36" t="s">
        <v>18259</v>
      </c>
      <c r="S5141" s="36" t="s">
        <v>435</v>
      </c>
      <c r="T5141" s="35" t="str">
        <f>HYPERLINK("https://miland.ru/api/getInfo/image/9524f092-1a2e-11e9-a21c-ac1f6b442184")</f>
        <v>https://miland.ru/api/getInfo/image/9524f092-1a2e-11e9-a21c-ac1f6b442184</v>
      </c>
      <c r="U5141" s="35"/>
      <c r="V5141" s="35" t="s">
        <v>11948</v>
      </c>
      <c r="W5141" s="35" t="s">
        <v>1630</v>
      </c>
      <c r="X5141" s="35"/>
      <c r="Y5141" s="35" t="s">
        <v>697</v>
      </c>
      <c r="Z5141" s="35"/>
      <c r="AA5141" s="35" t="str">
        <f>HYPERLINK("https://miland.ru/api/getInfo/item/9524f092-1a2e-11e9-a21c-ac1f6b442184")</f>
        <v>https://miland.ru/api/getInfo/item/9524f092-1a2e-11e9-a21c-ac1f6b442184</v>
      </c>
      <c r="AB5141" s="35" t="s">
        <v>42</v>
      </c>
      <c r="AC5141" s="35" t="s">
        <v>17735</v>
      </c>
      <c r="AD5141" s="35"/>
      <c r="AE5141" s="52" t="s">
        <v>1251</v>
      </c>
    </row>
    <row r="5142" spans="2:31" s="1" customFormat="1" ht="96.3" customHeight="1" outlineLevel="4">
      <c r="B5142" s="59">
        <v>4180</v>
      </c>
      <c r="C5142" s="35" t="s">
        <v>18260</v>
      </c>
      <c r="D5142" s="73" t="s">
        <v>18261</v>
      </c>
      <c r="E5142" s="73"/>
      <c r="F5142" s="73"/>
      <c r="G5142" s="73"/>
      <c r="H5142" s="36" t="s">
        <v>18262</v>
      </c>
      <c r="I5142" s="56" t="s">
        <v>36</v>
      </c>
      <c r="J5142" s="36"/>
      <c r="K5142" s="34">
        <v>4</v>
      </c>
      <c r="L5142" s="41">
        <v>37.24</v>
      </c>
      <c r="M5142" s="11"/>
      <c r="N5142" s="36">
        <f t="shared" si="275"/>
        <v>0</v>
      </c>
      <c r="O5142" s="47">
        <f t="shared" si="278"/>
        <v>0</v>
      </c>
      <c r="P5142" s="43">
        <f t="shared" si="279"/>
        <v>0</v>
      </c>
      <c r="Q5142" s="50"/>
      <c r="R5142" s="36" t="s">
        <v>18263</v>
      </c>
      <c r="S5142" s="36" t="s">
        <v>435</v>
      </c>
      <c r="T5142" s="35" t="str">
        <f>HYPERLINK("https://miland.ru/api/getInfo/image/abb65f25-1a2e-11e9-a21c-ac1f6b442184")</f>
        <v>https://miland.ru/api/getInfo/image/abb65f25-1a2e-11e9-a21c-ac1f6b442184</v>
      </c>
      <c r="U5142" s="35"/>
      <c r="V5142" s="35" t="s">
        <v>11948</v>
      </c>
      <c r="W5142" s="35" t="s">
        <v>1630</v>
      </c>
      <c r="X5142" s="35"/>
      <c r="Y5142" s="35" t="s">
        <v>697</v>
      </c>
      <c r="Z5142" s="35"/>
      <c r="AA5142" s="35" t="str">
        <f>HYPERLINK("https://miland.ru/api/getInfo/item/abb65f25-1a2e-11e9-a21c-ac1f6b442184")</f>
        <v>https://miland.ru/api/getInfo/item/abb65f25-1a2e-11e9-a21c-ac1f6b442184</v>
      </c>
      <c r="AB5142" s="35" t="s">
        <v>42</v>
      </c>
      <c r="AC5142" s="35" t="s">
        <v>17735</v>
      </c>
      <c r="AD5142" s="35"/>
      <c r="AE5142" s="52" t="s">
        <v>1251</v>
      </c>
    </row>
    <row r="5143" spans="2:31" s="1" customFormat="1" ht="96.3" customHeight="1" outlineLevel="4">
      <c r="B5143" s="59">
        <v>4181</v>
      </c>
      <c r="C5143" s="35" t="s">
        <v>18264</v>
      </c>
      <c r="D5143" s="73" t="s">
        <v>18265</v>
      </c>
      <c r="E5143" s="73"/>
      <c r="F5143" s="73"/>
      <c r="G5143" s="73"/>
      <c r="H5143" s="36" t="s">
        <v>18266</v>
      </c>
      <c r="I5143" s="56" t="s">
        <v>36</v>
      </c>
      <c r="J5143" s="36"/>
      <c r="K5143" s="34">
        <v>4</v>
      </c>
      <c r="L5143" s="41">
        <v>37.24</v>
      </c>
      <c r="M5143" s="11"/>
      <c r="N5143" s="36">
        <f t="shared" si="275"/>
        <v>0</v>
      </c>
      <c r="O5143" s="47">
        <f>0.02*M5143</f>
        <v>0</v>
      </c>
      <c r="P5143" s="43">
        <f t="shared" si="279"/>
        <v>0</v>
      </c>
      <c r="Q5143" s="50"/>
      <c r="R5143" s="36" t="s">
        <v>18267</v>
      </c>
      <c r="S5143" s="36" t="s">
        <v>435</v>
      </c>
      <c r="T5143" s="35" t="str">
        <f>HYPERLINK("https://miland.ru/api/getInfo/image/c1aa6dea-1a2e-11e9-a21c-ac1f6b442184")</f>
        <v>https://miland.ru/api/getInfo/image/c1aa6dea-1a2e-11e9-a21c-ac1f6b442184</v>
      </c>
      <c r="U5143" s="35"/>
      <c r="V5143" s="35" t="s">
        <v>11948</v>
      </c>
      <c r="W5143" s="35" t="s">
        <v>1630</v>
      </c>
      <c r="X5143" s="35"/>
      <c r="Y5143" s="35" t="s">
        <v>697</v>
      </c>
      <c r="Z5143" s="35"/>
      <c r="AA5143" s="35" t="str">
        <f>HYPERLINK("https://miland.ru/api/getInfo/item/c1aa6dea-1a2e-11e9-a21c-ac1f6b442184")</f>
        <v>https://miland.ru/api/getInfo/item/c1aa6dea-1a2e-11e9-a21c-ac1f6b442184</v>
      </c>
      <c r="AB5143" s="35" t="s">
        <v>42</v>
      </c>
      <c r="AC5143" s="35" t="s">
        <v>17735</v>
      </c>
      <c r="AD5143" s="35"/>
      <c r="AE5143" s="52" t="s">
        <v>1251</v>
      </c>
    </row>
    <row r="5144" spans="2:31" s="1" customFormat="1" ht="96.3" customHeight="1" outlineLevel="4">
      <c r="B5144" s="59">
        <v>4182</v>
      </c>
      <c r="C5144" s="35" t="s">
        <v>18268</v>
      </c>
      <c r="D5144" s="73" t="s">
        <v>18269</v>
      </c>
      <c r="E5144" s="73"/>
      <c r="F5144" s="73"/>
      <c r="G5144" s="73"/>
      <c r="H5144" s="36" t="s">
        <v>18270</v>
      </c>
      <c r="I5144" s="56" t="s">
        <v>36</v>
      </c>
      <c r="J5144" s="36"/>
      <c r="K5144" s="34">
        <v>4</v>
      </c>
      <c r="L5144" s="41">
        <v>37.24</v>
      </c>
      <c r="M5144" s="11"/>
      <c r="N5144" s="36">
        <f t="shared" si="275"/>
        <v>0</v>
      </c>
      <c r="O5144" s="47">
        <f>0.03*M5144</f>
        <v>0</v>
      </c>
      <c r="P5144" s="43">
        <f t="shared" si="279"/>
        <v>0</v>
      </c>
      <c r="Q5144" s="50"/>
      <c r="R5144" s="36" t="s">
        <v>18271</v>
      </c>
      <c r="S5144" s="36" t="s">
        <v>435</v>
      </c>
      <c r="T5144" s="35" t="str">
        <f>HYPERLINK("https://miland.ru/api/getInfo/image/d7595683-1a2e-11e9-a21c-ac1f6b442184")</f>
        <v>https://miland.ru/api/getInfo/image/d7595683-1a2e-11e9-a21c-ac1f6b442184</v>
      </c>
      <c r="U5144" s="35"/>
      <c r="V5144" s="35" t="s">
        <v>11948</v>
      </c>
      <c r="W5144" s="35" t="s">
        <v>1630</v>
      </c>
      <c r="X5144" s="35"/>
      <c r="Y5144" s="35" t="s">
        <v>697</v>
      </c>
      <c r="Z5144" s="35"/>
      <c r="AA5144" s="35" t="str">
        <f>HYPERLINK("https://miland.ru/api/getInfo/item/d7595683-1a2e-11e9-a21c-ac1f6b442184")</f>
        <v>https://miland.ru/api/getInfo/item/d7595683-1a2e-11e9-a21c-ac1f6b442184</v>
      </c>
      <c r="AB5144" s="35" t="s">
        <v>42</v>
      </c>
      <c r="AC5144" s="35" t="s">
        <v>17735</v>
      </c>
      <c r="AD5144" s="35"/>
      <c r="AE5144" s="52" t="s">
        <v>1251</v>
      </c>
    </row>
    <row r="5145" spans="2:31" s="1" customFormat="1" ht="96.3" customHeight="1" outlineLevel="4">
      <c r="B5145" s="59">
        <v>4183</v>
      </c>
      <c r="C5145" s="35" t="s">
        <v>18272</v>
      </c>
      <c r="D5145" s="73" t="s">
        <v>18273</v>
      </c>
      <c r="E5145" s="73"/>
      <c r="F5145" s="73"/>
      <c r="G5145" s="73"/>
      <c r="H5145" s="36" t="s">
        <v>18274</v>
      </c>
      <c r="I5145" s="40">
        <v>80</v>
      </c>
      <c r="J5145" s="36"/>
      <c r="K5145" s="34">
        <v>10</v>
      </c>
      <c r="L5145" s="41">
        <v>35.626666666666665</v>
      </c>
      <c r="M5145" s="11"/>
      <c r="N5145" s="36">
        <f t="shared" si="275"/>
        <v>0</v>
      </c>
      <c r="O5145" s="47">
        <f>0.01*M5145</f>
        <v>0</v>
      </c>
      <c r="P5145" s="43">
        <f>0.00014*M5145</f>
        <v>0</v>
      </c>
      <c r="Q5145" s="50"/>
      <c r="R5145" s="36" t="s">
        <v>18275</v>
      </c>
      <c r="S5145" s="36" t="s">
        <v>435</v>
      </c>
      <c r="T5145" s="35" t="str">
        <f>HYPERLINK("https://miland.ru/api/getInfo/image/008c6edd-9902-11eb-a201-ac1f6b442185")</f>
        <v>https://miland.ru/api/getInfo/image/008c6edd-9902-11eb-a201-ac1f6b442185</v>
      </c>
      <c r="U5145" s="35"/>
      <c r="V5145" s="35" t="s">
        <v>11948</v>
      </c>
      <c r="W5145" s="35" t="s">
        <v>1630</v>
      </c>
      <c r="X5145" s="35"/>
      <c r="Y5145" s="35" t="s">
        <v>697</v>
      </c>
      <c r="Z5145" s="35"/>
      <c r="AA5145" s="35" t="str">
        <f>HYPERLINK("https://miland.ru/api/getInfo/item/008c6edd-9902-11eb-a201-ac1f6b442185")</f>
        <v>https://miland.ru/api/getInfo/item/008c6edd-9902-11eb-a201-ac1f6b442185</v>
      </c>
      <c r="AB5145" s="35" t="s">
        <v>42</v>
      </c>
      <c r="AC5145" s="35"/>
      <c r="AD5145" s="35"/>
      <c r="AE5145" s="52" t="s">
        <v>1251</v>
      </c>
    </row>
    <row r="5146" spans="2:31" s="1" customFormat="1" ht="96.3" customHeight="1" outlineLevel="4">
      <c r="B5146" s="59">
        <v>4184</v>
      </c>
      <c r="C5146" s="35" t="s">
        <v>18276</v>
      </c>
      <c r="D5146" s="73" t="s">
        <v>18277</v>
      </c>
      <c r="E5146" s="73"/>
      <c r="F5146" s="73"/>
      <c r="G5146" s="73"/>
      <c r="H5146" s="36" t="s">
        <v>18278</v>
      </c>
      <c r="I5146" s="40">
        <v>409</v>
      </c>
      <c r="J5146" s="36"/>
      <c r="K5146" s="34">
        <v>10</v>
      </c>
      <c r="L5146" s="41">
        <v>38.253333333333337</v>
      </c>
      <c r="M5146" s="11"/>
      <c r="N5146" s="36">
        <f t="shared" si="275"/>
        <v>0</v>
      </c>
      <c r="O5146" s="42">
        <f>0.015*M5146</f>
        <v>0</v>
      </c>
      <c r="P5146" s="43">
        <f>0.00022*M5146</f>
        <v>0</v>
      </c>
      <c r="Q5146" s="50"/>
      <c r="R5146" s="36" t="s">
        <v>18279</v>
      </c>
      <c r="S5146" s="36" t="s">
        <v>435</v>
      </c>
      <c r="T5146" s="35" t="str">
        <f>HYPERLINK("https://miland.ru/api/getInfo/image/f33c58ac-98f6-11eb-a201-ac1f6b442185")</f>
        <v>https://miland.ru/api/getInfo/image/f33c58ac-98f6-11eb-a201-ac1f6b442185</v>
      </c>
      <c r="U5146" s="35"/>
      <c r="V5146" s="35" t="s">
        <v>11948</v>
      </c>
      <c r="W5146" s="35" t="s">
        <v>1630</v>
      </c>
      <c r="X5146" s="35"/>
      <c r="Y5146" s="35" t="s">
        <v>697</v>
      </c>
      <c r="Z5146" s="35"/>
      <c r="AA5146" s="35" t="str">
        <f>HYPERLINK("https://miland.ru/api/getInfo/item/f33c58ac-98f6-11eb-a201-ac1f6b442185")</f>
        <v>https://miland.ru/api/getInfo/item/f33c58ac-98f6-11eb-a201-ac1f6b442185</v>
      </c>
      <c r="AB5146" s="35" t="s">
        <v>42</v>
      </c>
      <c r="AC5146" s="35"/>
      <c r="AD5146" s="35"/>
      <c r="AE5146" s="52" t="s">
        <v>1251</v>
      </c>
    </row>
    <row r="5147" spans="2:31" s="1" customFormat="1" ht="96.3" customHeight="1" outlineLevel="4">
      <c r="B5147" s="59">
        <v>4185</v>
      </c>
      <c r="C5147" s="35" t="s">
        <v>18280</v>
      </c>
      <c r="D5147" s="73" t="s">
        <v>18281</v>
      </c>
      <c r="E5147" s="73"/>
      <c r="F5147" s="73"/>
      <c r="G5147" s="73"/>
      <c r="H5147" s="36" t="s">
        <v>18282</v>
      </c>
      <c r="I5147" s="56" t="s">
        <v>36</v>
      </c>
      <c r="J5147" s="36"/>
      <c r="K5147" s="34">
        <v>10</v>
      </c>
      <c r="L5147" s="41">
        <v>38.253333333333337</v>
      </c>
      <c r="M5147" s="11"/>
      <c r="N5147" s="36">
        <f t="shared" si="275"/>
        <v>0</v>
      </c>
      <c r="O5147" s="47">
        <f t="shared" ref="O5147:O5152" si="280">0.01*M5147</f>
        <v>0</v>
      </c>
      <c r="P5147" s="43">
        <f t="shared" ref="P5147:P5152" si="281">0.00014*M5147</f>
        <v>0</v>
      </c>
      <c r="Q5147" s="50"/>
      <c r="R5147" s="36" t="s">
        <v>18283</v>
      </c>
      <c r="S5147" s="36" t="s">
        <v>435</v>
      </c>
      <c r="T5147" s="35" t="str">
        <f>HYPERLINK("https://miland.ru/api/getInfo/image/1b0b6148-924d-11ed-a22c-00155d82e902")</f>
        <v>https://miland.ru/api/getInfo/image/1b0b6148-924d-11ed-a22c-00155d82e902</v>
      </c>
      <c r="U5147" s="35"/>
      <c r="V5147" s="35" t="s">
        <v>11948</v>
      </c>
      <c r="W5147" s="35" t="s">
        <v>1630</v>
      </c>
      <c r="X5147" s="35"/>
      <c r="Y5147" s="35" t="s">
        <v>697</v>
      </c>
      <c r="Z5147" s="35"/>
      <c r="AA5147" s="35" t="str">
        <f>HYPERLINK("https://miland.ru/api/getInfo/item/1b0b6148-924d-11ed-a22c-00155d82e902")</f>
        <v>https://miland.ru/api/getInfo/item/1b0b6148-924d-11ed-a22c-00155d82e902</v>
      </c>
      <c r="AB5147" s="35" t="s">
        <v>42</v>
      </c>
      <c r="AC5147" s="35"/>
      <c r="AD5147" s="35" t="s">
        <v>18283</v>
      </c>
      <c r="AE5147" s="52" t="s">
        <v>1251</v>
      </c>
    </row>
    <row r="5148" spans="2:31" s="1" customFormat="1" ht="96.3" customHeight="1" outlineLevel="4">
      <c r="B5148" s="59">
        <v>4186</v>
      </c>
      <c r="C5148" s="35" t="s">
        <v>18284</v>
      </c>
      <c r="D5148" s="73" t="s">
        <v>18285</v>
      </c>
      <c r="E5148" s="73"/>
      <c r="F5148" s="73"/>
      <c r="G5148" s="73"/>
      <c r="H5148" s="36" t="s">
        <v>18286</v>
      </c>
      <c r="I5148" s="40">
        <v>277</v>
      </c>
      <c r="J5148" s="36"/>
      <c r="K5148" s="34">
        <v>10</v>
      </c>
      <c r="L5148" s="41">
        <v>38.253333333333337</v>
      </c>
      <c r="M5148" s="11"/>
      <c r="N5148" s="36">
        <f t="shared" si="275"/>
        <v>0</v>
      </c>
      <c r="O5148" s="47">
        <f t="shared" si="280"/>
        <v>0</v>
      </c>
      <c r="P5148" s="43">
        <f t="shared" si="281"/>
        <v>0</v>
      </c>
      <c r="Q5148" s="50"/>
      <c r="R5148" s="36" t="s">
        <v>18287</v>
      </c>
      <c r="S5148" s="36" t="s">
        <v>435</v>
      </c>
      <c r="T5148" s="35" t="str">
        <f>HYPERLINK("https://miland.ru/api/getInfo/image/59e49903-924e-11ed-a22c-00155d82e902")</f>
        <v>https://miland.ru/api/getInfo/image/59e49903-924e-11ed-a22c-00155d82e902</v>
      </c>
      <c r="U5148" s="35"/>
      <c r="V5148" s="35" t="s">
        <v>11948</v>
      </c>
      <c r="W5148" s="35" t="s">
        <v>1630</v>
      </c>
      <c r="X5148" s="35"/>
      <c r="Y5148" s="35" t="s">
        <v>697</v>
      </c>
      <c r="Z5148" s="35"/>
      <c r="AA5148" s="35" t="str">
        <f>HYPERLINK("https://miland.ru/api/getInfo/item/59e49903-924e-11ed-a22c-00155d82e902")</f>
        <v>https://miland.ru/api/getInfo/item/59e49903-924e-11ed-a22c-00155d82e902</v>
      </c>
      <c r="AB5148" s="35" t="s">
        <v>42</v>
      </c>
      <c r="AC5148" s="35"/>
      <c r="AD5148" s="35" t="s">
        <v>18287</v>
      </c>
      <c r="AE5148" s="52" t="s">
        <v>1251</v>
      </c>
    </row>
    <row r="5149" spans="2:31" s="1" customFormat="1" ht="96.3" customHeight="1" outlineLevel="4">
      <c r="B5149" s="59">
        <v>4187</v>
      </c>
      <c r="C5149" s="35" t="s">
        <v>18288</v>
      </c>
      <c r="D5149" s="73" t="s">
        <v>18289</v>
      </c>
      <c r="E5149" s="73"/>
      <c r="F5149" s="73"/>
      <c r="G5149" s="73"/>
      <c r="H5149" s="36" t="s">
        <v>18290</v>
      </c>
      <c r="I5149" s="56" t="s">
        <v>36</v>
      </c>
      <c r="J5149" s="36"/>
      <c r="K5149" s="34">
        <v>10</v>
      </c>
      <c r="L5149" s="41">
        <v>38.253333333333337</v>
      </c>
      <c r="M5149" s="11"/>
      <c r="N5149" s="36">
        <f t="shared" si="275"/>
        <v>0</v>
      </c>
      <c r="O5149" s="47">
        <f t="shared" si="280"/>
        <v>0</v>
      </c>
      <c r="P5149" s="43">
        <f t="shared" si="281"/>
        <v>0</v>
      </c>
      <c r="Q5149" s="50"/>
      <c r="R5149" s="36" t="s">
        <v>18291</v>
      </c>
      <c r="S5149" s="36" t="s">
        <v>435</v>
      </c>
      <c r="T5149" s="35" t="str">
        <f>HYPERLINK("https://miland.ru/api/getInfo/image/5f8f2db5-924f-11ed-a22c-00155d82e902")</f>
        <v>https://miland.ru/api/getInfo/image/5f8f2db5-924f-11ed-a22c-00155d82e902</v>
      </c>
      <c r="U5149" s="35"/>
      <c r="V5149" s="35" t="s">
        <v>11948</v>
      </c>
      <c r="W5149" s="35" t="s">
        <v>1630</v>
      </c>
      <c r="X5149" s="35"/>
      <c r="Y5149" s="35" t="s">
        <v>697</v>
      </c>
      <c r="Z5149" s="35"/>
      <c r="AA5149" s="35" t="str">
        <f>HYPERLINK("https://miland.ru/api/getInfo/item/5f8f2db5-924f-11ed-a22c-00155d82e902")</f>
        <v>https://miland.ru/api/getInfo/item/5f8f2db5-924f-11ed-a22c-00155d82e902</v>
      </c>
      <c r="AB5149" s="35" t="s">
        <v>42</v>
      </c>
      <c r="AC5149" s="35"/>
      <c r="AD5149" s="35" t="s">
        <v>18291</v>
      </c>
      <c r="AE5149" s="52" t="s">
        <v>1251</v>
      </c>
    </row>
    <row r="5150" spans="2:31" s="1" customFormat="1" ht="96.3" customHeight="1" outlineLevel="4">
      <c r="B5150" s="59">
        <v>4188</v>
      </c>
      <c r="C5150" s="35" t="s">
        <v>18292</v>
      </c>
      <c r="D5150" s="73" t="s">
        <v>18293</v>
      </c>
      <c r="E5150" s="73"/>
      <c r="F5150" s="73"/>
      <c r="G5150" s="73"/>
      <c r="H5150" s="36" t="s">
        <v>18294</v>
      </c>
      <c r="I5150" s="56" t="s">
        <v>36</v>
      </c>
      <c r="J5150" s="36"/>
      <c r="K5150" s="34">
        <v>10</v>
      </c>
      <c r="L5150" s="41">
        <v>38.253333333333337</v>
      </c>
      <c r="M5150" s="11"/>
      <c r="N5150" s="36">
        <f t="shared" si="275"/>
        <v>0</v>
      </c>
      <c r="O5150" s="47">
        <f t="shared" si="280"/>
        <v>0</v>
      </c>
      <c r="P5150" s="43">
        <f t="shared" si="281"/>
        <v>0</v>
      </c>
      <c r="Q5150" s="50"/>
      <c r="R5150" s="36" t="s">
        <v>18295</v>
      </c>
      <c r="S5150" s="36" t="s">
        <v>435</v>
      </c>
      <c r="T5150" s="35" t="str">
        <f>HYPERLINK("https://miland.ru/api/getInfo/image/eeedcd66-924f-11ed-a22c-00155d82e902")</f>
        <v>https://miland.ru/api/getInfo/image/eeedcd66-924f-11ed-a22c-00155d82e902</v>
      </c>
      <c r="U5150" s="35"/>
      <c r="V5150" s="35" t="s">
        <v>11948</v>
      </c>
      <c r="W5150" s="35" t="s">
        <v>1630</v>
      </c>
      <c r="X5150" s="35"/>
      <c r="Y5150" s="35" t="s">
        <v>697</v>
      </c>
      <c r="Z5150" s="35"/>
      <c r="AA5150" s="35" t="str">
        <f>HYPERLINK("https://miland.ru/api/getInfo/item/eeedcd66-924f-11ed-a22c-00155d82e902")</f>
        <v>https://miland.ru/api/getInfo/item/eeedcd66-924f-11ed-a22c-00155d82e902</v>
      </c>
      <c r="AB5150" s="35" t="s">
        <v>42</v>
      </c>
      <c r="AC5150" s="35"/>
      <c r="AD5150" s="35" t="s">
        <v>18295</v>
      </c>
      <c r="AE5150" s="52" t="s">
        <v>1251</v>
      </c>
    </row>
    <row r="5151" spans="2:31" s="1" customFormat="1" ht="96.3" customHeight="1" outlineLevel="4">
      <c r="B5151" s="59">
        <v>4189</v>
      </c>
      <c r="C5151" s="35" t="s">
        <v>18296</v>
      </c>
      <c r="D5151" s="73" t="s">
        <v>18297</v>
      </c>
      <c r="E5151" s="73"/>
      <c r="F5151" s="73"/>
      <c r="G5151" s="73"/>
      <c r="H5151" s="36" t="s">
        <v>18298</v>
      </c>
      <c r="I5151" s="56" t="s">
        <v>36</v>
      </c>
      <c r="J5151" s="36"/>
      <c r="K5151" s="34">
        <v>10</v>
      </c>
      <c r="L5151" s="41">
        <v>38.253333333333337</v>
      </c>
      <c r="M5151" s="11"/>
      <c r="N5151" s="36">
        <f t="shared" si="275"/>
        <v>0</v>
      </c>
      <c r="O5151" s="47">
        <f t="shared" si="280"/>
        <v>0</v>
      </c>
      <c r="P5151" s="43">
        <f t="shared" si="281"/>
        <v>0</v>
      </c>
      <c r="Q5151" s="50"/>
      <c r="R5151" s="36" t="s">
        <v>18299</v>
      </c>
      <c r="S5151" s="36" t="s">
        <v>435</v>
      </c>
      <c r="T5151" s="35" t="str">
        <f>HYPERLINK("https://miland.ru/api/getInfo/image/7254b604-9250-11ed-a22c-00155d82e902")</f>
        <v>https://miland.ru/api/getInfo/image/7254b604-9250-11ed-a22c-00155d82e902</v>
      </c>
      <c r="U5151" s="35"/>
      <c r="V5151" s="35" t="s">
        <v>11948</v>
      </c>
      <c r="W5151" s="35" t="s">
        <v>1630</v>
      </c>
      <c r="X5151" s="35"/>
      <c r="Y5151" s="35" t="s">
        <v>697</v>
      </c>
      <c r="Z5151" s="35"/>
      <c r="AA5151" s="35" t="str">
        <f>HYPERLINK("https://miland.ru/api/getInfo/item/7254b604-9250-11ed-a22c-00155d82e902")</f>
        <v>https://miland.ru/api/getInfo/item/7254b604-9250-11ed-a22c-00155d82e902</v>
      </c>
      <c r="AB5151" s="35" t="s">
        <v>42</v>
      </c>
      <c r="AC5151" s="35"/>
      <c r="AD5151" s="35" t="s">
        <v>18299</v>
      </c>
      <c r="AE5151" s="52" t="s">
        <v>1251</v>
      </c>
    </row>
    <row r="5152" spans="2:31" s="1" customFormat="1" ht="96.3" customHeight="1" outlineLevel="4">
      <c r="B5152" s="59">
        <v>4190</v>
      </c>
      <c r="C5152" s="35" t="s">
        <v>18300</v>
      </c>
      <c r="D5152" s="73" t="s">
        <v>18301</v>
      </c>
      <c r="E5152" s="73"/>
      <c r="F5152" s="73"/>
      <c r="G5152" s="73"/>
      <c r="H5152" s="36" t="s">
        <v>18302</v>
      </c>
      <c r="I5152" s="56" t="s">
        <v>36</v>
      </c>
      <c r="J5152" s="36"/>
      <c r="K5152" s="34">
        <v>10</v>
      </c>
      <c r="L5152" s="41">
        <v>38.253333333333337</v>
      </c>
      <c r="M5152" s="11"/>
      <c r="N5152" s="36">
        <f t="shared" si="275"/>
        <v>0</v>
      </c>
      <c r="O5152" s="47">
        <f t="shared" si="280"/>
        <v>0</v>
      </c>
      <c r="P5152" s="43">
        <f t="shared" si="281"/>
        <v>0</v>
      </c>
      <c r="Q5152" s="50"/>
      <c r="R5152" s="36" t="s">
        <v>18303</v>
      </c>
      <c r="S5152" s="36" t="s">
        <v>435</v>
      </c>
      <c r="T5152" s="35" t="str">
        <f>HYPERLINK("https://miland.ru/api/getInfo/image/e0efaa3b-9250-11ed-a22c-00155d82e902")</f>
        <v>https://miland.ru/api/getInfo/image/e0efaa3b-9250-11ed-a22c-00155d82e902</v>
      </c>
      <c r="U5152" s="35"/>
      <c r="V5152" s="35" t="s">
        <v>11948</v>
      </c>
      <c r="W5152" s="35" t="s">
        <v>1630</v>
      </c>
      <c r="X5152" s="35"/>
      <c r="Y5152" s="35" t="s">
        <v>697</v>
      </c>
      <c r="Z5152" s="35"/>
      <c r="AA5152" s="35" t="str">
        <f>HYPERLINK("https://miland.ru/api/getInfo/item/e0efaa3b-9250-11ed-a22c-00155d82e902")</f>
        <v>https://miland.ru/api/getInfo/item/e0efaa3b-9250-11ed-a22c-00155d82e902</v>
      </c>
      <c r="AB5152" s="35" t="s">
        <v>42</v>
      </c>
      <c r="AC5152" s="35"/>
      <c r="AD5152" s="35" t="s">
        <v>18303</v>
      </c>
      <c r="AE5152" s="52" t="s">
        <v>1251</v>
      </c>
    </row>
    <row r="5153" spans="2:31" s="1" customFormat="1" ht="96.3" customHeight="1" outlineLevel="4">
      <c r="B5153" s="59">
        <v>4191</v>
      </c>
      <c r="C5153" s="35" t="s">
        <v>18304</v>
      </c>
      <c r="D5153" s="73" t="s">
        <v>18305</v>
      </c>
      <c r="E5153" s="73"/>
      <c r="F5153" s="73"/>
      <c r="G5153" s="73"/>
      <c r="H5153" s="36" t="s">
        <v>18306</v>
      </c>
      <c r="I5153" s="56" t="s">
        <v>36</v>
      </c>
      <c r="J5153" s="36"/>
      <c r="K5153" s="34">
        <v>7</v>
      </c>
      <c r="L5153" s="41">
        <v>44.693333333333335</v>
      </c>
      <c r="M5153" s="11"/>
      <c r="N5153" s="36">
        <f t="shared" si="275"/>
        <v>0</v>
      </c>
      <c r="O5153" s="47">
        <f t="shared" ref="O5153:O5162" si="282">0.05*M5153</f>
        <v>0</v>
      </c>
      <c r="P5153" s="43">
        <f t="shared" ref="P5153:P5162" si="283">0.00038*M5153</f>
        <v>0</v>
      </c>
      <c r="Q5153" s="50"/>
      <c r="R5153" s="36" t="s">
        <v>18307</v>
      </c>
      <c r="S5153" s="36" t="s">
        <v>435</v>
      </c>
      <c r="T5153" s="35" t="str">
        <f>HYPERLINK("https://miland.ru/api/getInfo/image/7871008c-19ba-11e9-a21c-ac1f6b442184")</f>
        <v>https://miland.ru/api/getInfo/image/7871008c-19ba-11e9-a21c-ac1f6b442184</v>
      </c>
      <c r="U5153" s="35"/>
      <c r="V5153" s="35" t="s">
        <v>11948</v>
      </c>
      <c r="W5153" s="35" t="s">
        <v>1630</v>
      </c>
      <c r="X5153" s="35"/>
      <c r="Y5153" s="35" t="s">
        <v>697</v>
      </c>
      <c r="Z5153" s="35"/>
      <c r="AA5153" s="35" t="str">
        <f>HYPERLINK("https://miland.ru/api/getInfo/item/7871008c-19ba-11e9-a21c-ac1f6b442184")</f>
        <v>https://miland.ru/api/getInfo/item/7871008c-19ba-11e9-a21c-ac1f6b442184</v>
      </c>
      <c r="AB5153" s="35" t="s">
        <v>42</v>
      </c>
      <c r="AC5153" s="35" t="s">
        <v>17735</v>
      </c>
      <c r="AD5153" s="35"/>
      <c r="AE5153" s="52" t="s">
        <v>1251</v>
      </c>
    </row>
    <row r="5154" spans="2:31" s="1" customFormat="1" ht="96.3" customHeight="1" outlineLevel="4">
      <c r="B5154" s="59">
        <v>4192</v>
      </c>
      <c r="C5154" s="35" t="s">
        <v>18308</v>
      </c>
      <c r="D5154" s="73" t="s">
        <v>18309</v>
      </c>
      <c r="E5154" s="73"/>
      <c r="F5154" s="73"/>
      <c r="G5154" s="73"/>
      <c r="H5154" s="36" t="s">
        <v>18310</v>
      </c>
      <c r="I5154" s="56" t="s">
        <v>36</v>
      </c>
      <c r="J5154" s="36"/>
      <c r="K5154" s="34">
        <v>7</v>
      </c>
      <c r="L5154" s="41">
        <v>44.693333333333335</v>
      </c>
      <c r="M5154" s="11"/>
      <c r="N5154" s="36">
        <f t="shared" si="275"/>
        <v>0</v>
      </c>
      <c r="O5154" s="47">
        <f t="shared" si="282"/>
        <v>0</v>
      </c>
      <c r="P5154" s="43">
        <f t="shared" si="283"/>
        <v>0</v>
      </c>
      <c r="Q5154" s="50"/>
      <c r="R5154" s="36" t="s">
        <v>18311</v>
      </c>
      <c r="S5154" s="36" t="s">
        <v>435</v>
      </c>
      <c r="T5154" s="35" t="str">
        <f>HYPERLINK("https://miland.ru/api/getInfo/image/9227ca0b-19ba-11e9-a21c-ac1f6b442184")</f>
        <v>https://miland.ru/api/getInfo/image/9227ca0b-19ba-11e9-a21c-ac1f6b442184</v>
      </c>
      <c r="U5154" s="35"/>
      <c r="V5154" s="35" t="s">
        <v>11948</v>
      </c>
      <c r="W5154" s="35" t="s">
        <v>1630</v>
      </c>
      <c r="X5154" s="35"/>
      <c r="Y5154" s="35" t="s">
        <v>697</v>
      </c>
      <c r="Z5154" s="35"/>
      <c r="AA5154" s="35" t="str">
        <f>HYPERLINK("https://miland.ru/api/getInfo/item/9227ca0b-19ba-11e9-a21c-ac1f6b442184")</f>
        <v>https://miland.ru/api/getInfo/item/9227ca0b-19ba-11e9-a21c-ac1f6b442184</v>
      </c>
      <c r="AB5154" s="35" t="s">
        <v>42</v>
      </c>
      <c r="AC5154" s="35" t="s">
        <v>17735</v>
      </c>
      <c r="AD5154" s="35"/>
      <c r="AE5154" s="52" t="s">
        <v>1251</v>
      </c>
    </row>
    <row r="5155" spans="2:31" s="1" customFormat="1" ht="96.3" customHeight="1" outlineLevel="4">
      <c r="B5155" s="59">
        <v>4193</v>
      </c>
      <c r="C5155" s="35" t="s">
        <v>18312</v>
      </c>
      <c r="D5155" s="73" t="s">
        <v>18313</v>
      </c>
      <c r="E5155" s="73"/>
      <c r="F5155" s="73"/>
      <c r="G5155" s="73"/>
      <c r="H5155" s="36" t="s">
        <v>18314</v>
      </c>
      <c r="I5155" s="56" t="s">
        <v>36</v>
      </c>
      <c r="J5155" s="36"/>
      <c r="K5155" s="34">
        <v>7</v>
      </c>
      <c r="L5155" s="41">
        <v>44.693333333333335</v>
      </c>
      <c r="M5155" s="11"/>
      <c r="N5155" s="36">
        <f t="shared" si="275"/>
        <v>0</v>
      </c>
      <c r="O5155" s="47">
        <f t="shared" si="282"/>
        <v>0</v>
      </c>
      <c r="P5155" s="43">
        <f t="shared" si="283"/>
        <v>0</v>
      </c>
      <c r="Q5155" s="50"/>
      <c r="R5155" s="36" t="s">
        <v>18315</v>
      </c>
      <c r="S5155" s="36" t="s">
        <v>435</v>
      </c>
      <c r="T5155" s="35" t="str">
        <f>HYPERLINK("https://miland.ru/api/getInfo/image/ad1912d5-19ba-11e9-a21c-ac1f6b442184")</f>
        <v>https://miland.ru/api/getInfo/image/ad1912d5-19ba-11e9-a21c-ac1f6b442184</v>
      </c>
      <c r="U5155" s="35"/>
      <c r="V5155" s="35" t="s">
        <v>11948</v>
      </c>
      <c r="W5155" s="35" t="s">
        <v>1630</v>
      </c>
      <c r="X5155" s="35"/>
      <c r="Y5155" s="35" t="s">
        <v>697</v>
      </c>
      <c r="Z5155" s="35"/>
      <c r="AA5155" s="35" t="str">
        <f>HYPERLINK("https://miland.ru/api/getInfo/item/ad1912d5-19ba-11e9-a21c-ac1f6b442184")</f>
        <v>https://miland.ru/api/getInfo/item/ad1912d5-19ba-11e9-a21c-ac1f6b442184</v>
      </c>
      <c r="AB5155" s="35" t="s">
        <v>42</v>
      </c>
      <c r="AC5155" s="35" t="s">
        <v>17735</v>
      </c>
      <c r="AD5155" s="35"/>
      <c r="AE5155" s="52" t="s">
        <v>1251</v>
      </c>
    </row>
    <row r="5156" spans="2:31" s="1" customFormat="1" ht="96.3" customHeight="1" outlineLevel="4">
      <c r="B5156" s="59">
        <v>4194</v>
      </c>
      <c r="C5156" s="35" t="s">
        <v>18316</v>
      </c>
      <c r="D5156" s="73" t="s">
        <v>18317</v>
      </c>
      <c r="E5156" s="73"/>
      <c r="F5156" s="73"/>
      <c r="G5156" s="73"/>
      <c r="H5156" s="36" t="s">
        <v>18318</v>
      </c>
      <c r="I5156" s="56" t="s">
        <v>36</v>
      </c>
      <c r="J5156" s="36"/>
      <c r="K5156" s="34">
        <v>7</v>
      </c>
      <c r="L5156" s="41">
        <v>44.693333333333335</v>
      </c>
      <c r="M5156" s="11"/>
      <c r="N5156" s="36">
        <f t="shared" si="275"/>
        <v>0</v>
      </c>
      <c r="O5156" s="47">
        <f t="shared" si="282"/>
        <v>0</v>
      </c>
      <c r="P5156" s="43">
        <f t="shared" si="283"/>
        <v>0</v>
      </c>
      <c r="Q5156" s="50"/>
      <c r="R5156" s="36" t="s">
        <v>18319</v>
      </c>
      <c r="S5156" s="36" t="s">
        <v>435</v>
      </c>
      <c r="T5156" s="35" t="str">
        <f>HYPERLINK("https://miland.ru/api/getInfo/image/d5fe6295-19ba-11e9-a21c-ac1f6b442184")</f>
        <v>https://miland.ru/api/getInfo/image/d5fe6295-19ba-11e9-a21c-ac1f6b442184</v>
      </c>
      <c r="U5156" s="35"/>
      <c r="V5156" s="35" t="s">
        <v>11948</v>
      </c>
      <c r="W5156" s="35" t="s">
        <v>1630</v>
      </c>
      <c r="X5156" s="35"/>
      <c r="Y5156" s="35" t="s">
        <v>697</v>
      </c>
      <c r="Z5156" s="35"/>
      <c r="AA5156" s="35" t="str">
        <f>HYPERLINK("https://miland.ru/api/getInfo/item/d5fe6295-19ba-11e9-a21c-ac1f6b442184")</f>
        <v>https://miland.ru/api/getInfo/item/d5fe6295-19ba-11e9-a21c-ac1f6b442184</v>
      </c>
      <c r="AB5156" s="35" t="s">
        <v>42</v>
      </c>
      <c r="AC5156" s="35" t="s">
        <v>17735</v>
      </c>
      <c r="AD5156" s="35"/>
      <c r="AE5156" s="52" t="s">
        <v>1251</v>
      </c>
    </row>
    <row r="5157" spans="2:31" s="1" customFormat="1" ht="96.3" customHeight="1" outlineLevel="4">
      <c r="B5157" s="59">
        <v>4195</v>
      </c>
      <c r="C5157" s="35" t="s">
        <v>18320</v>
      </c>
      <c r="D5157" s="73" t="s">
        <v>18321</v>
      </c>
      <c r="E5157" s="73"/>
      <c r="F5157" s="73"/>
      <c r="G5157" s="73"/>
      <c r="H5157" s="36" t="s">
        <v>18322</v>
      </c>
      <c r="I5157" s="56" t="s">
        <v>36</v>
      </c>
      <c r="J5157" s="36"/>
      <c r="K5157" s="34">
        <v>7</v>
      </c>
      <c r="L5157" s="41">
        <v>44.693333333333335</v>
      </c>
      <c r="M5157" s="11"/>
      <c r="N5157" s="36">
        <f t="shared" si="275"/>
        <v>0</v>
      </c>
      <c r="O5157" s="47">
        <f t="shared" si="282"/>
        <v>0</v>
      </c>
      <c r="P5157" s="43">
        <f t="shared" si="283"/>
        <v>0</v>
      </c>
      <c r="Q5157" s="50"/>
      <c r="R5157" s="36" t="s">
        <v>18323</v>
      </c>
      <c r="S5157" s="36" t="s">
        <v>435</v>
      </c>
      <c r="T5157" s="35" t="str">
        <f>HYPERLINK("https://miland.ru/api/getInfo/image/f31baa5f-19ba-11e9-a21c-ac1f6b442184")</f>
        <v>https://miland.ru/api/getInfo/image/f31baa5f-19ba-11e9-a21c-ac1f6b442184</v>
      </c>
      <c r="U5157" s="35"/>
      <c r="V5157" s="35" t="s">
        <v>11948</v>
      </c>
      <c r="W5157" s="35" t="s">
        <v>1630</v>
      </c>
      <c r="X5157" s="35"/>
      <c r="Y5157" s="35" t="s">
        <v>697</v>
      </c>
      <c r="Z5157" s="35"/>
      <c r="AA5157" s="35" t="str">
        <f>HYPERLINK("https://miland.ru/api/getInfo/item/f31baa5f-19ba-11e9-a21c-ac1f6b442184")</f>
        <v>https://miland.ru/api/getInfo/item/f31baa5f-19ba-11e9-a21c-ac1f6b442184</v>
      </c>
      <c r="AB5157" s="35" t="s">
        <v>42</v>
      </c>
      <c r="AC5157" s="35" t="s">
        <v>17735</v>
      </c>
      <c r="AD5157" s="35"/>
      <c r="AE5157" s="52" t="s">
        <v>1251</v>
      </c>
    </row>
    <row r="5158" spans="2:31" s="1" customFormat="1" ht="96.3" customHeight="1" outlineLevel="4">
      <c r="B5158" s="59">
        <v>4196</v>
      </c>
      <c r="C5158" s="35" t="s">
        <v>18324</v>
      </c>
      <c r="D5158" s="73" t="s">
        <v>18325</v>
      </c>
      <c r="E5158" s="73"/>
      <c r="F5158" s="73"/>
      <c r="G5158" s="73"/>
      <c r="H5158" s="36" t="s">
        <v>18326</v>
      </c>
      <c r="I5158" s="56" t="s">
        <v>36</v>
      </c>
      <c r="J5158" s="36"/>
      <c r="K5158" s="34">
        <v>7</v>
      </c>
      <c r="L5158" s="41">
        <v>44.693333333333335</v>
      </c>
      <c r="M5158" s="11"/>
      <c r="N5158" s="36">
        <f t="shared" si="275"/>
        <v>0</v>
      </c>
      <c r="O5158" s="47">
        <f t="shared" si="282"/>
        <v>0</v>
      </c>
      <c r="P5158" s="43">
        <f t="shared" si="283"/>
        <v>0</v>
      </c>
      <c r="Q5158" s="50"/>
      <c r="R5158" s="36" t="s">
        <v>18327</v>
      </c>
      <c r="S5158" s="36" t="s">
        <v>435</v>
      </c>
      <c r="T5158" s="35" t="str">
        <f>HYPERLINK("https://miland.ru/api/getInfo/image/105620f8-19bb-11e9-a21c-ac1f6b442184")</f>
        <v>https://miland.ru/api/getInfo/image/105620f8-19bb-11e9-a21c-ac1f6b442184</v>
      </c>
      <c r="U5158" s="35"/>
      <c r="V5158" s="35" t="s">
        <v>11948</v>
      </c>
      <c r="W5158" s="35" t="s">
        <v>1630</v>
      </c>
      <c r="X5158" s="35"/>
      <c r="Y5158" s="35" t="s">
        <v>697</v>
      </c>
      <c r="Z5158" s="35"/>
      <c r="AA5158" s="35" t="str">
        <f>HYPERLINK("https://miland.ru/api/getInfo/item/105620f8-19bb-11e9-a21c-ac1f6b442184")</f>
        <v>https://miland.ru/api/getInfo/item/105620f8-19bb-11e9-a21c-ac1f6b442184</v>
      </c>
      <c r="AB5158" s="35" t="s">
        <v>42</v>
      </c>
      <c r="AC5158" s="35" t="s">
        <v>17735</v>
      </c>
      <c r="AD5158" s="35"/>
      <c r="AE5158" s="52" t="s">
        <v>1251</v>
      </c>
    </row>
    <row r="5159" spans="2:31" s="1" customFormat="1" ht="96.3" customHeight="1" outlineLevel="4">
      <c r="B5159" s="59">
        <v>4197</v>
      </c>
      <c r="C5159" s="35" t="s">
        <v>18328</v>
      </c>
      <c r="D5159" s="73" t="s">
        <v>18329</v>
      </c>
      <c r="E5159" s="73"/>
      <c r="F5159" s="73"/>
      <c r="G5159" s="73"/>
      <c r="H5159" s="36" t="s">
        <v>18330</v>
      </c>
      <c r="I5159" s="56" t="s">
        <v>36</v>
      </c>
      <c r="J5159" s="36"/>
      <c r="K5159" s="34">
        <v>7</v>
      </c>
      <c r="L5159" s="41">
        <v>44.693333333333335</v>
      </c>
      <c r="M5159" s="11"/>
      <c r="N5159" s="36">
        <f t="shared" si="275"/>
        <v>0</v>
      </c>
      <c r="O5159" s="47">
        <f t="shared" si="282"/>
        <v>0</v>
      </c>
      <c r="P5159" s="43">
        <f t="shared" si="283"/>
        <v>0</v>
      </c>
      <c r="Q5159" s="50"/>
      <c r="R5159" s="36" t="s">
        <v>18331</v>
      </c>
      <c r="S5159" s="36" t="s">
        <v>435</v>
      </c>
      <c r="T5159" s="35" t="str">
        <f>HYPERLINK("https://miland.ru/api/getInfo/image/33e6d22d-19bb-11e9-a21c-ac1f6b442184")</f>
        <v>https://miland.ru/api/getInfo/image/33e6d22d-19bb-11e9-a21c-ac1f6b442184</v>
      </c>
      <c r="U5159" s="35"/>
      <c r="V5159" s="35" t="s">
        <v>11948</v>
      </c>
      <c r="W5159" s="35" t="s">
        <v>1630</v>
      </c>
      <c r="X5159" s="35"/>
      <c r="Y5159" s="35" t="s">
        <v>697</v>
      </c>
      <c r="Z5159" s="35"/>
      <c r="AA5159" s="35" t="str">
        <f>HYPERLINK("https://miland.ru/api/getInfo/item/33e6d22d-19bb-11e9-a21c-ac1f6b442184")</f>
        <v>https://miland.ru/api/getInfo/item/33e6d22d-19bb-11e9-a21c-ac1f6b442184</v>
      </c>
      <c r="AB5159" s="35" t="s">
        <v>42</v>
      </c>
      <c r="AC5159" s="35" t="s">
        <v>17735</v>
      </c>
      <c r="AD5159" s="35"/>
      <c r="AE5159" s="52" t="s">
        <v>1251</v>
      </c>
    </row>
    <row r="5160" spans="2:31" s="1" customFormat="1" ht="96.3" customHeight="1" outlineLevel="4">
      <c r="B5160" s="59">
        <v>4198</v>
      </c>
      <c r="C5160" s="35" t="s">
        <v>18332</v>
      </c>
      <c r="D5160" s="73" t="s">
        <v>18333</v>
      </c>
      <c r="E5160" s="73"/>
      <c r="F5160" s="73"/>
      <c r="G5160" s="73"/>
      <c r="H5160" s="36" t="s">
        <v>18334</v>
      </c>
      <c r="I5160" s="56" t="s">
        <v>36</v>
      </c>
      <c r="J5160" s="36"/>
      <c r="K5160" s="34">
        <v>7</v>
      </c>
      <c r="L5160" s="41">
        <v>44.693333333333335</v>
      </c>
      <c r="M5160" s="11"/>
      <c r="N5160" s="36">
        <f t="shared" si="275"/>
        <v>0</v>
      </c>
      <c r="O5160" s="47">
        <f t="shared" si="282"/>
        <v>0</v>
      </c>
      <c r="P5160" s="43">
        <f t="shared" si="283"/>
        <v>0</v>
      </c>
      <c r="Q5160" s="50"/>
      <c r="R5160" s="36" t="s">
        <v>18335</v>
      </c>
      <c r="S5160" s="36" t="s">
        <v>435</v>
      </c>
      <c r="T5160" s="35" t="str">
        <f>HYPERLINK("https://miland.ru/api/getInfo/image/4f325b49-19bb-11e9-a21c-ac1f6b442184")</f>
        <v>https://miland.ru/api/getInfo/image/4f325b49-19bb-11e9-a21c-ac1f6b442184</v>
      </c>
      <c r="U5160" s="35"/>
      <c r="V5160" s="35" t="s">
        <v>11948</v>
      </c>
      <c r="W5160" s="35" t="s">
        <v>1630</v>
      </c>
      <c r="X5160" s="35"/>
      <c r="Y5160" s="35" t="s">
        <v>697</v>
      </c>
      <c r="Z5160" s="35"/>
      <c r="AA5160" s="35" t="str">
        <f>HYPERLINK("https://miland.ru/api/getInfo/item/4f325b49-19bb-11e9-a21c-ac1f6b442184")</f>
        <v>https://miland.ru/api/getInfo/item/4f325b49-19bb-11e9-a21c-ac1f6b442184</v>
      </c>
      <c r="AB5160" s="35" t="s">
        <v>42</v>
      </c>
      <c r="AC5160" s="35" t="s">
        <v>17735</v>
      </c>
      <c r="AD5160" s="35"/>
      <c r="AE5160" s="52" t="s">
        <v>1251</v>
      </c>
    </row>
    <row r="5161" spans="2:31" s="1" customFormat="1" ht="96.3" customHeight="1" outlineLevel="4">
      <c r="B5161" s="59">
        <v>4199</v>
      </c>
      <c r="C5161" s="35" t="s">
        <v>18336</v>
      </c>
      <c r="D5161" s="73" t="s">
        <v>18337</v>
      </c>
      <c r="E5161" s="73"/>
      <c r="F5161" s="73"/>
      <c r="G5161" s="73"/>
      <c r="H5161" s="36" t="s">
        <v>18338</v>
      </c>
      <c r="I5161" s="56" t="s">
        <v>36</v>
      </c>
      <c r="J5161" s="36"/>
      <c r="K5161" s="34">
        <v>7</v>
      </c>
      <c r="L5161" s="41">
        <v>44.693333333333335</v>
      </c>
      <c r="M5161" s="11"/>
      <c r="N5161" s="36">
        <f t="shared" si="275"/>
        <v>0</v>
      </c>
      <c r="O5161" s="47">
        <f t="shared" si="282"/>
        <v>0</v>
      </c>
      <c r="P5161" s="43">
        <f t="shared" si="283"/>
        <v>0</v>
      </c>
      <c r="Q5161" s="50"/>
      <c r="R5161" s="36" t="s">
        <v>18339</v>
      </c>
      <c r="S5161" s="36" t="s">
        <v>435</v>
      </c>
      <c r="T5161" s="35" t="str">
        <f>HYPERLINK("https://miland.ru/api/getInfo/image/6d8cbc4f-19bb-11e9-a21c-ac1f6b442184")</f>
        <v>https://miland.ru/api/getInfo/image/6d8cbc4f-19bb-11e9-a21c-ac1f6b442184</v>
      </c>
      <c r="U5161" s="35"/>
      <c r="V5161" s="35" t="s">
        <v>11948</v>
      </c>
      <c r="W5161" s="35" t="s">
        <v>1630</v>
      </c>
      <c r="X5161" s="35"/>
      <c r="Y5161" s="35" t="s">
        <v>697</v>
      </c>
      <c r="Z5161" s="35"/>
      <c r="AA5161" s="35" t="str">
        <f>HYPERLINK("https://miland.ru/api/getInfo/item/6d8cbc4f-19bb-11e9-a21c-ac1f6b442184")</f>
        <v>https://miland.ru/api/getInfo/item/6d8cbc4f-19bb-11e9-a21c-ac1f6b442184</v>
      </c>
      <c r="AB5161" s="35" t="s">
        <v>42</v>
      </c>
      <c r="AC5161" s="35" t="s">
        <v>17735</v>
      </c>
      <c r="AD5161" s="35"/>
      <c r="AE5161" s="52" t="s">
        <v>1251</v>
      </c>
    </row>
    <row r="5162" spans="2:31" s="1" customFormat="1" ht="96.3" customHeight="1" outlineLevel="4">
      <c r="B5162" s="59">
        <v>4200</v>
      </c>
      <c r="C5162" s="35" t="s">
        <v>18340</v>
      </c>
      <c r="D5162" s="73" t="s">
        <v>18341</v>
      </c>
      <c r="E5162" s="73"/>
      <c r="F5162" s="73"/>
      <c r="G5162" s="73"/>
      <c r="H5162" s="36" t="s">
        <v>18342</v>
      </c>
      <c r="I5162" s="56" t="s">
        <v>36</v>
      </c>
      <c r="J5162" s="36"/>
      <c r="K5162" s="34">
        <v>7</v>
      </c>
      <c r="L5162" s="41">
        <v>44.693333333333335</v>
      </c>
      <c r="M5162" s="11"/>
      <c r="N5162" s="36">
        <f t="shared" si="275"/>
        <v>0</v>
      </c>
      <c r="O5162" s="47">
        <f t="shared" si="282"/>
        <v>0</v>
      </c>
      <c r="P5162" s="43">
        <f t="shared" si="283"/>
        <v>0</v>
      </c>
      <c r="Q5162" s="50"/>
      <c r="R5162" s="36" t="s">
        <v>18343</v>
      </c>
      <c r="S5162" s="36" t="s">
        <v>435</v>
      </c>
      <c r="T5162" s="35" t="str">
        <f>HYPERLINK("https://miland.ru/api/getInfo/image/8c19609f-19bb-11e9-a21c-ac1f6b442184")</f>
        <v>https://miland.ru/api/getInfo/image/8c19609f-19bb-11e9-a21c-ac1f6b442184</v>
      </c>
      <c r="U5162" s="35"/>
      <c r="V5162" s="35" t="s">
        <v>11948</v>
      </c>
      <c r="W5162" s="35" t="s">
        <v>1630</v>
      </c>
      <c r="X5162" s="35"/>
      <c r="Y5162" s="35" t="s">
        <v>697</v>
      </c>
      <c r="Z5162" s="35"/>
      <c r="AA5162" s="35" t="str">
        <f>HYPERLINK("https://miland.ru/api/getInfo/item/8c19609f-19bb-11e9-a21c-ac1f6b442184")</f>
        <v>https://miland.ru/api/getInfo/item/8c19609f-19bb-11e9-a21c-ac1f6b442184</v>
      </c>
      <c r="AB5162" s="35" t="s">
        <v>42</v>
      </c>
      <c r="AC5162" s="35" t="s">
        <v>17735</v>
      </c>
      <c r="AD5162" s="35"/>
      <c r="AE5162" s="52" t="s">
        <v>1251</v>
      </c>
    </row>
    <row r="5163" spans="2:31" s="1" customFormat="1" ht="96.3" customHeight="1" outlineLevel="4">
      <c r="B5163" s="59">
        <v>4201</v>
      </c>
      <c r="C5163" s="35" t="s">
        <v>18344</v>
      </c>
      <c r="D5163" s="73" t="s">
        <v>18345</v>
      </c>
      <c r="E5163" s="73"/>
      <c r="F5163" s="73"/>
      <c r="G5163" s="73"/>
      <c r="H5163" s="36" t="s">
        <v>18346</v>
      </c>
      <c r="I5163" s="40">
        <v>432</v>
      </c>
      <c r="J5163" s="36"/>
      <c r="K5163" s="34">
        <v>10</v>
      </c>
      <c r="L5163" s="41">
        <v>25.333333333333332</v>
      </c>
      <c r="M5163" s="11"/>
      <c r="N5163" s="36">
        <f t="shared" si="275"/>
        <v>0</v>
      </c>
      <c r="O5163" s="42">
        <f>0.047*M5163</f>
        <v>0</v>
      </c>
      <c r="P5163" s="43">
        <f>0.00015*M5163</f>
        <v>0</v>
      </c>
      <c r="Q5163" s="50"/>
      <c r="R5163" s="36" t="s">
        <v>18347</v>
      </c>
      <c r="S5163" s="36" t="s">
        <v>435</v>
      </c>
      <c r="T5163" s="35" t="str">
        <f>HYPERLINK("https://miland.ru/api/getInfo/image/9338cab7-dc0b-11ec-a213-ac1f6b442185")</f>
        <v>https://miland.ru/api/getInfo/image/9338cab7-dc0b-11ec-a213-ac1f6b442185</v>
      </c>
      <c r="U5163" s="35"/>
      <c r="V5163" s="35" t="s">
        <v>11948</v>
      </c>
      <c r="W5163" s="35" t="s">
        <v>1630</v>
      </c>
      <c r="X5163" s="35"/>
      <c r="Y5163" s="35" t="s">
        <v>697</v>
      </c>
      <c r="Z5163" s="35"/>
      <c r="AA5163" s="35" t="str">
        <f>HYPERLINK("https://miland.ru/api/getInfo/item/9338cab7-dc0b-11ec-a213-ac1f6b442185")</f>
        <v>https://miland.ru/api/getInfo/item/9338cab7-dc0b-11ec-a213-ac1f6b442185</v>
      </c>
      <c r="AB5163" s="35" t="s">
        <v>42</v>
      </c>
      <c r="AC5163" s="35"/>
      <c r="AD5163" s="35"/>
      <c r="AE5163" s="52" t="s">
        <v>1251</v>
      </c>
    </row>
    <row r="5164" spans="2:31" s="1" customFormat="1" ht="96.3" customHeight="1" outlineLevel="4">
      <c r="B5164" s="59">
        <v>4202</v>
      </c>
      <c r="C5164" s="35" t="s">
        <v>18348</v>
      </c>
      <c r="D5164" s="73" t="s">
        <v>18349</v>
      </c>
      <c r="E5164" s="73"/>
      <c r="F5164" s="73"/>
      <c r="G5164" s="73"/>
      <c r="H5164" s="36" t="s">
        <v>18350</v>
      </c>
      <c r="I5164" s="40">
        <v>297</v>
      </c>
      <c r="J5164" s="36"/>
      <c r="K5164" s="34">
        <v>10</v>
      </c>
      <c r="L5164" s="41">
        <v>25.333333333333332</v>
      </c>
      <c r="M5164" s="11"/>
      <c r="N5164" s="36">
        <f t="shared" si="275"/>
        <v>0</v>
      </c>
      <c r="O5164" s="42">
        <f>0.032*M5164</f>
        <v>0</v>
      </c>
      <c r="P5164" s="43">
        <f>0.00015*M5164</f>
        <v>0</v>
      </c>
      <c r="Q5164" s="50"/>
      <c r="R5164" s="36" t="s">
        <v>18351</v>
      </c>
      <c r="S5164" s="36" t="s">
        <v>435</v>
      </c>
      <c r="T5164" s="35" t="str">
        <f>HYPERLINK("https://miland.ru/api/getInfo/image/5b2b7421-dc0b-11ec-a213-ac1f6b442185")</f>
        <v>https://miland.ru/api/getInfo/image/5b2b7421-dc0b-11ec-a213-ac1f6b442185</v>
      </c>
      <c r="U5164" s="35"/>
      <c r="V5164" s="35" t="s">
        <v>11948</v>
      </c>
      <c r="W5164" s="35" t="s">
        <v>1630</v>
      </c>
      <c r="X5164" s="35"/>
      <c r="Y5164" s="35" t="s">
        <v>697</v>
      </c>
      <c r="Z5164" s="35"/>
      <c r="AA5164" s="35" t="str">
        <f>HYPERLINK("https://miland.ru/api/getInfo/item/5b2b7421-dc0b-11ec-a213-ac1f6b442185")</f>
        <v>https://miland.ru/api/getInfo/item/5b2b7421-dc0b-11ec-a213-ac1f6b442185</v>
      </c>
      <c r="AB5164" s="35" t="s">
        <v>42</v>
      </c>
      <c r="AC5164" s="35"/>
      <c r="AD5164" s="35"/>
      <c r="AE5164" s="52" t="s">
        <v>1251</v>
      </c>
    </row>
    <row r="5165" spans="2:31" s="1" customFormat="1" ht="96.3" customHeight="1" outlineLevel="4">
      <c r="B5165" s="59">
        <v>4203</v>
      </c>
      <c r="C5165" s="35" t="s">
        <v>18352</v>
      </c>
      <c r="D5165" s="73" t="s">
        <v>18353</v>
      </c>
      <c r="E5165" s="73"/>
      <c r="F5165" s="73"/>
      <c r="G5165" s="73"/>
      <c r="H5165" s="36" t="s">
        <v>18354</v>
      </c>
      <c r="I5165" s="56" t="s">
        <v>36</v>
      </c>
      <c r="J5165" s="36"/>
      <c r="K5165" s="34">
        <v>10</v>
      </c>
      <c r="L5165" s="41">
        <v>25.333333333333332</v>
      </c>
      <c r="M5165" s="11"/>
      <c r="N5165" s="36">
        <f t="shared" si="275"/>
        <v>0</v>
      </c>
      <c r="O5165" s="47">
        <f>0.03*M5165</f>
        <v>0</v>
      </c>
      <c r="P5165" s="43">
        <f>0.00015*M5165</f>
        <v>0</v>
      </c>
      <c r="Q5165" s="50"/>
      <c r="R5165" s="36" t="s">
        <v>18355</v>
      </c>
      <c r="S5165" s="36" t="s">
        <v>435</v>
      </c>
      <c r="T5165" s="35" t="str">
        <f>HYPERLINK("https://miland.ru/api/getInfo/image/fe5676e0-dc0d-11ec-a213-ac1f6b442185")</f>
        <v>https://miland.ru/api/getInfo/image/fe5676e0-dc0d-11ec-a213-ac1f6b442185</v>
      </c>
      <c r="U5165" s="35"/>
      <c r="V5165" s="35" t="s">
        <v>11948</v>
      </c>
      <c r="W5165" s="35" t="s">
        <v>1630</v>
      </c>
      <c r="X5165" s="35"/>
      <c r="Y5165" s="35" t="s">
        <v>697</v>
      </c>
      <c r="Z5165" s="35"/>
      <c r="AA5165" s="35" t="str">
        <f>HYPERLINK("https://miland.ru/api/getInfo/item/fe5676e0-dc0d-11ec-a213-ac1f6b442185")</f>
        <v>https://miland.ru/api/getInfo/item/fe5676e0-dc0d-11ec-a213-ac1f6b442185</v>
      </c>
      <c r="AB5165" s="35" t="s">
        <v>42</v>
      </c>
      <c r="AC5165" s="35"/>
      <c r="AD5165" s="35"/>
      <c r="AE5165" s="52" t="s">
        <v>1251</v>
      </c>
    </row>
    <row r="5166" spans="2:31" s="1" customFormat="1" ht="96.3" customHeight="1" outlineLevel="4">
      <c r="B5166" s="59">
        <v>4204</v>
      </c>
      <c r="C5166" s="35" t="s">
        <v>18356</v>
      </c>
      <c r="D5166" s="73" t="s">
        <v>18357</v>
      </c>
      <c r="E5166" s="73"/>
      <c r="F5166" s="73"/>
      <c r="G5166" s="73"/>
      <c r="H5166" s="36" t="s">
        <v>18358</v>
      </c>
      <c r="I5166" s="40">
        <v>211</v>
      </c>
      <c r="J5166" s="36"/>
      <c r="K5166" s="34">
        <v>10</v>
      </c>
      <c r="L5166" s="41">
        <v>25.333333333333332</v>
      </c>
      <c r="M5166" s="11"/>
      <c r="N5166" s="36">
        <f t="shared" si="275"/>
        <v>0</v>
      </c>
      <c r="O5166" s="42">
        <f>0.023*M5166</f>
        <v>0</v>
      </c>
      <c r="P5166" s="43">
        <f>0.00016*M5166</f>
        <v>0</v>
      </c>
      <c r="Q5166" s="50"/>
      <c r="R5166" s="36" t="s">
        <v>18359</v>
      </c>
      <c r="S5166" s="36" t="s">
        <v>435</v>
      </c>
      <c r="T5166" s="35" t="str">
        <f>HYPERLINK("https://miland.ru/api/getInfo/image/66a12c02-dc0d-11ec-a213-ac1f6b442185")</f>
        <v>https://miland.ru/api/getInfo/image/66a12c02-dc0d-11ec-a213-ac1f6b442185</v>
      </c>
      <c r="U5166" s="35"/>
      <c r="V5166" s="35" t="s">
        <v>11948</v>
      </c>
      <c r="W5166" s="35" t="s">
        <v>1630</v>
      </c>
      <c r="X5166" s="35"/>
      <c r="Y5166" s="35" t="s">
        <v>697</v>
      </c>
      <c r="Z5166" s="35"/>
      <c r="AA5166" s="35" t="str">
        <f>HYPERLINK("https://miland.ru/api/getInfo/item/66a12c02-dc0d-11ec-a213-ac1f6b442185")</f>
        <v>https://miland.ru/api/getInfo/item/66a12c02-dc0d-11ec-a213-ac1f6b442185</v>
      </c>
      <c r="AB5166" s="35" t="s">
        <v>42</v>
      </c>
      <c r="AC5166" s="35"/>
      <c r="AD5166" s="35"/>
      <c r="AE5166" s="52" t="s">
        <v>1251</v>
      </c>
    </row>
    <row r="5167" spans="2:31" s="1" customFormat="1" ht="96.3" customHeight="1" outlineLevel="4">
      <c r="B5167" s="59">
        <v>4205</v>
      </c>
      <c r="C5167" s="35" t="s">
        <v>18360</v>
      </c>
      <c r="D5167" s="73" t="s">
        <v>18361</v>
      </c>
      <c r="E5167" s="73"/>
      <c r="F5167" s="73"/>
      <c r="G5167" s="73"/>
      <c r="H5167" s="36" t="s">
        <v>18362</v>
      </c>
      <c r="I5167" s="56" t="s">
        <v>36</v>
      </c>
      <c r="J5167" s="36"/>
      <c r="K5167" s="34">
        <v>10</v>
      </c>
      <c r="L5167" s="41">
        <v>25.333333333333332</v>
      </c>
      <c r="M5167" s="11"/>
      <c r="N5167" s="36">
        <f t="shared" si="275"/>
        <v>0</v>
      </c>
      <c r="O5167" s="42">
        <f>0.039*M5167</f>
        <v>0</v>
      </c>
      <c r="P5167" s="43">
        <f>0.00016*M5167</f>
        <v>0</v>
      </c>
      <c r="Q5167" s="50"/>
      <c r="R5167" s="36" t="s">
        <v>18363</v>
      </c>
      <c r="S5167" s="36" t="s">
        <v>435</v>
      </c>
      <c r="T5167" s="35" t="str">
        <f>HYPERLINK("https://miland.ru/api/getInfo/image/cdba2daf-dc0d-11ec-a213-ac1f6b442185")</f>
        <v>https://miland.ru/api/getInfo/image/cdba2daf-dc0d-11ec-a213-ac1f6b442185</v>
      </c>
      <c r="U5167" s="35"/>
      <c r="V5167" s="35" t="s">
        <v>11948</v>
      </c>
      <c r="W5167" s="35" t="s">
        <v>1630</v>
      </c>
      <c r="X5167" s="35"/>
      <c r="Y5167" s="35" t="s">
        <v>697</v>
      </c>
      <c r="Z5167" s="35"/>
      <c r="AA5167" s="35" t="str">
        <f>HYPERLINK("https://miland.ru/api/getInfo/item/cdba2daf-dc0d-11ec-a213-ac1f6b442185")</f>
        <v>https://miland.ru/api/getInfo/item/cdba2daf-dc0d-11ec-a213-ac1f6b442185</v>
      </c>
      <c r="AB5167" s="35" t="s">
        <v>42</v>
      </c>
      <c r="AC5167" s="35"/>
      <c r="AD5167" s="35"/>
      <c r="AE5167" s="52" t="s">
        <v>1251</v>
      </c>
    </row>
    <row r="5168" spans="2:31" s="1" customFormat="1" ht="96.3" customHeight="1" outlineLevel="4">
      <c r="B5168" s="59">
        <v>4206</v>
      </c>
      <c r="C5168" s="35" t="s">
        <v>18364</v>
      </c>
      <c r="D5168" s="73" t="s">
        <v>18365</v>
      </c>
      <c r="E5168" s="73"/>
      <c r="F5168" s="73"/>
      <c r="G5168" s="73"/>
      <c r="H5168" s="36" t="s">
        <v>18366</v>
      </c>
      <c r="I5168" s="56" t="s">
        <v>36</v>
      </c>
      <c r="J5168" s="36"/>
      <c r="K5168" s="34">
        <v>10</v>
      </c>
      <c r="L5168" s="41">
        <v>25.333333333333332</v>
      </c>
      <c r="M5168" s="11"/>
      <c r="N5168" s="36">
        <f t="shared" si="275"/>
        <v>0</v>
      </c>
      <c r="O5168" s="42">
        <f>0.041*M5168</f>
        <v>0</v>
      </c>
      <c r="P5168" s="43">
        <f>0.00015*M5168</f>
        <v>0</v>
      </c>
      <c r="Q5168" s="50"/>
      <c r="R5168" s="36" t="s">
        <v>18367</v>
      </c>
      <c r="S5168" s="36" t="s">
        <v>435</v>
      </c>
      <c r="T5168" s="35" t="str">
        <f>HYPERLINK("https://miland.ru/api/getInfo/image/050553e0-dc14-11ec-a213-ac1f6b442185")</f>
        <v>https://miland.ru/api/getInfo/image/050553e0-dc14-11ec-a213-ac1f6b442185</v>
      </c>
      <c r="U5168" s="35"/>
      <c r="V5168" s="35" t="s">
        <v>11948</v>
      </c>
      <c r="W5168" s="35" t="s">
        <v>1630</v>
      </c>
      <c r="X5168" s="35"/>
      <c r="Y5168" s="35" t="s">
        <v>697</v>
      </c>
      <c r="Z5168" s="35"/>
      <c r="AA5168" s="35" t="str">
        <f>HYPERLINK("https://miland.ru/api/getInfo/item/050553e0-dc14-11ec-a213-ac1f6b442185")</f>
        <v>https://miland.ru/api/getInfo/item/050553e0-dc14-11ec-a213-ac1f6b442185</v>
      </c>
      <c r="AB5168" s="35" t="s">
        <v>42</v>
      </c>
      <c r="AC5168" s="35"/>
      <c r="AD5168" s="35"/>
      <c r="AE5168" s="52" t="s">
        <v>1251</v>
      </c>
    </row>
    <row r="5169" spans="2:31" s="1" customFormat="1" ht="96.3" customHeight="1" outlineLevel="4">
      <c r="B5169" s="59">
        <v>4207</v>
      </c>
      <c r="C5169" s="35" t="s">
        <v>18368</v>
      </c>
      <c r="D5169" s="73" t="s">
        <v>18369</v>
      </c>
      <c r="E5169" s="73"/>
      <c r="F5169" s="73"/>
      <c r="G5169" s="73"/>
      <c r="H5169" s="36" t="s">
        <v>18370</v>
      </c>
      <c r="I5169" s="56" t="s">
        <v>36</v>
      </c>
      <c r="J5169" s="36"/>
      <c r="K5169" s="34">
        <v>10</v>
      </c>
      <c r="L5169" s="41">
        <v>25.333333333333332</v>
      </c>
      <c r="M5169" s="11"/>
      <c r="N5169" s="36">
        <f t="shared" si="275"/>
        <v>0</v>
      </c>
      <c r="O5169" s="42">
        <f>0.039*M5169</f>
        <v>0</v>
      </c>
      <c r="P5169" s="43">
        <f>0.00017*M5169</f>
        <v>0</v>
      </c>
      <c r="Q5169" s="50"/>
      <c r="R5169" s="36" t="s">
        <v>18371</v>
      </c>
      <c r="S5169" s="36" t="s">
        <v>435</v>
      </c>
      <c r="T5169" s="35" t="str">
        <f>HYPERLINK("https://miland.ru/api/getInfo/image/6b505d98-dc0e-11ec-a213-ac1f6b442185")</f>
        <v>https://miland.ru/api/getInfo/image/6b505d98-dc0e-11ec-a213-ac1f6b442185</v>
      </c>
      <c r="U5169" s="35"/>
      <c r="V5169" s="35" t="s">
        <v>11948</v>
      </c>
      <c r="W5169" s="35" t="s">
        <v>1630</v>
      </c>
      <c r="X5169" s="35"/>
      <c r="Y5169" s="35" t="s">
        <v>697</v>
      </c>
      <c r="Z5169" s="35"/>
      <c r="AA5169" s="35" t="str">
        <f>HYPERLINK("https://miland.ru/api/getInfo/item/6b505d98-dc0e-11ec-a213-ac1f6b442185")</f>
        <v>https://miland.ru/api/getInfo/item/6b505d98-dc0e-11ec-a213-ac1f6b442185</v>
      </c>
      <c r="AB5169" s="35" t="s">
        <v>42</v>
      </c>
      <c r="AC5169" s="35"/>
      <c r="AD5169" s="35"/>
      <c r="AE5169" s="52" t="s">
        <v>1251</v>
      </c>
    </row>
    <row r="5170" spans="2:31" s="1" customFormat="1" ht="96.3" customHeight="1" outlineLevel="4">
      <c r="B5170" s="59">
        <v>4208</v>
      </c>
      <c r="C5170" s="35" t="s">
        <v>18372</v>
      </c>
      <c r="D5170" s="73" t="s">
        <v>18373</v>
      </c>
      <c r="E5170" s="73"/>
      <c r="F5170" s="73"/>
      <c r="G5170" s="73"/>
      <c r="H5170" s="36" t="s">
        <v>18374</v>
      </c>
      <c r="I5170" s="56" t="s">
        <v>36</v>
      </c>
      <c r="J5170" s="36"/>
      <c r="K5170" s="34">
        <v>10</v>
      </c>
      <c r="L5170" s="41">
        <v>25.333333333333332</v>
      </c>
      <c r="M5170" s="11"/>
      <c r="N5170" s="36">
        <f t="shared" si="275"/>
        <v>0</v>
      </c>
      <c r="O5170" s="42">
        <f>0.034*M5170</f>
        <v>0</v>
      </c>
      <c r="P5170" s="43">
        <f>0.00016*M5170</f>
        <v>0</v>
      </c>
      <c r="Q5170" s="50"/>
      <c r="R5170" s="36" t="s">
        <v>18375</v>
      </c>
      <c r="S5170" s="36" t="s">
        <v>435</v>
      </c>
      <c r="T5170" s="35" t="str">
        <f>HYPERLINK("https://miland.ru/api/getInfo/image/a5e3e90d-dc0e-11ec-a213-ac1f6b442185")</f>
        <v>https://miland.ru/api/getInfo/image/a5e3e90d-dc0e-11ec-a213-ac1f6b442185</v>
      </c>
      <c r="U5170" s="35"/>
      <c r="V5170" s="35" t="s">
        <v>11948</v>
      </c>
      <c r="W5170" s="35" t="s">
        <v>1630</v>
      </c>
      <c r="X5170" s="35"/>
      <c r="Y5170" s="35" t="s">
        <v>697</v>
      </c>
      <c r="Z5170" s="35"/>
      <c r="AA5170" s="35" t="str">
        <f>HYPERLINK("https://miland.ru/api/getInfo/item/a5e3e90d-dc0e-11ec-a213-ac1f6b442185")</f>
        <v>https://miland.ru/api/getInfo/item/a5e3e90d-dc0e-11ec-a213-ac1f6b442185</v>
      </c>
      <c r="AB5170" s="35" t="s">
        <v>42</v>
      </c>
      <c r="AC5170" s="35"/>
      <c r="AD5170" s="35"/>
      <c r="AE5170" s="52" t="s">
        <v>1251</v>
      </c>
    </row>
    <row r="5171" spans="2:31" s="1" customFormat="1" ht="96.3" customHeight="1" outlineLevel="4">
      <c r="B5171" s="59">
        <v>4209</v>
      </c>
      <c r="C5171" s="35" t="s">
        <v>18376</v>
      </c>
      <c r="D5171" s="73" t="s">
        <v>18377</v>
      </c>
      <c r="E5171" s="73"/>
      <c r="F5171" s="73"/>
      <c r="G5171" s="73"/>
      <c r="H5171" s="36" t="s">
        <v>18378</v>
      </c>
      <c r="I5171" s="56" t="s">
        <v>36</v>
      </c>
      <c r="J5171" s="36"/>
      <c r="K5171" s="34">
        <v>10</v>
      </c>
      <c r="L5171" s="41">
        <v>25.333333333333332</v>
      </c>
      <c r="M5171" s="11"/>
      <c r="N5171" s="36">
        <f t="shared" si="275"/>
        <v>0</v>
      </c>
      <c r="O5171" s="42">
        <f>0.026*M5171</f>
        <v>0</v>
      </c>
      <c r="P5171" s="43">
        <f>0.00016*M5171</f>
        <v>0</v>
      </c>
      <c r="Q5171" s="50"/>
      <c r="R5171" s="36" t="s">
        <v>18379</v>
      </c>
      <c r="S5171" s="36" t="s">
        <v>435</v>
      </c>
      <c r="T5171" s="35" t="str">
        <f>HYPERLINK("https://miland.ru/api/getInfo/image/dc2518b6-dc0e-11ec-a213-ac1f6b442185")</f>
        <v>https://miland.ru/api/getInfo/image/dc2518b6-dc0e-11ec-a213-ac1f6b442185</v>
      </c>
      <c r="U5171" s="35"/>
      <c r="V5171" s="35" t="s">
        <v>11948</v>
      </c>
      <c r="W5171" s="35" t="s">
        <v>1630</v>
      </c>
      <c r="X5171" s="35"/>
      <c r="Y5171" s="35" t="s">
        <v>697</v>
      </c>
      <c r="Z5171" s="35"/>
      <c r="AA5171" s="35" t="str">
        <f>HYPERLINK("https://miland.ru/api/getInfo/item/dc2518b6-dc0e-11ec-a213-ac1f6b442185")</f>
        <v>https://miland.ru/api/getInfo/item/dc2518b6-dc0e-11ec-a213-ac1f6b442185</v>
      </c>
      <c r="AB5171" s="35" t="s">
        <v>42</v>
      </c>
      <c r="AC5171" s="35"/>
      <c r="AD5171" s="35"/>
      <c r="AE5171" s="52" t="s">
        <v>1251</v>
      </c>
    </row>
    <row r="5172" spans="2:31" s="1" customFormat="1" ht="96.3" customHeight="1" outlineLevel="4">
      <c r="B5172" s="59">
        <v>4210</v>
      </c>
      <c r="C5172" s="35" t="s">
        <v>18380</v>
      </c>
      <c r="D5172" s="73" t="s">
        <v>18381</v>
      </c>
      <c r="E5172" s="73"/>
      <c r="F5172" s="73"/>
      <c r="G5172" s="73"/>
      <c r="H5172" s="36" t="s">
        <v>18382</v>
      </c>
      <c r="I5172" s="40">
        <v>438</v>
      </c>
      <c r="J5172" s="36"/>
      <c r="K5172" s="34">
        <v>10</v>
      </c>
      <c r="L5172" s="41">
        <v>25.333333333333332</v>
      </c>
      <c r="M5172" s="11"/>
      <c r="N5172" s="36">
        <f t="shared" si="275"/>
        <v>0</v>
      </c>
      <c r="O5172" s="42">
        <f>0.037*M5172</f>
        <v>0</v>
      </c>
      <c r="P5172" s="43">
        <f>0.00015*M5172</f>
        <v>0</v>
      </c>
      <c r="Q5172" s="50"/>
      <c r="R5172" s="36" t="s">
        <v>18383</v>
      </c>
      <c r="S5172" s="36" t="s">
        <v>435</v>
      </c>
      <c r="T5172" s="35" t="str">
        <f>HYPERLINK("https://miland.ru/api/getInfo/image/08c72f76-dc0f-11ec-a213-ac1f6b442185")</f>
        <v>https://miland.ru/api/getInfo/image/08c72f76-dc0f-11ec-a213-ac1f6b442185</v>
      </c>
      <c r="U5172" s="35"/>
      <c r="V5172" s="35" t="s">
        <v>11948</v>
      </c>
      <c r="W5172" s="35" t="s">
        <v>1630</v>
      </c>
      <c r="X5172" s="35"/>
      <c r="Y5172" s="35" t="s">
        <v>697</v>
      </c>
      <c r="Z5172" s="35"/>
      <c r="AA5172" s="35" t="str">
        <f>HYPERLINK("https://miland.ru/api/getInfo/item/08c72f76-dc0f-11ec-a213-ac1f6b442185")</f>
        <v>https://miland.ru/api/getInfo/item/08c72f76-dc0f-11ec-a213-ac1f6b442185</v>
      </c>
      <c r="AB5172" s="35" t="s">
        <v>42</v>
      </c>
      <c r="AC5172" s="35"/>
      <c r="AD5172" s="35"/>
      <c r="AE5172" s="52" t="s">
        <v>1251</v>
      </c>
    </row>
    <row r="5173" spans="2:31" s="1" customFormat="1" ht="96.3" customHeight="1" outlineLevel="4">
      <c r="B5173" s="59">
        <v>4211</v>
      </c>
      <c r="C5173" s="35" t="s">
        <v>18384</v>
      </c>
      <c r="D5173" s="73" t="s">
        <v>18385</v>
      </c>
      <c r="E5173" s="73"/>
      <c r="F5173" s="73"/>
      <c r="G5173" s="73"/>
      <c r="H5173" s="36" t="s">
        <v>18386</v>
      </c>
      <c r="I5173" s="56" t="s">
        <v>36</v>
      </c>
      <c r="J5173" s="36"/>
      <c r="K5173" s="34">
        <v>10</v>
      </c>
      <c r="L5173" s="41">
        <v>25.333333333333332</v>
      </c>
      <c r="M5173" s="11"/>
      <c r="N5173" s="36">
        <f t="shared" si="275"/>
        <v>0</v>
      </c>
      <c r="O5173" s="42">
        <f>0.037*M5173</f>
        <v>0</v>
      </c>
      <c r="P5173" s="43">
        <f>0.00015*M5173</f>
        <v>0</v>
      </c>
      <c r="Q5173" s="50"/>
      <c r="R5173" s="36" t="s">
        <v>18387</v>
      </c>
      <c r="S5173" s="36" t="s">
        <v>435</v>
      </c>
      <c r="T5173" s="35" t="str">
        <f>HYPERLINK("https://miland.ru/api/getInfo/image/3486c13a-dc0f-11ec-a213-ac1f6b442185")</f>
        <v>https://miland.ru/api/getInfo/image/3486c13a-dc0f-11ec-a213-ac1f6b442185</v>
      </c>
      <c r="U5173" s="35"/>
      <c r="V5173" s="35" t="s">
        <v>11948</v>
      </c>
      <c r="W5173" s="35" t="s">
        <v>1630</v>
      </c>
      <c r="X5173" s="35"/>
      <c r="Y5173" s="35" t="s">
        <v>697</v>
      </c>
      <c r="Z5173" s="35"/>
      <c r="AA5173" s="35" t="str">
        <f>HYPERLINK("https://miland.ru/api/getInfo/item/3486c13a-dc0f-11ec-a213-ac1f6b442185")</f>
        <v>https://miland.ru/api/getInfo/item/3486c13a-dc0f-11ec-a213-ac1f6b442185</v>
      </c>
      <c r="AB5173" s="35" t="s">
        <v>42</v>
      </c>
      <c r="AC5173" s="35"/>
      <c r="AD5173" s="35"/>
      <c r="AE5173" s="52" t="s">
        <v>1251</v>
      </c>
    </row>
    <row r="5174" spans="2:31" s="1" customFormat="1" ht="96.3" customHeight="1" outlineLevel="4">
      <c r="B5174" s="59">
        <v>4212</v>
      </c>
      <c r="C5174" s="35" t="s">
        <v>18388</v>
      </c>
      <c r="D5174" s="73" t="s">
        <v>18389</v>
      </c>
      <c r="E5174" s="73"/>
      <c r="F5174" s="73"/>
      <c r="G5174" s="73"/>
      <c r="H5174" s="36" t="s">
        <v>18390</v>
      </c>
      <c r="I5174" s="56" t="s">
        <v>36</v>
      </c>
      <c r="J5174" s="36"/>
      <c r="K5174" s="34">
        <v>10</v>
      </c>
      <c r="L5174" s="41">
        <v>25.333333333333332</v>
      </c>
      <c r="M5174" s="11"/>
      <c r="N5174" s="36">
        <f t="shared" si="275"/>
        <v>0</v>
      </c>
      <c r="O5174" s="42">
        <f>0.029*M5174</f>
        <v>0</v>
      </c>
      <c r="P5174" s="43">
        <f>0.00015*M5174</f>
        <v>0</v>
      </c>
      <c r="Q5174" s="50"/>
      <c r="R5174" s="36" t="s">
        <v>18391</v>
      </c>
      <c r="S5174" s="36" t="s">
        <v>435</v>
      </c>
      <c r="T5174" s="35" t="str">
        <f>HYPERLINK("https://miland.ru/api/getInfo/image/5f3d9de6-dc0f-11ec-a213-ac1f6b442185")</f>
        <v>https://miland.ru/api/getInfo/image/5f3d9de6-dc0f-11ec-a213-ac1f6b442185</v>
      </c>
      <c r="U5174" s="35"/>
      <c r="V5174" s="35" t="s">
        <v>11948</v>
      </c>
      <c r="W5174" s="35" t="s">
        <v>1630</v>
      </c>
      <c r="X5174" s="35"/>
      <c r="Y5174" s="35" t="s">
        <v>697</v>
      </c>
      <c r="Z5174" s="35"/>
      <c r="AA5174" s="35" t="str">
        <f>HYPERLINK("https://miland.ru/api/getInfo/item/5f3d9de6-dc0f-11ec-a213-ac1f6b442185")</f>
        <v>https://miland.ru/api/getInfo/item/5f3d9de6-dc0f-11ec-a213-ac1f6b442185</v>
      </c>
      <c r="AB5174" s="35" t="s">
        <v>42</v>
      </c>
      <c r="AC5174" s="35"/>
      <c r="AD5174" s="35"/>
      <c r="AE5174" s="52" t="s">
        <v>1251</v>
      </c>
    </row>
    <row r="5175" spans="2:31" s="1" customFormat="1" ht="96.3" customHeight="1" outlineLevel="4">
      <c r="B5175" s="59">
        <v>4213</v>
      </c>
      <c r="C5175" s="35" t="s">
        <v>18392</v>
      </c>
      <c r="D5175" s="73" t="s">
        <v>18393</v>
      </c>
      <c r="E5175" s="73"/>
      <c r="F5175" s="73"/>
      <c r="G5175" s="73"/>
      <c r="H5175" s="36" t="s">
        <v>18394</v>
      </c>
      <c r="I5175" s="56" t="s">
        <v>36</v>
      </c>
      <c r="J5175" s="36"/>
      <c r="K5175" s="34">
        <v>10</v>
      </c>
      <c r="L5175" s="41">
        <v>25.333333333333332</v>
      </c>
      <c r="M5175" s="11"/>
      <c r="N5175" s="36">
        <f t="shared" si="275"/>
        <v>0</v>
      </c>
      <c r="O5175" s="42">
        <f>0.033*M5175</f>
        <v>0</v>
      </c>
      <c r="P5175" s="43">
        <f>0.00015*M5175</f>
        <v>0</v>
      </c>
      <c r="Q5175" s="50"/>
      <c r="R5175" s="36" t="s">
        <v>18395</v>
      </c>
      <c r="S5175" s="36" t="s">
        <v>435</v>
      </c>
      <c r="T5175" s="35" t="str">
        <f>HYPERLINK("https://miland.ru/api/getInfo/image/8a39a901-dc0f-11ec-a213-ac1f6b442185")</f>
        <v>https://miland.ru/api/getInfo/image/8a39a901-dc0f-11ec-a213-ac1f6b442185</v>
      </c>
      <c r="U5175" s="35"/>
      <c r="V5175" s="35" t="s">
        <v>11948</v>
      </c>
      <c r="W5175" s="35" t="s">
        <v>1630</v>
      </c>
      <c r="X5175" s="35"/>
      <c r="Y5175" s="35" t="s">
        <v>697</v>
      </c>
      <c r="Z5175" s="35"/>
      <c r="AA5175" s="35" t="str">
        <f>HYPERLINK("https://miland.ru/api/getInfo/item/8a39a901-dc0f-11ec-a213-ac1f6b442185")</f>
        <v>https://miland.ru/api/getInfo/item/8a39a901-dc0f-11ec-a213-ac1f6b442185</v>
      </c>
      <c r="AB5175" s="35" t="s">
        <v>42</v>
      </c>
      <c r="AC5175" s="35"/>
      <c r="AD5175" s="35"/>
      <c r="AE5175" s="52" t="s">
        <v>1251</v>
      </c>
    </row>
    <row r="5176" spans="2:31" s="1" customFormat="1" ht="96.3" customHeight="1" outlineLevel="4">
      <c r="B5176" s="59">
        <v>4214</v>
      </c>
      <c r="C5176" s="35" t="s">
        <v>18396</v>
      </c>
      <c r="D5176" s="73" t="s">
        <v>18397</v>
      </c>
      <c r="E5176" s="73"/>
      <c r="F5176" s="73"/>
      <c r="G5176" s="73"/>
      <c r="H5176" s="36" t="s">
        <v>18398</v>
      </c>
      <c r="I5176" s="56" t="s">
        <v>36</v>
      </c>
      <c r="J5176" s="36"/>
      <c r="K5176" s="34">
        <v>10</v>
      </c>
      <c r="L5176" s="41">
        <v>25.333333333333332</v>
      </c>
      <c r="M5176" s="11"/>
      <c r="N5176" s="36">
        <f t="shared" si="275"/>
        <v>0</v>
      </c>
      <c r="O5176" s="42">
        <f>0.035*M5176</f>
        <v>0</v>
      </c>
      <c r="P5176" s="43">
        <f>0.00013*M5176</f>
        <v>0</v>
      </c>
      <c r="Q5176" s="50"/>
      <c r="R5176" s="36" t="s">
        <v>18399</v>
      </c>
      <c r="S5176" s="36" t="s">
        <v>435</v>
      </c>
      <c r="T5176" s="35" t="str">
        <f>HYPERLINK("https://miland.ru/api/getInfo/image/afd849d3-dc0f-11ec-a213-ac1f6b442185")</f>
        <v>https://miland.ru/api/getInfo/image/afd849d3-dc0f-11ec-a213-ac1f6b442185</v>
      </c>
      <c r="U5176" s="35"/>
      <c r="V5176" s="35" t="s">
        <v>11948</v>
      </c>
      <c r="W5176" s="35" t="s">
        <v>1630</v>
      </c>
      <c r="X5176" s="35"/>
      <c r="Y5176" s="35" t="s">
        <v>697</v>
      </c>
      <c r="Z5176" s="35"/>
      <c r="AA5176" s="35" t="str">
        <f>HYPERLINK("https://miland.ru/api/getInfo/item/afd849d3-dc0f-11ec-a213-ac1f6b442185")</f>
        <v>https://miland.ru/api/getInfo/item/afd849d3-dc0f-11ec-a213-ac1f6b442185</v>
      </c>
      <c r="AB5176" s="35" t="s">
        <v>42</v>
      </c>
      <c r="AC5176" s="35"/>
      <c r="AD5176" s="35"/>
      <c r="AE5176" s="52" t="s">
        <v>1251</v>
      </c>
    </row>
    <row r="5177" spans="2:31" s="1" customFormat="1" ht="96.3" customHeight="1" outlineLevel="4">
      <c r="B5177" s="57">
        <v>4215</v>
      </c>
      <c r="C5177" s="21" t="s">
        <v>18400</v>
      </c>
      <c r="D5177" s="72" t="s">
        <v>18401</v>
      </c>
      <c r="E5177" s="72"/>
      <c r="F5177" s="72"/>
      <c r="G5177" s="72"/>
      <c r="H5177" s="22" t="s">
        <v>18402</v>
      </c>
      <c r="I5177" s="23" t="s">
        <v>36</v>
      </c>
      <c r="J5177" s="22"/>
      <c r="K5177" s="20">
        <v>10</v>
      </c>
      <c r="L5177" s="24">
        <v>69.11</v>
      </c>
      <c r="M5177" s="11"/>
      <c r="N5177" s="22">
        <f t="shared" si="275"/>
        <v>0</v>
      </c>
      <c r="O5177" s="25">
        <f>0.022*M5177</f>
        <v>0</v>
      </c>
      <c r="P5177" s="26">
        <f>0.00016*M5177</f>
        <v>0</v>
      </c>
      <c r="Q5177" s="30"/>
      <c r="R5177" s="22" t="s">
        <v>18403</v>
      </c>
      <c r="S5177" s="22" t="s">
        <v>435</v>
      </c>
      <c r="T5177" s="21" t="str">
        <f>HYPERLINK("https://miland.ru/api/getInfo/image/616fc2df-c98a-11e9-a233-ac1f6b442184")</f>
        <v>https://miland.ru/api/getInfo/image/616fc2df-c98a-11e9-a233-ac1f6b442184</v>
      </c>
      <c r="U5177" s="21"/>
      <c r="V5177" s="21" t="s">
        <v>11948</v>
      </c>
      <c r="W5177" s="21" t="s">
        <v>1630</v>
      </c>
      <c r="X5177" s="21"/>
      <c r="Y5177" s="21" t="s">
        <v>697</v>
      </c>
      <c r="Z5177" s="21"/>
      <c r="AA5177" s="21" t="str">
        <f>HYPERLINK("https://miland.ru/api/getInfo/item/616fc2df-c98a-11e9-a233-ac1f6b442184")</f>
        <v>https://miland.ru/api/getInfo/item/616fc2df-c98a-11e9-a233-ac1f6b442184</v>
      </c>
      <c r="AB5177" s="21" t="s">
        <v>42</v>
      </c>
      <c r="AC5177" s="21"/>
      <c r="AD5177" s="21"/>
    </row>
    <row r="5178" spans="2:31" s="1" customFormat="1" ht="96.3" customHeight="1" outlineLevel="4">
      <c r="B5178" s="57">
        <v>4216</v>
      </c>
      <c r="C5178" s="21" t="s">
        <v>18404</v>
      </c>
      <c r="D5178" s="72" t="s">
        <v>18405</v>
      </c>
      <c r="E5178" s="72"/>
      <c r="F5178" s="72"/>
      <c r="G5178" s="72"/>
      <c r="H5178" s="22" t="s">
        <v>18406</v>
      </c>
      <c r="I5178" s="23" t="s">
        <v>36</v>
      </c>
      <c r="J5178" s="22"/>
      <c r="K5178" s="20">
        <v>10</v>
      </c>
      <c r="L5178" s="24">
        <v>69.11</v>
      </c>
      <c r="M5178" s="11"/>
      <c r="N5178" s="22">
        <f t="shared" ref="N5178:N5228" si="284">L5178*M5178</f>
        <v>0</v>
      </c>
      <c r="O5178" s="25">
        <f>0.026*M5178</f>
        <v>0</v>
      </c>
      <c r="P5178" s="26">
        <f>0.00021*M5178</f>
        <v>0</v>
      </c>
      <c r="Q5178" s="30"/>
      <c r="R5178" s="22" t="s">
        <v>18407</v>
      </c>
      <c r="S5178" s="22" t="s">
        <v>435</v>
      </c>
      <c r="T5178" s="21" t="str">
        <f>HYPERLINK("https://miland.ru/api/getInfo/image/fd591901-2c03-11ec-a20f-ac1f6b442185")</f>
        <v>https://miland.ru/api/getInfo/image/fd591901-2c03-11ec-a20f-ac1f6b442185</v>
      </c>
      <c r="U5178" s="21"/>
      <c r="V5178" s="21" t="s">
        <v>11948</v>
      </c>
      <c r="W5178" s="21" t="s">
        <v>1630</v>
      </c>
      <c r="X5178" s="21"/>
      <c r="Y5178" s="21" t="s">
        <v>697</v>
      </c>
      <c r="Z5178" s="21"/>
      <c r="AA5178" s="21" t="str">
        <f>HYPERLINK("https://miland.ru/api/getInfo/item/fd591901-2c03-11ec-a20f-ac1f6b442185")</f>
        <v>https://miland.ru/api/getInfo/item/fd591901-2c03-11ec-a20f-ac1f6b442185</v>
      </c>
      <c r="AB5178" s="21" t="s">
        <v>42</v>
      </c>
      <c r="AC5178" s="21"/>
      <c r="AD5178" s="21"/>
    </row>
    <row r="5179" spans="2:31" s="1" customFormat="1" ht="96.3" customHeight="1" outlineLevel="4">
      <c r="B5179" s="60">
        <v>4217</v>
      </c>
      <c r="C5179" s="38" t="s">
        <v>18408</v>
      </c>
      <c r="D5179" s="74" t="s">
        <v>18409</v>
      </c>
      <c r="E5179" s="74"/>
      <c r="F5179" s="74"/>
      <c r="G5179" s="74"/>
      <c r="H5179" s="39" t="s">
        <v>18410</v>
      </c>
      <c r="I5179" s="44">
        <v>114</v>
      </c>
      <c r="J5179" s="39"/>
      <c r="K5179" s="37">
        <v>6</v>
      </c>
      <c r="L5179" s="41">
        <v>21.560000000000002</v>
      </c>
      <c r="M5179" s="11"/>
      <c r="N5179" s="39">
        <f t="shared" si="284"/>
        <v>0</v>
      </c>
      <c r="O5179" s="45">
        <f t="shared" ref="O5179:O5199" si="285">0.02*M5179</f>
        <v>0</v>
      </c>
      <c r="P5179" s="46">
        <f t="shared" ref="P5179:P5198" si="286">0.00013*M5179</f>
        <v>0</v>
      </c>
      <c r="Q5179" s="51"/>
      <c r="R5179" s="39" t="s">
        <v>18411</v>
      </c>
      <c r="S5179" s="39" t="s">
        <v>435</v>
      </c>
      <c r="T5179" s="38" t="str">
        <f>HYPERLINK("https://miland.ru/api/getInfo/image/c5f0e708-c989-11e9-a233-ac1f6b442184")</f>
        <v>https://miland.ru/api/getInfo/image/c5f0e708-c989-11e9-a233-ac1f6b442184</v>
      </c>
      <c r="U5179" s="38"/>
      <c r="V5179" s="38" t="s">
        <v>11948</v>
      </c>
      <c r="W5179" s="38" t="s">
        <v>1630</v>
      </c>
      <c r="X5179" s="38"/>
      <c r="Y5179" s="38" t="s">
        <v>697</v>
      </c>
      <c r="Z5179" s="38"/>
      <c r="AA5179" s="38" t="str">
        <f>HYPERLINK("https://miland.ru/api/getInfo/item/c5f0e708-c989-11e9-a233-ac1f6b442184")</f>
        <v>https://miland.ru/api/getInfo/item/c5f0e708-c989-11e9-a233-ac1f6b442184</v>
      </c>
      <c r="AB5179" s="38" t="s">
        <v>42</v>
      </c>
      <c r="AC5179" s="38"/>
      <c r="AD5179" s="38"/>
      <c r="AE5179" s="53" t="s">
        <v>1306</v>
      </c>
    </row>
    <row r="5180" spans="2:31" s="1" customFormat="1" ht="96.3" customHeight="1" outlineLevel="4">
      <c r="B5180" s="57">
        <v>4218</v>
      </c>
      <c r="C5180" s="21" t="s">
        <v>18412</v>
      </c>
      <c r="D5180" s="72" t="s">
        <v>18413</v>
      </c>
      <c r="E5180" s="72"/>
      <c r="F5180" s="72"/>
      <c r="G5180" s="72"/>
      <c r="H5180" s="22" t="s">
        <v>18414</v>
      </c>
      <c r="I5180" s="23" t="s">
        <v>36</v>
      </c>
      <c r="J5180" s="22"/>
      <c r="K5180" s="20">
        <v>12</v>
      </c>
      <c r="L5180" s="24">
        <v>53.04</v>
      </c>
      <c r="M5180" s="11"/>
      <c r="N5180" s="22">
        <f t="shared" si="284"/>
        <v>0</v>
      </c>
      <c r="O5180" s="28">
        <f t="shared" si="285"/>
        <v>0</v>
      </c>
      <c r="P5180" s="26">
        <f t="shared" si="286"/>
        <v>0</v>
      </c>
      <c r="Q5180" s="30"/>
      <c r="R5180" s="22" t="s">
        <v>18415</v>
      </c>
      <c r="S5180" s="22" t="s">
        <v>435</v>
      </c>
      <c r="T5180" s="21" t="str">
        <f>HYPERLINK("https://miland.ru/api/getInfo/image/7626b35f-c98a-11e9-a233-ac1f6b442184")</f>
        <v>https://miland.ru/api/getInfo/image/7626b35f-c98a-11e9-a233-ac1f6b442184</v>
      </c>
      <c r="U5180" s="21"/>
      <c r="V5180" s="21" t="s">
        <v>11948</v>
      </c>
      <c r="W5180" s="21" t="s">
        <v>1630</v>
      </c>
      <c r="X5180" s="21"/>
      <c r="Y5180" s="21" t="s">
        <v>697</v>
      </c>
      <c r="Z5180" s="21"/>
      <c r="AA5180" s="21" t="str">
        <f>HYPERLINK("https://miland.ru/api/getInfo/item/7626b35f-c98a-11e9-a233-ac1f6b442184")</f>
        <v>https://miland.ru/api/getInfo/item/7626b35f-c98a-11e9-a233-ac1f6b442184</v>
      </c>
      <c r="AB5180" s="21" t="s">
        <v>42</v>
      </c>
      <c r="AC5180" s="21"/>
      <c r="AD5180" s="21"/>
    </row>
    <row r="5181" spans="2:31" s="1" customFormat="1" ht="96.3" customHeight="1" outlineLevel="4">
      <c r="B5181" s="57">
        <v>4219</v>
      </c>
      <c r="C5181" s="21" t="s">
        <v>18416</v>
      </c>
      <c r="D5181" s="72" t="s">
        <v>18417</v>
      </c>
      <c r="E5181" s="72"/>
      <c r="F5181" s="72"/>
      <c r="G5181" s="72"/>
      <c r="H5181" s="22" t="s">
        <v>18418</v>
      </c>
      <c r="I5181" s="23" t="s">
        <v>36</v>
      </c>
      <c r="J5181" s="22"/>
      <c r="K5181" s="20">
        <v>12</v>
      </c>
      <c r="L5181" s="24">
        <v>53.04</v>
      </c>
      <c r="M5181" s="11"/>
      <c r="N5181" s="22">
        <f t="shared" si="284"/>
        <v>0</v>
      </c>
      <c r="O5181" s="28">
        <f t="shared" si="285"/>
        <v>0</v>
      </c>
      <c r="P5181" s="26">
        <f t="shared" si="286"/>
        <v>0</v>
      </c>
      <c r="Q5181" s="30"/>
      <c r="R5181" s="22" t="s">
        <v>18419</v>
      </c>
      <c r="S5181" s="22" t="s">
        <v>435</v>
      </c>
      <c r="T5181" s="21" t="str">
        <f>HYPERLINK("https://miland.ru/api/getInfo/image/b78cf43e-c988-11e9-a233-ac1f6b442184")</f>
        <v>https://miland.ru/api/getInfo/image/b78cf43e-c988-11e9-a233-ac1f6b442184</v>
      </c>
      <c r="U5181" s="21"/>
      <c r="V5181" s="21" t="s">
        <v>11948</v>
      </c>
      <c r="W5181" s="21" t="s">
        <v>1630</v>
      </c>
      <c r="X5181" s="21"/>
      <c r="Y5181" s="21" t="s">
        <v>697</v>
      </c>
      <c r="Z5181" s="21"/>
      <c r="AA5181" s="21" t="str">
        <f>HYPERLINK("https://miland.ru/api/getInfo/item/b78cf43e-c988-11e9-a233-ac1f6b442184")</f>
        <v>https://miland.ru/api/getInfo/item/b78cf43e-c988-11e9-a233-ac1f6b442184</v>
      </c>
      <c r="AB5181" s="21" t="s">
        <v>42</v>
      </c>
      <c r="AC5181" s="21"/>
      <c r="AD5181" s="21"/>
    </row>
    <row r="5182" spans="2:31" s="1" customFormat="1" ht="96.3" customHeight="1" outlineLevel="4">
      <c r="B5182" s="60">
        <v>4220</v>
      </c>
      <c r="C5182" s="38" t="s">
        <v>18420</v>
      </c>
      <c r="D5182" s="74" t="s">
        <v>18421</v>
      </c>
      <c r="E5182" s="74"/>
      <c r="F5182" s="74"/>
      <c r="G5182" s="74"/>
      <c r="H5182" s="39" t="s">
        <v>18422</v>
      </c>
      <c r="I5182" s="44">
        <v>139</v>
      </c>
      <c r="J5182" s="39"/>
      <c r="K5182" s="37">
        <v>6</v>
      </c>
      <c r="L5182" s="41">
        <v>27.186666666666667</v>
      </c>
      <c r="M5182" s="11"/>
      <c r="N5182" s="39">
        <f t="shared" si="284"/>
        <v>0</v>
      </c>
      <c r="O5182" s="45">
        <f t="shared" si="285"/>
        <v>0</v>
      </c>
      <c r="P5182" s="46">
        <f t="shared" si="286"/>
        <v>0</v>
      </c>
      <c r="Q5182" s="51"/>
      <c r="R5182" s="39" t="s">
        <v>18423</v>
      </c>
      <c r="S5182" s="39" t="s">
        <v>435</v>
      </c>
      <c r="T5182" s="38" t="str">
        <f>HYPERLINK("https://miland.ru/api/getInfo/image/0d658687-3590-11ec-a20f-ac1f6b442185")</f>
        <v>https://miland.ru/api/getInfo/image/0d658687-3590-11ec-a20f-ac1f6b442185</v>
      </c>
      <c r="U5182" s="38"/>
      <c r="V5182" s="38" t="s">
        <v>11948</v>
      </c>
      <c r="W5182" s="38" t="s">
        <v>1630</v>
      </c>
      <c r="X5182" s="38"/>
      <c r="Y5182" s="38" t="s">
        <v>697</v>
      </c>
      <c r="Z5182" s="38"/>
      <c r="AA5182" s="38" t="str">
        <f>HYPERLINK("https://miland.ru/api/getInfo/item/0d658687-3590-11ec-a20f-ac1f6b442185")</f>
        <v>https://miland.ru/api/getInfo/item/0d658687-3590-11ec-a20f-ac1f6b442185</v>
      </c>
      <c r="AB5182" s="38" t="s">
        <v>42</v>
      </c>
      <c r="AC5182" s="38"/>
      <c r="AD5182" s="38"/>
      <c r="AE5182" s="53" t="s">
        <v>1306</v>
      </c>
    </row>
    <row r="5183" spans="2:31" s="1" customFormat="1" ht="96.3" customHeight="1" outlineLevel="4">
      <c r="B5183" s="57">
        <v>4221</v>
      </c>
      <c r="C5183" s="21" t="s">
        <v>18424</v>
      </c>
      <c r="D5183" s="72" t="s">
        <v>18425</v>
      </c>
      <c r="E5183" s="72"/>
      <c r="F5183" s="72"/>
      <c r="G5183" s="72"/>
      <c r="H5183" s="22" t="s">
        <v>18426</v>
      </c>
      <c r="I5183" s="23" t="s">
        <v>36</v>
      </c>
      <c r="J5183" s="22"/>
      <c r="K5183" s="20">
        <v>12</v>
      </c>
      <c r="L5183" s="24">
        <v>53.04</v>
      </c>
      <c r="M5183" s="11"/>
      <c r="N5183" s="22">
        <f t="shared" si="284"/>
        <v>0</v>
      </c>
      <c r="O5183" s="28">
        <f t="shared" si="285"/>
        <v>0</v>
      </c>
      <c r="P5183" s="26">
        <f t="shared" si="286"/>
        <v>0</v>
      </c>
      <c r="Q5183" s="30"/>
      <c r="R5183" s="22" t="s">
        <v>18427</v>
      </c>
      <c r="S5183" s="22" t="s">
        <v>435</v>
      </c>
      <c r="T5183" s="21" t="str">
        <f>HYPERLINK("https://miland.ru/api/getInfo/image/dee980d8-c989-11e9-a233-ac1f6b442184")</f>
        <v>https://miland.ru/api/getInfo/image/dee980d8-c989-11e9-a233-ac1f6b442184</v>
      </c>
      <c r="U5183" s="21"/>
      <c r="V5183" s="21" t="s">
        <v>11948</v>
      </c>
      <c r="W5183" s="21" t="s">
        <v>1630</v>
      </c>
      <c r="X5183" s="21"/>
      <c r="Y5183" s="21" t="s">
        <v>697</v>
      </c>
      <c r="Z5183" s="21"/>
      <c r="AA5183" s="21" t="str">
        <f>HYPERLINK("https://miland.ru/api/getInfo/item/dee980d8-c989-11e9-a233-ac1f6b442184")</f>
        <v>https://miland.ru/api/getInfo/item/dee980d8-c989-11e9-a233-ac1f6b442184</v>
      </c>
      <c r="AB5183" s="21" t="s">
        <v>42</v>
      </c>
      <c r="AC5183" s="21"/>
      <c r="AD5183" s="21"/>
    </row>
    <row r="5184" spans="2:31" s="1" customFormat="1" ht="96.3" customHeight="1" outlineLevel="4">
      <c r="B5184" s="57">
        <v>4222</v>
      </c>
      <c r="C5184" s="21" t="s">
        <v>18428</v>
      </c>
      <c r="D5184" s="72" t="s">
        <v>18429</v>
      </c>
      <c r="E5184" s="72"/>
      <c r="F5184" s="72"/>
      <c r="G5184" s="72"/>
      <c r="H5184" s="22" t="s">
        <v>18430</v>
      </c>
      <c r="I5184" s="27">
        <v>364</v>
      </c>
      <c r="J5184" s="22"/>
      <c r="K5184" s="20">
        <v>12</v>
      </c>
      <c r="L5184" s="24">
        <v>53.04</v>
      </c>
      <c r="M5184" s="11"/>
      <c r="N5184" s="22">
        <f t="shared" si="284"/>
        <v>0</v>
      </c>
      <c r="O5184" s="28">
        <f t="shared" si="285"/>
        <v>0</v>
      </c>
      <c r="P5184" s="26">
        <f t="shared" si="286"/>
        <v>0</v>
      </c>
      <c r="Q5184" s="30"/>
      <c r="R5184" s="22" t="s">
        <v>18431</v>
      </c>
      <c r="S5184" s="22" t="s">
        <v>435</v>
      </c>
      <c r="T5184" s="21" t="str">
        <f>HYPERLINK("https://miland.ru/api/getInfo/image/8ab7746d-c98a-11e9-a233-ac1f6b442184")</f>
        <v>https://miland.ru/api/getInfo/image/8ab7746d-c98a-11e9-a233-ac1f6b442184</v>
      </c>
      <c r="U5184" s="21"/>
      <c r="V5184" s="21" t="s">
        <v>11948</v>
      </c>
      <c r="W5184" s="21" t="s">
        <v>1630</v>
      </c>
      <c r="X5184" s="21"/>
      <c r="Y5184" s="21" t="s">
        <v>697</v>
      </c>
      <c r="Z5184" s="21"/>
      <c r="AA5184" s="21" t="str">
        <f>HYPERLINK("https://miland.ru/api/getInfo/item/8ab7746d-c98a-11e9-a233-ac1f6b442184")</f>
        <v>https://miland.ru/api/getInfo/item/8ab7746d-c98a-11e9-a233-ac1f6b442184</v>
      </c>
      <c r="AB5184" s="21" t="s">
        <v>42</v>
      </c>
      <c r="AC5184" s="21"/>
      <c r="AD5184" s="21"/>
    </row>
    <row r="5185" spans="2:31" s="1" customFormat="1" ht="96.3" customHeight="1" outlineLevel="4">
      <c r="B5185" s="57">
        <v>4223</v>
      </c>
      <c r="C5185" s="21" t="s">
        <v>18432</v>
      </c>
      <c r="D5185" s="72" t="s">
        <v>18433</v>
      </c>
      <c r="E5185" s="72"/>
      <c r="F5185" s="72"/>
      <c r="G5185" s="72"/>
      <c r="H5185" s="22" t="s">
        <v>18434</v>
      </c>
      <c r="I5185" s="23" t="s">
        <v>36</v>
      </c>
      <c r="J5185" s="22"/>
      <c r="K5185" s="20">
        <v>12</v>
      </c>
      <c r="L5185" s="24">
        <v>53.04</v>
      </c>
      <c r="M5185" s="11"/>
      <c r="N5185" s="22">
        <f t="shared" si="284"/>
        <v>0</v>
      </c>
      <c r="O5185" s="28">
        <f t="shared" si="285"/>
        <v>0</v>
      </c>
      <c r="P5185" s="26">
        <f t="shared" si="286"/>
        <v>0</v>
      </c>
      <c r="Q5185" s="30"/>
      <c r="R5185" s="22" t="s">
        <v>18435</v>
      </c>
      <c r="S5185" s="22" t="s">
        <v>435</v>
      </c>
      <c r="T5185" s="21" t="str">
        <f>HYPERLINK("https://miland.ru/api/getInfo/image/d997ea0b-c988-11e9-a233-ac1f6b442184")</f>
        <v>https://miland.ru/api/getInfo/image/d997ea0b-c988-11e9-a233-ac1f6b442184</v>
      </c>
      <c r="U5185" s="21"/>
      <c r="V5185" s="21" t="s">
        <v>11948</v>
      </c>
      <c r="W5185" s="21" t="s">
        <v>1630</v>
      </c>
      <c r="X5185" s="21"/>
      <c r="Y5185" s="21" t="s">
        <v>697</v>
      </c>
      <c r="Z5185" s="21"/>
      <c r="AA5185" s="21" t="str">
        <f>HYPERLINK("https://miland.ru/api/getInfo/item/d997ea0b-c988-11e9-a233-ac1f6b442184")</f>
        <v>https://miland.ru/api/getInfo/item/d997ea0b-c988-11e9-a233-ac1f6b442184</v>
      </c>
      <c r="AB5185" s="21" t="s">
        <v>42</v>
      </c>
      <c r="AC5185" s="21"/>
      <c r="AD5185" s="21"/>
    </row>
    <row r="5186" spans="2:31" s="1" customFormat="1" ht="96.3" customHeight="1" outlineLevel="4">
      <c r="B5186" s="57">
        <v>4224</v>
      </c>
      <c r="C5186" s="21" t="s">
        <v>18436</v>
      </c>
      <c r="D5186" s="72" t="s">
        <v>18437</v>
      </c>
      <c r="E5186" s="72"/>
      <c r="F5186" s="72"/>
      <c r="G5186" s="72"/>
      <c r="H5186" s="22" t="s">
        <v>18438</v>
      </c>
      <c r="I5186" s="27">
        <v>351</v>
      </c>
      <c r="J5186" s="22"/>
      <c r="K5186" s="20">
        <v>12</v>
      </c>
      <c r="L5186" s="24">
        <v>53.04</v>
      </c>
      <c r="M5186" s="11"/>
      <c r="N5186" s="22">
        <f t="shared" si="284"/>
        <v>0</v>
      </c>
      <c r="O5186" s="28">
        <f t="shared" si="285"/>
        <v>0</v>
      </c>
      <c r="P5186" s="26">
        <f t="shared" si="286"/>
        <v>0</v>
      </c>
      <c r="Q5186" s="30"/>
      <c r="R5186" s="22" t="s">
        <v>18439</v>
      </c>
      <c r="S5186" s="22" t="s">
        <v>435</v>
      </c>
      <c r="T5186" s="21" t="str">
        <f>HYPERLINK("https://miland.ru/api/getInfo/image/c0933e04-2c04-11ec-a20f-ac1f6b442185")</f>
        <v>https://miland.ru/api/getInfo/image/c0933e04-2c04-11ec-a20f-ac1f6b442185</v>
      </c>
      <c r="U5186" s="21"/>
      <c r="V5186" s="21" t="s">
        <v>11948</v>
      </c>
      <c r="W5186" s="21" t="s">
        <v>1630</v>
      </c>
      <c r="X5186" s="21"/>
      <c r="Y5186" s="21" t="s">
        <v>697</v>
      </c>
      <c r="Z5186" s="21"/>
      <c r="AA5186" s="21" t="str">
        <f>HYPERLINK("https://miland.ru/api/getInfo/item/c0933e04-2c04-11ec-a20f-ac1f6b442185")</f>
        <v>https://miland.ru/api/getInfo/item/c0933e04-2c04-11ec-a20f-ac1f6b442185</v>
      </c>
      <c r="AB5186" s="21" t="s">
        <v>42</v>
      </c>
      <c r="AC5186" s="21"/>
      <c r="AD5186" s="21"/>
    </row>
    <row r="5187" spans="2:31" s="1" customFormat="1" ht="96.3" customHeight="1" outlineLevel="4">
      <c r="B5187" s="57">
        <v>4225</v>
      </c>
      <c r="C5187" s="21" t="s">
        <v>18440</v>
      </c>
      <c r="D5187" s="72" t="s">
        <v>18441</v>
      </c>
      <c r="E5187" s="72"/>
      <c r="F5187" s="72"/>
      <c r="G5187" s="72"/>
      <c r="H5187" s="22" t="s">
        <v>18442</v>
      </c>
      <c r="I5187" s="23" t="s">
        <v>36</v>
      </c>
      <c r="J5187" s="22"/>
      <c r="K5187" s="20">
        <v>12</v>
      </c>
      <c r="L5187" s="24">
        <v>53.04</v>
      </c>
      <c r="M5187" s="11"/>
      <c r="N5187" s="22">
        <f t="shared" si="284"/>
        <v>0</v>
      </c>
      <c r="O5187" s="28">
        <f t="shared" si="285"/>
        <v>0</v>
      </c>
      <c r="P5187" s="26">
        <f t="shared" si="286"/>
        <v>0</v>
      </c>
      <c r="Q5187" s="30"/>
      <c r="R5187" s="22" t="s">
        <v>18443</v>
      </c>
      <c r="S5187" s="22" t="s">
        <v>435</v>
      </c>
      <c r="T5187" s="21" t="str">
        <f>HYPERLINK("https://miland.ru/api/getInfo/image/f5aa9ea2-c989-11e9-a233-ac1f6b442184")</f>
        <v>https://miland.ru/api/getInfo/image/f5aa9ea2-c989-11e9-a233-ac1f6b442184</v>
      </c>
      <c r="U5187" s="21"/>
      <c r="V5187" s="21" t="s">
        <v>11948</v>
      </c>
      <c r="W5187" s="21" t="s">
        <v>1630</v>
      </c>
      <c r="X5187" s="21"/>
      <c r="Y5187" s="21" t="s">
        <v>697</v>
      </c>
      <c r="Z5187" s="21"/>
      <c r="AA5187" s="21" t="str">
        <f>HYPERLINK("https://miland.ru/api/getInfo/item/f5aa9ea2-c989-11e9-a233-ac1f6b442184")</f>
        <v>https://miland.ru/api/getInfo/item/f5aa9ea2-c989-11e9-a233-ac1f6b442184</v>
      </c>
      <c r="AB5187" s="21" t="s">
        <v>42</v>
      </c>
      <c r="AC5187" s="21"/>
      <c r="AD5187" s="21"/>
    </row>
    <row r="5188" spans="2:31" s="1" customFormat="1" ht="96.3" customHeight="1" outlineLevel="4">
      <c r="B5188" s="57">
        <v>4226</v>
      </c>
      <c r="C5188" s="21" t="s">
        <v>18444</v>
      </c>
      <c r="D5188" s="72" t="s">
        <v>18445</v>
      </c>
      <c r="E5188" s="72"/>
      <c r="F5188" s="72"/>
      <c r="G5188" s="72"/>
      <c r="H5188" s="22" t="s">
        <v>18446</v>
      </c>
      <c r="I5188" s="23" t="s">
        <v>36</v>
      </c>
      <c r="J5188" s="22"/>
      <c r="K5188" s="20">
        <v>12</v>
      </c>
      <c r="L5188" s="24">
        <v>53.04</v>
      </c>
      <c r="M5188" s="11"/>
      <c r="N5188" s="22">
        <f t="shared" si="284"/>
        <v>0</v>
      </c>
      <c r="O5188" s="28">
        <f t="shared" si="285"/>
        <v>0</v>
      </c>
      <c r="P5188" s="26">
        <f t="shared" si="286"/>
        <v>0</v>
      </c>
      <c r="Q5188" s="30"/>
      <c r="R5188" s="22" t="s">
        <v>18447</v>
      </c>
      <c r="S5188" s="22" t="s">
        <v>435</v>
      </c>
      <c r="T5188" s="21" t="str">
        <f>HYPERLINK("https://miland.ru/api/getInfo/image/ed6523c7-c988-11e9-a233-ac1f6b442184")</f>
        <v>https://miland.ru/api/getInfo/image/ed6523c7-c988-11e9-a233-ac1f6b442184</v>
      </c>
      <c r="U5188" s="21"/>
      <c r="V5188" s="21" t="s">
        <v>11948</v>
      </c>
      <c r="W5188" s="21" t="s">
        <v>1630</v>
      </c>
      <c r="X5188" s="21"/>
      <c r="Y5188" s="21" t="s">
        <v>697</v>
      </c>
      <c r="Z5188" s="21"/>
      <c r="AA5188" s="21" t="str">
        <f>HYPERLINK("https://miland.ru/api/getInfo/item/ed6523c7-c988-11e9-a233-ac1f6b442184")</f>
        <v>https://miland.ru/api/getInfo/item/ed6523c7-c988-11e9-a233-ac1f6b442184</v>
      </c>
      <c r="AB5188" s="21" t="s">
        <v>42</v>
      </c>
      <c r="AC5188" s="21"/>
      <c r="AD5188" s="21"/>
    </row>
    <row r="5189" spans="2:31" s="1" customFormat="1" ht="96.3" customHeight="1" outlineLevel="4">
      <c r="B5189" s="59">
        <v>4227</v>
      </c>
      <c r="C5189" s="35" t="s">
        <v>18448</v>
      </c>
      <c r="D5189" s="73" t="s">
        <v>18449</v>
      </c>
      <c r="E5189" s="73"/>
      <c r="F5189" s="73"/>
      <c r="G5189" s="73"/>
      <c r="H5189" s="36" t="s">
        <v>18450</v>
      </c>
      <c r="I5189" s="40">
        <v>152</v>
      </c>
      <c r="J5189" s="36"/>
      <c r="K5189" s="34">
        <v>12</v>
      </c>
      <c r="L5189" s="41">
        <v>30.2</v>
      </c>
      <c r="M5189" s="11"/>
      <c r="N5189" s="36">
        <f t="shared" si="284"/>
        <v>0</v>
      </c>
      <c r="O5189" s="47">
        <f t="shared" si="285"/>
        <v>0</v>
      </c>
      <c r="P5189" s="43">
        <f t="shared" si="286"/>
        <v>0</v>
      </c>
      <c r="Q5189" s="50"/>
      <c r="R5189" s="36" t="s">
        <v>18451</v>
      </c>
      <c r="S5189" s="36" t="s">
        <v>435</v>
      </c>
      <c r="T5189" s="35" t="str">
        <f>HYPERLINK("https://miland.ru/api/getInfo/image/354c4be2-2c08-11ec-a20f-ac1f6b442185")</f>
        <v>https://miland.ru/api/getInfo/image/354c4be2-2c08-11ec-a20f-ac1f6b442185</v>
      </c>
      <c r="U5189" s="35"/>
      <c r="V5189" s="35" t="s">
        <v>11948</v>
      </c>
      <c r="W5189" s="35" t="s">
        <v>1630</v>
      </c>
      <c r="X5189" s="35"/>
      <c r="Y5189" s="35" t="s">
        <v>697</v>
      </c>
      <c r="Z5189" s="35"/>
      <c r="AA5189" s="35" t="str">
        <f>HYPERLINK("https://miland.ru/api/getInfo/item/354c4be2-2c08-11ec-a20f-ac1f6b442185")</f>
        <v>https://miland.ru/api/getInfo/item/354c4be2-2c08-11ec-a20f-ac1f6b442185</v>
      </c>
      <c r="AB5189" s="35" t="s">
        <v>42</v>
      </c>
      <c r="AC5189" s="35"/>
      <c r="AD5189" s="35"/>
      <c r="AE5189" s="52" t="s">
        <v>1251</v>
      </c>
    </row>
    <row r="5190" spans="2:31" s="1" customFormat="1" ht="96.3" customHeight="1" outlineLevel="4">
      <c r="B5190" s="57">
        <v>4228</v>
      </c>
      <c r="C5190" s="21" t="s">
        <v>18452</v>
      </c>
      <c r="D5190" s="72" t="s">
        <v>18453</v>
      </c>
      <c r="E5190" s="72"/>
      <c r="F5190" s="72"/>
      <c r="G5190" s="72"/>
      <c r="H5190" s="22" t="s">
        <v>18454</v>
      </c>
      <c r="I5190" s="23" t="s">
        <v>36</v>
      </c>
      <c r="J5190" s="22"/>
      <c r="K5190" s="20">
        <v>12</v>
      </c>
      <c r="L5190" s="24">
        <v>53.04</v>
      </c>
      <c r="M5190" s="11"/>
      <c r="N5190" s="22">
        <f t="shared" si="284"/>
        <v>0</v>
      </c>
      <c r="O5190" s="28">
        <f t="shared" si="285"/>
        <v>0</v>
      </c>
      <c r="P5190" s="26">
        <f t="shared" si="286"/>
        <v>0</v>
      </c>
      <c r="Q5190" s="30"/>
      <c r="R5190" s="22" t="s">
        <v>18455</v>
      </c>
      <c r="S5190" s="22" t="s">
        <v>435</v>
      </c>
      <c r="T5190" s="21" t="str">
        <f>HYPERLINK("https://miland.ru/api/getInfo/image/16d57f2e-c98a-11e9-a233-ac1f6b442184")</f>
        <v>https://miland.ru/api/getInfo/image/16d57f2e-c98a-11e9-a233-ac1f6b442184</v>
      </c>
      <c r="U5190" s="21"/>
      <c r="V5190" s="21" t="s">
        <v>11948</v>
      </c>
      <c r="W5190" s="21" t="s">
        <v>1630</v>
      </c>
      <c r="X5190" s="21"/>
      <c r="Y5190" s="21" t="s">
        <v>697</v>
      </c>
      <c r="Z5190" s="21"/>
      <c r="AA5190" s="21" t="str">
        <f>HYPERLINK("https://miland.ru/api/getInfo/item/16d57f2e-c98a-11e9-a233-ac1f6b442184")</f>
        <v>https://miland.ru/api/getInfo/item/16d57f2e-c98a-11e9-a233-ac1f6b442184</v>
      </c>
      <c r="AB5190" s="21" t="s">
        <v>42</v>
      </c>
      <c r="AC5190" s="21"/>
      <c r="AD5190" s="21"/>
    </row>
    <row r="5191" spans="2:31" s="1" customFormat="1" ht="96.3" customHeight="1" outlineLevel="4">
      <c r="B5191" s="57">
        <v>4229</v>
      </c>
      <c r="C5191" s="21" t="s">
        <v>18456</v>
      </c>
      <c r="D5191" s="72" t="s">
        <v>18457</v>
      </c>
      <c r="E5191" s="72"/>
      <c r="F5191" s="72"/>
      <c r="G5191" s="72"/>
      <c r="H5191" s="22" t="s">
        <v>18458</v>
      </c>
      <c r="I5191" s="23" t="s">
        <v>36</v>
      </c>
      <c r="J5191" s="22"/>
      <c r="K5191" s="20">
        <v>12</v>
      </c>
      <c r="L5191" s="24">
        <v>53.04</v>
      </c>
      <c r="M5191" s="11"/>
      <c r="N5191" s="22">
        <f t="shared" si="284"/>
        <v>0</v>
      </c>
      <c r="O5191" s="28">
        <f t="shared" si="285"/>
        <v>0</v>
      </c>
      <c r="P5191" s="26">
        <f t="shared" si="286"/>
        <v>0</v>
      </c>
      <c r="Q5191" s="30"/>
      <c r="R5191" s="22" t="s">
        <v>18459</v>
      </c>
      <c r="S5191" s="22" t="s">
        <v>435</v>
      </c>
      <c r="T5191" s="21" t="str">
        <f>HYPERLINK("https://miland.ru/api/getInfo/image/084b4ac4-c989-11e9-a233-ac1f6b442184")</f>
        <v>https://miland.ru/api/getInfo/image/084b4ac4-c989-11e9-a233-ac1f6b442184</v>
      </c>
      <c r="U5191" s="21"/>
      <c r="V5191" s="21" t="s">
        <v>11948</v>
      </c>
      <c r="W5191" s="21" t="s">
        <v>1630</v>
      </c>
      <c r="X5191" s="21"/>
      <c r="Y5191" s="21" t="s">
        <v>697</v>
      </c>
      <c r="Z5191" s="21"/>
      <c r="AA5191" s="21" t="str">
        <f>HYPERLINK("https://miland.ru/api/getInfo/item/084b4ac4-c989-11e9-a233-ac1f6b442184")</f>
        <v>https://miland.ru/api/getInfo/item/084b4ac4-c989-11e9-a233-ac1f6b442184</v>
      </c>
      <c r="AB5191" s="21" t="s">
        <v>42</v>
      </c>
      <c r="AC5191" s="21"/>
      <c r="AD5191" s="21"/>
    </row>
    <row r="5192" spans="2:31" s="1" customFormat="1" ht="96.3" customHeight="1" outlineLevel="4">
      <c r="B5192" s="57">
        <v>4230</v>
      </c>
      <c r="C5192" s="21" t="s">
        <v>18460</v>
      </c>
      <c r="D5192" s="72" t="s">
        <v>18461</v>
      </c>
      <c r="E5192" s="72"/>
      <c r="F5192" s="72"/>
      <c r="G5192" s="72"/>
      <c r="H5192" s="22" t="s">
        <v>18462</v>
      </c>
      <c r="I5192" s="27">
        <v>487</v>
      </c>
      <c r="J5192" s="22"/>
      <c r="K5192" s="20">
        <v>12</v>
      </c>
      <c r="L5192" s="24">
        <v>53.04</v>
      </c>
      <c r="M5192" s="11"/>
      <c r="N5192" s="22">
        <f t="shared" si="284"/>
        <v>0</v>
      </c>
      <c r="O5192" s="28">
        <f t="shared" si="285"/>
        <v>0</v>
      </c>
      <c r="P5192" s="26">
        <f t="shared" si="286"/>
        <v>0</v>
      </c>
      <c r="Q5192" s="30"/>
      <c r="R5192" s="22" t="s">
        <v>18463</v>
      </c>
      <c r="S5192" s="22" t="s">
        <v>435</v>
      </c>
      <c r="T5192" s="21" t="str">
        <f>HYPERLINK("https://miland.ru/api/getInfo/image/b7f2010e-2c08-11ec-a20f-ac1f6b442185")</f>
        <v>https://miland.ru/api/getInfo/image/b7f2010e-2c08-11ec-a20f-ac1f6b442185</v>
      </c>
      <c r="U5192" s="21"/>
      <c r="V5192" s="21" t="s">
        <v>11948</v>
      </c>
      <c r="W5192" s="21" t="s">
        <v>1630</v>
      </c>
      <c r="X5192" s="21"/>
      <c r="Y5192" s="21" t="s">
        <v>697</v>
      </c>
      <c r="Z5192" s="21"/>
      <c r="AA5192" s="21" t="str">
        <f>HYPERLINK("https://miland.ru/api/getInfo/item/b7f2010e-2c08-11ec-a20f-ac1f6b442185")</f>
        <v>https://miland.ru/api/getInfo/item/b7f2010e-2c08-11ec-a20f-ac1f6b442185</v>
      </c>
      <c r="AB5192" s="21" t="s">
        <v>42</v>
      </c>
      <c r="AC5192" s="21"/>
      <c r="AD5192" s="21"/>
    </row>
    <row r="5193" spans="2:31" s="1" customFormat="1" ht="96.3" customHeight="1" outlineLevel="4">
      <c r="B5193" s="57">
        <v>4231</v>
      </c>
      <c r="C5193" s="21" t="s">
        <v>18464</v>
      </c>
      <c r="D5193" s="72" t="s">
        <v>18465</v>
      </c>
      <c r="E5193" s="72"/>
      <c r="F5193" s="72"/>
      <c r="G5193" s="72"/>
      <c r="H5193" s="22" t="s">
        <v>18466</v>
      </c>
      <c r="I5193" s="23" t="s">
        <v>36</v>
      </c>
      <c r="J5193" s="22"/>
      <c r="K5193" s="20">
        <v>12</v>
      </c>
      <c r="L5193" s="24">
        <v>53.04</v>
      </c>
      <c r="M5193" s="11"/>
      <c r="N5193" s="22">
        <f t="shared" si="284"/>
        <v>0</v>
      </c>
      <c r="O5193" s="28">
        <f t="shared" si="285"/>
        <v>0</v>
      </c>
      <c r="P5193" s="26">
        <f t="shared" si="286"/>
        <v>0</v>
      </c>
      <c r="Q5193" s="30"/>
      <c r="R5193" s="22" t="s">
        <v>18467</v>
      </c>
      <c r="S5193" s="22" t="s">
        <v>435</v>
      </c>
      <c r="T5193" s="21" t="str">
        <f>HYPERLINK("https://miland.ru/api/getInfo/image/17a13f09-c98c-11e9-a233-ac1f6b442184")</f>
        <v>https://miland.ru/api/getInfo/image/17a13f09-c98c-11e9-a233-ac1f6b442184</v>
      </c>
      <c r="U5193" s="21"/>
      <c r="V5193" s="21" t="s">
        <v>11948</v>
      </c>
      <c r="W5193" s="21" t="s">
        <v>1630</v>
      </c>
      <c r="X5193" s="21"/>
      <c r="Y5193" s="21" t="s">
        <v>697</v>
      </c>
      <c r="Z5193" s="21"/>
      <c r="AA5193" s="21" t="str">
        <f>HYPERLINK("https://miland.ru/api/getInfo/item/17a13f09-c98c-11e9-a233-ac1f6b442184")</f>
        <v>https://miland.ru/api/getInfo/item/17a13f09-c98c-11e9-a233-ac1f6b442184</v>
      </c>
      <c r="AB5193" s="21" t="s">
        <v>42</v>
      </c>
      <c r="AC5193" s="21"/>
      <c r="AD5193" s="21"/>
    </row>
    <row r="5194" spans="2:31" s="1" customFormat="1" ht="96.3" customHeight="1" outlineLevel="4">
      <c r="B5194" s="57">
        <v>4232</v>
      </c>
      <c r="C5194" s="21" t="s">
        <v>18468</v>
      </c>
      <c r="D5194" s="72" t="s">
        <v>18469</v>
      </c>
      <c r="E5194" s="72"/>
      <c r="F5194" s="72"/>
      <c r="G5194" s="72"/>
      <c r="H5194" s="22" t="s">
        <v>18470</v>
      </c>
      <c r="I5194" s="23" t="s">
        <v>36</v>
      </c>
      <c r="J5194" s="22"/>
      <c r="K5194" s="20">
        <v>12</v>
      </c>
      <c r="L5194" s="24">
        <v>53.04</v>
      </c>
      <c r="M5194" s="11"/>
      <c r="N5194" s="22">
        <f t="shared" si="284"/>
        <v>0</v>
      </c>
      <c r="O5194" s="28">
        <f t="shared" si="285"/>
        <v>0</v>
      </c>
      <c r="P5194" s="26">
        <f t="shared" si="286"/>
        <v>0</v>
      </c>
      <c r="Q5194" s="30"/>
      <c r="R5194" s="22" t="s">
        <v>18471</v>
      </c>
      <c r="S5194" s="22" t="s">
        <v>435</v>
      </c>
      <c r="T5194" s="21" t="str">
        <f>HYPERLINK("https://miland.ru/api/getInfo/image/2b75869b-c98a-11e9-a233-ac1f6b442184")</f>
        <v>https://miland.ru/api/getInfo/image/2b75869b-c98a-11e9-a233-ac1f6b442184</v>
      </c>
      <c r="U5194" s="21"/>
      <c r="V5194" s="21" t="s">
        <v>11948</v>
      </c>
      <c r="W5194" s="21" t="s">
        <v>1630</v>
      </c>
      <c r="X5194" s="21"/>
      <c r="Y5194" s="21" t="s">
        <v>697</v>
      </c>
      <c r="Z5194" s="21"/>
      <c r="AA5194" s="21" t="str">
        <f>HYPERLINK("https://miland.ru/api/getInfo/item/2b75869b-c98a-11e9-a233-ac1f6b442184")</f>
        <v>https://miland.ru/api/getInfo/item/2b75869b-c98a-11e9-a233-ac1f6b442184</v>
      </c>
      <c r="AB5194" s="21" t="s">
        <v>42</v>
      </c>
      <c r="AC5194" s="21"/>
      <c r="AD5194" s="21"/>
    </row>
    <row r="5195" spans="2:31" s="1" customFormat="1" ht="96.3" customHeight="1" outlineLevel="4">
      <c r="B5195" s="57">
        <v>4233</v>
      </c>
      <c r="C5195" s="21" t="s">
        <v>18472</v>
      </c>
      <c r="D5195" s="72" t="s">
        <v>18473</v>
      </c>
      <c r="E5195" s="72"/>
      <c r="F5195" s="72"/>
      <c r="G5195" s="72"/>
      <c r="H5195" s="22" t="s">
        <v>18474</v>
      </c>
      <c r="I5195" s="23" t="s">
        <v>36</v>
      </c>
      <c r="J5195" s="22"/>
      <c r="K5195" s="20">
        <v>12</v>
      </c>
      <c r="L5195" s="24">
        <v>53.04</v>
      </c>
      <c r="M5195" s="11"/>
      <c r="N5195" s="22">
        <f t="shared" si="284"/>
        <v>0</v>
      </c>
      <c r="O5195" s="28">
        <f t="shared" si="285"/>
        <v>0</v>
      </c>
      <c r="P5195" s="26">
        <f t="shared" si="286"/>
        <v>0</v>
      </c>
      <c r="Q5195" s="30"/>
      <c r="R5195" s="22" t="s">
        <v>18475</v>
      </c>
      <c r="S5195" s="22" t="s">
        <v>435</v>
      </c>
      <c r="T5195" s="21" t="str">
        <f>HYPERLINK("https://miland.ru/api/getInfo/image/cf38fcbb-c98a-11e9-a233-ac1f6b442184")</f>
        <v>https://miland.ru/api/getInfo/image/cf38fcbb-c98a-11e9-a233-ac1f6b442184</v>
      </c>
      <c r="U5195" s="21"/>
      <c r="V5195" s="21" t="s">
        <v>11948</v>
      </c>
      <c r="W5195" s="21" t="s">
        <v>1630</v>
      </c>
      <c r="X5195" s="21"/>
      <c r="Y5195" s="21" t="s">
        <v>697</v>
      </c>
      <c r="Z5195" s="21"/>
      <c r="AA5195" s="21" t="str">
        <f>HYPERLINK("https://miland.ru/api/getInfo/item/cf38fcbb-c98a-11e9-a233-ac1f6b442184")</f>
        <v>https://miland.ru/api/getInfo/item/cf38fcbb-c98a-11e9-a233-ac1f6b442184</v>
      </c>
      <c r="AB5195" s="21" t="s">
        <v>42</v>
      </c>
      <c r="AC5195" s="21"/>
      <c r="AD5195" s="21"/>
    </row>
    <row r="5196" spans="2:31" s="1" customFormat="1" ht="96.3" customHeight="1" outlineLevel="4">
      <c r="B5196" s="57">
        <v>4234</v>
      </c>
      <c r="C5196" s="21" t="s">
        <v>18476</v>
      </c>
      <c r="D5196" s="72" t="s">
        <v>18477</v>
      </c>
      <c r="E5196" s="72"/>
      <c r="F5196" s="72"/>
      <c r="G5196" s="72"/>
      <c r="H5196" s="22" t="s">
        <v>18478</v>
      </c>
      <c r="I5196" s="23" t="s">
        <v>36</v>
      </c>
      <c r="J5196" s="22"/>
      <c r="K5196" s="20">
        <v>12</v>
      </c>
      <c r="L5196" s="24">
        <v>53.04</v>
      </c>
      <c r="M5196" s="11"/>
      <c r="N5196" s="22">
        <f t="shared" si="284"/>
        <v>0</v>
      </c>
      <c r="O5196" s="28">
        <f t="shared" si="285"/>
        <v>0</v>
      </c>
      <c r="P5196" s="26">
        <f t="shared" si="286"/>
        <v>0</v>
      </c>
      <c r="Q5196" s="30"/>
      <c r="R5196" s="22" t="s">
        <v>18479</v>
      </c>
      <c r="S5196" s="22" t="s">
        <v>435</v>
      </c>
      <c r="T5196" s="21" t="str">
        <f>HYPERLINK("https://miland.ru/api/getInfo/image/1c699d74-c989-11e9-a233-ac1f6b442184")</f>
        <v>https://miland.ru/api/getInfo/image/1c699d74-c989-11e9-a233-ac1f6b442184</v>
      </c>
      <c r="U5196" s="21"/>
      <c r="V5196" s="21" t="s">
        <v>11948</v>
      </c>
      <c r="W5196" s="21" t="s">
        <v>1630</v>
      </c>
      <c r="X5196" s="21"/>
      <c r="Y5196" s="21" t="s">
        <v>697</v>
      </c>
      <c r="Z5196" s="21"/>
      <c r="AA5196" s="21" t="str">
        <f>HYPERLINK("https://miland.ru/api/getInfo/item/1c699d74-c989-11e9-a233-ac1f6b442184")</f>
        <v>https://miland.ru/api/getInfo/item/1c699d74-c989-11e9-a233-ac1f6b442184</v>
      </c>
      <c r="AB5196" s="21" t="s">
        <v>42</v>
      </c>
      <c r="AC5196" s="21"/>
      <c r="AD5196" s="21"/>
    </row>
    <row r="5197" spans="2:31" s="1" customFormat="1" ht="96.3" customHeight="1" outlineLevel="4">
      <c r="B5197" s="57">
        <v>4235</v>
      </c>
      <c r="C5197" s="21" t="s">
        <v>18480</v>
      </c>
      <c r="D5197" s="72" t="s">
        <v>18481</v>
      </c>
      <c r="E5197" s="72"/>
      <c r="F5197" s="72"/>
      <c r="G5197" s="72"/>
      <c r="H5197" s="22" t="s">
        <v>18482</v>
      </c>
      <c r="I5197" s="23" t="s">
        <v>36</v>
      </c>
      <c r="J5197" s="22"/>
      <c r="K5197" s="20">
        <v>12</v>
      </c>
      <c r="L5197" s="24">
        <v>53.04</v>
      </c>
      <c r="M5197" s="11"/>
      <c r="N5197" s="22">
        <f t="shared" si="284"/>
        <v>0</v>
      </c>
      <c r="O5197" s="28">
        <f t="shared" si="285"/>
        <v>0</v>
      </c>
      <c r="P5197" s="26">
        <f t="shared" si="286"/>
        <v>0</v>
      </c>
      <c r="Q5197" s="30"/>
      <c r="R5197" s="22" t="s">
        <v>18483</v>
      </c>
      <c r="S5197" s="22" t="s">
        <v>435</v>
      </c>
      <c r="T5197" s="21" t="str">
        <f>HYPERLINK("https://miland.ru/api/getInfo/image/440e12f5-2c09-11ec-a20f-ac1f6b442185")</f>
        <v>https://miland.ru/api/getInfo/image/440e12f5-2c09-11ec-a20f-ac1f6b442185</v>
      </c>
      <c r="U5197" s="21"/>
      <c r="V5197" s="21" t="s">
        <v>11948</v>
      </c>
      <c r="W5197" s="21" t="s">
        <v>1630</v>
      </c>
      <c r="X5197" s="21"/>
      <c r="Y5197" s="21" t="s">
        <v>697</v>
      </c>
      <c r="Z5197" s="21"/>
      <c r="AA5197" s="21" t="str">
        <f>HYPERLINK("https://miland.ru/api/getInfo/item/440e12f5-2c09-11ec-a20f-ac1f6b442185")</f>
        <v>https://miland.ru/api/getInfo/item/440e12f5-2c09-11ec-a20f-ac1f6b442185</v>
      </c>
      <c r="AB5197" s="21" t="s">
        <v>42</v>
      </c>
      <c r="AC5197" s="21"/>
      <c r="AD5197" s="21"/>
    </row>
    <row r="5198" spans="2:31" s="1" customFormat="1" ht="96.3" customHeight="1" outlineLevel="4">
      <c r="B5198" s="57">
        <v>4236</v>
      </c>
      <c r="C5198" s="21" t="s">
        <v>18484</v>
      </c>
      <c r="D5198" s="72" t="s">
        <v>18485</v>
      </c>
      <c r="E5198" s="72"/>
      <c r="F5198" s="72"/>
      <c r="G5198" s="72"/>
      <c r="H5198" s="22" t="s">
        <v>18486</v>
      </c>
      <c r="I5198" s="23" t="s">
        <v>36</v>
      </c>
      <c r="J5198" s="22"/>
      <c r="K5198" s="20">
        <v>12</v>
      </c>
      <c r="L5198" s="24">
        <v>53.04</v>
      </c>
      <c r="M5198" s="11"/>
      <c r="N5198" s="22">
        <f t="shared" si="284"/>
        <v>0</v>
      </c>
      <c r="O5198" s="28">
        <f t="shared" si="285"/>
        <v>0</v>
      </c>
      <c r="P5198" s="26">
        <f t="shared" si="286"/>
        <v>0</v>
      </c>
      <c r="Q5198" s="30"/>
      <c r="R5198" s="22" t="s">
        <v>18487</v>
      </c>
      <c r="S5198" s="22" t="s">
        <v>435</v>
      </c>
      <c r="T5198" s="21" t="str">
        <f>HYPERLINK("https://miland.ru/api/getInfo/image/303cdb4e-c98c-11e9-a233-ac1f6b442184")</f>
        <v>https://miland.ru/api/getInfo/image/303cdb4e-c98c-11e9-a233-ac1f6b442184</v>
      </c>
      <c r="U5198" s="21"/>
      <c r="V5198" s="21" t="s">
        <v>11948</v>
      </c>
      <c r="W5198" s="21" t="s">
        <v>1630</v>
      </c>
      <c r="X5198" s="21"/>
      <c r="Y5198" s="21" t="s">
        <v>697</v>
      </c>
      <c r="Z5198" s="21"/>
      <c r="AA5198" s="21" t="str">
        <f>HYPERLINK("https://miland.ru/api/getInfo/item/303cdb4e-c98c-11e9-a233-ac1f6b442184")</f>
        <v>https://miland.ru/api/getInfo/item/303cdb4e-c98c-11e9-a233-ac1f6b442184</v>
      </c>
      <c r="AB5198" s="21" t="s">
        <v>42</v>
      </c>
      <c r="AC5198" s="21"/>
      <c r="AD5198" s="21"/>
    </row>
    <row r="5199" spans="2:31" s="1" customFormat="1" ht="96.3" customHeight="1" outlineLevel="4">
      <c r="B5199" s="57">
        <v>4237</v>
      </c>
      <c r="C5199" s="21" t="s">
        <v>18488</v>
      </c>
      <c r="D5199" s="72" t="s">
        <v>18489</v>
      </c>
      <c r="E5199" s="72"/>
      <c r="F5199" s="72"/>
      <c r="G5199" s="72"/>
      <c r="H5199" s="22" t="s">
        <v>18490</v>
      </c>
      <c r="I5199" s="23" t="s">
        <v>36</v>
      </c>
      <c r="J5199" s="22"/>
      <c r="K5199" s="20">
        <v>12</v>
      </c>
      <c r="L5199" s="24">
        <v>53.04</v>
      </c>
      <c r="M5199" s="11"/>
      <c r="N5199" s="22">
        <f t="shared" si="284"/>
        <v>0</v>
      </c>
      <c r="O5199" s="28">
        <f t="shared" si="285"/>
        <v>0</v>
      </c>
      <c r="P5199" s="29">
        <f>0.0019*M5199</f>
        <v>0</v>
      </c>
      <c r="Q5199" s="30"/>
      <c r="R5199" s="22" t="s">
        <v>18491</v>
      </c>
      <c r="S5199" s="22" t="s">
        <v>435</v>
      </c>
      <c r="T5199" s="21" t="str">
        <f>HYPERLINK("https://miland.ru/api/getInfo/image/3acc193b-c98a-11e9-a233-ac1f6b442184")</f>
        <v>https://miland.ru/api/getInfo/image/3acc193b-c98a-11e9-a233-ac1f6b442184</v>
      </c>
      <c r="U5199" s="21"/>
      <c r="V5199" s="21" t="s">
        <v>11948</v>
      </c>
      <c r="W5199" s="21" t="s">
        <v>1630</v>
      </c>
      <c r="X5199" s="21"/>
      <c r="Y5199" s="21" t="s">
        <v>697</v>
      </c>
      <c r="Z5199" s="21"/>
      <c r="AA5199" s="21" t="str">
        <f>HYPERLINK("https://miland.ru/api/getInfo/item/3acc193b-c98a-11e9-a233-ac1f6b442184")</f>
        <v>https://miland.ru/api/getInfo/item/3acc193b-c98a-11e9-a233-ac1f6b442184</v>
      </c>
      <c r="AB5199" s="21" t="s">
        <v>42</v>
      </c>
      <c r="AC5199" s="21"/>
      <c r="AD5199" s="21"/>
    </row>
    <row r="5200" spans="2:31" s="1" customFormat="1" ht="96.3" customHeight="1" outlineLevel="4">
      <c r="B5200" s="57">
        <v>4238</v>
      </c>
      <c r="C5200" s="21" t="s">
        <v>18492</v>
      </c>
      <c r="D5200" s="72" t="s">
        <v>18493</v>
      </c>
      <c r="E5200" s="72"/>
      <c r="F5200" s="72"/>
      <c r="G5200" s="72"/>
      <c r="H5200" s="22" t="s">
        <v>18494</v>
      </c>
      <c r="I5200" s="23" t="s">
        <v>36</v>
      </c>
      <c r="J5200" s="22"/>
      <c r="K5200" s="20">
        <v>12</v>
      </c>
      <c r="L5200" s="24">
        <v>53.04</v>
      </c>
      <c r="M5200" s="11"/>
      <c r="N5200" s="22">
        <f t="shared" si="284"/>
        <v>0</v>
      </c>
      <c r="O5200" s="33">
        <f>0.2*M5200</f>
        <v>0</v>
      </c>
      <c r="P5200" s="26">
        <f>0.00013*M5200</f>
        <v>0</v>
      </c>
      <c r="Q5200" s="30"/>
      <c r="R5200" s="22" t="s">
        <v>18495</v>
      </c>
      <c r="S5200" s="22" t="s">
        <v>435</v>
      </c>
      <c r="T5200" s="21" t="str">
        <f>HYPERLINK("https://miland.ru/api/getInfo/image/3277e539-c989-11e9-a233-ac1f6b442184")</f>
        <v>https://miland.ru/api/getInfo/image/3277e539-c989-11e9-a233-ac1f6b442184</v>
      </c>
      <c r="U5200" s="21"/>
      <c r="V5200" s="21" t="s">
        <v>11948</v>
      </c>
      <c r="W5200" s="21" t="s">
        <v>1630</v>
      </c>
      <c r="X5200" s="21"/>
      <c r="Y5200" s="21" t="s">
        <v>697</v>
      </c>
      <c r="Z5200" s="21"/>
      <c r="AA5200" s="21" t="str">
        <f>HYPERLINK("https://miland.ru/api/getInfo/item/3277e539-c989-11e9-a233-ac1f6b442184")</f>
        <v>https://miland.ru/api/getInfo/item/3277e539-c989-11e9-a233-ac1f6b442184</v>
      </c>
      <c r="AB5200" s="21" t="s">
        <v>42</v>
      </c>
      <c r="AC5200" s="21"/>
      <c r="AD5200" s="21"/>
    </row>
    <row r="5201" spans="2:31" s="1" customFormat="1" ht="96.3" customHeight="1" outlineLevel="4">
      <c r="B5201" s="57">
        <v>4239</v>
      </c>
      <c r="C5201" s="21" t="s">
        <v>18496</v>
      </c>
      <c r="D5201" s="72" t="s">
        <v>18497</v>
      </c>
      <c r="E5201" s="72"/>
      <c r="F5201" s="72"/>
      <c r="G5201" s="72"/>
      <c r="H5201" s="22" t="s">
        <v>18498</v>
      </c>
      <c r="I5201" s="27">
        <v>283</v>
      </c>
      <c r="J5201" s="22"/>
      <c r="K5201" s="20">
        <v>12</v>
      </c>
      <c r="L5201" s="24">
        <v>53.04</v>
      </c>
      <c r="M5201" s="11"/>
      <c r="N5201" s="22">
        <f t="shared" si="284"/>
        <v>0</v>
      </c>
      <c r="O5201" s="28">
        <f>0.02*M5201</f>
        <v>0</v>
      </c>
      <c r="P5201" s="26">
        <f>0.00013*M5201</f>
        <v>0</v>
      </c>
      <c r="Q5201" s="30"/>
      <c r="R5201" s="22" t="s">
        <v>18499</v>
      </c>
      <c r="S5201" s="22" t="s">
        <v>435</v>
      </c>
      <c r="T5201" s="21" t="str">
        <f>HYPERLINK("https://miland.ru/api/getInfo/image/aeb6de62-3ca6-11ec-a20f-ac1f6b442185")</f>
        <v>https://miland.ru/api/getInfo/image/aeb6de62-3ca6-11ec-a20f-ac1f6b442185</v>
      </c>
      <c r="U5201" s="21"/>
      <c r="V5201" s="21" t="s">
        <v>11948</v>
      </c>
      <c r="W5201" s="21" t="s">
        <v>1630</v>
      </c>
      <c r="X5201" s="21"/>
      <c r="Y5201" s="21" t="s">
        <v>697</v>
      </c>
      <c r="Z5201" s="21"/>
      <c r="AA5201" s="21" t="str">
        <f>HYPERLINK("https://miland.ru/api/getInfo/item/aeb6de62-3ca6-11ec-a20f-ac1f6b442185")</f>
        <v>https://miland.ru/api/getInfo/item/aeb6de62-3ca6-11ec-a20f-ac1f6b442185</v>
      </c>
      <c r="AB5201" s="21" t="s">
        <v>42</v>
      </c>
      <c r="AC5201" s="21"/>
      <c r="AD5201" s="21"/>
    </row>
    <row r="5202" spans="2:31" s="1" customFormat="1" ht="96.3" customHeight="1" outlineLevel="4">
      <c r="B5202" s="57">
        <v>4240</v>
      </c>
      <c r="C5202" s="21" t="s">
        <v>18500</v>
      </c>
      <c r="D5202" s="72" t="s">
        <v>18501</v>
      </c>
      <c r="E5202" s="72"/>
      <c r="F5202" s="72"/>
      <c r="G5202" s="72"/>
      <c r="H5202" s="22" t="s">
        <v>18502</v>
      </c>
      <c r="I5202" s="23" t="s">
        <v>36</v>
      </c>
      <c r="J5202" s="22"/>
      <c r="K5202" s="20">
        <v>12</v>
      </c>
      <c r="L5202" s="24">
        <v>53.04</v>
      </c>
      <c r="M5202" s="11"/>
      <c r="N5202" s="22">
        <f t="shared" si="284"/>
        <v>0</v>
      </c>
      <c r="O5202" s="28">
        <f>0.02*M5202</f>
        <v>0</v>
      </c>
      <c r="P5202" s="26">
        <f>0.00013*M5202</f>
        <v>0</v>
      </c>
      <c r="Q5202" s="30"/>
      <c r="R5202" s="22" t="s">
        <v>18503</v>
      </c>
      <c r="S5202" s="22" t="s">
        <v>435</v>
      </c>
      <c r="T5202" s="21" t="str">
        <f>HYPERLINK("https://miland.ru/api/getInfo/image/82e1b979-c98c-11e9-a233-ac1f6b442184")</f>
        <v>https://miland.ru/api/getInfo/image/82e1b979-c98c-11e9-a233-ac1f6b442184</v>
      </c>
      <c r="U5202" s="21"/>
      <c r="V5202" s="21" t="s">
        <v>11948</v>
      </c>
      <c r="W5202" s="21" t="s">
        <v>1630</v>
      </c>
      <c r="X5202" s="21"/>
      <c r="Y5202" s="21" t="s">
        <v>697</v>
      </c>
      <c r="Z5202" s="21"/>
      <c r="AA5202" s="21" t="str">
        <f>HYPERLINK("https://miland.ru/api/getInfo/item/82e1b979-c98c-11e9-a233-ac1f6b442184")</f>
        <v>https://miland.ru/api/getInfo/item/82e1b979-c98c-11e9-a233-ac1f6b442184</v>
      </c>
      <c r="AB5202" s="21" t="s">
        <v>42</v>
      </c>
      <c r="AC5202" s="21"/>
      <c r="AD5202" s="21"/>
    </row>
    <row r="5203" spans="2:31" s="1" customFormat="1" ht="96.3" customHeight="1" outlineLevel="4">
      <c r="B5203" s="57">
        <v>4241</v>
      </c>
      <c r="C5203" s="21" t="s">
        <v>18504</v>
      </c>
      <c r="D5203" s="72" t="s">
        <v>18505</v>
      </c>
      <c r="E5203" s="72"/>
      <c r="F5203" s="72"/>
      <c r="G5203" s="72"/>
      <c r="H5203" s="22" t="s">
        <v>18506</v>
      </c>
      <c r="I5203" s="23" t="s">
        <v>36</v>
      </c>
      <c r="J5203" s="22"/>
      <c r="K5203" s="20">
        <v>12</v>
      </c>
      <c r="L5203" s="24">
        <v>53.04</v>
      </c>
      <c r="M5203" s="11"/>
      <c r="N5203" s="22">
        <f t="shared" si="284"/>
        <v>0</v>
      </c>
      <c r="O5203" s="28">
        <f>0.02*M5203</f>
        <v>0</v>
      </c>
      <c r="P5203" s="26">
        <f>0.00013*M5203</f>
        <v>0</v>
      </c>
      <c r="Q5203" s="30"/>
      <c r="R5203" s="22" t="s">
        <v>18507</v>
      </c>
      <c r="S5203" s="22" t="s">
        <v>435</v>
      </c>
      <c r="T5203" s="21" t="str">
        <f>HYPERLINK("https://miland.ru/api/getInfo/image/4cacbc14-c98a-11e9-a233-ac1f6b442184")</f>
        <v>https://miland.ru/api/getInfo/image/4cacbc14-c98a-11e9-a233-ac1f6b442184</v>
      </c>
      <c r="U5203" s="21"/>
      <c r="V5203" s="21" t="s">
        <v>11948</v>
      </c>
      <c r="W5203" s="21" t="s">
        <v>1630</v>
      </c>
      <c r="X5203" s="21"/>
      <c r="Y5203" s="21" t="s">
        <v>697</v>
      </c>
      <c r="Z5203" s="21"/>
      <c r="AA5203" s="21" t="str">
        <f>HYPERLINK("https://miland.ru/api/getInfo/item/4cacbc14-c98a-11e9-a233-ac1f6b442184")</f>
        <v>https://miland.ru/api/getInfo/item/4cacbc14-c98a-11e9-a233-ac1f6b442184</v>
      </c>
      <c r="AB5203" s="21" t="s">
        <v>42</v>
      </c>
      <c r="AC5203" s="21"/>
      <c r="AD5203" s="21"/>
    </row>
    <row r="5204" spans="2:31" s="1" customFormat="1" ht="96.3" customHeight="1" outlineLevel="4">
      <c r="B5204" s="59">
        <v>4242</v>
      </c>
      <c r="C5204" s="35" t="s">
        <v>18508</v>
      </c>
      <c r="D5204" s="73" t="s">
        <v>18509</v>
      </c>
      <c r="E5204" s="73"/>
      <c r="F5204" s="73"/>
      <c r="G5204" s="73"/>
      <c r="H5204" s="36" t="s">
        <v>18510</v>
      </c>
      <c r="I5204" s="56" t="s">
        <v>36</v>
      </c>
      <c r="J5204" s="36"/>
      <c r="K5204" s="34">
        <v>12</v>
      </c>
      <c r="L5204" s="41">
        <v>41.666666666666664</v>
      </c>
      <c r="M5204" s="11"/>
      <c r="N5204" s="36">
        <f t="shared" si="284"/>
        <v>0</v>
      </c>
      <c r="O5204" s="42">
        <f>0.018*M5204</f>
        <v>0</v>
      </c>
      <c r="P5204" s="43">
        <f>0.00013*M5204</f>
        <v>0</v>
      </c>
      <c r="Q5204" s="50"/>
      <c r="R5204" s="36" t="s">
        <v>18511</v>
      </c>
      <c r="S5204" s="36"/>
      <c r="T5204" s="35" t="str">
        <f>HYPERLINK("https://miland.ru/api/getInfo/image/8f17ef15-c98e-11e9-a233-ac1f6b442184")</f>
        <v>https://miland.ru/api/getInfo/image/8f17ef15-c98e-11e9-a233-ac1f6b442184</v>
      </c>
      <c r="U5204" s="35"/>
      <c r="V5204" s="35" t="s">
        <v>11948</v>
      </c>
      <c r="W5204" s="35" t="s">
        <v>1630</v>
      </c>
      <c r="X5204" s="35"/>
      <c r="Y5204" s="35" t="s">
        <v>697</v>
      </c>
      <c r="Z5204" s="35"/>
      <c r="AA5204" s="35" t="str">
        <f>HYPERLINK("https://miland.ru/api/getInfo/item/8f17ef15-c98e-11e9-a233-ac1f6b442184")</f>
        <v>https://miland.ru/api/getInfo/item/8f17ef15-c98e-11e9-a233-ac1f6b442184</v>
      </c>
      <c r="AB5204" s="35" t="s">
        <v>42</v>
      </c>
      <c r="AC5204" s="35"/>
      <c r="AD5204" s="35"/>
      <c r="AE5204" s="52" t="s">
        <v>9152</v>
      </c>
    </row>
    <row r="5205" spans="2:31" s="1" customFormat="1" ht="96.3" customHeight="1" outlineLevel="4">
      <c r="B5205" s="57">
        <v>4243</v>
      </c>
      <c r="C5205" s="21" t="s">
        <v>18512</v>
      </c>
      <c r="D5205" s="72" t="s">
        <v>18513</v>
      </c>
      <c r="E5205" s="72"/>
      <c r="F5205" s="72"/>
      <c r="G5205" s="72"/>
      <c r="H5205" s="22" t="s">
        <v>18514</v>
      </c>
      <c r="I5205" s="23" t="s">
        <v>36</v>
      </c>
      <c r="J5205" s="22"/>
      <c r="K5205" s="20">
        <v>12</v>
      </c>
      <c r="L5205" s="24">
        <v>65.099999999999994</v>
      </c>
      <c r="M5205" s="11"/>
      <c r="N5205" s="22">
        <f t="shared" si="284"/>
        <v>0</v>
      </c>
      <c r="O5205" s="28">
        <f>0.02*M5205</f>
        <v>0</v>
      </c>
      <c r="P5205" s="26">
        <f>0.00009*M5205</f>
        <v>0</v>
      </c>
      <c r="Q5205" s="30"/>
      <c r="R5205" s="22" t="s">
        <v>18515</v>
      </c>
      <c r="S5205" s="22"/>
      <c r="T5205" s="21" t="str">
        <f>HYPERLINK("https://miland.ru/api/getInfo/image/956ff670-c98d-11e9-a233-ac1f6b442184")</f>
        <v>https://miland.ru/api/getInfo/image/956ff670-c98d-11e9-a233-ac1f6b442184</v>
      </c>
      <c r="U5205" s="21"/>
      <c r="V5205" s="21" t="s">
        <v>11948</v>
      </c>
      <c r="W5205" s="21" t="s">
        <v>1630</v>
      </c>
      <c r="X5205" s="21"/>
      <c r="Y5205" s="21" t="s">
        <v>697</v>
      </c>
      <c r="Z5205" s="21"/>
      <c r="AA5205" s="21" t="str">
        <f>HYPERLINK("https://miland.ru/api/getInfo/item/956ff670-c98d-11e9-a233-ac1f6b442184")</f>
        <v>https://miland.ru/api/getInfo/item/956ff670-c98d-11e9-a233-ac1f6b442184</v>
      </c>
      <c r="AB5205" s="21" t="s">
        <v>42</v>
      </c>
      <c r="AC5205" s="21"/>
      <c r="AD5205" s="21"/>
    </row>
    <row r="5206" spans="2:31" s="1" customFormat="1" ht="96.3" customHeight="1" outlineLevel="4">
      <c r="B5206" s="59">
        <v>4244</v>
      </c>
      <c r="C5206" s="35" t="s">
        <v>18516</v>
      </c>
      <c r="D5206" s="73" t="s">
        <v>18517</v>
      </c>
      <c r="E5206" s="73"/>
      <c r="F5206" s="73"/>
      <c r="G5206" s="73"/>
      <c r="H5206" s="36" t="s">
        <v>18518</v>
      </c>
      <c r="I5206" s="56" t="s">
        <v>36</v>
      </c>
      <c r="J5206" s="36"/>
      <c r="K5206" s="34">
        <v>12</v>
      </c>
      <c r="L5206" s="41">
        <v>41.666666666666664</v>
      </c>
      <c r="M5206" s="11"/>
      <c r="N5206" s="36">
        <f t="shared" si="284"/>
        <v>0</v>
      </c>
      <c r="O5206" s="42">
        <f>0.015*M5206</f>
        <v>0</v>
      </c>
      <c r="P5206" s="43">
        <f>0.00014*M5206</f>
        <v>0</v>
      </c>
      <c r="Q5206" s="50"/>
      <c r="R5206" s="36" t="s">
        <v>18519</v>
      </c>
      <c r="S5206" s="36"/>
      <c r="T5206" s="35" t="str">
        <f>HYPERLINK("https://miland.ru/api/getInfo/image/a5b08381-c98e-11e9-a233-ac1f6b442184")</f>
        <v>https://miland.ru/api/getInfo/image/a5b08381-c98e-11e9-a233-ac1f6b442184</v>
      </c>
      <c r="U5206" s="35"/>
      <c r="V5206" s="35" t="s">
        <v>11948</v>
      </c>
      <c r="W5206" s="35" t="s">
        <v>1630</v>
      </c>
      <c r="X5206" s="35"/>
      <c r="Y5206" s="35" t="s">
        <v>697</v>
      </c>
      <c r="Z5206" s="35"/>
      <c r="AA5206" s="35" t="str">
        <f>HYPERLINK("https://miland.ru/api/getInfo/item/a5b08381-c98e-11e9-a233-ac1f6b442184")</f>
        <v>https://miland.ru/api/getInfo/item/a5b08381-c98e-11e9-a233-ac1f6b442184</v>
      </c>
      <c r="AB5206" s="35" t="s">
        <v>42</v>
      </c>
      <c r="AC5206" s="35"/>
      <c r="AD5206" s="35"/>
      <c r="AE5206" s="52" t="s">
        <v>9152</v>
      </c>
    </row>
    <row r="5207" spans="2:31" s="1" customFormat="1" ht="96.3" customHeight="1" outlineLevel="4">
      <c r="B5207" s="59">
        <v>4245</v>
      </c>
      <c r="C5207" s="35" t="s">
        <v>18520</v>
      </c>
      <c r="D5207" s="73" t="s">
        <v>18521</v>
      </c>
      <c r="E5207" s="73"/>
      <c r="F5207" s="73"/>
      <c r="G5207" s="73"/>
      <c r="H5207" s="36" t="s">
        <v>18522</v>
      </c>
      <c r="I5207" s="56" t="s">
        <v>36</v>
      </c>
      <c r="J5207" s="36"/>
      <c r="K5207" s="34">
        <v>12</v>
      </c>
      <c r="L5207" s="41">
        <v>41.666666666666664</v>
      </c>
      <c r="M5207" s="11"/>
      <c r="N5207" s="36">
        <f t="shared" si="284"/>
        <v>0</v>
      </c>
      <c r="O5207" s="42">
        <f>0.025*M5207</f>
        <v>0</v>
      </c>
      <c r="P5207" s="43">
        <f>0.00051*M5207</f>
        <v>0</v>
      </c>
      <c r="Q5207" s="50"/>
      <c r="R5207" s="36" t="s">
        <v>18523</v>
      </c>
      <c r="S5207" s="36"/>
      <c r="T5207" s="35" t="str">
        <f>HYPERLINK("https://miland.ru/api/getInfo/image/b2baeec8-c98d-11e9-a233-ac1f6b442184")</f>
        <v>https://miland.ru/api/getInfo/image/b2baeec8-c98d-11e9-a233-ac1f6b442184</v>
      </c>
      <c r="U5207" s="35"/>
      <c r="V5207" s="35" t="s">
        <v>11948</v>
      </c>
      <c r="W5207" s="35" t="s">
        <v>1630</v>
      </c>
      <c r="X5207" s="35"/>
      <c r="Y5207" s="35" t="s">
        <v>697</v>
      </c>
      <c r="Z5207" s="35"/>
      <c r="AA5207" s="35" t="str">
        <f>HYPERLINK("https://miland.ru/api/getInfo/item/b2baeec8-c98d-11e9-a233-ac1f6b442184")</f>
        <v>https://miland.ru/api/getInfo/item/b2baeec8-c98d-11e9-a233-ac1f6b442184</v>
      </c>
      <c r="AB5207" s="35" t="s">
        <v>42</v>
      </c>
      <c r="AC5207" s="35"/>
      <c r="AD5207" s="35"/>
      <c r="AE5207" s="52" t="s">
        <v>9152</v>
      </c>
    </row>
    <row r="5208" spans="2:31" s="1" customFormat="1" ht="96.3" customHeight="1" outlineLevel="4">
      <c r="B5208" s="59">
        <v>4246</v>
      </c>
      <c r="C5208" s="35" t="s">
        <v>18524</v>
      </c>
      <c r="D5208" s="73" t="s">
        <v>18525</v>
      </c>
      <c r="E5208" s="73"/>
      <c r="F5208" s="73"/>
      <c r="G5208" s="73"/>
      <c r="H5208" s="36" t="s">
        <v>18526</v>
      </c>
      <c r="I5208" s="56" t="s">
        <v>36</v>
      </c>
      <c r="J5208" s="36"/>
      <c r="K5208" s="34">
        <v>12</v>
      </c>
      <c r="L5208" s="41">
        <v>41.666666666666664</v>
      </c>
      <c r="M5208" s="11"/>
      <c r="N5208" s="36">
        <f t="shared" si="284"/>
        <v>0</v>
      </c>
      <c r="O5208" s="42">
        <f>0.017*M5208</f>
        <v>0</v>
      </c>
      <c r="P5208" s="43">
        <f>0.00015*M5208</f>
        <v>0</v>
      </c>
      <c r="Q5208" s="50"/>
      <c r="R5208" s="36" t="s">
        <v>18527</v>
      </c>
      <c r="S5208" s="36"/>
      <c r="T5208" s="35" t="str">
        <f>HYPERLINK("https://miland.ru/api/getInfo/image/bc47e696-c98e-11e9-a233-ac1f6b442184")</f>
        <v>https://miland.ru/api/getInfo/image/bc47e696-c98e-11e9-a233-ac1f6b442184</v>
      </c>
      <c r="U5208" s="35"/>
      <c r="V5208" s="35" t="s">
        <v>11948</v>
      </c>
      <c r="W5208" s="35" t="s">
        <v>1630</v>
      </c>
      <c r="X5208" s="35"/>
      <c r="Y5208" s="35" t="s">
        <v>697</v>
      </c>
      <c r="Z5208" s="35"/>
      <c r="AA5208" s="35" t="str">
        <f>HYPERLINK("https://miland.ru/api/getInfo/item/bc47e696-c98e-11e9-a233-ac1f6b442184")</f>
        <v>https://miland.ru/api/getInfo/item/bc47e696-c98e-11e9-a233-ac1f6b442184</v>
      </c>
      <c r="AB5208" s="35" t="s">
        <v>42</v>
      </c>
      <c r="AC5208" s="35"/>
      <c r="AD5208" s="35"/>
      <c r="AE5208" s="52" t="s">
        <v>9152</v>
      </c>
    </row>
    <row r="5209" spans="2:31" s="1" customFormat="1" ht="96.3" customHeight="1" outlineLevel="4">
      <c r="B5209" s="57">
        <v>4247</v>
      </c>
      <c r="C5209" s="21" t="s">
        <v>18528</v>
      </c>
      <c r="D5209" s="72" t="s">
        <v>18529</v>
      </c>
      <c r="E5209" s="72"/>
      <c r="F5209" s="72"/>
      <c r="G5209" s="72"/>
      <c r="H5209" s="22" t="s">
        <v>18530</v>
      </c>
      <c r="I5209" s="23" t="s">
        <v>36</v>
      </c>
      <c r="J5209" s="22"/>
      <c r="K5209" s="20">
        <v>12</v>
      </c>
      <c r="L5209" s="24">
        <v>65.099999999999994</v>
      </c>
      <c r="M5209" s="11"/>
      <c r="N5209" s="22">
        <f t="shared" si="284"/>
        <v>0</v>
      </c>
      <c r="O5209" s="28">
        <f>0.02*M5209</f>
        <v>0</v>
      </c>
      <c r="P5209" s="26">
        <f>0.00055*M5209</f>
        <v>0</v>
      </c>
      <c r="Q5209" s="30"/>
      <c r="R5209" s="22" t="s">
        <v>18531</v>
      </c>
      <c r="S5209" s="22"/>
      <c r="T5209" s="21" t="str">
        <f>HYPERLINK("https://miland.ru/api/getInfo/image/c98cf08d-c98d-11e9-a233-ac1f6b442184")</f>
        <v>https://miland.ru/api/getInfo/image/c98cf08d-c98d-11e9-a233-ac1f6b442184</v>
      </c>
      <c r="U5209" s="21"/>
      <c r="V5209" s="21" t="s">
        <v>11948</v>
      </c>
      <c r="W5209" s="21" t="s">
        <v>1630</v>
      </c>
      <c r="X5209" s="21"/>
      <c r="Y5209" s="21" t="s">
        <v>697</v>
      </c>
      <c r="Z5209" s="21"/>
      <c r="AA5209" s="21" t="str">
        <f>HYPERLINK("https://miland.ru/api/getInfo/item/c98cf08d-c98d-11e9-a233-ac1f6b442184")</f>
        <v>https://miland.ru/api/getInfo/item/c98cf08d-c98d-11e9-a233-ac1f6b442184</v>
      </c>
      <c r="AB5209" s="21" t="s">
        <v>42</v>
      </c>
      <c r="AC5209" s="21"/>
      <c r="AD5209" s="21"/>
    </row>
    <row r="5210" spans="2:31" s="1" customFormat="1" ht="96.3" customHeight="1" outlineLevel="4">
      <c r="B5210" s="59">
        <v>4248</v>
      </c>
      <c r="C5210" s="35" t="s">
        <v>18532</v>
      </c>
      <c r="D5210" s="73" t="s">
        <v>18533</v>
      </c>
      <c r="E5210" s="73"/>
      <c r="F5210" s="73"/>
      <c r="G5210" s="73"/>
      <c r="H5210" s="36" t="s">
        <v>18534</v>
      </c>
      <c r="I5210" s="56" t="s">
        <v>36</v>
      </c>
      <c r="J5210" s="36"/>
      <c r="K5210" s="34">
        <v>12</v>
      </c>
      <c r="L5210" s="41">
        <v>41.666666666666664</v>
      </c>
      <c r="M5210" s="11"/>
      <c r="N5210" s="36">
        <f t="shared" si="284"/>
        <v>0</v>
      </c>
      <c r="O5210" s="42">
        <f>0.017*M5210</f>
        <v>0</v>
      </c>
      <c r="P5210" s="43">
        <f>0.00012*M5210</f>
        <v>0</v>
      </c>
      <c r="Q5210" s="50"/>
      <c r="R5210" s="36" t="s">
        <v>18535</v>
      </c>
      <c r="S5210" s="36"/>
      <c r="T5210" s="35" t="str">
        <f>HYPERLINK("https://miland.ru/api/getInfo/image/d3f2afc9-c98e-11e9-a233-ac1f6b442184")</f>
        <v>https://miland.ru/api/getInfo/image/d3f2afc9-c98e-11e9-a233-ac1f6b442184</v>
      </c>
      <c r="U5210" s="35"/>
      <c r="V5210" s="35" t="s">
        <v>11948</v>
      </c>
      <c r="W5210" s="35" t="s">
        <v>1630</v>
      </c>
      <c r="X5210" s="35"/>
      <c r="Y5210" s="35" t="s">
        <v>697</v>
      </c>
      <c r="Z5210" s="35"/>
      <c r="AA5210" s="35" t="str">
        <f>HYPERLINK("https://miland.ru/api/getInfo/item/d3f2afc9-c98e-11e9-a233-ac1f6b442184")</f>
        <v>https://miland.ru/api/getInfo/item/d3f2afc9-c98e-11e9-a233-ac1f6b442184</v>
      </c>
      <c r="AB5210" s="35" t="s">
        <v>42</v>
      </c>
      <c r="AC5210" s="35"/>
      <c r="AD5210" s="35"/>
      <c r="AE5210" s="52" t="s">
        <v>9152</v>
      </c>
    </row>
    <row r="5211" spans="2:31" s="1" customFormat="1" ht="96.3" customHeight="1" outlineLevel="4">
      <c r="B5211" s="57">
        <v>4249</v>
      </c>
      <c r="C5211" s="21" t="s">
        <v>18536</v>
      </c>
      <c r="D5211" s="72" t="s">
        <v>18537</v>
      </c>
      <c r="E5211" s="72"/>
      <c r="F5211" s="72"/>
      <c r="G5211" s="72"/>
      <c r="H5211" s="22" t="s">
        <v>18538</v>
      </c>
      <c r="I5211" s="23" t="s">
        <v>36</v>
      </c>
      <c r="J5211" s="22"/>
      <c r="K5211" s="20">
        <v>12</v>
      </c>
      <c r="L5211" s="24">
        <v>65.099999999999994</v>
      </c>
      <c r="M5211" s="11"/>
      <c r="N5211" s="22">
        <f t="shared" si="284"/>
        <v>0</v>
      </c>
      <c r="O5211" s="28">
        <f>0.02*M5211</f>
        <v>0</v>
      </c>
      <c r="P5211" s="26">
        <f>0.00009*M5211</f>
        <v>0</v>
      </c>
      <c r="Q5211" s="30"/>
      <c r="R5211" s="22" t="s">
        <v>18539</v>
      </c>
      <c r="S5211" s="22"/>
      <c r="T5211" s="21" t="str">
        <f>HYPERLINK("https://miland.ru/api/getInfo/image/e2963c12-c98d-11e9-a233-ac1f6b442184")</f>
        <v>https://miland.ru/api/getInfo/image/e2963c12-c98d-11e9-a233-ac1f6b442184</v>
      </c>
      <c r="U5211" s="21"/>
      <c r="V5211" s="21" t="s">
        <v>11948</v>
      </c>
      <c r="W5211" s="21" t="s">
        <v>1630</v>
      </c>
      <c r="X5211" s="21"/>
      <c r="Y5211" s="21" t="s">
        <v>697</v>
      </c>
      <c r="Z5211" s="21"/>
      <c r="AA5211" s="21" t="str">
        <f>HYPERLINK("https://miland.ru/api/getInfo/item/e2963c12-c98d-11e9-a233-ac1f6b442184")</f>
        <v>https://miland.ru/api/getInfo/item/e2963c12-c98d-11e9-a233-ac1f6b442184</v>
      </c>
      <c r="AB5211" s="21" t="s">
        <v>42</v>
      </c>
      <c r="AC5211" s="21"/>
      <c r="AD5211" s="21"/>
    </row>
    <row r="5212" spans="2:31" s="1" customFormat="1" ht="96.3" customHeight="1" outlineLevel="4">
      <c r="B5212" s="57">
        <v>4250</v>
      </c>
      <c r="C5212" s="21" t="s">
        <v>18540</v>
      </c>
      <c r="D5212" s="72" t="s">
        <v>18541</v>
      </c>
      <c r="E5212" s="72"/>
      <c r="F5212" s="72"/>
      <c r="G5212" s="72"/>
      <c r="H5212" s="22" t="s">
        <v>18542</v>
      </c>
      <c r="I5212" s="23" t="s">
        <v>36</v>
      </c>
      <c r="J5212" s="22"/>
      <c r="K5212" s="20">
        <v>12</v>
      </c>
      <c r="L5212" s="24">
        <v>65.099999999999994</v>
      </c>
      <c r="M5212" s="11"/>
      <c r="N5212" s="22">
        <f t="shared" si="284"/>
        <v>0</v>
      </c>
      <c r="O5212" s="28">
        <f>0.02*M5212</f>
        <v>0</v>
      </c>
      <c r="P5212" s="26">
        <f>0.00009*M5212</f>
        <v>0</v>
      </c>
      <c r="Q5212" s="30"/>
      <c r="R5212" s="22" t="s">
        <v>18543</v>
      </c>
      <c r="S5212" s="22"/>
      <c r="T5212" s="21" t="str">
        <f>HYPERLINK("https://miland.ru/api/getInfo/image/eaf564a0-c98e-11e9-a233-ac1f6b442184")</f>
        <v>https://miland.ru/api/getInfo/image/eaf564a0-c98e-11e9-a233-ac1f6b442184</v>
      </c>
      <c r="U5212" s="21"/>
      <c r="V5212" s="21" t="s">
        <v>11948</v>
      </c>
      <c r="W5212" s="21" t="s">
        <v>1630</v>
      </c>
      <c r="X5212" s="21"/>
      <c r="Y5212" s="21" t="s">
        <v>697</v>
      </c>
      <c r="Z5212" s="21"/>
      <c r="AA5212" s="21" t="str">
        <f>HYPERLINK("https://miland.ru/api/getInfo/item/eaf564a0-c98e-11e9-a233-ac1f6b442184")</f>
        <v>https://miland.ru/api/getInfo/item/eaf564a0-c98e-11e9-a233-ac1f6b442184</v>
      </c>
      <c r="AB5212" s="21" t="s">
        <v>42</v>
      </c>
      <c r="AC5212" s="21"/>
      <c r="AD5212" s="21"/>
    </row>
    <row r="5213" spans="2:31" s="1" customFormat="1" ht="96.3" customHeight="1" outlineLevel="4">
      <c r="B5213" s="57">
        <v>4251</v>
      </c>
      <c r="C5213" s="21" t="s">
        <v>18544</v>
      </c>
      <c r="D5213" s="72" t="s">
        <v>18545</v>
      </c>
      <c r="E5213" s="72"/>
      <c r="F5213" s="72"/>
      <c r="G5213" s="72"/>
      <c r="H5213" s="22" t="s">
        <v>18546</v>
      </c>
      <c r="I5213" s="23" t="s">
        <v>36</v>
      </c>
      <c r="J5213" s="22"/>
      <c r="K5213" s="20">
        <v>12</v>
      </c>
      <c r="L5213" s="24">
        <v>65.099999999999994</v>
      </c>
      <c r="M5213" s="11"/>
      <c r="N5213" s="22">
        <f t="shared" si="284"/>
        <v>0</v>
      </c>
      <c r="O5213" s="28">
        <f>0.02*M5213</f>
        <v>0</v>
      </c>
      <c r="P5213" s="26">
        <f>0.00009*M5213</f>
        <v>0</v>
      </c>
      <c r="Q5213" s="30"/>
      <c r="R5213" s="22" t="s">
        <v>18547</v>
      </c>
      <c r="S5213" s="22"/>
      <c r="T5213" s="21" t="str">
        <f>HYPERLINK("https://miland.ru/api/getInfo/image/fa39dd67-c98d-11e9-a233-ac1f6b442184")</f>
        <v>https://miland.ru/api/getInfo/image/fa39dd67-c98d-11e9-a233-ac1f6b442184</v>
      </c>
      <c r="U5213" s="21"/>
      <c r="V5213" s="21" t="s">
        <v>11948</v>
      </c>
      <c r="W5213" s="21" t="s">
        <v>1630</v>
      </c>
      <c r="X5213" s="21"/>
      <c r="Y5213" s="21" t="s">
        <v>697</v>
      </c>
      <c r="Z5213" s="21"/>
      <c r="AA5213" s="21" t="str">
        <f>HYPERLINK("https://miland.ru/api/getInfo/item/fa39dd67-c98d-11e9-a233-ac1f6b442184")</f>
        <v>https://miland.ru/api/getInfo/item/fa39dd67-c98d-11e9-a233-ac1f6b442184</v>
      </c>
      <c r="AB5213" s="21" t="s">
        <v>42</v>
      </c>
      <c r="AC5213" s="21"/>
      <c r="AD5213" s="21"/>
    </row>
    <row r="5214" spans="2:31" s="1" customFormat="1" ht="96.3" customHeight="1" outlineLevel="4">
      <c r="B5214" s="59">
        <v>4252</v>
      </c>
      <c r="C5214" s="35" t="s">
        <v>18548</v>
      </c>
      <c r="D5214" s="73" t="s">
        <v>18549</v>
      </c>
      <c r="E5214" s="73"/>
      <c r="F5214" s="73"/>
      <c r="G5214" s="73"/>
      <c r="H5214" s="36" t="s">
        <v>18550</v>
      </c>
      <c r="I5214" s="56" t="s">
        <v>36</v>
      </c>
      <c r="J5214" s="36"/>
      <c r="K5214" s="34">
        <v>12</v>
      </c>
      <c r="L5214" s="41">
        <v>41.666666666666664</v>
      </c>
      <c r="M5214" s="11"/>
      <c r="N5214" s="36">
        <f t="shared" si="284"/>
        <v>0</v>
      </c>
      <c r="O5214" s="42">
        <f>0.022*M5214</f>
        <v>0</v>
      </c>
      <c r="P5214" s="43">
        <f>0.00013*M5214</f>
        <v>0</v>
      </c>
      <c r="Q5214" s="50"/>
      <c r="R5214" s="36" t="s">
        <v>18551</v>
      </c>
      <c r="S5214" s="36"/>
      <c r="T5214" s="35" t="str">
        <f>HYPERLINK("https://miland.ru/api/getInfo/image/08405d4b-c98f-11e9-a233-ac1f6b442184")</f>
        <v>https://miland.ru/api/getInfo/image/08405d4b-c98f-11e9-a233-ac1f6b442184</v>
      </c>
      <c r="U5214" s="35"/>
      <c r="V5214" s="35" t="s">
        <v>11948</v>
      </c>
      <c r="W5214" s="35" t="s">
        <v>1630</v>
      </c>
      <c r="X5214" s="35"/>
      <c r="Y5214" s="35" t="s">
        <v>697</v>
      </c>
      <c r="Z5214" s="35"/>
      <c r="AA5214" s="35" t="str">
        <f>HYPERLINK("https://miland.ru/api/getInfo/item/08405d4b-c98f-11e9-a233-ac1f6b442184")</f>
        <v>https://miland.ru/api/getInfo/item/08405d4b-c98f-11e9-a233-ac1f6b442184</v>
      </c>
      <c r="AB5214" s="35" t="s">
        <v>42</v>
      </c>
      <c r="AC5214" s="35"/>
      <c r="AD5214" s="35"/>
      <c r="AE5214" s="52" t="s">
        <v>9152</v>
      </c>
    </row>
    <row r="5215" spans="2:31" s="1" customFormat="1" ht="96.3" customHeight="1" outlineLevel="4">
      <c r="B5215" s="57">
        <v>4253</v>
      </c>
      <c r="C5215" s="21" t="s">
        <v>18552</v>
      </c>
      <c r="D5215" s="72" t="s">
        <v>18553</v>
      </c>
      <c r="E5215" s="72"/>
      <c r="F5215" s="72"/>
      <c r="G5215" s="72"/>
      <c r="H5215" s="22" t="s">
        <v>18554</v>
      </c>
      <c r="I5215" s="23" t="s">
        <v>36</v>
      </c>
      <c r="J5215" s="22"/>
      <c r="K5215" s="20">
        <v>12</v>
      </c>
      <c r="L5215" s="24">
        <v>65.099999999999994</v>
      </c>
      <c r="M5215" s="11"/>
      <c r="N5215" s="22">
        <f t="shared" si="284"/>
        <v>0</v>
      </c>
      <c r="O5215" s="28">
        <f t="shared" ref="O5215:O5223" si="287">0.02*M5215</f>
        <v>0</v>
      </c>
      <c r="P5215" s="26">
        <f t="shared" ref="P5215:P5223" si="288">0.00009*M5215</f>
        <v>0</v>
      </c>
      <c r="Q5215" s="30"/>
      <c r="R5215" s="22" t="s">
        <v>18555</v>
      </c>
      <c r="S5215" s="22"/>
      <c r="T5215" s="21" t="str">
        <f>HYPERLINK("https://miland.ru/api/getInfo/image/16c1515d-c98e-11e9-a233-ac1f6b442184")</f>
        <v>https://miland.ru/api/getInfo/image/16c1515d-c98e-11e9-a233-ac1f6b442184</v>
      </c>
      <c r="U5215" s="21"/>
      <c r="V5215" s="21" t="s">
        <v>11948</v>
      </c>
      <c r="W5215" s="21" t="s">
        <v>1630</v>
      </c>
      <c r="X5215" s="21"/>
      <c r="Y5215" s="21" t="s">
        <v>697</v>
      </c>
      <c r="Z5215" s="21"/>
      <c r="AA5215" s="21" t="str">
        <f>HYPERLINK("https://miland.ru/api/getInfo/item/16c1515d-c98e-11e9-a233-ac1f6b442184")</f>
        <v>https://miland.ru/api/getInfo/item/16c1515d-c98e-11e9-a233-ac1f6b442184</v>
      </c>
      <c r="AB5215" s="21" t="s">
        <v>42</v>
      </c>
      <c r="AC5215" s="21"/>
      <c r="AD5215" s="21"/>
    </row>
    <row r="5216" spans="2:31" s="1" customFormat="1" ht="96.3" customHeight="1" outlineLevel="4">
      <c r="B5216" s="57">
        <v>4254</v>
      </c>
      <c r="C5216" s="21" t="s">
        <v>18556</v>
      </c>
      <c r="D5216" s="72" t="s">
        <v>18557</v>
      </c>
      <c r="E5216" s="72"/>
      <c r="F5216" s="72"/>
      <c r="G5216" s="72"/>
      <c r="H5216" s="22" t="s">
        <v>18558</v>
      </c>
      <c r="I5216" s="23" t="s">
        <v>36</v>
      </c>
      <c r="J5216" s="22"/>
      <c r="K5216" s="20">
        <v>12</v>
      </c>
      <c r="L5216" s="24">
        <v>65.099999999999994</v>
      </c>
      <c r="M5216" s="11"/>
      <c r="N5216" s="22">
        <f t="shared" si="284"/>
        <v>0</v>
      </c>
      <c r="O5216" s="28">
        <f t="shared" si="287"/>
        <v>0</v>
      </c>
      <c r="P5216" s="26">
        <f t="shared" si="288"/>
        <v>0</v>
      </c>
      <c r="Q5216" s="30"/>
      <c r="R5216" s="22" t="s">
        <v>18559</v>
      </c>
      <c r="S5216" s="22"/>
      <c r="T5216" s="21" t="str">
        <f>HYPERLINK("https://miland.ru/api/getInfo/image/1e667e26-c98f-11e9-a233-ac1f6b442184")</f>
        <v>https://miland.ru/api/getInfo/image/1e667e26-c98f-11e9-a233-ac1f6b442184</v>
      </c>
      <c r="U5216" s="21"/>
      <c r="V5216" s="21" t="s">
        <v>11948</v>
      </c>
      <c r="W5216" s="21" t="s">
        <v>1630</v>
      </c>
      <c r="X5216" s="21"/>
      <c r="Y5216" s="21" t="s">
        <v>697</v>
      </c>
      <c r="Z5216" s="21"/>
      <c r="AA5216" s="21" t="str">
        <f>HYPERLINK("https://miland.ru/api/getInfo/item/1e667e26-c98f-11e9-a233-ac1f6b442184")</f>
        <v>https://miland.ru/api/getInfo/item/1e667e26-c98f-11e9-a233-ac1f6b442184</v>
      </c>
      <c r="AB5216" s="21" t="s">
        <v>42</v>
      </c>
      <c r="AC5216" s="21"/>
      <c r="AD5216" s="21"/>
    </row>
    <row r="5217" spans="2:31" s="1" customFormat="1" ht="96.3" customHeight="1" outlineLevel="4">
      <c r="B5217" s="57">
        <v>4255</v>
      </c>
      <c r="C5217" s="21" t="s">
        <v>18560</v>
      </c>
      <c r="D5217" s="72" t="s">
        <v>18561</v>
      </c>
      <c r="E5217" s="72"/>
      <c r="F5217" s="72"/>
      <c r="G5217" s="72"/>
      <c r="H5217" s="22" t="s">
        <v>18562</v>
      </c>
      <c r="I5217" s="23" t="s">
        <v>36</v>
      </c>
      <c r="J5217" s="22"/>
      <c r="K5217" s="20">
        <v>12</v>
      </c>
      <c r="L5217" s="24">
        <v>65.099999999999994</v>
      </c>
      <c r="M5217" s="11"/>
      <c r="N5217" s="22">
        <f t="shared" si="284"/>
        <v>0</v>
      </c>
      <c r="O5217" s="28">
        <f t="shared" si="287"/>
        <v>0</v>
      </c>
      <c r="P5217" s="26">
        <f t="shared" si="288"/>
        <v>0</v>
      </c>
      <c r="Q5217" s="30"/>
      <c r="R5217" s="22" t="s">
        <v>18563</v>
      </c>
      <c r="S5217" s="22"/>
      <c r="T5217" s="21" t="str">
        <f>HYPERLINK("https://miland.ru/api/getInfo/image/3225dd7e-c98e-11e9-a233-ac1f6b442184")</f>
        <v>https://miland.ru/api/getInfo/image/3225dd7e-c98e-11e9-a233-ac1f6b442184</v>
      </c>
      <c r="U5217" s="21"/>
      <c r="V5217" s="21" t="s">
        <v>11948</v>
      </c>
      <c r="W5217" s="21" t="s">
        <v>1630</v>
      </c>
      <c r="X5217" s="21"/>
      <c r="Y5217" s="21" t="s">
        <v>697</v>
      </c>
      <c r="Z5217" s="21"/>
      <c r="AA5217" s="21" t="str">
        <f>HYPERLINK("https://miland.ru/api/getInfo/item/3225dd7e-c98e-11e9-a233-ac1f6b442184")</f>
        <v>https://miland.ru/api/getInfo/item/3225dd7e-c98e-11e9-a233-ac1f6b442184</v>
      </c>
      <c r="AB5217" s="21" t="s">
        <v>42</v>
      </c>
      <c r="AC5217" s="21"/>
      <c r="AD5217" s="21"/>
    </row>
    <row r="5218" spans="2:31" s="1" customFormat="1" ht="96.3" customHeight="1" outlineLevel="4">
      <c r="B5218" s="57">
        <v>4256</v>
      </c>
      <c r="C5218" s="21" t="s">
        <v>18564</v>
      </c>
      <c r="D5218" s="72" t="s">
        <v>18565</v>
      </c>
      <c r="E5218" s="72"/>
      <c r="F5218" s="72"/>
      <c r="G5218" s="72"/>
      <c r="H5218" s="22" t="s">
        <v>18566</v>
      </c>
      <c r="I5218" s="23" t="s">
        <v>36</v>
      </c>
      <c r="J5218" s="22"/>
      <c r="K5218" s="20">
        <v>12</v>
      </c>
      <c r="L5218" s="24">
        <v>65.099999999999994</v>
      </c>
      <c r="M5218" s="11"/>
      <c r="N5218" s="22">
        <f t="shared" si="284"/>
        <v>0</v>
      </c>
      <c r="O5218" s="28">
        <f t="shared" si="287"/>
        <v>0</v>
      </c>
      <c r="P5218" s="26">
        <f t="shared" si="288"/>
        <v>0</v>
      </c>
      <c r="Q5218" s="30"/>
      <c r="R5218" s="22" t="s">
        <v>18567</v>
      </c>
      <c r="S5218" s="22"/>
      <c r="T5218" s="21" t="str">
        <f>HYPERLINK("https://miland.ru/api/getInfo/image/3913719c-c98f-11e9-a233-ac1f6b442184")</f>
        <v>https://miland.ru/api/getInfo/image/3913719c-c98f-11e9-a233-ac1f6b442184</v>
      </c>
      <c r="U5218" s="21"/>
      <c r="V5218" s="21" t="s">
        <v>11948</v>
      </c>
      <c r="W5218" s="21" t="s">
        <v>1630</v>
      </c>
      <c r="X5218" s="21"/>
      <c r="Y5218" s="21" t="s">
        <v>697</v>
      </c>
      <c r="Z5218" s="21"/>
      <c r="AA5218" s="21" t="str">
        <f>HYPERLINK("https://miland.ru/api/getInfo/item/3913719c-c98f-11e9-a233-ac1f6b442184")</f>
        <v>https://miland.ru/api/getInfo/item/3913719c-c98f-11e9-a233-ac1f6b442184</v>
      </c>
      <c r="AB5218" s="21" t="s">
        <v>42</v>
      </c>
      <c r="AC5218" s="21"/>
      <c r="AD5218" s="21"/>
    </row>
    <row r="5219" spans="2:31" s="1" customFormat="1" ht="96.3" customHeight="1" outlineLevel="4">
      <c r="B5219" s="57">
        <v>4257</v>
      </c>
      <c r="C5219" s="21" t="s">
        <v>18568</v>
      </c>
      <c r="D5219" s="72" t="s">
        <v>18569</v>
      </c>
      <c r="E5219" s="72"/>
      <c r="F5219" s="72"/>
      <c r="G5219" s="72"/>
      <c r="H5219" s="22" t="s">
        <v>18570</v>
      </c>
      <c r="I5219" s="23" t="s">
        <v>36</v>
      </c>
      <c r="J5219" s="22"/>
      <c r="K5219" s="20">
        <v>12</v>
      </c>
      <c r="L5219" s="24">
        <v>65.099999999999994</v>
      </c>
      <c r="M5219" s="11"/>
      <c r="N5219" s="22">
        <f t="shared" si="284"/>
        <v>0</v>
      </c>
      <c r="O5219" s="28">
        <f t="shared" si="287"/>
        <v>0</v>
      </c>
      <c r="P5219" s="26">
        <f t="shared" si="288"/>
        <v>0</v>
      </c>
      <c r="Q5219" s="30"/>
      <c r="R5219" s="22" t="s">
        <v>18571</v>
      </c>
      <c r="S5219" s="22"/>
      <c r="T5219" s="21" t="str">
        <f>HYPERLINK("https://miland.ru/api/getInfo/image/4783bd3e-c98e-11e9-a233-ac1f6b442184")</f>
        <v>https://miland.ru/api/getInfo/image/4783bd3e-c98e-11e9-a233-ac1f6b442184</v>
      </c>
      <c r="U5219" s="21"/>
      <c r="V5219" s="21" t="s">
        <v>11948</v>
      </c>
      <c r="W5219" s="21" t="s">
        <v>1630</v>
      </c>
      <c r="X5219" s="21"/>
      <c r="Y5219" s="21" t="s">
        <v>697</v>
      </c>
      <c r="Z5219" s="21"/>
      <c r="AA5219" s="21" t="str">
        <f>HYPERLINK("https://miland.ru/api/getInfo/item/4783bd3e-c98e-11e9-a233-ac1f6b442184")</f>
        <v>https://miland.ru/api/getInfo/item/4783bd3e-c98e-11e9-a233-ac1f6b442184</v>
      </c>
      <c r="AB5219" s="21" t="s">
        <v>42</v>
      </c>
      <c r="AC5219" s="21"/>
      <c r="AD5219" s="21"/>
    </row>
    <row r="5220" spans="2:31" s="1" customFormat="1" ht="96.3" customHeight="1" outlineLevel="4">
      <c r="B5220" s="57">
        <v>4258</v>
      </c>
      <c r="C5220" s="21" t="s">
        <v>18572</v>
      </c>
      <c r="D5220" s="72" t="s">
        <v>18573</v>
      </c>
      <c r="E5220" s="72"/>
      <c r="F5220" s="72"/>
      <c r="G5220" s="72"/>
      <c r="H5220" s="22" t="s">
        <v>18574</v>
      </c>
      <c r="I5220" s="23" t="s">
        <v>36</v>
      </c>
      <c r="J5220" s="22"/>
      <c r="K5220" s="20">
        <v>12</v>
      </c>
      <c r="L5220" s="24">
        <v>65.099999999999994</v>
      </c>
      <c r="M5220" s="11"/>
      <c r="N5220" s="22">
        <f t="shared" si="284"/>
        <v>0</v>
      </c>
      <c r="O5220" s="28">
        <f t="shared" si="287"/>
        <v>0</v>
      </c>
      <c r="P5220" s="26">
        <f t="shared" si="288"/>
        <v>0</v>
      </c>
      <c r="Q5220" s="30"/>
      <c r="R5220" s="22" t="s">
        <v>18575</v>
      </c>
      <c r="S5220" s="22"/>
      <c r="T5220" s="21" t="str">
        <f>HYPERLINK("https://miland.ru/api/getInfo/image/4e382062-c98f-11e9-a233-ac1f6b442184")</f>
        <v>https://miland.ru/api/getInfo/image/4e382062-c98f-11e9-a233-ac1f6b442184</v>
      </c>
      <c r="U5220" s="21"/>
      <c r="V5220" s="21" t="s">
        <v>11948</v>
      </c>
      <c r="W5220" s="21" t="s">
        <v>1630</v>
      </c>
      <c r="X5220" s="21"/>
      <c r="Y5220" s="21" t="s">
        <v>697</v>
      </c>
      <c r="Z5220" s="21"/>
      <c r="AA5220" s="21" t="str">
        <f>HYPERLINK("https://miland.ru/api/getInfo/item/4e382062-c98f-11e9-a233-ac1f6b442184")</f>
        <v>https://miland.ru/api/getInfo/item/4e382062-c98f-11e9-a233-ac1f6b442184</v>
      </c>
      <c r="AB5220" s="21" t="s">
        <v>42</v>
      </c>
      <c r="AC5220" s="21"/>
      <c r="AD5220" s="21"/>
    </row>
    <row r="5221" spans="2:31" s="1" customFormat="1" ht="96.3" customHeight="1" outlineLevel="4">
      <c r="B5221" s="57">
        <v>4259</v>
      </c>
      <c r="C5221" s="21" t="s">
        <v>18576</v>
      </c>
      <c r="D5221" s="72" t="s">
        <v>18577</v>
      </c>
      <c r="E5221" s="72"/>
      <c r="F5221" s="72"/>
      <c r="G5221" s="72"/>
      <c r="H5221" s="22" t="s">
        <v>18578</v>
      </c>
      <c r="I5221" s="23" t="s">
        <v>36</v>
      </c>
      <c r="J5221" s="22"/>
      <c r="K5221" s="20">
        <v>12</v>
      </c>
      <c r="L5221" s="24">
        <v>65.099999999999994</v>
      </c>
      <c r="M5221" s="11"/>
      <c r="N5221" s="22">
        <f t="shared" si="284"/>
        <v>0</v>
      </c>
      <c r="O5221" s="28">
        <f t="shared" si="287"/>
        <v>0</v>
      </c>
      <c r="P5221" s="26">
        <f t="shared" si="288"/>
        <v>0</v>
      </c>
      <c r="Q5221" s="30"/>
      <c r="R5221" s="22" t="s">
        <v>18579</v>
      </c>
      <c r="S5221" s="22"/>
      <c r="T5221" s="21" t="str">
        <f>HYPERLINK("https://miland.ru/api/getInfo/image/5cc9bbbb-c98e-11e9-a233-ac1f6b442184")</f>
        <v>https://miland.ru/api/getInfo/image/5cc9bbbb-c98e-11e9-a233-ac1f6b442184</v>
      </c>
      <c r="U5221" s="21"/>
      <c r="V5221" s="21" t="s">
        <v>11948</v>
      </c>
      <c r="W5221" s="21" t="s">
        <v>1630</v>
      </c>
      <c r="X5221" s="21"/>
      <c r="Y5221" s="21" t="s">
        <v>697</v>
      </c>
      <c r="Z5221" s="21"/>
      <c r="AA5221" s="21" t="str">
        <f>HYPERLINK("https://miland.ru/api/getInfo/item/5cc9bbbb-c98e-11e9-a233-ac1f6b442184")</f>
        <v>https://miland.ru/api/getInfo/item/5cc9bbbb-c98e-11e9-a233-ac1f6b442184</v>
      </c>
      <c r="AB5221" s="21" t="s">
        <v>42</v>
      </c>
      <c r="AC5221" s="21"/>
      <c r="AD5221" s="21"/>
    </row>
    <row r="5222" spans="2:31" s="1" customFormat="1" ht="96.3" customHeight="1" outlineLevel="4">
      <c r="B5222" s="57">
        <v>4260</v>
      </c>
      <c r="C5222" s="21" t="s">
        <v>18580</v>
      </c>
      <c r="D5222" s="72" t="s">
        <v>18581</v>
      </c>
      <c r="E5222" s="72"/>
      <c r="F5222" s="72"/>
      <c r="G5222" s="72"/>
      <c r="H5222" s="22" t="s">
        <v>18582</v>
      </c>
      <c r="I5222" s="23" t="s">
        <v>36</v>
      </c>
      <c r="J5222" s="22"/>
      <c r="K5222" s="20">
        <v>12</v>
      </c>
      <c r="L5222" s="24">
        <v>65.099999999999994</v>
      </c>
      <c r="M5222" s="11"/>
      <c r="N5222" s="22">
        <f t="shared" si="284"/>
        <v>0</v>
      </c>
      <c r="O5222" s="28">
        <f t="shared" si="287"/>
        <v>0</v>
      </c>
      <c r="P5222" s="26">
        <f t="shared" si="288"/>
        <v>0</v>
      </c>
      <c r="Q5222" s="30"/>
      <c r="R5222" s="22" t="s">
        <v>18583</v>
      </c>
      <c r="S5222" s="22"/>
      <c r="T5222" s="21" t="str">
        <f>HYPERLINK("https://miland.ru/api/getInfo/image/625719ca-c98f-11e9-a233-ac1f6b442184")</f>
        <v>https://miland.ru/api/getInfo/image/625719ca-c98f-11e9-a233-ac1f6b442184</v>
      </c>
      <c r="U5222" s="21"/>
      <c r="V5222" s="21" t="s">
        <v>11948</v>
      </c>
      <c r="W5222" s="21" t="s">
        <v>1630</v>
      </c>
      <c r="X5222" s="21"/>
      <c r="Y5222" s="21" t="s">
        <v>697</v>
      </c>
      <c r="Z5222" s="21"/>
      <c r="AA5222" s="21" t="str">
        <f>HYPERLINK("https://miland.ru/api/getInfo/item/625719ca-c98f-11e9-a233-ac1f6b442184")</f>
        <v>https://miland.ru/api/getInfo/item/625719ca-c98f-11e9-a233-ac1f6b442184</v>
      </c>
      <c r="AB5222" s="21" t="s">
        <v>42</v>
      </c>
      <c r="AC5222" s="21"/>
      <c r="AD5222" s="21"/>
    </row>
    <row r="5223" spans="2:31" s="1" customFormat="1" ht="96.3" customHeight="1" outlineLevel="4">
      <c r="B5223" s="57">
        <v>4261</v>
      </c>
      <c r="C5223" s="21" t="s">
        <v>18584</v>
      </c>
      <c r="D5223" s="72" t="s">
        <v>18585</v>
      </c>
      <c r="E5223" s="72"/>
      <c r="F5223" s="72"/>
      <c r="G5223" s="72"/>
      <c r="H5223" s="22" t="s">
        <v>18586</v>
      </c>
      <c r="I5223" s="23" t="s">
        <v>36</v>
      </c>
      <c r="J5223" s="22"/>
      <c r="K5223" s="20">
        <v>12</v>
      </c>
      <c r="L5223" s="24">
        <v>65.099999999999994</v>
      </c>
      <c r="M5223" s="11"/>
      <c r="N5223" s="22">
        <f t="shared" si="284"/>
        <v>0</v>
      </c>
      <c r="O5223" s="28">
        <f t="shared" si="287"/>
        <v>0</v>
      </c>
      <c r="P5223" s="26">
        <f t="shared" si="288"/>
        <v>0</v>
      </c>
      <c r="Q5223" s="30"/>
      <c r="R5223" s="22" t="s">
        <v>18587</v>
      </c>
      <c r="S5223" s="22"/>
      <c r="T5223" s="21" t="str">
        <f>HYPERLINK("https://miland.ru/api/getInfo/image/6eb091d7-c98e-11e9-a233-ac1f6b442184")</f>
        <v>https://miland.ru/api/getInfo/image/6eb091d7-c98e-11e9-a233-ac1f6b442184</v>
      </c>
      <c r="U5223" s="21"/>
      <c r="V5223" s="21" t="s">
        <v>11948</v>
      </c>
      <c r="W5223" s="21" t="s">
        <v>1630</v>
      </c>
      <c r="X5223" s="21"/>
      <c r="Y5223" s="21" t="s">
        <v>697</v>
      </c>
      <c r="Z5223" s="21"/>
      <c r="AA5223" s="21" t="str">
        <f>HYPERLINK("https://miland.ru/api/getInfo/item/6eb091d7-c98e-11e9-a233-ac1f6b442184")</f>
        <v>https://miland.ru/api/getInfo/item/6eb091d7-c98e-11e9-a233-ac1f6b442184</v>
      </c>
      <c r="AB5223" s="21" t="s">
        <v>42</v>
      </c>
      <c r="AC5223" s="21"/>
      <c r="AD5223" s="21"/>
    </row>
    <row r="5224" spans="2:31" s="1" customFormat="1" ht="96.3" customHeight="1" outlineLevel="4">
      <c r="B5224" s="59">
        <v>4262</v>
      </c>
      <c r="C5224" s="35" t="s">
        <v>18588</v>
      </c>
      <c r="D5224" s="73" t="s">
        <v>18589</v>
      </c>
      <c r="E5224" s="73"/>
      <c r="F5224" s="73"/>
      <c r="G5224" s="73"/>
      <c r="H5224" s="36" t="s">
        <v>18590</v>
      </c>
      <c r="I5224" s="56" t="s">
        <v>36</v>
      </c>
      <c r="J5224" s="36"/>
      <c r="K5224" s="34">
        <v>10</v>
      </c>
      <c r="L5224" s="41">
        <v>57.493333333333332</v>
      </c>
      <c r="M5224" s="11"/>
      <c r="N5224" s="36">
        <f t="shared" si="284"/>
        <v>0</v>
      </c>
      <c r="O5224" s="42">
        <f>0.036*M5224</f>
        <v>0</v>
      </c>
      <c r="P5224" s="43">
        <f>0.00033*M5224</f>
        <v>0</v>
      </c>
      <c r="Q5224" s="50"/>
      <c r="R5224" s="36" t="s">
        <v>18591</v>
      </c>
      <c r="S5224" s="36" t="s">
        <v>435</v>
      </c>
      <c r="T5224" s="35" t="str">
        <f>HYPERLINK("https://miland.ru/api/getInfo/image/2348713a-af55-11e7-b8ef-5cf3fc4a2490")</f>
        <v>https://miland.ru/api/getInfo/image/2348713a-af55-11e7-b8ef-5cf3fc4a2490</v>
      </c>
      <c r="U5224" s="35"/>
      <c r="V5224" s="35" t="s">
        <v>11948</v>
      </c>
      <c r="W5224" s="35" t="s">
        <v>1630</v>
      </c>
      <c r="X5224" s="35"/>
      <c r="Y5224" s="35" t="s">
        <v>697</v>
      </c>
      <c r="Z5224" s="35"/>
      <c r="AA5224" s="35" t="str">
        <f>HYPERLINK("https://miland.ru/api/getInfo/item/2348713a-af55-11e7-b8ef-5cf3fc4a2490")</f>
        <v>https://miland.ru/api/getInfo/item/2348713a-af55-11e7-b8ef-5cf3fc4a2490</v>
      </c>
      <c r="AB5224" s="35" t="s">
        <v>42</v>
      </c>
      <c r="AC5224" s="35" t="s">
        <v>18592</v>
      </c>
      <c r="AD5224" s="35"/>
      <c r="AE5224" s="52" t="s">
        <v>1251</v>
      </c>
    </row>
    <row r="5225" spans="2:31" s="1" customFormat="1" ht="96.3" customHeight="1" outlineLevel="4">
      <c r="B5225" s="59">
        <v>4263</v>
      </c>
      <c r="C5225" s="35" t="s">
        <v>18593</v>
      </c>
      <c r="D5225" s="73" t="s">
        <v>18594</v>
      </c>
      <c r="E5225" s="73"/>
      <c r="F5225" s="73"/>
      <c r="G5225" s="73"/>
      <c r="H5225" s="36" t="s">
        <v>18595</v>
      </c>
      <c r="I5225" s="40">
        <v>483</v>
      </c>
      <c r="J5225" s="36"/>
      <c r="K5225" s="34">
        <v>10</v>
      </c>
      <c r="L5225" s="41">
        <v>57.493333333333332</v>
      </c>
      <c r="M5225" s="11"/>
      <c r="N5225" s="36">
        <f t="shared" si="284"/>
        <v>0</v>
      </c>
      <c r="O5225" s="42">
        <f>0.042*M5225</f>
        <v>0</v>
      </c>
      <c r="P5225" s="43">
        <f>0.00026*M5225</f>
        <v>0</v>
      </c>
      <c r="Q5225" s="50"/>
      <c r="R5225" s="36" t="s">
        <v>18596</v>
      </c>
      <c r="S5225" s="36" t="s">
        <v>435</v>
      </c>
      <c r="T5225" s="35" t="str">
        <f>HYPERLINK("https://miland.ru/api/getInfo/image/37ef47c7-af55-11e7-b8ef-5cf3fc4a2490")</f>
        <v>https://miland.ru/api/getInfo/image/37ef47c7-af55-11e7-b8ef-5cf3fc4a2490</v>
      </c>
      <c r="U5225" s="35"/>
      <c r="V5225" s="35" t="s">
        <v>11948</v>
      </c>
      <c r="W5225" s="35" t="s">
        <v>1630</v>
      </c>
      <c r="X5225" s="35"/>
      <c r="Y5225" s="35" t="s">
        <v>697</v>
      </c>
      <c r="Z5225" s="35"/>
      <c r="AA5225" s="35" t="str">
        <f>HYPERLINK("https://miland.ru/api/getInfo/item/37ef47c7-af55-11e7-b8ef-5cf3fc4a2490")</f>
        <v>https://miland.ru/api/getInfo/item/37ef47c7-af55-11e7-b8ef-5cf3fc4a2490</v>
      </c>
      <c r="AB5225" s="35" t="s">
        <v>42</v>
      </c>
      <c r="AC5225" s="35" t="s">
        <v>18592</v>
      </c>
      <c r="AD5225" s="35"/>
      <c r="AE5225" s="52" t="s">
        <v>1251</v>
      </c>
    </row>
    <row r="5226" spans="2:31" s="1" customFormat="1" ht="96.3" customHeight="1" outlineLevel="4">
      <c r="B5226" s="59">
        <v>4264</v>
      </c>
      <c r="C5226" s="35" t="s">
        <v>18597</v>
      </c>
      <c r="D5226" s="73" t="s">
        <v>18598</v>
      </c>
      <c r="E5226" s="73"/>
      <c r="F5226" s="73"/>
      <c r="G5226" s="73"/>
      <c r="H5226" s="36" t="s">
        <v>18599</v>
      </c>
      <c r="I5226" s="56" t="s">
        <v>36</v>
      </c>
      <c r="J5226" s="36"/>
      <c r="K5226" s="34">
        <v>10</v>
      </c>
      <c r="L5226" s="41">
        <v>57.493333333333332</v>
      </c>
      <c r="M5226" s="11"/>
      <c r="N5226" s="36">
        <f t="shared" si="284"/>
        <v>0</v>
      </c>
      <c r="O5226" s="42">
        <f>0.042*M5226</f>
        <v>0</v>
      </c>
      <c r="P5226" s="43">
        <f>0.00029*M5226</f>
        <v>0</v>
      </c>
      <c r="Q5226" s="50"/>
      <c r="R5226" s="36" t="s">
        <v>18600</v>
      </c>
      <c r="S5226" s="36" t="s">
        <v>435</v>
      </c>
      <c r="T5226" s="35" t="str">
        <f>HYPERLINK("https://miland.ru/api/getInfo/image/47ce9992-af55-11e7-b8ef-5cf3fc4a2490")</f>
        <v>https://miland.ru/api/getInfo/image/47ce9992-af55-11e7-b8ef-5cf3fc4a2490</v>
      </c>
      <c r="U5226" s="35"/>
      <c r="V5226" s="35" t="s">
        <v>11948</v>
      </c>
      <c r="W5226" s="35" t="s">
        <v>1630</v>
      </c>
      <c r="X5226" s="35"/>
      <c r="Y5226" s="35" t="s">
        <v>697</v>
      </c>
      <c r="Z5226" s="35"/>
      <c r="AA5226" s="35" t="str">
        <f>HYPERLINK("https://miland.ru/api/getInfo/item/47ce9992-af55-11e7-b8ef-5cf3fc4a2490")</f>
        <v>https://miland.ru/api/getInfo/item/47ce9992-af55-11e7-b8ef-5cf3fc4a2490</v>
      </c>
      <c r="AB5226" s="35" t="s">
        <v>42</v>
      </c>
      <c r="AC5226" s="35" t="s">
        <v>18592</v>
      </c>
      <c r="AD5226" s="35"/>
      <c r="AE5226" s="52" t="s">
        <v>1251</v>
      </c>
    </row>
    <row r="5227" spans="2:31" s="1" customFormat="1" ht="96.3" customHeight="1" outlineLevel="4">
      <c r="B5227" s="59">
        <v>4265</v>
      </c>
      <c r="C5227" s="35" t="s">
        <v>18601</v>
      </c>
      <c r="D5227" s="73" t="s">
        <v>18602</v>
      </c>
      <c r="E5227" s="73"/>
      <c r="F5227" s="73"/>
      <c r="G5227" s="73"/>
      <c r="H5227" s="36" t="s">
        <v>18603</v>
      </c>
      <c r="I5227" s="56" t="s">
        <v>36</v>
      </c>
      <c r="J5227" s="36"/>
      <c r="K5227" s="34">
        <v>10</v>
      </c>
      <c r="L5227" s="41">
        <v>107.14666666666666</v>
      </c>
      <c r="M5227" s="11"/>
      <c r="N5227" s="36">
        <f t="shared" si="284"/>
        <v>0</v>
      </c>
      <c r="O5227" s="42">
        <f>0.031*M5227</f>
        <v>0</v>
      </c>
      <c r="P5227" s="43">
        <f>0.00026*M5227</f>
        <v>0</v>
      </c>
      <c r="Q5227" s="50"/>
      <c r="R5227" s="36" t="s">
        <v>18604</v>
      </c>
      <c r="S5227" s="36" t="s">
        <v>435</v>
      </c>
      <c r="T5227" s="35" t="str">
        <f>HYPERLINK("https://miland.ru/api/getInfo/image/525c56a2-af55-11e7-b8ef-5cf3fc4a2490")</f>
        <v>https://miland.ru/api/getInfo/image/525c56a2-af55-11e7-b8ef-5cf3fc4a2490</v>
      </c>
      <c r="U5227" s="35"/>
      <c r="V5227" s="35" t="s">
        <v>11948</v>
      </c>
      <c r="W5227" s="35" t="s">
        <v>1630</v>
      </c>
      <c r="X5227" s="35"/>
      <c r="Y5227" s="35" t="s">
        <v>697</v>
      </c>
      <c r="Z5227" s="35"/>
      <c r="AA5227" s="35" t="str">
        <f>HYPERLINK("https://miland.ru/api/getInfo/item/525c56a2-af55-11e7-b8ef-5cf3fc4a2490")</f>
        <v>https://miland.ru/api/getInfo/item/525c56a2-af55-11e7-b8ef-5cf3fc4a2490</v>
      </c>
      <c r="AB5227" s="35" t="s">
        <v>42</v>
      </c>
      <c r="AC5227" s="35" t="s">
        <v>18592</v>
      </c>
      <c r="AD5227" s="35"/>
      <c r="AE5227" s="52" t="s">
        <v>9152</v>
      </c>
    </row>
    <row r="5228" spans="2:31" s="1" customFormat="1" ht="96.3" customHeight="1" outlineLevel="4">
      <c r="B5228" s="59">
        <v>4266</v>
      </c>
      <c r="C5228" s="35" t="s">
        <v>18605</v>
      </c>
      <c r="D5228" s="73" t="s">
        <v>18606</v>
      </c>
      <c r="E5228" s="73"/>
      <c r="F5228" s="73"/>
      <c r="G5228" s="73"/>
      <c r="H5228" s="36" t="s">
        <v>18607</v>
      </c>
      <c r="I5228" s="56" t="s">
        <v>36</v>
      </c>
      <c r="J5228" s="36"/>
      <c r="K5228" s="34">
        <v>10</v>
      </c>
      <c r="L5228" s="41">
        <v>107.14666666666666</v>
      </c>
      <c r="M5228" s="11"/>
      <c r="N5228" s="36">
        <f t="shared" si="284"/>
        <v>0</v>
      </c>
      <c r="O5228" s="42">
        <f>0.034*M5228</f>
        <v>0</v>
      </c>
      <c r="P5228" s="43">
        <f>0.00035*M5228</f>
        <v>0</v>
      </c>
      <c r="Q5228" s="50"/>
      <c r="R5228" s="36" t="s">
        <v>18608</v>
      </c>
      <c r="S5228" s="36" t="s">
        <v>435</v>
      </c>
      <c r="T5228" s="35" t="str">
        <f>HYPERLINK("https://miland.ru/api/getInfo/image/60587081-af55-11e7-b8ef-5cf3fc4a2490")</f>
        <v>https://miland.ru/api/getInfo/image/60587081-af55-11e7-b8ef-5cf3fc4a2490</v>
      </c>
      <c r="U5228" s="35"/>
      <c r="V5228" s="35" t="s">
        <v>11948</v>
      </c>
      <c r="W5228" s="35" t="s">
        <v>1630</v>
      </c>
      <c r="X5228" s="35"/>
      <c r="Y5228" s="35" t="s">
        <v>697</v>
      </c>
      <c r="Z5228" s="35"/>
      <c r="AA5228" s="35" t="str">
        <f>HYPERLINK("https://miland.ru/api/getInfo/item/60587081-af55-11e7-b8ef-5cf3fc4a2490")</f>
        <v>https://miland.ru/api/getInfo/item/60587081-af55-11e7-b8ef-5cf3fc4a2490</v>
      </c>
      <c r="AB5228" s="35" t="s">
        <v>42</v>
      </c>
      <c r="AC5228" s="35" t="s">
        <v>18592</v>
      </c>
      <c r="AD5228" s="35"/>
      <c r="AE5228" s="52" t="s">
        <v>9152</v>
      </c>
    </row>
    <row r="5229" spans="2:31" ht="12" customHeight="1" outlineLevel="3">
      <c r="B5229" s="70" t="s">
        <v>18609</v>
      </c>
      <c r="C5229" s="70"/>
      <c r="D5229" s="70"/>
      <c r="E5229" s="70"/>
      <c r="F5229" s="70"/>
      <c r="G5229" s="70"/>
    </row>
    <row r="5230" spans="2:31" s="1" customFormat="1" ht="96.3" customHeight="1" outlineLevel="4">
      <c r="B5230" s="59">
        <v>4267</v>
      </c>
      <c r="C5230" s="35" t="s">
        <v>18610</v>
      </c>
      <c r="D5230" s="73" t="s">
        <v>18611</v>
      </c>
      <c r="E5230" s="73"/>
      <c r="F5230" s="73"/>
      <c r="G5230" s="73"/>
      <c r="H5230" s="36" t="s">
        <v>18612</v>
      </c>
      <c r="I5230" s="56" t="s">
        <v>36</v>
      </c>
      <c r="J5230" s="36"/>
      <c r="K5230" s="34">
        <v>10</v>
      </c>
      <c r="L5230" s="41">
        <v>99.36</v>
      </c>
      <c r="M5230" s="11"/>
      <c r="N5230" s="36">
        <f>L5230*M5230</f>
        <v>0</v>
      </c>
      <c r="O5230" s="42">
        <f>0.012*M5230</f>
        <v>0</v>
      </c>
      <c r="P5230" s="43">
        <f>0.00012*M5230</f>
        <v>0</v>
      </c>
      <c r="Q5230" s="50"/>
      <c r="R5230" s="36" t="s">
        <v>18613</v>
      </c>
      <c r="S5230" s="36" t="s">
        <v>435</v>
      </c>
      <c r="T5230" s="35" t="str">
        <f>HYPERLINK("https://miland.ru/api/getInfo/image/c4e55150-d6f8-11e5-98ff-5cf3fc4a2490")</f>
        <v>https://miland.ru/api/getInfo/image/c4e55150-d6f8-11e5-98ff-5cf3fc4a2490</v>
      </c>
      <c r="U5230" s="35"/>
      <c r="V5230" s="35" t="s">
        <v>11948</v>
      </c>
      <c r="W5230" s="35" t="s">
        <v>1630</v>
      </c>
      <c r="X5230" s="35"/>
      <c r="Y5230" s="35" t="s">
        <v>697</v>
      </c>
      <c r="Z5230" s="35"/>
      <c r="AA5230" s="35" t="str">
        <f>HYPERLINK("https://miland.ru/api/getInfo/item/c4e55150-d6f8-11e5-98ff-5cf3fc4a2490")</f>
        <v>https://miland.ru/api/getInfo/item/c4e55150-d6f8-11e5-98ff-5cf3fc4a2490</v>
      </c>
      <c r="AB5230" s="35" t="s">
        <v>42</v>
      </c>
      <c r="AC5230" s="35" t="s">
        <v>18614</v>
      </c>
      <c r="AD5230" s="35"/>
      <c r="AE5230" s="52" t="s">
        <v>9152</v>
      </c>
    </row>
    <row r="5231" spans="2:31" s="1" customFormat="1" ht="96.3" customHeight="1" outlineLevel="4">
      <c r="B5231" s="59">
        <v>4268</v>
      </c>
      <c r="C5231" s="35" t="s">
        <v>18615</v>
      </c>
      <c r="D5231" s="73" t="s">
        <v>18616</v>
      </c>
      <c r="E5231" s="73"/>
      <c r="F5231" s="73"/>
      <c r="G5231" s="73"/>
      <c r="H5231" s="36" t="s">
        <v>18617</v>
      </c>
      <c r="I5231" s="56" t="s">
        <v>36</v>
      </c>
      <c r="J5231" s="36"/>
      <c r="K5231" s="34">
        <v>12</v>
      </c>
      <c r="L5231" s="41">
        <v>24.266666666666666</v>
      </c>
      <c r="M5231" s="11"/>
      <c r="N5231" s="36">
        <f>L5231*M5231</f>
        <v>0</v>
      </c>
      <c r="O5231" s="42">
        <f>0.026*M5231</f>
        <v>0</v>
      </c>
      <c r="P5231" s="43">
        <f>0.00053*M5231</f>
        <v>0</v>
      </c>
      <c r="Q5231" s="50"/>
      <c r="R5231" s="36" t="s">
        <v>18618</v>
      </c>
      <c r="S5231" s="36" t="s">
        <v>435</v>
      </c>
      <c r="T5231" s="35" t="str">
        <f>HYPERLINK("https://miland.ru/api/getInfo/image/4cb70570-d6f8-11e5-98ff-5cf3fc4a2490")</f>
        <v>https://miland.ru/api/getInfo/image/4cb70570-d6f8-11e5-98ff-5cf3fc4a2490</v>
      </c>
      <c r="U5231" s="35"/>
      <c r="V5231" s="35" t="s">
        <v>11948</v>
      </c>
      <c r="W5231" s="35" t="s">
        <v>1630</v>
      </c>
      <c r="X5231" s="35"/>
      <c r="Y5231" s="35" t="s">
        <v>697</v>
      </c>
      <c r="Z5231" s="35"/>
      <c r="AA5231" s="35" t="str">
        <f>HYPERLINK("https://miland.ru/api/getInfo/item/4cb70570-d6f8-11e5-98ff-5cf3fc4a2490")</f>
        <v>https://miland.ru/api/getInfo/item/4cb70570-d6f8-11e5-98ff-5cf3fc4a2490</v>
      </c>
      <c r="AB5231" s="35" t="s">
        <v>42</v>
      </c>
      <c r="AC5231" s="35" t="s">
        <v>18619</v>
      </c>
      <c r="AD5231" s="35"/>
      <c r="AE5231" s="52" t="s">
        <v>9152</v>
      </c>
    </row>
    <row r="5232" spans="2:31" s="1" customFormat="1" ht="96.3" customHeight="1" outlineLevel="4">
      <c r="B5232" s="57">
        <v>4269</v>
      </c>
      <c r="C5232" s="21" t="s">
        <v>18620</v>
      </c>
      <c r="D5232" s="72" t="s">
        <v>18621</v>
      </c>
      <c r="E5232" s="72"/>
      <c r="F5232" s="72"/>
      <c r="G5232" s="72"/>
      <c r="H5232" s="22" t="s">
        <v>18622</v>
      </c>
      <c r="I5232" s="23" t="s">
        <v>36</v>
      </c>
      <c r="J5232" s="22"/>
      <c r="K5232" s="20">
        <v>12</v>
      </c>
      <c r="L5232" s="24">
        <v>36.39</v>
      </c>
      <c r="M5232" s="11"/>
      <c r="N5232" s="22">
        <f>L5232*M5232</f>
        <v>0</v>
      </c>
      <c r="O5232" s="25">
        <f>0.017*M5232</f>
        <v>0</v>
      </c>
      <c r="P5232" s="26">
        <f>0.00006*M5232</f>
        <v>0</v>
      </c>
      <c r="Q5232" s="30"/>
      <c r="R5232" s="22" t="s">
        <v>18623</v>
      </c>
      <c r="S5232" s="22" t="s">
        <v>435</v>
      </c>
      <c r="T5232" s="21" t="str">
        <f>HYPERLINK("https://miland.ru/api/getInfo/image/cf2b4030-d6f7-11e5-98ff-5cf3fc4a2490")</f>
        <v>https://miland.ru/api/getInfo/image/cf2b4030-d6f7-11e5-98ff-5cf3fc4a2490</v>
      </c>
      <c r="U5232" s="21"/>
      <c r="V5232" s="21" t="s">
        <v>11948</v>
      </c>
      <c r="W5232" s="21" t="s">
        <v>1630</v>
      </c>
      <c r="X5232" s="21"/>
      <c r="Y5232" s="21" t="s">
        <v>697</v>
      </c>
      <c r="Z5232" s="21"/>
      <c r="AA5232" s="21" t="str">
        <f>HYPERLINK("https://miland.ru/api/getInfo/item/cf2b4030-d6f7-11e5-98ff-5cf3fc4a2490")</f>
        <v>https://miland.ru/api/getInfo/item/cf2b4030-d6f7-11e5-98ff-5cf3fc4a2490</v>
      </c>
      <c r="AB5232" s="21" t="s">
        <v>42</v>
      </c>
      <c r="AC5232" s="21" t="s">
        <v>18619</v>
      </c>
      <c r="AD5232" s="21"/>
    </row>
    <row r="5233" spans="2:31" ht="12" customHeight="1" outlineLevel="3">
      <c r="B5233" s="70" t="s">
        <v>18624</v>
      </c>
      <c r="C5233" s="70"/>
      <c r="D5233" s="70"/>
      <c r="E5233" s="70"/>
      <c r="F5233" s="70"/>
      <c r="G5233" s="70"/>
    </row>
    <row r="5234" spans="2:31" s="1" customFormat="1" ht="96.3" customHeight="1" outlineLevel="4">
      <c r="B5234" s="59">
        <v>4270</v>
      </c>
      <c r="C5234" s="35" t="s">
        <v>18625</v>
      </c>
      <c r="D5234" s="73" t="s">
        <v>18626</v>
      </c>
      <c r="E5234" s="73"/>
      <c r="F5234" s="73"/>
      <c r="G5234" s="73"/>
      <c r="H5234" s="36" t="s">
        <v>18627</v>
      </c>
      <c r="I5234" s="56" t="s">
        <v>36</v>
      </c>
      <c r="J5234" s="36"/>
      <c r="K5234" s="34">
        <v>5</v>
      </c>
      <c r="L5234" s="41">
        <v>88.533333333333346</v>
      </c>
      <c r="M5234" s="11"/>
      <c r="N5234" s="36">
        <f t="shared" ref="N5234:N5294" si="289">L5234*M5234</f>
        <v>0</v>
      </c>
      <c r="O5234" s="47">
        <f>0.04*M5234</f>
        <v>0</v>
      </c>
      <c r="P5234" s="55">
        <f>0.0001*M5234</f>
        <v>0</v>
      </c>
      <c r="Q5234" s="50"/>
      <c r="R5234" s="36" t="s">
        <v>18628</v>
      </c>
      <c r="S5234" s="36"/>
      <c r="T5234" s="35" t="str">
        <f>HYPERLINK("https://miland.ru/api/getInfo/image/e3706916-7430-11ef-a265-00155d82e908")</f>
        <v>https://miland.ru/api/getInfo/image/e3706916-7430-11ef-a265-00155d82e908</v>
      </c>
      <c r="U5234" s="35"/>
      <c r="V5234" s="35" t="s">
        <v>11948</v>
      </c>
      <c r="W5234" s="35" t="s">
        <v>1630</v>
      </c>
      <c r="X5234" s="35"/>
      <c r="Y5234" s="35" t="s">
        <v>697</v>
      </c>
      <c r="Z5234" s="35"/>
      <c r="AA5234" s="35" t="str">
        <f>HYPERLINK("https://miland.ru/api/getInfo/item/e3706916-7430-11ef-a265-00155d82e908")</f>
        <v>https://miland.ru/api/getInfo/item/e3706916-7430-11ef-a265-00155d82e908</v>
      </c>
      <c r="AB5234" s="35" t="s">
        <v>42</v>
      </c>
      <c r="AC5234" s="35" t="s">
        <v>18629</v>
      </c>
      <c r="AD5234" s="35"/>
      <c r="AE5234" s="52" t="s">
        <v>9152</v>
      </c>
    </row>
    <row r="5235" spans="2:31" s="1" customFormat="1" ht="96.3" customHeight="1" outlineLevel="4">
      <c r="B5235" s="57">
        <v>4271</v>
      </c>
      <c r="C5235" s="21" t="s">
        <v>18630</v>
      </c>
      <c r="D5235" s="72" t="s">
        <v>18631</v>
      </c>
      <c r="E5235" s="72"/>
      <c r="F5235" s="72"/>
      <c r="G5235" s="72"/>
      <c r="H5235" s="22" t="s">
        <v>18632</v>
      </c>
      <c r="I5235" s="23" t="s">
        <v>36</v>
      </c>
      <c r="J5235" s="22"/>
      <c r="K5235" s="20">
        <v>10</v>
      </c>
      <c r="L5235" s="24">
        <v>70.569999999999993</v>
      </c>
      <c r="M5235" s="11"/>
      <c r="N5235" s="22">
        <f t="shared" si="289"/>
        <v>0</v>
      </c>
      <c r="O5235" s="25">
        <f>0.018*M5235</f>
        <v>0</v>
      </c>
      <c r="P5235" s="26">
        <f>0.00019*M5235</f>
        <v>0</v>
      </c>
      <c r="Q5235" s="30"/>
      <c r="R5235" s="22" t="s">
        <v>18633</v>
      </c>
      <c r="S5235" s="22" t="s">
        <v>435</v>
      </c>
      <c r="T5235" s="21" t="str">
        <f>HYPERLINK("https://miland.ru/api/getInfo/image/106120ac-af58-11e7-b8ef-5cf3fc4a2490")</f>
        <v>https://miland.ru/api/getInfo/image/106120ac-af58-11e7-b8ef-5cf3fc4a2490</v>
      </c>
      <c r="U5235" s="21"/>
      <c r="V5235" s="21" t="s">
        <v>11948</v>
      </c>
      <c r="W5235" s="21" t="s">
        <v>1630</v>
      </c>
      <c r="X5235" s="21"/>
      <c r="Y5235" s="21" t="s">
        <v>697</v>
      </c>
      <c r="Z5235" s="21"/>
      <c r="AA5235" s="21" t="str">
        <f>HYPERLINK("https://miland.ru/api/getInfo/item/106120ac-af58-11e7-b8ef-5cf3fc4a2490")</f>
        <v>https://miland.ru/api/getInfo/item/106120ac-af58-11e7-b8ef-5cf3fc4a2490</v>
      </c>
      <c r="AB5235" s="21" t="s">
        <v>42</v>
      </c>
      <c r="AC5235" s="21" t="s">
        <v>18634</v>
      </c>
      <c r="AD5235" s="21"/>
    </row>
    <row r="5236" spans="2:31" s="1" customFormat="1" ht="96.3" customHeight="1" outlineLevel="4">
      <c r="B5236" s="57">
        <v>4272</v>
      </c>
      <c r="C5236" s="21" t="s">
        <v>18635</v>
      </c>
      <c r="D5236" s="72" t="s">
        <v>18636</v>
      </c>
      <c r="E5236" s="72"/>
      <c r="F5236" s="72"/>
      <c r="G5236" s="72"/>
      <c r="H5236" s="22" t="s">
        <v>18637</v>
      </c>
      <c r="I5236" s="23" t="s">
        <v>36</v>
      </c>
      <c r="J5236" s="22"/>
      <c r="K5236" s="20">
        <v>10</v>
      </c>
      <c r="L5236" s="24">
        <v>74.52</v>
      </c>
      <c r="M5236" s="11"/>
      <c r="N5236" s="22">
        <f t="shared" si="289"/>
        <v>0</v>
      </c>
      <c r="O5236" s="25">
        <f>0.024*M5236</f>
        <v>0</v>
      </c>
      <c r="P5236" s="26">
        <f>0.00014*M5236</f>
        <v>0</v>
      </c>
      <c r="Q5236" s="30"/>
      <c r="R5236" s="22" t="s">
        <v>18638</v>
      </c>
      <c r="S5236" s="22" t="s">
        <v>435</v>
      </c>
      <c r="T5236" s="21" t="str">
        <f>HYPERLINK("https://miland.ru/api/getInfo/image/c7bd8ca8-af57-11e7-b8ef-5cf3fc4a2490")</f>
        <v>https://miland.ru/api/getInfo/image/c7bd8ca8-af57-11e7-b8ef-5cf3fc4a2490</v>
      </c>
      <c r="U5236" s="21"/>
      <c r="V5236" s="21" t="s">
        <v>11948</v>
      </c>
      <c r="W5236" s="21" t="s">
        <v>1630</v>
      </c>
      <c r="X5236" s="21"/>
      <c r="Y5236" s="21" t="s">
        <v>697</v>
      </c>
      <c r="Z5236" s="21"/>
      <c r="AA5236" s="21" t="str">
        <f>HYPERLINK("https://miland.ru/api/getInfo/item/c7bd8ca8-af57-11e7-b8ef-5cf3fc4a2490")</f>
        <v>https://miland.ru/api/getInfo/item/c7bd8ca8-af57-11e7-b8ef-5cf3fc4a2490</v>
      </c>
      <c r="AB5236" s="21" t="s">
        <v>42</v>
      </c>
      <c r="AC5236" s="21" t="s">
        <v>18634</v>
      </c>
      <c r="AD5236" s="21"/>
    </row>
    <row r="5237" spans="2:31" s="1" customFormat="1" ht="96.3" customHeight="1" outlineLevel="4">
      <c r="B5237" s="59">
        <v>4273</v>
      </c>
      <c r="C5237" s="35" t="s">
        <v>18639</v>
      </c>
      <c r="D5237" s="73" t="s">
        <v>18640</v>
      </c>
      <c r="E5237" s="73"/>
      <c r="F5237" s="73"/>
      <c r="G5237" s="73"/>
      <c r="H5237" s="36" t="s">
        <v>18641</v>
      </c>
      <c r="I5237" s="56" t="s">
        <v>36</v>
      </c>
      <c r="J5237" s="36"/>
      <c r="K5237" s="34">
        <v>12</v>
      </c>
      <c r="L5237" s="41">
        <v>40.546666666666667</v>
      </c>
      <c r="M5237" s="11"/>
      <c r="N5237" s="36">
        <f t="shared" si="289"/>
        <v>0</v>
      </c>
      <c r="O5237" s="42">
        <f>0.019*M5237</f>
        <v>0</v>
      </c>
      <c r="P5237" s="36">
        <v>0</v>
      </c>
      <c r="Q5237" s="50"/>
      <c r="R5237" s="36" t="s">
        <v>18642</v>
      </c>
      <c r="S5237" s="36"/>
      <c r="T5237" s="35" t="str">
        <f>HYPERLINK("https://miland.ru/api/getInfo/image/87501eb0-d6f8-11e5-98ff-5cf3fc4a2490")</f>
        <v>https://miland.ru/api/getInfo/image/87501eb0-d6f8-11e5-98ff-5cf3fc4a2490</v>
      </c>
      <c r="U5237" s="35"/>
      <c r="V5237" s="35" t="s">
        <v>11948</v>
      </c>
      <c r="W5237" s="35" t="s">
        <v>1630</v>
      </c>
      <c r="X5237" s="35"/>
      <c r="Y5237" s="35" t="s">
        <v>697</v>
      </c>
      <c r="Z5237" s="35"/>
      <c r="AA5237" s="35" t="str">
        <f>HYPERLINK("https://miland.ru/api/getInfo/item/87501eb0-d6f8-11e5-98ff-5cf3fc4a2490")</f>
        <v>https://miland.ru/api/getInfo/item/87501eb0-d6f8-11e5-98ff-5cf3fc4a2490</v>
      </c>
      <c r="AB5237" s="35" t="s">
        <v>42</v>
      </c>
      <c r="AC5237" s="35" t="s">
        <v>18634</v>
      </c>
      <c r="AD5237" s="35"/>
      <c r="AE5237" s="52" t="s">
        <v>9152</v>
      </c>
    </row>
    <row r="5238" spans="2:31" s="1" customFormat="1" ht="96.3" customHeight="1" outlineLevel="4">
      <c r="B5238" s="57">
        <v>4274</v>
      </c>
      <c r="C5238" s="21" t="s">
        <v>18643</v>
      </c>
      <c r="D5238" s="72" t="s">
        <v>18644</v>
      </c>
      <c r="E5238" s="72"/>
      <c r="F5238" s="72"/>
      <c r="G5238" s="72"/>
      <c r="H5238" s="22" t="s">
        <v>18645</v>
      </c>
      <c r="I5238" s="23" t="s">
        <v>36</v>
      </c>
      <c r="J5238" s="22"/>
      <c r="K5238" s="20">
        <v>10</v>
      </c>
      <c r="L5238" s="24">
        <v>56.39</v>
      </c>
      <c r="M5238" s="11"/>
      <c r="N5238" s="22">
        <f t="shared" si="289"/>
        <v>0</v>
      </c>
      <c r="O5238" s="25">
        <f>0.019*M5238</f>
        <v>0</v>
      </c>
      <c r="P5238" s="26">
        <f>0.00007*M5238</f>
        <v>0</v>
      </c>
      <c r="Q5238" s="30"/>
      <c r="R5238" s="22" t="s">
        <v>18646</v>
      </c>
      <c r="S5238" s="22"/>
      <c r="T5238" s="21" t="str">
        <f>HYPERLINK("https://miland.ru/api/getInfo/image/dadee797-74b3-11ef-a265-00155d82e908")</f>
        <v>https://miland.ru/api/getInfo/image/dadee797-74b3-11ef-a265-00155d82e908</v>
      </c>
      <c r="U5238" s="21"/>
      <c r="V5238" s="21" t="s">
        <v>11948</v>
      </c>
      <c r="W5238" s="21" t="s">
        <v>1630</v>
      </c>
      <c r="X5238" s="21"/>
      <c r="Y5238" s="21" t="s">
        <v>697</v>
      </c>
      <c r="Z5238" s="21"/>
      <c r="AA5238" s="21" t="str">
        <f>HYPERLINK("https://miland.ru/api/getInfo/item/dadee797-74b3-11ef-a265-00155d82e908")</f>
        <v>https://miland.ru/api/getInfo/item/dadee797-74b3-11ef-a265-00155d82e908</v>
      </c>
      <c r="AB5238" s="21" t="s">
        <v>42</v>
      </c>
      <c r="AC5238" s="21" t="s">
        <v>18647</v>
      </c>
      <c r="AD5238" s="21"/>
    </row>
    <row r="5239" spans="2:31" s="1" customFormat="1" ht="96.3" customHeight="1" outlineLevel="4">
      <c r="B5239" s="57">
        <v>4275</v>
      </c>
      <c r="C5239" s="21" t="s">
        <v>18648</v>
      </c>
      <c r="D5239" s="72" t="s">
        <v>18649</v>
      </c>
      <c r="E5239" s="72"/>
      <c r="F5239" s="72"/>
      <c r="G5239" s="72"/>
      <c r="H5239" s="22" t="s">
        <v>18650</v>
      </c>
      <c r="I5239" s="23" t="s">
        <v>36</v>
      </c>
      <c r="J5239" s="22"/>
      <c r="K5239" s="20">
        <v>10</v>
      </c>
      <c r="L5239" s="24">
        <v>56.39</v>
      </c>
      <c r="M5239" s="11"/>
      <c r="N5239" s="22">
        <f t="shared" si="289"/>
        <v>0</v>
      </c>
      <c r="O5239" s="25">
        <f>0.019*M5239</f>
        <v>0</v>
      </c>
      <c r="P5239" s="26">
        <f>0.00016*M5239</f>
        <v>0</v>
      </c>
      <c r="Q5239" s="30"/>
      <c r="R5239" s="22" t="s">
        <v>18651</v>
      </c>
      <c r="S5239" s="22"/>
      <c r="T5239" s="21" t="str">
        <f>HYPERLINK("https://miland.ru/api/getInfo/image/3b3a4618-74b4-11ef-a265-00155d82e908")</f>
        <v>https://miland.ru/api/getInfo/image/3b3a4618-74b4-11ef-a265-00155d82e908</v>
      </c>
      <c r="U5239" s="21"/>
      <c r="V5239" s="21" t="s">
        <v>11948</v>
      </c>
      <c r="W5239" s="21" t="s">
        <v>1630</v>
      </c>
      <c r="X5239" s="21"/>
      <c r="Y5239" s="21" t="s">
        <v>697</v>
      </c>
      <c r="Z5239" s="21"/>
      <c r="AA5239" s="21" t="str">
        <f>HYPERLINK("https://miland.ru/api/getInfo/item/3b3a4618-74b4-11ef-a265-00155d82e908")</f>
        <v>https://miland.ru/api/getInfo/item/3b3a4618-74b4-11ef-a265-00155d82e908</v>
      </c>
      <c r="AB5239" s="21" t="s">
        <v>42</v>
      </c>
      <c r="AC5239" s="21" t="s">
        <v>18647</v>
      </c>
      <c r="AD5239" s="21"/>
    </row>
    <row r="5240" spans="2:31" s="1" customFormat="1" ht="96.3" customHeight="1" outlineLevel="4">
      <c r="B5240" s="57">
        <v>4276</v>
      </c>
      <c r="C5240" s="21" t="s">
        <v>18652</v>
      </c>
      <c r="D5240" s="72" t="s">
        <v>18653</v>
      </c>
      <c r="E5240" s="72"/>
      <c r="F5240" s="72"/>
      <c r="G5240" s="72"/>
      <c r="H5240" s="22" t="s">
        <v>18654</v>
      </c>
      <c r="I5240" s="23" t="s">
        <v>36</v>
      </c>
      <c r="J5240" s="22"/>
      <c r="K5240" s="20">
        <v>10</v>
      </c>
      <c r="L5240" s="24">
        <v>56.39</v>
      </c>
      <c r="M5240" s="11"/>
      <c r="N5240" s="22">
        <f t="shared" si="289"/>
        <v>0</v>
      </c>
      <c r="O5240" s="25">
        <f>0.022*M5240</f>
        <v>0</v>
      </c>
      <c r="P5240" s="26">
        <f>0.00045*M5240</f>
        <v>0</v>
      </c>
      <c r="Q5240" s="30"/>
      <c r="R5240" s="22" t="s">
        <v>18655</v>
      </c>
      <c r="S5240" s="22"/>
      <c r="T5240" s="21" t="str">
        <f>HYPERLINK("https://miland.ru/api/getInfo/image/68c9c8be-74b4-11ef-a265-00155d82e908")</f>
        <v>https://miland.ru/api/getInfo/image/68c9c8be-74b4-11ef-a265-00155d82e908</v>
      </c>
      <c r="U5240" s="21"/>
      <c r="V5240" s="21" t="s">
        <v>11948</v>
      </c>
      <c r="W5240" s="21" t="s">
        <v>1630</v>
      </c>
      <c r="X5240" s="21"/>
      <c r="Y5240" s="21" t="s">
        <v>697</v>
      </c>
      <c r="Z5240" s="21"/>
      <c r="AA5240" s="21" t="str">
        <f>HYPERLINK("https://miland.ru/api/getInfo/item/68c9c8be-74b4-11ef-a265-00155d82e908")</f>
        <v>https://miland.ru/api/getInfo/item/68c9c8be-74b4-11ef-a265-00155d82e908</v>
      </c>
      <c r="AB5240" s="21" t="s">
        <v>42</v>
      </c>
      <c r="AC5240" s="21" t="s">
        <v>18647</v>
      </c>
      <c r="AD5240" s="21"/>
    </row>
    <row r="5241" spans="2:31" s="1" customFormat="1" ht="96.3" customHeight="1" outlineLevel="4">
      <c r="B5241" s="57">
        <v>4277</v>
      </c>
      <c r="C5241" s="21" t="s">
        <v>18656</v>
      </c>
      <c r="D5241" s="72" t="s">
        <v>18657</v>
      </c>
      <c r="E5241" s="72"/>
      <c r="F5241" s="72"/>
      <c r="G5241" s="72"/>
      <c r="H5241" s="22" t="s">
        <v>18658</v>
      </c>
      <c r="I5241" s="27">
        <v>161</v>
      </c>
      <c r="J5241" s="22"/>
      <c r="K5241" s="20">
        <v>10</v>
      </c>
      <c r="L5241" s="24">
        <v>73.239999999999995</v>
      </c>
      <c r="M5241" s="11"/>
      <c r="N5241" s="22">
        <f t="shared" si="289"/>
        <v>0</v>
      </c>
      <c r="O5241" s="25">
        <f>0.013*M5241</f>
        <v>0</v>
      </c>
      <c r="P5241" s="26">
        <f>0.00009*M5241</f>
        <v>0</v>
      </c>
      <c r="Q5241" s="30"/>
      <c r="R5241" s="22" t="s">
        <v>18659</v>
      </c>
      <c r="S5241" s="22" t="s">
        <v>435</v>
      </c>
      <c r="T5241" s="21" t="str">
        <f>HYPERLINK("https://miland.ru/api/getInfo/image/da09a0a3-74b6-11ef-a265-00155d82e908")</f>
        <v>https://miland.ru/api/getInfo/image/da09a0a3-74b6-11ef-a265-00155d82e908</v>
      </c>
      <c r="U5241" s="21"/>
      <c r="V5241" s="21" t="s">
        <v>11948</v>
      </c>
      <c r="W5241" s="21" t="s">
        <v>1630</v>
      </c>
      <c r="X5241" s="21"/>
      <c r="Y5241" s="21" t="s">
        <v>697</v>
      </c>
      <c r="Z5241" s="21"/>
      <c r="AA5241" s="21" t="str">
        <f>HYPERLINK("https://miland.ru/api/getInfo/item/da09a0a3-74b6-11ef-a265-00155d82e908")</f>
        <v>https://miland.ru/api/getInfo/item/da09a0a3-74b6-11ef-a265-00155d82e908</v>
      </c>
      <c r="AB5241" s="21" t="s">
        <v>42</v>
      </c>
      <c r="AC5241" s="21" t="s">
        <v>18647</v>
      </c>
      <c r="AD5241" s="21"/>
    </row>
    <row r="5242" spans="2:31" s="1" customFormat="1" ht="96.3" customHeight="1" outlineLevel="4">
      <c r="B5242" s="57">
        <v>4278</v>
      </c>
      <c r="C5242" s="21" t="s">
        <v>18660</v>
      </c>
      <c r="D5242" s="72" t="s">
        <v>18661</v>
      </c>
      <c r="E5242" s="72"/>
      <c r="F5242" s="72"/>
      <c r="G5242" s="72"/>
      <c r="H5242" s="22" t="s">
        <v>18662</v>
      </c>
      <c r="I5242" s="23" t="s">
        <v>36</v>
      </c>
      <c r="J5242" s="22"/>
      <c r="K5242" s="20">
        <v>16</v>
      </c>
      <c r="L5242" s="24">
        <v>36.619999999999997</v>
      </c>
      <c r="M5242" s="11"/>
      <c r="N5242" s="22">
        <f t="shared" si="289"/>
        <v>0</v>
      </c>
      <c r="O5242" s="25">
        <f>0.027*M5242</f>
        <v>0</v>
      </c>
      <c r="P5242" s="26">
        <f>0.00001*M5242</f>
        <v>0</v>
      </c>
      <c r="Q5242" s="30"/>
      <c r="R5242" s="22" t="s">
        <v>18663</v>
      </c>
      <c r="S5242" s="22"/>
      <c r="T5242" s="21" t="str">
        <f>HYPERLINK("https://miland.ru/api/getInfo/image/50820e99-74ba-11ef-a265-00155d82e908")</f>
        <v>https://miland.ru/api/getInfo/image/50820e99-74ba-11ef-a265-00155d82e908</v>
      </c>
      <c r="U5242" s="21"/>
      <c r="V5242" s="21" t="s">
        <v>11948</v>
      </c>
      <c r="W5242" s="21" t="s">
        <v>1630</v>
      </c>
      <c r="X5242" s="21"/>
      <c r="Y5242" s="21" t="s">
        <v>697</v>
      </c>
      <c r="Z5242" s="21"/>
      <c r="AA5242" s="21" t="str">
        <f>HYPERLINK("https://miland.ru/api/getInfo/item/50820e99-74ba-11ef-a265-00155d82e908")</f>
        <v>https://miland.ru/api/getInfo/item/50820e99-74ba-11ef-a265-00155d82e908</v>
      </c>
      <c r="AB5242" s="21" t="s">
        <v>42</v>
      </c>
      <c r="AC5242" s="21" t="s">
        <v>18664</v>
      </c>
      <c r="AD5242" s="21"/>
    </row>
    <row r="5243" spans="2:31" s="1" customFormat="1" ht="96.3" customHeight="1" outlineLevel="4">
      <c r="B5243" s="57">
        <v>4279</v>
      </c>
      <c r="C5243" s="21" t="s">
        <v>18665</v>
      </c>
      <c r="D5243" s="72" t="s">
        <v>18666</v>
      </c>
      <c r="E5243" s="72"/>
      <c r="F5243" s="72"/>
      <c r="G5243" s="72"/>
      <c r="H5243" s="22" t="s">
        <v>18667</v>
      </c>
      <c r="I5243" s="23" t="s">
        <v>36</v>
      </c>
      <c r="J5243" s="22"/>
      <c r="K5243" s="20">
        <v>10</v>
      </c>
      <c r="L5243" s="24">
        <v>73.239999999999995</v>
      </c>
      <c r="M5243" s="11"/>
      <c r="N5243" s="22">
        <f t="shared" si="289"/>
        <v>0</v>
      </c>
      <c r="O5243" s="25">
        <f>0.016*M5243</f>
        <v>0</v>
      </c>
      <c r="P5243" s="26">
        <f>0.00015*M5243</f>
        <v>0</v>
      </c>
      <c r="Q5243" s="30"/>
      <c r="R5243" s="22" t="s">
        <v>18668</v>
      </c>
      <c r="S5243" s="22"/>
      <c r="T5243" s="21" t="str">
        <f>HYPERLINK("https://miland.ru/api/getInfo/image/81e20ce6-74b6-11ef-a265-00155d82e908")</f>
        <v>https://miland.ru/api/getInfo/image/81e20ce6-74b6-11ef-a265-00155d82e908</v>
      </c>
      <c r="U5243" s="21"/>
      <c r="V5243" s="21" t="s">
        <v>11948</v>
      </c>
      <c r="W5243" s="21" t="s">
        <v>1630</v>
      </c>
      <c r="X5243" s="21"/>
      <c r="Y5243" s="21" t="s">
        <v>697</v>
      </c>
      <c r="Z5243" s="21"/>
      <c r="AA5243" s="21" t="str">
        <f>HYPERLINK("https://miland.ru/api/getInfo/item/81e20ce6-74b6-11ef-a265-00155d82e908")</f>
        <v>https://miland.ru/api/getInfo/item/81e20ce6-74b6-11ef-a265-00155d82e908</v>
      </c>
      <c r="AB5243" s="21" t="s">
        <v>42</v>
      </c>
      <c r="AC5243" s="21" t="s">
        <v>18647</v>
      </c>
      <c r="AD5243" s="21"/>
    </row>
    <row r="5244" spans="2:31" s="1" customFormat="1" ht="96.3" customHeight="1" outlineLevel="4">
      <c r="B5244" s="57">
        <v>4280</v>
      </c>
      <c r="C5244" s="21" t="s">
        <v>18669</v>
      </c>
      <c r="D5244" s="72" t="s">
        <v>18670</v>
      </c>
      <c r="E5244" s="72"/>
      <c r="F5244" s="72"/>
      <c r="G5244" s="72"/>
      <c r="H5244" s="22" t="s">
        <v>18671</v>
      </c>
      <c r="I5244" s="23" t="s">
        <v>36</v>
      </c>
      <c r="J5244" s="22"/>
      <c r="K5244" s="20">
        <v>10</v>
      </c>
      <c r="L5244" s="24">
        <v>69.17</v>
      </c>
      <c r="M5244" s="11"/>
      <c r="N5244" s="22">
        <f t="shared" si="289"/>
        <v>0</v>
      </c>
      <c r="O5244" s="25">
        <f>0.017*M5244</f>
        <v>0</v>
      </c>
      <c r="P5244" s="26">
        <f>0.00012*M5244</f>
        <v>0</v>
      </c>
      <c r="Q5244" s="30"/>
      <c r="R5244" s="22" t="s">
        <v>18672</v>
      </c>
      <c r="S5244" s="22"/>
      <c r="T5244" s="21" t="str">
        <f>HYPERLINK("https://miland.ru/api/getInfo/image/a156ecbc-74b8-11ef-a265-00155d82e908")</f>
        <v>https://miland.ru/api/getInfo/image/a156ecbc-74b8-11ef-a265-00155d82e908</v>
      </c>
      <c r="U5244" s="21"/>
      <c r="V5244" s="21" t="s">
        <v>11948</v>
      </c>
      <c r="W5244" s="21" t="s">
        <v>1630</v>
      </c>
      <c r="X5244" s="21"/>
      <c r="Y5244" s="21" t="s">
        <v>697</v>
      </c>
      <c r="Z5244" s="21"/>
      <c r="AA5244" s="21" t="str">
        <f>HYPERLINK("https://miland.ru/api/getInfo/item/a156ecbc-74b8-11ef-a265-00155d82e908")</f>
        <v>https://miland.ru/api/getInfo/item/a156ecbc-74b8-11ef-a265-00155d82e908</v>
      </c>
      <c r="AB5244" s="21" t="s">
        <v>42</v>
      </c>
      <c r="AC5244" s="21" t="s">
        <v>18647</v>
      </c>
      <c r="AD5244" s="21"/>
    </row>
    <row r="5245" spans="2:31" s="1" customFormat="1" ht="96.3" customHeight="1" outlineLevel="4">
      <c r="B5245" s="57">
        <v>4281</v>
      </c>
      <c r="C5245" s="21" t="s">
        <v>18673</v>
      </c>
      <c r="D5245" s="72" t="s">
        <v>18674</v>
      </c>
      <c r="E5245" s="72"/>
      <c r="F5245" s="72"/>
      <c r="G5245" s="72"/>
      <c r="H5245" s="22" t="s">
        <v>18675</v>
      </c>
      <c r="I5245" s="23" t="s">
        <v>36</v>
      </c>
      <c r="J5245" s="22"/>
      <c r="K5245" s="20">
        <v>10</v>
      </c>
      <c r="L5245" s="24">
        <v>69.17</v>
      </c>
      <c r="M5245" s="11"/>
      <c r="N5245" s="22">
        <f t="shared" si="289"/>
        <v>0</v>
      </c>
      <c r="O5245" s="25">
        <f>0.016*M5245</f>
        <v>0</v>
      </c>
      <c r="P5245" s="26">
        <f>0.00005*M5245</f>
        <v>0</v>
      </c>
      <c r="Q5245" s="30"/>
      <c r="R5245" s="22" t="s">
        <v>18676</v>
      </c>
      <c r="S5245" s="22"/>
      <c r="T5245" s="21" t="str">
        <f>HYPERLINK("https://miland.ru/api/getInfo/image/e863cdd9-74b8-11ef-a265-00155d82e908")</f>
        <v>https://miland.ru/api/getInfo/image/e863cdd9-74b8-11ef-a265-00155d82e908</v>
      </c>
      <c r="U5245" s="21"/>
      <c r="V5245" s="21" t="s">
        <v>11948</v>
      </c>
      <c r="W5245" s="21" t="s">
        <v>1630</v>
      </c>
      <c r="X5245" s="21"/>
      <c r="Y5245" s="21" t="s">
        <v>697</v>
      </c>
      <c r="Z5245" s="21"/>
      <c r="AA5245" s="21" t="str">
        <f>HYPERLINK("https://miland.ru/api/getInfo/item/e863cdd9-74b8-11ef-a265-00155d82e908")</f>
        <v>https://miland.ru/api/getInfo/item/e863cdd9-74b8-11ef-a265-00155d82e908</v>
      </c>
      <c r="AB5245" s="21" t="s">
        <v>42</v>
      </c>
      <c r="AC5245" s="21" t="s">
        <v>18647</v>
      </c>
      <c r="AD5245" s="21"/>
    </row>
    <row r="5246" spans="2:31" s="1" customFormat="1" ht="96.3" customHeight="1" outlineLevel="4">
      <c r="B5246" s="57">
        <v>4282</v>
      </c>
      <c r="C5246" s="21" t="s">
        <v>18677</v>
      </c>
      <c r="D5246" s="72" t="s">
        <v>18678</v>
      </c>
      <c r="E5246" s="72"/>
      <c r="F5246" s="72"/>
      <c r="G5246" s="72"/>
      <c r="H5246" s="22" t="s">
        <v>18679</v>
      </c>
      <c r="I5246" s="23" t="s">
        <v>36</v>
      </c>
      <c r="J5246" s="22"/>
      <c r="K5246" s="20">
        <v>10</v>
      </c>
      <c r="L5246" s="24">
        <v>69.17</v>
      </c>
      <c r="M5246" s="11"/>
      <c r="N5246" s="22">
        <f t="shared" si="289"/>
        <v>0</v>
      </c>
      <c r="O5246" s="25">
        <f>0.017*M5246</f>
        <v>0</v>
      </c>
      <c r="P5246" s="22">
        <v>0</v>
      </c>
      <c r="Q5246" s="30"/>
      <c r="R5246" s="22" t="s">
        <v>18680</v>
      </c>
      <c r="S5246" s="22"/>
      <c r="T5246" s="21" t="str">
        <f>HYPERLINK("https://miland.ru/api/getInfo/image/c69b7806-74b8-11ef-a265-00155d82e908")</f>
        <v>https://miland.ru/api/getInfo/image/c69b7806-74b8-11ef-a265-00155d82e908</v>
      </c>
      <c r="U5246" s="21"/>
      <c r="V5246" s="21" t="s">
        <v>11948</v>
      </c>
      <c r="W5246" s="21" t="s">
        <v>1630</v>
      </c>
      <c r="X5246" s="21"/>
      <c r="Y5246" s="21" t="s">
        <v>697</v>
      </c>
      <c r="Z5246" s="21"/>
      <c r="AA5246" s="21" t="str">
        <f>HYPERLINK("https://miland.ru/api/getInfo/item/c69b7806-74b8-11ef-a265-00155d82e908")</f>
        <v>https://miland.ru/api/getInfo/item/c69b7806-74b8-11ef-a265-00155d82e908</v>
      </c>
      <c r="AB5246" s="21" t="s">
        <v>42</v>
      </c>
      <c r="AC5246" s="21" t="s">
        <v>18647</v>
      </c>
      <c r="AD5246" s="21"/>
    </row>
    <row r="5247" spans="2:31" s="1" customFormat="1" ht="96.3" customHeight="1" outlineLevel="4">
      <c r="B5247" s="57">
        <v>4283</v>
      </c>
      <c r="C5247" s="21" t="s">
        <v>18681</v>
      </c>
      <c r="D5247" s="72" t="s">
        <v>18682</v>
      </c>
      <c r="E5247" s="72"/>
      <c r="F5247" s="72"/>
      <c r="G5247" s="72"/>
      <c r="H5247" s="22" t="s">
        <v>18683</v>
      </c>
      <c r="I5247" s="23" t="s">
        <v>36</v>
      </c>
      <c r="J5247" s="22"/>
      <c r="K5247" s="20">
        <v>10</v>
      </c>
      <c r="L5247" s="24">
        <v>69.17</v>
      </c>
      <c r="M5247" s="11"/>
      <c r="N5247" s="22">
        <f t="shared" si="289"/>
        <v>0</v>
      </c>
      <c r="O5247" s="25">
        <f>0.017*M5247</f>
        <v>0</v>
      </c>
      <c r="P5247" s="26">
        <f>0.00001*M5247</f>
        <v>0</v>
      </c>
      <c r="Q5247" s="30"/>
      <c r="R5247" s="22" t="s">
        <v>18684</v>
      </c>
      <c r="S5247" s="22"/>
      <c r="T5247" s="21" t="str">
        <f>HYPERLINK("https://miland.ru/api/getInfo/image/0cdc95fa-74b9-11ef-a265-00155d82e908")</f>
        <v>https://miland.ru/api/getInfo/image/0cdc95fa-74b9-11ef-a265-00155d82e908</v>
      </c>
      <c r="U5247" s="21"/>
      <c r="V5247" s="21" t="s">
        <v>11948</v>
      </c>
      <c r="W5247" s="21" t="s">
        <v>1630</v>
      </c>
      <c r="X5247" s="21"/>
      <c r="Y5247" s="21" t="s">
        <v>697</v>
      </c>
      <c r="Z5247" s="21"/>
      <c r="AA5247" s="21" t="str">
        <f>HYPERLINK("https://miland.ru/api/getInfo/item/0cdc95fa-74b9-11ef-a265-00155d82e908")</f>
        <v>https://miland.ru/api/getInfo/item/0cdc95fa-74b9-11ef-a265-00155d82e908</v>
      </c>
      <c r="AB5247" s="21" t="s">
        <v>42</v>
      </c>
      <c r="AC5247" s="21" t="s">
        <v>18647</v>
      </c>
      <c r="AD5247" s="21"/>
    </row>
    <row r="5248" spans="2:31" s="1" customFormat="1" ht="96.3" customHeight="1" outlineLevel="4">
      <c r="B5248" s="57">
        <v>4284</v>
      </c>
      <c r="C5248" s="21" t="s">
        <v>18685</v>
      </c>
      <c r="D5248" s="72" t="s">
        <v>18686</v>
      </c>
      <c r="E5248" s="72"/>
      <c r="F5248" s="72"/>
      <c r="G5248" s="72"/>
      <c r="H5248" s="22" t="s">
        <v>18687</v>
      </c>
      <c r="I5248" s="23" t="s">
        <v>36</v>
      </c>
      <c r="J5248" s="22"/>
      <c r="K5248" s="20">
        <v>10</v>
      </c>
      <c r="L5248" s="24">
        <v>72.66</v>
      </c>
      <c r="M5248" s="11"/>
      <c r="N5248" s="22">
        <f t="shared" si="289"/>
        <v>0</v>
      </c>
      <c r="O5248" s="25">
        <f>0.026*M5248</f>
        <v>0</v>
      </c>
      <c r="P5248" s="26">
        <f>0.00022*M5248</f>
        <v>0</v>
      </c>
      <c r="Q5248" s="30"/>
      <c r="R5248" s="22" t="s">
        <v>18688</v>
      </c>
      <c r="S5248" s="22"/>
      <c r="T5248" s="21" t="str">
        <f>HYPERLINK("https://miland.ru/api/getInfo/image/5b96facd-74b9-11ef-a265-00155d82e908")</f>
        <v>https://miland.ru/api/getInfo/image/5b96facd-74b9-11ef-a265-00155d82e908</v>
      </c>
      <c r="U5248" s="21"/>
      <c r="V5248" s="21" t="s">
        <v>11948</v>
      </c>
      <c r="W5248" s="21" t="s">
        <v>1630</v>
      </c>
      <c r="X5248" s="21"/>
      <c r="Y5248" s="21" t="s">
        <v>697</v>
      </c>
      <c r="Z5248" s="21"/>
      <c r="AA5248" s="21" t="str">
        <f>HYPERLINK("https://miland.ru/api/getInfo/item/5b96facd-74b9-11ef-a265-00155d82e908")</f>
        <v>https://miland.ru/api/getInfo/item/5b96facd-74b9-11ef-a265-00155d82e908</v>
      </c>
      <c r="AB5248" s="21" t="s">
        <v>42</v>
      </c>
      <c r="AC5248" s="21" t="s">
        <v>18647</v>
      </c>
      <c r="AD5248" s="21"/>
    </row>
    <row r="5249" spans="2:31" s="1" customFormat="1" ht="96.3" customHeight="1" outlineLevel="4">
      <c r="B5249" s="59">
        <v>4285</v>
      </c>
      <c r="C5249" s="35" t="s">
        <v>18689</v>
      </c>
      <c r="D5249" s="73" t="s">
        <v>18690</v>
      </c>
      <c r="E5249" s="73"/>
      <c r="F5249" s="73"/>
      <c r="G5249" s="73"/>
      <c r="H5249" s="36" t="s">
        <v>18691</v>
      </c>
      <c r="I5249" s="56" t="s">
        <v>36</v>
      </c>
      <c r="J5249" s="36"/>
      <c r="K5249" s="34">
        <v>10</v>
      </c>
      <c r="L5249" s="41">
        <v>55.333333333333336</v>
      </c>
      <c r="M5249" s="11"/>
      <c r="N5249" s="36">
        <f t="shared" si="289"/>
        <v>0</v>
      </c>
      <c r="O5249" s="42">
        <f>0.015*M5249</f>
        <v>0</v>
      </c>
      <c r="P5249" s="43">
        <f>0.00009*M5249</f>
        <v>0</v>
      </c>
      <c r="Q5249" s="50"/>
      <c r="R5249" s="36" t="s">
        <v>18692</v>
      </c>
      <c r="S5249" s="36"/>
      <c r="T5249" s="35" t="str">
        <f>HYPERLINK("https://miland.ru/api/getInfo/image/3131f1a3-74b9-11ef-a265-00155d82e908")</f>
        <v>https://miland.ru/api/getInfo/image/3131f1a3-74b9-11ef-a265-00155d82e908</v>
      </c>
      <c r="U5249" s="35"/>
      <c r="V5249" s="35" t="s">
        <v>11948</v>
      </c>
      <c r="W5249" s="35" t="s">
        <v>1630</v>
      </c>
      <c r="X5249" s="35"/>
      <c r="Y5249" s="35" t="s">
        <v>697</v>
      </c>
      <c r="Z5249" s="35"/>
      <c r="AA5249" s="35" t="str">
        <f>HYPERLINK("https://miland.ru/api/getInfo/item/3131f1a3-74b9-11ef-a265-00155d82e908")</f>
        <v>https://miland.ru/api/getInfo/item/3131f1a3-74b9-11ef-a265-00155d82e908</v>
      </c>
      <c r="AB5249" s="35" t="s">
        <v>42</v>
      </c>
      <c r="AC5249" s="35" t="s">
        <v>18647</v>
      </c>
      <c r="AD5249" s="35"/>
      <c r="AE5249" s="52" t="s">
        <v>9152</v>
      </c>
    </row>
    <row r="5250" spans="2:31" s="1" customFormat="1" ht="96.3" customHeight="1" outlineLevel="4">
      <c r="B5250" s="57">
        <v>4286</v>
      </c>
      <c r="C5250" s="21" t="s">
        <v>18693</v>
      </c>
      <c r="D5250" s="72" t="s">
        <v>18694</v>
      </c>
      <c r="E5250" s="72"/>
      <c r="F5250" s="72"/>
      <c r="G5250" s="72"/>
      <c r="H5250" s="22" t="s">
        <v>18695</v>
      </c>
      <c r="I5250" s="23" t="s">
        <v>36</v>
      </c>
      <c r="J5250" s="22"/>
      <c r="K5250" s="20">
        <v>10</v>
      </c>
      <c r="L5250" s="24">
        <v>69.17</v>
      </c>
      <c r="M5250" s="11"/>
      <c r="N5250" s="22">
        <f t="shared" si="289"/>
        <v>0</v>
      </c>
      <c r="O5250" s="25">
        <f>0.025*M5250</f>
        <v>0</v>
      </c>
      <c r="P5250" s="26">
        <f>0.00015*M5250</f>
        <v>0</v>
      </c>
      <c r="Q5250" s="30"/>
      <c r="R5250" s="22" t="s">
        <v>18696</v>
      </c>
      <c r="S5250" s="22"/>
      <c r="T5250" s="21" t="str">
        <f>HYPERLINK("https://miland.ru/api/getInfo/image/dcdfbbf1-74b0-11ef-a265-00155d82e908")</f>
        <v>https://miland.ru/api/getInfo/image/dcdfbbf1-74b0-11ef-a265-00155d82e908</v>
      </c>
      <c r="U5250" s="21"/>
      <c r="V5250" s="21" t="s">
        <v>11948</v>
      </c>
      <c r="W5250" s="21" t="s">
        <v>1630</v>
      </c>
      <c r="X5250" s="21"/>
      <c r="Y5250" s="21" t="s">
        <v>697</v>
      </c>
      <c r="Z5250" s="21"/>
      <c r="AA5250" s="21" t="str">
        <f>HYPERLINK("https://miland.ru/api/getInfo/item/dcdfbbf1-74b0-11ef-a265-00155d82e908")</f>
        <v>https://miland.ru/api/getInfo/item/dcdfbbf1-74b0-11ef-a265-00155d82e908</v>
      </c>
      <c r="AB5250" s="21" t="s">
        <v>42</v>
      </c>
      <c r="AC5250" s="21" t="s">
        <v>18697</v>
      </c>
      <c r="AD5250" s="21"/>
    </row>
    <row r="5251" spans="2:31" s="1" customFormat="1" ht="96.3" customHeight="1" outlineLevel="4">
      <c r="B5251" s="57">
        <v>4287</v>
      </c>
      <c r="C5251" s="21" t="s">
        <v>18698</v>
      </c>
      <c r="D5251" s="72" t="s">
        <v>18699</v>
      </c>
      <c r="E5251" s="72"/>
      <c r="F5251" s="72"/>
      <c r="G5251" s="72"/>
      <c r="H5251" s="22" t="s">
        <v>18700</v>
      </c>
      <c r="I5251" s="23" t="s">
        <v>36</v>
      </c>
      <c r="J5251" s="22"/>
      <c r="K5251" s="20">
        <v>10</v>
      </c>
      <c r="L5251" s="24">
        <v>69.17</v>
      </c>
      <c r="M5251" s="11"/>
      <c r="N5251" s="22">
        <f t="shared" si="289"/>
        <v>0</v>
      </c>
      <c r="O5251" s="25">
        <f>0.024*M5251</f>
        <v>0</v>
      </c>
      <c r="P5251" s="26">
        <f>0.00001*M5251</f>
        <v>0</v>
      </c>
      <c r="Q5251" s="30"/>
      <c r="R5251" s="22" t="s">
        <v>18701</v>
      </c>
      <c r="S5251" s="22"/>
      <c r="T5251" s="21" t="str">
        <f>HYPERLINK("https://miland.ru/api/getInfo/image/45573f35-74b0-11ef-a265-00155d82e908")</f>
        <v>https://miland.ru/api/getInfo/image/45573f35-74b0-11ef-a265-00155d82e908</v>
      </c>
      <c r="U5251" s="21"/>
      <c r="V5251" s="21" t="s">
        <v>11948</v>
      </c>
      <c r="W5251" s="21" t="s">
        <v>1630</v>
      </c>
      <c r="X5251" s="21"/>
      <c r="Y5251" s="21" t="s">
        <v>697</v>
      </c>
      <c r="Z5251" s="21"/>
      <c r="AA5251" s="21" t="str">
        <f>HYPERLINK("https://miland.ru/api/getInfo/item/45573f35-74b0-11ef-a265-00155d82e908")</f>
        <v>https://miland.ru/api/getInfo/item/45573f35-74b0-11ef-a265-00155d82e908</v>
      </c>
      <c r="AB5251" s="21" t="s">
        <v>42</v>
      </c>
      <c r="AC5251" s="21" t="s">
        <v>18697</v>
      </c>
      <c r="AD5251" s="21"/>
    </row>
    <row r="5252" spans="2:31" s="1" customFormat="1" ht="96.3" customHeight="1" outlineLevel="4">
      <c r="B5252" s="57">
        <v>4288</v>
      </c>
      <c r="C5252" s="21" t="s">
        <v>18702</v>
      </c>
      <c r="D5252" s="72" t="s">
        <v>18703</v>
      </c>
      <c r="E5252" s="72"/>
      <c r="F5252" s="72"/>
      <c r="G5252" s="72"/>
      <c r="H5252" s="22" t="s">
        <v>18704</v>
      </c>
      <c r="I5252" s="27">
        <v>9</v>
      </c>
      <c r="J5252" s="22"/>
      <c r="K5252" s="20">
        <v>5</v>
      </c>
      <c r="L5252" s="24">
        <v>138.34</v>
      </c>
      <c r="M5252" s="11"/>
      <c r="N5252" s="22">
        <f t="shared" si="289"/>
        <v>0</v>
      </c>
      <c r="O5252" s="25">
        <f>0.038*M5252</f>
        <v>0</v>
      </c>
      <c r="P5252" s="26">
        <f>0.00011*M5252</f>
        <v>0</v>
      </c>
      <c r="Q5252" s="30"/>
      <c r="R5252" s="22" t="s">
        <v>18705</v>
      </c>
      <c r="S5252" s="22"/>
      <c r="T5252" s="21" t="str">
        <f>HYPERLINK("https://miland.ru/api/getInfo/image/56a01639-7431-11ef-a265-00155d82e908")</f>
        <v>https://miland.ru/api/getInfo/image/56a01639-7431-11ef-a265-00155d82e908</v>
      </c>
      <c r="U5252" s="21"/>
      <c r="V5252" s="21" t="s">
        <v>11948</v>
      </c>
      <c r="W5252" s="21" t="s">
        <v>1630</v>
      </c>
      <c r="X5252" s="21"/>
      <c r="Y5252" s="21" t="s">
        <v>697</v>
      </c>
      <c r="Z5252" s="21"/>
      <c r="AA5252" s="21" t="str">
        <f>HYPERLINK("https://miland.ru/api/getInfo/item/56a01639-7431-11ef-a265-00155d82e908")</f>
        <v>https://miland.ru/api/getInfo/item/56a01639-7431-11ef-a265-00155d82e908</v>
      </c>
      <c r="AB5252" s="21" t="s">
        <v>42</v>
      </c>
      <c r="AC5252" s="21" t="s">
        <v>18629</v>
      </c>
      <c r="AD5252" s="21"/>
    </row>
    <row r="5253" spans="2:31" s="1" customFormat="1" ht="96.3" customHeight="1" outlineLevel="4">
      <c r="B5253" s="57">
        <v>4289</v>
      </c>
      <c r="C5253" s="21" t="s">
        <v>18706</v>
      </c>
      <c r="D5253" s="72" t="s">
        <v>18707</v>
      </c>
      <c r="E5253" s="72"/>
      <c r="F5253" s="72"/>
      <c r="G5253" s="72"/>
      <c r="H5253" s="22" t="s">
        <v>18708</v>
      </c>
      <c r="I5253" s="27">
        <v>346</v>
      </c>
      <c r="J5253" s="22"/>
      <c r="K5253" s="20">
        <v>5</v>
      </c>
      <c r="L5253" s="24">
        <v>138.34</v>
      </c>
      <c r="M5253" s="11"/>
      <c r="N5253" s="22">
        <f t="shared" si="289"/>
        <v>0</v>
      </c>
      <c r="O5253" s="25">
        <f>0.038*M5253</f>
        <v>0</v>
      </c>
      <c r="P5253" s="26">
        <f>0.00008*M5253</f>
        <v>0</v>
      </c>
      <c r="Q5253" s="30"/>
      <c r="R5253" s="22" t="s">
        <v>18709</v>
      </c>
      <c r="S5253" s="22"/>
      <c r="T5253" s="21" t="str">
        <f>HYPERLINK("https://miland.ru/api/getInfo/image/a4b603bd-7431-11ef-a265-00155d82e908")</f>
        <v>https://miland.ru/api/getInfo/image/a4b603bd-7431-11ef-a265-00155d82e908</v>
      </c>
      <c r="U5253" s="21"/>
      <c r="V5253" s="21" t="s">
        <v>11948</v>
      </c>
      <c r="W5253" s="21" t="s">
        <v>1630</v>
      </c>
      <c r="X5253" s="21"/>
      <c r="Y5253" s="21" t="s">
        <v>697</v>
      </c>
      <c r="Z5253" s="21"/>
      <c r="AA5253" s="21" t="str">
        <f>HYPERLINK("https://miland.ru/api/getInfo/item/a4b603bd-7431-11ef-a265-00155d82e908")</f>
        <v>https://miland.ru/api/getInfo/item/a4b603bd-7431-11ef-a265-00155d82e908</v>
      </c>
      <c r="AB5253" s="21" t="s">
        <v>42</v>
      </c>
      <c r="AC5253" s="21" t="s">
        <v>18629</v>
      </c>
      <c r="AD5253" s="21"/>
    </row>
    <row r="5254" spans="2:31" s="1" customFormat="1" ht="96.3" customHeight="1" outlineLevel="4">
      <c r="B5254" s="57">
        <v>4290</v>
      </c>
      <c r="C5254" s="21" t="s">
        <v>18710</v>
      </c>
      <c r="D5254" s="72" t="s">
        <v>18711</v>
      </c>
      <c r="E5254" s="72"/>
      <c r="F5254" s="72"/>
      <c r="G5254" s="72"/>
      <c r="H5254" s="22" t="s">
        <v>18712</v>
      </c>
      <c r="I5254" s="23" t="s">
        <v>36</v>
      </c>
      <c r="J5254" s="22"/>
      <c r="K5254" s="20">
        <v>16</v>
      </c>
      <c r="L5254" s="24">
        <v>40.69</v>
      </c>
      <c r="M5254" s="11"/>
      <c r="N5254" s="22">
        <f t="shared" si="289"/>
        <v>0</v>
      </c>
      <c r="O5254" s="25">
        <f>0.013*M5254</f>
        <v>0</v>
      </c>
      <c r="P5254" s="29">
        <f>0.0001*M5254</f>
        <v>0</v>
      </c>
      <c r="Q5254" s="30"/>
      <c r="R5254" s="22" t="s">
        <v>18713</v>
      </c>
      <c r="S5254" s="22"/>
      <c r="T5254" s="21" t="str">
        <f>HYPERLINK("https://miland.ru/api/getInfo/image/0005dea4-7432-11ef-a265-00155d82e908")</f>
        <v>https://miland.ru/api/getInfo/image/0005dea4-7432-11ef-a265-00155d82e908</v>
      </c>
      <c r="U5254" s="21"/>
      <c r="V5254" s="21" t="s">
        <v>11948</v>
      </c>
      <c r="W5254" s="21" t="s">
        <v>1630</v>
      </c>
      <c r="X5254" s="21"/>
      <c r="Y5254" s="21" t="s">
        <v>697</v>
      </c>
      <c r="Z5254" s="21"/>
      <c r="AA5254" s="21" t="str">
        <f>HYPERLINK("https://miland.ru/api/getInfo/item/0005dea4-7432-11ef-a265-00155d82e908")</f>
        <v>https://miland.ru/api/getInfo/item/0005dea4-7432-11ef-a265-00155d82e908</v>
      </c>
      <c r="AB5254" s="21" t="s">
        <v>42</v>
      </c>
      <c r="AC5254" s="21" t="s">
        <v>18714</v>
      </c>
      <c r="AD5254" s="21"/>
    </row>
    <row r="5255" spans="2:31" s="1" customFormat="1" ht="96.3" customHeight="1" outlineLevel="4">
      <c r="B5255" s="57">
        <v>4291</v>
      </c>
      <c r="C5255" s="21" t="s">
        <v>18715</v>
      </c>
      <c r="D5255" s="72" t="s">
        <v>18716</v>
      </c>
      <c r="E5255" s="72"/>
      <c r="F5255" s="72"/>
      <c r="G5255" s="72"/>
      <c r="H5255" s="22" t="s">
        <v>18717</v>
      </c>
      <c r="I5255" s="23" t="s">
        <v>36</v>
      </c>
      <c r="J5255" s="22"/>
      <c r="K5255" s="20">
        <v>10</v>
      </c>
      <c r="L5255" s="24">
        <v>72.66</v>
      </c>
      <c r="M5255" s="11"/>
      <c r="N5255" s="22">
        <f t="shared" si="289"/>
        <v>0</v>
      </c>
      <c r="O5255" s="25">
        <f>0.025*M5255</f>
        <v>0</v>
      </c>
      <c r="P5255" s="26">
        <f>0.00017*M5255</f>
        <v>0</v>
      </c>
      <c r="Q5255" s="30"/>
      <c r="R5255" s="22" t="s">
        <v>18718</v>
      </c>
      <c r="S5255" s="22"/>
      <c r="T5255" s="21" t="str">
        <f>HYPERLINK("https://miland.ru/api/getInfo/image/874d8c25-74b9-11ef-a265-00155d82e908")</f>
        <v>https://miland.ru/api/getInfo/image/874d8c25-74b9-11ef-a265-00155d82e908</v>
      </c>
      <c r="U5255" s="21"/>
      <c r="V5255" s="21" t="s">
        <v>11948</v>
      </c>
      <c r="W5255" s="21" t="s">
        <v>1630</v>
      </c>
      <c r="X5255" s="21"/>
      <c r="Y5255" s="21" t="s">
        <v>697</v>
      </c>
      <c r="Z5255" s="21"/>
      <c r="AA5255" s="21" t="str">
        <f>HYPERLINK("https://miland.ru/api/getInfo/item/874d8c25-74b9-11ef-a265-00155d82e908")</f>
        <v>https://miland.ru/api/getInfo/item/874d8c25-74b9-11ef-a265-00155d82e908</v>
      </c>
      <c r="AB5255" s="21" t="s">
        <v>42</v>
      </c>
      <c r="AC5255" s="21" t="s">
        <v>18647</v>
      </c>
      <c r="AD5255" s="21"/>
    </row>
    <row r="5256" spans="2:31" s="1" customFormat="1" ht="96.3" customHeight="1" outlineLevel="4">
      <c r="B5256" s="57">
        <v>4292</v>
      </c>
      <c r="C5256" s="21" t="s">
        <v>18719</v>
      </c>
      <c r="D5256" s="72" t="s">
        <v>18720</v>
      </c>
      <c r="E5256" s="72"/>
      <c r="F5256" s="72"/>
      <c r="G5256" s="72"/>
      <c r="H5256" s="22" t="s">
        <v>18721</v>
      </c>
      <c r="I5256" s="23" t="s">
        <v>36</v>
      </c>
      <c r="J5256" s="22"/>
      <c r="K5256" s="20">
        <v>10</v>
      </c>
      <c r="L5256" s="24">
        <v>72.66</v>
      </c>
      <c r="M5256" s="11"/>
      <c r="N5256" s="22">
        <f t="shared" si="289"/>
        <v>0</v>
      </c>
      <c r="O5256" s="28">
        <f>0.03*M5256</f>
        <v>0</v>
      </c>
      <c r="P5256" s="26">
        <f>0.00002*M5256</f>
        <v>0</v>
      </c>
      <c r="Q5256" s="30"/>
      <c r="R5256" s="22" t="s">
        <v>18722</v>
      </c>
      <c r="S5256" s="22"/>
      <c r="T5256" s="21" t="str">
        <f>HYPERLINK("https://miland.ru/api/getInfo/image/f7e286e8-74b9-11ef-a265-00155d82e908")</f>
        <v>https://miland.ru/api/getInfo/image/f7e286e8-74b9-11ef-a265-00155d82e908</v>
      </c>
      <c r="U5256" s="21"/>
      <c r="V5256" s="21" t="s">
        <v>11948</v>
      </c>
      <c r="W5256" s="21" t="s">
        <v>1630</v>
      </c>
      <c r="X5256" s="21"/>
      <c r="Y5256" s="21" t="s">
        <v>697</v>
      </c>
      <c r="Z5256" s="21"/>
      <c r="AA5256" s="21" t="str">
        <f>HYPERLINK("https://miland.ru/api/getInfo/item/f7e286e8-74b9-11ef-a265-00155d82e908")</f>
        <v>https://miland.ru/api/getInfo/item/f7e286e8-74b9-11ef-a265-00155d82e908</v>
      </c>
      <c r="AB5256" s="21" t="s">
        <v>42</v>
      </c>
      <c r="AC5256" s="21" t="s">
        <v>18647</v>
      </c>
      <c r="AD5256" s="21"/>
    </row>
    <row r="5257" spans="2:31" s="1" customFormat="1" ht="96.3" customHeight="1" outlineLevel="4">
      <c r="B5257" s="57">
        <v>4293</v>
      </c>
      <c r="C5257" s="21" t="s">
        <v>18723</v>
      </c>
      <c r="D5257" s="72" t="s">
        <v>18724</v>
      </c>
      <c r="E5257" s="72"/>
      <c r="F5257" s="72"/>
      <c r="G5257" s="72"/>
      <c r="H5257" s="22" t="s">
        <v>18725</v>
      </c>
      <c r="I5257" s="27">
        <v>319</v>
      </c>
      <c r="J5257" s="22"/>
      <c r="K5257" s="20">
        <v>10</v>
      </c>
      <c r="L5257" s="24">
        <v>72.66</v>
      </c>
      <c r="M5257" s="11"/>
      <c r="N5257" s="22">
        <f t="shared" si="289"/>
        <v>0</v>
      </c>
      <c r="O5257" s="25">
        <f>0.025*M5257</f>
        <v>0</v>
      </c>
      <c r="P5257" s="26">
        <f>0.00013*M5257</f>
        <v>0</v>
      </c>
      <c r="Q5257" s="30"/>
      <c r="R5257" s="22" t="s">
        <v>18726</v>
      </c>
      <c r="S5257" s="22"/>
      <c r="T5257" s="21" t="str">
        <f>HYPERLINK("https://miland.ru/api/getInfo/image/1befddae-74ba-11ef-a265-00155d82e908")</f>
        <v>https://miland.ru/api/getInfo/image/1befddae-74ba-11ef-a265-00155d82e908</v>
      </c>
      <c r="U5257" s="21"/>
      <c r="V5257" s="21" t="s">
        <v>11948</v>
      </c>
      <c r="W5257" s="21" t="s">
        <v>1630</v>
      </c>
      <c r="X5257" s="21"/>
      <c r="Y5257" s="21" t="s">
        <v>697</v>
      </c>
      <c r="Z5257" s="21"/>
      <c r="AA5257" s="21" t="str">
        <f>HYPERLINK("https://miland.ru/api/getInfo/item/1befddae-74ba-11ef-a265-00155d82e908")</f>
        <v>https://miland.ru/api/getInfo/item/1befddae-74ba-11ef-a265-00155d82e908</v>
      </c>
      <c r="AB5257" s="21" t="s">
        <v>42</v>
      </c>
      <c r="AC5257" s="21" t="s">
        <v>18647</v>
      </c>
      <c r="AD5257" s="21"/>
    </row>
    <row r="5258" spans="2:31" s="1" customFormat="1" ht="96.3" customHeight="1" outlineLevel="4">
      <c r="B5258" s="57">
        <v>4294</v>
      </c>
      <c r="C5258" s="21" t="s">
        <v>18727</v>
      </c>
      <c r="D5258" s="72" t="s">
        <v>18728</v>
      </c>
      <c r="E5258" s="72"/>
      <c r="F5258" s="72"/>
      <c r="G5258" s="72"/>
      <c r="H5258" s="22" t="s">
        <v>18729</v>
      </c>
      <c r="I5258" s="27">
        <v>119</v>
      </c>
      <c r="J5258" s="22"/>
      <c r="K5258" s="20">
        <v>10</v>
      </c>
      <c r="L5258" s="24">
        <v>72.66</v>
      </c>
      <c r="M5258" s="11"/>
      <c r="N5258" s="22">
        <f t="shared" si="289"/>
        <v>0</v>
      </c>
      <c r="O5258" s="25">
        <f>0.039*M5258</f>
        <v>0</v>
      </c>
      <c r="P5258" s="26">
        <f>0.00025*M5258</f>
        <v>0</v>
      </c>
      <c r="Q5258" s="30"/>
      <c r="R5258" s="22" t="s">
        <v>18730</v>
      </c>
      <c r="S5258" s="22"/>
      <c r="T5258" s="21" t="str">
        <f>HYPERLINK("https://miland.ru/api/getInfo/image/d0c75318-74b9-11ef-a265-00155d82e908")</f>
        <v>https://miland.ru/api/getInfo/image/d0c75318-74b9-11ef-a265-00155d82e908</v>
      </c>
      <c r="U5258" s="21"/>
      <c r="V5258" s="21" t="s">
        <v>11948</v>
      </c>
      <c r="W5258" s="21" t="s">
        <v>1630</v>
      </c>
      <c r="X5258" s="21"/>
      <c r="Y5258" s="21" t="s">
        <v>697</v>
      </c>
      <c r="Z5258" s="21"/>
      <c r="AA5258" s="21" t="str">
        <f>HYPERLINK("https://miland.ru/api/getInfo/item/d0c75318-74b9-11ef-a265-00155d82e908")</f>
        <v>https://miland.ru/api/getInfo/item/d0c75318-74b9-11ef-a265-00155d82e908</v>
      </c>
      <c r="AB5258" s="21" t="s">
        <v>42</v>
      </c>
      <c r="AC5258" s="21" t="s">
        <v>18647</v>
      </c>
      <c r="AD5258" s="21"/>
    </row>
    <row r="5259" spans="2:31" s="1" customFormat="1" ht="96.3" customHeight="1" outlineLevel="4">
      <c r="B5259" s="57">
        <v>4295</v>
      </c>
      <c r="C5259" s="21" t="s">
        <v>18731</v>
      </c>
      <c r="D5259" s="72" t="s">
        <v>18732</v>
      </c>
      <c r="E5259" s="72"/>
      <c r="F5259" s="72"/>
      <c r="G5259" s="72"/>
      <c r="H5259" s="22" t="s">
        <v>18733</v>
      </c>
      <c r="I5259" s="27">
        <v>193</v>
      </c>
      <c r="J5259" s="22"/>
      <c r="K5259" s="20">
        <v>10</v>
      </c>
      <c r="L5259" s="24">
        <v>72.66</v>
      </c>
      <c r="M5259" s="11"/>
      <c r="N5259" s="22">
        <f t="shared" si="289"/>
        <v>0</v>
      </c>
      <c r="O5259" s="25">
        <f>0.023*M5259</f>
        <v>0</v>
      </c>
      <c r="P5259" s="26">
        <f>0.00014*M5259</f>
        <v>0</v>
      </c>
      <c r="Q5259" s="30"/>
      <c r="R5259" s="22" t="s">
        <v>18734</v>
      </c>
      <c r="S5259" s="22"/>
      <c r="T5259" s="21" t="str">
        <f>HYPERLINK("https://miland.ru/api/getInfo/image/a87b66e6-74b9-11ef-a265-00155d82e908")</f>
        <v>https://miland.ru/api/getInfo/image/a87b66e6-74b9-11ef-a265-00155d82e908</v>
      </c>
      <c r="U5259" s="21"/>
      <c r="V5259" s="21" t="s">
        <v>11948</v>
      </c>
      <c r="W5259" s="21" t="s">
        <v>1630</v>
      </c>
      <c r="X5259" s="21"/>
      <c r="Y5259" s="21" t="s">
        <v>697</v>
      </c>
      <c r="Z5259" s="21"/>
      <c r="AA5259" s="21" t="str">
        <f>HYPERLINK("https://miland.ru/api/getInfo/item/a87b66e6-74b9-11ef-a265-00155d82e908")</f>
        <v>https://miland.ru/api/getInfo/item/a87b66e6-74b9-11ef-a265-00155d82e908</v>
      </c>
      <c r="AB5259" s="21" t="s">
        <v>42</v>
      </c>
      <c r="AC5259" s="21" t="s">
        <v>18647</v>
      </c>
      <c r="AD5259" s="21"/>
    </row>
    <row r="5260" spans="2:31" s="1" customFormat="1" ht="96.3" customHeight="1" outlineLevel="4">
      <c r="B5260" s="57">
        <v>4296</v>
      </c>
      <c r="C5260" s="21" t="s">
        <v>18735</v>
      </c>
      <c r="D5260" s="72" t="s">
        <v>18736</v>
      </c>
      <c r="E5260" s="72"/>
      <c r="F5260" s="72"/>
      <c r="G5260" s="72"/>
      <c r="H5260" s="22" t="s">
        <v>18737</v>
      </c>
      <c r="I5260" s="23" t="s">
        <v>36</v>
      </c>
      <c r="J5260" s="22"/>
      <c r="K5260" s="20">
        <v>10</v>
      </c>
      <c r="L5260" s="24">
        <v>69.17</v>
      </c>
      <c r="M5260" s="11"/>
      <c r="N5260" s="22">
        <f t="shared" si="289"/>
        <v>0</v>
      </c>
      <c r="O5260" s="25">
        <f>0.024*M5260</f>
        <v>0</v>
      </c>
      <c r="P5260" s="22">
        <v>0</v>
      </c>
      <c r="Q5260" s="30"/>
      <c r="R5260" s="22" t="s">
        <v>18738</v>
      </c>
      <c r="S5260" s="22"/>
      <c r="T5260" s="21" t="str">
        <f>HYPERLINK("https://miland.ru/api/getInfo/image/50670165-74b1-11ef-a265-00155d82e908")</f>
        <v>https://miland.ru/api/getInfo/image/50670165-74b1-11ef-a265-00155d82e908</v>
      </c>
      <c r="U5260" s="21"/>
      <c r="V5260" s="21" t="s">
        <v>11948</v>
      </c>
      <c r="W5260" s="21" t="s">
        <v>1630</v>
      </c>
      <c r="X5260" s="21"/>
      <c r="Y5260" s="21" t="s">
        <v>697</v>
      </c>
      <c r="Z5260" s="21"/>
      <c r="AA5260" s="21" t="str">
        <f>HYPERLINK("https://miland.ru/api/getInfo/item/50670165-74b1-11ef-a265-00155d82e908")</f>
        <v>https://miland.ru/api/getInfo/item/50670165-74b1-11ef-a265-00155d82e908</v>
      </c>
      <c r="AB5260" s="21" t="s">
        <v>42</v>
      </c>
      <c r="AC5260" s="21" t="s">
        <v>18697</v>
      </c>
      <c r="AD5260" s="21"/>
    </row>
    <row r="5261" spans="2:31" s="1" customFormat="1" ht="96.3" customHeight="1" outlineLevel="4">
      <c r="B5261" s="57">
        <v>4297</v>
      </c>
      <c r="C5261" s="21" t="s">
        <v>18739</v>
      </c>
      <c r="D5261" s="72" t="s">
        <v>18740</v>
      </c>
      <c r="E5261" s="72"/>
      <c r="F5261" s="72"/>
      <c r="G5261" s="72"/>
      <c r="H5261" s="22" t="s">
        <v>18741</v>
      </c>
      <c r="I5261" s="23" t="s">
        <v>36</v>
      </c>
      <c r="J5261" s="22"/>
      <c r="K5261" s="20">
        <v>10</v>
      </c>
      <c r="L5261" s="24">
        <v>69.17</v>
      </c>
      <c r="M5261" s="11"/>
      <c r="N5261" s="22">
        <f t="shared" si="289"/>
        <v>0</v>
      </c>
      <c r="O5261" s="25">
        <f>0.023*M5261</f>
        <v>0</v>
      </c>
      <c r="P5261" s="26">
        <f>0.00017*M5261</f>
        <v>0</v>
      </c>
      <c r="Q5261" s="30"/>
      <c r="R5261" s="22" t="s">
        <v>18742</v>
      </c>
      <c r="S5261" s="22"/>
      <c r="T5261" s="21" t="str">
        <f>HYPERLINK("https://miland.ru/api/getInfo/image/d9c87bcb-74b1-11ef-a265-00155d82e908")</f>
        <v>https://miland.ru/api/getInfo/image/d9c87bcb-74b1-11ef-a265-00155d82e908</v>
      </c>
      <c r="U5261" s="21"/>
      <c r="V5261" s="21" t="s">
        <v>11948</v>
      </c>
      <c r="W5261" s="21" t="s">
        <v>1630</v>
      </c>
      <c r="X5261" s="21"/>
      <c r="Y5261" s="21" t="s">
        <v>697</v>
      </c>
      <c r="Z5261" s="21"/>
      <c r="AA5261" s="21" t="str">
        <f>HYPERLINK("https://miland.ru/api/getInfo/item/d9c87bcb-74b1-11ef-a265-00155d82e908")</f>
        <v>https://miland.ru/api/getInfo/item/d9c87bcb-74b1-11ef-a265-00155d82e908</v>
      </c>
      <c r="AB5261" s="21" t="s">
        <v>42</v>
      </c>
      <c r="AC5261" s="21" t="s">
        <v>18697</v>
      </c>
      <c r="AD5261" s="21"/>
    </row>
    <row r="5262" spans="2:31" s="1" customFormat="1" ht="96.3" customHeight="1" outlineLevel="4">
      <c r="B5262" s="57">
        <v>4298</v>
      </c>
      <c r="C5262" s="21" t="s">
        <v>18743</v>
      </c>
      <c r="D5262" s="72" t="s">
        <v>18744</v>
      </c>
      <c r="E5262" s="72"/>
      <c r="F5262" s="72"/>
      <c r="G5262" s="72"/>
      <c r="H5262" s="22" t="s">
        <v>18745</v>
      </c>
      <c r="I5262" s="23" t="s">
        <v>36</v>
      </c>
      <c r="J5262" s="22"/>
      <c r="K5262" s="20">
        <v>10</v>
      </c>
      <c r="L5262" s="24">
        <v>56.96</v>
      </c>
      <c r="M5262" s="11"/>
      <c r="N5262" s="22">
        <f t="shared" si="289"/>
        <v>0</v>
      </c>
      <c r="O5262" s="25">
        <f>0.012*M5262</f>
        <v>0</v>
      </c>
      <c r="P5262" s="29">
        <f>0.0001*M5262</f>
        <v>0</v>
      </c>
      <c r="Q5262" s="30"/>
      <c r="R5262" s="22" t="s">
        <v>18746</v>
      </c>
      <c r="S5262" s="22"/>
      <c r="T5262" s="21" t="str">
        <f>HYPERLINK("https://miland.ru/api/getInfo/image/d3dd5a8c-74ba-11ef-a265-00155d82e908")</f>
        <v>https://miland.ru/api/getInfo/image/d3dd5a8c-74ba-11ef-a265-00155d82e908</v>
      </c>
      <c r="U5262" s="21"/>
      <c r="V5262" s="21" t="s">
        <v>11948</v>
      </c>
      <c r="W5262" s="21" t="s">
        <v>1630</v>
      </c>
      <c r="X5262" s="21"/>
      <c r="Y5262" s="21" t="s">
        <v>697</v>
      </c>
      <c r="Z5262" s="21"/>
      <c r="AA5262" s="21" t="str">
        <f>HYPERLINK("https://miland.ru/api/getInfo/item/d3dd5a8c-74ba-11ef-a265-00155d82e908")</f>
        <v>https://miland.ru/api/getInfo/item/d3dd5a8c-74ba-11ef-a265-00155d82e908</v>
      </c>
      <c r="AB5262" s="21" t="s">
        <v>42</v>
      </c>
      <c r="AC5262" s="21" t="s">
        <v>18714</v>
      </c>
      <c r="AD5262" s="21"/>
    </row>
    <row r="5263" spans="2:31" s="1" customFormat="1" ht="96.3" customHeight="1" outlineLevel="4">
      <c r="B5263" s="57">
        <v>4299</v>
      </c>
      <c r="C5263" s="21" t="s">
        <v>18747</v>
      </c>
      <c r="D5263" s="72" t="s">
        <v>18748</v>
      </c>
      <c r="E5263" s="72"/>
      <c r="F5263" s="72"/>
      <c r="G5263" s="72"/>
      <c r="H5263" s="22" t="s">
        <v>18749</v>
      </c>
      <c r="I5263" s="23" t="s">
        <v>36</v>
      </c>
      <c r="J5263" s="22"/>
      <c r="K5263" s="20">
        <v>10</v>
      </c>
      <c r="L5263" s="24">
        <v>56.96</v>
      </c>
      <c r="M5263" s="11"/>
      <c r="N5263" s="22">
        <f t="shared" si="289"/>
        <v>0</v>
      </c>
      <c r="O5263" s="25">
        <f>0.014*M5263</f>
        <v>0</v>
      </c>
      <c r="P5263" s="26">
        <f>0.00009*M5263</f>
        <v>0</v>
      </c>
      <c r="Q5263" s="30"/>
      <c r="R5263" s="22" t="s">
        <v>18750</v>
      </c>
      <c r="S5263" s="22"/>
      <c r="T5263" s="21" t="str">
        <f>HYPERLINK("https://miland.ru/api/getInfo/image/181f2e75-74bb-11ef-a265-00155d82e908")</f>
        <v>https://miland.ru/api/getInfo/image/181f2e75-74bb-11ef-a265-00155d82e908</v>
      </c>
      <c r="U5263" s="21"/>
      <c r="V5263" s="21" t="s">
        <v>11948</v>
      </c>
      <c r="W5263" s="21" t="s">
        <v>1630</v>
      </c>
      <c r="X5263" s="21"/>
      <c r="Y5263" s="21" t="s">
        <v>697</v>
      </c>
      <c r="Z5263" s="21"/>
      <c r="AA5263" s="21" t="str">
        <f>HYPERLINK("https://miland.ru/api/getInfo/item/181f2e75-74bb-11ef-a265-00155d82e908")</f>
        <v>https://miland.ru/api/getInfo/item/181f2e75-74bb-11ef-a265-00155d82e908</v>
      </c>
      <c r="AB5263" s="21" t="s">
        <v>42</v>
      </c>
      <c r="AC5263" s="21" t="s">
        <v>18714</v>
      </c>
      <c r="AD5263" s="21"/>
    </row>
    <row r="5264" spans="2:31" s="1" customFormat="1" ht="96.3" customHeight="1" outlineLevel="4">
      <c r="B5264" s="57">
        <v>4300</v>
      </c>
      <c r="C5264" s="21" t="s">
        <v>18751</v>
      </c>
      <c r="D5264" s="72" t="s">
        <v>18752</v>
      </c>
      <c r="E5264" s="72"/>
      <c r="F5264" s="72"/>
      <c r="G5264" s="72"/>
      <c r="H5264" s="22" t="s">
        <v>18753</v>
      </c>
      <c r="I5264" s="23" t="s">
        <v>36</v>
      </c>
      <c r="J5264" s="22"/>
      <c r="K5264" s="20">
        <v>10</v>
      </c>
      <c r="L5264" s="24">
        <v>56.96</v>
      </c>
      <c r="M5264" s="11"/>
      <c r="N5264" s="22">
        <f t="shared" si="289"/>
        <v>0</v>
      </c>
      <c r="O5264" s="25">
        <f>0.011*M5264</f>
        <v>0</v>
      </c>
      <c r="P5264" s="26">
        <f>0.00318*M5264</f>
        <v>0</v>
      </c>
      <c r="Q5264" s="30"/>
      <c r="R5264" s="22" t="s">
        <v>18754</v>
      </c>
      <c r="S5264" s="22"/>
      <c r="T5264" s="21" t="str">
        <f>HYPERLINK("https://miland.ru/api/getInfo/image/f37735a6-74ba-11ef-a265-00155d82e908")</f>
        <v>https://miland.ru/api/getInfo/image/f37735a6-74ba-11ef-a265-00155d82e908</v>
      </c>
      <c r="U5264" s="21"/>
      <c r="V5264" s="21" t="s">
        <v>11948</v>
      </c>
      <c r="W5264" s="21" t="s">
        <v>1630</v>
      </c>
      <c r="X5264" s="21"/>
      <c r="Y5264" s="21" t="s">
        <v>697</v>
      </c>
      <c r="Z5264" s="21"/>
      <c r="AA5264" s="21" t="str">
        <f>HYPERLINK("https://miland.ru/api/getInfo/item/f37735a6-74ba-11ef-a265-00155d82e908")</f>
        <v>https://miland.ru/api/getInfo/item/f37735a6-74ba-11ef-a265-00155d82e908</v>
      </c>
      <c r="AB5264" s="21" t="s">
        <v>42</v>
      </c>
      <c r="AC5264" s="21" t="s">
        <v>18714</v>
      </c>
      <c r="AD5264" s="21"/>
    </row>
    <row r="5265" spans="2:31" s="1" customFormat="1" ht="96.3" customHeight="1" outlineLevel="4">
      <c r="B5265" s="57">
        <v>4301</v>
      </c>
      <c r="C5265" s="21" t="s">
        <v>18755</v>
      </c>
      <c r="D5265" s="72" t="s">
        <v>18756</v>
      </c>
      <c r="E5265" s="72"/>
      <c r="F5265" s="72"/>
      <c r="G5265" s="72"/>
      <c r="H5265" s="22" t="s">
        <v>18757</v>
      </c>
      <c r="I5265" s="23" t="s">
        <v>36</v>
      </c>
      <c r="J5265" s="22"/>
      <c r="K5265" s="20">
        <v>10</v>
      </c>
      <c r="L5265" s="24">
        <v>56.96</v>
      </c>
      <c r="M5265" s="11"/>
      <c r="N5265" s="22">
        <f t="shared" si="289"/>
        <v>0</v>
      </c>
      <c r="O5265" s="25">
        <f>0.012*M5265</f>
        <v>0</v>
      </c>
      <c r="P5265" s="26">
        <f>0.00007*M5265</f>
        <v>0</v>
      </c>
      <c r="Q5265" s="30"/>
      <c r="R5265" s="22" t="s">
        <v>18758</v>
      </c>
      <c r="S5265" s="22"/>
      <c r="T5265" s="21" t="str">
        <f>HYPERLINK("https://miland.ru/api/getInfo/image/48783324-74bb-11ef-a265-00155d82e908")</f>
        <v>https://miland.ru/api/getInfo/image/48783324-74bb-11ef-a265-00155d82e908</v>
      </c>
      <c r="U5265" s="21"/>
      <c r="V5265" s="21" t="s">
        <v>11948</v>
      </c>
      <c r="W5265" s="21" t="s">
        <v>1630</v>
      </c>
      <c r="X5265" s="21"/>
      <c r="Y5265" s="21" t="s">
        <v>697</v>
      </c>
      <c r="Z5265" s="21"/>
      <c r="AA5265" s="21" t="str">
        <f>HYPERLINK("https://miland.ru/api/getInfo/item/48783324-74bb-11ef-a265-00155d82e908")</f>
        <v>https://miland.ru/api/getInfo/item/48783324-74bb-11ef-a265-00155d82e908</v>
      </c>
      <c r="AB5265" s="21" t="s">
        <v>42</v>
      </c>
      <c r="AC5265" s="21" t="s">
        <v>18714</v>
      </c>
      <c r="AD5265" s="21"/>
    </row>
    <row r="5266" spans="2:31" s="1" customFormat="1" ht="96.3" customHeight="1" outlineLevel="4">
      <c r="B5266" s="57">
        <v>4302</v>
      </c>
      <c r="C5266" s="21" t="s">
        <v>18759</v>
      </c>
      <c r="D5266" s="72" t="s">
        <v>18760</v>
      </c>
      <c r="E5266" s="72"/>
      <c r="F5266" s="72"/>
      <c r="G5266" s="72"/>
      <c r="H5266" s="22" t="s">
        <v>18761</v>
      </c>
      <c r="I5266" s="23" t="s">
        <v>36</v>
      </c>
      <c r="J5266" s="22"/>
      <c r="K5266" s="20">
        <v>10</v>
      </c>
      <c r="L5266" s="24">
        <v>56.96</v>
      </c>
      <c r="M5266" s="11"/>
      <c r="N5266" s="22">
        <f t="shared" si="289"/>
        <v>0</v>
      </c>
      <c r="O5266" s="25">
        <f>0.012*M5266</f>
        <v>0</v>
      </c>
      <c r="P5266" s="29">
        <f>0.0002*M5266</f>
        <v>0</v>
      </c>
      <c r="Q5266" s="30"/>
      <c r="R5266" s="22" t="s">
        <v>18762</v>
      </c>
      <c r="S5266" s="22"/>
      <c r="T5266" s="21" t="str">
        <f>HYPERLINK("https://miland.ru/api/getInfo/image/a78c250f-74ba-11ef-a265-00155d82e908")</f>
        <v>https://miland.ru/api/getInfo/image/a78c250f-74ba-11ef-a265-00155d82e908</v>
      </c>
      <c r="U5266" s="21"/>
      <c r="V5266" s="21" t="s">
        <v>11948</v>
      </c>
      <c r="W5266" s="21" t="s">
        <v>1630</v>
      </c>
      <c r="X5266" s="21"/>
      <c r="Y5266" s="21" t="s">
        <v>697</v>
      </c>
      <c r="Z5266" s="21"/>
      <c r="AA5266" s="21" t="str">
        <f>HYPERLINK("https://miland.ru/api/getInfo/item/a78c250f-74ba-11ef-a265-00155d82e908")</f>
        <v>https://miland.ru/api/getInfo/item/a78c250f-74ba-11ef-a265-00155d82e908</v>
      </c>
      <c r="AB5266" s="21" t="s">
        <v>42</v>
      </c>
      <c r="AC5266" s="21" t="s">
        <v>18714</v>
      </c>
      <c r="AD5266" s="21"/>
    </row>
    <row r="5267" spans="2:31" s="1" customFormat="1" ht="96.3" customHeight="1" outlineLevel="4">
      <c r="B5267" s="59">
        <v>4303</v>
      </c>
      <c r="C5267" s="35" t="s">
        <v>18763</v>
      </c>
      <c r="D5267" s="73" t="s">
        <v>18764</v>
      </c>
      <c r="E5267" s="73"/>
      <c r="F5267" s="73"/>
      <c r="G5267" s="73"/>
      <c r="H5267" s="36" t="s">
        <v>18765</v>
      </c>
      <c r="I5267" s="56" t="s">
        <v>36</v>
      </c>
      <c r="J5267" s="36"/>
      <c r="K5267" s="34">
        <v>10</v>
      </c>
      <c r="L5267" s="41">
        <v>58.586666666666666</v>
      </c>
      <c r="M5267" s="11"/>
      <c r="N5267" s="36">
        <f t="shared" si="289"/>
        <v>0</v>
      </c>
      <c r="O5267" s="42">
        <f>0.021*M5267</f>
        <v>0</v>
      </c>
      <c r="P5267" s="43">
        <f>0.00016*M5267</f>
        <v>0</v>
      </c>
      <c r="Q5267" s="50"/>
      <c r="R5267" s="36" t="s">
        <v>18766</v>
      </c>
      <c r="S5267" s="36"/>
      <c r="T5267" s="35" t="str">
        <f>HYPERLINK("https://miland.ru/api/getInfo/image/c0793dc9-74b5-11ef-a265-00155d82e908")</f>
        <v>https://miland.ru/api/getInfo/image/c0793dc9-74b5-11ef-a265-00155d82e908</v>
      </c>
      <c r="U5267" s="35"/>
      <c r="V5267" s="35" t="s">
        <v>11948</v>
      </c>
      <c r="W5267" s="35" t="s">
        <v>1630</v>
      </c>
      <c r="X5267" s="35"/>
      <c r="Y5267" s="35" t="s">
        <v>697</v>
      </c>
      <c r="Z5267" s="35"/>
      <c r="AA5267" s="35" t="str">
        <f>HYPERLINK("https://miland.ru/api/getInfo/item/c0793dc9-74b5-11ef-a265-00155d82e908")</f>
        <v>https://miland.ru/api/getInfo/item/c0793dc9-74b5-11ef-a265-00155d82e908</v>
      </c>
      <c r="AB5267" s="35" t="s">
        <v>42</v>
      </c>
      <c r="AC5267" s="35" t="s">
        <v>18767</v>
      </c>
      <c r="AD5267" s="35"/>
      <c r="AE5267" s="52" t="s">
        <v>9152</v>
      </c>
    </row>
    <row r="5268" spans="2:31" s="1" customFormat="1" ht="96.3" customHeight="1" outlineLevel="4">
      <c r="B5268" s="57">
        <v>4304</v>
      </c>
      <c r="C5268" s="21" t="s">
        <v>18768</v>
      </c>
      <c r="D5268" s="72" t="s">
        <v>18769</v>
      </c>
      <c r="E5268" s="72"/>
      <c r="F5268" s="72"/>
      <c r="G5268" s="72"/>
      <c r="H5268" s="22" t="s">
        <v>18770</v>
      </c>
      <c r="I5268" s="23" t="s">
        <v>36</v>
      </c>
      <c r="J5268" s="22"/>
      <c r="K5268" s="20">
        <v>10</v>
      </c>
      <c r="L5268" s="24">
        <v>73.239999999999995</v>
      </c>
      <c r="M5268" s="11"/>
      <c r="N5268" s="22">
        <f t="shared" si="289"/>
        <v>0</v>
      </c>
      <c r="O5268" s="25">
        <f>0.024*M5268</f>
        <v>0</v>
      </c>
      <c r="P5268" s="22">
        <v>0</v>
      </c>
      <c r="Q5268" s="30"/>
      <c r="R5268" s="22" t="s">
        <v>18771</v>
      </c>
      <c r="S5268" s="22"/>
      <c r="T5268" s="21" t="str">
        <f>HYPERLINK("https://miland.ru/api/getInfo/image/f482ac6f-74b4-11ef-a265-00155d82e908")</f>
        <v>https://miland.ru/api/getInfo/image/f482ac6f-74b4-11ef-a265-00155d82e908</v>
      </c>
      <c r="U5268" s="21"/>
      <c r="V5268" s="21" t="s">
        <v>11948</v>
      </c>
      <c r="W5268" s="21" t="s">
        <v>1630</v>
      </c>
      <c r="X5268" s="21"/>
      <c r="Y5268" s="21" t="s">
        <v>697</v>
      </c>
      <c r="Z5268" s="21"/>
      <c r="AA5268" s="21" t="str">
        <f>HYPERLINK("https://miland.ru/api/getInfo/item/f482ac6f-74b4-11ef-a265-00155d82e908")</f>
        <v>https://miland.ru/api/getInfo/item/f482ac6f-74b4-11ef-a265-00155d82e908</v>
      </c>
      <c r="AB5268" s="21" t="s">
        <v>42</v>
      </c>
      <c r="AC5268" s="21" t="s">
        <v>18767</v>
      </c>
      <c r="AD5268" s="21"/>
    </row>
    <row r="5269" spans="2:31" s="1" customFormat="1" ht="96.3" customHeight="1" outlineLevel="4">
      <c r="B5269" s="57">
        <v>4305</v>
      </c>
      <c r="C5269" s="21" t="s">
        <v>18772</v>
      </c>
      <c r="D5269" s="72" t="s">
        <v>18773</v>
      </c>
      <c r="E5269" s="72"/>
      <c r="F5269" s="72"/>
      <c r="G5269" s="72"/>
      <c r="H5269" s="22" t="s">
        <v>18774</v>
      </c>
      <c r="I5269" s="23" t="s">
        <v>36</v>
      </c>
      <c r="J5269" s="22"/>
      <c r="K5269" s="20">
        <v>10</v>
      </c>
      <c r="L5269" s="24">
        <v>73.239999999999995</v>
      </c>
      <c r="M5269" s="11"/>
      <c r="N5269" s="22">
        <f t="shared" si="289"/>
        <v>0</v>
      </c>
      <c r="O5269" s="25">
        <f>0.021*M5269</f>
        <v>0</v>
      </c>
      <c r="P5269" s="26">
        <f>0.00012*M5269</f>
        <v>0</v>
      </c>
      <c r="Q5269" s="30"/>
      <c r="R5269" s="22" t="s">
        <v>18775</v>
      </c>
      <c r="S5269" s="22" t="s">
        <v>435</v>
      </c>
      <c r="T5269" s="21" t="str">
        <f>HYPERLINK("https://miland.ru/api/getInfo/image/9fbfe7b1-74b5-11ef-a265-00155d82e908")</f>
        <v>https://miland.ru/api/getInfo/image/9fbfe7b1-74b5-11ef-a265-00155d82e908</v>
      </c>
      <c r="U5269" s="21"/>
      <c r="V5269" s="21" t="s">
        <v>11948</v>
      </c>
      <c r="W5269" s="21" t="s">
        <v>1630</v>
      </c>
      <c r="X5269" s="21"/>
      <c r="Y5269" s="21" t="s">
        <v>697</v>
      </c>
      <c r="Z5269" s="21"/>
      <c r="AA5269" s="21" t="str">
        <f>HYPERLINK("https://miland.ru/api/getInfo/item/9fbfe7b1-74b5-11ef-a265-00155d82e908")</f>
        <v>https://miland.ru/api/getInfo/item/9fbfe7b1-74b5-11ef-a265-00155d82e908</v>
      </c>
      <c r="AB5269" s="21" t="s">
        <v>42</v>
      </c>
      <c r="AC5269" s="21" t="s">
        <v>18767</v>
      </c>
      <c r="AD5269" s="21"/>
    </row>
    <row r="5270" spans="2:31" s="1" customFormat="1" ht="96.3" customHeight="1" outlineLevel="4">
      <c r="B5270" s="57">
        <v>4306</v>
      </c>
      <c r="C5270" s="21" t="s">
        <v>18776</v>
      </c>
      <c r="D5270" s="72" t="s">
        <v>18777</v>
      </c>
      <c r="E5270" s="72"/>
      <c r="F5270" s="72"/>
      <c r="G5270" s="72"/>
      <c r="H5270" s="22" t="s">
        <v>18778</v>
      </c>
      <c r="I5270" s="23" t="s">
        <v>36</v>
      </c>
      <c r="J5270" s="22"/>
      <c r="K5270" s="20">
        <v>10</v>
      </c>
      <c r="L5270" s="24">
        <v>73.239999999999995</v>
      </c>
      <c r="M5270" s="11"/>
      <c r="N5270" s="22">
        <f t="shared" si="289"/>
        <v>0</v>
      </c>
      <c r="O5270" s="25">
        <f>0.023*M5270</f>
        <v>0</v>
      </c>
      <c r="P5270" s="26">
        <f>0.00015*M5270</f>
        <v>0</v>
      </c>
      <c r="Q5270" s="30"/>
      <c r="R5270" s="22" t="s">
        <v>18779</v>
      </c>
      <c r="S5270" s="22"/>
      <c r="T5270" s="21" t="str">
        <f>HYPERLINK("https://miland.ru/api/getInfo/image/e6a3b8fa-74b5-11ef-a265-00155d82e908")</f>
        <v>https://miland.ru/api/getInfo/image/e6a3b8fa-74b5-11ef-a265-00155d82e908</v>
      </c>
      <c r="U5270" s="21"/>
      <c r="V5270" s="21" t="s">
        <v>11948</v>
      </c>
      <c r="W5270" s="21" t="s">
        <v>1630</v>
      </c>
      <c r="X5270" s="21"/>
      <c r="Y5270" s="21" t="s">
        <v>697</v>
      </c>
      <c r="Z5270" s="21"/>
      <c r="AA5270" s="21" t="str">
        <f>HYPERLINK("https://miland.ru/api/getInfo/item/e6a3b8fa-74b5-11ef-a265-00155d82e908")</f>
        <v>https://miland.ru/api/getInfo/item/e6a3b8fa-74b5-11ef-a265-00155d82e908</v>
      </c>
      <c r="AB5270" s="21" t="s">
        <v>42</v>
      </c>
      <c r="AC5270" s="21" t="s">
        <v>18767</v>
      </c>
      <c r="AD5270" s="21"/>
    </row>
    <row r="5271" spans="2:31" s="1" customFormat="1" ht="96.3" customHeight="1" outlineLevel="4">
      <c r="B5271" s="57">
        <v>4307</v>
      </c>
      <c r="C5271" s="21" t="s">
        <v>18780</v>
      </c>
      <c r="D5271" s="72" t="s">
        <v>18781</v>
      </c>
      <c r="E5271" s="72"/>
      <c r="F5271" s="72"/>
      <c r="G5271" s="72"/>
      <c r="H5271" s="22" t="s">
        <v>18782</v>
      </c>
      <c r="I5271" s="23" t="s">
        <v>36</v>
      </c>
      <c r="J5271" s="22"/>
      <c r="K5271" s="20">
        <v>10</v>
      </c>
      <c r="L5271" s="24">
        <v>73.239999999999995</v>
      </c>
      <c r="M5271" s="11"/>
      <c r="N5271" s="22">
        <f t="shared" si="289"/>
        <v>0</v>
      </c>
      <c r="O5271" s="25">
        <f>0.025*M5271</f>
        <v>0</v>
      </c>
      <c r="P5271" s="26">
        <f>0.00027*M5271</f>
        <v>0</v>
      </c>
      <c r="Q5271" s="30"/>
      <c r="R5271" s="22" t="s">
        <v>18783</v>
      </c>
      <c r="S5271" s="22"/>
      <c r="T5271" s="21" t="str">
        <f>HYPERLINK("https://miland.ru/api/getInfo/image/3ed67976-74b5-11ef-a265-00155d82e908")</f>
        <v>https://miland.ru/api/getInfo/image/3ed67976-74b5-11ef-a265-00155d82e908</v>
      </c>
      <c r="U5271" s="21"/>
      <c r="V5271" s="21" t="s">
        <v>11948</v>
      </c>
      <c r="W5271" s="21" t="s">
        <v>1630</v>
      </c>
      <c r="X5271" s="21"/>
      <c r="Y5271" s="21" t="s">
        <v>697</v>
      </c>
      <c r="Z5271" s="21"/>
      <c r="AA5271" s="21" t="str">
        <f>HYPERLINK("https://miland.ru/api/getInfo/item/3ed67976-74b5-11ef-a265-00155d82e908")</f>
        <v>https://miland.ru/api/getInfo/item/3ed67976-74b5-11ef-a265-00155d82e908</v>
      </c>
      <c r="AB5271" s="21" t="s">
        <v>42</v>
      </c>
      <c r="AC5271" s="21" t="s">
        <v>18767</v>
      </c>
      <c r="AD5271" s="21"/>
    </row>
    <row r="5272" spans="2:31" s="1" customFormat="1" ht="96.3" customHeight="1" outlineLevel="4">
      <c r="B5272" s="59">
        <v>4308</v>
      </c>
      <c r="C5272" s="35" t="s">
        <v>18784</v>
      </c>
      <c r="D5272" s="73" t="s">
        <v>18785</v>
      </c>
      <c r="E5272" s="73"/>
      <c r="F5272" s="73"/>
      <c r="G5272" s="73"/>
      <c r="H5272" s="36" t="s">
        <v>18786</v>
      </c>
      <c r="I5272" s="56" t="s">
        <v>36</v>
      </c>
      <c r="J5272" s="36"/>
      <c r="K5272" s="34">
        <v>10</v>
      </c>
      <c r="L5272" s="41">
        <v>47.226666666666667</v>
      </c>
      <c r="M5272" s="11"/>
      <c r="N5272" s="36">
        <f t="shared" si="289"/>
        <v>0</v>
      </c>
      <c r="O5272" s="42">
        <f>0.014*M5272</f>
        <v>0</v>
      </c>
      <c r="P5272" s="43">
        <f>0.00018*M5272</f>
        <v>0</v>
      </c>
      <c r="Q5272" s="50"/>
      <c r="R5272" s="36" t="s">
        <v>18787</v>
      </c>
      <c r="S5272" s="36"/>
      <c r="T5272" s="35" t="str">
        <f>HYPERLINK("https://miland.ru/api/getInfo/image/2f15e79e-7432-11ef-a265-00155d82e908")</f>
        <v>https://miland.ru/api/getInfo/image/2f15e79e-7432-11ef-a265-00155d82e908</v>
      </c>
      <c r="U5272" s="35"/>
      <c r="V5272" s="35" t="s">
        <v>11948</v>
      </c>
      <c r="W5272" s="35" t="s">
        <v>1630</v>
      </c>
      <c r="X5272" s="35"/>
      <c r="Y5272" s="35" t="s">
        <v>697</v>
      </c>
      <c r="Z5272" s="35"/>
      <c r="AA5272" s="35" t="str">
        <f>HYPERLINK("https://miland.ru/api/getInfo/item/2f15e79e-7432-11ef-a265-00155d82e908")</f>
        <v>https://miland.ru/api/getInfo/item/2f15e79e-7432-11ef-a265-00155d82e908</v>
      </c>
      <c r="AB5272" s="35" t="s">
        <v>42</v>
      </c>
      <c r="AC5272" s="35" t="s">
        <v>18714</v>
      </c>
      <c r="AD5272" s="35"/>
      <c r="AE5272" s="52" t="s">
        <v>9152</v>
      </c>
    </row>
    <row r="5273" spans="2:31" s="1" customFormat="1" ht="96.3" customHeight="1" outlineLevel="4">
      <c r="B5273" s="57">
        <v>4309</v>
      </c>
      <c r="C5273" s="21" t="s">
        <v>18788</v>
      </c>
      <c r="D5273" s="72" t="s">
        <v>18789</v>
      </c>
      <c r="E5273" s="72"/>
      <c r="F5273" s="72"/>
      <c r="G5273" s="72"/>
      <c r="H5273" s="22" t="s">
        <v>18790</v>
      </c>
      <c r="I5273" s="23" t="s">
        <v>36</v>
      </c>
      <c r="J5273" s="22"/>
      <c r="K5273" s="20">
        <v>10</v>
      </c>
      <c r="L5273" s="24">
        <v>59.04</v>
      </c>
      <c r="M5273" s="11"/>
      <c r="N5273" s="22">
        <f t="shared" si="289"/>
        <v>0</v>
      </c>
      <c r="O5273" s="25">
        <f>0.013*M5273</f>
        <v>0</v>
      </c>
      <c r="P5273" s="29">
        <f>0.0004*M5273</f>
        <v>0</v>
      </c>
      <c r="Q5273" s="30"/>
      <c r="R5273" s="22" t="s">
        <v>18791</v>
      </c>
      <c r="S5273" s="22"/>
      <c r="T5273" s="21" t="str">
        <f>HYPERLINK("https://miland.ru/api/getInfo/image/7b03f667-7432-11ef-a265-00155d82e908")</f>
        <v>https://miland.ru/api/getInfo/image/7b03f667-7432-11ef-a265-00155d82e908</v>
      </c>
      <c r="U5273" s="21"/>
      <c r="V5273" s="21" t="s">
        <v>11948</v>
      </c>
      <c r="W5273" s="21" t="s">
        <v>1630</v>
      </c>
      <c r="X5273" s="21"/>
      <c r="Y5273" s="21" t="s">
        <v>697</v>
      </c>
      <c r="Z5273" s="21"/>
      <c r="AA5273" s="21" t="str">
        <f>HYPERLINK("https://miland.ru/api/getInfo/item/7b03f667-7432-11ef-a265-00155d82e908")</f>
        <v>https://miland.ru/api/getInfo/item/7b03f667-7432-11ef-a265-00155d82e908</v>
      </c>
      <c r="AB5273" s="21" t="s">
        <v>42</v>
      </c>
      <c r="AC5273" s="21" t="s">
        <v>18714</v>
      </c>
      <c r="AD5273" s="21"/>
    </row>
    <row r="5274" spans="2:31" s="1" customFormat="1" ht="96.3" customHeight="1" outlineLevel="4">
      <c r="B5274" s="59">
        <v>4310</v>
      </c>
      <c r="C5274" s="35" t="s">
        <v>18792</v>
      </c>
      <c r="D5274" s="73" t="s">
        <v>18793</v>
      </c>
      <c r="E5274" s="73"/>
      <c r="F5274" s="73"/>
      <c r="G5274" s="73"/>
      <c r="H5274" s="36" t="s">
        <v>18794</v>
      </c>
      <c r="I5274" s="56" t="s">
        <v>36</v>
      </c>
      <c r="J5274" s="36"/>
      <c r="K5274" s="34">
        <v>10</v>
      </c>
      <c r="L5274" s="41">
        <v>37.786666666666669</v>
      </c>
      <c r="M5274" s="11"/>
      <c r="N5274" s="36">
        <f t="shared" si="289"/>
        <v>0</v>
      </c>
      <c r="O5274" s="42">
        <f>0.014*M5274</f>
        <v>0</v>
      </c>
      <c r="P5274" s="43">
        <f>0.00017*M5274</f>
        <v>0</v>
      </c>
      <c r="Q5274" s="50"/>
      <c r="R5274" s="36" t="s">
        <v>18795</v>
      </c>
      <c r="S5274" s="36"/>
      <c r="T5274" s="35" t="str">
        <f>HYPERLINK("https://miland.ru/api/getInfo/image/5446ee56-7432-11ef-a265-00155d82e908")</f>
        <v>https://miland.ru/api/getInfo/image/5446ee56-7432-11ef-a265-00155d82e908</v>
      </c>
      <c r="U5274" s="35"/>
      <c r="V5274" s="35" t="s">
        <v>11948</v>
      </c>
      <c r="W5274" s="35" t="s">
        <v>1630</v>
      </c>
      <c r="X5274" s="35"/>
      <c r="Y5274" s="35" t="s">
        <v>697</v>
      </c>
      <c r="Z5274" s="35"/>
      <c r="AA5274" s="35" t="str">
        <f>HYPERLINK("https://miland.ru/api/getInfo/item/5446ee56-7432-11ef-a265-00155d82e908")</f>
        <v>https://miland.ru/api/getInfo/item/5446ee56-7432-11ef-a265-00155d82e908</v>
      </c>
      <c r="AB5274" s="35" t="s">
        <v>42</v>
      </c>
      <c r="AC5274" s="35" t="s">
        <v>18714</v>
      </c>
      <c r="AD5274" s="35"/>
      <c r="AE5274" s="52" t="s">
        <v>9152</v>
      </c>
    </row>
    <row r="5275" spans="2:31" s="1" customFormat="1" ht="96.3" customHeight="1" outlineLevel="4">
      <c r="B5275" s="57">
        <v>4311</v>
      </c>
      <c r="C5275" s="21" t="s">
        <v>18796</v>
      </c>
      <c r="D5275" s="72" t="s">
        <v>18797</v>
      </c>
      <c r="E5275" s="72"/>
      <c r="F5275" s="72"/>
      <c r="G5275" s="72"/>
      <c r="H5275" s="22" t="s">
        <v>18798</v>
      </c>
      <c r="I5275" s="23" t="s">
        <v>36</v>
      </c>
      <c r="J5275" s="22"/>
      <c r="K5275" s="20">
        <v>10</v>
      </c>
      <c r="L5275" s="24">
        <v>59.04</v>
      </c>
      <c r="M5275" s="11"/>
      <c r="N5275" s="22">
        <f t="shared" si="289"/>
        <v>0</v>
      </c>
      <c r="O5275" s="25">
        <f>0.021*M5275</f>
        <v>0</v>
      </c>
      <c r="P5275" s="29">
        <f>0.0001*M5275</f>
        <v>0</v>
      </c>
      <c r="Q5275" s="30"/>
      <c r="R5275" s="22" t="s">
        <v>18799</v>
      </c>
      <c r="S5275" s="22"/>
      <c r="T5275" s="21" t="str">
        <f>HYPERLINK("https://miland.ru/api/getInfo/image/9d75c5a9-7432-11ef-a265-00155d82e908")</f>
        <v>https://miland.ru/api/getInfo/image/9d75c5a9-7432-11ef-a265-00155d82e908</v>
      </c>
      <c r="U5275" s="21"/>
      <c r="V5275" s="21" t="s">
        <v>11948</v>
      </c>
      <c r="W5275" s="21" t="s">
        <v>1630</v>
      </c>
      <c r="X5275" s="21"/>
      <c r="Y5275" s="21" t="s">
        <v>697</v>
      </c>
      <c r="Z5275" s="21"/>
      <c r="AA5275" s="21" t="str">
        <f>HYPERLINK("https://miland.ru/api/getInfo/item/9d75c5a9-7432-11ef-a265-00155d82e908")</f>
        <v>https://miland.ru/api/getInfo/item/9d75c5a9-7432-11ef-a265-00155d82e908</v>
      </c>
      <c r="AB5275" s="21" t="s">
        <v>42</v>
      </c>
      <c r="AC5275" s="21" t="s">
        <v>18714</v>
      </c>
      <c r="AD5275" s="21"/>
    </row>
    <row r="5276" spans="2:31" s="1" customFormat="1" ht="96.3" customHeight="1" outlineLevel="4">
      <c r="B5276" s="59">
        <v>4312</v>
      </c>
      <c r="C5276" s="35" t="s">
        <v>18800</v>
      </c>
      <c r="D5276" s="73" t="s">
        <v>18801</v>
      </c>
      <c r="E5276" s="73"/>
      <c r="F5276" s="73"/>
      <c r="G5276" s="73"/>
      <c r="H5276" s="36" t="s">
        <v>18802</v>
      </c>
      <c r="I5276" s="56" t="s">
        <v>36</v>
      </c>
      <c r="J5276" s="36"/>
      <c r="K5276" s="34">
        <v>10</v>
      </c>
      <c r="L5276" s="41">
        <v>41.666666666666664</v>
      </c>
      <c r="M5276" s="11"/>
      <c r="N5276" s="36">
        <f t="shared" si="289"/>
        <v>0</v>
      </c>
      <c r="O5276" s="42">
        <f>0.019*M5276</f>
        <v>0</v>
      </c>
      <c r="P5276" s="55">
        <f>0.0007*M5276</f>
        <v>0</v>
      </c>
      <c r="Q5276" s="50"/>
      <c r="R5276" s="36" t="s">
        <v>18803</v>
      </c>
      <c r="S5276" s="36"/>
      <c r="T5276" s="35" t="str">
        <f>HYPERLINK("https://miland.ru/api/getInfo/image/db442778-74b7-11ef-a265-00155d82e908")</f>
        <v>https://miland.ru/api/getInfo/image/db442778-74b7-11ef-a265-00155d82e908</v>
      </c>
      <c r="U5276" s="35"/>
      <c r="V5276" s="35" t="s">
        <v>11948</v>
      </c>
      <c r="W5276" s="35" t="s">
        <v>1630</v>
      </c>
      <c r="X5276" s="35"/>
      <c r="Y5276" s="35" t="s">
        <v>697</v>
      </c>
      <c r="Z5276" s="35"/>
      <c r="AA5276" s="35" t="str">
        <f>HYPERLINK("https://miland.ru/api/getInfo/item/db442778-74b7-11ef-a265-00155d82e908")</f>
        <v>https://miland.ru/api/getInfo/item/db442778-74b7-11ef-a265-00155d82e908</v>
      </c>
      <c r="AB5276" s="35" t="s">
        <v>42</v>
      </c>
      <c r="AC5276" s="35" t="s">
        <v>18647</v>
      </c>
      <c r="AD5276" s="35"/>
      <c r="AE5276" s="52" t="s">
        <v>9152</v>
      </c>
    </row>
    <row r="5277" spans="2:31" s="1" customFormat="1" ht="96.3" customHeight="1" outlineLevel="4">
      <c r="B5277" s="57">
        <v>4313</v>
      </c>
      <c r="C5277" s="21" t="s">
        <v>18804</v>
      </c>
      <c r="D5277" s="72" t="s">
        <v>18805</v>
      </c>
      <c r="E5277" s="72"/>
      <c r="F5277" s="72"/>
      <c r="G5277" s="72"/>
      <c r="H5277" s="22" t="s">
        <v>18806</v>
      </c>
      <c r="I5277" s="23" t="s">
        <v>36</v>
      </c>
      <c r="J5277" s="22"/>
      <c r="K5277" s="20">
        <v>10</v>
      </c>
      <c r="L5277" s="24">
        <v>65.099999999999994</v>
      </c>
      <c r="M5277" s="11"/>
      <c r="N5277" s="22">
        <f t="shared" si="289"/>
        <v>0</v>
      </c>
      <c r="O5277" s="25">
        <f>0.017*M5277</f>
        <v>0</v>
      </c>
      <c r="P5277" s="26">
        <f>0.00045*M5277</f>
        <v>0</v>
      </c>
      <c r="Q5277" s="30"/>
      <c r="R5277" s="22" t="s">
        <v>18807</v>
      </c>
      <c r="S5277" s="22"/>
      <c r="T5277" s="21" t="str">
        <f>HYPERLINK("https://miland.ru/api/getInfo/image/7fc3a64e-74b8-11ef-a265-00155d82e908")</f>
        <v>https://miland.ru/api/getInfo/image/7fc3a64e-74b8-11ef-a265-00155d82e908</v>
      </c>
      <c r="U5277" s="21"/>
      <c r="V5277" s="21" t="s">
        <v>11948</v>
      </c>
      <c r="W5277" s="21" t="s">
        <v>1630</v>
      </c>
      <c r="X5277" s="21"/>
      <c r="Y5277" s="21" t="s">
        <v>697</v>
      </c>
      <c r="Z5277" s="21"/>
      <c r="AA5277" s="21" t="str">
        <f>HYPERLINK("https://miland.ru/api/getInfo/item/7fc3a64e-74b8-11ef-a265-00155d82e908")</f>
        <v>https://miland.ru/api/getInfo/item/7fc3a64e-74b8-11ef-a265-00155d82e908</v>
      </c>
      <c r="AB5277" s="21" t="s">
        <v>42</v>
      </c>
      <c r="AC5277" s="21" t="s">
        <v>18647</v>
      </c>
      <c r="AD5277" s="21"/>
    </row>
    <row r="5278" spans="2:31" s="1" customFormat="1" ht="96.3" customHeight="1" outlineLevel="4">
      <c r="B5278" s="57">
        <v>4314</v>
      </c>
      <c r="C5278" s="21" t="s">
        <v>18808</v>
      </c>
      <c r="D5278" s="72" t="s">
        <v>18809</v>
      </c>
      <c r="E5278" s="72"/>
      <c r="F5278" s="72"/>
      <c r="G5278" s="72"/>
      <c r="H5278" s="22" t="s">
        <v>18810</v>
      </c>
      <c r="I5278" s="23" t="s">
        <v>36</v>
      </c>
      <c r="J5278" s="22"/>
      <c r="K5278" s="20">
        <v>5</v>
      </c>
      <c r="L5278" s="24">
        <v>65.099999999999994</v>
      </c>
      <c r="M5278" s="11"/>
      <c r="N5278" s="22">
        <f t="shared" si="289"/>
        <v>0</v>
      </c>
      <c r="O5278" s="25">
        <f>0.016*M5278</f>
        <v>0</v>
      </c>
      <c r="P5278" s="26">
        <f>0.00006*M5278</f>
        <v>0</v>
      </c>
      <c r="Q5278" s="30"/>
      <c r="R5278" s="22" t="s">
        <v>18811</v>
      </c>
      <c r="S5278" s="22"/>
      <c r="T5278" s="21" t="str">
        <f>HYPERLINK("https://miland.ru/api/getInfo/image/2f467bfd-74b8-11ef-a265-00155d82e908")</f>
        <v>https://miland.ru/api/getInfo/image/2f467bfd-74b8-11ef-a265-00155d82e908</v>
      </c>
      <c r="U5278" s="21"/>
      <c r="V5278" s="21" t="s">
        <v>11948</v>
      </c>
      <c r="W5278" s="21" t="s">
        <v>1630</v>
      </c>
      <c r="X5278" s="21"/>
      <c r="Y5278" s="21" t="s">
        <v>697</v>
      </c>
      <c r="Z5278" s="21"/>
      <c r="AA5278" s="21" t="str">
        <f>HYPERLINK("https://miland.ru/api/getInfo/item/2f467bfd-74b8-11ef-a265-00155d82e908")</f>
        <v>https://miland.ru/api/getInfo/item/2f467bfd-74b8-11ef-a265-00155d82e908</v>
      </c>
      <c r="AB5278" s="21" t="s">
        <v>42</v>
      </c>
      <c r="AC5278" s="21" t="s">
        <v>18647</v>
      </c>
      <c r="AD5278" s="21"/>
    </row>
    <row r="5279" spans="2:31" s="1" customFormat="1" ht="96.3" customHeight="1" outlineLevel="4">
      <c r="B5279" s="59">
        <v>4315</v>
      </c>
      <c r="C5279" s="35" t="s">
        <v>18812</v>
      </c>
      <c r="D5279" s="73" t="s">
        <v>18813</v>
      </c>
      <c r="E5279" s="73"/>
      <c r="F5279" s="73"/>
      <c r="G5279" s="73"/>
      <c r="H5279" s="36" t="s">
        <v>18814</v>
      </c>
      <c r="I5279" s="56" t="s">
        <v>36</v>
      </c>
      <c r="J5279" s="36"/>
      <c r="K5279" s="34">
        <v>10</v>
      </c>
      <c r="L5279" s="41">
        <v>69.44</v>
      </c>
      <c r="M5279" s="11"/>
      <c r="N5279" s="36">
        <f t="shared" si="289"/>
        <v>0</v>
      </c>
      <c r="O5279" s="42">
        <f>0.016*M5279</f>
        <v>0</v>
      </c>
      <c r="P5279" s="43">
        <f>0.00017*M5279</f>
        <v>0</v>
      </c>
      <c r="Q5279" s="50"/>
      <c r="R5279" s="36" t="s">
        <v>18815</v>
      </c>
      <c r="S5279" s="36"/>
      <c r="T5279" s="35" t="str">
        <f>HYPERLINK("https://miland.ru/api/getInfo/image/0a29b108-74b8-11ef-a265-00155d82e908")</f>
        <v>https://miland.ru/api/getInfo/image/0a29b108-74b8-11ef-a265-00155d82e908</v>
      </c>
      <c r="U5279" s="35"/>
      <c r="V5279" s="35" t="s">
        <v>11948</v>
      </c>
      <c r="W5279" s="35" t="s">
        <v>1630</v>
      </c>
      <c r="X5279" s="35"/>
      <c r="Y5279" s="35" t="s">
        <v>697</v>
      </c>
      <c r="Z5279" s="35"/>
      <c r="AA5279" s="35" t="str">
        <f>HYPERLINK("https://miland.ru/api/getInfo/item/0a29b108-74b8-11ef-a265-00155d82e908")</f>
        <v>https://miland.ru/api/getInfo/item/0a29b108-74b8-11ef-a265-00155d82e908</v>
      </c>
      <c r="AB5279" s="35" t="s">
        <v>42</v>
      </c>
      <c r="AC5279" s="35" t="s">
        <v>18647</v>
      </c>
      <c r="AD5279" s="35"/>
      <c r="AE5279" s="52" t="s">
        <v>9152</v>
      </c>
    </row>
    <row r="5280" spans="2:31" s="1" customFormat="1" ht="96.3" customHeight="1" outlineLevel="4">
      <c r="B5280" s="57">
        <v>4316</v>
      </c>
      <c r="C5280" s="21" t="s">
        <v>18816</v>
      </c>
      <c r="D5280" s="72" t="s">
        <v>18817</v>
      </c>
      <c r="E5280" s="72"/>
      <c r="F5280" s="72"/>
      <c r="G5280" s="72"/>
      <c r="H5280" s="22" t="s">
        <v>18818</v>
      </c>
      <c r="I5280" s="23" t="s">
        <v>36</v>
      </c>
      <c r="J5280" s="22"/>
      <c r="K5280" s="20">
        <v>10</v>
      </c>
      <c r="L5280" s="24">
        <v>65.099999999999994</v>
      </c>
      <c r="M5280" s="11"/>
      <c r="N5280" s="22">
        <f t="shared" si="289"/>
        <v>0</v>
      </c>
      <c r="O5280" s="25">
        <f>0.017*M5280</f>
        <v>0</v>
      </c>
      <c r="P5280" s="26">
        <f>0.00017*M5280</f>
        <v>0</v>
      </c>
      <c r="Q5280" s="30"/>
      <c r="R5280" s="22" t="s">
        <v>18819</v>
      </c>
      <c r="S5280" s="22"/>
      <c r="T5280" s="21" t="str">
        <f>HYPERLINK("https://miland.ru/api/getInfo/image/567626c5-74b8-11ef-a265-00155d82e908")</f>
        <v>https://miland.ru/api/getInfo/image/567626c5-74b8-11ef-a265-00155d82e908</v>
      </c>
      <c r="U5280" s="21"/>
      <c r="V5280" s="21" t="s">
        <v>11948</v>
      </c>
      <c r="W5280" s="21" t="s">
        <v>1630</v>
      </c>
      <c r="X5280" s="21"/>
      <c r="Y5280" s="21" t="s">
        <v>697</v>
      </c>
      <c r="Z5280" s="21"/>
      <c r="AA5280" s="21" t="str">
        <f>HYPERLINK("https://miland.ru/api/getInfo/item/567626c5-74b8-11ef-a265-00155d82e908")</f>
        <v>https://miland.ru/api/getInfo/item/567626c5-74b8-11ef-a265-00155d82e908</v>
      </c>
      <c r="AB5280" s="21" t="s">
        <v>42</v>
      </c>
      <c r="AC5280" s="21" t="s">
        <v>18647</v>
      </c>
      <c r="AD5280" s="21"/>
    </row>
    <row r="5281" spans="2:31" s="1" customFormat="1" ht="96.3" customHeight="1" outlineLevel="4">
      <c r="B5281" s="57">
        <v>4317</v>
      </c>
      <c r="C5281" s="21" t="s">
        <v>18820</v>
      </c>
      <c r="D5281" s="72" t="s">
        <v>18821</v>
      </c>
      <c r="E5281" s="72"/>
      <c r="F5281" s="72"/>
      <c r="G5281" s="72"/>
      <c r="H5281" s="22" t="s">
        <v>18822</v>
      </c>
      <c r="I5281" s="23" t="s">
        <v>36</v>
      </c>
      <c r="J5281" s="22"/>
      <c r="K5281" s="20">
        <v>12</v>
      </c>
      <c r="L5281" s="24">
        <v>43.21</v>
      </c>
      <c r="M5281" s="11"/>
      <c r="N5281" s="22">
        <f t="shared" si="289"/>
        <v>0</v>
      </c>
      <c r="O5281" s="25">
        <f>0.022*M5281</f>
        <v>0</v>
      </c>
      <c r="P5281" s="22">
        <v>0</v>
      </c>
      <c r="Q5281" s="30"/>
      <c r="R5281" s="22" t="s">
        <v>18823</v>
      </c>
      <c r="S5281" s="22"/>
      <c r="T5281" s="21" t="str">
        <f>HYPERLINK("https://miland.ru/api/getInfo/image/8b4c8b91-d6f6-11e5-98ff-5cf3fc4a2490")</f>
        <v>https://miland.ru/api/getInfo/image/8b4c8b91-d6f6-11e5-98ff-5cf3fc4a2490</v>
      </c>
      <c r="U5281" s="21"/>
      <c r="V5281" s="21" t="s">
        <v>11948</v>
      </c>
      <c r="W5281" s="21" t="s">
        <v>1630</v>
      </c>
      <c r="X5281" s="21"/>
      <c r="Y5281" s="21" t="s">
        <v>697</v>
      </c>
      <c r="Z5281" s="21"/>
      <c r="AA5281" s="21" t="str">
        <f>HYPERLINK("https://miland.ru/api/getInfo/item/8b4c8b91-d6f6-11e5-98ff-5cf3fc4a2490")</f>
        <v>https://miland.ru/api/getInfo/item/8b4c8b91-d6f6-11e5-98ff-5cf3fc4a2490</v>
      </c>
      <c r="AB5281" s="21" t="s">
        <v>42</v>
      </c>
      <c r="AC5281" s="21" t="s">
        <v>18634</v>
      </c>
      <c r="AD5281" s="21"/>
    </row>
    <row r="5282" spans="2:31" s="1" customFormat="1" ht="96.3" customHeight="1" outlineLevel="4">
      <c r="B5282" s="57">
        <v>4318</v>
      </c>
      <c r="C5282" s="21" t="s">
        <v>18824</v>
      </c>
      <c r="D5282" s="72" t="s">
        <v>18825</v>
      </c>
      <c r="E5282" s="72"/>
      <c r="F5282" s="72"/>
      <c r="G5282" s="72"/>
      <c r="H5282" s="22" t="s">
        <v>18826</v>
      </c>
      <c r="I5282" s="23" t="s">
        <v>36</v>
      </c>
      <c r="J5282" s="22"/>
      <c r="K5282" s="20">
        <v>12</v>
      </c>
      <c r="L5282" s="24">
        <v>54.58</v>
      </c>
      <c r="M5282" s="11"/>
      <c r="N5282" s="22">
        <f t="shared" si="289"/>
        <v>0</v>
      </c>
      <c r="O5282" s="25">
        <f>0.032*M5282</f>
        <v>0</v>
      </c>
      <c r="P5282" s="26">
        <f>0.00039*M5282</f>
        <v>0</v>
      </c>
      <c r="Q5282" s="30"/>
      <c r="R5282" s="22" t="s">
        <v>18827</v>
      </c>
      <c r="S5282" s="22"/>
      <c r="T5282" s="21" t="str">
        <f>HYPERLINK("https://miland.ru/api/getInfo/image/284d1c70-d6f7-11e5-98ff-5cf3fc4a2490")</f>
        <v>https://miland.ru/api/getInfo/image/284d1c70-d6f7-11e5-98ff-5cf3fc4a2490</v>
      </c>
      <c r="U5282" s="21"/>
      <c r="V5282" s="21" t="s">
        <v>11948</v>
      </c>
      <c r="W5282" s="21" t="s">
        <v>1630</v>
      </c>
      <c r="X5282" s="21"/>
      <c r="Y5282" s="21" t="s">
        <v>697</v>
      </c>
      <c r="Z5282" s="21"/>
      <c r="AA5282" s="21" t="str">
        <f>HYPERLINK("https://miland.ru/api/getInfo/item/284d1c70-d6f7-11e5-98ff-5cf3fc4a2490")</f>
        <v>https://miland.ru/api/getInfo/item/284d1c70-d6f7-11e5-98ff-5cf3fc4a2490</v>
      </c>
      <c r="AB5282" s="21" t="s">
        <v>42</v>
      </c>
      <c r="AC5282" s="21" t="s">
        <v>18634</v>
      </c>
      <c r="AD5282" s="21"/>
    </row>
    <row r="5283" spans="2:31" s="1" customFormat="1" ht="96.3" customHeight="1" outlineLevel="4">
      <c r="B5283" s="59">
        <v>4319</v>
      </c>
      <c r="C5283" s="35" t="s">
        <v>18828</v>
      </c>
      <c r="D5283" s="73" t="s">
        <v>18829</v>
      </c>
      <c r="E5283" s="73"/>
      <c r="F5283" s="73"/>
      <c r="G5283" s="73"/>
      <c r="H5283" s="36" t="s">
        <v>18830</v>
      </c>
      <c r="I5283" s="56" t="s">
        <v>36</v>
      </c>
      <c r="J5283" s="36"/>
      <c r="K5283" s="34">
        <v>12</v>
      </c>
      <c r="L5283" s="41">
        <v>34.93333333333333</v>
      </c>
      <c r="M5283" s="11"/>
      <c r="N5283" s="36">
        <f t="shared" si="289"/>
        <v>0</v>
      </c>
      <c r="O5283" s="42">
        <f>0.038*M5283</f>
        <v>0</v>
      </c>
      <c r="P5283" s="43">
        <f>0.00054*M5283</f>
        <v>0</v>
      </c>
      <c r="Q5283" s="50"/>
      <c r="R5283" s="36" t="s">
        <v>18831</v>
      </c>
      <c r="S5283" s="36"/>
      <c r="T5283" s="35" t="str">
        <f>HYPERLINK("https://miland.ru/api/getInfo/image/9886be9e-af58-11e7-b8ef-5cf3fc4a2490")</f>
        <v>https://miland.ru/api/getInfo/image/9886be9e-af58-11e7-b8ef-5cf3fc4a2490</v>
      </c>
      <c r="U5283" s="35"/>
      <c r="V5283" s="35" t="s">
        <v>11948</v>
      </c>
      <c r="W5283" s="35" t="s">
        <v>1630</v>
      </c>
      <c r="X5283" s="35"/>
      <c r="Y5283" s="35" t="s">
        <v>697</v>
      </c>
      <c r="Z5283" s="35"/>
      <c r="AA5283" s="35" t="str">
        <f>HYPERLINK("https://miland.ru/api/getInfo/item/9886be9e-af58-11e7-b8ef-5cf3fc4a2490")</f>
        <v>https://miland.ru/api/getInfo/item/9886be9e-af58-11e7-b8ef-5cf3fc4a2490</v>
      </c>
      <c r="AB5283" s="35" t="s">
        <v>42</v>
      </c>
      <c r="AC5283" s="35" t="s">
        <v>18634</v>
      </c>
      <c r="AD5283" s="35"/>
      <c r="AE5283" s="52" t="s">
        <v>9152</v>
      </c>
    </row>
    <row r="5284" spans="2:31" s="1" customFormat="1" ht="96.3" customHeight="1" outlineLevel="4">
      <c r="B5284" s="57">
        <v>4320</v>
      </c>
      <c r="C5284" s="21" t="s">
        <v>18832</v>
      </c>
      <c r="D5284" s="72" t="s">
        <v>18833</v>
      </c>
      <c r="E5284" s="72"/>
      <c r="F5284" s="72"/>
      <c r="G5284" s="72"/>
      <c r="H5284" s="22" t="s">
        <v>18834</v>
      </c>
      <c r="I5284" s="27">
        <v>230</v>
      </c>
      <c r="J5284" s="22"/>
      <c r="K5284" s="20">
        <v>10</v>
      </c>
      <c r="L5284" s="24">
        <v>70.569999999999993</v>
      </c>
      <c r="M5284" s="11"/>
      <c r="N5284" s="22">
        <f t="shared" si="289"/>
        <v>0</v>
      </c>
      <c r="O5284" s="25">
        <f>0.018*M5284</f>
        <v>0</v>
      </c>
      <c r="P5284" s="26">
        <f>0.00019*M5284</f>
        <v>0</v>
      </c>
      <c r="Q5284" s="30"/>
      <c r="R5284" s="22" t="s">
        <v>18835</v>
      </c>
      <c r="S5284" s="22" t="s">
        <v>435</v>
      </c>
      <c r="T5284" s="21" t="str">
        <f>HYPERLINK("https://miland.ru/api/getInfo/image/d74e50f2-af57-11e7-b8ef-5cf3fc4a2490")</f>
        <v>https://miland.ru/api/getInfo/image/d74e50f2-af57-11e7-b8ef-5cf3fc4a2490</v>
      </c>
      <c r="U5284" s="21"/>
      <c r="V5284" s="21" t="s">
        <v>11948</v>
      </c>
      <c r="W5284" s="21" t="s">
        <v>1630</v>
      </c>
      <c r="X5284" s="21"/>
      <c r="Y5284" s="21" t="s">
        <v>697</v>
      </c>
      <c r="Z5284" s="21"/>
      <c r="AA5284" s="21" t="str">
        <f>HYPERLINK("https://miland.ru/api/getInfo/item/d74e50f2-af57-11e7-b8ef-5cf3fc4a2490")</f>
        <v>https://miland.ru/api/getInfo/item/d74e50f2-af57-11e7-b8ef-5cf3fc4a2490</v>
      </c>
      <c r="AB5284" s="21" t="s">
        <v>42</v>
      </c>
      <c r="AC5284" s="21" t="s">
        <v>18634</v>
      </c>
      <c r="AD5284" s="21"/>
    </row>
    <row r="5285" spans="2:31" s="1" customFormat="1" ht="96.3" customHeight="1" outlineLevel="4">
      <c r="B5285" s="57">
        <v>4321</v>
      </c>
      <c r="C5285" s="21" t="s">
        <v>18836</v>
      </c>
      <c r="D5285" s="72" t="s">
        <v>18837</v>
      </c>
      <c r="E5285" s="72"/>
      <c r="F5285" s="72"/>
      <c r="G5285" s="72"/>
      <c r="H5285" s="22" t="s">
        <v>18838</v>
      </c>
      <c r="I5285" s="23" t="s">
        <v>36</v>
      </c>
      <c r="J5285" s="22"/>
      <c r="K5285" s="20">
        <v>12</v>
      </c>
      <c r="L5285" s="24">
        <v>54.58</v>
      </c>
      <c r="M5285" s="11"/>
      <c r="N5285" s="22">
        <f t="shared" si="289"/>
        <v>0</v>
      </c>
      <c r="O5285" s="25">
        <f>0.034*M5285</f>
        <v>0</v>
      </c>
      <c r="P5285" s="26">
        <f>0.00041*M5285</f>
        <v>0</v>
      </c>
      <c r="Q5285" s="30"/>
      <c r="R5285" s="22" t="s">
        <v>18839</v>
      </c>
      <c r="S5285" s="22"/>
      <c r="T5285" s="21" t="str">
        <f>HYPERLINK("https://miland.ru/api/getInfo/image/af1a529a-af58-11e7-b8ef-5cf3fc4a2490")</f>
        <v>https://miland.ru/api/getInfo/image/af1a529a-af58-11e7-b8ef-5cf3fc4a2490</v>
      </c>
      <c r="U5285" s="21"/>
      <c r="V5285" s="21" t="s">
        <v>11948</v>
      </c>
      <c r="W5285" s="21" t="s">
        <v>1630</v>
      </c>
      <c r="X5285" s="21"/>
      <c r="Y5285" s="21" t="s">
        <v>697</v>
      </c>
      <c r="Z5285" s="21"/>
      <c r="AA5285" s="21" t="str">
        <f>HYPERLINK("https://miland.ru/api/getInfo/item/af1a529a-af58-11e7-b8ef-5cf3fc4a2490")</f>
        <v>https://miland.ru/api/getInfo/item/af1a529a-af58-11e7-b8ef-5cf3fc4a2490</v>
      </c>
      <c r="AB5285" s="21" t="s">
        <v>42</v>
      </c>
      <c r="AC5285" s="21" t="s">
        <v>18634</v>
      </c>
      <c r="AD5285" s="21"/>
    </row>
    <row r="5286" spans="2:31" s="1" customFormat="1" ht="96.3" customHeight="1" outlineLevel="4">
      <c r="B5286" s="57">
        <v>4322</v>
      </c>
      <c r="C5286" s="21" t="s">
        <v>18840</v>
      </c>
      <c r="D5286" s="72" t="s">
        <v>18841</v>
      </c>
      <c r="E5286" s="72"/>
      <c r="F5286" s="72"/>
      <c r="G5286" s="72"/>
      <c r="H5286" s="22" t="s">
        <v>18842</v>
      </c>
      <c r="I5286" s="23" t="s">
        <v>36</v>
      </c>
      <c r="J5286" s="22"/>
      <c r="K5286" s="20">
        <v>12</v>
      </c>
      <c r="L5286" s="24">
        <v>54.58</v>
      </c>
      <c r="M5286" s="11"/>
      <c r="N5286" s="22">
        <f t="shared" si="289"/>
        <v>0</v>
      </c>
      <c r="O5286" s="25">
        <f>0.034*M5286</f>
        <v>0</v>
      </c>
      <c r="P5286" s="29">
        <f>0.0003*M5286</f>
        <v>0</v>
      </c>
      <c r="Q5286" s="30"/>
      <c r="R5286" s="22" t="s">
        <v>18843</v>
      </c>
      <c r="S5286" s="22" t="s">
        <v>435</v>
      </c>
      <c r="T5286" s="21" t="str">
        <f>HYPERLINK("https://miland.ru/api/getInfo/image/68899215-af58-11e7-b8ef-5cf3fc4a2490")</f>
        <v>https://miland.ru/api/getInfo/image/68899215-af58-11e7-b8ef-5cf3fc4a2490</v>
      </c>
      <c r="U5286" s="21"/>
      <c r="V5286" s="21" t="s">
        <v>11948</v>
      </c>
      <c r="W5286" s="21" t="s">
        <v>1630</v>
      </c>
      <c r="X5286" s="21"/>
      <c r="Y5286" s="21" t="s">
        <v>697</v>
      </c>
      <c r="Z5286" s="21"/>
      <c r="AA5286" s="21" t="str">
        <f>HYPERLINK("https://miland.ru/api/getInfo/item/68899215-af58-11e7-b8ef-5cf3fc4a2490")</f>
        <v>https://miland.ru/api/getInfo/item/68899215-af58-11e7-b8ef-5cf3fc4a2490</v>
      </c>
      <c r="AB5286" s="21" t="s">
        <v>42</v>
      </c>
      <c r="AC5286" s="21" t="s">
        <v>18634</v>
      </c>
      <c r="AD5286" s="21"/>
    </row>
    <row r="5287" spans="2:31" s="1" customFormat="1" ht="96.3" customHeight="1" outlineLevel="4">
      <c r="B5287" s="57">
        <v>4323</v>
      </c>
      <c r="C5287" s="21" t="s">
        <v>18844</v>
      </c>
      <c r="D5287" s="72" t="s">
        <v>18845</v>
      </c>
      <c r="E5287" s="72"/>
      <c r="F5287" s="72"/>
      <c r="G5287" s="72"/>
      <c r="H5287" s="22" t="s">
        <v>18846</v>
      </c>
      <c r="I5287" s="23" t="s">
        <v>36</v>
      </c>
      <c r="J5287" s="22"/>
      <c r="K5287" s="20">
        <v>12</v>
      </c>
      <c r="L5287" s="24">
        <v>54.58</v>
      </c>
      <c r="M5287" s="11"/>
      <c r="N5287" s="22">
        <f t="shared" si="289"/>
        <v>0</v>
      </c>
      <c r="O5287" s="25">
        <f>0.034*M5287</f>
        <v>0</v>
      </c>
      <c r="P5287" s="29">
        <f>0.0003*M5287</f>
        <v>0</v>
      </c>
      <c r="Q5287" s="30"/>
      <c r="R5287" s="22" t="s">
        <v>18847</v>
      </c>
      <c r="S5287" s="22" t="s">
        <v>435</v>
      </c>
      <c r="T5287" s="21" t="str">
        <f>HYPERLINK("https://miland.ru/api/getInfo/image/5db92e6a-af58-11e7-b8ef-5cf3fc4a2490")</f>
        <v>https://miland.ru/api/getInfo/image/5db92e6a-af58-11e7-b8ef-5cf3fc4a2490</v>
      </c>
      <c r="U5287" s="21"/>
      <c r="V5287" s="21" t="s">
        <v>11948</v>
      </c>
      <c r="W5287" s="21" t="s">
        <v>1630</v>
      </c>
      <c r="X5287" s="21"/>
      <c r="Y5287" s="21" t="s">
        <v>697</v>
      </c>
      <c r="Z5287" s="21"/>
      <c r="AA5287" s="21" t="str">
        <f>HYPERLINK("https://miland.ru/api/getInfo/item/5db92e6a-af58-11e7-b8ef-5cf3fc4a2490")</f>
        <v>https://miland.ru/api/getInfo/item/5db92e6a-af58-11e7-b8ef-5cf3fc4a2490</v>
      </c>
      <c r="AB5287" s="21" t="s">
        <v>42</v>
      </c>
      <c r="AC5287" s="21" t="s">
        <v>18634</v>
      </c>
      <c r="AD5287" s="21"/>
    </row>
    <row r="5288" spans="2:31" s="1" customFormat="1" ht="96.3" customHeight="1" outlineLevel="4">
      <c r="B5288" s="59">
        <v>4324</v>
      </c>
      <c r="C5288" s="35" t="s">
        <v>18848</v>
      </c>
      <c r="D5288" s="73" t="s">
        <v>18849</v>
      </c>
      <c r="E5288" s="73"/>
      <c r="F5288" s="73"/>
      <c r="G5288" s="73"/>
      <c r="H5288" s="36" t="s">
        <v>18850</v>
      </c>
      <c r="I5288" s="56" t="s">
        <v>36</v>
      </c>
      <c r="J5288" s="36"/>
      <c r="K5288" s="34">
        <v>12</v>
      </c>
      <c r="L5288" s="41">
        <v>34.93333333333333</v>
      </c>
      <c r="M5288" s="11"/>
      <c r="N5288" s="36">
        <f t="shared" si="289"/>
        <v>0</v>
      </c>
      <c r="O5288" s="42">
        <f>0.032*M5288</f>
        <v>0</v>
      </c>
      <c r="P5288" s="43">
        <f>0.00082*M5288</f>
        <v>0</v>
      </c>
      <c r="Q5288" s="50"/>
      <c r="R5288" s="36" t="s">
        <v>18851</v>
      </c>
      <c r="S5288" s="36"/>
      <c r="T5288" s="35" t="str">
        <f>HYPERLINK("https://miland.ru/api/getInfo/image/7f5b09eb-af58-11e7-b8ef-5cf3fc4a2490")</f>
        <v>https://miland.ru/api/getInfo/image/7f5b09eb-af58-11e7-b8ef-5cf3fc4a2490</v>
      </c>
      <c r="U5288" s="35"/>
      <c r="V5288" s="35" t="s">
        <v>11948</v>
      </c>
      <c r="W5288" s="35" t="s">
        <v>1630</v>
      </c>
      <c r="X5288" s="35"/>
      <c r="Y5288" s="35" t="s">
        <v>697</v>
      </c>
      <c r="Z5288" s="35"/>
      <c r="AA5288" s="35" t="str">
        <f>HYPERLINK("https://miland.ru/api/getInfo/item/7f5b09eb-af58-11e7-b8ef-5cf3fc4a2490")</f>
        <v>https://miland.ru/api/getInfo/item/7f5b09eb-af58-11e7-b8ef-5cf3fc4a2490</v>
      </c>
      <c r="AB5288" s="35" t="s">
        <v>42</v>
      </c>
      <c r="AC5288" s="35" t="s">
        <v>18634</v>
      </c>
      <c r="AD5288" s="35"/>
      <c r="AE5288" s="52" t="s">
        <v>9152</v>
      </c>
    </row>
    <row r="5289" spans="2:31" s="1" customFormat="1" ht="96.3" customHeight="1" outlineLevel="4">
      <c r="B5289" s="57">
        <v>4325</v>
      </c>
      <c r="C5289" s="21" t="s">
        <v>18852</v>
      </c>
      <c r="D5289" s="72" t="s">
        <v>18853</v>
      </c>
      <c r="E5289" s="72"/>
      <c r="F5289" s="72"/>
      <c r="G5289" s="72"/>
      <c r="H5289" s="22" t="s">
        <v>18854</v>
      </c>
      <c r="I5289" s="27">
        <v>482</v>
      </c>
      <c r="J5289" s="22"/>
      <c r="K5289" s="20">
        <v>6</v>
      </c>
      <c r="L5289" s="24">
        <v>100.82</v>
      </c>
      <c r="M5289" s="11"/>
      <c r="N5289" s="22">
        <f t="shared" si="289"/>
        <v>0</v>
      </c>
      <c r="O5289" s="25">
        <f>0.016*M5289</f>
        <v>0</v>
      </c>
      <c r="P5289" s="29">
        <f>0.0001*M5289</f>
        <v>0</v>
      </c>
      <c r="Q5289" s="30"/>
      <c r="R5289" s="22" t="s">
        <v>18855</v>
      </c>
      <c r="S5289" s="22" t="s">
        <v>435</v>
      </c>
      <c r="T5289" s="21" t="str">
        <f>HYPERLINK("https://miland.ru/api/getInfo/image/f1f54e86-1b29-11ea-a237-ac1f6b442184")</f>
        <v>https://miland.ru/api/getInfo/image/f1f54e86-1b29-11ea-a237-ac1f6b442184</v>
      </c>
      <c r="U5289" s="21"/>
      <c r="V5289" s="21" t="s">
        <v>11948</v>
      </c>
      <c r="W5289" s="21" t="s">
        <v>1630</v>
      </c>
      <c r="X5289" s="21"/>
      <c r="Y5289" s="21" t="s">
        <v>697</v>
      </c>
      <c r="Z5289" s="21"/>
      <c r="AA5289" s="21" t="str">
        <f>HYPERLINK("https://miland.ru/api/getInfo/item/f1f54e86-1b29-11ea-a237-ac1f6b442184")</f>
        <v>https://miland.ru/api/getInfo/item/f1f54e86-1b29-11ea-a237-ac1f6b442184</v>
      </c>
      <c r="AB5289" s="21" t="s">
        <v>42</v>
      </c>
      <c r="AC5289" s="21" t="s">
        <v>2396</v>
      </c>
      <c r="AD5289" s="21"/>
    </row>
    <row r="5290" spans="2:31" s="1" customFormat="1" ht="96.3" customHeight="1" outlineLevel="4">
      <c r="B5290" s="59">
        <v>4326</v>
      </c>
      <c r="C5290" s="35" t="s">
        <v>18856</v>
      </c>
      <c r="D5290" s="73" t="s">
        <v>18857</v>
      </c>
      <c r="E5290" s="73"/>
      <c r="F5290" s="73"/>
      <c r="G5290" s="73"/>
      <c r="H5290" s="36" t="s">
        <v>18858</v>
      </c>
      <c r="I5290" s="56" t="s">
        <v>36</v>
      </c>
      <c r="J5290" s="36"/>
      <c r="K5290" s="34">
        <v>12</v>
      </c>
      <c r="L5290" s="41">
        <v>30.893333333333334</v>
      </c>
      <c r="M5290" s="11"/>
      <c r="N5290" s="36">
        <f t="shared" si="289"/>
        <v>0</v>
      </c>
      <c r="O5290" s="42">
        <f>0.028*M5290</f>
        <v>0</v>
      </c>
      <c r="P5290" s="43">
        <f>0.00088*M5290</f>
        <v>0</v>
      </c>
      <c r="Q5290" s="50"/>
      <c r="R5290" s="36" t="s">
        <v>18859</v>
      </c>
      <c r="S5290" s="36"/>
      <c r="T5290" s="35" t="str">
        <f>HYPERLINK("https://miland.ru/api/getInfo/image/5bf874d0-d6f6-11e5-98ff-5cf3fc4a2490")</f>
        <v>https://miland.ru/api/getInfo/image/5bf874d0-d6f6-11e5-98ff-5cf3fc4a2490</v>
      </c>
      <c r="U5290" s="35"/>
      <c r="V5290" s="35" t="s">
        <v>11948</v>
      </c>
      <c r="W5290" s="35" t="s">
        <v>1630</v>
      </c>
      <c r="X5290" s="35"/>
      <c r="Y5290" s="35" t="s">
        <v>697</v>
      </c>
      <c r="Z5290" s="35"/>
      <c r="AA5290" s="35" t="str">
        <f>HYPERLINK("https://miland.ru/api/getInfo/item/5bf874d0-d6f6-11e5-98ff-5cf3fc4a2490")</f>
        <v>https://miland.ru/api/getInfo/item/5bf874d0-d6f6-11e5-98ff-5cf3fc4a2490</v>
      </c>
      <c r="AB5290" s="35" t="s">
        <v>42</v>
      </c>
      <c r="AC5290" s="35" t="s">
        <v>18634</v>
      </c>
      <c r="AD5290" s="35"/>
      <c r="AE5290" s="52" t="s">
        <v>9152</v>
      </c>
    </row>
    <row r="5291" spans="2:31" s="1" customFormat="1" ht="96.3" customHeight="1" outlineLevel="4">
      <c r="B5291" s="59">
        <v>4327</v>
      </c>
      <c r="C5291" s="35" t="s">
        <v>18860</v>
      </c>
      <c r="D5291" s="73" t="s">
        <v>18861</v>
      </c>
      <c r="E5291" s="73"/>
      <c r="F5291" s="73"/>
      <c r="G5291" s="73"/>
      <c r="H5291" s="36" t="s">
        <v>18862</v>
      </c>
      <c r="I5291" s="56" t="s">
        <v>36</v>
      </c>
      <c r="J5291" s="36"/>
      <c r="K5291" s="34">
        <v>12</v>
      </c>
      <c r="L5291" s="41">
        <v>30.266666666666666</v>
      </c>
      <c r="M5291" s="11"/>
      <c r="N5291" s="36">
        <f t="shared" si="289"/>
        <v>0</v>
      </c>
      <c r="O5291" s="42">
        <f>0.015*M5291</f>
        <v>0</v>
      </c>
      <c r="P5291" s="43">
        <f>0.00042*M5291</f>
        <v>0</v>
      </c>
      <c r="Q5291" s="50"/>
      <c r="R5291" s="36" t="s">
        <v>18863</v>
      </c>
      <c r="S5291" s="36"/>
      <c r="T5291" s="35" t="str">
        <f>HYPERLINK("https://miland.ru/api/getInfo/image/46009af5-986d-11eb-a201-ac1f6b442185")</f>
        <v>https://miland.ru/api/getInfo/image/46009af5-986d-11eb-a201-ac1f6b442185</v>
      </c>
      <c r="U5291" s="35"/>
      <c r="V5291" s="35" t="s">
        <v>11948</v>
      </c>
      <c r="W5291" s="35" t="s">
        <v>1630</v>
      </c>
      <c r="X5291" s="35"/>
      <c r="Y5291" s="35" t="s">
        <v>697</v>
      </c>
      <c r="Z5291" s="35"/>
      <c r="AA5291" s="35" t="str">
        <f>HYPERLINK("https://miland.ru/api/getInfo/item/46009af5-986d-11eb-a201-ac1f6b442185")</f>
        <v>https://miland.ru/api/getInfo/item/46009af5-986d-11eb-a201-ac1f6b442185</v>
      </c>
      <c r="AB5291" s="35" t="s">
        <v>42</v>
      </c>
      <c r="AC5291" s="35"/>
      <c r="AD5291" s="35"/>
      <c r="AE5291" s="52" t="s">
        <v>9152</v>
      </c>
    </row>
    <row r="5292" spans="2:31" s="1" customFormat="1" ht="96.3" customHeight="1" outlineLevel="4">
      <c r="B5292" s="59">
        <v>4328</v>
      </c>
      <c r="C5292" s="35" t="s">
        <v>18864</v>
      </c>
      <c r="D5292" s="73" t="s">
        <v>18865</v>
      </c>
      <c r="E5292" s="73"/>
      <c r="F5292" s="73"/>
      <c r="G5292" s="73"/>
      <c r="H5292" s="36" t="s">
        <v>18866</v>
      </c>
      <c r="I5292" s="56" t="s">
        <v>36</v>
      </c>
      <c r="J5292" s="36"/>
      <c r="K5292" s="34">
        <v>12</v>
      </c>
      <c r="L5292" s="41">
        <v>30.266666666666666</v>
      </c>
      <c r="M5292" s="11"/>
      <c r="N5292" s="36">
        <f t="shared" si="289"/>
        <v>0</v>
      </c>
      <c r="O5292" s="42">
        <f>0.015*M5292</f>
        <v>0</v>
      </c>
      <c r="P5292" s="55">
        <f>0.0004*M5292</f>
        <v>0</v>
      </c>
      <c r="Q5292" s="50"/>
      <c r="R5292" s="36" t="s">
        <v>18867</v>
      </c>
      <c r="S5292" s="36"/>
      <c r="T5292" s="35" t="str">
        <f>HYPERLINK("https://miland.ru/api/getInfo/image/d299c471-986b-11eb-a201-ac1f6b442185")</f>
        <v>https://miland.ru/api/getInfo/image/d299c471-986b-11eb-a201-ac1f6b442185</v>
      </c>
      <c r="U5292" s="35"/>
      <c r="V5292" s="35" t="s">
        <v>11948</v>
      </c>
      <c r="W5292" s="35" t="s">
        <v>1630</v>
      </c>
      <c r="X5292" s="35"/>
      <c r="Y5292" s="35" t="s">
        <v>697</v>
      </c>
      <c r="Z5292" s="35"/>
      <c r="AA5292" s="35" t="str">
        <f>HYPERLINK("https://miland.ru/api/getInfo/item/d299c471-986b-11eb-a201-ac1f6b442185")</f>
        <v>https://miland.ru/api/getInfo/item/d299c471-986b-11eb-a201-ac1f6b442185</v>
      </c>
      <c r="AB5292" s="35" t="s">
        <v>42</v>
      </c>
      <c r="AC5292" s="35"/>
      <c r="AD5292" s="35"/>
      <c r="AE5292" s="52" t="s">
        <v>9152</v>
      </c>
    </row>
    <row r="5293" spans="2:31" s="1" customFormat="1" ht="96.3" customHeight="1" outlineLevel="4">
      <c r="B5293" s="59">
        <v>4329</v>
      </c>
      <c r="C5293" s="35" t="s">
        <v>18868</v>
      </c>
      <c r="D5293" s="73" t="s">
        <v>18869</v>
      </c>
      <c r="E5293" s="73"/>
      <c r="F5293" s="73"/>
      <c r="G5293" s="73"/>
      <c r="H5293" s="36" t="s">
        <v>18870</v>
      </c>
      <c r="I5293" s="56" t="s">
        <v>36</v>
      </c>
      <c r="J5293" s="36"/>
      <c r="K5293" s="34">
        <v>12</v>
      </c>
      <c r="L5293" s="41">
        <v>30.266666666666666</v>
      </c>
      <c r="M5293" s="11"/>
      <c r="N5293" s="36">
        <f t="shared" si="289"/>
        <v>0</v>
      </c>
      <c r="O5293" s="42">
        <f>0.012*M5293</f>
        <v>0</v>
      </c>
      <c r="P5293" s="43">
        <f>0.00041*M5293</f>
        <v>0</v>
      </c>
      <c r="Q5293" s="50"/>
      <c r="R5293" s="36" t="s">
        <v>18871</v>
      </c>
      <c r="S5293" s="36"/>
      <c r="T5293" s="35" t="str">
        <f>HYPERLINK("https://miland.ru/api/getInfo/image/bab9a9e7-986a-11eb-a201-ac1f6b442185")</f>
        <v>https://miland.ru/api/getInfo/image/bab9a9e7-986a-11eb-a201-ac1f6b442185</v>
      </c>
      <c r="U5293" s="35"/>
      <c r="V5293" s="35" t="s">
        <v>11948</v>
      </c>
      <c r="W5293" s="35" t="s">
        <v>1630</v>
      </c>
      <c r="X5293" s="35"/>
      <c r="Y5293" s="35" t="s">
        <v>697</v>
      </c>
      <c r="Z5293" s="35"/>
      <c r="AA5293" s="35" t="str">
        <f>HYPERLINK("https://miland.ru/api/getInfo/item/bab9a9e7-986a-11eb-a201-ac1f6b442185")</f>
        <v>https://miland.ru/api/getInfo/item/bab9a9e7-986a-11eb-a201-ac1f6b442185</v>
      </c>
      <c r="AB5293" s="35" t="s">
        <v>42</v>
      </c>
      <c r="AC5293" s="35"/>
      <c r="AD5293" s="35"/>
      <c r="AE5293" s="52" t="s">
        <v>9152</v>
      </c>
    </row>
    <row r="5294" spans="2:31" s="1" customFormat="1" ht="96.3" customHeight="1" outlineLevel="4">
      <c r="B5294" s="59">
        <v>4330</v>
      </c>
      <c r="C5294" s="35" t="s">
        <v>18872</v>
      </c>
      <c r="D5294" s="73" t="s">
        <v>18873</v>
      </c>
      <c r="E5294" s="73"/>
      <c r="F5294" s="73"/>
      <c r="G5294" s="73"/>
      <c r="H5294" s="36" t="s">
        <v>18874</v>
      </c>
      <c r="I5294" s="56" t="s">
        <v>36</v>
      </c>
      <c r="J5294" s="36"/>
      <c r="K5294" s="34">
        <v>12</v>
      </c>
      <c r="L5294" s="41">
        <v>30.266666666666666</v>
      </c>
      <c r="M5294" s="11"/>
      <c r="N5294" s="36">
        <f t="shared" si="289"/>
        <v>0</v>
      </c>
      <c r="O5294" s="42">
        <f>0.012*M5294</f>
        <v>0</v>
      </c>
      <c r="P5294" s="43">
        <f>0.00041*M5294</f>
        <v>0</v>
      </c>
      <c r="Q5294" s="50"/>
      <c r="R5294" s="36" t="s">
        <v>18875</v>
      </c>
      <c r="S5294" s="36"/>
      <c r="T5294" s="35" t="str">
        <f>HYPERLINK("https://miland.ru/api/getInfo/image/1b27cc4f-986b-11eb-a201-ac1f6b442185")</f>
        <v>https://miland.ru/api/getInfo/image/1b27cc4f-986b-11eb-a201-ac1f6b442185</v>
      </c>
      <c r="U5294" s="35"/>
      <c r="V5294" s="35" t="s">
        <v>11948</v>
      </c>
      <c r="W5294" s="35" t="s">
        <v>1630</v>
      </c>
      <c r="X5294" s="35"/>
      <c r="Y5294" s="35" t="s">
        <v>697</v>
      </c>
      <c r="Z5294" s="35"/>
      <c r="AA5294" s="35" t="str">
        <f>HYPERLINK("https://miland.ru/api/getInfo/item/1b27cc4f-986b-11eb-a201-ac1f6b442185")</f>
        <v>https://miland.ru/api/getInfo/item/1b27cc4f-986b-11eb-a201-ac1f6b442185</v>
      </c>
      <c r="AB5294" s="35" t="s">
        <v>42</v>
      </c>
      <c r="AC5294" s="35"/>
      <c r="AD5294" s="35"/>
      <c r="AE5294" s="52" t="s">
        <v>9152</v>
      </c>
    </row>
    <row r="5295" spans="2:31" ht="12" customHeight="1" outlineLevel="3">
      <c r="B5295" s="70" t="s">
        <v>18876</v>
      </c>
      <c r="C5295" s="70"/>
      <c r="D5295" s="70"/>
      <c r="E5295" s="70"/>
      <c r="F5295" s="70"/>
      <c r="G5295" s="70"/>
    </row>
    <row r="5296" spans="2:31" s="1" customFormat="1" ht="96.3" customHeight="1" outlineLevel="4">
      <c r="B5296" s="59">
        <v>4331</v>
      </c>
      <c r="C5296" s="35" t="s">
        <v>18877</v>
      </c>
      <c r="D5296" s="73" t="s">
        <v>18878</v>
      </c>
      <c r="E5296" s="73"/>
      <c r="F5296" s="73"/>
      <c r="G5296" s="73"/>
      <c r="H5296" s="36" t="s">
        <v>18879</v>
      </c>
      <c r="I5296" s="56" t="s">
        <v>36</v>
      </c>
      <c r="J5296" s="36"/>
      <c r="K5296" s="34">
        <v>4</v>
      </c>
      <c r="L5296" s="41">
        <v>138.69333333333333</v>
      </c>
      <c r="M5296" s="11"/>
      <c r="N5296" s="36">
        <f t="shared" ref="N5296:N5316" si="290">L5296*M5296</f>
        <v>0</v>
      </c>
      <c r="O5296" s="42">
        <f>0.047*M5296</f>
        <v>0</v>
      </c>
      <c r="P5296" s="43">
        <f>0.00157*M5296</f>
        <v>0</v>
      </c>
      <c r="Q5296" s="50"/>
      <c r="R5296" s="36" t="s">
        <v>18880</v>
      </c>
      <c r="S5296" s="36"/>
      <c r="T5296" s="35" t="str">
        <f>HYPERLINK("https://miland.ru/api/getInfo/image/859f6c07-dbf3-11ec-a213-ac1f6b442185")</f>
        <v>https://miland.ru/api/getInfo/image/859f6c07-dbf3-11ec-a213-ac1f6b442185</v>
      </c>
      <c r="U5296" s="35"/>
      <c r="V5296" s="35" t="s">
        <v>11948</v>
      </c>
      <c r="W5296" s="35" t="s">
        <v>1630</v>
      </c>
      <c r="X5296" s="35"/>
      <c r="Y5296" s="35" t="s">
        <v>697</v>
      </c>
      <c r="Z5296" s="35"/>
      <c r="AA5296" s="35" t="str">
        <f>HYPERLINK("https://miland.ru/api/getInfo/item/859f6c07-dbf3-11ec-a213-ac1f6b442185")</f>
        <v>https://miland.ru/api/getInfo/item/859f6c07-dbf3-11ec-a213-ac1f6b442185</v>
      </c>
      <c r="AB5296" s="35" t="s">
        <v>42</v>
      </c>
      <c r="AC5296" s="35"/>
      <c r="AD5296" s="35"/>
      <c r="AE5296" s="52" t="s">
        <v>9152</v>
      </c>
    </row>
    <row r="5297" spans="2:31" s="1" customFormat="1" ht="96.3" customHeight="1" outlineLevel="4">
      <c r="B5297" s="59">
        <v>4332</v>
      </c>
      <c r="C5297" s="35" t="s">
        <v>18881</v>
      </c>
      <c r="D5297" s="73" t="s">
        <v>18882</v>
      </c>
      <c r="E5297" s="73"/>
      <c r="F5297" s="73"/>
      <c r="G5297" s="73"/>
      <c r="H5297" s="36" t="s">
        <v>18883</v>
      </c>
      <c r="I5297" s="56" t="s">
        <v>36</v>
      </c>
      <c r="J5297" s="36"/>
      <c r="K5297" s="34">
        <v>4</v>
      </c>
      <c r="L5297" s="41">
        <v>138.69333333333333</v>
      </c>
      <c r="M5297" s="11"/>
      <c r="N5297" s="36">
        <f t="shared" si="290"/>
        <v>0</v>
      </c>
      <c r="O5297" s="42">
        <f>0.039*M5297</f>
        <v>0</v>
      </c>
      <c r="P5297" s="43">
        <f>0.00049*M5297</f>
        <v>0</v>
      </c>
      <c r="Q5297" s="50"/>
      <c r="R5297" s="36" t="s">
        <v>18884</v>
      </c>
      <c r="S5297" s="36"/>
      <c r="T5297" s="35" t="str">
        <f>HYPERLINK("https://miland.ru/api/getInfo/image/e1401349-db45-11ec-a213-ac1f6b442185")</f>
        <v>https://miland.ru/api/getInfo/image/e1401349-db45-11ec-a213-ac1f6b442185</v>
      </c>
      <c r="U5297" s="35"/>
      <c r="V5297" s="35" t="s">
        <v>11948</v>
      </c>
      <c r="W5297" s="35" t="s">
        <v>1630</v>
      </c>
      <c r="X5297" s="35"/>
      <c r="Y5297" s="35" t="s">
        <v>697</v>
      </c>
      <c r="Z5297" s="35"/>
      <c r="AA5297" s="35" t="str">
        <f>HYPERLINK("https://miland.ru/api/getInfo/item/e1401349-db45-11ec-a213-ac1f6b442185")</f>
        <v>https://miland.ru/api/getInfo/item/e1401349-db45-11ec-a213-ac1f6b442185</v>
      </c>
      <c r="AB5297" s="35" t="s">
        <v>42</v>
      </c>
      <c r="AC5297" s="35"/>
      <c r="AD5297" s="35"/>
      <c r="AE5297" s="52" t="s">
        <v>9152</v>
      </c>
    </row>
    <row r="5298" spans="2:31" s="1" customFormat="1" ht="96.3" customHeight="1" outlineLevel="4">
      <c r="B5298" s="59">
        <v>4333</v>
      </c>
      <c r="C5298" s="35" t="s">
        <v>18885</v>
      </c>
      <c r="D5298" s="73" t="s">
        <v>18886</v>
      </c>
      <c r="E5298" s="73"/>
      <c r="F5298" s="73"/>
      <c r="G5298" s="73"/>
      <c r="H5298" s="36" t="s">
        <v>18887</v>
      </c>
      <c r="I5298" s="56" t="s">
        <v>36</v>
      </c>
      <c r="J5298" s="36"/>
      <c r="K5298" s="34">
        <v>7</v>
      </c>
      <c r="L5298" s="41">
        <v>74.973333333333329</v>
      </c>
      <c r="M5298" s="11"/>
      <c r="N5298" s="36">
        <f t="shared" si="290"/>
        <v>0</v>
      </c>
      <c r="O5298" s="42">
        <f>0.033*M5298</f>
        <v>0</v>
      </c>
      <c r="P5298" s="43">
        <f>0.00094*M5298</f>
        <v>0</v>
      </c>
      <c r="Q5298" s="50"/>
      <c r="R5298" s="36" t="s">
        <v>18888</v>
      </c>
      <c r="S5298" s="36"/>
      <c r="T5298" s="35" t="str">
        <f>HYPERLINK("https://miland.ru/api/getInfo/image/2979a238-c988-11e9-a233-ac1f6b442184")</f>
        <v>https://miland.ru/api/getInfo/image/2979a238-c988-11e9-a233-ac1f6b442184</v>
      </c>
      <c r="U5298" s="35"/>
      <c r="V5298" s="35" t="s">
        <v>11948</v>
      </c>
      <c r="W5298" s="35" t="s">
        <v>1630</v>
      </c>
      <c r="X5298" s="35"/>
      <c r="Y5298" s="35" t="s">
        <v>697</v>
      </c>
      <c r="Z5298" s="35"/>
      <c r="AA5298" s="35" t="str">
        <f>HYPERLINK("https://miland.ru/api/getInfo/item/2979a238-c988-11e9-a233-ac1f6b442184")</f>
        <v>https://miland.ru/api/getInfo/item/2979a238-c988-11e9-a233-ac1f6b442184</v>
      </c>
      <c r="AB5298" s="35" t="s">
        <v>42</v>
      </c>
      <c r="AC5298" s="35"/>
      <c r="AD5298" s="35"/>
      <c r="AE5298" s="52" t="s">
        <v>9152</v>
      </c>
    </row>
    <row r="5299" spans="2:31" s="1" customFormat="1" ht="96.3" customHeight="1" outlineLevel="4">
      <c r="B5299" s="59">
        <v>4334</v>
      </c>
      <c r="C5299" s="35" t="s">
        <v>18889</v>
      </c>
      <c r="D5299" s="73" t="s">
        <v>18890</v>
      </c>
      <c r="E5299" s="73"/>
      <c r="F5299" s="73"/>
      <c r="G5299" s="73"/>
      <c r="H5299" s="36" t="s">
        <v>18891</v>
      </c>
      <c r="I5299" s="56" t="s">
        <v>36</v>
      </c>
      <c r="J5299" s="36"/>
      <c r="K5299" s="34">
        <v>7</v>
      </c>
      <c r="L5299" s="41">
        <v>74.973333333333329</v>
      </c>
      <c r="M5299" s="11"/>
      <c r="N5299" s="36">
        <f t="shared" si="290"/>
        <v>0</v>
      </c>
      <c r="O5299" s="42">
        <f>0.025*M5299</f>
        <v>0</v>
      </c>
      <c r="P5299" s="43">
        <f>0.00001*M5299</f>
        <v>0</v>
      </c>
      <c r="Q5299" s="50"/>
      <c r="R5299" s="36" t="s">
        <v>18892</v>
      </c>
      <c r="S5299" s="36"/>
      <c r="T5299" s="35" t="str">
        <f>HYPERLINK("https://miland.ru/api/getInfo/image/07604282-c988-11e9-a233-ac1f6b442184")</f>
        <v>https://miland.ru/api/getInfo/image/07604282-c988-11e9-a233-ac1f6b442184</v>
      </c>
      <c r="U5299" s="35"/>
      <c r="V5299" s="35" t="s">
        <v>11948</v>
      </c>
      <c r="W5299" s="35" t="s">
        <v>1630</v>
      </c>
      <c r="X5299" s="35"/>
      <c r="Y5299" s="35" t="s">
        <v>697</v>
      </c>
      <c r="Z5299" s="35"/>
      <c r="AA5299" s="35" t="str">
        <f>HYPERLINK("https://miland.ru/api/getInfo/item/07604282-c988-11e9-a233-ac1f6b442184")</f>
        <v>https://miland.ru/api/getInfo/item/07604282-c988-11e9-a233-ac1f6b442184</v>
      </c>
      <c r="AB5299" s="35" t="s">
        <v>42</v>
      </c>
      <c r="AC5299" s="35"/>
      <c r="AD5299" s="35"/>
      <c r="AE5299" s="52" t="s">
        <v>9152</v>
      </c>
    </row>
    <row r="5300" spans="2:31" s="1" customFormat="1" ht="96.3" customHeight="1" outlineLevel="4">
      <c r="B5300" s="59">
        <v>4335</v>
      </c>
      <c r="C5300" s="35" t="s">
        <v>18893</v>
      </c>
      <c r="D5300" s="73" t="s">
        <v>18894</v>
      </c>
      <c r="E5300" s="73"/>
      <c r="F5300" s="73"/>
      <c r="G5300" s="73"/>
      <c r="H5300" s="36" t="s">
        <v>18895</v>
      </c>
      <c r="I5300" s="56" t="s">
        <v>36</v>
      </c>
      <c r="J5300" s="36"/>
      <c r="K5300" s="34">
        <v>7</v>
      </c>
      <c r="L5300" s="41">
        <v>27.58666666666667</v>
      </c>
      <c r="M5300" s="11"/>
      <c r="N5300" s="36">
        <f t="shared" si="290"/>
        <v>0</v>
      </c>
      <c r="O5300" s="42">
        <f>0.028*M5300</f>
        <v>0</v>
      </c>
      <c r="P5300" s="43">
        <f>0.00026*M5300</f>
        <v>0</v>
      </c>
      <c r="Q5300" s="50"/>
      <c r="R5300" s="36" t="s">
        <v>18896</v>
      </c>
      <c r="S5300" s="36" t="s">
        <v>435</v>
      </c>
      <c r="T5300" s="35" t="str">
        <f>HYPERLINK("https://miland.ru/api/getInfo/image/70819ff6-1b5d-11ea-a237-ac1f6b442184")</f>
        <v>https://miland.ru/api/getInfo/image/70819ff6-1b5d-11ea-a237-ac1f6b442184</v>
      </c>
      <c r="U5300" s="35"/>
      <c r="V5300" s="35" t="s">
        <v>11948</v>
      </c>
      <c r="W5300" s="35" t="s">
        <v>1630</v>
      </c>
      <c r="X5300" s="35"/>
      <c r="Y5300" s="35" t="s">
        <v>697</v>
      </c>
      <c r="Z5300" s="35"/>
      <c r="AA5300" s="35" t="str">
        <f>HYPERLINK("https://miland.ru/api/getInfo/item/70819ff6-1b5d-11ea-a237-ac1f6b442184")</f>
        <v>https://miland.ru/api/getInfo/item/70819ff6-1b5d-11ea-a237-ac1f6b442184</v>
      </c>
      <c r="AB5300" s="35" t="s">
        <v>42</v>
      </c>
      <c r="AC5300" s="35" t="s">
        <v>18897</v>
      </c>
      <c r="AD5300" s="35"/>
      <c r="AE5300" s="52" t="s">
        <v>1251</v>
      </c>
    </row>
    <row r="5301" spans="2:31" s="1" customFormat="1" ht="96.3" customHeight="1" outlineLevel="4">
      <c r="B5301" s="59">
        <v>4336</v>
      </c>
      <c r="C5301" s="35" t="s">
        <v>18898</v>
      </c>
      <c r="D5301" s="73" t="s">
        <v>18899</v>
      </c>
      <c r="E5301" s="73"/>
      <c r="F5301" s="73"/>
      <c r="G5301" s="73"/>
      <c r="H5301" s="36" t="s">
        <v>18900</v>
      </c>
      <c r="I5301" s="56" t="s">
        <v>36</v>
      </c>
      <c r="J5301" s="36"/>
      <c r="K5301" s="34">
        <v>10</v>
      </c>
      <c r="L5301" s="41">
        <v>26.52</v>
      </c>
      <c r="M5301" s="11"/>
      <c r="N5301" s="36">
        <f t="shared" si="290"/>
        <v>0</v>
      </c>
      <c r="O5301" s="47">
        <f>0.03*M5301</f>
        <v>0</v>
      </c>
      <c r="P5301" s="43">
        <f>0.00045*M5301</f>
        <v>0</v>
      </c>
      <c r="Q5301" s="50"/>
      <c r="R5301" s="36" t="s">
        <v>18901</v>
      </c>
      <c r="S5301" s="36" t="s">
        <v>435</v>
      </c>
      <c r="T5301" s="35" t="str">
        <f>HYPERLINK("https://miland.ru/api/getInfo/image/cd9fac26-1b59-11ea-a237-ac1f6b442184")</f>
        <v>https://miland.ru/api/getInfo/image/cd9fac26-1b59-11ea-a237-ac1f6b442184</v>
      </c>
      <c r="U5301" s="35"/>
      <c r="V5301" s="35" t="s">
        <v>11948</v>
      </c>
      <c r="W5301" s="35" t="s">
        <v>1630</v>
      </c>
      <c r="X5301" s="35"/>
      <c r="Y5301" s="35" t="s">
        <v>697</v>
      </c>
      <c r="Z5301" s="35"/>
      <c r="AA5301" s="35" t="str">
        <f>HYPERLINK("https://miland.ru/api/getInfo/item/cd9fac26-1b59-11ea-a237-ac1f6b442184")</f>
        <v>https://miland.ru/api/getInfo/item/cd9fac26-1b59-11ea-a237-ac1f6b442184</v>
      </c>
      <c r="AB5301" s="35" t="s">
        <v>42</v>
      </c>
      <c r="AC5301" s="35" t="s">
        <v>18897</v>
      </c>
      <c r="AD5301" s="35"/>
      <c r="AE5301" s="52" t="s">
        <v>1251</v>
      </c>
    </row>
    <row r="5302" spans="2:31" s="1" customFormat="1" ht="96.3" customHeight="1" outlineLevel="4">
      <c r="B5302" s="59">
        <v>4337</v>
      </c>
      <c r="C5302" s="35" t="s">
        <v>18902</v>
      </c>
      <c r="D5302" s="73" t="s">
        <v>18903</v>
      </c>
      <c r="E5302" s="73"/>
      <c r="F5302" s="73"/>
      <c r="G5302" s="73"/>
      <c r="H5302" s="36" t="s">
        <v>18904</v>
      </c>
      <c r="I5302" s="56" t="s">
        <v>36</v>
      </c>
      <c r="J5302" s="36"/>
      <c r="K5302" s="34">
        <v>7</v>
      </c>
      <c r="L5302" s="41">
        <v>26.52</v>
      </c>
      <c r="M5302" s="11"/>
      <c r="N5302" s="36">
        <f t="shared" si="290"/>
        <v>0</v>
      </c>
      <c r="O5302" s="42">
        <f>0.003*M5302</f>
        <v>0</v>
      </c>
      <c r="P5302" s="55">
        <f>0.0002*M5302</f>
        <v>0</v>
      </c>
      <c r="Q5302" s="50"/>
      <c r="R5302" s="36" t="s">
        <v>18905</v>
      </c>
      <c r="S5302" s="36" t="s">
        <v>435</v>
      </c>
      <c r="T5302" s="35" t="str">
        <f>HYPERLINK("https://miland.ru/api/getInfo/image/772b806f-af57-11e7-b8ef-5cf3fc4a2490")</f>
        <v>https://miland.ru/api/getInfo/image/772b806f-af57-11e7-b8ef-5cf3fc4a2490</v>
      </c>
      <c r="U5302" s="35"/>
      <c r="V5302" s="35" t="s">
        <v>11948</v>
      </c>
      <c r="W5302" s="35" t="s">
        <v>1630</v>
      </c>
      <c r="X5302" s="35"/>
      <c r="Y5302" s="35" t="s">
        <v>697</v>
      </c>
      <c r="Z5302" s="35"/>
      <c r="AA5302" s="35" t="str">
        <f>HYPERLINK("https://miland.ru/api/getInfo/item/772b806f-af57-11e7-b8ef-5cf3fc4a2490")</f>
        <v>https://miland.ru/api/getInfo/item/772b806f-af57-11e7-b8ef-5cf3fc4a2490</v>
      </c>
      <c r="AB5302" s="35" t="s">
        <v>42</v>
      </c>
      <c r="AC5302" s="35" t="s">
        <v>18634</v>
      </c>
      <c r="AD5302" s="35"/>
      <c r="AE5302" s="52" t="s">
        <v>1251</v>
      </c>
    </row>
    <row r="5303" spans="2:31" s="1" customFormat="1" ht="96.3" customHeight="1" outlineLevel="4">
      <c r="B5303" s="57">
        <v>4338</v>
      </c>
      <c r="C5303" s="21" t="s">
        <v>18906</v>
      </c>
      <c r="D5303" s="72" t="s">
        <v>18907</v>
      </c>
      <c r="E5303" s="72"/>
      <c r="F5303" s="72"/>
      <c r="G5303" s="72"/>
      <c r="H5303" s="22" t="s">
        <v>18908</v>
      </c>
      <c r="I5303" s="23" t="s">
        <v>36</v>
      </c>
      <c r="J5303" s="22"/>
      <c r="K5303" s="20">
        <v>7</v>
      </c>
      <c r="L5303" s="24">
        <v>89.8</v>
      </c>
      <c r="M5303" s="11"/>
      <c r="N5303" s="22">
        <f t="shared" si="290"/>
        <v>0</v>
      </c>
      <c r="O5303" s="25">
        <f>0.027*M5303</f>
        <v>0</v>
      </c>
      <c r="P5303" s="26">
        <f>0.00026*M5303</f>
        <v>0</v>
      </c>
      <c r="Q5303" s="30"/>
      <c r="R5303" s="22" t="s">
        <v>18909</v>
      </c>
      <c r="S5303" s="22" t="s">
        <v>435</v>
      </c>
      <c r="T5303" s="21" t="str">
        <f>HYPERLINK("https://miland.ru/api/getInfo/image/3a49363c-1b5a-11ea-a237-ac1f6b442184")</f>
        <v>https://miland.ru/api/getInfo/image/3a49363c-1b5a-11ea-a237-ac1f6b442184</v>
      </c>
      <c r="U5303" s="21"/>
      <c r="V5303" s="21" t="s">
        <v>11948</v>
      </c>
      <c r="W5303" s="21" t="s">
        <v>1630</v>
      </c>
      <c r="X5303" s="21"/>
      <c r="Y5303" s="21" t="s">
        <v>697</v>
      </c>
      <c r="Z5303" s="21"/>
      <c r="AA5303" s="21" t="str">
        <f>HYPERLINK("https://miland.ru/api/getInfo/item/3a49363c-1b5a-11ea-a237-ac1f6b442184")</f>
        <v>https://miland.ru/api/getInfo/item/3a49363c-1b5a-11ea-a237-ac1f6b442184</v>
      </c>
      <c r="AB5303" s="21" t="s">
        <v>42</v>
      </c>
      <c r="AC5303" s="21" t="s">
        <v>18897</v>
      </c>
      <c r="AD5303" s="21"/>
    </row>
    <row r="5304" spans="2:31" s="1" customFormat="1" ht="96.3" customHeight="1" outlineLevel="4">
      <c r="B5304" s="59">
        <v>4339</v>
      </c>
      <c r="C5304" s="35" t="s">
        <v>18910</v>
      </c>
      <c r="D5304" s="73" t="s">
        <v>18911</v>
      </c>
      <c r="E5304" s="73"/>
      <c r="F5304" s="73"/>
      <c r="G5304" s="73"/>
      <c r="H5304" s="36" t="s">
        <v>18912</v>
      </c>
      <c r="I5304" s="56" t="s">
        <v>36</v>
      </c>
      <c r="J5304" s="36"/>
      <c r="K5304" s="34">
        <v>10</v>
      </c>
      <c r="L5304" s="41">
        <v>28.933333333333334</v>
      </c>
      <c r="M5304" s="11"/>
      <c r="N5304" s="36">
        <f t="shared" si="290"/>
        <v>0</v>
      </c>
      <c r="O5304" s="42">
        <f>0.024*M5304</f>
        <v>0</v>
      </c>
      <c r="P5304" s="43">
        <f>0.00028*M5304</f>
        <v>0</v>
      </c>
      <c r="Q5304" s="50"/>
      <c r="R5304" s="36" t="s">
        <v>18913</v>
      </c>
      <c r="S5304" s="36" t="s">
        <v>435</v>
      </c>
      <c r="T5304" s="35" t="str">
        <f>HYPERLINK("https://miland.ru/api/getInfo/image/e8585a00-1b5a-11ea-a237-ac1f6b442184")</f>
        <v>https://miland.ru/api/getInfo/image/e8585a00-1b5a-11ea-a237-ac1f6b442184</v>
      </c>
      <c r="U5304" s="35"/>
      <c r="V5304" s="35" t="s">
        <v>11948</v>
      </c>
      <c r="W5304" s="35" t="s">
        <v>1630</v>
      </c>
      <c r="X5304" s="35"/>
      <c r="Y5304" s="35" t="s">
        <v>697</v>
      </c>
      <c r="Z5304" s="35"/>
      <c r="AA5304" s="35" t="str">
        <f>HYPERLINK("https://miland.ru/api/getInfo/item/e8585a00-1b5a-11ea-a237-ac1f6b442184")</f>
        <v>https://miland.ru/api/getInfo/item/e8585a00-1b5a-11ea-a237-ac1f6b442184</v>
      </c>
      <c r="AB5304" s="35" t="s">
        <v>42</v>
      </c>
      <c r="AC5304" s="35" t="s">
        <v>18897</v>
      </c>
      <c r="AD5304" s="35"/>
      <c r="AE5304" s="52" t="s">
        <v>1251</v>
      </c>
    </row>
    <row r="5305" spans="2:31" s="1" customFormat="1" ht="96.3" customHeight="1" outlineLevel="4">
      <c r="B5305" s="59">
        <v>4340</v>
      </c>
      <c r="C5305" s="35" t="s">
        <v>18914</v>
      </c>
      <c r="D5305" s="73" t="s">
        <v>18915</v>
      </c>
      <c r="E5305" s="73"/>
      <c r="F5305" s="73"/>
      <c r="G5305" s="73"/>
      <c r="H5305" s="36" t="s">
        <v>18916</v>
      </c>
      <c r="I5305" s="56" t="s">
        <v>36</v>
      </c>
      <c r="J5305" s="36"/>
      <c r="K5305" s="34">
        <v>7</v>
      </c>
      <c r="L5305" s="41">
        <v>26.52</v>
      </c>
      <c r="M5305" s="11"/>
      <c r="N5305" s="36">
        <f t="shared" si="290"/>
        <v>0</v>
      </c>
      <c r="O5305" s="47">
        <f>0.03*M5305</f>
        <v>0</v>
      </c>
      <c r="P5305" s="43">
        <f>0.00022*M5305</f>
        <v>0</v>
      </c>
      <c r="Q5305" s="50"/>
      <c r="R5305" s="36" t="s">
        <v>18917</v>
      </c>
      <c r="S5305" s="36" t="s">
        <v>435</v>
      </c>
      <c r="T5305" s="35" t="str">
        <f>HYPERLINK("https://miland.ru/api/getInfo/image/ab571b68-1b5b-11ea-a237-ac1f6b442184")</f>
        <v>https://miland.ru/api/getInfo/image/ab571b68-1b5b-11ea-a237-ac1f6b442184</v>
      </c>
      <c r="U5305" s="35"/>
      <c r="V5305" s="35" t="s">
        <v>11948</v>
      </c>
      <c r="W5305" s="35" t="s">
        <v>1630</v>
      </c>
      <c r="X5305" s="35"/>
      <c r="Y5305" s="35" t="s">
        <v>697</v>
      </c>
      <c r="Z5305" s="35"/>
      <c r="AA5305" s="35" t="str">
        <f>HYPERLINK("https://miland.ru/api/getInfo/item/ab571b68-1b5b-11ea-a237-ac1f6b442184")</f>
        <v>https://miland.ru/api/getInfo/item/ab571b68-1b5b-11ea-a237-ac1f6b442184</v>
      </c>
      <c r="AB5305" s="35" t="s">
        <v>42</v>
      </c>
      <c r="AC5305" s="35" t="s">
        <v>18897</v>
      </c>
      <c r="AD5305" s="35"/>
      <c r="AE5305" s="52" t="s">
        <v>1251</v>
      </c>
    </row>
    <row r="5306" spans="2:31" s="1" customFormat="1" ht="96.3" customHeight="1" outlineLevel="4">
      <c r="B5306" s="59">
        <v>4341</v>
      </c>
      <c r="C5306" s="35" t="s">
        <v>18918</v>
      </c>
      <c r="D5306" s="73" t="s">
        <v>18919</v>
      </c>
      <c r="E5306" s="73"/>
      <c r="F5306" s="73"/>
      <c r="G5306" s="73"/>
      <c r="H5306" s="36" t="s">
        <v>18920</v>
      </c>
      <c r="I5306" s="56" t="s">
        <v>36</v>
      </c>
      <c r="J5306" s="36"/>
      <c r="K5306" s="34">
        <v>7</v>
      </c>
      <c r="L5306" s="41">
        <v>26.52</v>
      </c>
      <c r="M5306" s="11"/>
      <c r="N5306" s="36">
        <f t="shared" si="290"/>
        <v>0</v>
      </c>
      <c r="O5306" s="42">
        <f>0.026*M5306</f>
        <v>0</v>
      </c>
      <c r="P5306" s="43">
        <f>0.00025*M5306</f>
        <v>0</v>
      </c>
      <c r="Q5306" s="50"/>
      <c r="R5306" s="36" t="s">
        <v>18921</v>
      </c>
      <c r="S5306" s="36" t="s">
        <v>435</v>
      </c>
      <c r="T5306" s="35" t="str">
        <f>HYPERLINK("https://miland.ru/api/getInfo/image/3dbb304c-1b5b-11ea-a237-ac1f6b442184")</f>
        <v>https://miland.ru/api/getInfo/image/3dbb304c-1b5b-11ea-a237-ac1f6b442184</v>
      </c>
      <c r="U5306" s="35"/>
      <c r="V5306" s="35" t="s">
        <v>11948</v>
      </c>
      <c r="W5306" s="35" t="s">
        <v>1630</v>
      </c>
      <c r="X5306" s="35"/>
      <c r="Y5306" s="35" t="s">
        <v>697</v>
      </c>
      <c r="Z5306" s="35"/>
      <c r="AA5306" s="35" t="str">
        <f>HYPERLINK("https://miland.ru/api/getInfo/item/3dbb304c-1b5b-11ea-a237-ac1f6b442184")</f>
        <v>https://miland.ru/api/getInfo/item/3dbb304c-1b5b-11ea-a237-ac1f6b442184</v>
      </c>
      <c r="AB5306" s="35" t="s">
        <v>42</v>
      </c>
      <c r="AC5306" s="35" t="s">
        <v>18897</v>
      </c>
      <c r="AD5306" s="35"/>
      <c r="AE5306" s="52" t="s">
        <v>1251</v>
      </c>
    </row>
    <row r="5307" spans="2:31" s="1" customFormat="1" ht="96.3" customHeight="1" outlineLevel="4">
      <c r="B5307" s="59">
        <v>4342</v>
      </c>
      <c r="C5307" s="35" t="s">
        <v>18922</v>
      </c>
      <c r="D5307" s="73" t="s">
        <v>18923</v>
      </c>
      <c r="E5307" s="73"/>
      <c r="F5307" s="73"/>
      <c r="G5307" s="73"/>
      <c r="H5307" s="36" t="s">
        <v>18924</v>
      </c>
      <c r="I5307" s="56" t="s">
        <v>36</v>
      </c>
      <c r="J5307" s="36"/>
      <c r="K5307" s="34">
        <v>10</v>
      </c>
      <c r="L5307" s="41">
        <v>26.52</v>
      </c>
      <c r="M5307" s="11"/>
      <c r="N5307" s="36">
        <f t="shared" si="290"/>
        <v>0</v>
      </c>
      <c r="O5307" s="42">
        <f>0.029*M5307</f>
        <v>0</v>
      </c>
      <c r="P5307" s="43">
        <f>0.00027*M5307</f>
        <v>0</v>
      </c>
      <c r="Q5307" s="50"/>
      <c r="R5307" s="36" t="s">
        <v>18925</v>
      </c>
      <c r="S5307" s="36" t="s">
        <v>435</v>
      </c>
      <c r="T5307" s="35" t="str">
        <f>HYPERLINK("https://miland.ru/api/getInfo/image/a2405f9f-1b59-11ea-a237-ac1f6b442184")</f>
        <v>https://miland.ru/api/getInfo/image/a2405f9f-1b59-11ea-a237-ac1f6b442184</v>
      </c>
      <c r="U5307" s="35"/>
      <c r="V5307" s="35" t="s">
        <v>11948</v>
      </c>
      <c r="W5307" s="35" t="s">
        <v>1630</v>
      </c>
      <c r="X5307" s="35"/>
      <c r="Y5307" s="35" t="s">
        <v>697</v>
      </c>
      <c r="Z5307" s="35"/>
      <c r="AA5307" s="35" t="str">
        <f>HYPERLINK("https://miland.ru/api/getInfo/item/a2405f9f-1b59-11ea-a237-ac1f6b442184")</f>
        <v>https://miland.ru/api/getInfo/item/a2405f9f-1b59-11ea-a237-ac1f6b442184</v>
      </c>
      <c r="AB5307" s="35" t="s">
        <v>42</v>
      </c>
      <c r="AC5307" s="35" t="s">
        <v>18897</v>
      </c>
      <c r="AD5307" s="35"/>
      <c r="AE5307" s="52" t="s">
        <v>1251</v>
      </c>
    </row>
    <row r="5308" spans="2:31" s="1" customFormat="1" ht="96.3" customHeight="1" outlineLevel="4">
      <c r="B5308" s="59">
        <v>4343</v>
      </c>
      <c r="C5308" s="35" t="s">
        <v>18926</v>
      </c>
      <c r="D5308" s="73" t="s">
        <v>18927</v>
      </c>
      <c r="E5308" s="73"/>
      <c r="F5308" s="73"/>
      <c r="G5308" s="73"/>
      <c r="H5308" s="36" t="s">
        <v>18928</v>
      </c>
      <c r="I5308" s="56" t="s">
        <v>36</v>
      </c>
      <c r="J5308" s="36"/>
      <c r="K5308" s="34">
        <v>10</v>
      </c>
      <c r="L5308" s="41">
        <v>34.866666666666667</v>
      </c>
      <c r="M5308" s="11"/>
      <c r="N5308" s="36">
        <f t="shared" si="290"/>
        <v>0</v>
      </c>
      <c r="O5308" s="47">
        <f>0.03*M5308</f>
        <v>0</v>
      </c>
      <c r="P5308" s="43">
        <f>0.00022*M5308</f>
        <v>0</v>
      </c>
      <c r="Q5308" s="50"/>
      <c r="R5308" s="36" t="s">
        <v>18929</v>
      </c>
      <c r="S5308" s="36" t="s">
        <v>435</v>
      </c>
      <c r="T5308" s="35" t="str">
        <f>HYPERLINK("https://miland.ru/api/getInfo/image/0f2be9b4-1b5a-11ea-a237-ac1f6b442184")</f>
        <v>https://miland.ru/api/getInfo/image/0f2be9b4-1b5a-11ea-a237-ac1f6b442184</v>
      </c>
      <c r="U5308" s="35"/>
      <c r="V5308" s="35" t="s">
        <v>11948</v>
      </c>
      <c r="W5308" s="35" t="s">
        <v>1630</v>
      </c>
      <c r="X5308" s="35"/>
      <c r="Y5308" s="35" t="s">
        <v>697</v>
      </c>
      <c r="Z5308" s="35"/>
      <c r="AA5308" s="35" t="str">
        <f>HYPERLINK("https://miland.ru/api/getInfo/item/0f2be9b4-1b5a-11ea-a237-ac1f6b442184")</f>
        <v>https://miland.ru/api/getInfo/item/0f2be9b4-1b5a-11ea-a237-ac1f6b442184</v>
      </c>
      <c r="AB5308" s="35" t="s">
        <v>42</v>
      </c>
      <c r="AC5308" s="35" t="s">
        <v>18897</v>
      </c>
      <c r="AD5308" s="35"/>
      <c r="AE5308" s="52" t="s">
        <v>1251</v>
      </c>
    </row>
    <row r="5309" spans="2:31" s="1" customFormat="1" ht="96.3" customHeight="1" outlineLevel="4">
      <c r="B5309" s="59">
        <v>4344</v>
      </c>
      <c r="C5309" s="35" t="s">
        <v>18930</v>
      </c>
      <c r="D5309" s="73" t="s">
        <v>18931</v>
      </c>
      <c r="E5309" s="73"/>
      <c r="F5309" s="73"/>
      <c r="G5309" s="73"/>
      <c r="H5309" s="36" t="s">
        <v>18932</v>
      </c>
      <c r="I5309" s="56" t="s">
        <v>36</v>
      </c>
      <c r="J5309" s="36"/>
      <c r="K5309" s="34">
        <v>10</v>
      </c>
      <c r="L5309" s="41">
        <v>29.613333333333333</v>
      </c>
      <c r="M5309" s="11"/>
      <c r="N5309" s="36">
        <f t="shared" si="290"/>
        <v>0</v>
      </c>
      <c r="O5309" s="42">
        <f>0.036*M5309</f>
        <v>0</v>
      </c>
      <c r="P5309" s="43">
        <f>0.00018*M5309</f>
        <v>0</v>
      </c>
      <c r="Q5309" s="50"/>
      <c r="R5309" s="36" t="s">
        <v>18933</v>
      </c>
      <c r="S5309" s="36" t="s">
        <v>435</v>
      </c>
      <c r="T5309" s="35" t="str">
        <f>HYPERLINK("https://miland.ru/api/getInfo/image/38903766-9925-11eb-a201-ac1f6b442185")</f>
        <v>https://miland.ru/api/getInfo/image/38903766-9925-11eb-a201-ac1f6b442185</v>
      </c>
      <c r="U5309" s="35"/>
      <c r="V5309" s="35" t="s">
        <v>11948</v>
      </c>
      <c r="W5309" s="35" t="s">
        <v>1630</v>
      </c>
      <c r="X5309" s="35"/>
      <c r="Y5309" s="35" t="s">
        <v>697</v>
      </c>
      <c r="Z5309" s="35"/>
      <c r="AA5309" s="35" t="str">
        <f>HYPERLINK("https://miland.ru/api/getInfo/item/38903766-9925-11eb-a201-ac1f6b442185")</f>
        <v>https://miland.ru/api/getInfo/item/38903766-9925-11eb-a201-ac1f6b442185</v>
      </c>
      <c r="AB5309" s="35" t="s">
        <v>42</v>
      </c>
      <c r="AC5309" s="35"/>
      <c r="AD5309" s="35"/>
      <c r="AE5309" s="52" t="s">
        <v>1251</v>
      </c>
    </row>
    <row r="5310" spans="2:31" s="1" customFormat="1" ht="96.3" customHeight="1" outlineLevel="4">
      <c r="B5310" s="57">
        <v>4345</v>
      </c>
      <c r="C5310" s="21" t="s">
        <v>18934</v>
      </c>
      <c r="D5310" s="72" t="s">
        <v>18935</v>
      </c>
      <c r="E5310" s="72"/>
      <c r="F5310" s="72"/>
      <c r="G5310" s="72"/>
      <c r="H5310" s="22" t="s">
        <v>18936</v>
      </c>
      <c r="I5310" s="23" t="s">
        <v>36</v>
      </c>
      <c r="J5310" s="22"/>
      <c r="K5310" s="20">
        <v>6</v>
      </c>
      <c r="L5310" s="24">
        <v>111.52</v>
      </c>
      <c r="M5310" s="11"/>
      <c r="N5310" s="22">
        <f t="shared" si="290"/>
        <v>0</v>
      </c>
      <c r="O5310" s="25">
        <f>0.029*M5310</f>
        <v>0</v>
      </c>
      <c r="P5310" s="26">
        <f>0.00021*M5310</f>
        <v>0</v>
      </c>
      <c r="Q5310" s="30"/>
      <c r="R5310" s="22" t="s">
        <v>18937</v>
      </c>
      <c r="S5310" s="22"/>
      <c r="T5310" s="21" t="str">
        <f>HYPERLINK("https://miland.ru/api/getInfo/image/cd8cbdea-c993-11e9-a233-ac1f6b442184")</f>
        <v>https://miland.ru/api/getInfo/image/cd8cbdea-c993-11e9-a233-ac1f6b442184</v>
      </c>
      <c r="U5310" s="21"/>
      <c r="V5310" s="21" t="s">
        <v>11948</v>
      </c>
      <c r="W5310" s="21" t="s">
        <v>1630</v>
      </c>
      <c r="X5310" s="21"/>
      <c r="Y5310" s="21" t="s">
        <v>697</v>
      </c>
      <c r="Z5310" s="21"/>
      <c r="AA5310" s="21" t="str">
        <f>HYPERLINK("https://miland.ru/api/getInfo/item/cd8cbdea-c993-11e9-a233-ac1f6b442184")</f>
        <v>https://miland.ru/api/getInfo/item/cd8cbdea-c993-11e9-a233-ac1f6b442184</v>
      </c>
      <c r="AB5310" s="21" t="s">
        <v>42</v>
      </c>
      <c r="AC5310" s="21"/>
      <c r="AD5310" s="21"/>
    </row>
    <row r="5311" spans="2:31" s="1" customFormat="1" ht="96.3" customHeight="1" outlineLevel="4">
      <c r="B5311" s="59">
        <v>4346</v>
      </c>
      <c r="C5311" s="35" t="s">
        <v>18938</v>
      </c>
      <c r="D5311" s="73" t="s">
        <v>18939</v>
      </c>
      <c r="E5311" s="73"/>
      <c r="F5311" s="73"/>
      <c r="G5311" s="73"/>
      <c r="H5311" s="36" t="s">
        <v>18940</v>
      </c>
      <c r="I5311" s="56" t="s">
        <v>36</v>
      </c>
      <c r="J5311" s="36"/>
      <c r="K5311" s="34">
        <v>6</v>
      </c>
      <c r="L5311" s="41">
        <v>89.213333333333324</v>
      </c>
      <c r="M5311" s="11"/>
      <c r="N5311" s="36">
        <f t="shared" si="290"/>
        <v>0</v>
      </c>
      <c r="O5311" s="42">
        <f>0.027*M5311</f>
        <v>0</v>
      </c>
      <c r="P5311" s="55">
        <f>0.0001*M5311</f>
        <v>0</v>
      </c>
      <c r="Q5311" s="50"/>
      <c r="R5311" s="36" t="s">
        <v>18941</v>
      </c>
      <c r="S5311" s="36"/>
      <c r="T5311" s="35" t="str">
        <f>HYPERLINK("https://miland.ru/api/getInfo/image/95547105-c993-11e9-a233-ac1f6b442184")</f>
        <v>https://miland.ru/api/getInfo/image/95547105-c993-11e9-a233-ac1f6b442184</v>
      </c>
      <c r="U5311" s="35"/>
      <c r="V5311" s="35" t="s">
        <v>11948</v>
      </c>
      <c r="W5311" s="35" t="s">
        <v>1630</v>
      </c>
      <c r="X5311" s="35"/>
      <c r="Y5311" s="35" t="s">
        <v>697</v>
      </c>
      <c r="Z5311" s="35"/>
      <c r="AA5311" s="35" t="str">
        <f>HYPERLINK("https://miland.ru/api/getInfo/item/95547105-c993-11e9-a233-ac1f6b442184")</f>
        <v>https://miland.ru/api/getInfo/item/95547105-c993-11e9-a233-ac1f6b442184</v>
      </c>
      <c r="AB5311" s="35" t="s">
        <v>42</v>
      </c>
      <c r="AC5311" s="35"/>
      <c r="AD5311" s="35"/>
      <c r="AE5311" s="52" t="s">
        <v>9152</v>
      </c>
    </row>
    <row r="5312" spans="2:31" s="1" customFormat="1" ht="96.3" customHeight="1" outlineLevel="4">
      <c r="B5312" s="59">
        <v>4347</v>
      </c>
      <c r="C5312" s="35" t="s">
        <v>18942</v>
      </c>
      <c r="D5312" s="73" t="s">
        <v>18943</v>
      </c>
      <c r="E5312" s="73"/>
      <c r="F5312" s="73"/>
      <c r="G5312" s="73"/>
      <c r="H5312" s="36" t="s">
        <v>18944</v>
      </c>
      <c r="I5312" s="56" t="s">
        <v>36</v>
      </c>
      <c r="J5312" s="36"/>
      <c r="K5312" s="34">
        <v>6</v>
      </c>
      <c r="L5312" s="41">
        <v>27.58666666666667</v>
      </c>
      <c r="M5312" s="11"/>
      <c r="N5312" s="36">
        <f t="shared" si="290"/>
        <v>0</v>
      </c>
      <c r="O5312" s="42">
        <f>0.028*M5312</f>
        <v>0</v>
      </c>
      <c r="P5312" s="43">
        <f>0.00012*M5312</f>
        <v>0</v>
      </c>
      <c r="Q5312" s="50"/>
      <c r="R5312" s="36" t="s">
        <v>18945</v>
      </c>
      <c r="S5312" s="36" t="s">
        <v>435</v>
      </c>
      <c r="T5312" s="35" t="str">
        <f>HYPERLINK("https://miland.ru/api/getInfo/image/e9ee0850-c993-11e9-a233-ac1f6b442184")</f>
        <v>https://miland.ru/api/getInfo/image/e9ee0850-c993-11e9-a233-ac1f6b442184</v>
      </c>
      <c r="U5312" s="35"/>
      <c r="V5312" s="35" t="s">
        <v>11948</v>
      </c>
      <c r="W5312" s="35" t="s">
        <v>1630</v>
      </c>
      <c r="X5312" s="35"/>
      <c r="Y5312" s="35" t="s">
        <v>697</v>
      </c>
      <c r="Z5312" s="35"/>
      <c r="AA5312" s="35" t="str">
        <f>HYPERLINK("https://miland.ru/api/getInfo/item/e9ee0850-c993-11e9-a233-ac1f6b442184")</f>
        <v>https://miland.ru/api/getInfo/item/e9ee0850-c993-11e9-a233-ac1f6b442184</v>
      </c>
      <c r="AB5312" s="35" t="s">
        <v>42</v>
      </c>
      <c r="AC5312" s="35"/>
      <c r="AD5312" s="35"/>
      <c r="AE5312" s="52" t="s">
        <v>1251</v>
      </c>
    </row>
    <row r="5313" spans="2:31" s="1" customFormat="1" ht="96.3" customHeight="1" outlineLevel="4">
      <c r="B5313" s="59">
        <v>4348</v>
      </c>
      <c r="C5313" s="35" t="s">
        <v>18946</v>
      </c>
      <c r="D5313" s="73" t="s">
        <v>18947</v>
      </c>
      <c r="E5313" s="73"/>
      <c r="F5313" s="73"/>
      <c r="G5313" s="73"/>
      <c r="H5313" s="36" t="s">
        <v>18948</v>
      </c>
      <c r="I5313" s="56" t="s">
        <v>36</v>
      </c>
      <c r="J5313" s="36"/>
      <c r="K5313" s="34">
        <v>6</v>
      </c>
      <c r="L5313" s="41">
        <v>41.12</v>
      </c>
      <c r="M5313" s="11"/>
      <c r="N5313" s="36">
        <f t="shared" si="290"/>
        <v>0</v>
      </c>
      <c r="O5313" s="42">
        <f>0.024*M5313</f>
        <v>0</v>
      </c>
      <c r="P5313" s="43">
        <f>0.00016*M5313</f>
        <v>0</v>
      </c>
      <c r="Q5313" s="50"/>
      <c r="R5313" s="36" t="s">
        <v>18949</v>
      </c>
      <c r="S5313" s="36" t="s">
        <v>435</v>
      </c>
      <c r="T5313" s="35" t="str">
        <f>HYPERLINK("https://miland.ru/api/getInfo/image/b1d981e3-c993-11e9-a233-ac1f6b442184")</f>
        <v>https://miland.ru/api/getInfo/image/b1d981e3-c993-11e9-a233-ac1f6b442184</v>
      </c>
      <c r="U5313" s="35"/>
      <c r="V5313" s="35" t="s">
        <v>11948</v>
      </c>
      <c r="W5313" s="35" t="s">
        <v>1630</v>
      </c>
      <c r="X5313" s="35"/>
      <c r="Y5313" s="35" t="s">
        <v>697</v>
      </c>
      <c r="Z5313" s="35"/>
      <c r="AA5313" s="35" t="str">
        <f>HYPERLINK("https://miland.ru/api/getInfo/item/b1d981e3-c993-11e9-a233-ac1f6b442184")</f>
        <v>https://miland.ru/api/getInfo/item/b1d981e3-c993-11e9-a233-ac1f6b442184</v>
      </c>
      <c r="AB5313" s="35" t="s">
        <v>42</v>
      </c>
      <c r="AC5313" s="35"/>
      <c r="AD5313" s="35"/>
      <c r="AE5313" s="52" t="s">
        <v>1251</v>
      </c>
    </row>
    <row r="5314" spans="2:31" s="1" customFormat="1" ht="96.3" customHeight="1" outlineLevel="4">
      <c r="B5314" s="59">
        <v>4349</v>
      </c>
      <c r="C5314" s="35" t="s">
        <v>18950</v>
      </c>
      <c r="D5314" s="73" t="s">
        <v>18951</v>
      </c>
      <c r="E5314" s="73"/>
      <c r="F5314" s="73"/>
      <c r="G5314" s="73"/>
      <c r="H5314" s="36" t="s">
        <v>18952</v>
      </c>
      <c r="I5314" s="56" t="s">
        <v>36</v>
      </c>
      <c r="J5314" s="36"/>
      <c r="K5314" s="34">
        <v>6</v>
      </c>
      <c r="L5314" s="41">
        <v>27.58666666666667</v>
      </c>
      <c r="M5314" s="11"/>
      <c r="N5314" s="36">
        <f t="shared" si="290"/>
        <v>0</v>
      </c>
      <c r="O5314" s="42">
        <f>0.033*M5314</f>
        <v>0</v>
      </c>
      <c r="P5314" s="55">
        <f>0.0003*M5314</f>
        <v>0</v>
      </c>
      <c r="Q5314" s="50"/>
      <c r="R5314" s="36" t="s">
        <v>18953</v>
      </c>
      <c r="S5314" s="36" t="s">
        <v>435</v>
      </c>
      <c r="T5314" s="35" t="str">
        <f>HYPERLINK("https://miland.ru/api/getInfo/image/7cdc99ec-c993-11e9-a233-ac1f6b442184")</f>
        <v>https://miland.ru/api/getInfo/image/7cdc99ec-c993-11e9-a233-ac1f6b442184</v>
      </c>
      <c r="U5314" s="35"/>
      <c r="V5314" s="35" t="s">
        <v>11948</v>
      </c>
      <c r="W5314" s="35" t="s">
        <v>1630</v>
      </c>
      <c r="X5314" s="35"/>
      <c r="Y5314" s="35" t="s">
        <v>697</v>
      </c>
      <c r="Z5314" s="35"/>
      <c r="AA5314" s="35" t="str">
        <f>HYPERLINK("https://miland.ru/api/getInfo/item/7cdc99ec-c993-11e9-a233-ac1f6b442184")</f>
        <v>https://miland.ru/api/getInfo/item/7cdc99ec-c993-11e9-a233-ac1f6b442184</v>
      </c>
      <c r="AB5314" s="35" t="s">
        <v>42</v>
      </c>
      <c r="AC5314" s="35"/>
      <c r="AD5314" s="35"/>
      <c r="AE5314" s="52" t="s">
        <v>1251</v>
      </c>
    </row>
    <row r="5315" spans="2:31" s="1" customFormat="1" ht="96.3" customHeight="1" outlineLevel="4">
      <c r="B5315" s="59">
        <v>4350</v>
      </c>
      <c r="C5315" s="35" t="s">
        <v>18954</v>
      </c>
      <c r="D5315" s="73" t="s">
        <v>18955</v>
      </c>
      <c r="E5315" s="73"/>
      <c r="F5315" s="73"/>
      <c r="G5315" s="73"/>
      <c r="H5315" s="36" t="s">
        <v>18956</v>
      </c>
      <c r="I5315" s="56" t="s">
        <v>36</v>
      </c>
      <c r="J5315" s="36"/>
      <c r="K5315" s="34">
        <v>6</v>
      </c>
      <c r="L5315" s="41">
        <v>27.58666666666667</v>
      </c>
      <c r="M5315" s="11"/>
      <c r="N5315" s="36">
        <f t="shared" si="290"/>
        <v>0</v>
      </c>
      <c r="O5315" s="42">
        <f>0.027*M5315</f>
        <v>0</v>
      </c>
      <c r="P5315" s="43">
        <f>0.00019*M5315</f>
        <v>0</v>
      </c>
      <c r="Q5315" s="50"/>
      <c r="R5315" s="36" t="s">
        <v>18957</v>
      </c>
      <c r="S5315" s="36" t="s">
        <v>435</v>
      </c>
      <c r="T5315" s="35" t="str">
        <f>HYPERLINK("https://miland.ru/api/getInfo/image/09cfe125-c994-11e9-a233-ac1f6b442184")</f>
        <v>https://miland.ru/api/getInfo/image/09cfe125-c994-11e9-a233-ac1f6b442184</v>
      </c>
      <c r="U5315" s="35"/>
      <c r="V5315" s="35" t="s">
        <v>11948</v>
      </c>
      <c r="W5315" s="35" t="s">
        <v>1630</v>
      </c>
      <c r="X5315" s="35"/>
      <c r="Y5315" s="35" t="s">
        <v>697</v>
      </c>
      <c r="Z5315" s="35"/>
      <c r="AA5315" s="35" t="str">
        <f>HYPERLINK("https://miland.ru/api/getInfo/item/09cfe125-c994-11e9-a233-ac1f6b442184")</f>
        <v>https://miland.ru/api/getInfo/item/09cfe125-c994-11e9-a233-ac1f6b442184</v>
      </c>
      <c r="AB5315" s="35" t="s">
        <v>42</v>
      </c>
      <c r="AC5315" s="35"/>
      <c r="AD5315" s="35"/>
      <c r="AE5315" s="52" t="s">
        <v>1251</v>
      </c>
    </row>
    <row r="5316" spans="2:31" s="1" customFormat="1" ht="96.3" customHeight="1" outlineLevel="4">
      <c r="B5316" s="59">
        <v>4351</v>
      </c>
      <c r="C5316" s="35" t="s">
        <v>18958</v>
      </c>
      <c r="D5316" s="73" t="s">
        <v>18959</v>
      </c>
      <c r="E5316" s="73"/>
      <c r="F5316" s="73"/>
      <c r="G5316" s="73"/>
      <c r="H5316" s="36" t="s">
        <v>18960</v>
      </c>
      <c r="I5316" s="56" t="s">
        <v>36</v>
      </c>
      <c r="J5316" s="36"/>
      <c r="K5316" s="34">
        <v>5</v>
      </c>
      <c r="L5316" s="41">
        <v>94.466666666666654</v>
      </c>
      <c r="M5316" s="11"/>
      <c r="N5316" s="36">
        <f t="shared" si="290"/>
        <v>0</v>
      </c>
      <c r="O5316" s="42">
        <f>0.047*M5316</f>
        <v>0</v>
      </c>
      <c r="P5316" s="43">
        <f>0.00155*M5316</f>
        <v>0</v>
      </c>
      <c r="Q5316" s="50"/>
      <c r="R5316" s="36" t="s">
        <v>18961</v>
      </c>
      <c r="S5316" s="36"/>
      <c r="T5316" s="35" t="str">
        <f>HYPERLINK("https://miland.ru/api/getInfo/image/f877370d-dbf3-11ec-a213-ac1f6b442185")</f>
        <v>https://miland.ru/api/getInfo/image/f877370d-dbf3-11ec-a213-ac1f6b442185</v>
      </c>
      <c r="U5316" s="35"/>
      <c r="V5316" s="35" t="s">
        <v>11948</v>
      </c>
      <c r="W5316" s="35" t="s">
        <v>1630</v>
      </c>
      <c r="X5316" s="35"/>
      <c r="Y5316" s="35" t="s">
        <v>697</v>
      </c>
      <c r="Z5316" s="35"/>
      <c r="AA5316" s="35" t="str">
        <f>HYPERLINK("https://miland.ru/api/getInfo/item/f877370d-dbf3-11ec-a213-ac1f6b442185")</f>
        <v>https://miland.ru/api/getInfo/item/f877370d-dbf3-11ec-a213-ac1f6b442185</v>
      </c>
      <c r="AB5316" s="35" t="s">
        <v>42</v>
      </c>
      <c r="AC5316" s="35"/>
      <c r="AD5316" s="35"/>
      <c r="AE5316" s="52" t="s">
        <v>9152</v>
      </c>
    </row>
    <row r="5317" spans="2:31" ht="12" customHeight="1" outlineLevel="3">
      <c r="B5317" s="70" t="s">
        <v>18962</v>
      </c>
      <c r="C5317" s="70"/>
      <c r="D5317" s="70"/>
      <c r="E5317" s="70"/>
      <c r="F5317" s="70"/>
      <c r="G5317" s="70"/>
    </row>
    <row r="5318" spans="2:31" s="1" customFormat="1" ht="96.3" customHeight="1" outlineLevel="4">
      <c r="B5318" s="57">
        <v>4352</v>
      </c>
      <c r="C5318" s="21" t="s">
        <v>18963</v>
      </c>
      <c r="D5318" s="72" t="s">
        <v>18964</v>
      </c>
      <c r="E5318" s="72"/>
      <c r="F5318" s="72"/>
      <c r="G5318" s="72"/>
      <c r="H5318" s="22" t="s">
        <v>18965</v>
      </c>
      <c r="I5318" s="23" t="s">
        <v>36</v>
      </c>
      <c r="J5318" s="22"/>
      <c r="K5318" s="20">
        <v>12</v>
      </c>
      <c r="L5318" s="24">
        <v>74.52</v>
      </c>
      <c r="M5318" s="11"/>
      <c r="N5318" s="22">
        <f>L5318*M5318</f>
        <v>0</v>
      </c>
      <c r="O5318" s="25">
        <f>0.014*M5318</f>
        <v>0</v>
      </c>
      <c r="P5318" s="26">
        <f>0.00004*M5318</f>
        <v>0</v>
      </c>
      <c r="Q5318" s="30"/>
      <c r="R5318" s="22" t="s">
        <v>18966</v>
      </c>
      <c r="S5318" s="22"/>
      <c r="T5318" s="21" t="str">
        <f>HYPERLINK("https://miland.ru/api/getInfo/image/13df42fc-1b59-11ea-a237-ac1f6b442184")</f>
        <v>https://miland.ru/api/getInfo/image/13df42fc-1b59-11ea-a237-ac1f6b442184</v>
      </c>
      <c r="U5318" s="21"/>
      <c r="V5318" s="21" t="s">
        <v>11948</v>
      </c>
      <c r="W5318" s="21" t="s">
        <v>1630</v>
      </c>
      <c r="X5318" s="21"/>
      <c r="Y5318" s="21" t="s">
        <v>697</v>
      </c>
      <c r="Z5318" s="21"/>
      <c r="AA5318" s="21" t="str">
        <f>HYPERLINK("https://miland.ru/api/getInfo/item/13df42fc-1b59-11ea-a237-ac1f6b442184")</f>
        <v>https://miland.ru/api/getInfo/item/13df42fc-1b59-11ea-a237-ac1f6b442184</v>
      </c>
      <c r="AB5318" s="21" t="s">
        <v>42</v>
      </c>
      <c r="AC5318" s="21" t="s">
        <v>656</v>
      </c>
      <c r="AD5318" s="21"/>
    </row>
    <row r="5319" spans="2:31" s="1" customFormat="1" ht="96.3" customHeight="1" outlineLevel="4">
      <c r="B5319" s="57">
        <v>4353</v>
      </c>
      <c r="C5319" s="21" t="s">
        <v>18967</v>
      </c>
      <c r="D5319" s="72" t="s">
        <v>18968</v>
      </c>
      <c r="E5319" s="72"/>
      <c r="F5319" s="72"/>
      <c r="G5319" s="72"/>
      <c r="H5319" s="22" t="s">
        <v>18969</v>
      </c>
      <c r="I5319" s="23" t="s">
        <v>36</v>
      </c>
      <c r="J5319" s="22"/>
      <c r="K5319" s="20">
        <v>12</v>
      </c>
      <c r="L5319" s="24">
        <v>74.52</v>
      </c>
      <c r="M5319" s="11"/>
      <c r="N5319" s="22">
        <f>L5319*M5319</f>
        <v>0</v>
      </c>
      <c r="O5319" s="25">
        <f>0.014*M5319</f>
        <v>0</v>
      </c>
      <c r="P5319" s="26">
        <f>0.00429*M5319</f>
        <v>0</v>
      </c>
      <c r="Q5319" s="30"/>
      <c r="R5319" s="22" t="s">
        <v>18970</v>
      </c>
      <c r="S5319" s="22"/>
      <c r="T5319" s="21" t="str">
        <f>HYPERLINK("https://miland.ru/api/getInfo/image/eac81fa7-1b58-11ea-a237-ac1f6b442184")</f>
        <v>https://miland.ru/api/getInfo/image/eac81fa7-1b58-11ea-a237-ac1f6b442184</v>
      </c>
      <c r="U5319" s="21"/>
      <c r="V5319" s="21" t="s">
        <v>11948</v>
      </c>
      <c r="W5319" s="21" t="s">
        <v>1630</v>
      </c>
      <c r="X5319" s="21"/>
      <c r="Y5319" s="21" t="s">
        <v>697</v>
      </c>
      <c r="Z5319" s="21"/>
      <c r="AA5319" s="21" t="str">
        <f>HYPERLINK("https://miland.ru/api/getInfo/item/eac81fa7-1b58-11ea-a237-ac1f6b442184")</f>
        <v>https://miland.ru/api/getInfo/item/eac81fa7-1b58-11ea-a237-ac1f6b442184</v>
      </c>
      <c r="AB5319" s="21" t="s">
        <v>42</v>
      </c>
      <c r="AC5319" s="21" t="s">
        <v>656</v>
      </c>
      <c r="AD5319" s="21"/>
    </row>
    <row r="5320" spans="2:31" s="1" customFormat="1" ht="96.3" customHeight="1" outlineLevel="4">
      <c r="B5320" s="57">
        <v>4354</v>
      </c>
      <c r="C5320" s="21" t="s">
        <v>18971</v>
      </c>
      <c r="D5320" s="72" t="s">
        <v>18972</v>
      </c>
      <c r="E5320" s="72"/>
      <c r="F5320" s="72"/>
      <c r="G5320" s="72"/>
      <c r="H5320" s="22" t="s">
        <v>18973</v>
      </c>
      <c r="I5320" s="23" t="s">
        <v>36</v>
      </c>
      <c r="J5320" s="22"/>
      <c r="K5320" s="20">
        <v>12</v>
      </c>
      <c r="L5320" s="24">
        <v>39.880000000000003</v>
      </c>
      <c r="M5320" s="11"/>
      <c r="N5320" s="22">
        <f>L5320*M5320</f>
        <v>0</v>
      </c>
      <c r="O5320" s="25">
        <f>0.017*M5320</f>
        <v>0</v>
      </c>
      <c r="P5320" s="26">
        <f>0.00013*M5320</f>
        <v>0</v>
      </c>
      <c r="Q5320" s="30"/>
      <c r="R5320" s="22" t="s">
        <v>18974</v>
      </c>
      <c r="S5320" s="22"/>
      <c r="T5320" s="21" t="str">
        <f>HYPERLINK("https://miland.ru/api/getInfo/image/c81689f0-d6fa-11e5-98ff-5cf3fc4a2490")</f>
        <v>https://miland.ru/api/getInfo/image/c81689f0-d6fa-11e5-98ff-5cf3fc4a2490</v>
      </c>
      <c r="U5320" s="21"/>
      <c r="V5320" s="21" t="s">
        <v>11948</v>
      </c>
      <c r="W5320" s="21" t="s">
        <v>1630</v>
      </c>
      <c r="X5320" s="21"/>
      <c r="Y5320" s="21" t="s">
        <v>697</v>
      </c>
      <c r="Z5320" s="21"/>
      <c r="AA5320" s="21" t="str">
        <f>HYPERLINK("https://miland.ru/api/getInfo/item/c81689f0-d6fa-11e5-98ff-5cf3fc4a2490")</f>
        <v>https://miland.ru/api/getInfo/item/c81689f0-d6fa-11e5-98ff-5cf3fc4a2490</v>
      </c>
      <c r="AB5320" s="21" t="s">
        <v>42</v>
      </c>
      <c r="AC5320" s="21" t="s">
        <v>18619</v>
      </c>
      <c r="AD5320" s="21"/>
    </row>
    <row r="5321" spans="2:31" s="1" customFormat="1" ht="96.3" customHeight="1" outlineLevel="4">
      <c r="B5321" s="57">
        <v>4355</v>
      </c>
      <c r="C5321" s="21" t="s">
        <v>18975</v>
      </c>
      <c r="D5321" s="72" t="s">
        <v>18976</v>
      </c>
      <c r="E5321" s="72"/>
      <c r="F5321" s="72"/>
      <c r="G5321" s="72"/>
      <c r="H5321" s="22" t="s">
        <v>18977</v>
      </c>
      <c r="I5321" s="23" t="s">
        <v>36</v>
      </c>
      <c r="J5321" s="22"/>
      <c r="K5321" s="20">
        <v>12</v>
      </c>
      <c r="L5321" s="24">
        <v>39.880000000000003</v>
      </c>
      <c r="M5321" s="11"/>
      <c r="N5321" s="22">
        <f>L5321*M5321</f>
        <v>0</v>
      </c>
      <c r="O5321" s="25">
        <f>0.016*M5321</f>
        <v>0</v>
      </c>
      <c r="P5321" s="26">
        <f>0.00013*M5321</f>
        <v>0</v>
      </c>
      <c r="Q5321" s="30"/>
      <c r="R5321" s="22" t="s">
        <v>18978</v>
      </c>
      <c r="S5321" s="22"/>
      <c r="T5321" s="21" t="str">
        <f>HYPERLINK("https://miland.ru/api/getInfo/image/44b85289-af58-11e7-b8ef-5cf3fc4a2490")</f>
        <v>https://miland.ru/api/getInfo/image/44b85289-af58-11e7-b8ef-5cf3fc4a2490</v>
      </c>
      <c r="U5321" s="21"/>
      <c r="V5321" s="21" t="s">
        <v>11948</v>
      </c>
      <c r="W5321" s="21" t="s">
        <v>1630</v>
      </c>
      <c r="X5321" s="21"/>
      <c r="Y5321" s="21" t="s">
        <v>697</v>
      </c>
      <c r="Z5321" s="21"/>
      <c r="AA5321" s="21" t="str">
        <f>HYPERLINK("https://miland.ru/api/getInfo/item/44b85289-af58-11e7-b8ef-5cf3fc4a2490")</f>
        <v>https://miland.ru/api/getInfo/item/44b85289-af58-11e7-b8ef-5cf3fc4a2490</v>
      </c>
      <c r="AB5321" s="21" t="s">
        <v>42</v>
      </c>
      <c r="AC5321" s="21"/>
      <c r="AD5321" s="21"/>
    </row>
    <row r="5322" spans="2:31" ht="12" customHeight="1" outlineLevel="2">
      <c r="B5322" s="69" t="s">
        <v>18979</v>
      </c>
      <c r="C5322" s="69"/>
      <c r="D5322" s="69"/>
      <c r="E5322" s="69"/>
      <c r="F5322" s="69"/>
      <c r="G5322" s="69"/>
    </row>
    <row r="5323" spans="2:31" ht="12" customHeight="1" outlineLevel="3">
      <c r="B5323" s="70" t="s">
        <v>18980</v>
      </c>
      <c r="C5323" s="70"/>
      <c r="D5323" s="70"/>
      <c r="E5323" s="70"/>
      <c r="F5323" s="70"/>
      <c r="G5323" s="70"/>
    </row>
    <row r="5324" spans="2:31" s="1" customFormat="1" ht="96.3" customHeight="1" outlineLevel="4">
      <c r="B5324" s="57">
        <v>4356</v>
      </c>
      <c r="C5324" s="21" t="s">
        <v>18981</v>
      </c>
      <c r="D5324" s="72" t="s">
        <v>18982</v>
      </c>
      <c r="E5324" s="72"/>
      <c r="F5324" s="72"/>
      <c r="G5324" s="72"/>
      <c r="H5324" s="22" t="s">
        <v>18983</v>
      </c>
      <c r="I5324" s="27">
        <v>229</v>
      </c>
      <c r="J5324" s="22"/>
      <c r="K5324" s="20">
        <v>4</v>
      </c>
      <c r="L5324" s="24">
        <v>148.81</v>
      </c>
      <c r="M5324" s="11"/>
      <c r="N5324" s="22">
        <f t="shared" ref="N5324:N5329" si="291">L5324*M5324</f>
        <v>0</v>
      </c>
      <c r="O5324" s="25">
        <f>0.149*M5324</f>
        <v>0</v>
      </c>
      <c r="P5324" s="26">
        <f>0.00365*M5324</f>
        <v>0</v>
      </c>
      <c r="Q5324" s="30"/>
      <c r="R5324" s="22" t="s">
        <v>18984</v>
      </c>
      <c r="S5324" s="22"/>
      <c r="T5324" s="21" t="str">
        <f>HYPERLINK("https://miland.ru/api/getInfo/image/c760df02-dbaa-11ee-a25a-00155d82e908")</f>
        <v>https://miland.ru/api/getInfo/image/c760df02-dbaa-11ee-a25a-00155d82e908</v>
      </c>
      <c r="U5324" s="21"/>
      <c r="V5324" s="21"/>
      <c r="W5324" s="21" t="s">
        <v>9274</v>
      </c>
      <c r="X5324" s="21"/>
      <c r="Y5324" s="21" t="s">
        <v>41</v>
      </c>
      <c r="Z5324" s="21"/>
      <c r="AA5324" s="21" t="str">
        <f>HYPERLINK("https://miland.ru/api/getInfo/item/c760df02-dbaa-11ee-a25a-00155d82e908")</f>
        <v>https://miland.ru/api/getInfo/item/c760df02-dbaa-11ee-a25a-00155d82e908</v>
      </c>
      <c r="AB5324" s="21" t="s">
        <v>42</v>
      </c>
      <c r="AC5324" s="21" t="s">
        <v>18985</v>
      </c>
      <c r="AD5324" s="21"/>
    </row>
    <row r="5325" spans="2:31" s="1" customFormat="1" ht="96.3" customHeight="1" outlineLevel="4">
      <c r="B5325" s="57">
        <v>4357</v>
      </c>
      <c r="C5325" s="21" t="s">
        <v>18986</v>
      </c>
      <c r="D5325" s="72" t="s">
        <v>18987</v>
      </c>
      <c r="E5325" s="72"/>
      <c r="F5325" s="72"/>
      <c r="G5325" s="72"/>
      <c r="H5325" s="22" t="s">
        <v>18988</v>
      </c>
      <c r="I5325" s="23" t="s">
        <v>36</v>
      </c>
      <c r="J5325" s="22"/>
      <c r="K5325" s="20">
        <v>10</v>
      </c>
      <c r="L5325" s="24">
        <v>83.76</v>
      </c>
      <c r="M5325" s="11"/>
      <c r="N5325" s="22">
        <f t="shared" si="291"/>
        <v>0</v>
      </c>
      <c r="O5325" s="25">
        <f>0.071*M5325</f>
        <v>0</v>
      </c>
      <c r="P5325" s="29">
        <f>0.0023*M5325</f>
        <v>0</v>
      </c>
      <c r="Q5325" s="30"/>
      <c r="R5325" s="22" t="s">
        <v>18989</v>
      </c>
      <c r="S5325" s="22"/>
      <c r="T5325" s="21" t="str">
        <f>HYPERLINK("https://miland.ru/api/getInfo/image/7d065e74-dbaa-11ee-a25a-00155d82e908")</f>
        <v>https://miland.ru/api/getInfo/image/7d065e74-dbaa-11ee-a25a-00155d82e908</v>
      </c>
      <c r="U5325" s="21"/>
      <c r="V5325" s="21"/>
      <c r="W5325" s="21" t="s">
        <v>9274</v>
      </c>
      <c r="X5325" s="21"/>
      <c r="Y5325" s="21" t="s">
        <v>41</v>
      </c>
      <c r="Z5325" s="21"/>
      <c r="AA5325" s="21" t="str">
        <f>HYPERLINK("https://miland.ru/api/getInfo/item/7d065e74-dbaa-11ee-a25a-00155d82e908")</f>
        <v>https://miland.ru/api/getInfo/item/7d065e74-dbaa-11ee-a25a-00155d82e908</v>
      </c>
      <c r="AB5325" s="21" t="s">
        <v>42</v>
      </c>
      <c r="AC5325" s="21" t="s">
        <v>18985</v>
      </c>
      <c r="AD5325" s="21"/>
    </row>
    <row r="5326" spans="2:31" s="1" customFormat="1" ht="96.3" customHeight="1" outlineLevel="4">
      <c r="B5326" s="57">
        <v>4358</v>
      </c>
      <c r="C5326" s="21" t="s">
        <v>18990</v>
      </c>
      <c r="D5326" s="72" t="s">
        <v>18991</v>
      </c>
      <c r="E5326" s="72"/>
      <c r="F5326" s="72"/>
      <c r="G5326" s="72"/>
      <c r="H5326" s="22" t="s">
        <v>18992</v>
      </c>
      <c r="I5326" s="23" t="s">
        <v>36</v>
      </c>
      <c r="J5326" s="22"/>
      <c r="K5326" s="20">
        <v>10</v>
      </c>
      <c r="L5326" s="24">
        <v>65.23</v>
      </c>
      <c r="M5326" s="11"/>
      <c r="N5326" s="22">
        <f t="shared" si="291"/>
        <v>0</v>
      </c>
      <c r="O5326" s="25">
        <f>0.058*M5326</f>
        <v>0</v>
      </c>
      <c r="P5326" s="26">
        <f>0.00104*M5326</f>
        <v>0</v>
      </c>
      <c r="Q5326" s="30"/>
      <c r="R5326" s="22" t="s">
        <v>18993</v>
      </c>
      <c r="S5326" s="22"/>
      <c r="T5326" s="21" t="str">
        <f>HYPERLINK("https://miland.ru/api/getInfo/image/eedba2ff-a560-11ee-a258-00155d82e908")</f>
        <v>https://miland.ru/api/getInfo/image/eedba2ff-a560-11ee-a258-00155d82e908</v>
      </c>
      <c r="U5326" s="21"/>
      <c r="V5326" s="21" t="s">
        <v>18994</v>
      </c>
      <c r="W5326" s="21" t="s">
        <v>18995</v>
      </c>
      <c r="X5326" s="21"/>
      <c r="Y5326" s="21" t="s">
        <v>41</v>
      </c>
      <c r="Z5326" s="21"/>
      <c r="AA5326" s="21" t="str">
        <f>HYPERLINK("https://miland.ru/api/getInfo/item/eedba2ff-a560-11ee-a258-00155d82e908")</f>
        <v>https://miland.ru/api/getInfo/item/eedba2ff-a560-11ee-a258-00155d82e908</v>
      </c>
      <c r="AB5326" s="21" t="s">
        <v>42</v>
      </c>
      <c r="AC5326" s="21" t="s">
        <v>18996</v>
      </c>
      <c r="AD5326" s="21"/>
    </row>
    <row r="5327" spans="2:31" s="1" customFormat="1" ht="96.3" customHeight="1" outlineLevel="4">
      <c r="B5327" s="57">
        <v>4359</v>
      </c>
      <c r="C5327" s="21" t="s">
        <v>18997</v>
      </c>
      <c r="D5327" s="72" t="s">
        <v>18998</v>
      </c>
      <c r="E5327" s="72"/>
      <c r="F5327" s="72"/>
      <c r="G5327" s="72"/>
      <c r="H5327" s="22" t="s">
        <v>18999</v>
      </c>
      <c r="I5327" s="23" t="s">
        <v>36</v>
      </c>
      <c r="J5327" s="22"/>
      <c r="K5327" s="20">
        <v>10</v>
      </c>
      <c r="L5327" s="24">
        <v>65.23</v>
      </c>
      <c r="M5327" s="11"/>
      <c r="N5327" s="22">
        <f t="shared" si="291"/>
        <v>0</v>
      </c>
      <c r="O5327" s="28">
        <f>0.06*M5327</f>
        <v>0</v>
      </c>
      <c r="P5327" s="26">
        <f>0.00101*M5327</f>
        <v>0</v>
      </c>
      <c r="Q5327" s="30"/>
      <c r="R5327" s="22" t="s">
        <v>19000</v>
      </c>
      <c r="S5327" s="22"/>
      <c r="T5327" s="21" t="str">
        <f>HYPERLINK("https://miland.ru/api/getInfo/image/1f6059a1-a560-11ee-a258-00155d82e908")</f>
        <v>https://miland.ru/api/getInfo/image/1f6059a1-a560-11ee-a258-00155d82e908</v>
      </c>
      <c r="U5327" s="21"/>
      <c r="V5327" s="21" t="s">
        <v>18994</v>
      </c>
      <c r="W5327" s="21" t="s">
        <v>18995</v>
      </c>
      <c r="X5327" s="21"/>
      <c r="Y5327" s="21" t="s">
        <v>41</v>
      </c>
      <c r="Z5327" s="21"/>
      <c r="AA5327" s="21" t="str">
        <f>HYPERLINK("https://miland.ru/api/getInfo/item/1f6059a1-a560-11ee-a258-00155d82e908")</f>
        <v>https://miland.ru/api/getInfo/item/1f6059a1-a560-11ee-a258-00155d82e908</v>
      </c>
      <c r="AB5327" s="21" t="s">
        <v>42</v>
      </c>
      <c r="AC5327" s="21" t="s">
        <v>18996</v>
      </c>
      <c r="AD5327" s="21"/>
    </row>
    <row r="5328" spans="2:31" s="1" customFormat="1" ht="96.3" customHeight="1" outlineLevel="4">
      <c r="B5328" s="57">
        <v>4360</v>
      </c>
      <c r="C5328" s="21" t="s">
        <v>19001</v>
      </c>
      <c r="D5328" s="72" t="s">
        <v>19002</v>
      </c>
      <c r="E5328" s="72"/>
      <c r="F5328" s="72"/>
      <c r="G5328" s="72"/>
      <c r="H5328" s="22" t="s">
        <v>19003</v>
      </c>
      <c r="I5328" s="23" t="s">
        <v>36</v>
      </c>
      <c r="J5328" s="22"/>
      <c r="K5328" s="20">
        <v>10</v>
      </c>
      <c r="L5328" s="24">
        <v>65.23</v>
      </c>
      <c r="M5328" s="11"/>
      <c r="N5328" s="22">
        <f t="shared" si="291"/>
        <v>0</v>
      </c>
      <c r="O5328" s="25">
        <f>0.057*M5328</f>
        <v>0</v>
      </c>
      <c r="P5328" s="26">
        <f>0.00098*M5328</f>
        <v>0</v>
      </c>
      <c r="Q5328" s="30"/>
      <c r="R5328" s="22" t="s">
        <v>19004</v>
      </c>
      <c r="S5328" s="22"/>
      <c r="T5328" s="21" t="str">
        <f>HYPERLINK("https://miland.ru/api/getInfo/image/c28bc6fc-bf21-11ed-a230-00155d82e902")</f>
        <v>https://miland.ru/api/getInfo/image/c28bc6fc-bf21-11ed-a230-00155d82e902</v>
      </c>
      <c r="U5328" s="21"/>
      <c r="V5328" s="21" t="s">
        <v>18994</v>
      </c>
      <c r="W5328" s="21" t="s">
        <v>18995</v>
      </c>
      <c r="X5328" s="21"/>
      <c r="Y5328" s="21" t="s">
        <v>41</v>
      </c>
      <c r="Z5328" s="21"/>
      <c r="AA5328" s="21" t="str">
        <f>HYPERLINK("https://miland.ru/api/getInfo/item/c28bc6fc-bf21-11ed-a230-00155d82e902")</f>
        <v>https://miland.ru/api/getInfo/item/c28bc6fc-bf21-11ed-a230-00155d82e902</v>
      </c>
      <c r="AB5328" s="21" t="s">
        <v>42</v>
      </c>
      <c r="AC5328" s="21"/>
      <c r="AD5328" s="21"/>
    </row>
    <row r="5329" spans="2:31" s="1" customFormat="1" ht="96.3" customHeight="1" outlineLevel="4">
      <c r="B5329" s="57">
        <v>4361</v>
      </c>
      <c r="C5329" s="21" t="s">
        <v>19005</v>
      </c>
      <c r="D5329" s="72" t="s">
        <v>19006</v>
      </c>
      <c r="E5329" s="72"/>
      <c r="F5329" s="72"/>
      <c r="G5329" s="72"/>
      <c r="H5329" s="22" t="s">
        <v>19007</v>
      </c>
      <c r="I5329" s="23" t="s">
        <v>36</v>
      </c>
      <c r="J5329" s="22"/>
      <c r="K5329" s="20">
        <v>1</v>
      </c>
      <c r="L5329" s="32">
        <v>1358.95</v>
      </c>
      <c r="M5329" s="11"/>
      <c r="N5329" s="22">
        <f t="shared" si="291"/>
        <v>0</v>
      </c>
      <c r="O5329" s="25">
        <f>0.939*M5329</f>
        <v>0</v>
      </c>
      <c r="P5329" s="26">
        <f>0.00511*M5329</f>
        <v>0</v>
      </c>
      <c r="Q5329" s="30"/>
      <c r="R5329" s="22" t="s">
        <v>19008</v>
      </c>
      <c r="S5329" s="22"/>
      <c r="T5329" s="21" t="str">
        <f>HYPERLINK("https://miland.ru/api/getInfo/image/5afee689-b436-11ee-a259-00155d82e908")</f>
        <v>https://miland.ru/api/getInfo/image/5afee689-b436-11ee-a259-00155d82e908</v>
      </c>
      <c r="U5329" s="21"/>
      <c r="V5329" s="21" t="s">
        <v>19009</v>
      </c>
      <c r="W5329" s="21" t="s">
        <v>19010</v>
      </c>
      <c r="X5329" s="21"/>
      <c r="Y5329" s="21" t="s">
        <v>41</v>
      </c>
      <c r="Z5329" s="21"/>
      <c r="AA5329" s="21" t="str">
        <f>HYPERLINK("https://miland.ru/api/getInfo/item/5afee689-b436-11ee-a259-00155d82e908")</f>
        <v>https://miland.ru/api/getInfo/item/5afee689-b436-11ee-a259-00155d82e908</v>
      </c>
      <c r="AB5329" s="21" t="s">
        <v>42</v>
      </c>
      <c r="AC5329" s="21" t="s">
        <v>19011</v>
      </c>
      <c r="AD5329" s="21"/>
    </row>
    <row r="5330" spans="2:31" ht="12" customHeight="1" outlineLevel="3">
      <c r="B5330" s="70" t="s">
        <v>19012</v>
      </c>
      <c r="C5330" s="70"/>
      <c r="D5330" s="70"/>
      <c r="E5330" s="70"/>
      <c r="F5330" s="70"/>
      <c r="G5330" s="70"/>
    </row>
    <row r="5331" spans="2:31" ht="12" customHeight="1" outlineLevel="4">
      <c r="B5331" s="70" t="s">
        <v>19013</v>
      </c>
      <c r="C5331" s="70"/>
      <c r="D5331" s="70"/>
      <c r="E5331" s="70"/>
      <c r="F5331" s="70"/>
      <c r="G5331" s="70"/>
    </row>
    <row r="5332" spans="2:31" s="1" customFormat="1" ht="96.3" customHeight="1" outlineLevel="5">
      <c r="B5332" s="59">
        <v>4362</v>
      </c>
      <c r="C5332" s="35" t="s">
        <v>19014</v>
      </c>
      <c r="D5332" s="73" t="s">
        <v>19015</v>
      </c>
      <c r="E5332" s="73"/>
      <c r="F5332" s="73"/>
      <c r="G5332" s="73"/>
      <c r="H5332" s="36" t="s">
        <v>19016</v>
      </c>
      <c r="I5332" s="56" t="s">
        <v>36</v>
      </c>
      <c r="J5332" s="36"/>
      <c r="K5332" s="34">
        <v>6</v>
      </c>
      <c r="L5332" s="41">
        <v>66.706666666666663</v>
      </c>
      <c r="M5332" s="11"/>
      <c r="N5332" s="36">
        <f t="shared" ref="N5332:N5339" si="292">L5332*M5332</f>
        <v>0</v>
      </c>
      <c r="O5332" s="42">
        <f>0.025*M5332</f>
        <v>0</v>
      </c>
      <c r="P5332" s="43">
        <f>0.00022*M5332</f>
        <v>0</v>
      </c>
      <c r="Q5332" s="50"/>
      <c r="R5332" s="36" t="s">
        <v>19017</v>
      </c>
      <c r="S5332" s="36"/>
      <c r="T5332" s="35" t="str">
        <f>HYPERLINK("https://miland.ru/api/getInfo/image/d7e3ee93-0eaf-11ee-a23b-00155d82e902")</f>
        <v>https://miland.ru/api/getInfo/image/d7e3ee93-0eaf-11ee-a23b-00155d82e902</v>
      </c>
      <c r="U5332" s="35"/>
      <c r="V5332" s="35" t="s">
        <v>6429</v>
      </c>
      <c r="W5332" s="35" t="s">
        <v>5671</v>
      </c>
      <c r="X5332" s="35"/>
      <c r="Y5332" s="35" t="s">
        <v>41</v>
      </c>
      <c r="Z5332" s="35"/>
      <c r="AA5332" s="35" t="str">
        <f>HYPERLINK("https://miland.ru/api/getInfo/item/d7e3ee93-0eaf-11ee-a23b-00155d82e902")</f>
        <v>https://miland.ru/api/getInfo/item/d7e3ee93-0eaf-11ee-a23b-00155d82e902</v>
      </c>
      <c r="AB5332" s="35" t="s">
        <v>42</v>
      </c>
      <c r="AC5332" s="35" t="s">
        <v>19018</v>
      </c>
      <c r="AD5332" s="35"/>
      <c r="AE5332" s="52" t="s">
        <v>9152</v>
      </c>
    </row>
    <row r="5333" spans="2:31" s="1" customFormat="1" ht="96.3" customHeight="1" outlineLevel="5">
      <c r="B5333" s="59">
        <v>4363</v>
      </c>
      <c r="C5333" s="35" t="s">
        <v>19019</v>
      </c>
      <c r="D5333" s="73" t="s">
        <v>19020</v>
      </c>
      <c r="E5333" s="73"/>
      <c r="F5333" s="73"/>
      <c r="G5333" s="73"/>
      <c r="H5333" s="36" t="s">
        <v>19021</v>
      </c>
      <c r="I5333" s="40">
        <v>434</v>
      </c>
      <c r="J5333" s="36"/>
      <c r="K5333" s="34">
        <v>6</v>
      </c>
      <c r="L5333" s="41">
        <v>66.706666666666663</v>
      </c>
      <c r="M5333" s="11"/>
      <c r="N5333" s="36">
        <f t="shared" si="292"/>
        <v>0</v>
      </c>
      <c r="O5333" s="42">
        <f>0.023*M5333</f>
        <v>0</v>
      </c>
      <c r="P5333" s="43">
        <f>0.00036*M5333</f>
        <v>0</v>
      </c>
      <c r="Q5333" s="50"/>
      <c r="R5333" s="36" t="s">
        <v>19022</v>
      </c>
      <c r="S5333" s="36"/>
      <c r="T5333" s="35" t="str">
        <f>HYPERLINK("https://miland.ru/api/getInfo/image/3faeed37-0eaf-11ee-a23b-00155d82e902")</f>
        <v>https://miland.ru/api/getInfo/image/3faeed37-0eaf-11ee-a23b-00155d82e902</v>
      </c>
      <c r="U5333" s="35"/>
      <c r="V5333" s="35" t="s">
        <v>6429</v>
      </c>
      <c r="W5333" s="35" t="s">
        <v>5671</v>
      </c>
      <c r="X5333" s="35"/>
      <c r="Y5333" s="35" t="s">
        <v>41</v>
      </c>
      <c r="Z5333" s="35"/>
      <c r="AA5333" s="35" t="str">
        <f>HYPERLINK("https://miland.ru/api/getInfo/item/3faeed37-0eaf-11ee-a23b-00155d82e902")</f>
        <v>https://miland.ru/api/getInfo/item/3faeed37-0eaf-11ee-a23b-00155d82e902</v>
      </c>
      <c r="AB5333" s="35" t="s">
        <v>42</v>
      </c>
      <c r="AC5333" s="35" t="s">
        <v>19023</v>
      </c>
      <c r="AD5333" s="35"/>
      <c r="AE5333" s="52" t="s">
        <v>9152</v>
      </c>
    </row>
    <row r="5334" spans="2:31" s="1" customFormat="1" ht="96.3" customHeight="1" outlineLevel="5">
      <c r="B5334" s="59">
        <v>4364</v>
      </c>
      <c r="C5334" s="35" t="s">
        <v>19024</v>
      </c>
      <c r="D5334" s="73" t="s">
        <v>19025</v>
      </c>
      <c r="E5334" s="73"/>
      <c r="F5334" s="73"/>
      <c r="G5334" s="73"/>
      <c r="H5334" s="36" t="s">
        <v>19026</v>
      </c>
      <c r="I5334" s="40">
        <v>250</v>
      </c>
      <c r="J5334" s="36"/>
      <c r="K5334" s="34">
        <v>6</v>
      </c>
      <c r="L5334" s="41">
        <v>66.706666666666663</v>
      </c>
      <c r="M5334" s="11"/>
      <c r="N5334" s="36">
        <f t="shared" si="292"/>
        <v>0</v>
      </c>
      <c r="O5334" s="42">
        <f>0.025*M5334</f>
        <v>0</v>
      </c>
      <c r="P5334" s="43">
        <f>0.00028*M5334</f>
        <v>0</v>
      </c>
      <c r="Q5334" s="50"/>
      <c r="R5334" s="36" t="s">
        <v>19027</v>
      </c>
      <c r="S5334" s="36"/>
      <c r="T5334" s="35" t="str">
        <f>HYPERLINK("https://miland.ru/api/getInfo/image/c9e4b546-0ead-11ee-a23b-00155d82e902")</f>
        <v>https://miland.ru/api/getInfo/image/c9e4b546-0ead-11ee-a23b-00155d82e902</v>
      </c>
      <c r="U5334" s="35"/>
      <c r="V5334" s="35" t="s">
        <v>6429</v>
      </c>
      <c r="W5334" s="35" t="s">
        <v>5671</v>
      </c>
      <c r="X5334" s="35"/>
      <c r="Y5334" s="35" t="s">
        <v>41</v>
      </c>
      <c r="Z5334" s="35"/>
      <c r="AA5334" s="35" t="str">
        <f>HYPERLINK("https://miland.ru/api/getInfo/item/c9e4b546-0ead-11ee-a23b-00155d82e902")</f>
        <v>https://miland.ru/api/getInfo/item/c9e4b546-0ead-11ee-a23b-00155d82e902</v>
      </c>
      <c r="AB5334" s="35" t="s">
        <v>42</v>
      </c>
      <c r="AC5334" s="35" t="s">
        <v>19028</v>
      </c>
      <c r="AD5334" s="35"/>
      <c r="AE5334" s="52" t="s">
        <v>9152</v>
      </c>
    </row>
    <row r="5335" spans="2:31" s="1" customFormat="1" ht="96.3" customHeight="1" outlineLevel="5">
      <c r="B5335" s="59">
        <v>4365</v>
      </c>
      <c r="C5335" s="35" t="s">
        <v>19029</v>
      </c>
      <c r="D5335" s="73" t="s">
        <v>19030</v>
      </c>
      <c r="E5335" s="73"/>
      <c r="F5335" s="73"/>
      <c r="G5335" s="73"/>
      <c r="H5335" s="36" t="s">
        <v>19031</v>
      </c>
      <c r="I5335" s="56" t="s">
        <v>36</v>
      </c>
      <c r="J5335" s="36"/>
      <c r="K5335" s="34">
        <v>6</v>
      </c>
      <c r="L5335" s="41">
        <v>66.706666666666663</v>
      </c>
      <c r="M5335" s="11"/>
      <c r="N5335" s="36">
        <f t="shared" si="292"/>
        <v>0</v>
      </c>
      <c r="O5335" s="42">
        <f>0.024*M5335</f>
        <v>0</v>
      </c>
      <c r="P5335" s="43">
        <f>0.00015*M5335</f>
        <v>0</v>
      </c>
      <c r="Q5335" s="50"/>
      <c r="R5335" s="36" t="s">
        <v>19032</v>
      </c>
      <c r="S5335" s="36"/>
      <c r="T5335" s="35" t="str">
        <f>HYPERLINK("https://miland.ru/api/getInfo/image/cee89cf4-0eae-11ee-a23b-00155d82e902")</f>
        <v>https://miland.ru/api/getInfo/image/cee89cf4-0eae-11ee-a23b-00155d82e902</v>
      </c>
      <c r="U5335" s="35"/>
      <c r="V5335" s="35" t="s">
        <v>6429</v>
      </c>
      <c r="W5335" s="35" t="s">
        <v>5671</v>
      </c>
      <c r="X5335" s="35"/>
      <c r="Y5335" s="35" t="s">
        <v>41</v>
      </c>
      <c r="Z5335" s="35"/>
      <c r="AA5335" s="35" t="str">
        <f>HYPERLINK("https://miland.ru/api/getInfo/item/cee89cf4-0eae-11ee-a23b-00155d82e902")</f>
        <v>https://miland.ru/api/getInfo/item/cee89cf4-0eae-11ee-a23b-00155d82e902</v>
      </c>
      <c r="AB5335" s="35" t="s">
        <v>42</v>
      </c>
      <c r="AC5335" s="35" t="s">
        <v>19033</v>
      </c>
      <c r="AD5335" s="35"/>
      <c r="AE5335" s="52" t="s">
        <v>9152</v>
      </c>
    </row>
    <row r="5336" spans="2:31" s="1" customFormat="1" ht="96.3" customHeight="1" outlineLevel="5">
      <c r="B5336" s="59">
        <v>4366</v>
      </c>
      <c r="C5336" s="35" t="s">
        <v>19034</v>
      </c>
      <c r="D5336" s="73" t="s">
        <v>19035</v>
      </c>
      <c r="E5336" s="73"/>
      <c r="F5336" s="73"/>
      <c r="G5336" s="73"/>
      <c r="H5336" s="36" t="s">
        <v>19036</v>
      </c>
      <c r="I5336" s="56" t="s">
        <v>36</v>
      </c>
      <c r="J5336" s="36"/>
      <c r="K5336" s="34">
        <v>6</v>
      </c>
      <c r="L5336" s="41">
        <v>66.706666666666663</v>
      </c>
      <c r="M5336" s="11"/>
      <c r="N5336" s="36">
        <f t="shared" si="292"/>
        <v>0</v>
      </c>
      <c r="O5336" s="42">
        <f>0.024*M5336</f>
        <v>0</v>
      </c>
      <c r="P5336" s="43">
        <f>0.00032*M5336</f>
        <v>0</v>
      </c>
      <c r="Q5336" s="50"/>
      <c r="R5336" s="36" t="s">
        <v>19037</v>
      </c>
      <c r="S5336" s="36"/>
      <c r="T5336" s="35" t="str">
        <f>HYPERLINK("https://miland.ru/api/getInfo/image/581929e7-0eae-11ee-a23b-00155d82e902")</f>
        <v>https://miland.ru/api/getInfo/image/581929e7-0eae-11ee-a23b-00155d82e902</v>
      </c>
      <c r="U5336" s="35"/>
      <c r="V5336" s="35" t="s">
        <v>6429</v>
      </c>
      <c r="W5336" s="35" t="s">
        <v>5671</v>
      </c>
      <c r="X5336" s="35"/>
      <c r="Y5336" s="35" t="s">
        <v>41</v>
      </c>
      <c r="Z5336" s="35"/>
      <c r="AA5336" s="35" t="str">
        <f>HYPERLINK("https://miland.ru/api/getInfo/item/581929e7-0eae-11ee-a23b-00155d82e902")</f>
        <v>https://miland.ru/api/getInfo/item/581929e7-0eae-11ee-a23b-00155d82e902</v>
      </c>
      <c r="AB5336" s="35" t="s">
        <v>42</v>
      </c>
      <c r="AC5336" s="35" t="s">
        <v>19038</v>
      </c>
      <c r="AD5336" s="35"/>
      <c r="AE5336" s="52" t="s">
        <v>9152</v>
      </c>
    </row>
    <row r="5337" spans="2:31" s="1" customFormat="1" ht="96.3" customHeight="1" outlineLevel="5">
      <c r="B5337" s="59">
        <v>4367</v>
      </c>
      <c r="C5337" s="35" t="s">
        <v>19039</v>
      </c>
      <c r="D5337" s="73" t="s">
        <v>19040</v>
      </c>
      <c r="E5337" s="73"/>
      <c r="F5337" s="73"/>
      <c r="G5337" s="73"/>
      <c r="H5337" s="36" t="s">
        <v>19041</v>
      </c>
      <c r="I5337" s="56" t="s">
        <v>36</v>
      </c>
      <c r="J5337" s="36"/>
      <c r="K5337" s="34">
        <v>6</v>
      </c>
      <c r="L5337" s="41">
        <v>66.706666666666663</v>
      </c>
      <c r="M5337" s="11"/>
      <c r="N5337" s="36">
        <f t="shared" si="292"/>
        <v>0</v>
      </c>
      <c r="O5337" s="42">
        <f>0.024*M5337</f>
        <v>0</v>
      </c>
      <c r="P5337" s="43">
        <f>0.00029*M5337</f>
        <v>0</v>
      </c>
      <c r="Q5337" s="50"/>
      <c r="R5337" s="36" t="s">
        <v>19042</v>
      </c>
      <c r="S5337" s="36"/>
      <c r="T5337" s="35" t="str">
        <f>HYPERLINK("https://miland.ru/api/getInfo/image/0edc52a0-0eac-11ee-a23b-00155d82e902")</f>
        <v>https://miland.ru/api/getInfo/image/0edc52a0-0eac-11ee-a23b-00155d82e902</v>
      </c>
      <c r="U5337" s="35"/>
      <c r="V5337" s="35" t="s">
        <v>6429</v>
      </c>
      <c r="W5337" s="35" t="s">
        <v>5671</v>
      </c>
      <c r="X5337" s="35"/>
      <c r="Y5337" s="35" t="s">
        <v>41</v>
      </c>
      <c r="Z5337" s="35"/>
      <c r="AA5337" s="35" t="str">
        <f>HYPERLINK("https://miland.ru/api/getInfo/item/0edc52a0-0eac-11ee-a23b-00155d82e902")</f>
        <v>https://miland.ru/api/getInfo/item/0edc52a0-0eac-11ee-a23b-00155d82e902</v>
      </c>
      <c r="AB5337" s="35" t="s">
        <v>42</v>
      </c>
      <c r="AC5337" s="35" t="s">
        <v>19043</v>
      </c>
      <c r="AD5337" s="35"/>
      <c r="AE5337" s="52" t="s">
        <v>9152</v>
      </c>
    </row>
    <row r="5338" spans="2:31" s="1" customFormat="1" ht="96.3" customHeight="1" outlineLevel="5">
      <c r="B5338" s="59">
        <v>4368</v>
      </c>
      <c r="C5338" s="35" t="s">
        <v>19044</v>
      </c>
      <c r="D5338" s="73" t="s">
        <v>19045</v>
      </c>
      <c r="E5338" s="73"/>
      <c r="F5338" s="73"/>
      <c r="G5338" s="73"/>
      <c r="H5338" s="36" t="s">
        <v>19046</v>
      </c>
      <c r="I5338" s="40">
        <v>27</v>
      </c>
      <c r="J5338" s="36"/>
      <c r="K5338" s="34">
        <v>6</v>
      </c>
      <c r="L5338" s="41">
        <v>66.706666666666663</v>
      </c>
      <c r="M5338" s="11"/>
      <c r="N5338" s="36">
        <f t="shared" si="292"/>
        <v>0</v>
      </c>
      <c r="O5338" s="42">
        <f>0.022*M5338</f>
        <v>0</v>
      </c>
      <c r="P5338" s="43">
        <f>0.00028*M5338</f>
        <v>0</v>
      </c>
      <c r="Q5338" s="50"/>
      <c r="R5338" s="36" t="s">
        <v>19047</v>
      </c>
      <c r="S5338" s="36"/>
      <c r="T5338" s="35" t="str">
        <f>HYPERLINK("https://miland.ru/api/getInfo/image/e7bafe46-0eaa-11ee-a23b-00155d82e902")</f>
        <v>https://miland.ru/api/getInfo/image/e7bafe46-0eaa-11ee-a23b-00155d82e902</v>
      </c>
      <c r="U5338" s="35"/>
      <c r="V5338" s="35" t="s">
        <v>6429</v>
      </c>
      <c r="W5338" s="35" t="s">
        <v>5671</v>
      </c>
      <c r="X5338" s="35"/>
      <c r="Y5338" s="35" t="s">
        <v>41</v>
      </c>
      <c r="Z5338" s="35"/>
      <c r="AA5338" s="35" t="str">
        <f>HYPERLINK("https://miland.ru/api/getInfo/item/e7bafe46-0eaa-11ee-a23b-00155d82e902")</f>
        <v>https://miland.ru/api/getInfo/item/e7bafe46-0eaa-11ee-a23b-00155d82e902</v>
      </c>
      <c r="AB5338" s="35" t="s">
        <v>42</v>
      </c>
      <c r="AC5338" s="35" t="s">
        <v>19048</v>
      </c>
      <c r="AD5338" s="35"/>
      <c r="AE5338" s="52" t="s">
        <v>9152</v>
      </c>
    </row>
    <row r="5339" spans="2:31" s="1" customFormat="1" ht="96.3" customHeight="1" outlineLevel="5">
      <c r="B5339" s="59">
        <v>4369</v>
      </c>
      <c r="C5339" s="35" t="s">
        <v>19049</v>
      </c>
      <c r="D5339" s="73" t="s">
        <v>19050</v>
      </c>
      <c r="E5339" s="73"/>
      <c r="F5339" s="73"/>
      <c r="G5339" s="73"/>
      <c r="H5339" s="36" t="s">
        <v>19051</v>
      </c>
      <c r="I5339" s="40">
        <v>435</v>
      </c>
      <c r="J5339" s="36"/>
      <c r="K5339" s="34">
        <v>6</v>
      </c>
      <c r="L5339" s="41">
        <v>66.706666666666663</v>
      </c>
      <c r="M5339" s="11"/>
      <c r="N5339" s="36">
        <f t="shared" si="292"/>
        <v>0</v>
      </c>
      <c r="O5339" s="42">
        <f>0.023*M5339</f>
        <v>0</v>
      </c>
      <c r="P5339" s="43">
        <f>0.00028*M5339</f>
        <v>0</v>
      </c>
      <c r="Q5339" s="50"/>
      <c r="R5339" s="36" t="s">
        <v>19052</v>
      </c>
      <c r="S5339" s="36"/>
      <c r="T5339" s="35" t="str">
        <f>HYPERLINK("https://miland.ru/api/getInfo/image/3237a183-0ead-11ee-a23b-00155d82e902")</f>
        <v>https://miland.ru/api/getInfo/image/3237a183-0ead-11ee-a23b-00155d82e902</v>
      </c>
      <c r="U5339" s="35"/>
      <c r="V5339" s="35" t="s">
        <v>6429</v>
      </c>
      <c r="W5339" s="35" t="s">
        <v>5671</v>
      </c>
      <c r="X5339" s="35"/>
      <c r="Y5339" s="35" t="s">
        <v>41</v>
      </c>
      <c r="Z5339" s="35"/>
      <c r="AA5339" s="35" t="str">
        <f>HYPERLINK("https://miland.ru/api/getInfo/item/3237a183-0ead-11ee-a23b-00155d82e902")</f>
        <v>https://miland.ru/api/getInfo/item/3237a183-0ead-11ee-a23b-00155d82e902</v>
      </c>
      <c r="AB5339" s="35" t="s">
        <v>42</v>
      </c>
      <c r="AC5339" s="35" t="s">
        <v>19053</v>
      </c>
      <c r="AD5339" s="35"/>
      <c r="AE5339" s="52" t="s">
        <v>9152</v>
      </c>
    </row>
    <row r="5340" spans="2:31" ht="12" customHeight="1" outlineLevel="4">
      <c r="B5340" s="70" t="s">
        <v>19054</v>
      </c>
      <c r="C5340" s="70"/>
      <c r="D5340" s="70"/>
      <c r="E5340" s="70"/>
      <c r="F5340" s="70"/>
      <c r="G5340" s="70"/>
    </row>
    <row r="5341" spans="2:31" s="1" customFormat="1" ht="96.3" customHeight="1" outlineLevel="5">
      <c r="B5341" s="59">
        <v>4370</v>
      </c>
      <c r="C5341" s="35" t="s">
        <v>19055</v>
      </c>
      <c r="D5341" s="73" t="s">
        <v>19056</v>
      </c>
      <c r="E5341" s="73"/>
      <c r="F5341" s="73"/>
      <c r="G5341" s="73"/>
      <c r="H5341" s="36" t="s">
        <v>19057</v>
      </c>
      <c r="I5341" s="40">
        <v>499</v>
      </c>
      <c r="J5341" s="36"/>
      <c r="K5341" s="34">
        <v>2</v>
      </c>
      <c r="L5341" s="41">
        <v>249.30666666666664</v>
      </c>
      <c r="M5341" s="11"/>
      <c r="N5341" s="36">
        <f t="shared" ref="N5341:N5350" si="293">L5341*M5341</f>
        <v>0</v>
      </c>
      <c r="O5341" s="42">
        <f>0.076*M5341</f>
        <v>0</v>
      </c>
      <c r="P5341" s="43">
        <f>0.00107*M5341</f>
        <v>0</v>
      </c>
      <c r="Q5341" s="50"/>
      <c r="R5341" s="36" t="s">
        <v>19058</v>
      </c>
      <c r="S5341" s="36"/>
      <c r="T5341" s="35" t="str">
        <f>HYPERLINK("https://miland.ru/api/getInfo/image/c986e041-0eac-11ee-a23b-00155d82e902")</f>
        <v>https://miland.ru/api/getInfo/image/c986e041-0eac-11ee-a23b-00155d82e902</v>
      </c>
      <c r="U5341" s="35"/>
      <c r="V5341" s="35" t="s">
        <v>6429</v>
      </c>
      <c r="W5341" s="35" t="s">
        <v>5671</v>
      </c>
      <c r="X5341" s="35"/>
      <c r="Y5341" s="35" t="s">
        <v>41</v>
      </c>
      <c r="Z5341" s="35"/>
      <c r="AA5341" s="35" t="str">
        <f>HYPERLINK("https://miland.ru/api/getInfo/item/c986e041-0eac-11ee-a23b-00155d82e902")</f>
        <v>https://miland.ru/api/getInfo/item/c986e041-0eac-11ee-a23b-00155d82e902</v>
      </c>
      <c r="AB5341" s="35" t="s">
        <v>42</v>
      </c>
      <c r="AC5341" s="35" t="s">
        <v>19018</v>
      </c>
      <c r="AD5341" s="35"/>
      <c r="AE5341" s="52" t="s">
        <v>9152</v>
      </c>
    </row>
    <row r="5342" spans="2:31" s="1" customFormat="1" ht="96.3" customHeight="1" outlineLevel="5">
      <c r="B5342" s="59">
        <v>4371</v>
      </c>
      <c r="C5342" s="35" t="s">
        <v>19059</v>
      </c>
      <c r="D5342" s="73" t="s">
        <v>19060</v>
      </c>
      <c r="E5342" s="73"/>
      <c r="F5342" s="73"/>
      <c r="G5342" s="73"/>
      <c r="H5342" s="36" t="s">
        <v>19061</v>
      </c>
      <c r="I5342" s="56" t="s">
        <v>36</v>
      </c>
      <c r="J5342" s="36"/>
      <c r="K5342" s="34">
        <v>2</v>
      </c>
      <c r="L5342" s="41">
        <v>249.30666666666664</v>
      </c>
      <c r="M5342" s="11"/>
      <c r="N5342" s="36">
        <f t="shared" si="293"/>
        <v>0</v>
      </c>
      <c r="O5342" s="42">
        <f>0.078*M5342</f>
        <v>0</v>
      </c>
      <c r="P5342" s="43">
        <f>0.00065*M5342</f>
        <v>0</v>
      </c>
      <c r="Q5342" s="50"/>
      <c r="R5342" s="36" t="s">
        <v>19062</v>
      </c>
      <c r="S5342" s="36"/>
      <c r="T5342" s="35" t="str">
        <f>HYPERLINK("https://miland.ru/api/getInfo/image/13e090ed-0eb0-11ee-a23b-00155d82e902")</f>
        <v>https://miland.ru/api/getInfo/image/13e090ed-0eb0-11ee-a23b-00155d82e902</v>
      </c>
      <c r="U5342" s="35"/>
      <c r="V5342" s="35" t="s">
        <v>6429</v>
      </c>
      <c r="W5342" s="35" t="s">
        <v>5671</v>
      </c>
      <c r="X5342" s="35"/>
      <c r="Y5342" s="35" t="s">
        <v>41</v>
      </c>
      <c r="Z5342" s="35"/>
      <c r="AA5342" s="35" t="str">
        <f>HYPERLINK("https://miland.ru/api/getInfo/item/13e090ed-0eb0-11ee-a23b-00155d82e902")</f>
        <v>https://miland.ru/api/getInfo/item/13e090ed-0eb0-11ee-a23b-00155d82e902</v>
      </c>
      <c r="AB5342" s="35" t="s">
        <v>42</v>
      </c>
      <c r="AC5342" s="35" t="s">
        <v>19018</v>
      </c>
      <c r="AD5342" s="35"/>
      <c r="AE5342" s="52" t="s">
        <v>9152</v>
      </c>
    </row>
    <row r="5343" spans="2:31" s="1" customFormat="1" ht="96.3" customHeight="1" outlineLevel="5">
      <c r="B5343" s="57">
        <v>4372</v>
      </c>
      <c r="C5343" s="21" t="s">
        <v>19063</v>
      </c>
      <c r="D5343" s="72" t="s">
        <v>19064</v>
      </c>
      <c r="E5343" s="72"/>
      <c r="F5343" s="72"/>
      <c r="G5343" s="72"/>
      <c r="H5343" s="22" t="s">
        <v>19065</v>
      </c>
      <c r="I5343" s="27">
        <v>95</v>
      </c>
      <c r="J5343" s="22"/>
      <c r="K5343" s="20">
        <v>2</v>
      </c>
      <c r="L5343" s="24">
        <v>311.64</v>
      </c>
      <c r="M5343" s="11"/>
      <c r="N5343" s="22">
        <f t="shared" si="293"/>
        <v>0</v>
      </c>
      <c r="O5343" s="25">
        <f>0.075*M5343</f>
        <v>0</v>
      </c>
      <c r="P5343" s="26">
        <f>0.00043*M5343</f>
        <v>0</v>
      </c>
      <c r="Q5343" s="30"/>
      <c r="R5343" s="22" t="s">
        <v>19066</v>
      </c>
      <c r="S5343" s="22" t="s">
        <v>435</v>
      </c>
      <c r="T5343" s="21" t="str">
        <f>HYPERLINK("https://miland.ru/api/getInfo/image/94bb7359-0eaf-11ee-a23b-00155d82e902")</f>
        <v>https://miland.ru/api/getInfo/image/94bb7359-0eaf-11ee-a23b-00155d82e902</v>
      </c>
      <c r="U5343" s="21"/>
      <c r="V5343" s="21" t="s">
        <v>6429</v>
      </c>
      <c r="W5343" s="21" t="s">
        <v>5671</v>
      </c>
      <c r="X5343" s="21"/>
      <c r="Y5343" s="21" t="s">
        <v>41</v>
      </c>
      <c r="Z5343" s="21"/>
      <c r="AA5343" s="21" t="str">
        <f>HYPERLINK("https://miland.ru/api/getInfo/item/94bb7359-0eaf-11ee-a23b-00155d82e902")</f>
        <v>https://miland.ru/api/getInfo/item/94bb7359-0eaf-11ee-a23b-00155d82e902</v>
      </c>
      <c r="AB5343" s="21" t="s">
        <v>42</v>
      </c>
      <c r="AC5343" s="21" t="s">
        <v>19023</v>
      </c>
      <c r="AD5343" s="21"/>
    </row>
    <row r="5344" spans="2:31" s="1" customFormat="1" ht="96.3" customHeight="1" outlineLevel="5">
      <c r="B5344" s="57">
        <v>4373</v>
      </c>
      <c r="C5344" s="21" t="s">
        <v>19067</v>
      </c>
      <c r="D5344" s="72" t="s">
        <v>19068</v>
      </c>
      <c r="E5344" s="72"/>
      <c r="F5344" s="72"/>
      <c r="G5344" s="72"/>
      <c r="H5344" s="22" t="s">
        <v>19069</v>
      </c>
      <c r="I5344" s="27">
        <v>202</v>
      </c>
      <c r="J5344" s="22"/>
      <c r="K5344" s="20">
        <v>2</v>
      </c>
      <c r="L5344" s="24">
        <v>311.64</v>
      </c>
      <c r="M5344" s="11"/>
      <c r="N5344" s="22">
        <f t="shared" si="293"/>
        <v>0</v>
      </c>
      <c r="O5344" s="25">
        <f>0.074*M5344</f>
        <v>0</v>
      </c>
      <c r="P5344" s="26">
        <f>0.00066*M5344</f>
        <v>0</v>
      </c>
      <c r="Q5344" s="30"/>
      <c r="R5344" s="22" t="s">
        <v>19070</v>
      </c>
      <c r="S5344" s="22" t="s">
        <v>435</v>
      </c>
      <c r="T5344" s="21" t="str">
        <f>HYPERLINK("https://miland.ru/api/getInfo/image/1888e80a-0eae-11ee-a23b-00155d82e902")</f>
        <v>https://miland.ru/api/getInfo/image/1888e80a-0eae-11ee-a23b-00155d82e902</v>
      </c>
      <c r="U5344" s="21"/>
      <c r="V5344" s="21" t="s">
        <v>6429</v>
      </c>
      <c r="W5344" s="21" t="s">
        <v>5671</v>
      </c>
      <c r="X5344" s="21"/>
      <c r="Y5344" s="21" t="s">
        <v>41</v>
      </c>
      <c r="Z5344" s="21"/>
      <c r="AA5344" s="21" t="str">
        <f>HYPERLINK("https://miland.ru/api/getInfo/item/1888e80a-0eae-11ee-a23b-00155d82e902")</f>
        <v>https://miland.ru/api/getInfo/item/1888e80a-0eae-11ee-a23b-00155d82e902</v>
      </c>
      <c r="AB5344" s="21" t="s">
        <v>42</v>
      </c>
      <c r="AC5344" s="21" t="s">
        <v>19071</v>
      </c>
      <c r="AD5344" s="21"/>
    </row>
    <row r="5345" spans="2:31" s="1" customFormat="1" ht="96.3" customHeight="1" outlineLevel="5">
      <c r="B5345" s="59">
        <v>4374</v>
      </c>
      <c r="C5345" s="35" t="s">
        <v>19072</v>
      </c>
      <c r="D5345" s="73" t="s">
        <v>19073</v>
      </c>
      <c r="E5345" s="73"/>
      <c r="F5345" s="73"/>
      <c r="G5345" s="73"/>
      <c r="H5345" s="36" t="s">
        <v>19074</v>
      </c>
      <c r="I5345" s="40">
        <v>499</v>
      </c>
      <c r="J5345" s="36"/>
      <c r="K5345" s="34">
        <v>2</v>
      </c>
      <c r="L5345" s="41">
        <v>249.30666666666664</v>
      </c>
      <c r="M5345" s="11"/>
      <c r="N5345" s="36">
        <f t="shared" si="293"/>
        <v>0</v>
      </c>
      <c r="O5345" s="42">
        <f>0.075*M5345</f>
        <v>0</v>
      </c>
      <c r="P5345" s="43">
        <f>0.00082*M5345</f>
        <v>0</v>
      </c>
      <c r="Q5345" s="50"/>
      <c r="R5345" s="36" t="s">
        <v>19075</v>
      </c>
      <c r="S5345" s="36"/>
      <c r="T5345" s="35" t="str">
        <f>HYPERLINK("https://miland.ru/api/getInfo/image/88f487b5-0eb0-11ee-a23b-00155d82e902")</f>
        <v>https://miland.ru/api/getInfo/image/88f487b5-0eb0-11ee-a23b-00155d82e902</v>
      </c>
      <c r="U5345" s="35"/>
      <c r="V5345" s="35" t="s">
        <v>6429</v>
      </c>
      <c r="W5345" s="35" t="s">
        <v>5671</v>
      </c>
      <c r="X5345" s="35"/>
      <c r="Y5345" s="35" t="s">
        <v>41</v>
      </c>
      <c r="Z5345" s="35"/>
      <c r="AA5345" s="35" t="str">
        <f>HYPERLINK("https://miland.ru/api/getInfo/item/88f487b5-0eb0-11ee-a23b-00155d82e902")</f>
        <v>https://miland.ru/api/getInfo/item/88f487b5-0eb0-11ee-a23b-00155d82e902</v>
      </c>
      <c r="AB5345" s="35" t="s">
        <v>42</v>
      </c>
      <c r="AC5345" s="35" t="s">
        <v>19018</v>
      </c>
      <c r="AD5345" s="35"/>
      <c r="AE5345" s="52" t="s">
        <v>9152</v>
      </c>
    </row>
    <row r="5346" spans="2:31" s="1" customFormat="1" ht="96.3" customHeight="1" outlineLevel="5">
      <c r="B5346" s="59">
        <v>4375</v>
      </c>
      <c r="C5346" s="35" t="s">
        <v>19076</v>
      </c>
      <c r="D5346" s="73" t="s">
        <v>19077</v>
      </c>
      <c r="E5346" s="73"/>
      <c r="F5346" s="73"/>
      <c r="G5346" s="73"/>
      <c r="H5346" s="36" t="s">
        <v>19078</v>
      </c>
      <c r="I5346" s="40">
        <v>281</v>
      </c>
      <c r="J5346" s="36"/>
      <c r="K5346" s="34">
        <v>2</v>
      </c>
      <c r="L5346" s="41">
        <v>249.30666666666664</v>
      </c>
      <c r="M5346" s="11"/>
      <c r="N5346" s="36">
        <f t="shared" si="293"/>
        <v>0</v>
      </c>
      <c r="O5346" s="42">
        <f>0.074*M5346</f>
        <v>0</v>
      </c>
      <c r="P5346" s="43">
        <f>0.00058*M5346</f>
        <v>0</v>
      </c>
      <c r="Q5346" s="50"/>
      <c r="R5346" s="36" t="s">
        <v>19079</v>
      </c>
      <c r="S5346" s="36"/>
      <c r="T5346" s="35" t="str">
        <f>HYPERLINK("https://miland.ru/api/getInfo/image/079ba6a3-0eaf-11ee-a23b-00155d82e902")</f>
        <v>https://miland.ru/api/getInfo/image/079ba6a3-0eaf-11ee-a23b-00155d82e902</v>
      </c>
      <c r="U5346" s="35"/>
      <c r="V5346" s="35" t="s">
        <v>6429</v>
      </c>
      <c r="W5346" s="35" t="s">
        <v>5671</v>
      </c>
      <c r="X5346" s="35"/>
      <c r="Y5346" s="35" t="s">
        <v>41</v>
      </c>
      <c r="Z5346" s="35"/>
      <c r="AA5346" s="35" t="str">
        <f>HYPERLINK("https://miland.ru/api/getInfo/item/079ba6a3-0eaf-11ee-a23b-00155d82e902")</f>
        <v>https://miland.ru/api/getInfo/item/079ba6a3-0eaf-11ee-a23b-00155d82e902</v>
      </c>
      <c r="AB5346" s="35" t="s">
        <v>42</v>
      </c>
      <c r="AC5346" s="35" t="s">
        <v>19080</v>
      </c>
      <c r="AD5346" s="35"/>
      <c r="AE5346" s="52" t="s">
        <v>9152</v>
      </c>
    </row>
    <row r="5347" spans="2:31" s="1" customFormat="1" ht="96.3" customHeight="1" outlineLevel="5">
      <c r="B5347" s="57">
        <v>4376</v>
      </c>
      <c r="C5347" s="21" t="s">
        <v>19081</v>
      </c>
      <c r="D5347" s="72" t="s">
        <v>19082</v>
      </c>
      <c r="E5347" s="72"/>
      <c r="F5347" s="72"/>
      <c r="G5347" s="72"/>
      <c r="H5347" s="22" t="s">
        <v>19083</v>
      </c>
      <c r="I5347" s="27">
        <v>88</v>
      </c>
      <c r="J5347" s="22"/>
      <c r="K5347" s="20">
        <v>2</v>
      </c>
      <c r="L5347" s="24">
        <v>311.64</v>
      </c>
      <c r="M5347" s="11"/>
      <c r="N5347" s="22">
        <f t="shared" si="293"/>
        <v>0</v>
      </c>
      <c r="O5347" s="25">
        <f>0.082*M5347</f>
        <v>0</v>
      </c>
      <c r="P5347" s="26">
        <f>0.00104*M5347</f>
        <v>0</v>
      </c>
      <c r="Q5347" s="30"/>
      <c r="R5347" s="22" t="s">
        <v>19084</v>
      </c>
      <c r="S5347" s="22" t="s">
        <v>435</v>
      </c>
      <c r="T5347" s="21" t="str">
        <f>HYPERLINK("https://miland.ru/api/getInfo/image/966ebe6d-0eae-11ee-a23b-00155d82e902")</f>
        <v>https://miland.ru/api/getInfo/image/966ebe6d-0eae-11ee-a23b-00155d82e902</v>
      </c>
      <c r="U5347" s="21"/>
      <c r="V5347" s="21" t="s">
        <v>6429</v>
      </c>
      <c r="W5347" s="21" t="s">
        <v>5671</v>
      </c>
      <c r="X5347" s="21"/>
      <c r="Y5347" s="21" t="s">
        <v>41</v>
      </c>
      <c r="Z5347" s="21"/>
      <c r="AA5347" s="21" t="str">
        <f>HYPERLINK("https://miland.ru/api/getInfo/item/966ebe6d-0eae-11ee-a23b-00155d82e902")</f>
        <v>https://miland.ru/api/getInfo/item/966ebe6d-0eae-11ee-a23b-00155d82e902</v>
      </c>
      <c r="AB5347" s="21" t="s">
        <v>42</v>
      </c>
      <c r="AC5347" s="21" t="s">
        <v>19085</v>
      </c>
      <c r="AD5347" s="21"/>
    </row>
    <row r="5348" spans="2:31" s="1" customFormat="1" ht="96.3" customHeight="1" outlineLevel="5">
      <c r="B5348" s="57">
        <v>4377</v>
      </c>
      <c r="C5348" s="21" t="s">
        <v>19086</v>
      </c>
      <c r="D5348" s="72" t="s">
        <v>19087</v>
      </c>
      <c r="E5348" s="72"/>
      <c r="F5348" s="72"/>
      <c r="G5348" s="72"/>
      <c r="H5348" s="22" t="s">
        <v>19088</v>
      </c>
      <c r="I5348" s="27">
        <v>455</v>
      </c>
      <c r="J5348" s="22"/>
      <c r="K5348" s="20">
        <v>2</v>
      </c>
      <c r="L5348" s="24">
        <v>311.64</v>
      </c>
      <c r="M5348" s="11"/>
      <c r="N5348" s="22">
        <f t="shared" si="293"/>
        <v>0</v>
      </c>
      <c r="O5348" s="25">
        <f>0.077*M5348</f>
        <v>0</v>
      </c>
      <c r="P5348" s="26">
        <f>0.00106*M5348</f>
        <v>0</v>
      </c>
      <c r="Q5348" s="30"/>
      <c r="R5348" s="22" t="s">
        <v>19089</v>
      </c>
      <c r="S5348" s="22" t="s">
        <v>435</v>
      </c>
      <c r="T5348" s="21" t="str">
        <f>HYPERLINK("https://miland.ru/api/getInfo/image/57b5aa74-0eac-11ee-a23b-00155d82e902")</f>
        <v>https://miland.ru/api/getInfo/image/57b5aa74-0eac-11ee-a23b-00155d82e902</v>
      </c>
      <c r="U5348" s="21"/>
      <c r="V5348" s="21" t="s">
        <v>6429</v>
      </c>
      <c r="W5348" s="21" t="s">
        <v>5671</v>
      </c>
      <c r="X5348" s="21"/>
      <c r="Y5348" s="21" t="s">
        <v>41</v>
      </c>
      <c r="Z5348" s="21"/>
      <c r="AA5348" s="21" t="str">
        <f>HYPERLINK("https://miland.ru/api/getInfo/item/57b5aa74-0eac-11ee-a23b-00155d82e902")</f>
        <v>https://miland.ru/api/getInfo/item/57b5aa74-0eac-11ee-a23b-00155d82e902</v>
      </c>
      <c r="AB5348" s="21" t="s">
        <v>42</v>
      </c>
      <c r="AC5348" s="21" t="s">
        <v>19043</v>
      </c>
      <c r="AD5348" s="21"/>
    </row>
    <row r="5349" spans="2:31" s="1" customFormat="1" ht="96.3" customHeight="1" outlineLevel="5">
      <c r="B5349" s="57">
        <v>4378</v>
      </c>
      <c r="C5349" s="21" t="s">
        <v>19090</v>
      </c>
      <c r="D5349" s="72" t="s">
        <v>19091</v>
      </c>
      <c r="E5349" s="72"/>
      <c r="F5349" s="72"/>
      <c r="G5349" s="72"/>
      <c r="H5349" s="22" t="s">
        <v>19092</v>
      </c>
      <c r="I5349" s="27">
        <v>66</v>
      </c>
      <c r="J5349" s="22"/>
      <c r="K5349" s="20">
        <v>2</v>
      </c>
      <c r="L5349" s="24">
        <v>311.64</v>
      </c>
      <c r="M5349" s="11"/>
      <c r="N5349" s="22">
        <f t="shared" si="293"/>
        <v>0</v>
      </c>
      <c r="O5349" s="25">
        <f>0.074*M5349</f>
        <v>0</v>
      </c>
      <c r="P5349" s="26">
        <f>0.00076*M5349</f>
        <v>0</v>
      </c>
      <c r="Q5349" s="30"/>
      <c r="R5349" s="22" t="s">
        <v>19093</v>
      </c>
      <c r="S5349" s="22" t="s">
        <v>435</v>
      </c>
      <c r="T5349" s="21" t="str">
        <f>HYPERLINK("https://miland.ru/api/getInfo/image/ceffc023-0eab-11ee-a23b-00155d82e902")</f>
        <v>https://miland.ru/api/getInfo/image/ceffc023-0eab-11ee-a23b-00155d82e902</v>
      </c>
      <c r="U5349" s="21"/>
      <c r="V5349" s="21" t="s">
        <v>6429</v>
      </c>
      <c r="W5349" s="21" t="s">
        <v>5671</v>
      </c>
      <c r="X5349" s="21"/>
      <c r="Y5349" s="21" t="s">
        <v>41</v>
      </c>
      <c r="Z5349" s="21"/>
      <c r="AA5349" s="21" t="str">
        <f>HYPERLINK("https://miland.ru/api/getInfo/item/ceffc023-0eab-11ee-a23b-00155d82e902")</f>
        <v>https://miland.ru/api/getInfo/item/ceffc023-0eab-11ee-a23b-00155d82e902</v>
      </c>
      <c r="AB5349" s="21" t="s">
        <v>42</v>
      </c>
      <c r="AC5349" s="21" t="s">
        <v>19094</v>
      </c>
      <c r="AD5349" s="21"/>
    </row>
    <row r="5350" spans="2:31" s="1" customFormat="1" ht="96.3" customHeight="1" outlineLevel="5">
      <c r="B5350" s="57">
        <v>4379</v>
      </c>
      <c r="C5350" s="21" t="s">
        <v>19095</v>
      </c>
      <c r="D5350" s="72" t="s">
        <v>19096</v>
      </c>
      <c r="E5350" s="72"/>
      <c r="F5350" s="72"/>
      <c r="G5350" s="72"/>
      <c r="H5350" s="22" t="s">
        <v>19097</v>
      </c>
      <c r="I5350" s="27">
        <v>242</v>
      </c>
      <c r="J5350" s="22"/>
      <c r="K5350" s="20">
        <v>2</v>
      </c>
      <c r="L5350" s="24">
        <v>311.64</v>
      </c>
      <c r="M5350" s="11"/>
      <c r="N5350" s="22">
        <f t="shared" si="293"/>
        <v>0</v>
      </c>
      <c r="O5350" s="25">
        <f>0.069*M5350</f>
        <v>0</v>
      </c>
      <c r="P5350" s="26">
        <f>0.00091*M5350</f>
        <v>0</v>
      </c>
      <c r="Q5350" s="30"/>
      <c r="R5350" s="22" t="s">
        <v>19098</v>
      </c>
      <c r="S5350" s="22" t="s">
        <v>435</v>
      </c>
      <c r="T5350" s="21" t="str">
        <f>HYPERLINK("https://miland.ru/api/getInfo/image/92549194-0ead-11ee-a23b-00155d82e902")</f>
        <v>https://miland.ru/api/getInfo/image/92549194-0ead-11ee-a23b-00155d82e902</v>
      </c>
      <c r="U5350" s="21"/>
      <c r="V5350" s="21" t="s">
        <v>6429</v>
      </c>
      <c r="W5350" s="21" t="s">
        <v>5671</v>
      </c>
      <c r="X5350" s="21"/>
      <c r="Y5350" s="21" t="s">
        <v>41</v>
      </c>
      <c r="Z5350" s="21"/>
      <c r="AA5350" s="21" t="str">
        <f>HYPERLINK("https://miland.ru/api/getInfo/item/92549194-0ead-11ee-a23b-00155d82e902")</f>
        <v>https://miland.ru/api/getInfo/item/92549194-0ead-11ee-a23b-00155d82e902</v>
      </c>
      <c r="AB5350" s="21" t="s">
        <v>42</v>
      </c>
      <c r="AC5350" s="21" t="s">
        <v>19099</v>
      </c>
      <c r="AD5350" s="21"/>
    </row>
    <row r="5351" spans="2:31" ht="12" customHeight="1" outlineLevel="4">
      <c r="B5351" s="70" t="s">
        <v>19100</v>
      </c>
      <c r="C5351" s="70"/>
      <c r="D5351" s="70"/>
      <c r="E5351" s="70"/>
      <c r="F5351" s="70"/>
      <c r="G5351" s="70"/>
    </row>
    <row r="5352" spans="2:31" s="1" customFormat="1" ht="96.3" customHeight="1" outlineLevel="5">
      <c r="B5352" s="57">
        <v>4380</v>
      </c>
      <c r="C5352" s="21" t="s">
        <v>19101</v>
      </c>
      <c r="D5352" s="72" t="s">
        <v>19102</v>
      </c>
      <c r="E5352" s="72"/>
      <c r="F5352" s="72"/>
      <c r="G5352" s="72"/>
      <c r="H5352" s="22" t="s">
        <v>19103</v>
      </c>
      <c r="I5352" s="23" t="s">
        <v>36</v>
      </c>
      <c r="J5352" s="22"/>
      <c r="K5352" s="20">
        <v>5</v>
      </c>
      <c r="L5352" s="24">
        <v>138.27000000000001</v>
      </c>
      <c r="M5352" s="11"/>
      <c r="N5352" s="22">
        <f>L5352*M5352</f>
        <v>0</v>
      </c>
      <c r="O5352" s="28">
        <f>0.11*M5352</f>
        <v>0</v>
      </c>
      <c r="P5352" s="26">
        <f>0.00083*M5352</f>
        <v>0</v>
      </c>
      <c r="Q5352" s="30"/>
      <c r="R5352" s="22" t="s">
        <v>19104</v>
      </c>
      <c r="S5352" s="22"/>
      <c r="T5352" s="21"/>
      <c r="U5352" s="21"/>
      <c r="V5352" s="21" t="s">
        <v>6429</v>
      </c>
      <c r="W5352" s="21" t="s">
        <v>5671</v>
      </c>
      <c r="X5352" s="21"/>
      <c r="Y5352" s="21" t="s">
        <v>41</v>
      </c>
      <c r="Z5352" s="21"/>
      <c r="AA5352" s="21"/>
      <c r="AB5352" s="21" t="s">
        <v>42</v>
      </c>
      <c r="AC5352" s="21"/>
      <c r="AD5352" s="21"/>
    </row>
    <row r="5353" spans="2:31" ht="12" customHeight="1" outlineLevel="3">
      <c r="B5353" s="70" t="s">
        <v>19105</v>
      </c>
      <c r="C5353" s="70"/>
      <c r="D5353" s="70"/>
      <c r="E5353" s="70"/>
      <c r="F5353" s="70"/>
      <c r="G5353" s="70"/>
    </row>
    <row r="5354" spans="2:31" ht="12" customHeight="1" outlineLevel="4">
      <c r="B5354" s="70" t="s">
        <v>19106</v>
      </c>
      <c r="C5354" s="70"/>
      <c r="D5354" s="70"/>
      <c r="E5354" s="70"/>
      <c r="F5354" s="70"/>
      <c r="G5354" s="70"/>
    </row>
    <row r="5355" spans="2:31" s="1" customFormat="1" ht="96.3" customHeight="1" outlineLevel="5">
      <c r="B5355" s="57">
        <v>4381</v>
      </c>
      <c r="C5355" s="21" t="s">
        <v>19107</v>
      </c>
      <c r="D5355" s="72" t="s">
        <v>19108</v>
      </c>
      <c r="E5355" s="72"/>
      <c r="F5355" s="72"/>
      <c r="G5355" s="72"/>
      <c r="H5355" s="22" t="s">
        <v>19109</v>
      </c>
      <c r="I5355" s="27">
        <v>8</v>
      </c>
      <c r="J5355" s="22"/>
      <c r="K5355" s="20">
        <v>5</v>
      </c>
      <c r="L5355" s="24">
        <v>129.38</v>
      </c>
      <c r="M5355" s="11"/>
      <c r="N5355" s="22">
        <f t="shared" ref="N5355:N5361" si="294">L5355*M5355</f>
        <v>0</v>
      </c>
      <c r="O5355" s="25">
        <f t="shared" ref="O5355:O5361" si="295">0.036*M5355</f>
        <v>0</v>
      </c>
      <c r="P5355" s="26">
        <f>0.00016*M5355</f>
        <v>0</v>
      </c>
      <c r="Q5355" s="30"/>
      <c r="R5355" s="22" t="s">
        <v>19110</v>
      </c>
      <c r="S5355" s="22" t="s">
        <v>435</v>
      </c>
      <c r="T5355" s="21" t="str">
        <f>HYPERLINK("https://miland.ru/api/getInfo/image/c48e2a19-0d05-11ef-a25d-00155d82e908")</f>
        <v>https://miland.ru/api/getInfo/image/c48e2a19-0d05-11ef-a25d-00155d82e908</v>
      </c>
      <c r="U5355" s="21"/>
      <c r="V5355" s="21" t="s">
        <v>6429</v>
      </c>
      <c r="W5355" s="21" t="s">
        <v>5671</v>
      </c>
      <c r="X5355" s="21"/>
      <c r="Y5355" s="21" t="s">
        <v>41</v>
      </c>
      <c r="Z5355" s="21"/>
      <c r="AA5355" s="21" t="str">
        <f>HYPERLINK("https://miland.ru/api/getInfo/item/c48e2a19-0d05-11ef-a25d-00155d82e908")</f>
        <v>https://miland.ru/api/getInfo/item/c48e2a19-0d05-11ef-a25d-00155d82e908</v>
      </c>
      <c r="AB5355" s="21" t="s">
        <v>42</v>
      </c>
      <c r="AC5355" s="21" t="s">
        <v>19111</v>
      </c>
      <c r="AD5355" s="21"/>
    </row>
    <row r="5356" spans="2:31" s="1" customFormat="1" ht="96.3" customHeight="1" outlineLevel="5">
      <c r="B5356" s="57">
        <v>4382</v>
      </c>
      <c r="C5356" s="21" t="s">
        <v>19112</v>
      </c>
      <c r="D5356" s="72" t="s">
        <v>19113</v>
      </c>
      <c r="E5356" s="72"/>
      <c r="F5356" s="72"/>
      <c r="G5356" s="72"/>
      <c r="H5356" s="22" t="s">
        <v>19114</v>
      </c>
      <c r="I5356" s="27">
        <v>18</v>
      </c>
      <c r="J5356" s="22"/>
      <c r="K5356" s="20">
        <v>5</v>
      </c>
      <c r="L5356" s="24">
        <v>129.38</v>
      </c>
      <c r="M5356" s="11"/>
      <c r="N5356" s="22">
        <f t="shared" si="294"/>
        <v>0</v>
      </c>
      <c r="O5356" s="25">
        <f t="shared" si="295"/>
        <v>0</v>
      </c>
      <c r="P5356" s="22">
        <v>0</v>
      </c>
      <c r="Q5356" s="30"/>
      <c r="R5356" s="22" t="s">
        <v>19115</v>
      </c>
      <c r="S5356" s="22" t="s">
        <v>435</v>
      </c>
      <c r="T5356" s="21" t="str">
        <f>HYPERLINK("https://miland.ru/api/getInfo/image/40624c6f-0d06-11ef-a25d-00155d82e908")</f>
        <v>https://miland.ru/api/getInfo/image/40624c6f-0d06-11ef-a25d-00155d82e908</v>
      </c>
      <c r="U5356" s="21"/>
      <c r="V5356" s="21" t="s">
        <v>6429</v>
      </c>
      <c r="W5356" s="21" t="s">
        <v>5671</v>
      </c>
      <c r="X5356" s="21"/>
      <c r="Y5356" s="21" t="s">
        <v>41</v>
      </c>
      <c r="Z5356" s="21"/>
      <c r="AA5356" s="21" t="str">
        <f>HYPERLINK("https://miland.ru/api/getInfo/item/40624c6f-0d06-11ef-a25d-00155d82e908")</f>
        <v>https://miland.ru/api/getInfo/item/40624c6f-0d06-11ef-a25d-00155d82e908</v>
      </c>
      <c r="AB5356" s="21" t="s">
        <v>42</v>
      </c>
      <c r="AC5356" s="21" t="s">
        <v>19111</v>
      </c>
      <c r="AD5356" s="21"/>
    </row>
    <row r="5357" spans="2:31" s="1" customFormat="1" ht="96.3" customHeight="1" outlineLevel="5">
      <c r="B5357" s="57">
        <v>4383</v>
      </c>
      <c r="C5357" s="21" t="s">
        <v>19116</v>
      </c>
      <c r="D5357" s="72" t="s">
        <v>19117</v>
      </c>
      <c r="E5357" s="72"/>
      <c r="F5357" s="72"/>
      <c r="G5357" s="72"/>
      <c r="H5357" s="22" t="s">
        <v>19118</v>
      </c>
      <c r="I5357" s="27">
        <v>49</v>
      </c>
      <c r="J5357" s="22"/>
      <c r="K5357" s="20">
        <v>5</v>
      </c>
      <c r="L5357" s="24">
        <v>129.38</v>
      </c>
      <c r="M5357" s="11"/>
      <c r="N5357" s="22">
        <f t="shared" si="294"/>
        <v>0</v>
      </c>
      <c r="O5357" s="25">
        <f t="shared" si="295"/>
        <v>0</v>
      </c>
      <c r="P5357" s="26">
        <f>0.00016*M5357</f>
        <v>0</v>
      </c>
      <c r="Q5357" s="30"/>
      <c r="R5357" s="22" t="s">
        <v>19119</v>
      </c>
      <c r="S5357" s="22" t="s">
        <v>435</v>
      </c>
      <c r="T5357" s="21" t="str">
        <f>HYPERLINK("https://miland.ru/api/getInfo/image/5ef0cff5-0d06-11ef-a25d-00155d82e908")</f>
        <v>https://miland.ru/api/getInfo/image/5ef0cff5-0d06-11ef-a25d-00155d82e908</v>
      </c>
      <c r="U5357" s="21"/>
      <c r="V5357" s="21" t="s">
        <v>6429</v>
      </c>
      <c r="W5357" s="21" t="s">
        <v>5671</v>
      </c>
      <c r="X5357" s="21"/>
      <c r="Y5357" s="21" t="s">
        <v>41</v>
      </c>
      <c r="Z5357" s="21"/>
      <c r="AA5357" s="21" t="str">
        <f>HYPERLINK("https://miland.ru/api/getInfo/item/5ef0cff5-0d06-11ef-a25d-00155d82e908")</f>
        <v>https://miland.ru/api/getInfo/item/5ef0cff5-0d06-11ef-a25d-00155d82e908</v>
      </c>
      <c r="AB5357" s="21" t="s">
        <v>42</v>
      </c>
      <c r="AC5357" s="21" t="s">
        <v>19111</v>
      </c>
      <c r="AD5357" s="21"/>
    </row>
    <row r="5358" spans="2:31" s="1" customFormat="1" ht="96.3" customHeight="1" outlineLevel="5">
      <c r="B5358" s="57">
        <v>4384</v>
      </c>
      <c r="C5358" s="21" t="s">
        <v>19120</v>
      </c>
      <c r="D5358" s="72" t="s">
        <v>19121</v>
      </c>
      <c r="E5358" s="72"/>
      <c r="F5358" s="72"/>
      <c r="G5358" s="72"/>
      <c r="H5358" s="22" t="s">
        <v>19122</v>
      </c>
      <c r="I5358" s="27">
        <v>69</v>
      </c>
      <c r="J5358" s="22"/>
      <c r="K5358" s="20">
        <v>5</v>
      </c>
      <c r="L5358" s="24">
        <v>129.38</v>
      </c>
      <c r="M5358" s="11"/>
      <c r="N5358" s="22">
        <f t="shared" si="294"/>
        <v>0</v>
      </c>
      <c r="O5358" s="25">
        <f t="shared" si="295"/>
        <v>0</v>
      </c>
      <c r="P5358" s="26">
        <f>0.00016*M5358</f>
        <v>0</v>
      </c>
      <c r="Q5358" s="30"/>
      <c r="R5358" s="22" t="s">
        <v>19123</v>
      </c>
      <c r="S5358" s="22" t="s">
        <v>435</v>
      </c>
      <c r="T5358" s="21" t="str">
        <f>HYPERLINK("https://miland.ru/api/getInfo/image/8013bf15-0d06-11ef-a25d-00155d82e908")</f>
        <v>https://miland.ru/api/getInfo/image/8013bf15-0d06-11ef-a25d-00155d82e908</v>
      </c>
      <c r="U5358" s="21"/>
      <c r="V5358" s="21" t="s">
        <v>6429</v>
      </c>
      <c r="W5358" s="21" t="s">
        <v>5671</v>
      </c>
      <c r="X5358" s="21"/>
      <c r="Y5358" s="21" t="s">
        <v>41</v>
      </c>
      <c r="Z5358" s="21"/>
      <c r="AA5358" s="21" t="str">
        <f>HYPERLINK("https://miland.ru/api/getInfo/item/8013bf15-0d06-11ef-a25d-00155d82e908")</f>
        <v>https://miland.ru/api/getInfo/item/8013bf15-0d06-11ef-a25d-00155d82e908</v>
      </c>
      <c r="AB5358" s="21" t="s">
        <v>42</v>
      </c>
      <c r="AC5358" s="21" t="s">
        <v>19111</v>
      </c>
      <c r="AD5358" s="21"/>
    </row>
    <row r="5359" spans="2:31" s="1" customFormat="1" ht="96.3" customHeight="1" outlineLevel="5">
      <c r="B5359" s="57">
        <v>4385</v>
      </c>
      <c r="C5359" s="21" t="s">
        <v>19124</v>
      </c>
      <c r="D5359" s="72" t="s">
        <v>19125</v>
      </c>
      <c r="E5359" s="72"/>
      <c r="F5359" s="72"/>
      <c r="G5359" s="72"/>
      <c r="H5359" s="22" t="s">
        <v>19126</v>
      </c>
      <c r="I5359" s="27">
        <v>75</v>
      </c>
      <c r="J5359" s="22"/>
      <c r="K5359" s="20">
        <v>5</v>
      </c>
      <c r="L5359" s="24">
        <v>129.38</v>
      </c>
      <c r="M5359" s="11"/>
      <c r="N5359" s="22">
        <f t="shared" si="294"/>
        <v>0</v>
      </c>
      <c r="O5359" s="25">
        <f t="shared" si="295"/>
        <v>0</v>
      </c>
      <c r="P5359" s="26">
        <f>0.00016*M5359</f>
        <v>0</v>
      </c>
      <c r="Q5359" s="30"/>
      <c r="R5359" s="22" t="s">
        <v>19127</v>
      </c>
      <c r="S5359" s="22" t="s">
        <v>435</v>
      </c>
      <c r="T5359" s="21" t="str">
        <f>HYPERLINK("https://miland.ru/api/getInfo/image/8c509153-0d06-11ef-a25d-00155d82e908")</f>
        <v>https://miland.ru/api/getInfo/image/8c509153-0d06-11ef-a25d-00155d82e908</v>
      </c>
      <c r="U5359" s="21"/>
      <c r="V5359" s="21" t="s">
        <v>6429</v>
      </c>
      <c r="W5359" s="21" t="s">
        <v>5671</v>
      </c>
      <c r="X5359" s="21"/>
      <c r="Y5359" s="21" t="s">
        <v>41</v>
      </c>
      <c r="Z5359" s="21"/>
      <c r="AA5359" s="21" t="str">
        <f>HYPERLINK("https://miland.ru/api/getInfo/item/8c509153-0d06-11ef-a25d-00155d82e908")</f>
        <v>https://miland.ru/api/getInfo/item/8c509153-0d06-11ef-a25d-00155d82e908</v>
      </c>
      <c r="AB5359" s="21" t="s">
        <v>42</v>
      </c>
      <c r="AC5359" s="21" t="s">
        <v>19111</v>
      </c>
      <c r="AD5359" s="21"/>
    </row>
    <row r="5360" spans="2:31" s="1" customFormat="1" ht="96.3" customHeight="1" outlineLevel="5">
      <c r="B5360" s="57">
        <v>4386</v>
      </c>
      <c r="C5360" s="21" t="s">
        <v>19128</v>
      </c>
      <c r="D5360" s="72" t="s">
        <v>19129</v>
      </c>
      <c r="E5360" s="72"/>
      <c r="F5360" s="72"/>
      <c r="G5360" s="72"/>
      <c r="H5360" s="22" t="s">
        <v>19130</v>
      </c>
      <c r="I5360" s="27">
        <v>69</v>
      </c>
      <c r="J5360" s="22"/>
      <c r="K5360" s="20">
        <v>5</v>
      </c>
      <c r="L5360" s="24">
        <v>129.38</v>
      </c>
      <c r="M5360" s="11"/>
      <c r="N5360" s="22">
        <f t="shared" si="294"/>
        <v>0</v>
      </c>
      <c r="O5360" s="25">
        <f t="shared" si="295"/>
        <v>0</v>
      </c>
      <c r="P5360" s="26">
        <f>0.00016*M5360</f>
        <v>0</v>
      </c>
      <c r="Q5360" s="30"/>
      <c r="R5360" s="22" t="s">
        <v>19131</v>
      </c>
      <c r="S5360" s="22" t="s">
        <v>435</v>
      </c>
      <c r="T5360" s="21" t="str">
        <f>HYPERLINK("https://miland.ru/api/getInfo/image/9abdaeca-0d06-11ef-a25d-00155d82e908")</f>
        <v>https://miland.ru/api/getInfo/image/9abdaeca-0d06-11ef-a25d-00155d82e908</v>
      </c>
      <c r="U5360" s="21"/>
      <c r="V5360" s="21" t="s">
        <v>6429</v>
      </c>
      <c r="W5360" s="21" t="s">
        <v>5671</v>
      </c>
      <c r="X5360" s="21"/>
      <c r="Y5360" s="21" t="s">
        <v>41</v>
      </c>
      <c r="Z5360" s="21"/>
      <c r="AA5360" s="21" t="str">
        <f>HYPERLINK("https://miland.ru/api/getInfo/item/9abdaeca-0d06-11ef-a25d-00155d82e908")</f>
        <v>https://miland.ru/api/getInfo/item/9abdaeca-0d06-11ef-a25d-00155d82e908</v>
      </c>
      <c r="AB5360" s="21" t="s">
        <v>42</v>
      </c>
      <c r="AC5360" s="21" t="s">
        <v>19111</v>
      </c>
      <c r="AD5360" s="21"/>
    </row>
    <row r="5361" spans="2:30" s="1" customFormat="1" ht="96.3" customHeight="1" outlineLevel="5">
      <c r="B5361" s="57">
        <v>4387</v>
      </c>
      <c r="C5361" s="21" t="s">
        <v>19132</v>
      </c>
      <c r="D5361" s="72" t="s">
        <v>19133</v>
      </c>
      <c r="E5361" s="72"/>
      <c r="F5361" s="72"/>
      <c r="G5361" s="72"/>
      <c r="H5361" s="22" t="s">
        <v>19134</v>
      </c>
      <c r="I5361" s="27">
        <v>102</v>
      </c>
      <c r="J5361" s="22"/>
      <c r="K5361" s="20">
        <v>5</v>
      </c>
      <c r="L5361" s="24">
        <v>129.38</v>
      </c>
      <c r="M5361" s="11"/>
      <c r="N5361" s="22">
        <f t="shared" si="294"/>
        <v>0</v>
      </c>
      <c r="O5361" s="25">
        <f t="shared" si="295"/>
        <v>0</v>
      </c>
      <c r="P5361" s="26">
        <f>0.00016*M5361</f>
        <v>0</v>
      </c>
      <c r="Q5361" s="30"/>
      <c r="R5361" s="22" t="s">
        <v>19135</v>
      </c>
      <c r="S5361" s="22" t="s">
        <v>435</v>
      </c>
      <c r="T5361" s="21" t="str">
        <f>HYPERLINK("https://miland.ru/api/getInfo/image/a9f5771d-0d06-11ef-a25d-00155d82e908")</f>
        <v>https://miland.ru/api/getInfo/image/a9f5771d-0d06-11ef-a25d-00155d82e908</v>
      </c>
      <c r="U5361" s="21"/>
      <c r="V5361" s="21" t="s">
        <v>6429</v>
      </c>
      <c r="W5361" s="21" t="s">
        <v>5671</v>
      </c>
      <c r="X5361" s="21"/>
      <c r="Y5361" s="21" t="s">
        <v>41</v>
      </c>
      <c r="Z5361" s="21"/>
      <c r="AA5361" s="21" t="str">
        <f>HYPERLINK("https://miland.ru/api/getInfo/item/a9f5771d-0d06-11ef-a25d-00155d82e908")</f>
        <v>https://miland.ru/api/getInfo/item/a9f5771d-0d06-11ef-a25d-00155d82e908</v>
      </c>
      <c r="AB5361" s="21" t="s">
        <v>42</v>
      </c>
      <c r="AC5361" s="21" t="s">
        <v>19111</v>
      </c>
      <c r="AD5361" s="21"/>
    </row>
    <row r="5362" spans="2:30" ht="12" customHeight="1" outlineLevel="4">
      <c r="B5362" s="70" t="s">
        <v>19136</v>
      </c>
      <c r="C5362" s="70"/>
      <c r="D5362" s="70"/>
      <c r="E5362" s="70"/>
      <c r="F5362" s="70"/>
      <c r="G5362" s="70"/>
    </row>
    <row r="5363" spans="2:30" s="1" customFormat="1" ht="96.3" customHeight="1" outlineLevel="5">
      <c r="B5363" s="57">
        <v>4388</v>
      </c>
      <c r="C5363" s="21" t="s">
        <v>19137</v>
      </c>
      <c r="D5363" s="72" t="s">
        <v>19138</v>
      </c>
      <c r="E5363" s="72"/>
      <c r="F5363" s="72"/>
      <c r="G5363" s="72"/>
      <c r="H5363" s="22" t="s">
        <v>19139</v>
      </c>
      <c r="I5363" s="27">
        <v>83</v>
      </c>
      <c r="J5363" s="22"/>
      <c r="K5363" s="20">
        <v>5</v>
      </c>
      <c r="L5363" s="24">
        <v>129.38</v>
      </c>
      <c r="M5363" s="11"/>
      <c r="N5363" s="22">
        <f t="shared" ref="N5363:N5370" si="296">L5363*M5363</f>
        <v>0</v>
      </c>
      <c r="O5363" s="25">
        <f t="shared" ref="O5363:O5370" si="297">0.036*M5363</f>
        <v>0</v>
      </c>
      <c r="P5363" s="26">
        <f t="shared" ref="P5363:P5370" si="298">0.00016*M5363</f>
        <v>0</v>
      </c>
      <c r="Q5363" s="30"/>
      <c r="R5363" s="22" t="s">
        <v>19140</v>
      </c>
      <c r="S5363" s="22" t="s">
        <v>435</v>
      </c>
      <c r="T5363" s="21" t="str">
        <f>HYPERLINK("https://miland.ru/api/getInfo/image/dc7bc1d4-0d06-11ef-a25d-00155d82e908")</f>
        <v>https://miland.ru/api/getInfo/image/dc7bc1d4-0d06-11ef-a25d-00155d82e908</v>
      </c>
      <c r="U5363" s="21"/>
      <c r="V5363" s="21" t="s">
        <v>6429</v>
      </c>
      <c r="W5363" s="21" t="s">
        <v>5671</v>
      </c>
      <c r="X5363" s="21"/>
      <c r="Y5363" s="21" t="s">
        <v>41</v>
      </c>
      <c r="Z5363" s="21"/>
      <c r="AA5363" s="21" t="str">
        <f>HYPERLINK("https://miland.ru/api/getInfo/item/dc7bc1d4-0d06-11ef-a25d-00155d82e908")</f>
        <v>https://miland.ru/api/getInfo/item/dc7bc1d4-0d06-11ef-a25d-00155d82e908</v>
      </c>
      <c r="AB5363" s="21" t="s">
        <v>42</v>
      </c>
      <c r="AC5363" s="21" t="s">
        <v>19111</v>
      </c>
      <c r="AD5363" s="21"/>
    </row>
    <row r="5364" spans="2:30" s="1" customFormat="1" ht="96.3" customHeight="1" outlineLevel="5">
      <c r="B5364" s="57">
        <v>4389</v>
      </c>
      <c r="C5364" s="21" t="s">
        <v>19141</v>
      </c>
      <c r="D5364" s="72" t="s">
        <v>19142</v>
      </c>
      <c r="E5364" s="72"/>
      <c r="F5364" s="72"/>
      <c r="G5364" s="72"/>
      <c r="H5364" s="22" t="s">
        <v>19143</v>
      </c>
      <c r="I5364" s="27">
        <v>8</v>
      </c>
      <c r="J5364" s="22"/>
      <c r="K5364" s="20">
        <v>5</v>
      </c>
      <c r="L5364" s="24">
        <v>129.38</v>
      </c>
      <c r="M5364" s="11"/>
      <c r="N5364" s="22">
        <f t="shared" si="296"/>
        <v>0</v>
      </c>
      <c r="O5364" s="25">
        <f t="shared" si="297"/>
        <v>0</v>
      </c>
      <c r="P5364" s="26">
        <f t="shared" si="298"/>
        <v>0</v>
      </c>
      <c r="Q5364" s="30"/>
      <c r="R5364" s="22" t="s">
        <v>19144</v>
      </c>
      <c r="S5364" s="22" t="s">
        <v>435</v>
      </c>
      <c r="T5364" s="21" t="str">
        <f>HYPERLINK("https://miland.ru/api/getInfo/image/1de40049-0d07-11ef-a25d-00155d82e908")</f>
        <v>https://miland.ru/api/getInfo/image/1de40049-0d07-11ef-a25d-00155d82e908</v>
      </c>
      <c r="U5364" s="21"/>
      <c r="V5364" s="21" t="s">
        <v>6429</v>
      </c>
      <c r="W5364" s="21" t="s">
        <v>5671</v>
      </c>
      <c r="X5364" s="21"/>
      <c r="Y5364" s="21" t="s">
        <v>41</v>
      </c>
      <c r="Z5364" s="21"/>
      <c r="AA5364" s="21" t="str">
        <f>HYPERLINK("https://miland.ru/api/getInfo/item/1de40049-0d07-11ef-a25d-00155d82e908")</f>
        <v>https://miland.ru/api/getInfo/item/1de40049-0d07-11ef-a25d-00155d82e908</v>
      </c>
      <c r="AB5364" s="21" t="s">
        <v>42</v>
      </c>
      <c r="AC5364" s="21" t="s">
        <v>19111</v>
      </c>
      <c r="AD5364" s="21"/>
    </row>
    <row r="5365" spans="2:30" s="1" customFormat="1" ht="96.3" customHeight="1" outlineLevel="5">
      <c r="B5365" s="57">
        <v>4390</v>
      </c>
      <c r="C5365" s="21" t="s">
        <v>19145</v>
      </c>
      <c r="D5365" s="72" t="s">
        <v>19146</v>
      </c>
      <c r="E5365" s="72"/>
      <c r="F5365" s="72"/>
      <c r="G5365" s="72"/>
      <c r="H5365" s="22" t="s">
        <v>19147</v>
      </c>
      <c r="I5365" s="27">
        <v>46</v>
      </c>
      <c r="J5365" s="22"/>
      <c r="K5365" s="20">
        <v>5</v>
      </c>
      <c r="L5365" s="24">
        <v>129.38</v>
      </c>
      <c r="M5365" s="11"/>
      <c r="N5365" s="22">
        <f t="shared" si="296"/>
        <v>0</v>
      </c>
      <c r="O5365" s="25">
        <f t="shared" si="297"/>
        <v>0</v>
      </c>
      <c r="P5365" s="26">
        <f t="shared" si="298"/>
        <v>0</v>
      </c>
      <c r="Q5365" s="30"/>
      <c r="R5365" s="22" t="s">
        <v>19148</v>
      </c>
      <c r="S5365" s="22" t="s">
        <v>435</v>
      </c>
      <c r="T5365" s="21" t="str">
        <f>HYPERLINK("https://miland.ru/api/getInfo/image/3ccd2a49-0d07-11ef-a25d-00155d82e908")</f>
        <v>https://miland.ru/api/getInfo/image/3ccd2a49-0d07-11ef-a25d-00155d82e908</v>
      </c>
      <c r="U5365" s="21"/>
      <c r="V5365" s="21" t="s">
        <v>6429</v>
      </c>
      <c r="W5365" s="21" t="s">
        <v>5671</v>
      </c>
      <c r="X5365" s="21"/>
      <c r="Y5365" s="21" t="s">
        <v>41</v>
      </c>
      <c r="Z5365" s="21"/>
      <c r="AA5365" s="21" t="str">
        <f>HYPERLINK("https://miland.ru/api/getInfo/item/3ccd2a49-0d07-11ef-a25d-00155d82e908")</f>
        <v>https://miland.ru/api/getInfo/item/3ccd2a49-0d07-11ef-a25d-00155d82e908</v>
      </c>
      <c r="AB5365" s="21" t="s">
        <v>42</v>
      </c>
      <c r="AC5365" s="21" t="s">
        <v>19111</v>
      </c>
      <c r="AD5365" s="21"/>
    </row>
    <row r="5366" spans="2:30" s="1" customFormat="1" ht="96.3" customHeight="1" outlineLevel="5">
      <c r="B5366" s="57">
        <v>4391</v>
      </c>
      <c r="C5366" s="21" t="s">
        <v>19149</v>
      </c>
      <c r="D5366" s="72" t="s">
        <v>19150</v>
      </c>
      <c r="E5366" s="72"/>
      <c r="F5366" s="72"/>
      <c r="G5366" s="72"/>
      <c r="H5366" s="22" t="s">
        <v>19151</v>
      </c>
      <c r="I5366" s="27">
        <v>107</v>
      </c>
      <c r="J5366" s="22"/>
      <c r="K5366" s="20">
        <v>5</v>
      </c>
      <c r="L5366" s="24">
        <v>129.38</v>
      </c>
      <c r="M5366" s="11"/>
      <c r="N5366" s="22">
        <f t="shared" si="296"/>
        <v>0</v>
      </c>
      <c r="O5366" s="25">
        <f t="shared" si="297"/>
        <v>0</v>
      </c>
      <c r="P5366" s="26">
        <f t="shared" si="298"/>
        <v>0</v>
      </c>
      <c r="Q5366" s="30"/>
      <c r="R5366" s="22" t="s">
        <v>19152</v>
      </c>
      <c r="S5366" s="22" t="s">
        <v>435</v>
      </c>
      <c r="T5366" s="21" t="str">
        <f>HYPERLINK("https://miland.ru/api/getInfo/image/5ae49935-0d07-11ef-a25d-00155d82e908")</f>
        <v>https://miland.ru/api/getInfo/image/5ae49935-0d07-11ef-a25d-00155d82e908</v>
      </c>
      <c r="U5366" s="21"/>
      <c r="V5366" s="21" t="s">
        <v>6429</v>
      </c>
      <c r="W5366" s="21" t="s">
        <v>5671</v>
      </c>
      <c r="X5366" s="21"/>
      <c r="Y5366" s="21" t="s">
        <v>41</v>
      </c>
      <c r="Z5366" s="21"/>
      <c r="AA5366" s="21" t="str">
        <f>HYPERLINK("https://miland.ru/api/getInfo/item/5ae49935-0d07-11ef-a25d-00155d82e908")</f>
        <v>https://miland.ru/api/getInfo/item/5ae49935-0d07-11ef-a25d-00155d82e908</v>
      </c>
      <c r="AB5366" s="21" t="s">
        <v>42</v>
      </c>
      <c r="AC5366" s="21" t="s">
        <v>19111</v>
      </c>
      <c r="AD5366" s="21"/>
    </row>
    <row r="5367" spans="2:30" s="1" customFormat="1" ht="96.3" customHeight="1" outlineLevel="5">
      <c r="B5367" s="57">
        <v>4392</v>
      </c>
      <c r="C5367" s="21" t="s">
        <v>19153</v>
      </c>
      <c r="D5367" s="72" t="s">
        <v>19154</v>
      </c>
      <c r="E5367" s="72"/>
      <c r="F5367" s="72"/>
      <c r="G5367" s="72"/>
      <c r="H5367" s="22" t="s">
        <v>19155</v>
      </c>
      <c r="I5367" s="27">
        <v>113</v>
      </c>
      <c r="J5367" s="22"/>
      <c r="K5367" s="20">
        <v>5</v>
      </c>
      <c r="L5367" s="24">
        <v>129.38</v>
      </c>
      <c r="M5367" s="11"/>
      <c r="N5367" s="22">
        <f t="shared" si="296"/>
        <v>0</v>
      </c>
      <c r="O5367" s="25">
        <f t="shared" si="297"/>
        <v>0</v>
      </c>
      <c r="P5367" s="26">
        <f t="shared" si="298"/>
        <v>0</v>
      </c>
      <c r="Q5367" s="30"/>
      <c r="R5367" s="22" t="s">
        <v>19156</v>
      </c>
      <c r="S5367" s="22" t="s">
        <v>435</v>
      </c>
      <c r="T5367" s="21" t="str">
        <f>HYPERLINK("https://miland.ru/api/getInfo/image/9a72f907-0d07-11ef-a25d-00155d82e908")</f>
        <v>https://miland.ru/api/getInfo/image/9a72f907-0d07-11ef-a25d-00155d82e908</v>
      </c>
      <c r="U5367" s="21"/>
      <c r="V5367" s="21" t="s">
        <v>6429</v>
      </c>
      <c r="W5367" s="21" t="s">
        <v>5671</v>
      </c>
      <c r="X5367" s="21"/>
      <c r="Y5367" s="21" t="s">
        <v>41</v>
      </c>
      <c r="Z5367" s="21"/>
      <c r="AA5367" s="21" t="str">
        <f>HYPERLINK("https://miland.ru/api/getInfo/item/9a72f907-0d07-11ef-a25d-00155d82e908")</f>
        <v>https://miland.ru/api/getInfo/item/9a72f907-0d07-11ef-a25d-00155d82e908</v>
      </c>
      <c r="AB5367" s="21" t="s">
        <v>42</v>
      </c>
      <c r="AC5367" s="21" t="s">
        <v>19111</v>
      </c>
      <c r="AD5367" s="21"/>
    </row>
    <row r="5368" spans="2:30" s="1" customFormat="1" ht="96.3" customHeight="1" outlineLevel="5">
      <c r="B5368" s="57">
        <v>4393</v>
      </c>
      <c r="C5368" s="21" t="s">
        <v>19157</v>
      </c>
      <c r="D5368" s="72" t="s">
        <v>19158</v>
      </c>
      <c r="E5368" s="72"/>
      <c r="F5368" s="72"/>
      <c r="G5368" s="72"/>
      <c r="H5368" s="22" t="s">
        <v>19159</v>
      </c>
      <c r="I5368" s="27">
        <v>126</v>
      </c>
      <c r="J5368" s="22"/>
      <c r="K5368" s="20">
        <v>5</v>
      </c>
      <c r="L5368" s="24">
        <v>129.38</v>
      </c>
      <c r="M5368" s="11"/>
      <c r="N5368" s="22">
        <f t="shared" si="296"/>
        <v>0</v>
      </c>
      <c r="O5368" s="25">
        <f t="shared" si="297"/>
        <v>0</v>
      </c>
      <c r="P5368" s="26">
        <f t="shared" si="298"/>
        <v>0</v>
      </c>
      <c r="Q5368" s="30"/>
      <c r="R5368" s="22" t="s">
        <v>19160</v>
      </c>
      <c r="S5368" s="22" t="s">
        <v>435</v>
      </c>
      <c r="T5368" s="21" t="str">
        <f>HYPERLINK("https://miland.ru/api/getInfo/image/ba5915b5-0d07-11ef-a25d-00155d82e908")</f>
        <v>https://miland.ru/api/getInfo/image/ba5915b5-0d07-11ef-a25d-00155d82e908</v>
      </c>
      <c r="U5368" s="21"/>
      <c r="V5368" s="21" t="s">
        <v>6429</v>
      </c>
      <c r="W5368" s="21" t="s">
        <v>5671</v>
      </c>
      <c r="X5368" s="21"/>
      <c r="Y5368" s="21" t="s">
        <v>41</v>
      </c>
      <c r="Z5368" s="21"/>
      <c r="AA5368" s="21" t="str">
        <f>HYPERLINK("https://miland.ru/api/getInfo/item/ba5915b5-0d07-11ef-a25d-00155d82e908")</f>
        <v>https://miland.ru/api/getInfo/item/ba5915b5-0d07-11ef-a25d-00155d82e908</v>
      </c>
      <c r="AB5368" s="21" t="s">
        <v>42</v>
      </c>
      <c r="AC5368" s="21" t="s">
        <v>19111</v>
      </c>
      <c r="AD5368" s="21"/>
    </row>
    <row r="5369" spans="2:30" s="1" customFormat="1" ht="96.3" customHeight="1" outlineLevel="5">
      <c r="B5369" s="57">
        <v>4394</v>
      </c>
      <c r="C5369" s="21" t="s">
        <v>19161</v>
      </c>
      <c r="D5369" s="72" t="s">
        <v>19162</v>
      </c>
      <c r="E5369" s="72"/>
      <c r="F5369" s="72"/>
      <c r="G5369" s="72"/>
      <c r="H5369" s="22" t="s">
        <v>19163</v>
      </c>
      <c r="I5369" s="27">
        <v>128</v>
      </c>
      <c r="J5369" s="22"/>
      <c r="K5369" s="20">
        <v>5</v>
      </c>
      <c r="L5369" s="24">
        <v>129.38</v>
      </c>
      <c r="M5369" s="11"/>
      <c r="N5369" s="22">
        <f t="shared" si="296"/>
        <v>0</v>
      </c>
      <c r="O5369" s="25">
        <f t="shared" si="297"/>
        <v>0</v>
      </c>
      <c r="P5369" s="26">
        <f t="shared" si="298"/>
        <v>0</v>
      </c>
      <c r="Q5369" s="30"/>
      <c r="R5369" s="22" t="s">
        <v>19164</v>
      </c>
      <c r="S5369" s="22" t="s">
        <v>435</v>
      </c>
      <c r="T5369" s="21" t="str">
        <f>HYPERLINK("https://miland.ru/api/getInfo/image/d89dec54-0d07-11ef-a25d-00155d82e908")</f>
        <v>https://miland.ru/api/getInfo/image/d89dec54-0d07-11ef-a25d-00155d82e908</v>
      </c>
      <c r="U5369" s="21"/>
      <c r="V5369" s="21" t="s">
        <v>6429</v>
      </c>
      <c r="W5369" s="21" t="s">
        <v>5671</v>
      </c>
      <c r="X5369" s="21"/>
      <c r="Y5369" s="21" t="s">
        <v>41</v>
      </c>
      <c r="Z5369" s="21"/>
      <c r="AA5369" s="21" t="str">
        <f>HYPERLINK("https://miland.ru/api/getInfo/item/d89dec54-0d07-11ef-a25d-00155d82e908")</f>
        <v>https://miland.ru/api/getInfo/item/d89dec54-0d07-11ef-a25d-00155d82e908</v>
      </c>
      <c r="AB5369" s="21" t="s">
        <v>42</v>
      </c>
      <c r="AC5369" s="21" t="s">
        <v>19111</v>
      </c>
      <c r="AD5369" s="21"/>
    </row>
    <row r="5370" spans="2:30" s="1" customFormat="1" ht="96.3" customHeight="1" outlineLevel="5">
      <c r="B5370" s="57">
        <v>4395</v>
      </c>
      <c r="C5370" s="21" t="s">
        <v>19165</v>
      </c>
      <c r="D5370" s="72" t="s">
        <v>19166</v>
      </c>
      <c r="E5370" s="72"/>
      <c r="F5370" s="72"/>
      <c r="G5370" s="72"/>
      <c r="H5370" s="22" t="s">
        <v>19167</v>
      </c>
      <c r="I5370" s="27">
        <v>148</v>
      </c>
      <c r="J5370" s="22"/>
      <c r="K5370" s="20">
        <v>5</v>
      </c>
      <c r="L5370" s="24">
        <v>129.38</v>
      </c>
      <c r="M5370" s="11"/>
      <c r="N5370" s="22">
        <f t="shared" si="296"/>
        <v>0</v>
      </c>
      <c r="O5370" s="25">
        <f t="shared" si="297"/>
        <v>0</v>
      </c>
      <c r="P5370" s="26">
        <f t="shared" si="298"/>
        <v>0</v>
      </c>
      <c r="Q5370" s="30"/>
      <c r="R5370" s="22" t="s">
        <v>19168</v>
      </c>
      <c r="S5370" s="22" t="s">
        <v>435</v>
      </c>
      <c r="T5370" s="21" t="str">
        <f>HYPERLINK("https://miland.ru/api/getInfo/image/f6075ff5-0d07-11ef-a25d-00155d82e908")</f>
        <v>https://miland.ru/api/getInfo/image/f6075ff5-0d07-11ef-a25d-00155d82e908</v>
      </c>
      <c r="U5370" s="21"/>
      <c r="V5370" s="21" t="s">
        <v>6429</v>
      </c>
      <c r="W5370" s="21" t="s">
        <v>5671</v>
      </c>
      <c r="X5370" s="21"/>
      <c r="Y5370" s="21" t="s">
        <v>41</v>
      </c>
      <c r="Z5370" s="21"/>
      <c r="AA5370" s="21" t="str">
        <f>HYPERLINK("https://miland.ru/api/getInfo/item/f6075ff5-0d07-11ef-a25d-00155d82e908")</f>
        <v>https://miland.ru/api/getInfo/item/f6075ff5-0d07-11ef-a25d-00155d82e908</v>
      </c>
      <c r="AB5370" s="21" t="s">
        <v>42</v>
      </c>
      <c r="AC5370" s="21" t="s">
        <v>19111</v>
      </c>
      <c r="AD5370" s="21"/>
    </row>
    <row r="5371" spans="2:30" ht="12" customHeight="1" outlineLevel="2">
      <c r="B5371" s="69" t="s">
        <v>19169</v>
      </c>
      <c r="C5371" s="69"/>
      <c r="D5371" s="69"/>
      <c r="E5371" s="69"/>
      <c r="F5371" s="69"/>
      <c r="G5371" s="69"/>
    </row>
    <row r="5372" spans="2:30" ht="12" customHeight="1" outlineLevel="3">
      <c r="B5372" s="70" t="s">
        <v>19170</v>
      </c>
      <c r="C5372" s="70"/>
      <c r="D5372" s="70"/>
      <c r="E5372" s="70"/>
      <c r="F5372" s="70"/>
      <c r="G5372" s="70"/>
    </row>
    <row r="5373" spans="2:30" s="1" customFormat="1" ht="96.3" customHeight="1" outlineLevel="4">
      <c r="B5373" s="57">
        <v>4396</v>
      </c>
      <c r="C5373" s="21" t="s">
        <v>19171</v>
      </c>
      <c r="D5373" s="72" t="s">
        <v>19172</v>
      </c>
      <c r="E5373" s="72"/>
      <c r="F5373" s="72"/>
      <c r="G5373" s="72"/>
      <c r="H5373" s="22" t="s">
        <v>19173</v>
      </c>
      <c r="I5373" s="23" t="s">
        <v>36</v>
      </c>
      <c r="J5373" s="22"/>
      <c r="K5373" s="20">
        <v>4</v>
      </c>
      <c r="L5373" s="24">
        <v>141.59</v>
      </c>
      <c r="M5373" s="11"/>
      <c r="N5373" s="22">
        <f t="shared" ref="N5373:N5387" si="299">L5373*M5373</f>
        <v>0</v>
      </c>
      <c r="O5373" s="25">
        <f>0.026*M5373</f>
        <v>0</v>
      </c>
      <c r="P5373" s="26">
        <f>0.00145*M5373</f>
        <v>0</v>
      </c>
      <c r="Q5373" s="30"/>
      <c r="R5373" s="22" t="s">
        <v>19174</v>
      </c>
      <c r="S5373" s="22"/>
      <c r="T5373" s="21" t="str">
        <f>HYPERLINK("https://miland.ru/api/getInfo/image/4a40cf26-d8c3-11ef-a273-00155d82e908")</f>
        <v>https://miland.ru/api/getInfo/image/4a40cf26-d8c3-11ef-a273-00155d82e908</v>
      </c>
      <c r="U5373" s="21"/>
      <c r="V5373" s="21" t="s">
        <v>208</v>
      </c>
      <c r="W5373" s="21" t="s">
        <v>5671</v>
      </c>
      <c r="X5373" s="21"/>
      <c r="Y5373" s="21" t="s">
        <v>41</v>
      </c>
      <c r="Z5373" s="21"/>
      <c r="AA5373" s="21" t="str">
        <f>HYPERLINK("https://miland.ru/api/getInfo/item/4a40cf26-d8c3-11ef-a273-00155d82e908")</f>
        <v>https://miland.ru/api/getInfo/item/4a40cf26-d8c3-11ef-a273-00155d82e908</v>
      </c>
      <c r="AB5373" s="21" t="s">
        <v>42</v>
      </c>
      <c r="AC5373" s="21"/>
      <c r="AD5373" s="21"/>
    </row>
    <row r="5374" spans="2:30" s="1" customFormat="1" ht="96.3" customHeight="1" outlineLevel="4">
      <c r="B5374" s="57">
        <v>4397</v>
      </c>
      <c r="C5374" s="21" t="s">
        <v>19175</v>
      </c>
      <c r="D5374" s="72" t="s">
        <v>19176</v>
      </c>
      <c r="E5374" s="72"/>
      <c r="F5374" s="72"/>
      <c r="G5374" s="72"/>
      <c r="H5374" s="22" t="s">
        <v>19177</v>
      </c>
      <c r="I5374" s="23" t="s">
        <v>36</v>
      </c>
      <c r="J5374" s="22"/>
      <c r="K5374" s="20">
        <v>4</v>
      </c>
      <c r="L5374" s="24">
        <v>161.30000000000001</v>
      </c>
      <c r="M5374" s="11"/>
      <c r="N5374" s="22">
        <f t="shared" si="299"/>
        <v>0</v>
      </c>
      <c r="O5374" s="25">
        <f>0.103*M5374</f>
        <v>0</v>
      </c>
      <c r="P5374" s="26">
        <f>0.00147*M5374</f>
        <v>0</v>
      </c>
      <c r="Q5374" s="30"/>
      <c r="R5374" s="22" t="s">
        <v>19178</v>
      </c>
      <c r="S5374" s="22"/>
      <c r="T5374" s="21" t="str">
        <f>HYPERLINK("https://miland.ru/api/getInfo/image/96574d11-c74a-11ee-a25a-00155d82e908")</f>
        <v>https://miland.ru/api/getInfo/image/96574d11-c74a-11ee-a25a-00155d82e908</v>
      </c>
      <c r="U5374" s="21"/>
      <c r="V5374" s="21"/>
      <c r="W5374" s="21" t="s">
        <v>5671</v>
      </c>
      <c r="X5374" s="21"/>
      <c r="Y5374" s="21" t="s">
        <v>41</v>
      </c>
      <c r="Z5374" s="21"/>
      <c r="AA5374" s="21" t="str">
        <f>HYPERLINK("https://miland.ru/api/getInfo/item/96574d11-c74a-11ee-a25a-00155d82e908")</f>
        <v>https://miland.ru/api/getInfo/item/96574d11-c74a-11ee-a25a-00155d82e908</v>
      </c>
      <c r="AB5374" s="21" t="s">
        <v>42</v>
      </c>
      <c r="AC5374" s="21"/>
      <c r="AD5374" s="21"/>
    </row>
    <row r="5375" spans="2:30" s="1" customFormat="1" ht="96.3" customHeight="1" outlineLevel="4">
      <c r="B5375" s="57">
        <v>4398</v>
      </c>
      <c r="C5375" s="21" t="s">
        <v>19179</v>
      </c>
      <c r="D5375" s="72" t="s">
        <v>19180</v>
      </c>
      <c r="E5375" s="72"/>
      <c r="F5375" s="72"/>
      <c r="G5375" s="72"/>
      <c r="H5375" s="22" t="s">
        <v>19181</v>
      </c>
      <c r="I5375" s="23" t="s">
        <v>36</v>
      </c>
      <c r="J5375" s="22"/>
      <c r="K5375" s="20">
        <v>10</v>
      </c>
      <c r="L5375" s="24">
        <v>72.27</v>
      </c>
      <c r="M5375" s="11"/>
      <c r="N5375" s="22">
        <f t="shared" si="299"/>
        <v>0</v>
      </c>
      <c r="O5375" s="25">
        <f>0.023*M5375</f>
        <v>0</v>
      </c>
      <c r="P5375" s="26">
        <f>0.00139*M5375</f>
        <v>0</v>
      </c>
      <c r="Q5375" s="30"/>
      <c r="R5375" s="22" t="s">
        <v>19182</v>
      </c>
      <c r="S5375" s="22"/>
      <c r="T5375" s="21" t="str">
        <f>HYPERLINK("https://miland.ru/api/getInfo/image/f3ed35ee-c749-11ee-a25a-00155d82e908")</f>
        <v>https://miland.ru/api/getInfo/image/f3ed35ee-c749-11ee-a25a-00155d82e908</v>
      </c>
      <c r="U5375" s="21"/>
      <c r="V5375" s="21"/>
      <c r="W5375" s="21" t="s">
        <v>5671</v>
      </c>
      <c r="X5375" s="21"/>
      <c r="Y5375" s="21" t="s">
        <v>41</v>
      </c>
      <c r="Z5375" s="21"/>
      <c r="AA5375" s="21" t="str">
        <f>HYPERLINK("https://miland.ru/api/getInfo/item/f3ed35ee-c749-11ee-a25a-00155d82e908")</f>
        <v>https://miland.ru/api/getInfo/item/f3ed35ee-c749-11ee-a25a-00155d82e908</v>
      </c>
      <c r="AB5375" s="21" t="s">
        <v>42</v>
      </c>
      <c r="AC5375" s="21"/>
      <c r="AD5375" s="21"/>
    </row>
    <row r="5376" spans="2:30" s="1" customFormat="1" ht="96.3" customHeight="1" outlineLevel="4">
      <c r="B5376" s="57">
        <v>4399</v>
      </c>
      <c r="C5376" s="21" t="s">
        <v>19183</v>
      </c>
      <c r="D5376" s="72" t="s">
        <v>19184</v>
      </c>
      <c r="E5376" s="72"/>
      <c r="F5376" s="72"/>
      <c r="G5376" s="72"/>
      <c r="H5376" s="22" t="s">
        <v>19185</v>
      </c>
      <c r="I5376" s="23" t="s">
        <v>36</v>
      </c>
      <c r="J5376" s="22"/>
      <c r="K5376" s="20">
        <v>5</v>
      </c>
      <c r="L5376" s="24">
        <v>119.48</v>
      </c>
      <c r="M5376" s="11"/>
      <c r="N5376" s="22">
        <f t="shared" si="299"/>
        <v>0</v>
      </c>
      <c r="O5376" s="25">
        <f>0.057*M5376</f>
        <v>0</v>
      </c>
      <c r="P5376" s="26">
        <f>0.00146*M5376</f>
        <v>0</v>
      </c>
      <c r="Q5376" s="30"/>
      <c r="R5376" s="22" t="s">
        <v>19186</v>
      </c>
      <c r="S5376" s="22"/>
      <c r="T5376" s="21" t="str">
        <f>HYPERLINK("https://miland.ru/api/getInfo/image/30f9a631-c74a-11ee-a25a-00155d82e908")</f>
        <v>https://miland.ru/api/getInfo/image/30f9a631-c74a-11ee-a25a-00155d82e908</v>
      </c>
      <c r="U5376" s="21"/>
      <c r="V5376" s="21"/>
      <c r="W5376" s="21" t="s">
        <v>5671</v>
      </c>
      <c r="X5376" s="21"/>
      <c r="Y5376" s="21" t="s">
        <v>41</v>
      </c>
      <c r="Z5376" s="21" t="s">
        <v>19187</v>
      </c>
      <c r="AA5376" s="21" t="str">
        <f>HYPERLINK("https://miland.ru/api/getInfo/item/30f9a631-c74a-11ee-a25a-00155d82e908")</f>
        <v>https://miland.ru/api/getInfo/item/30f9a631-c74a-11ee-a25a-00155d82e908</v>
      </c>
      <c r="AB5376" s="21" t="s">
        <v>42</v>
      </c>
      <c r="AC5376" s="21"/>
      <c r="AD5376" s="21"/>
    </row>
    <row r="5377" spans="2:30" s="1" customFormat="1" ht="96.3" customHeight="1" outlineLevel="4">
      <c r="B5377" s="57">
        <v>4400</v>
      </c>
      <c r="C5377" s="21" t="s">
        <v>19188</v>
      </c>
      <c r="D5377" s="72" t="s">
        <v>19189</v>
      </c>
      <c r="E5377" s="72"/>
      <c r="F5377" s="72"/>
      <c r="G5377" s="72"/>
      <c r="H5377" s="22" t="s">
        <v>19190</v>
      </c>
      <c r="I5377" s="23" t="s">
        <v>36</v>
      </c>
      <c r="J5377" s="22"/>
      <c r="K5377" s="20">
        <v>10</v>
      </c>
      <c r="L5377" s="24">
        <v>63.36</v>
      </c>
      <c r="M5377" s="11"/>
      <c r="N5377" s="22">
        <f t="shared" si="299"/>
        <v>0</v>
      </c>
      <c r="O5377" s="33">
        <f>0.1*M5377</f>
        <v>0</v>
      </c>
      <c r="P5377" s="26">
        <f>0.00017*M5377</f>
        <v>0</v>
      </c>
      <c r="Q5377" s="30"/>
      <c r="R5377" s="22" t="s">
        <v>19191</v>
      </c>
      <c r="S5377" s="22"/>
      <c r="T5377" s="21" t="str">
        <f>HYPERLINK("https://miland.ru/api/getInfo/image/3a35e4bb-c749-11ee-a25a-00155d82e908")</f>
        <v>https://miland.ru/api/getInfo/image/3a35e4bb-c749-11ee-a25a-00155d82e908</v>
      </c>
      <c r="U5377" s="21"/>
      <c r="V5377" s="21"/>
      <c r="W5377" s="21" t="s">
        <v>5671</v>
      </c>
      <c r="X5377" s="21"/>
      <c r="Y5377" s="21" t="s">
        <v>41</v>
      </c>
      <c r="Z5377" s="21"/>
      <c r="AA5377" s="21" t="str">
        <f>HYPERLINK("https://miland.ru/api/getInfo/item/3a35e4bb-c749-11ee-a25a-00155d82e908")</f>
        <v>https://miland.ru/api/getInfo/item/3a35e4bb-c749-11ee-a25a-00155d82e908</v>
      </c>
      <c r="AB5377" s="21" t="s">
        <v>42</v>
      </c>
      <c r="AC5377" s="21"/>
      <c r="AD5377" s="21"/>
    </row>
    <row r="5378" spans="2:30" s="1" customFormat="1" ht="96.3" customHeight="1" outlineLevel="4">
      <c r="B5378" s="57">
        <v>4401</v>
      </c>
      <c r="C5378" s="21" t="s">
        <v>19192</v>
      </c>
      <c r="D5378" s="72" t="s">
        <v>19193</v>
      </c>
      <c r="E5378" s="72"/>
      <c r="F5378" s="72"/>
      <c r="G5378" s="72"/>
      <c r="H5378" s="22" t="s">
        <v>19194</v>
      </c>
      <c r="I5378" s="23" t="s">
        <v>36</v>
      </c>
      <c r="J5378" s="22"/>
      <c r="K5378" s="20">
        <v>13</v>
      </c>
      <c r="L5378" s="24">
        <v>48.73</v>
      </c>
      <c r="M5378" s="11"/>
      <c r="N5378" s="22">
        <f t="shared" si="299"/>
        <v>0</v>
      </c>
      <c r="O5378" s="25">
        <f>0.013*M5378</f>
        <v>0</v>
      </c>
      <c r="P5378" s="26">
        <f>0.00027*M5378</f>
        <v>0</v>
      </c>
      <c r="Q5378" s="30"/>
      <c r="R5378" s="22" t="s">
        <v>19195</v>
      </c>
      <c r="S5378" s="22"/>
      <c r="T5378" s="21" t="str">
        <f>HYPERLINK("https://miland.ru/api/getInfo/image/e55b6ef4-c748-11ee-a25a-00155d82e908")</f>
        <v>https://miland.ru/api/getInfo/image/e55b6ef4-c748-11ee-a25a-00155d82e908</v>
      </c>
      <c r="U5378" s="21"/>
      <c r="V5378" s="21"/>
      <c r="W5378" s="21" t="s">
        <v>5671</v>
      </c>
      <c r="X5378" s="21"/>
      <c r="Y5378" s="21" t="s">
        <v>41</v>
      </c>
      <c r="Z5378" s="21"/>
      <c r="AA5378" s="21" t="str">
        <f>HYPERLINK("https://miland.ru/api/getInfo/item/e55b6ef4-c748-11ee-a25a-00155d82e908")</f>
        <v>https://miland.ru/api/getInfo/item/e55b6ef4-c748-11ee-a25a-00155d82e908</v>
      </c>
      <c r="AB5378" s="21" t="s">
        <v>42</v>
      </c>
      <c r="AC5378" s="21"/>
      <c r="AD5378" s="21"/>
    </row>
    <row r="5379" spans="2:30" s="1" customFormat="1" ht="96.3" customHeight="1" outlineLevel="4">
      <c r="B5379" s="57">
        <v>4402</v>
      </c>
      <c r="C5379" s="21" t="s">
        <v>19196</v>
      </c>
      <c r="D5379" s="72" t="s">
        <v>19197</v>
      </c>
      <c r="E5379" s="72"/>
      <c r="F5379" s="72"/>
      <c r="G5379" s="72"/>
      <c r="H5379" s="22" t="s">
        <v>19198</v>
      </c>
      <c r="I5379" s="23" t="s">
        <v>36</v>
      </c>
      <c r="J5379" s="22"/>
      <c r="K5379" s="20">
        <v>10</v>
      </c>
      <c r="L5379" s="24">
        <v>67.31</v>
      </c>
      <c r="M5379" s="11"/>
      <c r="N5379" s="22">
        <f t="shared" si="299"/>
        <v>0</v>
      </c>
      <c r="O5379" s="25">
        <f>0.026*M5379</f>
        <v>0</v>
      </c>
      <c r="P5379" s="26">
        <f>0.00017*M5379</f>
        <v>0</v>
      </c>
      <c r="Q5379" s="30"/>
      <c r="R5379" s="22" t="s">
        <v>19199</v>
      </c>
      <c r="S5379" s="22"/>
      <c r="T5379" s="21" t="str">
        <f>HYPERLINK("https://miland.ru/api/getInfo/image/5eee43c1-7ef9-11ee-a248-00155d82e902")</f>
        <v>https://miland.ru/api/getInfo/image/5eee43c1-7ef9-11ee-a248-00155d82e902</v>
      </c>
      <c r="U5379" s="21"/>
      <c r="V5379" s="21"/>
      <c r="W5379" s="21" t="s">
        <v>5671</v>
      </c>
      <c r="X5379" s="21"/>
      <c r="Y5379" s="21" t="s">
        <v>41</v>
      </c>
      <c r="Z5379" s="21"/>
      <c r="AA5379" s="21" t="str">
        <f>HYPERLINK("https://miland.ru/api/getInfo/item/5eee43c1-7ef9-11ee-a248-00155d82e902")</f>
        <v>https://miland.ru/api/getInfo/item/5eee43c1-7ef9-11ee-a248-00155d82e902</v>
      </c>
      <c r="AB5379" s="21" t="s">
        <v>42</v>
      </c>
      <c r="AC5379" s="21"/>
      <c r="AD5379" s="21"/>
    </row>
    <row r="5380" spans="2:30" s="1" customFormat="1" ht="96.3" customHeight="1" outlineLevel="4">
      <c r="B5380" s="57">
        <v>4403</v>
      </c>
      <c r="C5380" s="21" t="s">
        <v>19200</v>
      </c>
      <c r="D5380" s="72" t="s">
        <v>19201</v>
      </c>
      <c r="E5380" s="72"/>
      <c r="F5380" s="72"/>
      <c r="G5380" s="72"/>
      <c r="H5380" s="22" t="s">
        <v>19202</v>
      </c>
      <c r="I5380" s="23" t="s">
        <v>36</v>
      </c>
      <c r="J5380" s="22"/>
      <c r="K5380" s="20">
        <v>5</v>
      </c>
      <c r="L5380" s="24">
        <v>124.26</v>
      </c>
      <c r="M5380" s="11"/>
      <c r="N5380" s="22">
        <f t="shared" si="299"/>
        <v>0</v>
      </c>
      <c r="O5380" s="25">
        <f>0.042*M5380</f>
        <v>0</v>
      </c>
      <c r="P5380" s="26">
        <f>0.00016*M5380</f>
        <v>0</v>
      </c>
      <c r="Q5380" s="30"/>
      <c r="R5380" s="22" t="s">
        <v>19203</v>
      </c>
      <c r="S5380" s="22"/>
      <c r="T5380" s="21" t="str">
        <f>HYPERLINK("https://miland.ru/api/getInfo/image/c7068623-7ef9-11ee-a248-00155d82e902")</f>
        <v>https://miland.ru/api/getInfo/image/c7068623-7ef9-11ee-a248-00155d82e902</v>
      </c>
      <c r="U5380" s="21"/>
      <c r="V5380" s="21"/>
      <c r="W5380" s="21" t="s">
        <v>5671</v>
      </c>
      <c r="X5380" s="21"/>
      <c r="Y5380" s="21" t="s">
        <v>41</v>
      </c>
      <c r="Z5380" s="21"/>
      <c r="AA5380" s="21" t="str">
        <f>HYPERLINK("https://miland.ru/api/getInfo/item/c7068623-7ef9-11ee-a248-00155d82e902")</f>
        <v>https://miland.ru/api/getInfo/item/c7068623-7ef9-11ee-a248-00155d82e902</v>
      </c>
      <c r="AB5380" s="21" t="s">
        <v>42</v>
      </c>
      <c r="AC5380" s="21"/>
      <c r="AD5380" s="21"/>
    </row>
    <row r="5381" spans="2:30" s="1" customFormat="1" ht="96.3" customHeight="1" outlineLevel="4">
      <c r="B5381" s="57">
        <v>4404</v>
      </c>
      <c r="C5381" s="21" t="s">
        <v>19204</v>
      </c>
      <c r="D5381" s="72" t="s">
        <v>19205</v>
      </c>
      <c r="E5381" s="72"/>
      <c r="F5381" s="72"/>
      <c r="G5381" s="72"/>
      <c r="H5381" s="22" t="s">
        <v>19206</v>
      </c>
      <c r="I5381" s="23" t="s">
        <v>36</v>
      </c>
      <c r="J5381" s="22"/>
      <c r="K5381" s="20">
        <v>1</v>
      </c>
      <c r="L5381" s="24">
        <v>936.77</v>
      </c>
      <c r="M5381" s="11"/>
      <c r="N5381" s="22">
        <f t="shared" si="299"/>
        <v>0</v>
      </c>
      <c r="O5381" s="25">
        <f>0.234*M5381</f>
        <v>0</v>
      </c>
      <c r="P5381" s="26">
        <f>0.00311*M5381</f>
        <v>0</v>
      </c>
      <c r="Q5381" s="30"/>
      <c r="R5381" s="22" t="s">
        <v>19207</v>
      </c>
      <c r="S5381" s="22"/>
      <c r="T5381" s="21" t="str">
        <f>HYPERLINK("https://miland.ru/api/getInfo/image/98021123-d8c4-11ef-a273-00155d82e908")</f>
        <v>https://miland.ru/api/getInfo/image/98021123-d8c4-11ef-a273-00155d82e908</v>
      </c>
      <c r="U5381" s="21"/>
      <c r="V5381" s="21"/>
      <c r="W5381" s="21" t="s">
        <v>19208</v>
      </c>
      <c r="X5381" s="21" t="s">
        <v>172</v>
      </c>
      <c r="Y5381" s="21" t="s">
        <v>10405</v>
      </c>
      <c r="Z5381" s="21" t="s">
        <v>19207</v>
      </c>
      <c r="AA5381" s="21" t="str">
        <f>HYPERLINK("https://miland.ru/api/getInfo/item/98021123-d8c4-11ef-a273-00155d82e908")</f>
        <v>https://miland.ru/api/getInfo/item/98021123-d8c4-11ef-a273-00155d82e908</v>
      </c>
      <c r="AB5381" s="21" t="s">
        <v>42</v>
      </c>
      <c r="AC5381" s="21"/>
      <c r="AD5381" s="21"/>
    </row>
    <row r="5382" spans="2:30" s="1" customFormat="1" ht="96.3" customHeight="1" outlineLevel="4">
      <c r="B5382" s="57">
        <v>4405</v>
      </c>
      <c r="C5382" s="21" t="s">
        <v>19209</v>
      </c>
      <c r="D5382" s="72" t="s">
        <v>19210</v>
      </c>
      <c r="E5382" s="72"/>
      <c r="F5382" s="72"/>
      <c r="G5382" s="72"/>
      <c r="H5382" s="22" t="s">
        <v>19211</v>
      </c>
      <c r="I5382" s="27">
        <v>353</v>
      </c>
      <c r="J5382" s="22"/>
      <c r="K5382" s="20">
        <v>1</v>
      </c>
      <c r="L5382" s="32">
        <v>1194.3900000000001</v>
      </c>
      <c r="M5382" s="11"/>
      <c r="N5382" s="22">
        <f t="shared" si="299"/>
        <v>0</v>
      </c>
      <c r="O5382" s="25">
        <f>0.361*M5382</f>
        <v>0</v>
      </c>
      <c r="P5382" s="26">
        <f>0.00264*M5382</f>
        <v>0</v>
      </c>
      <c r="Q5382" s="30"/>
      <c r="R5382" s="22" t="s">
        <v>19212</v>
      </c>
      <c r="S5382" s="22"/>
      <c r="T5382" s="21" t="str">
        <f>HYPERLINK("https://miland.ru/api/getInfo/image/82b6e0f0-d8c7-11ef-a273-00155d82e908")</f>
        <v>https://miland.ru/api/getInfo/image/82b6e0f0-d8c7-11ef-a273-00155d82e908</v>
      </c>
      <c r="U5382" s="21"/>
      <c r="V5382" s="21"/>
      <c r="W5382" s="21" t="s">
        <v>19208</v>
      </c>
      <c r="X5382" s="21" t="s">
        <v>172</v>
      </c>
      <c r="Y5382" s="21" t="s">
        <v>10405</v>
      </c>
      <c r="Z5382" s="21" t="s">
        <v>19213</v>
      </c>
      <c r="AA5382" s="21" t="str">
        <f>HYPERLINK("https://miland.ru/api/getInfo/item/82b6e0f0-d8c7-11ef-a273-00155d82e908")</f>
        <v>https://miland.ru/api/getInfo/item/82b6e0f0-d8c7-11ef-a273-00155d82e908</v>
      </c>
      <c r="AB5382" s="21" t="s">
        <v>42</v>
      </c>
      <c r="AC5382" s="21"/>
      <c r="AD5382" s="21"/>
    </row>
    <row r="5383" spans="2:30" s="1" customFormat="1" ht="96.3" customHeight="1" outlineLevel="4">
      <c r="B5383" s="57">
        <v>4406</v>
      </c>
      <c r="C5383" s="21" t="s">
        <v>19214</v>
      </c>
      <c r="D5383" s="72" t="s">
        <v>19215</v>
      </c>
      <c r="E5383" s="72"/>
      <c r="F5383" s="72"/>
      <c r="G5383" s="72"/>
      <c r="H5383" s="22" t="s">
        <v>19216</v>
      </c>
      <c r="I5383" s="27">
        <v>353</v>
      </c>
      <c r="J5383" s="22"/>
      <c r="K5383" s="20">
        <v>1</v>
      </c>
      <c r="L5383" s="32">
        <v>1296.3599999999999</v>
      </c>
      <c r="M5383" s="11"/>
      <c r="N5383" s="22">
        <f t="shared" si="299"/>
        <v>0</v>
      </c>
      <c r="O5383" s="25">
        <f>0.299*M5383</f>
        <v>0</v>
      </c>
      <c r="P5383" s="26">
        <f>0.00277*M5383</f>
        <v>0</v>
      </c>
      <c r="Q5383" s="30"/>
      <c r="R5383" s="22" t="s">
        <v>19217</v>
      </c>
      <c r="S5383" s="22"/>
      <c r="T5383" s="21" t="str">
        <f>HYPERLINK("https://miland.ru/api/getInfo/image/9de53cea-d8c7-11ef-a273-00155d82e908")</f>
        <v>https://miland.ru/api/getInfo/image/9de53cea-d8c7-11ef-a273-00155d82e908</v>
      </c>
      <c r="U5383" s="21"/>
      <c r="V5383" s="21"/>
      <c r="W5383" s="21" t="s">
        <v>19208</v>
      </c>
      <c r="X5383" s="21" t="s">
        <v>172</v>
      </c>
      <c r="Y5383" s="21" t="s">
        <v>10405</v>
      </c>
      <c r="Z5383" s="21" t="s">
        <v>19217</v>
      </c>
      <c r="AA5383" s="21" t="str">
        <f>HYPERLINK("https://miland.ru/api/getInfo/item/9de53cea-d8c7-11ef-a273-00155d82e908")</f>
        <v>https://miland.ru/api/getInfo/item/9de53cea-d8c7-11ef-a273-00155d82e908</v>
      </c>
      <c r="AB5383" s="21" t="s">
        <v>42</v>
      </c>
      <c r="AC5383" s="21"/>
      <c r="AD5383" s="21"/>
    </row>
    <row r="5384" spans="2:30" s="1" customFormat="1" ht="96.3" customHeight="1" outlineLevel="4">
      <c r="B5384" s="57">
        <v>4407</v>
      </c>
      <c r="C5384" s="21" t="s">
        <v>19218</v>
      </c>
      <c r="D5384" s="72" t="s">
        <v>19219</v>
      </c>
      <c r="E5384" s="72"/>
      <c r="F5384" s="72"/>
      <c r="G5384" s="72"/>
      <c r="H5384" s="22" t="s">
        <v>19220</v>
      </c>
      <c r="I5384" s="27">
        <v>184</v>
      </c>
      <c r="J5384" s="22"/>
      <c r="K5384" s="20">
        <v>1</v>
      </c>
      <c r="L5384" s="24">
        <v>781.57</v>
      </c>
      <c r="M5384" s="11"/>
      <c r="N5384" s="22">
        <f t="shared" si="299"/>
        <v>0</v>
      </c>
      <c r="O5384" s="25">
        <f>0.194*M5384</f>
        <v>0</v>
      </c>
      <c r="P5384" s="26">
        <f>0.00254*M5384</f>
        <v>0</v>
      </c>
      <c r="Q5384" s="30"/>
      <c r="R5384" s="22" t="s">
        <v>19221</v>
      </c>
      <c r="S5384" s="22"/>
      <c r="T5384" s="21" t="str">
        <f>HYPERLINK("https://miland.ru/api/getInfo/image/fa7733b3-d8c5-11ef-a273-00155d82e908")</f>
        <v>https://miland.ru/api/getInfo/image/fa7733b3-d8c5-11ef-a273-00155d82e908</v>
      </c>
      <c r="U5384" s="21"/>
      <c r="V5384" s="21"/>
      <c r="W5384" s="21" t="s">
        <v>19208</v>
      </c>
      <c r="X5384" s="21" t="s">
        <v>172</v>
      </c>
      <c r="Y5384" s="21" t="s">
        <v>10405</v>
      </c>
      <c r="Z5384" s="21" t="s">
        <v>19221</v>
      </c>
      <c r="AA5384" s="21" t="str">
        <f>HYPERLINK("https://miland.ru/api/getInfo/item/fa7733b3-d8c5-11ef-a273-00155d82e908")</f>
        <v>https://miland.ru/api/getInfo/item/fa7733b3-d8c5-11ef-a273-00155d82e908</v>
      </c>
      <c r="AB5384" s="21" t="s">
        <v>42</v>
      </c>
      <c r="AC5384" s="21"/>
      <c r="AD5384" s="21"/>
    </row>
    <row r="5385" spans="2:30" s="1" customFormat="1" ht="96.3" customHeight="1" outlineLevel="4">
      <c r="B5385" s="57">
        <v>4408</v>
      </c>
      <c r="C5385" s="21" t="s">
        <v>19222</v>
      </c>
      <c r="D5385" s="72" t="s">
        <v>19223</v>
      </c>
      <c r="E5385" s="72"/>
      <c r="F5385" s="72"/>
      <c r="G5385" s="72"/>
      <c r="H5385" s="22" t="s">
        <v>19224</v>
      </c>
      <c r="I5385" s="27">
        <v>226</v>
      </c>
      <c r="J5385" s="22"/>
      <c r="K5385" s="20">
        <v>1</v>
      </c>
      <c r="L5385" s="24">
        <v>843.43</v>
      </c>
      <c r="M5385" s="11"/>
      <c r="N5385" s="22">
        <f t="shared" si="299"/>
        <v>0</v>
      </c>
      <c r="O5385" s="25">
        <f>20.766*M5385</f>
        <v>0</v>
      </c>
      <c r="P5385" s="26">
        <f>0.09576*M5385</f>
        <v>0</v>
      </c>
      <c r="Q5385" s="30"/>
      <c r="R5385" s="22" t="s">
        <v>19225</v>
      </c>
      <c r="S5385" s="22"/>
      <c r="T5385" s="21" t="str">
        <f>HYPERLINK("https://miland.ru/api/getInfo/image/ac6e4474-d8c6-11ef-a273-00155d82e908")</f>
        <v>https://miland.ru/api/getInfo/image/ac6e4474-d8c6-11ef-a273-00155d82e908</v>
      </c>
      <c r="U5385" s="21"/>
      <c r="V5385" s="21"/>
      <c r="W5385" s="21" t="s">
        <v>19208</v>
      </c>
      <c r="X5385" s="21" t="s">
        <v>172</v>
      </c>
      <c r="Y5385" s="21" t="s">
        <v>10405</v>
      </c>
      <c r="Z5385" s="21" t="s">
        <v>19225</v>
      </c>
      <c r="AA5385" s="21" t="str">
        <f>HYPERLINK("https://miland.ru/api/getInfo/item/ac6e4474-d8c6-11ef-a273-00155d82e908")</f>
        <v>https://miland.ru/api/getInfo/item/ac6e4474-d8c6-11ef-a273-00155d82e908</v>
      </c>
      <c r="AB5385" s="21" t="s">
        <v>42</v>
      </c>
      <c r="AC5385" s="21"/>
      <c r="AD5385" s="21"/>
    </row>
    <row r="5386" spans="2:30" s="1" customFormat="1" ht="96.3" customHeight="1" outlineLevel="4">
      <c r="B5386" s="57">
        <v>4409</v>
      </c>
      <c r="C5386" s="21" t="s">
        <v>19226</v>
      </c>
      <c r="D5386" s="72" t="s">
        <v>19227</v>
      </c>
      <c r="E5386" s="72"/>
      <c r="F5386" s="72"/>
      <c r="G5386" s="72"/>
      <c r="H5386" s="22" t="s">
        <v>19228</v>
      </c>
      <c r="I5386" s="27">
        <v>439</v>
      </c>
      <c r="J5386" s="22"/>
      <c r="K5386" s="20">
        <v>1</v>
      </c>
      <c r="L5386" s="32">
        <v>2105.2800000000002</v>
      </c>
      <c r="M5386" s="11"/>
      <c r="N5386" s="22">
        <f t="shared" si="299"/>
        <v>0</v>
      </c>
      <c r="O5386" s="25">
        <f>0.354*M5386</f>
        <v>0</v>
      </c>
      <c r="P5386" s="26">
        <f>0.00751*M5386</f>
        <v>0</v>
      </c>
      <c r="Q5386" s="30"/>
      <c r="R5386" s="22" t="s">
        <v>19229</v>
      </c>
      <c r="S5386" s="22"/>
      <c r="T5386" s="21" t="str">
        <f>HYPERLINK("https://miland.ru/api/getInfo/image/095da4d8-d70d-11ef-a26a-00155d82e908")</f>
        <v>https://miland.ru/api/getInfo/image/095da4d8-d70d-11ef-a26a-00155d82e908</v>
      </c>
      <c r="U5386" s="21"/>
      <c r="V5386" s="21"/>
      <c r="W5386" s="21" t="s">
        <v>5671</v>
      </c>
      <c r="X5386" s="21"/>
      <c r="Y5386" s="21" t="s">
        <v>41</v>
      </c>
      <c r="Z5386" s="21"/>
      <c r="AA5386" s="21" t="str">
        <f>HYPERLINK("https://miland.ru/api/getInfo/item/095da4d8-d70d-11ef-a26a-00155d82e908")</f>
        <v>https://miland.ru/api/getInfo/item/095da4d8-d70d-11ef-a26a-00155d82e908</v>
      </c>
      <c r="AB5386" s="21" t="s">
        <v>42</v>
      </c>
      <c r="AC5386" s="21"/>
      <c r="AD5386" s="21"/>
    </row>
    <row r="5387" spans="2:30" s="1" customFormat="1" ht="96.3" customHeight="1" outlineLevel="4">
      <c r="B5387" s="57">
        <v>4410</v>
      </c>
      <c r="C5387" s="21" t="s">
        <v>19230</v>
      </c>
      <c r="D5387" s="72" t="s">
        <v>19231</v>
      </c>
      <c r="E5387" s="72"/>
      <c r="F5387" s="72"/>
      <c r="G5387" s="72"/>
      <c r="H5387" s="22" t="s">
        <v>19232</v>
      </c>
      <c r="I5387" s="27">
        <v>296</v>
      </c>
      <c r="J5387" s="22"/>
      <c r="K5387" s="20">
        <v>1</v>
      </c>
      <c r="L5387" s="32">
        <v>3075.56</v>
      </c>
      <c r="M5387" s="11"/>
      <c r="N5387" s="22">
        <f t="shared" si="299"/>
        <v>0</v>
      </c>
      <c r="O5387" s="25">
        <f>0.287*M5387</f>
        <v>0</v>
      </c>
      <c r="P5387" s="26">
        <f>0.00374*M5387</f>
        <v>0</v>
      </c>
      <c r="Q5387" s="30"/>
      <c r="R5387" s="22" t="s">
        <v>19233</v>
      </c>
      <c r="S5387" s="22"/>
      <c r="T5387" s="21" t="str">
        <f>HYPERLINK("https://miland.ru/api/getInfo/image/3a456fc1-d3fd-11ef-a26a-00155d82e908")</f>
        <v>https://miland.ru/api/getInfo/image/3a456fc1-d3fd-11ef-a26a-00155d82e908</v>
      </c>
      <c r="U5387" s="21"/>
      <c r="V5387" s="21"/>
      <c r="W5387" s="21" t="s">
        <v>5671</v>
      </c>
      <c r="X5387" s="21" t="s">
        <v>307</v>
      </c>
      <c r="Y5387" s="21" t="s">
        <v>41</v>
      </c>
      <c r="Z5387" s="21"/>
      <c r="AA5387" s="21" t="str">
        <f>HYPERLINK("https://miland.ru/api/getInfo/item/3a456fc1-d3fd-11ef-a26a-00155d82e908")</f>
        <v>https://miland.ru/api/getInfo/item/3a456fc1-d3fd-11ef-a26a-00155d82e908</v>
      </c>
      <c r="AB5387" s="21" t="s">
        <v>42</v>
      </c>
      <c r="AC5387" s="21"/>
      <c r="AD5387" s="21"/>
    </row>
    <row r="5388" spans="2:30" ht="12" customHeight="1" outlineLevel="3">
      <c r="B5388" s="70" t="s">
        <v>19234</v>
      </c>
      <c r="C5388" s="70"/>
      <c r="D5388" s="70"/>
      <c r="E5388" s="70"/>
      <c r="F5388" s="70"/>
      <c r="G5388" s="70"/>
    </row>
    <row r="5389" spans="2:30" s="1" customFormat="1" ht="96.3" customHeight="1" outlineLevel="4">
      <c r="B5389" s="57">
        <v>4411</v>
      </c>
      <c r="C5389" s="21" t="s">
        <v>19235</v>
      </c>
      <c r="D5389" s="72" t="s">
        <v>19236</v>
      </c>
      <c r="E5389" s="72"/>
      <c r="F5389" s="72"/>
      <c r="G5389" s="72"/>
      <c r="H5389" s="22" t="s">
        <v>19237</v>
      </c>
      <c r="I5389" s="27">
        <v>473</v>
      </c>
      <c r="J5389" s="22"/>
      <c r="K5389" s="20">
        <v>1</v>
      </c>
      <c r="L5389" s="24">
        <v>516.53</v>
      </c>
      <c r="M5389" s="11"/>
      <c r="N5389" s="22">
        <f t="shared" ref="N5389:N5395" si="300">L5389*M5389</f>
        <v>0</v>
      </c>
      <c r="O5389" s="25">
        <f>0.121*M5389</f>
        <v>0</v>
      </c>
      <c r="P5389" s="26">
        <f>0.00098*M5389</f>
        <v>0</v>
      </c>
      <c r="Q5389" s="30"/>
      <c r="R5389" s="22" t="s">
        <v>19238</v>
      </c>
      <c r="S5389" s="22"/>
      <c r="T5389" s="21" t="str">
        <f>HYPERLINK("https://miland.ru/api/getInfo/image/262b3bca-c03e-11ee-a25a-00155d82e908")</f>
        <v>https://miland.ru/api/getInfo/image/262b3bca-c03e-11ee-a25a-00155d82e908</v>
      </c>
      <c r="U5389" s="21"/>
      <c r="V5389" s="21" t="s">
        <v>878</v>
      </c>
      <c r="W5389" s="21" t="s">
        <v>879</v>
      </c>
      <c r="X5389" s="21" t="s">
        <v>172</v>
      </c>
      <c r="Y5389" s="21" t="s">
        <v>173</v>
      </c>
      <c r="Z5389" s="21" t="s">
        <v>19239</v>
      </c>
      <c r="AA5389" s="21" t="str">
        <f>HYPERLINK("https://miland.ru/api/getInfo/item/262b3bca-c03e-11ee-a25a-00155d82e908")</f>
        <v>https://miland.ru/api/getInfo/item/262b3bca-c03e-11ee-a25a-00155d82e908</v>
      </c>
      <c r="AB5389" s="21" t="s">
        <v>42</v>
      </c>
      <c r="AC5389" s="21" t="s">
        <v>19240</v>
      </c>
      <c r="AD5389" s="21"/>
    </row>
    <row r="5390" spans="2:30" s="1" customFormat="1" ht="96.3" customHeight="1" outlineLevel="4">
      <c r="B5390" s="57">
        <v>4412</v>
      </c>
      <c r="C5390" s="21" t="s">
        <v>19241</v>
      </c>
      <c r="D5390" s="72" t="s">
        <v>19242</v>
      </c>
      <c r="E5390" s="72"/>
      <c r="F5390" s="72"/>
      <c r="G5390" s="72"/>
      <c r="H5390" s="22" t="s">
        <v>19243</v>
      </c>
      <c r="I5390" s="27">
        <v>476</v>
      </c>
      <c r="J5390" s="22"/>
      <c r="K5390" s="20">
        <v>1</v>
      </c>
      <c r="L5390" s="24">
        <v>411.17</v>
      </c>
      <c r="M5390" s="11"/>
      <c r="N5390" s="22">
        <f t="shared" si="300"/>
        <v>0</v>
      </c>
      <c r="O5390" s="25">
        <f>0.085*M5390</f>
        <v>0</v>
      </c>
      <c r="P5390" s="26">
        <f>0.00065*M5390</f>
        <v>0</v>
      </c>
      <c r="Q5390" s="30"/>
      <c r="R5390" s="22" t="s">
        <v>19244</v>
      </c>
      <c r="S5390" s="22"/>
      <c r="T5390" s="21" t="str">
        <f>HYPERLINK("https://miland.ru/api/getInfo/image/168a8488-c03e-11ee-a25a-00155d82e908")</f>
        <v>https://miland.ru/api/getInfo/image/168a8488-c03e-11ee-a25a-00155d82e908</v>
      </c>
      <c r="U5390" s="21"/>
      <c r="V5390" s="21"/>
      <c r="W5390" s="21" t="s">
        <v>879</v>
      </c>
      <c r="X5390" s="21" t="s">
        <v>172</v>
      </c>
      <c r="Y5390" s="21" t="s">
        <v>173</v>
      </c>
      <c r="Z5390" s="21" t="s">
        <v>19245</v>
      </c>
      <c r="AA5390" s="21" t="str">
        <f>HYPERLINK("https://miland.ru/api/getInfo/item/168a8488-c03e-11ee-a25a-00155d82e908")</f>
        <v>https://miland.ru/api/getInfo/item/168a8488-c03e-11ee-a25a-00155d82e908</v>
      </c>
      <c r="AB5390" s="21" t="s">
        <v>42</v>
      </c>
      <c r="AC5390" s="21" t="s">
        <v>19240</v>
      </c>
      <c r="AD5390" s="21"/>
    </row>
    <row r="5391" spans="2:30" s="1" customFormat="1" ht="96.3" customHeight="1" outlineLevel="4">
      <c r="B5391" s="57">
        <v>4413</v>
      </c>
      <c r="C5391" s="21" t="s">
        <v>19246</v>
      </c>
      <c r="D5391" s="72" t="s">
        <v>19247</v>
      </c>
      <c r="E5391" s="72"/>
      <c r="F5391" s="72"/>
      <c r="G5391" s="72"/>
      <c r="H5391" s="22" t="s">
        <v>19248</v>
      </c>
      <c r="I5391" s="23" t="s">
        <v>36</v>
      </c>
      <c r="J5391" s="22"/>
      <c r="K5391" s="20">
        <v>1</v>
      </c>
      <c r="L5391" s="24">
        <v>593.03</v>
      </c>
      <c r="M5391" s="11"/>
      <c r="N5391" s="22">
        <f t="shared" si="300"/>
        <v>0</v>
      </c>
      <c r="O5391" s="25">
        <f>0.155*M5391</f>
        <v>0</v>
      </c>
      <c r="P5391" s="26">
        <f>0.00231*M5391</f>
        <v>0</v>
      </c>
      <c r="Q5391" s="30"/>
      <c r="R5391" s="22" t="s">
        <v>19249</v>
      </c>
      <c r="S5391" s="22"/>
      <c r="T5391" s="21" t="str">
        <f>HYPERLINK("https://miland.ru/api/getInfo/image/37e465c3-c03e-11ee-a25a-00155d82e908")</f>
        <v>https://miland.ru/api/getInfo/image/37e465c3-c03e-11ee-a25a-00155d82e908</v>
      </c>
      <c r="U5391" s="21"/>
      <c r="V5391" s="21"/>
      <c r="W5391" s="21" t="s">
        <v>879</v>
      </c>
      <c r="X5391" s="21" t="s">
        <v>172</v>
      </c>
      <c r="Y5391" s="21" t="s">
        <v>173</v>
      </c>
      <c r="Z5391" s="21" t="s">
        <v>19250</v>
      </c>
      <c r="AA5391" s="21" t="str">
        <f>HYPERLINK("https://miland.ru/api/getInfo/item/37e465c3-c03e-11ee-a25a-00155d82e908")</f>
        <v>https://miland.ru/api/getInfo/item/37e465c3-c03e-11ee-a25a-00155d82e908</v>
      </c>
      <c r="AB5391" s="21" t="s">
        <v>42</v>
      </c>
      <c r="AC5391" s="21" t="s">
        <v>19240</v>
      </c>
      <c r="AD5391" s="21"/>
    </row>
    <row r="5392" spans="2:30" s="1" customFormat="1" ht="96.3" customHeight="1" outlineLevel="4">
      <c r="B5392" s="57">
        <v>4414</v>
      </c>
      <c r="C5392" s="21" t="s">
        <v>19251</v>
      </c>
      <c r="D5392" s="72" t="s">
        <v>19252</v>
      </c>
      <c r="E5392" s="72"/>
      <c r="F5392" s="72"/>
      <c r="G5392" s="72"/>
      <c r="H5392" s="22" t="s">
        <v>19253</v>
      </c>
      <c r="I5392" s="27">
        <v>494</v>
      </c>
      <c r="J5392" s="22"/>
      <c r="K5392" s="20">
        <v>1</v>
      </c>
      <c r="L5392" s="24">
        <v>593.03</v>
      </c>
      <c r="M5392" s="11"/>
      <c r="N5392" s="22">
        <f t="shared" si="300"/>
        <v>0</v>
      </c>
      <c r="O5392" s="25">
        <f>0.113*M5392</f>
        <v>0</v>
      </c>
      <c r="P5392" s="26">
        <f>0.00179*M5392</f>
        <v>0</v>
      </c>
      <c r="Q5392" s="30"/>
      <c r="R5392" s="22" t="s">
        <v>19254</v>
      </c>
      <c r="S5392" s="22"/>
      <c r="T5392" s="21" t="str">
        <f>HYPERLINK("https://miland.ru/api/getInfo/image/e61efb75-c03d-11ee-a25a-00155d82e908")</f>
        <v>https://miland.ru/api/getInfo/image/e61efb75-c03d-11ee-a25a-00155d82e908</v>
      </c>
      <c r="U5392" s="21"/>
      <c r="V5392" s="21" t="s">
        <v>878</v>
      </c>
      <c r="W5392" s="21" t="s">
        <v>879</v>
      </c>
      <c r="X5392" s="21" t="s">
        <v>172</v>
      </c>
      <c r="Y5392" s="21" t="s">
        <v>173</v>
      </c>
      <c r="Z5392" s="21" t="s">
        <v>19255</v>
      </c>
      <c r="AA5392" s="21" t="str">
        <f>HYPERLINK("https://miland.ru/api/getInfo/item/e61efb75-c03d-11ee-a25a-00155d82e908")</f>
        <v>https://miland.ru/api/getInfo/item/e61efb75-c03d-11ee-a25a-00155d82e908</v>
      </c>
      <c r="AB5392" s="21" t="s">
        <v>42</v>
      </c>
      <c r="AC5392" s="21" t="s">
        <v>19240</v>
      </c>
      <c r="AD5392" s="21"/>
    </row>
    <row r="5393" spans="2:31" s="1" customFormat="1" ht="96.3" customHeight="1" outlineLevel="4">
      <c r="B5393" s="57">
        <v>4415</v>
      </c>
      <c r="C5393" s="21" t="s">
        <v>19256</v>
      </c>
      <c r="D5393" s="72" t="s">
        <v>19257</v>
      </c>
      <c r="E5393" s="72"/>
      <c r="F5393" s="72"/>
      <c r="G5393" s="72"/>
      <c r="H5393" s="22" t="s">
        <v>19258</v>
      </c>
      <c r="I5393" s="27">
        <v>480</v>
      </c>
      <c r="J5393" s="22"/>
      <c r="K5393" s="20">
        <v>2</v>
      </c>
      <c r="L5393" s="24">
        <v>295.72000000000003</v>
      </c>
      <c r="M5393" s="11"/>
      <c r="N5393" s="22">
        <f t="shared" si="300"/>
        <v>0</v>
      </c>
      <c r="O5393" s="28">
        <f>0.11*M5393</f>
        <v>0</v>
      </c>
      <c r="P5393" s="26">
        <f>0.00064*M5393</f>
        <v>0</v>
      </c>
      <c r="Q5393" s="30"/>
      <c r="R5393" s="22" t="s">
        <v>19259</v>
      </c>
      <c r="S5393" s="22"/>
      <c r="T5393" s="21" t="str">
        <f>HYPERLINK("https://miland.ru/api/getInfo/image/d5bd15dc-d8c4-11ef-a273-00155d82e908")</f>
        <v>https://miland.ru/api/getInfo/image/d5bd15dc-d8c4-11ef-a273-00155d82e908</v>
      </c>
      <c r="U5393" s="21"/>
      <c r="V5393" s="21"/>
      <c r="W5393" s="21" t="s">
        <v>879</v>
      </c>
      <c r="X5393" s="21" t="s">
        <v>172</v>
      </c>
      <c r="Y5393" s="21" t="s">
        <v>173</v>
      </c>
      <c r="Z5393" s="21" t="s">
        <v>19260</v>
      </c>
      <c r="AA5393" s="21" t="str">
        <f>HYPERLINK("https://miland.ru/api/getInfo/item/d5bd15dc-d8c4-11ef-a273-00155d82e908")</f>
        <v>https://miland.ru/api/getInfo/item/d5bd15dc-d8c4-11ef-a273-00155d82e908</v>
      </c>
      <c r="AB5393" s="21" t="s">
        <v>42</v>
      </c>
      <c r="AC5393" s="21"/>
      <c r="AD5393" s="21"/>
    </row>
    <row r="5394" spans="2:31" s="1" customFormat="1" ht="96.3" customHeight="1" outlineLevel="4">
      <c r="B5394" s="57">
        <v>4416</v>
      </c>
      <c r="C5394" s="21" t="s">
        <v>19261</v>
      </c>
      <c r="D5394" s="72" t="s">
        <v>19262</v>
      </c>
      <c r="E5394" s="72"/>
      <c r="F5394" s="72"/>
      <c r="G5394" s="72"/>
      <c r="H5394" s="22" t="s">
        <v>19263</v>
      </c>
      <c r="I5394" s="27">
        <v>452</v>
      </c>
      <c r="J5394" s="22"/>
      <c r="K5394" s="20">
        <v>2</v>
      </c>
      <c r="L5394" s="24">
        <v>282.58</v>
      </c>
      <c r="M5394" s="11"/>
      <c r="N5394" s="22">
        <f t="shared" si="300"/>
        <v>0</v>
      </c>
      <c r="O5394" s="25">
        <f>0.086*M5394</f>
        <v>0</v>
      </c>
      <c r="P5394" s="26">
        <f>0.00085*M5394</f>
        <v>0</v>
      </c>
      <c r="Q5394" s="30"/>
      <c r="R5394" s="22" t="s">
        <v>19264</v>
      </c>
      <c r="S5394" s="22"/>
      <c r="T5394" s="21" t="str">
        <f>HYPERLINK("https://miland.ru/api/getInfo/image/470d252a-d8c5-11ef-a273-00155d82e908")</f>
        <v>https://miland.ru/api/getInfo/image/470d252a-d8c5-11ef-a273-00155d82e908</v>
      </c>
      <c r="U5394" s="21"/>
      <c r="V5394" s="21"/>
      <c r="W5394" s="21" t="s">
        <v>879</v>
      </c>
      <c r="X5394" s="21" t="s">
        <v>172</v>
      </c>
      <c r="Y5394" s="21" t="s">
        <v>173</v>
      </c>
      <c r="Z5394" s="21" t="s">
        <v>19265</v>
      </c>
      <c r="AA5394" s="21" t="str">
        <f>HYPERLINK("https://miland.ru/api/getInfo/item/470d252a-d8c5-11ef-a273-00155d82e908")</f>
        <v>https://miland.ru/api/getInfo/item/470d252a-d8c5-11ef-a273-00155d82e908</v>
      </c>
      <c r="AB5394" s="21" t="s">
        <v>42</v>
      </c>
      <c r="AC5394" s="21"/>
      <c r="AD5394" s="21"/>
    </row>
    <row r="5395" spans="2:31" s="1" customFormat="1" ht="96.3" customHeight="1" outlineLevel="4">
      <c r="B5395" s="57">
        <v>4417</v>
      </c>
      <c r="C5395" s="21" t="s">
        <v>19266</v>
      </c>
      <c r="D5395" s="72" t="s">
        <v>19267</v>
      </c>
      <c r="E5395" s="72"/>
      <c r="F5395" s="72"/>
      <c r="G5395" s="72"/>
      <c r="H5395" s="22" t="s">
        <v>19268</v>
      </c>
      <c r="I5395" s="23" t="s">
        <v>36</v>
      </c>
      <c r="J5395" s="22"/>
      <c r="K5395" s="20">
        <v>1</v>
      </c>
      <c r="L5395" s="24">
        <v>492.38</v>
      </c>
      <c r="M5395" s="11"/>
      <c r="N5395" s="22">
        <f t="shared" si="300"/>
        <v>0</v>
      </c>
      <c r="O5395" s="25">
        <f>0.079*M5395</f>
        <v>0</v>
      </c>
      <c r="P5395" s="26">
        <f>0.00089*M5395</f>
        <v>0</v>
      </c>
      <c r="Q5395" s="30"/>
      <c r="R5395" s="22" t="s">
        <v>19269</v>
      </c>
      <c r="S5395" s="22"/>
      <c r="T5395" s="21" t="str">
        <f>HYPERLINK("https://miland.ru/api/getInfo/image/f6f29302-c73f-11ee-a25a-00155d82e908")</f>
        <v>https://miland.ru/api/getInfo/image/f6f29302-c73f-11ee-a25a-00155d82e908</v>
      </c>
      <c r="U5395" s="21"/>
      <c r="V5395" s="21"/>
      <c r="W5395" s="21" t="s">
        <v>879</v>
      </c>
      <c r="X5395" s="21" t="s">
        <v>172</v>
      </c>
      <c r="Y5395" s="21" t="s">
        <v>173</v>
      </c>
      <c r="Z5395" s="21" t="s">
        <v>19270</v>
      </c>
      <c r="AA5395" s="21" t="str">
        <f>HYPERLINK("https://miland.ru/api/getInfo/item/f6f29302-c73f-11ee-a25a-00155d82e908")</f>
        <v>https://miland.ru/api/getInfo/item/f6f29302-c73f-11ee-a25a-00155d82e908</v>
      </c>
      <c r="AB5395" s="21" t="s">
        <v>42</v>
      </c>
      <c r="AC5395" s="21" t="s">
        <v>19271</v>
      </c>
      <c r="AD5395" s="21"/>
    </row>
    <row r="5396" spans="2:31" ht="12" customHeight="1" outlineLevel="3">
      <c r="B5396" s="70" t="s">
        <v>19272</v>
      </c>
      <c r="C5396" s="70"/>
      <c r="D5396" s="70"/>
      <c r="E5396" s="70"/>
      <c r="F5396" s="70"/>
      <c r="G5396" s="70"/>
    </row>
    <row r="5397" spans="2:31" s="1" customFormat="1" ht="96.3" customHeight="1" outlineLevel="4">
      <c r="B5397" s="59">
        <v>4418</v>
      </c>
      <c r="C5397" s="35" t="s">
        <v>19273</v>
      </c>
      <c r="D5397" s="73" t="s">
        <v>19274</v>
      </c>
      <c r="E5397" s="73"/>
      <c r="F5397" s="73"/>
      <c r="G5397" s="73"/>
      <c r="H5397" s="36" t="s">
        <v>19275</v>
      </c>
      <c r="I5397" s="40">
        <v>163</v>
      </c>
      <c r="J5397" s="36"/>
      <c r="K5397" s="34">
        <v>1</v>
      </c>
      <c r="L5397" s="41">
        <v>344.11999999999995</v>
      </c>
      <c r="M5397" s="11"/>
      <c r="N5397" s="36">
        <f>L5397*M5397</f>
        <v>0</v>
      </c>
      <c r="O5397" s="42">
        <f>0.157*M5397</f>
        <v>0</v>
      </c>
      <c r="P5397" s="43">
        <f>0.01055*M5397</f>
        <v>0</v>
      </c>
      <c r="Q5397" s="50"/>
      <c r="R5397" s="36" t="s">
        <v>19276</v>
      </c>
      <c r="S5397" s="36" t="s">
        <v>435</v>
      </c>
      <c r="T5397" s="35" t="str">
        <f>HYPERLINK("https://miland.ru/api/getInfo/image/21779702-d9ce-11ed-a232-00155d82e902")</f>
        <v>https://miland.ru/api/getInfo/image/21779702-d9ce-11ed-a232-00155d82e902</v>
      </c>
      <c r="U5397" s="35"/>
      <c r="V5397" s="35" t="s">
        <v>208</v>
      </c>
      <c r="W5397" s="35" t="s">
        <v>5671</v>
      </c>
      <c r="X5397" s="35"/>
      <c r="Y5397" s="35" t="s">
        <v>41</v>
      </c>
      <c r="Z5397" s="35"/>
      <c r="AA5397" s="35" t="str">
        <f>HYPERLINK("https://miland.ru/api/getInfo/item/21779702-d9ce-11ed-a232-00155d82e902")</f>
        <v>https://miland.ru/api/getInfo/item/21779702-d9ce-11ed-a232-00155d82e902</v>
      </c>
      <c r="AB5397" s="35" t="s">
        <v>42</v>
      </c>
      <c r="AC5397" s="35"/>
      <c r="AD5397" s="35"/>
      <c r="AE5397" s="52" t="s">
        <v>9152</v>
      </c>
    </row>
    <row r="5398" spans="2:31" ht="12" customHeight="1" outlineLevel="3">
      <c r="B5398" s="70" t="s">
        <v>19277</v>
      </c>
      <c r="C5398" s="70"/>
      <c r="D5398" s="70"/>
      <c r="E5398" s="70"/>
      <c r="F5398" s="70"/>
      <c r="G5398" s="70"/>
    </row>
    <row r="5399" spans="2:31" s="1" customFormat="1" ht="96.3" customHeight="1" outlineLevel="4">
      <c r="B5399" s="57">
        <v>4419</v>
      </c>
      <c r="C5399" s="21" t="s">
        <v>19278</v>
      </c>
      <c r="D5399" s="72" t="s">
        <v>19279</v>
      </c>
      <c r="E5399" s="72"/>
      <c r="F5399" s="72"/>
      <c r="G5399" s="72"/>
      <c r="H5399" s="22" t="s">
        <v>19280</v>
      </c>
      <c r="I5399" s="27">
        <v>91</v>
      </c>
      <c r="J5399" s="22"/>
      <c r="K5399" s="20">
        <v>1</v>
      </c>
      <c r="L5399" s="32">
        <v>2186.94</v>
      </c>
      <c r="M5399" s="11"/>
      <c r="N5399" s="22">
        <f>L5399*M5399</f>
        <v>0</v>
      </c>
      <c r="O5399" s="25">
        <f>0.262*M5399</f>
        <v>0</v>
      </c>
      <c r="P5399" s="26">
        <f>0.00428*M5399</f>
        <v>0</v>
      </c>
      <c r="Q5399" s="30"/>
      <c r="R5399" s="22" t="s">
        <v>19281</v>
      </c>
      <c r="S5399" s="22" t="s">
        <v>435</v>
      </c>
      <c r="T5399" s="21" t="str">
        <f>HYPERLINK("https://miland.ru/api/getInfo/image/88ddb823-ed0f-11ee-a25b-00155d82e908")</f>
        <v>https://miland.ru/api/getInfo/image/88ddb823-ed0f-11ee-a25b-00155d82e908</v>
      </c>
      <c r="U5399" s="21"/>
      <c r="V5399" s="21" t="s">
        <v>6429</v>
      </c>
      <c r="W5399" s="21" t="s">
        <v>5671</v>
      </c>
      <c r="X5399" s="21"/>
      <c r="Y5399" s="21" t="s">
        <v>41</v>
      </c>
      <c r="Z5399" s="21"/>
      <c r="AA5399" s="21" t="str">
        <f>HYPERLINK("https://miland.ru/api/getInfo/item/88ddb823-ed0f-11ee-a25b-00155d82e908")</f>
        <v>https://miland.ru/api/getInfo/item/88ddb823-ed0f-11ee-a25b-00155d82e908</v>
      </c>
      <c r="AB5399" s="21" t="s">
        <v>42</v>
      </c>
      <c r="AC5399" s="21" t="s">
        <v>19282</v>
      </c>
      <c r="AD5399" s="21"/>
    </row>
    <row r="5400" spans="2:31" s="1" customFormat="1" ht="96.3" customHeight="1" outlineLevel="4">
      <c r="B5400" s="57">
        <v>4420</v>
      </c>
      <c r="C5400" s="21" t="s">
        <v>19283</v>
      </c>
      <c r="D5400" s="72" t="s">
        <v>19284</v>
      </c>
      <c r="E5400" s="72"/>
      <c r="F5400" s="72"/>
      <c r="G5400" s="72"/>
      <c r="H5400" s="22" t="s">
        <v>19285</v>
      </c>
      <c r="I5400" s="27">
        <v>205</v>
      </c>
      <c r="J5400" s="22"/>
      <c r="K5400" s="20">
        <v>1</v>
      </c>
      <c r="L5400" s="24">
        <v>733.79</v>
      </c>
      <c r="M5400" s="11"/>
      <c r="N5400" s="22">
        <f>L5400*M5400</f>
        <v>0</v>
      </c>
      <c r="O5400" s="25">
        <f>0.197*M5400</f>
        <v>0</v>
      </c>
      <c r="P5400" s="26">
        <f>0.00386*M5400</f>
        <v>0</v>
      </c>
      <c r="Q5400" s="30"/>
      <c r="R5400" s="22" t="s">
        <v>19286</v>
      </c>
      <c r="S5400" s="22"/>
      <c r="T5400" s="21" t="str">
        <f>HYPERLINK("https://miland.ru/api/getInfo/image/14e4466f-ed10-11ee-a25b-00155d82e908")</f>
        <v>https://miland.ru/api/getInfo/image/14e4466f-ed10-11ee-a25b-00155d82e908</v>
      </c>
      <c r="U5400" s="21"/>
      <c r="V5400" s="21" t="s">
        <v>6429</v>
      </c>
      <c r="W5400" s="21" t="s">
        <v>5671</v>
      </c>
      <c r="X5400" s="21"/>
      <c r="Y5400" s="21" t="s">
        <v>41</v>
      </c>
      <c r="Z5400" s="21"/>
      <c r="AA5400" s="21" t="str">
        <f>HYPERLINK("https://miland.ru/api/getInfo/item/14e4466f-ed10-11ee-a25b-00155d82e908")</f>
        <v>https://miland.ru/api/getInfo/item/14e4466f-ed10-11ee-a25b-00155d82e908</v>
      </c>
      <c r="AB5400" s="21" t="s">
        <v>42</v>
      </c>
      <c r="AC5400" s="21" t="s">
        <v>19287</v>
      </c>
      <c r="AD5400" s="21"/>
    </row>
    <row r="5401" spans="2:31" ht="12" customHeight="1" outlineLevel="3">
      <c r="B5401" s="70" t="s">
        <v>19288</v>
      </c>
      <c r="C5401" s="70"/>
      <c r="D5401" s="70"/>
      <c r="E5401" s="70"/>
      <c r="F5401" s="70"/>
      <c r="G5401" s="70"/>
    </row>
    <row r="5402" spans="2:31" s="1" customFormat="1" ht="96.3" customHeight="1" outlineLevel="4">
      <c r="B5402" s="57">
        <v>4421</v>
      </c>
      <c r="C5402" s="21" t="s">
        <v>19289</v>
      </c>
      <c r="D5402" s="72" t="s">
        <v>19290</v>
      </c>
      <c r="E5402" s="72"/>
      <c r="F5402" s="72"/>
      <c r="G5402" s="72"/>
      <c r="H5402" s="22" t="s">
        <v>19291</v>
      </c>
      <c r="I5402" s="23" t="s">
        <v>36</v>
      </c>
      <c r="J5402" s="22"/>
      <c r="K5402" s="20">
        <v>5</v>
      </c>
      <c r="L5402" s="24">
        <v>125.46</v>
      </c>
      <c r="M5402" s="11"/>
      <c r="N5402" s="22">
        <f>L5402*M5402</f>
        <v>0</v>
      </c>
      <c r="O5402" s="25">
        <f>0.019*M5402</f>
        <v>0</v>
      </c>
      <c r="P5402" s="26">
        <f>0.00003*M5402</f>
        <v>0</v>
      </c>
      <c r="Q5402" s="30"/>
      <c r="R5402" s="22" t="s">
        <v>19292</v>
      </c>
      <c r="S5402" s="22" t="s">
        <v>435</v>
      </c>
      <c r="T5402" s="21" t="str">
        <f>HYPERLINK("https://miland.ru/api/getInfo/image/1ff923fd-d79a-11ed-a231-00155d82e902")</f>
        <v>https://miland.ru/api/getInfo/image/1ff923fd-d79a-11ed-a231-00155d82e902</v>
      </c>
      <c r="U5402" s="21"/>
      <c r="V5402" s="21"/>
      <c r="W5402" s="21" t="s">
        <v>5671</v>
      </c>
      <c r="X5402" s="21"/>
      <c r="Y5402" s="21" t="s">
        <v>41</v>
      </c>
      <c r="Z5402" s="21"/>
      <c r="AA5402" s="21" t="str">
        <f>HYPERLINK("https://miland.ru/api/getInfo/item/1ff923fd-d79a-11ed-a231-00155d82e902")</f>
        <v>https://miland.ru/api/getInfo/item/1ff923fd-d79a-11ed-a231-00155d82e902</v>
      </c>
      <c r="AB5402" s="21" t="s">
        <v>42</v>
      </c>
      <c r="AC5402" s="21"/>
      <c r="AD5402" s="21"/>
    </row>
    <row r="5403" spans="2:31" s="1" customFormat="1" ht="96.3" customHeight="1" outlineLevel="4">
      <c r="B5403" s="57">
        <v>4422</v>
      </c>
      <c r="C5403" s="21" t="s">
        <v>19293</v>
      </c>
      <c r="D5403" s="72" t="s">
        <v>19294</v>
      </c>
      <c r="E5403" s="72"/>
      <c r="F5403" s="72"/>
      <c r="G5403" s="72"/>
      <c r="H5403" s="22" t="s">
        <v>19295</v>
      </c>
      <c r="I5403" s="27">
        <v>271</v>
      </c>
      <c r="J5403" s="22"/>
      <c r="K5403" s="20">
        <v>2</v>
      </c>
      <c r="L5403" s="24">
        <v>274.81</v>
      </c>
      <c r="M5403" s="11"/>
      <c r="N5403" s="22">
        <f>L5403*M5403</f>
        <v>0</v>
      </c>
      <c r="O5403" s="25">
        <f>0.062*M5403</f>
        <v>0</v>
      </c>
      <c r="P5403" s="26">
        <f>0.00231*M5403</f>
        <v>0</v>
      </c>
      <c r="Q5403" s="30"/>
      <c r="R5403" s="22" t="s">
        <v>19296</v>
      </c>
      <c r="S5403" s="22"/>
      <c r="T5403" s="21" t="str">
        <f>HYPERLINK("https://miland.ru/api/getInfo/image/71dafe8e-d79a-11ed-a231-00155d82e902")</f>
        <v>https://miland.ru/api/getInfo/image/71dafe8e-d79a-11ed-a231-00155d82e902</v>
      </c>
      <c r="U5403" s="21"/>
      <c r="V5403" s="21"/>
      <c r="W5403" s="21" t="s">
        <v>5671</v>
      </c>
      <c r="X5403" s="21"/>
      <c r="Y5403" s="21" t="s">
        <v>41</v>
      </c>
      <c r="Z5403" s="21"/>
      <c r="AA5403" s="21" t="str">
        <f>HYPERLINK("https://miland.ru/api/getInfo/item/71dafe8e-d79a-11ed-a231-00155d82e902")</f>
        <v>https://miland.ru/api/getInfo/item/71dafe8e-d79a-11ed-a231-00155d82e902</v>
      </c>
      <c r="AB5403" s="21" t="s">
        <v>42</v>
      </c>
      <c r="AC5403" s="21"/>
      <c r="AD5403" s="21"/>
    </row>
    <row r="5404" spans="2:31" s="1" customFormat="1" ht="96.3" customHeight="1" outlineLevel="4">
      <c r="B5404" s="57">
        <v>4423</v>
      </c>
      <c r="C5404" s="21" t="s">
        <v>19297</v>
      </c>
      <c r="D5404" s="72" t="s">
        <v>19298</v>
      </c>
      <c r="E5404" s="72"/>
      <c r="F5404" s="72"/>
      <c r="G5404" s="72"/>
      <c r="H5404" s="22" t="s">
        <v>19299</v>
      </c>
      <c r="I5404" s="23" t="s">
        <v>36</v>
      </c>
      <c r="J5404" s="22"/>
      <c r="K5404" s="20">
        <v>7</v>
      </c>
      <c r="L5404" s="24">
        <v>89.27</v>
      </c>
      <c r="M5404" s="11"/>
      <c r="N5404" s="22">
        <f>L5404*M5404</f>
        <v>0</v>
      </c>
      <c r="O5404" s="25">
        <f>0.023*M5404</f>
        <v>0</v>
      </c>
      <c r="P5404" s="26">
        <f>0.00089*M5404</f>
        <v>0</v>
      </c>
      <c r="Q5404" s="30"/>
      <c r="R5404" s="22" t="s">
        <v>19300</v>
      </c>
      <c r="S5404" s="22" t="s">
        <v>435</v>
      </c>
      <c r="T5404" s="21" t="str">
        <f>HYPERLINK("https://miland.ru/api/getInfo/image/d2e5a172-17fc-11ea-a237-ac1f6b442184")</f>
        <v>https://miland.ru/api/getInfo/image/d2e5a172-17fc-11ea-a237-ac1f6b442184</v>
      </c>
      <c r="U5404" s="21"/>
      <c r="V5404" s="21"/>
      <c r="W5404" s="21" t="s">
        <v>5671</v>
      </c>
      <c r="X5404" s="21"/>
      <c r="Y5404" s="21" t="s">
        <v>41</v>
      </c>
      <c r="Z5404" s="21"/>
      <c r="AA5404" s="21" t="str">
        <f>HYPERLINK("https://miland.ru/api/getInfo/item/d2e5a172-17fc-11ea-a237-ac1f6b442184")</f>
        <v>https://miland.ru/api/getInfo/item/d2e5a172-17fc-11ea-a237-ac1f6b442184</v>
      </c>
      <c r="AB5404" s="21" t="s">
        <v>42</v>
      </c>
      <c r="AC5404" s="21" t="s">
        <v>6394</v>
      </c>
      <c r="AD5404" s="21"/>
    </row>
    <row r="5405" spans="2:31" s="1" customFormat="1" ht="96.3" customHeight="1" outlineLevel="4">
      <c r="B5405" s="57">
        <v>4424</v>
      </c>
      <c r="C5405" s="21" t="s">
        <v>19301</v>
      </c>
      <c r="D5405" s="72" t="s">
        <v>19302</v>
      </c>
      <c r="E5405" s="72"/>
      <c r="F5405" s="72"/>
      <c r="G5405" s="72"/>
      <c r="H5405" s="22" t="s">
        <v>19303</v>
      </c>
      <c r="I5405" s="27">
        <v>407</v>
      </c>
      <c r="J5405" s="22"/>
      <c r="K5405" s="20">
        <v>6</v>
      </c>
      <c r="L5405" s="24">
        <v>101.21</v>
      </c>
      <c r="M5405" s="11"/>
      <c r="N5405" s="22">
        <f>L5405*M5405</f>
        <v>0</v>
      </c>
      <c r="O5405" s="25">
        <f>0.028*M5405</f>
        <v>0</v>
      </c>
      <c r="P5405" s="29">
        <f>0.0008*M5405</f>
        <v>0</v>
      </c>
      <c r="Q5405" s="30"/>
      <c r="R5405" s="22" t="s">
        <v>19304</v>
      </c>
      <c r="S5405" s="22"/>
      <c r="T5405" s="21" t="str">
        <f>HYPERLINK("https://miland.ru/api/getInfo/image/186bcfd7-17fd-11ea-a237-ac1f6b442184")</f>
        <v>https://miland.ru/api/getInfo/image/186bcfd7-17fd-11ea-a237-ac1f6b442184</v>
      </c>
      <c r="U5405" s="21"/>
      <c r="V5405" s="21"/>
      <c r="W5405" s="21" t="s">
        <v>5671</v>
      </c>
      <c r="X5405" s="21"/>
      <c r="Y5405" s="21" t="s">
        <v>41</v>
      </c>
      <c r="Z5405" s="21"/>
      <c r="AA5405" s="21" t="str">
        <f>HYPERLINK("https://miland.ru/api/getInfo/item/186bcfd7-17fd-11ea-a237-ac1f6b442184")</f>
        <v>https://miland.ru/api/getInfo/item/186bcfd7-17fd-11ea-a237-ac1f6b442184</v>
      </c>
      <c r="AB5405" s="21" t="s">
        <v>42</v>
      </c>
      <c r="AC5405" s="21" t="s">
        <v>6394</v>
      </c>
      <c r="AD5405" s="21"/>
    </row>
    <row r="5406" spans="2:31" s="1" customFormat="1" ht="96.3" customHeight="1" outlineLevel="4">
      <c r="B5406" s="57">
        <v>4425</v>
      </c>
      <c r="C5406" s="21" t="s">
        <v>19305</v>
      </c>
      <c r="D5406" s="72" t="s">
        <v>19306</v>
      </c>
      <c r="E5406" s="72"/>
      <c r="F5406" s="72"/>
      <c r="G5406" s="72"/>
      <c r="H5406" s="22" t="s">
        <v>19307</v>
      </c>
      <c r="I5406" s="27">
        <v>8</v>
      </c>
      <c r="J5406" s="22"/>
      <c r="K5406" s="20">
        <v>8</v>
      </c>
      <c r="L5406" s="24">
        <v>112.44</v>
      </c>
      <c r="M5406" s="11"/>
      <c r="N5406" s="22">
        <f>L5406*M5406</f>
        <v>0</v>
      </c>
      <c r="O5406" s="25">
        <f>0.024*M5406</f>
        <v>0</v>
      </c>
      <c r="P5406" s="26">
        <f>0.00021*M5406</f>
        <v>0</v>
      </c>
      <c r="Q5406" s="30"/>
      <c r="R5406" s="22" t="s">
        <v>19308</v>
      </c>
      <c r="S5406" s="22" t="s">
        <v>435</v>
      </c>
      <c r="T5406" s="21" t="str">
        <f>HYPERLINK("https://miland.ru/api/getInfo/image/77d91dc1-ca1e-11ed-a230-00155d82e902")</f>
        <v>https://miland.ru/api/getInfo/image/77d91dc1-ca1e-11ed-a230-00155d82e902</v>
      </c>
      <c r="U5406" s="21"/>
      <c r="V5406" s="21"/>
      <c r="W5406" s="21"/>
      <c r="X5406" s="21"/>
      <c r="Y5406" s="21" t="s">
        <v>41</v>
      </c>
      <c r="Z5406" s="21"/>
      <c r="AA5406" s="21" t="str">
        <f>HYPERLINK("https://miland.ru/api/getInfo/item/77d91dc1-ca1e-11ed-a230-00155d82e902")</f>
        <v>https://miland.ru/api/getInfo/item/77d91dc1-ca1e-11ed-a230-00155d82e902</v>
      </c>
      <c r="AB5406" s="21" t="s">
        <v>42</v>
      </c>
      <c r="AC5406" s="21"/>
      <c r="AD5406" s="21"/>
    </row>
    <row r="5407" spans="2:31" ht="12" customHeight="1" outlineLevel="3">
      <c r="B5407" s="70" t="s">
        <v>19309</v>
      </c>
      <c r="C5407" s="70"/>
      <c r="D5407" s="70"/>
      <c r="E5407" s="70"/>
      <c r="F5407" s="70"/>
      <c r="G5407" s="70"/>
    </row>
    <row r="5408" spans="2:31" s="1" customFormat="1" ht="96.3" customHeight="1" outlineLevel="4">
      <c r="B5408" s="57">
        <v>4426</v>
      </c>
      <c r="C5408" s="21" t="s">
        <v>19310</v>
      </c>
      <c r="D5408" s="72" t="s">
        <v>19311</v>
      </c>
      <c r="E5408" s="72"/>
      <c r="F5408" s="72"/>
      <c r="G5408" s="72"/>
      <c r="H5408" s="22" t="s">
        <v>19312</v>
      </c>
      <c r="I5408" s="27">
        <v>92</v>
      </c>
      <c r="J5408" s="22"/>
      <c r="K5408" s="20">
        <v>3</v>
      </c>
      <c r="L5408" s="24">
        <v>179.4</v>
      </c>
      <c r="M5408" s="11"/>
      <c r="N5408" s="22">
        <f t="shared" ref="N5408:N5415" si="301">L5408*M5408</f>
        <v>0</v>
      </c>
      <c r="O5408" s="25">
        <f>0.053*M5408</f>
        <v>0</v>
      </c>
      <c r="P5408" s="26">
        <f>0.00075*M5408</f>
        <v>0</v>
      </c>
      <c r="Q5408" s="30"/>
      <c r="R5408" s="22" t="s">
        <v>19313</v>
      </c>
      <c r="S5408" s="22" t="s">
        <v>435</v>
      </c>
      <c r="T5408" s="21" t="str">
        <f>HYPERLINK("https://miland.ru/api/getInfo/image/8c57522d-c0ca-11ee-a25a-00155d82e908")</f>
        <v>https://miland.ru/api/getInfo/image/8c57522d-c0ca-11ee-a25a-00155d82e908</v>
      </c>
      <c r="U5408" s="21"/>
      <c r="V5408" s="21"/>
      <c r="W5408" s="21" t="s">
        <v>5671</v>
      </c>
      <c r="X5408" s="21"/>
      <c r="Y5408" s="21" t="s">
        <v>41</v>
      </c>
      <c r="Z5408" s="21"/>
      <c r="AA5408" s="21" t="str">
        <f>HYPERLINK("https://miland.ru/api/getInfo/item/8c57522d-c0ca-11ee-a25a-00155d82e908")</f>
        <v>https://miland.ru/api/getInfo/item/8c57522d-c0ca-11ee-a25a-00155d82e908</v>
      </c>
      <c r="AB5408" s="21" t="s">
        <v>42</v>
      </c>
      <c r="AC5408" s="21" t="s">
        <v>19314</v>
      </c>
      <c r="AD5408" s="21"/>
    </row>
    <row r="5409" spans="2:31" s="1" customFormat="1" ht="96.3" customHeight="1" outlineLevel="4">
      <c r="B5409" s="57">
        <v>4427</v>
      </c>
      <c r="C5409" s="21" t="s">
        <v>19315</v>
      </c>
      <c r="D5409" s="72" t="s">
        <v>19316</v>
      </c>
      <c r="E5409" s="72"/>
      <c r="F5409" s="72"/>
      <c r="G5409" s="72"/>
      <c r="H5409" s="22" t="s">
        <v>19317</v>
      </c>
      <c r="I5409" s="27">
        <v>5</v>
      </c>
      <c r="J5409" s="22"/>
      <c r="K5409" s="20">
        <v>3</v>
      </c>
      <c r="L5409" s="24">
        <v>199.13</v>
      </c>
      <c r="M5409" s="11"/>
      <c r="N5409" s="22">
        <f t="shared" si="301"/>
        <v>0</v>
      </c>
      <c r="O5409" s="25">
        <f>0.098*M5409</f>
        <v>0</v>
      </c>
      <c r="P5409" s="26">
        <f>0.00106*M5409</f>
        <v>0</v>
      </c>
      <c r="Q5409" s="30"/>
      <c r="R5409" s="22" t="s">
        <v>19318</v>
      </c>
      <c r="S5409" s="22" t="s">
        <v>435</v>
      </c>
      <c r="T5409" s="21" t="str">
        <f>HYPERLINK("https://miland.ru/api/getInfo/image/903e2577-ca20-11ed-a230-00155d82e902")</f>
        <v>https://miland.ru/api/getInfo/image/903e2577-ca20-11ed-a230-00155d82e902</v>
      </c>
      <c r="U5409" s="21"/>
      <c r="V5409" s="21"/>
      <c r="W5409" s="21" t="s">
        <v>5671</v>
      </c>
      <c r="X5409" s="21"/>
      <c r="Y5409" s="21" t="s">
        <v>41</v>
      </c>
      <c r="Z5409" s="21"/>
      <c r="AA5409" s="21" t="str">
        <f>HYPERLINK("https://miland.ru/api/getInfo/item/903e2577-ca20-11ed-a230-00155d82e902")</f>
        <v>https://miland.ru/api/getInfo/item/903e2577-ca20-11ed-a230-00155d82e902</v>
      </c>
      <c r="AB5409" s="21" t="s">
        <v>42</v>
      </c>
      <c r="AC5409" s="21"/>
      <c r="AD5409" s="21"/>
    </row>
    <row r="5410" spans="2:31" s="1" customFormat="1" ht="96.3" customHeight="1" outlineLevel="4">
      <c r="B5410" s="57">
        <v>4428</v>
      </c>
      <c r="C5410" s="21" t="s">
        <v>19319</v>
      </c>
      <c r="D5410" s="72" t="s">
        <v>19320</v>
      </c>
      <c r="E5410" s="72"/>
      <c r="F5410" s="72"/>
      <c r="G5410" s="72"/>
      <c r="H5410" s="22" t="s">
        <v>19321</v>
      </c>
      <c r="I5410" s="27">
        <v>33</v>
      </c>
      <c r="J5410" s="22"/>
      <c r="K5410" s="20">
        <v>5</v>
      </c>
      <c r="L5410" s="24">
        <v>127.46</v>
      </c>
      <c r="M5410" s="11"/>
      <c r="N5410" s="22">
        <f t="shared" si="301"/>
        <v>0</v>
      </c>
      <c r="O5410" s="25">
        <f>0.022*M5410</f>
        <v>0</v>
      </c>
      <c r="P5410" s="29">
        <f>0.0001*M5410</f>
        <v>0</v>
      </c>
      <c r="Q5410" s="30"/>
      <c r="R5410" s="22" t="s">
        <v>19322</v>
      </c>
      <c r="S5410" s="22" t="s">
        <v>435</v>
      </c>
      <c r="T5410" s="21" t="str">
        <f>HYPERLINK("https://miland.ru/api/getInfo/image/0adbb0e3-c0ca-11ee-a25a-00155d82e908")</f>
        <v>https://miland.ru/api/getInfo/image/0adbb0e3-c0ca-11ee-a25a-00155d82e908</v>
      </c>
      <c r="U5410" s="21"/>
      <c r="V5410" s="21"/>
      <c r="W5410" s="21" t="s">
        <v>5671</v>
      </c>
      <c r="X5410" s="21"/>
      <c r="Y5410" s="21" t="s">
        <v>41</v>
      </c>
      <c r="Z5410" s="21"/>
      <c r="AA5410" s="21" t="str">
        <f>HYPERLINK("https://miland.ru/api/getInfo/item/0adbb0e3-c0ca-11ee-a25a-00155d82e908")</f>
        <v>https://miland.ru/api/getInfo/item/0adbb0e3-c0ca-11ee-a25a-00155d82e908</v>
      </c>
      <c r="AB5410" s="21" t="s">
        <v>42</v>
      </c>
      <c r="AC5410" s="21" t="s">
        <v>19323</v>
      </c>
      <c r="AD5410" s="21"/>
    </row>
    <row r="5411" spans="2:31" s="1" customFormat="1" ht="96.3" customHeight="1" outlineLevel="4">
      <c r="B5411" s="57">
        <v>4429</v>
      </c>
      <c r="C5411" s="21" t="s">
        <v>19324</v>
      </c>
      <c r="D5411" s="72" t="s">
        <v>19325</v>
      </c>
      <c r="E5411" s="72"/>
      <c r="F5411" s="72"/>
      <c r="G5411" s="72"/>
      <c r="H5411" s="22" t="s">
        <v>19326</v>
      </c>
      <c r="I5411" s="27">
        <v>5</v>
      </c>
      <c r="J5411" s="22"/>
      <c r="K5411" s="20">
        <v>5</v>
      </c>
      <c r="L5411" s="24">
        <v>137.38</v>
      </c>
      <c r="M5411" s="11"/>
      <c r="N5411" s="22">
        <f t="shared" si="301"/>
        <v>0</v>
      </c>
      <c r="O5411" s="25">
        <f>0.026*M5411</f>
        <v>0</v>
      </c>
      <c r="P5411" s="26">
        <f>0.00038*M5411</f>
        <v>0</v>
      </c>
      <c r="Q5411" s="30"/>
      <c r="R5411" s="22" t="s">
        <v>19327</v>
      </c>
      <c r="S5411" s="22" t="s">
        <v>435</v>
      </c>
      <c r="T5411" s="21" t="str">
        <f>HYPERLINK("https://miland.ru/api/getInfo/image/80a161ad-c0c9-11ee-a25a-00155d82e908")</f>
        <v>https://miland.ru/api/getInfo/image/80a161ad-c0c9-11ee-a25a-00155d82e908</v>
      </c>
      <c r="U5411" s="21"/>
      <c r="V5411" s="21"/>
      <c r="W5411" s="21" t="s">
        <v>5671</v>
      </c>
      <c r="X5411" s="21"/>
      <c r="Y5411" s="21" t="s">
        <v>41</v>
      </c>
      <c r="Z5411" s="21"/>
      <c r="AA5411" s="21" t="str">
        <f>HYPERLINK("https://miland.ru/api/getInfo/item/80a161ad-c0c9-11ee-a25a-00155d82e908")</f>
        <v>https://miland.ru/api/getInfo/item/80a161ad-c0c9-11ee-a25a-00155d82e908</v>
      </c>
      <c r="AB5411" s="21" t="s">
        <v>42</v>
      </c>
      <c r="AC5411" s="21" t="s">
        <v>19328</v>
      </c>
      <c r="AD5411" s="21"/>
    </row>
    <row r="5412" spans="2:31" s="1" customFormat="1" ht="96.3" customHeight="1" outlineLevel="4">
      <c r="B5412" s="57">
        <v>4430</v>
      </c>
      <c r="C5412" s="21" t="s">
        <v>19329</v>
      </c>
      <c r="D5412" s="72" t="s">
        <v>19330</v>
      </c>
      <c r="E5412" s="72"/>
      <c r="F5412" s="72"/>
      <c r="G5412" s="72"/>
      <c r="H5412" s="22" t="s">
        <v>19331</v>
      </c>
      <c r="I5412" s="27">
        <v>474</v>
      </c>
      <c r="J5412" s="22"/>
      <c r="K5412" s="20">
        <v>5</v>
      </c>
      <c r="L5412" s="24">
        <v>132.18</v>
      </c>
      <c r="M5412" s="11"/>
      <c r="N5412" s="22">
        <f t="shared" si="301"/>
        <v>0</v>
      </c>
      <c r="O5412" s="25">
        <f>0.038*M5412</f>
        <v>0</v>
      </c>
      <c r="P5412" s="26">
        <f>0.00042*M5412</f>
        <v>0</v>
      </c>
      <c r="Q5412" s="30"/>
      <c r="R5412" s="22" t="s">
        <v>19332</v>
      </c>
      <c r="S5412" s="22" t="s">
        <v>435</v>
      </c>
      <c r="T5412" s="21" t="str">
        <f>HYPERLINK("https://miland.ru/api/getInfo/image/47cde73a-c0ca-11ee-a25a-00155d82e908")</f>
        <v>https://miland.ru/api/getInfo/image/47cde73a-c0ca-11ee-a25a-00155d82e908</v>
      </c>
      <c r="U5412" s="21"/>
      <c r="V5412" s="21"/>
      <c r="W5412" s="21" t="s">
        <v>5671</v>
      </c>
      <c r="X5412" s="21"/>
      <c r="Y5412" s="21" t="s">
        <v>41</v>
      </c>
      <c r="Z5412" s="21"/>
      <c r="AA5412" s="21" t="str">
        <f>HYPERLINK("https://miland.ru/api/getInfo/item/47cde73a-c0ca-11ee-a25a-00155d82e908")</f>
        <v>https://miland.ru/api/getInfo/item/47cde73a-c0ca-11ee-a25a-00155d82e908</v>
      </c>
      <c r="AB5412" s="21" t="s">
        <v>42</v>
      </c>
      <c r="AC5412" s="21" t="s">
        <v>19333</v>
      </c>
      <c r="AD5412" s="21"/>
    </row>
    <row r="5413" spans="2:31" s="1" customFormat="1" ht="96.3" customHeight="1" outlineLevel="4">
      <c r="B5413" s="57">
        <v>4431</v>
      </c>
      <c r="C5413" s="21" t="s">
        <v>19334</v>
      </c>
      <c r="D5413" s="72" t="s">
        <v>19335</v>
      </c>
      <c r="E5413" s="72"/>
      <c r="F5413" s="72"/>
      <c r="G5413" s="72"/>
      <c r="H5413" s="22" t="s">
        <v>19336</v>
      </c>
      <c r="I5413" s="27">
        <v>92</v>
      </c>
      <c r="J5413" s="22"/>
      <c r="K5413" s="20">
        <v>6</v>
      </c>
      <c r="L5413" s="24">
        <v>100.55</v>
      </c>
      <c r="M5413" s="11"/>
      <c r="N5413" s="22">
        <f t="shared" si="301"/>
        <v>0</v>
      </c>
      <c r="O5413" s="25">
        <f>0.018*M5413</f>
        <v>0</v>
      </c>
      <c r="P5413" s="26">
        <f>0.00044*M5413</f>
        <v>0</v>
      </c>
      <c r="Q5413" s="30"/>
      <c r="R5413" s="22" t="s">
        <v>19337</v>
      </c>
      <c r="S5413" s="22" t="s">
        <v>435</v>
      </c>
      <c r="T5413" s="21" t="str">
        <f>HYPERLINK("https://miland.ru/api/getInfo/image/b957db19-c0ca-11ee-a25a-00155d82e908")</f>
        <v>https://miland.ru/api/getInfo/image/b957db19-c0ca-11ee-a25a-00155d82e908</v>
      </c>
      <c r="U5413" s="21"/>
      <c r="V5413" s="21"/>
      <c r="W5413" s="21" t="s">
        <v>5671</v>
      </c>
      <c r="X5413" s="21"/>
      <c r="Y5413" s="21" t="s">
        <v>41</v>
      </c>
      <c r="Z5413" s="21"/>
      <c r="AA5413" s="21" t="str">
        <f>HYPERLINK("https://miland.ru/api/getInfo/item/b957db19-c0ca-11ee-a25a-00155d82e908")</f>
        <v>https://miland.ru/api/getInfo/item/b957db19-c0ca-11ee-a25a-00155d82e908</v>
      </c>
      <c r="AB5413" s="21" t="s">
        <v>42</v>
      </c>
      <c r="AC5413" s="21" t="s">
        <v>19338</v>
      </c>
      <c r="AD5413" s="21"/>
    </row>
    <row r="5414" spans="2:31" s="1" customFormat="1" ht="96.3" customHeight="1" outlineLevel="4">
      <c r="B5414" s="57">
        <v>4432</v>
      </c>
      <c r="C5414" s="21" t="s">
        <v>19339</v>
      </c>
      <c r="D5414" s="72" t="s">
        <v>19340</v>
      </c>
      <c r="E5414" s="72"/>
      <c r="F5414" s="72"/>
      <c r="G5414" s="72"/>
      <c r="H5414" s="22" t="s">
        <v>19341</v>
      </c>
      <c r="I5414" s="27">
        <v>191</v>
      </c>
      <c r="J5414" s="22"/>
      <c r="K5414" s="20">
        <v>3</v>
      </c>
      <c r="L5414" s="24">
        <v>199.13</v>
      </c>
      <c r="M5414" s="11"/>
      <c r="N5414" s="22">
        <f t="shared" si="301"/>
        <v>0</v>
      </c>
      <c r="O5414" s="25">
        <f>0.102*M5414</f>
        <v>0</v>
      </c>
      <c r="P5414" s="29">
        <f>0.0005*M5414</f>
        <v>0</v>
      </c>
      <c r="Q5414" s="30"/>
      <c r="R5414" s="22" t="s">
        <v>19342</v>
      </c>
      <c r="S5414" s="22" t="s">
        <v>435</v>
      </c>
      <c r="T5414" s="21" t="str">
        <f>HYPERLINK("https://miland.ru/api/getInfo/image/ae0099dd-ca1f-11ed-a230-00155d82e902")</f>
        <v>https://miland.ru/api/getInfo/image/ae0099dd-ca1f-11ed-a230-00155d82e902</v>
      </c>
      <c r="U5414" s="21"/>
      <c r="V5414" s="21"/>
      <c r="W5414" s="21" t="s">
        <v>5671</v>
      </c>
      <c r="X5414" s="21"/>
      <c r="Y5414" s="21" t="s">
        <v>41</v>
      </c>
      <c r="Z5414" s="21"/>
      <c r="AA5414" s="21" t="str">
        <f>HYPERLINK("https://miland.ru/api/getInfo/item/ae0099dd-ca1f-11ed-a230-00155d82e902")</f>
        <v>https://miland.ru/api/getInfo/item/ae0099dd-ca1f-11ed-a230-00155d82e902</v>
      </c>
      <c r="AB5414" s="21" t="s">
        <v>42</v>
      </c>
      <c r="AC5414" s="21"/>
      <c r="AD5414" s="21"/>
    </row>
    <row r="5415" spans="2:31" s="1" customFormat="1" ht="96.3" customHeight="1" outlineLevel="4">
      <c r="B5415" s="57">
        <v>4433</v>
      </c>
      <c r="C5415" s="21" t="s">
        <v>19343</v>
      </c>
      <c r="D5415" s="72" t="s">
        <v>19344</v>
      </c>
      <c r="E5415" s="72"/>
      <c r="F5415" s="72"/>
      <c r="G5415" s="72"/>
      <c r="H5415" s="22" t="s">
        <v>19345</v>
      </c>
      <c r="I5415" s="27">
        <v>115</v>
      </c>
      <c r="J5415" s="22"/>
      <c r="K5415" s="20">
        <v>5</v>
      </c>
      <c r="L5415" s="24">
        <v>134.93</v>
      </c>
      <c r="M5415" s="11"/>
      <c r="N5415" s="22">
        <f t="shared" si="301"/>
        <v>0</v>
      </c>
      <c r="O5415" s="25">
        <f>0.024*M5415</f>
        <v>0</v>
      </c>
      <c r="P5415" s="26">
        <f>0.00028*M5415</f>
        <v>0</v>
      </c>
      <c r="Q5415" s="30"/>
      <c r="R5415" s="22" t="s">
        <v>19346</v>
      </c>
      <c r="S5415" s="22" t="s">
        <v>435</v>
      </c>
      <c r="T5415" s="21" t="str">
        <f>HYPERLINK("https://miland.ru/api/getInfo/image/f0211516-ca1e-11ed-a230-00155d82e902")</f>
        <v>https://miland.ru/api/getInfo/image/f0211516-ca1e-11ed-a230-00155d82e902</v>
      </c>
      <c r="U5415" s="21"/>
      <c r="V5415" s="21"/>
      <c r="W5415" s="21" t="s">
        <v>5671</v>
      </c>
      <c r="X5415" s="21"/>
      <c r="Y5415" s="21" t="s">
        <v>41</v>
      </c>
      <c r="Z5415" s="21"/>
      <c r="AA5415" s="21" t="str">
        <f>HYPERLINK("https://miland.ru/api/getInfo/item/f0211516-ca1e-11ed-a230-00155d82e902")</f>
        <v>https://miland.ru/api/getInfo/item/f0211516-ca1e-11ed-a230-00155d82e902</v>
      </c>
      <c r="AB5415" s="21" t="s">
        <v>42</v>
      </c>
      <c r="AC5415" s="21"/>
      <c r="AD5415" s="21"/>
    </row>
    <row r="5416" spans="2:31" ht="12" customHeight="1" outlineLevel="3">
      <c r="B5416" s="70" t="s">
        <v>166</v>
      </c>
      <c r="C5416" s="70"/>
      <c r="D5416" s="70"/>
      <c r="E5416" s="70"/>
      <c r="F5416" s="70"/>
      <c r="G5416" s="70"/>
    </row>
    <row r="5417" spans="2:31" s="1" customFormat="1" ht="96.3" customHeight="1" outlineLevel="4">
      <c r="B5417" s="57">
        <v>4434</v>
      </c>
      <c r="C5417" s="21" t="s">
        <v>19347</v>
      </c>
      <c r="D5417" s="72" t="s">
        <v>19348</v>
      </c>
      <c r="E5417" s="72"/>
      <c r="F5417" s="72"/>
      <c r="G5417" s="72"/>
      <c r="H5417" s="22" t="s">
        <v>19349</v>
      </c>
      <c r="I5417" s="27">
        <v>403</v>
      </c>
      <c r="J5417" s="22"/>
      <c r="K5417" s="20">
        <v>4</v>
      </c>
      <c r="L5417" s="24">
        <v>179.23</v>
      </c>
      <c r="M5417" s="11"/>
      <c r="N5417" s="22">
        <f>L5417*M5417</f>
        <v>0</v>
      </c>
      <c r="O5417" s="25">
        <f>0.072*M5417</f>
        <v>0</v>
      </c>
      <c r="P5417" s="29">
        <f>0.0007*M5417</f>
        <v>0</v>
      </c>
      <c r="Q5417" s="30"/>
      <c r="R5417" s="22" t="s">
        <v>19350</v>
      </c>
      <c r="S5417" s="22"/>
      <c r="T5417" s="21" t="str">
        <f>HYPERLINK("https://miland.ru/api/getInfo/image/3285b16e-c73d-11ee-a25a-00155d82e908")</f>
        <v>https://miland.ru/api/getInfo/image/3285b16e-c73d-11ee-a25a-00155d82e908</v>
      </c>
      <c r="U5417" s="21"/>
      <c r="V5417" s="21" t="s">
        <v>5617</v>
      </c>
      <c r="W5417" s="21" t="s">
        <v>171</v>
      </c>
      <c r="X5417" s="21" t="s">
        <v>172</v>
      </c>
      <c r="Y5417" s="21" t="s">
        <v>173</v>
      </c>
      <c r="Z5417" s="21" t="s">
        <v>19351</v>
      </c>
      <c r="AA5417" s="21" t="str">
        <f>HYPERLINK("https://miland.ru/api/getInfo/item/3285b16e-c73d-11ee-a25a-00155d82e908")</f>
        <v>https://miland.ru/api/getInfo/item/3285b16e-c73d-11ee-a25a-00155d82e908</v>
      </c>
      <c r="AB5417" s="21" t="s">
        <v>42</v>
      </c>
      <c r="AC5417" s="21" t="s">
        <v>19352</v>
      </c>
      <c r="AD5417" s="21"/>
    </row>
    <row r="5418" spans="2:31" ht="12" customHeight="1" outlineLevel="3">
      <c r="B5418" s="70" t="s">
        <v>11922</v>
      </c>
      <c r="C5418" s="70"/>
      <c r="D5418" s="70"/>
      <c r="E5418" s="70"/>
      <c r="F5418" s="70"/>
      <c r="G5418" s="70"/>
    </row>
    <row r="5419" spans="2:31" s="1" customFormat="1" ht="96.3" customHeight="1" outlineLevel="4">
      <c r="B5419" s="59">
        <v>4435</v>
      </c>
      <c r="C5419" s="35" t="s">
        <v>19353</v>
      </c>
      <c r="D5419" s="73" t="s">
        <v>19354</v>
      </c>
      <c r="E5419" s="73"/>
      <c r="F5419" s="73"/>
      <c r="G5419" s="73"/>
      <c r="H5419" s="36" t="s">
        <v>19355</v>
      </c>
      <c r="I5419" s="40">
        <v>8</v>
      </c>
      <c r="J5419" s="36"/>
      <c r="K5419" s="34">
        <v>2</v>
      </c>
      <c r="L5419" s="41">
        <v>229.66666666666666</v>
      </c>
      <c r="M5419" s="11"/>
      <c r="N5419" s="36">
        <f>L5419*M5419</f>
        <v>0</v>
      </c>
      <c r="O5419" s="42">
        <f>0.273*M5419</f>
        <v>0</v>
      </c>
      <c r="P5419" s="43">
        <f>0.00091*M5419</f>
        <v>0</v>
      </c>
      <c r="Q5419" s="50"/>
      <c r="R5419" s="36" t="s">
        <v>19356</v>
      </c>
      <c r="S5419" s="36" t="s">
        <v>435</v>
      </c>
      <c r="T5419" s="35" t="str">
        <f>HYPERLINK("https://miland.ru/api/getInfo/image/c2d87f19-c87e-11ed-a230-00155d82e902")</f>
        <v>https://miland.ru/api/getInfo/image/c2d87f19-c87e-11ed-a230-00155d82e902</v>
      </c>
      <c r="U5419" s="35"/>
      <c r="V5419" s="35"/>
      <c r="W5419" s="35" t="s">
        <v>1630</v>
      </c>
      <c r="X5419" s="35"/>
      <c r="Y5419" s="35" t="s">
        <v>41</v>
      </c>
      <c r="Z5419" s="35"/>
      <c r="AA5419" s="35" t="str">
        <f>HYPERLINK("https://miland.ru/api/getInfo/item/c2d87f19-c87e-11ed-a230-00155d82e902")</f>
        <v>https://miland.ru/api/getInfo/item/c2d87f19-c87e-11ed-a230-00155d82e902</v>
      </c>
      <c r="AB5419" s="35" t="s">
        <v>42</v>
      </c>
      <c r="AC5419" s="35"/>
      <c r="AD5419" s="35"/>
      <c r="AE5419" s="52" t="s">
        <v>1251</v>
      </c>
    </row>
    <row r="5420" spans="2:31" ht="12" customHeight="1" outlineLevel="3">
      <c r="B5420" s="70" t="s">
        <v>19357</v>
      </c>
      <c r="C5420" s="70"/>
      <c r="D5420" s="70"/>
      <c r="E5420" s="70"/>
      <c r="F5420" s="70"/>
      <c r="G5420" s="70"/>
    </row>
    <row r="5421" spans="2:31" s="1" customFormat="1" ht="96.3" customHeight="1" outlineLevel="4">
      <c r="B5421" s="57">
        <v>4436</v>
      </c>
      <c r="C5421" s="21" t="s">
        <v>19358</v>
      </c>
      <c r="D5421" s="72" t="s">
        <v>19359</v>
      </c>
      <c r="E5421" s="72"/>
      <c r="F5421" s="72"/>
      <c r="G5421" s="72"/>
      <c r="H5421" s="22" t="s">
        <v>19360</v>
      </c>
      <c r="I5421" s="27">
        <v>368</v>
      </c>
      <c r="J5421" s="22"/>
      <c r="K5421" s="20">
        <v>3</v>
      </c>
      <c r="L5421" s="24">
        <v>189.39</v>
      </c>
      <c r="M5421" s="11"/>
      <c r="N5421" s="22">
        <f>L5421*M5421</f>
        <v>0</v>
      </c>
      <c r="O5421" s="28">
        <f>0.05*M5421</f>
        <v>0</v>
      </c>
      <c r="P5421" s="26">
        <f>0.00136*M5421</f>
        <v>0</v>
      </c>
      <c r="Q5421" s="30"/>
      <c r="R5421" s="22" t="s">
        <v>19361</v>
      </c>
      <c r="S5421" s="22"/>
      <c r="T5421" s="21" t="str">
        <f>HYPERLINK("https://miland.ru/api/getInfo/image/582eb2f7-d8c4-11ef-a273-00155d82e908")</f>
        <v>https://miland.ru/api/getInfo/image/582eb2f7-d8c4-11ef-a273-00155d82e908</v>
      </c>
      <c r="U5421" s="21"/>
      <c r="V5421" s="21"/>
      <c r="W5421" s="21" t="s">
        <v>10918</v>
      </c>
      <c r="X5421" s="21" t="s">
        <v>172</v>
      </c>
      <c r="Y5421" s="21" t="s">
        <v>10405</v>
      </c>
      <c r="Z5421" s="21" t="s">
        <v>19361</v>
      </c>
      <c r="AA5421" s="21" t="str">
        <f>HYPERLINK("https://miland.ru/api/getInfo/item/582eb2f7-d8c4-11ef-a273-00155d82e908")</f>
        <v>https://miland.ru/api/getInfo/item/582eb2f7-d8c4-11ef-a273-00155d82e908</v>
      </c>
      <c r="AB5421" s="21" t="s">
        <v>42</v>
      </c>
      <c r="AC5421" s="21"/>
      <c r="AD5421" s="21"/>
    </row>
    <row r="5422" spans="2:31" s="1" customFormat="1" ht="96.3" customHeight="1" outlineLevel="4">
      <c r="B5422" s="57">
        <v>4437</v>
      </c>
      <c r="C5422" s="21" t="s">
        <v>19362</v>
      </c>
      <c r="D5422" s="72" t="s">
        <v>19363</v>
      </c>
      <c r="E5422" s="72"/>
      <c r="F5422" s="72"/>
      <c r="G5422" s="72"/>
      <c r="H5422" s="22" t="s">
        <v>19364</v>
      </c>
      <c r="I5422" s="23" t="s">
        <v>36</v>
      </c>
      <c r="J5422" s="22"/>
      <c r="K5422" s="20">
        <v>3</v>
      </c>
      <c r="L5422" s="24">
        <v>201.66</v>
      </c>
      <c r="M5422" s="11"/>
      <c r="N5422" s="22">
        <f>L5422*M5422</f>
        <v>0</v>
      </c>
      <c r="O5422" s="25">
        <f>0.212*M5422</f>
        <v>0</v>
      </c>
      <c r="P5422" s="26">
        <f>0.00048*M5422</f>
        <v>0</v>
      </c>
      <c r="Q5422" s="30"/>
      <c r="R5422" s="22" t="s">
        <v>19365</v>
      </c>
      <c r="S5422" s="22"/>
      <c r="T5422" s="21" t="str">
        <f>HYPERLINK("https://miland.ru/api/getInfo/image/b30913e0-c002-11ee-a25a-00155d82e908")</f>
        <v>https://miland.ru/api/getInfo/image/b30913e0-c002-11ee-a25a-00155d82e908</v>
      </c>
      <c r="U5422" s="21"/>
      <c r="V5422" s="21"/>
      <c r="W5422" s="21" t="s">
        <v>10918</v>
      </c>
      <c r="X5422" s="21" t="s">
        <v>172</v>
      </c>
      <c r="Y5422" s="21" t="s">
        <v>10405</v>
      </c>
      <c r="Z5422" s="21" t="s">
        <v>19366</v>
      </c>
      <c r="AA5422" s="21" t="str">
        <f>HYPERLINK("https://miland.ru/api/getInfo/item/b30913e0-c002-11ee-a25a-00155d82e908")</f>
        <v>https://miland.ru/api/getInfo/item/b30913e0-c002-11ee-a25a-00155d82e908</v>
      </c>
      <c r="AB5422" s="21" t="s">
        <v>42</v>
      </c>
      <c r="AC5422" s="21" t="s">
        <v>19367</v>
      </c>
      <c r="AD5422" s="21"/>
    </row>
    <row r="5423" spans="2:31" s="1" customFormat="1" ht="96.3" customHeight="1" outlineLevel="4">
      <c r="B5423" s="57">
        <v>4438</v>
      </c>
      <c r="C5423" s="21" t="s">
        <v>19368</v>
      </c>
      <c r="D5423" s="72" t="s">
        <v>19369</v>
      </c>
      <c r="E5423" s="72"/>
      <c r="F5423" s="72"/>
      <c r="G5423" s="72"/>
      <c r="H5423" s="22" t="s">
        <v>19370</v>
      </c>
      <c r="I5423" s="23" t="s">
        <v>36</v>
      </c>
      <c r="J5423" s="22"/>
      <c r="K5423" s="20">
        <v>2</v>
      </c>
      <c r="L5423" s="24">
        <v>293.33</v>
      </c>
      <c r="M5423" s="11"/>
      <c r="N5423" s="22">
        <f>L5423*M5423</f>
        <v>0</v>
      </c>
      <c r="O5423" s="25">
        <f>0.053*M5423</f>
        <v>0</v>
      </c>
      <c r="P5423" s="26">
        <f>0.00297*M5423</f>
        <v>0</v>
      </c>
      <c r="Q5423" s="30"/>
      <c r="R5423" s="22" t="s">
        <v>19371</v>
      </c>
      <c r="S5423" s="22"/>
      <c r="T5423" s="21" t="str">
        <f>HYPERLINK("https://miland.ru/api/getInfo/image/5cbbbbd9-c003-11ee-a25a-00155d82e908")</f>
        <v>https://miland.ru/api/getInfo/image/5cbbbbd9-c003-11ee-a25a-00155d82e908</v>
      </c>
      <c r="U5423" s="21"/>
      <c r="V5423" s="21" t="s">
        <v>19372</v>
      </c>
      <c r="W5423" s="21" t="s">
        <v>10918</v>
      </c>
      <c r="X5423" s="21" t="s">
        <v>172</v>
      </c>
      <c r="Y5423" s="21" t="s">
        <v>10405</v>
      </c>
      <c r="Z5423" s="21" t="s">
        <v>19373</v>
      </c>
      <c r="AA5423" s="21" t="str">
        <f>HYPERLINK("https://miland.ru/api/getInfo/item/5cbbbbd9-c003-11ee-a25a-00155d82e908")</f>
        <v>https://miland.ru/api/getInfo/item/5cbbbbd9-c003-11ee-a25a-00155d82e908</v>
      </c>
      <c r="AB5423" s="21" t="s">
        <v>42</v>
      </c>
      <c r="AC5423" s="21" t="s">
        <v>19367</v>
      </c>
      <c r="AD5423" s="21"/>
    </row>
    <row r="5424" spans="2:31" s="1" customFormat="1" ht="96.3" customHeight="1" outlineLevel="4">
      <c r="B5424" s="57">
        <v>4439</v>
      </c>
      <c r="C5424" s="21" t="s">
        <v>19374</v>
      </c>
      <c r="D5424" s="72" t="s">
        <v>19375</v>
      </c>
      <c r="E5424" s="72"/>
      <c r="F5424" s="72"/>
      <c r="G5424" s="72"/>
      <c r="H5424" s="22" t="s">
        <v>19376</v>
      </c>
      <c r="I5424" s="23" t="s">
        <v>36</v>
      </c>
      <c r="J5424" s="22"/>
      <c r="K5424" s="20">
        <v>3</v>
      </c>
      <c r="L5424" s="24">
        <v>191.78</v>
      </c>
      <c r="M5424" s="11"/>
      <c r="N5424" s="22">
        <f>L5424*M5424</f>
        <v>0</v>
      </c>
      <c r="O5424" s="25">
        <f>0.032*M5424</f>
        <v>0</v>
      </c>
      <c r="P5424" s="26">
        <f>0.00032*M5424</f>
        <v>0</v>
      </c>
      <c r="Q5424" s="30"/>
      <c r="R5424" s="22" t="s">
        <v>19377</v>
      </c>
      <c r="S5424" s="22"/>
      <c r="T5424" s="21" t="str">
        <f>HYPERLINK("https://miland.ru/api/getInfo/image/3ffe1702-c003-11ee-a25a-00155d82e908")</f>
        <v>https://miland.ru/api/getInfo/image/3ffe1702-c003-11ee-a25a-00155d82e908</v>
      </c>
      <c r="U5424" s="21"/>
      <c r="V5424" s="21"/>
      <c r="W5424" s="21" t="s">
        <v>10918</v>
      </c>
      <c r="X5424" s="21" t="s">
        <v>172</v>
      </c>
      <c r="Y5424" s="21" t="s">
        <v>10405</v>
      </c>
      <c r="Z5424" s="21" t="s">
        <v>19378</v>
      </c>
      <c r="AA5424" s="21" t="str">
        <f>HYPERLINK("https://miland.ru/api/getInfo/item/3ffe1702-c003-11ee-a25a-00155d82e908")</f>
        <v>https://miland.ru/api/getInfo/item/3ffe1702-c003-11ee-a25a-00155d82e908</v>
      </c>
      <c r="AB5424" s="21" t="s">
        <v>42</v>
      </c>
      <c r="AC5424" s="21" t="s">
        <v>19379</v>
      </c>
      <c r="AD5424" s="21"/>
    </row>
    <row r="5425" spans="2:30" s="1" customFormat="1" ht="96.3" customHeight="1" outlineLevel="4">
      <c r="B5425" s="57">
        <v>4440</v>
      </c>
      <c r="C5425" s="21" t="s">
        <v>19380</v>
      </c>
      <c r="D5425" s="72" t="s">
        <v>19381</v>
      </c>
      <c r="E5425" s="72"/>
      <c r="F5425" s="72"/>
      <c r="G5425" s="72"/>
      <c r="H5425" s="22" t="s">
        <v>19382</v>
      </c>
      <c r="I5425" s="23" t="s">
        <v>36</v>
      </c>
      <c r="J5425" s="22"/>
      <c r="K5425" s="20">
        <v>4</v>
      </c>
      <c r="L5425" s="24">
        <v>168.47</v>
      </c>
      <c r="M5425" s="11"/>
      <c r="N5425" s="22">
        <f>L5425*M5425</f>
        <v>0</v>
      </c>
      <c r="O5425" s="25">
        <f>0.036*M5425</f>
        <v>0</v>
      </c>
      <c r="P5425" s="26">
        <f>0.00031*M5425</f>
        <v>0</v>
      </c>
      <c r="Q5425" s="30"/>
      <c r="R5425" s="22" t="s">
        <v>19383</v>
      </c>
      <c r="S5425" s="22"/>
      <c r="T5425" s="21" t="str">
        <f>HYPERLINK("https://miland.ru/api/getInfo/image/07893768-c003-11ee-a25a-00155d82e908")</f>
        <v>https://miland.ru/api/getInfo/image/07893768-c003-11ee-a25a-00155d82e908</v>
      </c>
      <c r="U5425" s="21"/>
      <c r="V5425" s="21"/>
      <c r="W5425" s="21" t="s">
        <v>10918</v>
      </c>
      <c r="X5425" s="21" t="s">
        <v>172</v>
      </c>
      <c r="Y5425" s="21" t="s">
        <v>10405</v>
      </c>
      <c r="Z5425" s="21" t="s">
        <v>19384</v>
      </c>
      <c r="AA5425" s="21" t="str">
        <f>HYPERLINK("https://miland.ru/api/getInfo/item/07893768-c003-11ee-a25a-00155d82e908")</f>
        <v>https://miland.ru/api/getInfo/item/07893768-c003-11ee-a25a-00155d82e908</v>
      </c>
      <c r="AB5425" s="21" t="s">
        <v>42</v>
      </c>
      <c r="AC5425" s="21" t="s">
        <v>19379</v>
      </c>
      <c r="AD5425" s="21"/>
    </row>
    <row r="5426" spans="2:30" ht="12" customHeight="1" outlineLevel="2">
      <c r="B5426" s="69" t="s">
        <v>19385</v>
      </c>
      <c r="C5426" s="69"/>
      <c r="D5426" s="69"/>
      <c r="E5426" s="69"/>
      <c r="F5426" s="69"/>
      <c r="G5426" s="69"/>
    </row>
    <row r="5427" spans="2:30" ht="12" customHeight="1" outlineLevel="3">
      <c r="B5427" s="70" t="s">
        <v>19386</v>
      </c>
      <c r="C5427" s="70"/>
      <c r="D5427" s="70"/>
      <c r="E5427" s="70"/>
      <c r="F5427" s="70"/>
      <c r="G5427" s="70"/>
    </row>
    <row r="5428" spans="2:30" s="1" customFormat="1" ht="96.3" customHeight="1" outlineLevel="4">
      <c r="B5428" s="57">
        <v>4441</v>
      </c>
      <c r="C5428" s="21" t="s">
        <v>19387</v>
      </c>
      <c r="D5428" s="72" t="s">
        <v>19388</v>
      </c>
      <c r="E5428" s="72"/>
      <c r="F5428" s="72"/>
      <c r="G5428" s="72"/>
      <c r="H5428" s="22" t="s">
        <v>19389</v>
      </c>
      <c r="I5428" s="23" t="s">
        <v>36</v>
      </c>
      <c r="J5428" s="22"/>
      <c r="K5428" s="20">
        <v>1</v>
      </c>
      <c r="L5428" s="32">
        <v>1005.2</v>
      </c>
      <c r="M5428" s="11"/>
      <c r="N5428" s="22">
        <f>L5428*M5428</f>
        <v>0</v>
      </c>
      <c r="O5428" s="25">
        <f>0.367*M5428</f>
        <v>0</v>
      </c>
      <c r="P5428" s="26">
        <f>0.00304*M5428</f>
        <v>0</v>
      </c>
      <c r="Q5428" s="30"/>
      <c r="R5428" s="22" t="s">
        <v>19390</v>
      </c>
      <c r="S5428" s="22"/>
      <c r="T5428" s="21" t="str">
        <f>HYPERLINK("https://miland.ru/api/getInfo/image/6ed9f9ae-7720-11ee-a248-00155d82e902")</f>
        <v>https://miland.ru/api/getInfo/image/6ed9f9ae-7720-11ee-a248-00155d82e902</v>
      </c>
      <c r="U5428" s="21"/>
      <c r="V5428" s="21"/>
      <c r="W5428" s="21" t="s">
        <v>19391</v>
      </c>
      <c r="X5428" s="21"/>
      <c r="Y5428" s="21" t="s">
        <v>12356</v>
      </c>
      <c r="Z5428" s="21"/>
      <c r="AA5428" s="21" t="str">
        <f>HYPERLINK("https://miland.ru/api/getInfo/item/6ed9f9ae-7720-11ee-a248-00155d82e902")</f>
        <v>https://miland.ru/api/getInfo/item/6ed9f9ae-7720-11ee-a248-00155d82e902</v>
      </c>
      <c r="AB5428" s="21" t="s">
        <v>42</v>
      </c>
      <c r="AC5428" s="21" t="s">
        <v>19392</v>
      </c>
      <c r="AD5428" s="21"/>
    </row>
    <row r="5429" spans="2:30" s="1" customFormat="1" ht="96.3" customHeight="1" outlineLevel="4">
      <c r="B5429" s="57">
        <v>4442</v>
      </c>
      <c r="C5429" s="21" t="s">
        <v>19393</v>
      </c>
      <c r="D5429" s="72" t="s">
        <v>19394</v>
      </c>
      <c r="E5429" s="72"/>
      <c r="F5429" s="72"/>
      <c r="G5429" s="72"/>
      <c r="H5429" s="22" t="s">
        <v>19395</v>
      </c>
      <c r="I5429" s="23" t="s">
        <v>36</v>
      </c>
      <c r="J5429" s="22"/>
      <c r="K5429" s="20">
        <v>1</v>
      </c>
      <c r="L5429" s="24">
        <v>714.23</v>
      </c>
      <c r="M5429" s="11"/>
      <c r="N5429" s="22">
        <f>L5429*M5429</f>
        <v>0</v>
      </c>
      <c r="O5429" s="25">
        <f>0.353*M5429</f>
        <v>0</v>
      </c>
      <c r="P5429" s="26">
        <f>0.00313*M5429</f>
        <v>0</v>
      </c>
      <c r="Q5429" s="30"/>
      <c r="R5429" s="22" t="s">
        <v>19396</v>
      </c>
      <c r="S5429" s="22"/>
      <c r="T5429" s="21" t="str">
        <f>HYPERLINK("https://miland.ru/api/getInfo/image/55f03d04-7720-11ee-a248-00155d82e902")</f>
        <v>https://miland.ru/api/getInfo/image/55f03d04-7720-11ee-a248-00155d82e902</v>
      </c>
      <c r="U5429" s="21"/>
      <c r="V5429" s="21"/>
      <c r="W5429" s="21" t="s">
        <v>19391</v>
      </c>
      <c r="X5429" s="21"/>
      <c r="Y5429" s="21" t="s">
        <v>12356</v>
      </c>
      <c r="Z5429" s="21"/>
      <c r="AA5429" s="21" t="str">
        <f>HYPERLINK("https://miland.ru/api/getInfo/item/55f03d04-7720-11ee-a248-00155d82e902")</f>
        <v>https://miland.ru/api/getInfo/item/55f03d04-7720-11ee-a248-00155d82e902</v>
      </c>
      <c r="AB5429" s="21" t="s">
        <v>42</v>
      </c>
      <c r="AC5429" s="21" t="s">
        <v>19392</v>
      </c>
      <c r="AD5429" s="21"/>
    </row>
    <row r="5430" spans="2:30" s="1" customFormat="1" ht="96.3" customHeight="1" outlineLevel="4">
      <c r="B5430" s="57">
        <v>4443</v>
      </c>
      <c r="C5430" s="21" t="s">
        <v>19397</v>
      </c>
      <c r="D5430" s="72" t="s">
        <v>19398</v>
      </c>
      <c r="E5430" s="72"/>
      <c r="F5430" s="72"/>
      <c r="G5430" s="72"/>
      <c r="H5430" s="22" t="s">
        <v>19399</v>
      </c>
      <c r="I5430" s="23" t="s">
        <v>36</v>
      </c>
      <c r="J5430" s="22"/>
      <c r="K5430" s="20">
        <v>1</v>
      </c>
      <c r="L5430" s="24">
        <v>714.23</v>
      </c>
      <c r="M5430" s="11"/>
      <c r="N5430" s="22">
        <f>L5430*M5430</f>
        <v>0</v>
      </c>
      <c r="O5430" s="25">
        <f>0.346*M5430</f>
        <v>0</v>
      </c>
      <c r="P5430" s="26">
        <f>0.00323*M5430</f>
        <v>0</v>
      </c>
      <c r="Q5430" s="30"/>
      <c r="R5430" s="22" t="s">
        <v>19400</v>
      </c>
      <c r="S5430" s="22"/>
      <c r="T5430" s="21" t="str">
        <f>HYPERLINK("https://miland.ru/api/getInfo/image/445618dc-7720-11ee-a248-00155d82e902")</f>
        <v>https://miland.ru/api/getInfo/image/445618dc-7720-11ee-a248-00155d82e902</v>
      </c>
      <c r="U5430" s="21"/>
      <c r="V5430" s="21"/>
      <c r="W5430" s="21" t="s">
        <v>19391</v>
      </c>
      <c r="X5430" s="21"/>
      <c r="Y5430" s="21" t="s">
        <v>12356</v>
      </c>
      <c r="Z5430" s="21"/>
      <c r="AA5430" s="21" t="str">
        <f>HYPERLINK("https://miland.ru/api/getInfo/item/445618dc-7720-11ee-a248-00155d82e902")</f>
        <v>https://miland.ru/api/getInfo/item/445618dc-7720-11ee-a248-00155d82e902</v>
      </c>
      <c r="AB5430" s="21" t="s">
        <v>42</v>
      </c>
      <c r="AC5430" s="21" t="s">
        <v>19392</v>
      </c>
      <c r="AD5430" s="21"/>
    </row>
    <row r="5431" spans="2:30" ht="12" customHeight="1" outlineLevel="3">
      <c r="B5431" s="70" t="s">
        <v>19401</v>
      </c>
      <c r="C5431" s="70"/>
      <c r="D5431" s="70"/>
      <c r="E5431" s="70"/>
      <c r="F5431" s="70"/>
      <c r="G5431" s="70"/>
    </row>
    <row r="5432" spans="2:30" s="1" customFormat="1" ht="96.3" customHeight="1" outlineLevel="4">
      <c r="B5432" s="57">
        <v>4444</v>
      </c>
      <c r="C5432" s="21" t="s">
        <v>19402</v>
      </c>
      <c r="D5432" s="72" t="s">
        <v>19403</v>
      </c>
      <c r="E5432" s="72"/>
      <c r="F5432" s="72"/>
      <c r="G5432" s="72"/>
      <c r="H5432" s="22" t="s">
        <v>19404</v>
      </c>
      <c r="I5432" s="27">
        <v>145</v>
      </c>
      <c r="J5432" s="22"/>
      <c r="K5432" s="20">
        <v>2</v>
      </c>
      <c r="L5432" s="24">
        <v>338.19</v>
      </c>
      <c r="M5432" s="11"/>
      <c r="N5432" s="22">
        <f t="shared" ref="N5432:N5439" si="302">L5432*M5432</f>
        <v>0</v>
      </c>
      <c r="O5432" s="25">
        <f>0.048*M5432</f>
        <v>0</v>
      </c>
      <c r="P5432" s="26">
        <f>0.00162*M5432</f>
        <v>0</v>
      </c>
      <c r="Q5432" s="30"/>
      <c r="R5432" s="22" t="s">
        <v>19405</v>
      </c>
      <c r="S5432" s="22"/>
      <c r="T5432" s="21" t="str">
        <f>HYPERLINK("https://miland.ru/api/getInfo/image/210dc58d-c0d6-11ee-a25a-00155d82e908")</f>
        <v>https://miland.ru/api/getInfo/image/210dc58d-c0d6-11ee-a25a-00155d82e908</v>
      </c>
      <c r="U5432" s="21"/>
      <c r="V5432" s="21"/>
      <c r="W5432" s="21" t="s">
        <v>5671</v>
      </c>
      <c r="X5432" s="21"/>
      <c r="Y5432" s="21" t="s">
        <v>41</v>
      </c>
      <c r="Z5432" s="21"/>
      <c r="AA5432" s="21" t="str">
        <f>HYPERLINK("https://miland.ru/api/getInfo/item/210dc58d-c0d6-11ee-a25a-00155d82e908")</f>
        <v>https://miland.ru/api/getInfo/item/210dc58d-c0d6-11ee-a25a-00155d82e908</v>
      </c>
      <c r="AB5432" s="21" t="s">
        <v>42</v>
      </c>
      <c r="AC5432" s="21" t="s">
        <v>19406</v>
      </c>
      <c r="AD5432" s="21"/>
    </row>
    <row r="5433" spans="2:30" s="1" customFormat="1" ht="96.3" customHeight="1" outlineLevel="4">
      <c r="B5433" s="57">
        <v>4445</v>
      </c>
      <c r="C5433" s="21" t="s">
        <v>19407</v>
      </c>
      <c r="D5433" s="72" t="s">
        <v>19408</v>
      </c>
      <c r="E5433" s="72"/>
      <c r="F5433" s="72"/>
      <c r="G5433" s="72"/>
      <c r="H5433" s="22" t="s">
        <v>19409</v>
      </c>
      <c r="I5433" s="27">
        <v>42</v>
      </c>
      <c r="J5433" s="22"/>
      <c r="K5433" s="20">
        <v>2</v>
      </c>
      <c r="L5433" s="24">
        <v>376.69</v>
      </c>
      <c r="M5433" s="11"/>
      <c r="N5433" s="22">
        <f t="shared" si="302"/>
        <v>0</v>
      </c>
      <c r="O5433" s="25">
        <f>0.066*M5433</f>
        <v>0</v>
      </c>
      <c r="P5433" s="26">
        <f>0.00035*M5433</f>
        <v>0</v>
      </c>
      <c r="Q5433" s="30"/>
      <c r="R5433" s="22" t="s">
        <v>19410</v>
      </c>
      <c r="S5433" s="22"/>
      <c r="T5433" s="21" t="str">
        <f>HYPERLINK("https://miland.ru/api/getInfo/image/6a92b852-c0d6-11ee-a25a-00155d82e908")</f>
        <v>https://miland.ru/api/getInfo/image/6a92b852-c0d6-11ee-a25a-00155d82e908</v>
      </c>
      <c r="U5433" s="21"/>
      <c r="V5433" s="21"/>
      <c r="W5433" s="21" t="s">
        <v>5671</v>
      </c>
      <c r="X5433" s="21"/>
      <c r="Y5433" s="21" t="s">
        <v>41</v>
      </c>
      <c r="Z5433" s="21"/>
      <c r="AA5433" s="21" t="str">
        <f>HYPERLINK("https://miland.ru/api/getInfo/item/6a92b852-c0d6-11ee-a25a-00155d82e908")</f>
        <v>https://miland.ru/api/getInfo/item/6a92b852-c0d6-11ee-a25a-00155d82e908</v>
      </c>
      <c r="AB5433" s="21" t="s">
        <v>42</v>
      </c>
      <c r="AC5433" s="21" t="s">
        <v>19406</v>
      </c>
      <c r="AD5433" s="21"/>
    </row>
    <row r="5434" spans="2:30" s="1" customFormat="1" ht="96.3" customHeight="1" outlineLevel="4">
      <c r="B5434" s="57">
        <v>4446</v>
      </c>
      <c r="C5434" s="21" t="s">
        <v>19411</v>
      </c>
      <c r="D5434" s="72" t="s">
        <v>19412</v>
      </c>
      <c r="E5434" s="72"/>
      <c r="F5434" s="72"/>
      <c r="G5434" s="72"/>
      <c r="H5434" s="22" t="s">
        <v>19413</v>
      </c>
      <c r="I5434" s="27">
        <v>36</v>
      </c>
      <c r="J5434" s="22"/>
      <c r="K5434" s="20">
        <v>3</v>
      </c>
      <c r="L5434" s="24">
        <v>226.09</v>
      </c>
      <c r="M5434" s="11"/>
      <c r="N5434" s="22">
        <f t="shared" si="302"/>
        <v>0</v>
      </c>
      <c r="O5434" s="28">
        <f>0.09*M5434</f>
        <v>0</v>
      </c>
      <c r="P5434" s="26">
        <f>0.00422*M5434</f>
        <v>0</v>
      </c>
      <c r="Q5434" s="30"/>
      <c r="R5434" s="22" t="s">
        <v>19414</v>
      </c>
      <c r="S5434" s="22" t="s">
        <v>435</v>
      </c>
      <c r="T5434" s="21" t="str">
        <f>HYPERLINK("https://miland.ru/api/getInfo/image/7d41c705-17f5-11ea-a237-ac1f6b442184")</f>
        <v>https://miland.ru/api/getInfo/image/7d41c705-17f5-11ea-a237-ac1f6b442184</v>
      </c>
      <c r="U5434" s="21"/>
      <c r="V5434" s="21"/>
      <c r="W5434" s="21" t="s">
        <v>5671</v>
      </c>
      <c r="X5434" s="21"/>
      <c r="Y5434" s="21" t="s">
        <v>41</v>
      </c>
      <c r="Z5434" s="21"/>
      <c r="AA5434" s="21" t="str">
        <f>HYPERLINK("https://miland.ru/api/getInfo/item/7d41c705-17f5-11ea-a237-ac1f6b442184")</f>
        <v>https://miland.ru/api/getInfo/item/7d41c705-17f5-11ea-a237-ac1f6b442184</v>
      </c>
      <c r="AB5434" s="21" t="s">
        <v>42</v>
      </c>
      <c r="AC5434" s="21" t="s">
        <v>19415</v>
      </c>
      <c r="AD5434" s="21"/>
    </row>
    <row r="5435" spans="2:30" s="1" customFormat="1" ht="96.3" customHeight="1" outlineLevel="4">
      <c r="B5435" s="57">
        <v>4447</v>
      </c>
      <c r="C5435" s="21" t="s">
        <v>19416</v>
      </c>
      <c r="D5435" s="72" t="s">
        <v>19417</v>
      </c>
      <c r="E5435" s="72"/>
      <c r="F5435" s="72"/>
      <c r="G5435" s="72"/>
      <c r="H5435" s="22" t="s">
        <v>19418</v>
      </c>
      <c r="I5435" s="27">
        <v>69</v>
      </c>
      <c r="J5435" s="22"/>
      <c r="K5435" s="20">
        <v>3</v>
      </c>
      <c r="L5435" s="24">
        <v>232.59</v>
      </c>
      <c r="M5435" s="11"/>
      <c r="N5435" s="22">
        <f t="shared" si="302"/>
        <v>0</v>
      </c>
      <c r="O5435" s="28">
        <f>0.09*M5435</f>
        <v>0</v>
      </c>
      <c r="P5435" s="26">
        <f>0.00422*M5435</f>
        <v>0</v>
      </c>
      <c r="Q5435" s="30"/>
      <c r="R5435" s="22" t="s">
        <v>19419</v>
      </c>
      <c r="S5435" s="22" t="s">
        <v>435</v>
      </c>
      <c r="T5435" s="21" t="str">
        <f>HYPERLINK("https://miland.ru/api/getInfo/image/d128423e-17f5-11ea-a237-ac1f6b442184")</f>
        <v>https://miland.ru/api/getInfo/image/d128423e-17f5-11ea-a237-ac1f6b442184</v>
      </c>
      <c r="U5435" s="21"/>
      <c r="V5435" s="21"/>
      <c r="W5435" s="21" t="s">
        <v>5671</v>
      </c>
      <c r="X5435" s="21"/>
      <c r="Y5435" s="21" t="s">
        <v>41</v>
      </c>
      <c r="Z5435" s="21"/>
      <c r="AA5435" s="21" t="str">
        <f>HYPERLINK("https://miland.ru/api/getInfo/item/d128423e-17f5-11ea-a237-ac1f6b442184")</f>
        <v>https://miland.ru/api/getInfo/item/d128423e-17f5-11ea-a237-ac1f6b442184</v>
      </c>
      <c r="AB5435" s="21" t="s">
        <v>42</v>
      </c>
      <c r="AC5435" s="21" t="s">
        <v>19415</v>
      </c>
      <c r="AD5435" s="21"/>
    </row>
    <row r="5436" spans="2:30" s="1" customFormat="1" ht="96.3" customHeight="1" outlineLevel="4">
      <c r="B5436" s="57">
        <v>4448</v>
      </c>
      <c r="C5436" s="21" t="s">
        <v>19420</v>
      </c>
      <c r="D5436" s="72" t="s">
        <v>19421</v>
      </c>
      <c r="E5436" s="72"/>
      <c r="F5436" s="72"/>
      <c r="G5436" s="72"/>
      <c r="H5436" s="22" t="s">
        <v>19422</v>
      </c>
      <c r="I5436" s="27">
        <v>67</v>
      </c>
      <c r="J5436" s="22"/>
      <c r="K5436" s="20">
        <v>2</v>
      </c>
      <c r="L5436" s="24">
        <v>313.52999999999997</v>
      </c>
      <c r="M5436" s="11"/>
      <c r="N5436" s="22">
        <f t="shared" si="302"/>
        <v>0</v>
      </c>
      <c r="O5436" s="28">
        <f>0.09*M5436</f>
        <v>0</v>
      </c>
      <c r="P5436" s="26">
        <f>0.00418*M5436</f>
        <v>0</v>
      </c>
      <c r="Q5436" s="30"/>
      <c r="R5436" s="22" t="s">
        <v>19423</v>
      </c>
      <c r="S5436" s="22" t="s">
        <v>435</v>
      </c>
      <c r="T5436" s="21" t="str">
        <f>HYPERLINK("https://miland.ru/api/getInfo/image/54f98fdb-17f7-11ea-a237-ac1f6b442184")</f>
        <v>https://miland.ru/api/getInfo/image/54f98fdb-17f7-11ea-a237-ac1f6b442184</v>
      </c>
      <c r="U5436" s="21"/>
      <c r="V5436" s="21"/>
      <c r="W5436" s="21" t="s">
        <v>5671</v>
      </c>
      <c r="X5436" s="21"/>
      <c r="Y5436" s="21" t="s">
        <v>41</v>
      </c>
      <c r="Z5436" s="21"/>
      <c r="AA5436" s="21" t="str">
        <f>HYPERLINK("https://miland.ru/api/getInfo/item/54f98fdb-17f7-11ea-a237-ac1f6b442184")</f>
        <v>https://miland.ru/api/getInfo/item/54f98fdb-17f7-11ea-a237-ac1f6b442184</v>
      </c>
      <c r="AB5436" s="21" t="s">
        <v>42</v>
      </c>
      <c r="AC5436" s="21" t="s">
        <v>19424</v>
      </c>
      <c r="AD5436" s="21"/>
    </row>
    <row r="5437" spans="2:30" s="1" customFormat="1" ht="96.3" customHeight="1" outlineLevel="4">
      <c r="B5437" s="57">
        <v>4449</v>
      </c>
      <c r="C5437" s="21" t="s">
        <v>19425</v>
      </c>
      <c r="D5437" s="72" t="s">
        <v>19426</v>
      </c>
      <c r="E5437" s="72"/>
      <c r="F5437" s="72"/>
      <c r="G5437" s="72"/>
      <c r="H5437" s="22" t="s">
        <v>19427</v>
      </c>
      <c r="I5437" s="27">
        <v>159</v>
      </c>
      <c r="J5437" s="22"/>
      <c r="K5437" s="20">
        <v>1</v>
      </c>
      <c r="L5437" s="24">
        <v>597.14</v>
      </c>
      <c r="M5437" s="11"/>
      <c r="N5437" s="22">
        <f t="shared" si="302"/>
        <v>0</v>
      </c>
      <c r="O5437" s="25">
        <f>0.112*M5437</f>
        <v>0</v>
      </c>
      <c r="P5437" s="26">
        <f>0.00221*M5437</f>
        <v>0</v>
      </c>
      <c r="Q5437" s="30"/>
      <c r="R5437" s="22" t="s">
        <v>19428</v>
      </c>
      <c r="S5437" s="22"/>
      <c r="T5437" s="21" t="str">
        <f>HYPERLINK("https://miland.ru/api/getInfo/image/0951bf71-d9c5-11ed-a232-00155d82e902")</f>
        <v>https://miland.ru/api/getInfo/image/0951bf71-d9c5-11ed-a232-00155d82e902</v>
      </c>
      <c r="U5437" s="21"/>
      <c r="V5437" s="21"/>
      <c r="W5437" s="21" t="s">
        <v>5671</v>
      </c>
      <c r="X5437" s="21"/>
      <c r="Y5437" s="21" t="s">
        <v>41</v>
      </c>
      <c r="Z5437" s="21"/>
      <c r="AA5437" s="21" t="str">
        <f>HYPERLINK("https://miland.ru/api/getInfo/item/0951bf71-d9c5-11ed-a232-00155d82e902")</f>
        <v>https://miland.ru/api/getInfo/item/0951bf71-d9c5-11ed-a232-00155d82e902</v>
      </c>
      <c r="AB5437" s="21" t="s">
        <v>42</v>
      </c>
      <c r="AC5437" s="21"/>
      <c r="AD5437" s="21"/>
    </row>
    <row r="5438" spans="2:30" s="1" customFormat="1" ht="96.3" customHeight="1" outlineLevel="4">
      <c r="B5438" s="57">
        <v>4450</v>
      </c>
      <c r="C5438" s="21" t="s">
        <v>19429</v>
      </c>
      <c r="D5438" s="72" t="s">
        <v>19430</v>
      </c>
      <c r="E5438" s="72"/>
      <c r="F5438" s="72"/>
      <c r="G5438" s="72"/>
      <c r="H5438" s="22" t="s">
        <v>19431</v>
      </c>
      <c r="I5438" s="27">
        <v>176</v>
      </c>
      <c r="J5438" s="22"/>
      <c r="K5438" s="20">
        <v>1</v>
      </c>
      <c r="L5438" s="32">
        <v>2046.78</v>
      </c>
      <c r="M5438" s="11"/>
      <c r="N5438" s="22">
        <f t="shared" si="302"/>
        <v>0</v>
      </c>
      <c r="O5438" s="25">
        <f>0.241*M5438</f>
        <v>0</v>
      </c>
      <c r="P5438" s="26">
        <f>0.00183*M5438</f>
        <v>0</v>
      </c>
      <c r="Q5438" s="30"/>
      <c r="R5438" s="22" t="s">
        <v>19432</v>
      </c>
      <c r="S5438" s="22" t="s">
        <v>435</v>
      </c>
      <c r="T5438" s="21" t="str">
        <f>HYPERLINK("https://miland.ru/api/getInfo/image/f08f719e-ed0f-11ee-a25b-00155d82e908")</f>
        <v>https://miland.ru/api/getInfo/image/f08f719e-ed0f-11ee-a25b-00155d82e908</v>
      </c>
      <c r="U5438" s="21"/>
      <c r="V5438" s="21"/>
      <c r="W5438" s="21" t="s">
        <v>5671</v>
      </c>
      <c r="X5438" s="21"/>
      <c r="Y5438" s="21" t="s">
        <v>41</v>
      </c>
      <c r="Z5438" s="21"/>
      <c r="AA5438" s="21" t="str">
        <f>HYPERLINK("https://miland.ru/api/getInfo/item/f08f719e-ed0f-11ee-a25b-00155d82e908")</f>
        <v>https://miland.ru/api/getInfo/item/f08f719e-ed0f-11ee-a25b-00155d82e908</v>
      </c>
      <c r="AB5438" s="21" t="s">
        <v>42</v>
      </c>
      <c r="AC5438" s="21" t="s">
        <v>19433</v>
      </c>
      <c r="AD5438" s="21"/>
    </row>
    <row r="5439" spans="2:30" s="1" customFormat="1" ht="96.3" customHeight="1" outlineLevel="4">
      <c r="B5439" s="57">
        <v>4451</v>
      </c>
      <c r="C5439" s="21" t="s">
        <v>19434</v>
      </c>
      <c r="D5439" s="72" t="s">
        <v>19435</v>
      </c>
      <c r="E5439" s="72"/>
      <c r="F5439" s="72"/>
      <c r="G5439" s="72"/>
      <c r="H5439" s="22" t="s">
        <v>19436</v>
      </c>
      <c r="I5439" s="27">
        <v>420</v>
      </c>
      <c r="J5439" s="22"/>
      <c r="K5439" s="20">
        <v>1</v>
      </c>
      <c r="L5439" s="24">
        <v>686.11</v>
      </c>
      <c r="M5439" s="11"/>
      <c r="N5439" s="22">
        <f t="shared" si="302"/>
        <v>0</v>
      </c>
      <c r="O5439" s="25">
        <f>0.201*M5439</f>
        <v>0</v>
      </c>
      <c r="P5439" s="26">
        <f>0.00444*M5439</f>
        <v>0</v>
      </c>
      <c r="Q5439" s="30"/>
      <c r="R5439" s="22" t="s">
        <v>19437</v>
      </c>
      <c r="S5439" s="22"/>
      <c r="T5439" s="21" t="str">
        <f>HYPERLINK("https://miland.ru/api/getInfo/image/2c449dd2-ed10-11ee-a25b-00155d82e908")</f>
        <v>https://miland.ru/api/getInfo/image/2c449dd2-ed10-11ee-a25b-00155d82e908</v>
      </c>
      <c r="U5439" s="21"/>
      <c r="V5439" s="21"/>
      <c r="W5439" s="21" t="s">
        <v>5671</v>
      </c>
      <c r="X5439" s="21"/>
      <c r="Y5439" s="21" t="s">
        <v>41</v>
      </c>
      <c r="Z5439" s="21"/>
      <c r="AA5439" s="21" t="str">
        <f>HYPERLINK("https://miland.ru/api/getInfo/item/2c449dd2-ed10-11ee-a25b-00155d82e908")</f>
        <v>https://miland.ru/api/getInfo/item/2c449dd2-ed10-11ee-a25b-00155d82e908</v>
      </c>
      <c r="AB5439" s="21" t="s">
        <v>42</v>
      </c>
      <c r="AC5439" s="21" t="s">
        <v>19287</v>
      </c>
      <c r="AD5439" s="21"/>
    </row>
    <row r="5440" spans="2:30" ht="12" customHeight="1" outlineLevel="3">
      <c r="B5440" s="70" t="s">
        <v>19438</v>
      </c>
      <c r="C5440" s="70"/>
      <c r="D5440" s="70"/>
      <c r="E5440" s="70"/>
      <c r="F5440" s="70"/>
      <c r="G5440" s="70"/>
    </row>
    <row r="5441" spans="2:31" s="1" customFormat="1" ht="96.3" customHeight="1" outlineLevel="4">
      <c r="B5441" s="57">
        <v>4452</v>
      </c>
      <c r="C5441" s="21" t="s">
        <v>19439</v>
      </c>
      <c r="D5441" s="72" t="s">
        <v>19440</v>
      </c>
      <c r="E5441" s="72"/>
      <c r="F5441" s="72"/>
      <c r="G5441" s="72"/>
      <c r="H5441" s="22" t="s">
        <v>19441</v>
      </c>
      <c r="I5441" s="27">
        <v>148</v>
      </c>
      <c r="J5441" s="22"/>
      <c r="K5441" s="20">
        <v>1</v>
      </c>
      <c r="L5441" s="24">
        <v>228.01</v>
      </c>
      <c r="M5441" s="11"/>
      <c r="N5441" s="22">
        <f t="shared" ref="N5441:N5457" si="303">L5441*M5441</f>
        <v>0</v>
      </c>
      <c r="O5441" s="25">
        <f>0.095*M5441</f>
        <v>0</v>
      </c>
      <c r="P5441" s="26">
        <f>0.00062*M5441</f>
        <v>0</v>
      </c>
      <c r="Q5441" s="30"/>
      <c r="R5441" s="22" t="s">
        <v>19442</v>
      </c>
      <c r="S5441" s="22" t="s">
        <v>435</v>
      </c>
      <c r="T5441" s="21" t="str">
        <f>HYPERLINK("https://miland.ru/api/getInfo/image/661a5f16-e3ad-11eb-a209-ac1f6b442185")</f>
        <v>https://miland.ru/api/getInfo/image/661a5f16-e3ad-11eb-a209-ac1f6b442185</v>
      </c>
      <c r="U5441" s="21"/>
      <c r="V5441" s="21"/>
      <c r="W5441" s="21" t="s">
        <v>5671</v>
      </c>
      <c r="X5441" s="21"/>
      <c r="Y5441" s="21" t="s">
        <v>41</v>
      </c>
      <c r="Z5441" s="21"/>
      <c r="AA5441" s="21" t="str">
        <f>HYPERLINK("https://miland.ru/api/getInfo/item/661a5f16-e3ad-11eb-a209-ac1f6b442185")</f>
        <v>https://miland.ru/api/getInfo/item/661a5f16-e3ad-11eb-a209-ac1f6b442185</v>
      </c>
      <c r="AB5441" s="21" t="s">
        <v>42</v>
      </c>
      <c r="AC5441" s="21"/>
      <c r="AD5441" s="21"/>
    </row>
    <row r="5442" spans="2:31" s="1" customFormat="1" ht="96.3" customHeight="1" outlineLevel="4">
      <c r="B5442" s="59">
        <v>4453</v>
      </c>
      <c r="C5442" s="35" t="s">
        <v>19443</v>
      </c>
      <c r="D5442" s="73" t="s">
        <v>19444</v>
      </c>
      <c r="E5442" s="73"/>
      <c r="F5442" s="73"/>
      <c r="G5442" s="73"/>
      <c r="H5442" s="36" t="s">
        <v>19445</v>
      </c>
      <c r="I5442" s="40">
        <v>54</v>
      </c>
      <c r="J5442" s="36"/>
      <c r="K5442" s="34">
        <v>3</v>
      </c>
      <c r="L5442" s="41">
        <v>182.41333333333333</v>
      </c>
      <c r="M5442" s="11"/>
      <c r="N5442" s="36">
        <f t="shared" si="303"/>
        <v>0</v>
      </c>
      <c r="O5442" s="42">
        <f>0.095*M5442</f>
        <v>0</v>
      </c>
      <c r="P5442" s="43">
        <f>0.00062*M5442</f>
        <v>0</v>
      </c>
      <c r="Q5442" s="50"/>
      <c r="R5442" s="36" t="s">
        <v>19446</v>
      </c>
      <c r="S5442" s="36" t="s">
        <v>435</v>
      </c>
      <c r="T5442" s="35" t="str">
        <f>HYPERLINK("https://miland.ru/api/getInfo/image/75183b67-95c8-11ee-a250-00155d82e908")</f>
        <v>https://miland.ru/api/getInfo/image/75183b67-95c8-11ee-a250-00155d82e908</v>
      </c>
      <c r="U5442" s="35"/>
      <c r="V5442" s="35"/>
      <c r="W5442" s="35" t="s">
        <v>5671</v>
      </c>
      <c r="X5442" s="35"/>
      <c r="Y5442" s="35" t="s">
        <v>41</v>
      </c>
      <c r="Z5442" s="35"/>
      <c r="AA5442" s="35" t="str">
        <f>HYPERLINK("https://miland.ru/api/getInfo/item/75183b67-95c8-11ee-a250-00155d82e908")</f>
        <v>https://miland.ru/api/getInfo/item/75183b67-95c8-11ee-a250-00155d82e908</v>
      </c>
      <c r="AB5442" s="35" t="s">
        <v>42</v>
      </c>
      <c r="AC5442" s="35"/>
      <c r="AD5442" s="35" t="s">
        <v>19442</v>
      </c>
      <c r="AE5442" s="52" t="s">
        <v>9152</v>
      </c>
    </row>
    <row r="5443" spans="2:31" s="1" customFormat="1" ht="96.3" customHeight="1" outlineLevel="4">
      <c r="B5443" s="60">
        <v>4454</v>
      </c>
      <c r="C5443" s="38" t="s">
        <v>19447</v>
      </c>
      <c r="D5443" s="74" t="s">
        <v>19448</v>
      </c>
      <c r="E5443" s="74"/>
      <c r="F5443" s="74"/>
      <c r="G5443" s="74"/>
      <c r="H5443" s="39" t="s">
        <v>19449</v>
      </c>
      <c r="I5443" s="44">
        <v>7</v>
      </c>
      <c r="J5443" s="39"/>
      <c r="K5443" s="37">
        <v>1</v>
      </c>
      <c r="L5443" s="41">
        <v>122.14666666666666</v>
      </c>
      <c r="M5443" s="11"/>
      <c r="N5443" s="39">
        <f t="shared" si="303"/>
        <v>0</v>
      </c>
      <c r="O5443" s="48">
        <f>0.095*M5443</f>
        <v>0</v>
      </c>
      <c r="P5443" s="46">
        <f>0.00062*M5443</f>
        <v>0</v>
      </c>
      <c r="Q5443" s="51"/>
      <c r="R5443" s="39" t="s">
        <v>19450</v>
      </c>
      <c r="S5443" s="39" t="s">
        <v>435</v>
      </c>
      <c r="T5443" s="38" t="str">
        <f>HYPERLINK("https://miland.ru/api/getInfo/image/eaaa47cd-95c8-11ee-a250-00155d82e908")</f>
        <v>https://miland.ru/api/getInfo/image/eaaa47cd-95c8-11ee-a250-00155d82e908</v>
      </c>
      <c r="U5443" s="38"/>
      <c r="V5443" s="38"/>
      <c r="W5443" s="38" t="s">
        <v>5671</v>
      </c>
      <c r="X5443" s="38"/>
      <c r="Y5443" s="38" t="s">
        <v>41</v>
      </c>
      <c r="Z5443" s="38"/>
      <c r="AA5443" s="38" t="str">
        <f>HYPERLINK("https://miland.ru/api/getInfo/item/eaaa47cd-95c8-11ee-a250-00155d82e908")</f>
        <v>https://miland.ru/api/getInfo/item/eaaa47cd-95c8-11ee-a250-00155d82e908</v>
      </c>
      <c r="AB5443" s="38" t="s">
        <v>42</v>
      </c>
      <c r="AC5443" s="38"/>
      <c r="AD5443" s="38" t="s">
        <v>19442</v>
      </c>
      <c r="AE5443" s="53" t="s">
        <v>1306</v>
      </c>
    </row>
    <row r="5444" spans="2:31" s="1" customFormat="1" ht="96.3" customHeight="1" outlineLevel="4">
      <c r="B5444" s="57">
        <v>4455</v>
      </c>
      <c r="C5444" s="21" t="s">
        <v>19451</v>
      </c>
      <c r="D5444" s="72" t="s">
        <v>19452</v>
      </c>
      <c r="E5444" s="72"/>
      <c r="F5444" s="72"/>
      <c r="G5444" s="72"/>
      <c r="H5444" s="22" t="s">
        <v>19453</v>
      </c>
      <c r="I5444" s="23" t="s">
        <v>36</v>
      </c>
      <c r="J5444" s="22"/>
      <c r="K5444" s="20">
        <v>6</v>
      </c>
      <c r="L5444" s="24">
        <v>94.22</v>
      </c>
      <c r="M5444" s="11"/>
      <c r="N5444" s="22">
        <f t="shared" si="303"/>
        <v>0</v>
      </c>
      <c r="O5444" s="25">
        <f>0.025*M5444</f>
        <v>0</v>
      </c>
      <c r="P5444" s="26">
        <f>0.03639*M5444</f>
        <v>0</v>
      </c>
      <c r="Q5444" s="30"/>
      <c r="R5444" s="22" t="s">
        <v>19454</v>
      </c>
      <c r="S5444" s="22"/>
      <c r="T5444" s="21" t="str">
        <f>HYPERLINK("https://miland.ru/api/getInfo/image/d2bc43b8-c747-11ee-a25a-00155d82e908")</f>
        <v>https://miland.ru/api/getInfo/image/d2bc43b8-c747-11ee-a25a-00155d82e908</v>
      </c>
      <c r="U5444" s="21"/>
      <c r="V5444" s="21"/>
      <c r="W5444" s="21" t="s">
        <v>5671</v>
      </c>
      <c r="X5444" s="21"/>
      <c r="Y5444" s="21" t="s">
        <v>41</v>
      </c>
      <c r="Z5444" s="21"/>
      <c r="AA5444" s="21" t="str">
        <f>HYPERLINK("https://miland.ru/api/getInfo/item/d2bc43b8-c747-11ee-a25a-00155d82e908")</f>
        <v>https://miland.ru/api/getInfo/item/d2bc43b8-c747-11ee-a25a-00155d82e908</v>
      </c>
      <c r="AB5444" s="21" t="s">
        <v>42</v>
      </c>
      <c r="AC5444" s="21" t="s">
        <v>19455</v>
      </c>
      <c r="AD5444" s="21"/>
    </row>
    <row r="5445" spans="2:31" s="1" customFormat="1" ht="96.3" customHeight="1" outlineLevel="4">
      <c r="B5445" s="57">
        <v>4456</v>
      </c>
      <c r="C5445" s="21" t="s">
        <v>19456</v>
      </c>
      <c r="D5445" s="72" t="s">
        <v>19457</v>
      </c>
      <c r="E5445" s="72"/>
      <c r="F5445" s="72"/>
      <c r="G5445" s="72"/>
      <c r="H5445" s="22" t="s">
        <v>19458</v>
      </c>
      <c r="I5445" s="23" t="s">
        <v>36</v>
      </c>
      <c r="J5445" s="22"/>
      <c r="K5445" s="20">
        <v>6</v>
      </c>
      <c r="L5445" s="24">
        <v>94.22</v>
      </c>
      <c r="M5445" s="11"/>
      <c r="N5445" s="22">
        <f t="shared" si="303"/>
        <v>0</v>
      </c>
      <c r="O5445" s="25">
        <f>0.024*M5445</f>
        <v>0</v>
      </c>
      <c r="P5445" s="26">
        <f>0.03086*M5445</f>
        <v>0</v>
      </c>
      <c r="Q5445" s="30"/>
      <c r="R5445" s="22" t="s">
        <v>19459</v>
      </c>
      <c r="S5445" s="22"/>
      <c r="T5445" s="21" t="str">
        <f>HYPERLINK("https://miland.ru/api/getInfo/image/7b14299d-c747-11ee-a25a-00155d82e908")</f>
        <v>https://miland.ru/api/getInfo/image/7b14299d-c747-11ee-a25a-00155d82e908</v>
      </c>
      <c r="U5445" s="21"/>
      <c r="V5445" s="21"/>
      <c r="W5445" s="21" t="s">
        <v>5671</v>
      </c>
      <c r="X5445" s="21"/>
      <c r="Y5445" s="21" t="s">
        <v>41</v>
      </c>
      <c r="Z5445" s="21"/>
      <c r="AA5445" s="21" t="str">
        <f>HYPERLINK("https://miland.ru/api/getInfo/item/7b14299d-c747-11ee-a25a-00155d82e908")</f>
        <v>https://miland.ru/api/getInfo/item/7b14299d-c747-11ee-a25a-00155d82e908</v>
      </c>
      <c r="AB5445" s="21" t="s">
        <v>42</v>
      </c>
      <c r="AC5445" s="21" t="s">
        <v>19455</v>
      </c>
      <c r="AD5445" s="21"/>
    </row>
    <row r="5446" spans="2:31" s="1" customFormat="1" ht="96.3" customHeight="1" outlineLevel="4">
      <c r="B5446" s="57">
        <v>4457</v>
      </c>
      <c r="C5446" s="21" t="s">
        <v>19460</v>
      </c>
      <c r="D5446" s="72" t="s">
        <v>19461</v>
      </c>
      <c r="E5446" s="72"/>
      <c r="F5446" s="72"/>
      <c r="G5446" s="72"/>
      <c r="H5446" s="22" t="s">
        <v>19462</v>
      </c>
      <c r="I5446" s="27">
        <v>51</v>
      </c>
      <c r="J5446" s="22"/>
      <c r="K5446" s="20">
        <v>2</v>
      </c>
      <c r="L5446" s="24">
        <v>372.44</v>
      </c>
      <c r="M5446" s="11"/>
      <c r="N5446" s="22">
        <f t="shared" si="303"/>
        <v>0</v>
      </c>
      <c r="O5446" s="28">
        <f>0.09*M5446</f>
        <v>0</v>
      </c>
      <c r="P5446" s="29">
        <f>0.0034*M5446</f>
        <v>0</v>
      </c>
      <c r="Q5446" s="30"/>
      <c r="R5446" s="22" t="s">
        <v>19463</v>
      </c>
      <c r="S5446" s="22" t="s">
        <v>435</v>
      </c>
      <c r="T5446" s="21" t="str">
        <f>HYPERLINK("https://miland.ru/api/getInfo/image/632fffd3-1801-11ea-a237-ac1f6b442184")</f>
        <v>https://miland.ru/api/getInfo/image/632fffd3-1801-11ea-a237-ac1f6b442184</v>
      </c>
      <c r="U5446" s="21"/>
      <c r="V5446" s="21"/>
      <c r="W5446" s="21" t="s">
        <v>5671</v>
      </c>
      <c r="X5446" s="21"/>
      <c r="Y5446" s="21" t="s">
        <v>41</v>
      </c>
      <c r="Z5446" s="21"/>
      <c r="AA5446" s="21" t="str">
        <f>HYPERLINK("https://miland.ru/api/getInfo/item/632fffd3-1801-11ea-a237-ac1f6b442184")</f>
        <v>https://miland.ru/api/getInfo/item/632fffd3-1801-11ea-a237-ac1f6b442184</v>
      </c>
      <c r="AB5446" s="21" t="s">
        <v>42</v>
      </c>
      <c r="AC5446" s="21" t="s">
        <v>19464</v>
      </c>
      <c r="AD5446" s="21"/>
    </row>
    <row r="5447" spans="2:31" s="1" customFormat="1" ht="96.3" customHeight="1" outlineLevel="4">
      <c r="B5447" s="59">
        <v>4458</v>
      </c>
      <c r="C5447" s="35" t="s">
        <v>19465</v>
      </c>
      <c r="D5447" s="73" t="s">
        <v>19466</v>
      </c>
      <c r="E5447" s="73"/>
      <c r="F5447" s="73"/>
      <c r="G5447" s="73"/>
      <c r="H5447" s="36" t="s">
        <v>19467</v>
      </c>
      <c r="I5447" s="40">
        <v>8</v>
      </c>
      <c r="J5447" s="36"/>
      <c r="K5447" s="34">
        <v>1</v>
      </c>
      <c r="L5447" s="41">
        <v>364.35999999999996</v>
      </c>
      <c r="M5447" s="11"/>
      <c r="N5447" s="36">
        <f t="shared" si="303"/>
        <v>0</v>
      </c>
      <c r="O5447" s="42">
        <f>0.125*M5447</f>
        <v>0</v>
      </c>
      <c r="P5447" s="43">
        <f>0.00947*M5447</f>
        <v>0</v>
      </c>
      <c r="Q5447" s="50"/>
      <c r="R5447" s="36" t="s">
        <v>19468</v>
      </c>
      <c r="S5447" s="36" t="s">
        <v>435</v>
      </c>
      <c r="T5447" s="35" t="str">
        <f>HYPERLINK("https://miland.ru/api/getInfo/image/0ae0545a-d9cc-11ed-a232-00155d82e902")</f>
        <v>https://miland.ru/api/getInfo/image/0ae0545a-d9cc-11ed-a232-00155d82e902</v>
      </c>
      <c r="U5447" s="35"/>
      <c r="V5447" s="35"/>
      <c r="W5447" s="35" t="s">
        <v>5671</v>
      </c>
      <c r="X5447" s="35"/>
      <c r="Y5447" s="35" t="s">
        <v>41</v>
      </c>
      <c r="Z5447" s="35"/>
      <c r="AA5447" s="35" t="str">
        <f>HYPERLINK("https://miland.ru/api/getInfo/item/0ae0545a-d9cc-11ed-a232-00155d82e902")</f>
        <v>https://miland.ru/api/getInfo/item/0ae0545a-d9cc-11ed-a232-00155d82e902</v>
      </c>
      <c r="AB5447" s="35" t="s">
        <v>42</v>
      </c>
      <c r="AC5447" s="35"/>
      <c r="AD5447" s="35"/>
      <c r="AE5447" s="52" t="s">
        <v>9152</v>
      </c>
    </row>
    <row r="5448" spans="2:31" s="1" customFormat="1" ht="96.3" customHeight="1" outlineLevel="4">
      <c r="B5448" s="59">
        <v>4459</v>
      </c>
      <c r="C5448" s="35" t="s">
        <v>19469</v>
      </c>
      <c r="D5448" s="73" t="s">
        <v>19470</v>
      </c>
      <c r="E5448" s="73"/>
      <c r="F5448" s="73"/>
      <c r="G5448" s="73"/>
      <c r="H5448" s="36" t="s">
        <v>19471</v>
      </c>
      <c r="I5448" s="40">
        <v>83</v>
      </c>
      <c r="J5448" s="36"/>
      <c r="K5448" s="34">
        <v>1</v>
      </c>
      <c r="L5448" s="41">
        <v>364.35999999999996</v>
      </c>
      <c r="M5448" s="11"/>
      <c r="N5448" s="36">
        <f t="shared" si="303"/>
        <v>0</v>
      </c>
      <c r="O5448" s="42">
        <f>0.147*M5448</f>
        <v>0</v>
      </c>
      <c r="P5448" s="43">
        <f>0.00886*M5448</f>
        <v>0</v>
      </c>
      <c r="Q5448" s="50"/>
      <c r="R5448" s="36" t="s">
        <v>19472</v>
      </c>
      <c r="S5448" s="36" t="s">
        <v>435</v>
      </c>
      <c r="T5448" s="35" t="str">
        <f>HYPERLINK("https://miland.ru/api/getInfo/image/736b8e68-d9ca-11ed-a232-00155d82e902")</f>
        <v>https://miland.ru/api/getInfo/image/736b8e68-d9ca-11ed-a232-00155d82e902</v>
      </c>
      <c r="U5448" s="35"/>
      <c r="V5448" s="35" t="s">
        <v>208</v>
      </c>
      <c r="W5448" s="35" t="s">
        <v>5671</v>
      </c>
      <c r="X5448" s="35"/>
      <c r="Y5448" s="35" t="s">
        <v>41</v>
      </c>
      <c r="Z5448" s="35"/>
      <c r="AA5448" s="35" t="str">
        <f>HYPERLINK("https://miland.ru/api/getInfo/item/736b8e68-d9ca-11ed-a232-00155d82e902")</f>
        <v>https://miland.ru/api/getInfo/item/736b8e68-d9ca-11ed-a232-00155d82e902</v>
      </c>
      <c r="AB5448" s="35" t="s">
        <v>42</v>
      </c>
      <c r="AC5448" s="35"/>
      <c r="AD5448" s="35"/>
      <c r="AE5448" s="52" t="s">
        <v>9152</v>
      </c>
    </row>
    <row r="5449" spans="2:31" s="1" customFormat="1" ht="96.3" customHeight="1" outlineLevel="4">
      <c r="B5449" s="57">
        <v>4460</v>
      </c>
      <c r="C5449" s="21" t="s">
        <v>19473</v>
      </c>
      <c r="D5449" s="72" t="s">
        <v>19474</v>
      </c>
      <c r="E5449" s="72"/>
      <c r="F5449" s="72"/>
      <c r="G5449" s="72"/>
      <c r="H5449" s="22" t="s">
        <v>19475</v>
      </c>
      <c r="I5449" s="27">
        <v>54</v>
      </c>
      <c r="J5449" s="22"/>
      <c r="K5449" s="20">
        <v>4</v>
      </c>
      <c r="L5449" s="24">
        <v>144.38</v>
      </c>
      <c r="M5449" s="11"/>
      <c r="N5449" s="22">
        <f t="shared" si="303"/>
        <v>0</v>
      </c>
      <c r="O5449" s="28">
        <f>0.04*M5449</f>
        <v>0</v>
      </c>
      <c r="P5449" s="26">
        <f>0.00184*M5449</f>
        <v>0</v>
      </c>
      <c r="Q5449" s="30"/>
      <c r="R5449" s="22" t="s">
        <v>19476</v>
      </c>
      <c r="S5449" s="22" t="s">
        <v>435</v>
      </c>
      <c r="T5449" s="21" t="str">
        <f>HYPERLINK("https://miland.ru/api/getInfo/image/9056ab63-17f4-11ea-a237-ac1f6b442184")</f>
        <v>https://miland.ru/api/getInfo/image/9056ab63-17f4-11ea-a237-ac1f6b442184</v>
      </c>
      <c r="U5449" s="21"/>
      <c r="V5449" s="21"/>
      <c r="W5449" s="21" t="s">
        <v>5671</v>
      </c>
      <c r="X5449" s="21"/>
      <c r="Y5449" s="21" t="s">
        <v>41</v>
      </c>
      <c r="Z5449" s="21"/>
      <c r="AA5449" s="21" t="str">
        <f>HYPERLINK("https://miland.ru/api/getInfo/item/9056ab63-17f4-11ea-a237-ac1f6b442184")</f>
        <v>https://miland.ru/api/getInfo/item/9056ab63-17f4-11ea-a237-ac1f6b442184</v>
      </c>
      <c r="AB5449" s="21" t="s">
        <v>42</v>
      </c>
      <c r="AC5449" s="21" t="s">
        <v>19477</v>
      </c>
      <c r="AD5449" s="21"/>
    </row>
    <row r="5450" spans="2:31" s="1" customFormat="1" ht="96.3" customHeight="1" outlineLevel="4">
      <c r="B5450" s="57">
        <v>4461</v>
      </c>
      <c r="C5450" s="21" t="s">
        <v>19478</v>
      </c>
      <c r="D5450" s="72" t="s">
        <v>19479</v>
      </c>
      <c r="E5450" s="72"/>
      <c r="F5450" s="72"/>
      <c r="G5450" s="72"/>
      <c r="H5450" s="22" t="s">
        <v>19480</v>
      </c>
      <c r="I5450" s="27">
        <v>188</v>
      </c>
      <c r="J5450" s="22"/>
      <c r="K5450" s="20">
        <v>3</v>
      </c>
      <c r="L5450" s="24">
        <v>216.57</v>
      </c>
      <c r="M5450" s="11"/>
      <c r="N5450" s="22">
        <f t="shared" si="303"/>
        <v>0</v>
      </c>
      <c r="O5450" s="28">
        <f>0.07*M5450</f>
        <v>0</v>
      </c>
      <c r="P5450" s="29">
        <f>0.0002*M5450</f>
        <v>0</v>
      </c>
      <c r="Q5450" s="30"/>
      <c r="R5450" s="22" t="s">
        <v>19481</v>
      </c>
      <c r="S5450" s="22" t="s">
        <v>435</v>
      </c>
      <c r="T5450" s="21" t="str">
        <f>HYPERLINK("https://miland.ru/api/getInfo/image/3b194cab-17f5-11ea-a237-ac1f6b442184")</f>
        <v>https://miland.ru/api/getInfo/image/3b194cab-17f5-11ea-a237-ac1f6b442184</v>
      </c>
      <c r="U5450" s="21"/>
      <c r="V5450" s="21"/>
      <c r="W5450" s="21" t="s">
        <v>5671</v>
      </c>
      <c r="X5450" s="21"/>
      <c r="Y5450" s="21" t="s">
        <v>41</v>
      </c>
      <c r="Z5450" s="21"/>
      <c r="AA5450" s="21" t="str">
        <f>HYPERLINK("https://miland.ru/api/getInfo/item/3b194cab-17f5-11ea-a237-ac1f6b442184")</f>
        <v>https://miland.ru/api/getInfo/item/3b194cab-17f5-11ea-a237-ac1f6b442184</v>
      </c>
      <c r="AB5450" s="21" t="s">
        <v>42</v>
      </c>
      <c r="AC5450" s="21" t="s">
        <v>19415</v>
      </c>
      <c r="AD5450" s="21"/>
    </row>
    <row r="5451" spans="2:31" s="1" customFormat="1" ht="96.3" customHeight="1" outlineLevel="4">
      <c r="B5451" s="57">
        <v>4462</v>
      </c>
      <c r="C5451" s="21" t="s">
        <v>19482</v>
      </c>
      <c r="D5451" s="72" t="s">
        <v>19483</v>
      </c>
      <c r="E5451" s="72"/>
      <c r="F5451" s="72"/>
      <c r="G5451" s="72"/>
      <c r="H5451" s="22" t="s">
        <v>19484</v>
      </c>
      <c r="I5451" s="27">
        <v>11</v>
      </c>
      <c r="J5451" s="22"/>
      <c r="K5451" s="20">
        <v>3</v>
      </c>
      <c r="L5451" s="24">
        <v>216.57</v>
      </c>
      <c r="M5451" s="11"/>
      <c r="N5451" s="22">
        <f t="shared" si="303"/>
        <v>0</v>
      </c>
      <c r="O5451" s="25">
        <f>0.067*M5451</f>
        <v>0</v>
      </c>
      <c r="P5451" s="26">
        <f>0.00227*M5451</f>
        <v>0</v>
      </c>
      <c r="Q5451" s="30"/>
      <c r="R5451" s="22" t="s">
        <v>19485</v>
      </c>
      <c r="S5451" s="22" t="s">
        <v>435</v>
      </c>
      <c r="T5451" s="21" t="str">
        <f>HYPERLINK("https://miland.ru/api/getInfo/image/e076562f-17f4-11ea-a237-ac1f6b442184")</f>
        <v>https://miland.ru/api/getInfo/image/e076562f-17f4-11ea-a237-ac1f6b442184</v>
      </c>
      <c r="U5451" s="21"/>
      <c r="V5451" s="21"/>
      <c r="W5451" s="21" t="s">
        <v>5671</v>
      </c>
      <c r="X5451" s="21"/>
      <c r="Y5451" s="21" t="s">
        <v>41</v>
      </c>
      <c r="Z5451" s="21"/>
      <c r="AA5451" s="21" t="str">
        <f>HYPERLINK("https://miland.ru/api/getInfo/item/e076562f-17f4-11ea-a237-ac1f6b442184")</f>
        <v>https://miland.ru/api/getInfo/item/e076562f-17f4-11ea-a237-ac1f6b442184</v>
      </c>
      <c r="AB5451" s="21" t="s">
        <v>42</v>
      </c>
      <c r="AC5451" s="21" t="s">
        <v>19415</v>
      </c>
      <c r="AD5451" s="21"/>
    </row>
    <row r="5452" spans="2:31" s="1" customFormat="1" ht="96.3" customHeight="1" outlineLevel="4">
      <c r="B5452" s="59">
        <v>4463</v>
      </c>
      <c r="C5452" s="35" t="s">
        <v>19486</v>
      </c>
      <c r="D5452" s="73" t="s">
        <v>19487</v>
      </c>
      <c r="E5452" s="73"/>
      <c r="F5452" s="73"/>
      <c r="G5452" s="73"/>
      <c r="H5452" s="36" t="s">
        <v>19488</v>
      </c>
      <c r="I5452" s="40">
        <v>95</v>
      </c>
      <c r="J5452" s="36"/>
      <c r="K5452" s="34">
        <v>1</v>
      </c>
      <c r="L5452" s="41">
        <v>445.33333333333331</v>
      </c>
      <c r="M5452" s="11"/>
      <c r="N5452" s="36">
        <f t="shared" si="303"/>
        <v>0</v>
      </c>
      <c r="O5452" s="42">
        <f>0.119*M5452</f>
        <v>0</v>
      </c>
      <c r="P5452" s="43">
        <f>0.00648*M5452</f>
        <v>0</v>
      </c>
      <c r="Q5452" s="50"/>
      <c r="R5452" s="36" t="s">
        <v>19489</v>
      </c>
      <c r="S5452" s="36" t="s">
        <v>435</v>
      </c>
      <c r="T5452" s="35" t="str">
        <f>HYPERLINK("https://miland.ru/api/getInfo/image/ce76d289-d9c8-11ed-a232-00155d82e902")</f>
        <v>https://miland.ru/api/getInfo/image/ce76d289-d9c8-11ed-a232-00155d82e902</v>
      </c>
      <c r="U5452" s="35"/>
      <c r="V5452" s="35"/>
      <c r="W5452" s="35" t="s">
        <v>5671</v>
      </c>
      <c r="X5452" s="35"/>
      <c r="Y5452" s="35" t="s">
        <v>41</v>
      </c>
      <c r="Z5452" s="35"/>
      <c r="AA5452" s="35" t="str">
        <f>HYPERLINK("https://miland.ru/api/getInfo/item/ce76d289-d9c8-11ed-a232-00155d82e902")</f>
        <v>https://miland.ru/api/getInfo/item/ce76d289-d9c8-11ed-a232-00155d82e902</v>
      </c>
      <c r="AB5452" s="35" t="s">
        <v>42</v>
      </c>
      <c r="AC5452" s="35"/>
      <c r="AD5452" s="35"/>
      <c r="AE5452" s="52" t="s">
        <v>9152</v>
      </c>
    </row>
    <row r="5453" spans="2:31" s="1" customFormat="1" ht="96.3" customHeight="1" outlineLevel="4">
      <c r="B5453" s="57">
        <v>4464</v>
      </c>
      <c r="C5453" s="21" t="s">
        <v>19490</v>
      </c>
      <c r="D5453" s="72" t="s">
        <v>19491</v>
      </c>
      <c r="E5453" s="72"/>
      <c r="F5453" s="72"/>
      <c r="G5453" s="72"/>
      <c r="H5453" s="22" t="s">
        <v>19492</v>
      </c>
      <c r="I5453" s="27">
        <v>60</v>
      </c>
      <c r="J5453" s="22"/>
      <c r="K5453" s="20">
        <v>1</v>
      </c>
      <c r="L5453" s="24">
        <v>506.05</v>
      </c>
      <c r="M5453" s="11"/>
      <c r="N5453" s="22">
        <f t="shared" si="303"/>
        <v>0</v>
      </c>
      <c r="O5453" s="25">
        <f>0.103*M5453</f>
        <v>0</v>
      </c>
      <c r="P5453" s="26">
        <f>0.00617*M5453</f>
        <v>0</v>
      </c>
      <c r="Q5453" s="30"/>
      <c r="R5453" s="22" t="s">
        <v>19493</v>
      </c>
      <c r="S5453" s="22" t="s">
        <v>435</v>
      </c>
      <c r="T5453" s="21" t="str">
        <f>HYPERLINK("https://miland.ru/api/getInfo/image/91cac7f2-d9cd-11ed-a232-00155d82e902")</f>
        <v>https://miland.ru/api/getInfo/image/91cac7f2-d9cd-11ed-a232-00155d82e902</v>
      </c>
      <c r="U5453" s="21"/>
      <c r="V5453" s="21"/>
      <c r="W5453" s="21" t="s">
        <v>5671</v>
      </c>
      <c r="X5453" s="21"/>
      <c r="Y5453" s="21" t="s">
        <v>41</v>
      </c>
      <c r="Z5453" s="21"/>
      <c r="AA5453" s="21" t="str">
        <f>HYPERLINK("https://miland.ru/api/getInfo/item/91cac7f2-d9cd-11ed-a232-00155d82e902")</f>
        <v>https://miland.ru/api/getInfo/item/91cac7f2-d9cd-11ed-a232-00155d82e902</v>
      </c>
      <c r="AB5453" s="21" t="s">
        <v>42</v>
      </c>
      <c r="AC5453" s="21"/>
      <c r="AD5453" s="21"/>
    </row>
    <row r="5454" spans="2:31" s="1" customFormat="1" ht="96.3" customHeight="1" outlineLevel="4">
      <c r="B5454" s="57">
        <v>4465</v>
      </c>
      <c r="C5454" s="21" t="s">
        <v>19494</v>
      </c>
      <c r="D5454" s="72" t="s">
        <v>19495</v>
      </c>
      <c r="E5454" s="72"/>
      <c r="F5454" s="72"/>
      <c r="G5454" s="72"/>
      <c r="H5454" s="22" t="s">
        <v>19496</v>
      </c>
      <c r="I5454" s="27">
        <v>17</v>
      </c>
      <c r="J5454" s="22"/>
      <c r="K5454" s="20">
        <v>5</v>
      </c>
      <c r="L5454" s="24">
        <v>116.68</v>
      </c>
      <c r="M5454" s="11"/>
      <c r="N5454" s="22">
        <f t="shared" si="303"/>
        <v>0</v>
      </c>
      <c r="O5454" s="28">
        <f>0.05*M5454</f>
        <v>0</v>
      </c>
      <c r="P5454" s="26">
        <f>0.00238*M5454</f>
        <v>0</v>
      </c>
      <c r="Q5454" s="30"/>
      <c r="R5454" s="22" t="s">
        <v>19497</v>
      </c>
      <c r="S5454" s="22" t="s">
        <v>435</v>
      </c>
      <c r="T5454" s="21" t="str">
        <f>HYPERLINK("https://miland.ru/api/getInfo/image/43f26739-17f2-11ea-a237-ac1f6b442184")</f>
        <v>https://miland.ru/api/getInfo/image/43f26739-17f2-11ea-a237-ac1f6b442184</v>
      </c>
      <c r="U5454" s="21"/>
      <c r="V5454" s="21"/>
      <c r="W5454" s="21" t="s">
        <v>5671</v>
      </c>
      <c r="X5454" s="21"/>
      <c r="Y5454" s="21" t="s">
        <v>41</v>
      </c>
      <c r="Z5454" s="21"/>
      <c r="AA5454" s="21" t="str">
        <f>HYPERLINK("https://miland.ru/api/getInfo/item/43f26739-17f2-11ea-a237-ac1f6b442184")</f>
        <v>https://miland.ru/api/getInfo/item/43f26739-17f2-11ea-a237-ac1f6b442184</v>
      </c>
      <c r="AB5454" s="21" t="s">
        <v>42</v>
      </c>
      <c r="AC5454" s="21" t="s">
        <v>19498</v>
      </c>
      <c r="AD5454" s="21"/>
    </row>
    <row r="5455" spans="2:31" s="1" customFormat="1" ht="96.3" customHeight="1" outlineLevel="4">
      <c r="B5455" s="57">
        <v>4466</v>
      </c>
      <c r="C5455" s="21" t="s">
        <v>19499</v>
      </c>
      <c r="D5455" s="72" t="s">
        <v>19500</v>
      </c>
      <c r="E5455" s="72"/>
      <c r="F5455" s="72"/>
      <c r="G5455" s="72"/>
      <c r="H5455" s="22" t="s">
        <v>19501</v>
      </c>
      <c r="I5455" s="23" t="s">
        <v>36</v>
      </c>
      <c r="J5455" s="22"/>
      <c r="K5455" s="20">
        <v>5</v>
      </c>
      <c r="L5455" s="24">
        <v>121.44</v>
      </c>
      <c r="M5455" s="11"/>
      <c r="N5455" s="22">
        <f t="shared" si="303"/>
        <v>0</v>
      </c>
      <c r="O5455" s="25">
        <f>0.033*M5455</f>
        <v>0</v>
      </c>
      <c r="P5455" s="26">
        <f>0.00132*M5455</f>
        <v>0</v>
      </c>
      <c r="Q5455" s="30"/>
      <c r="R5455" s="22" t="s">
        <v>19502</v>
      </c>
      <c r="S5455" s="22"/>
      <c r="T5455" s="21" t="str">
        <f>HYPERLINK("https://miland.ru/api/getInfo/image/09d92d01-d79b-11ed-a231-00155d82e902")</f>
        <v>https://miland.ru/api/getInfo/image/09d92d01-d79b-11ed-a231-00155d82e902</v>
      </c>
      <c r="U5455" s="21"/>
      <c r="V5455" s="21"/>
      <c r="W5455" s="21" t="s">
        <v>5671</v>
      </c>
      <c r="X5455" s="21"/>
      <c r="Y5455" s="21" t="s">
        <v>41</v>
      </c>
      <c r="Z5455" s="21"/>
      <c r="AA5455" s="21" t="str">
        <f>HYPERLINK("https://miland.ru/api/getInfo/item/09d92d01-d79b-11ed-a231-00155d82e902")</f>
        <v>https://miland.ru/api/getInfo/item/09d92d01-d79b-11ed-a231-00155d82e902</v>
      </c>
      <c r="AB5455" s="21" t="s">
        <v>42</v>
      </c>
      <c r="AC5455" s="21"/>
      <c r="AD5455" s="21"/>
    </row>
    <row r="5456" spans="2:31" s="1" customFormat="1" ht="96.3" customHeight="1" outlineLevel="4">
      <c r="B5456" s="59">
        <v>4467</v>
      </c>
      <c r="C5456" s="35" t="s">
        <v>19503</v>
      </c>
      <c r="D5456" s="73" t="s">
        <v>19504</v>
      </c>
      <c r="E5456" s="73"/>
      <c r="F5456" s="73"/>
      <c r="G5456" s="73"/>
      <c r="H5456" s="36" t="s">
        <v>19505</v>
      </c>
      <c r="I5456" s="40">
        <v>44</v>
      </c>
      <c r="J5456" s="36"/>
      <c r="K5456" s="34">
        <v>1</v>
      </c>
      <c r="L5456" s="41">
        <v>404.84</v>
      </c>
      <c r="M5456" s="11"/>
      <c r="N5456" s="36">
        <f t="shared" si="303"/>
        <v>0</v>
      </c>
      <c r="O5456" s="42">
        <f>0.166*M5456</f>
        <v>0</v>
      </c>
      <c r="P5456" s="43">
        <f>0.01055*M5456</f>
        <v>0</v>
      </c>
      <c r="Q5456" s="50"/>
      <c r="R5456" s="36" t="s">
        <v>19506</v>
      </c>
      <c r="S5456" s="36" t="s">
        <v>435</v>
      </c>
      <c r="T5456" s="35" t="str">
        <f>HYPERLINK("https://miland.ru/api/getInfo/image/bdeac304-d9ca-11ed-a232-00155d82e902")</f>
        <v>https://miland.ru/api/getInfo/image/bdeac304-d9ca-11ed-a232-00155d82e902</v>
      </c>
      <c r="U5456" s="35"/>
      <c r="V5456" s="35"/>
      <c r="W5456" s="35" t="s">
        <v>5671</v>
      </c>
      <c r="X5456" s="35"/>
      <c r="Y5456" s="35" t="s">
        <v>41</v>
      </c>
      <c r="Z5456" s="35"/>
      <c r="AA5456" s="35" t="str">
        <f>HYPERLINK("https://miland.ru/api/getInfo/item/bdeac304-d9ca-11ed-a232-00155d82e902")</f>
        <v>https://miland.ru/api/getInfo/item/bdeac304-d9ca-11ed-a232-00155d82e902</v>
      </c>
      <c r="AB5456" s="35" t="s">
        <v>42</v>
      </c>
      <c r="AC5456" s="35"/>
      <c r="AD5456" s="35"/>
      <c r="AE5456" s="52" t="s">
        <v>9152</v>
      </c>
    </row>
    <row r="5457" spans="2:31" s="1" customFormat="1" ht="96.3" customHeight="1" outlineLevel="4">
      <c r="B5457" s="57">
        <v>4468</v>
      </c>
      <c r="C5457" s="21" t="s">
        <v>19507</v>
      </c>
      <c r="D5457" s="72" t="s">
        <v>19508</v>
      </c>
      <c r="E5457" s="72"/>
      <c r="F5457" s="72"/>
      <c r="G5457" s="72"/>
      <c r="H5457" s="22" t="s">
        <v>19509</v>
      </c>
      <c r="I5457" s="23" t="s">
        <v>36</v>
      </c>
      <c r="J5457" s="22"/>
      <c r="K5457" s="20">
        <v>1</v>
      </c>
      <c r="L5457" s="24">
        <v>450.15</v>
      </c>
      <c r="M5457" s="11"/>
      <c r="N5457" s="22">
        <f t="shared" si="303"/>
        <v>0</v>
      </c>
      <c r="O5457" s="25">
        <f>0.096*M5457</f>
        <v>0</v>
      </c>
      <c r="P5457" s="26">
        <f>0.00369*M5457</f>
        <v>0</v>
      </c>
      <c r="Q5457" s="30"/>
      <c r="R5457" s="22" t="s">
        <v>19510</v>
      </c>
      <c r="S5457" s="22"/>
      <c r="T5457" s="21" t="str">
        <f>HYPERLINK("https://miland.ru/api/getInfo/image/19209a47-d796-11ed-a231-00155d82e902")</f>
        <v>https://miland.ru/api/getInfo/image/19209a47-d796-11ed-a231-00155d82e902</v>
      </c>
      <c r="U5457" s="21"/>
      <c r="V5457" s="21"/>
      <c r="W5457" s="21" t="s">
        <v>5671</v>
      </c>
      <c r="X5457" s="21"/>
      <c r="Y5457" s="21" t="s">
        <v>41</v>
      </c>
      <c r="Z5457" s="21"/>
      <c r="AA5457" s="21" t="str">
        <f>HYPERLINK("https://miland.ru/api/getInfo/item/19209a47-d796-11ed-a231-00155d82e902")</f>
        <v>https://miland.ru/api/getInfo/item/19209a47-d796-11ed-a231-00155d82e902</v>
      </c>
      <c r="AB5457" s="21" t="s">
        <v>42</v>
      </c>
      <c r="AC5457" s="21"/>
      <c r="AD5457" s="21"/>
    </row>
    <row r="5458" spans="2:31" ht="12" customHeight="1" outlineLevel="3">
      <c r="B5458" s="70" t="s">
        <v>19511</v>
      </c>
      <c r="C5458" s="70"/>
      <c r="D5458" s="70"/>
      <c r="E5458" s="70"/>
      <c r="F5458" s="70"/>
      <c r="G5458" s="70"/>
    </row>
    <row r="5459" spans="2:31" s="1" customFormat="1" ht="96.3" customHeight="1" outlineLevel="4">
      <c r="B5459" s="57">
        <v>4469</v>
      </c>
      <c r="C5459" s="21" t="s">
        <v>19512</v>
      </c>
      <c r="D5459" s="72" t="s">
        <v>19513</v>
      </c>
      <c r="E5459" s="72"/>
      <c r="F5459" s="72"/>
      <c r="G5459" s="72"/>
      <c r="H5459" s="22" t="s">
        <v>19514</v>
      </c>
      <c r="I5459" s="27">
        <v>458</v>
      </c>
      <c r="J5459" s="22"/>
      <c r="K5459" s="20">
        <v>2</v>
      </c>
      <c r="L5459" s="24">
        <v>304.23</v>
      </c>
      <c r="M5459" s="11"/>
      <c r="N5459" s="22">
        <f t="shared" ref="N5459:N5475" si="304">L5459*M5459</f>
        <v>0</v>
      </c>
      <c r="O5459" s="28">
        <f>0.04*M5459</f>
        <v>0</v>
      </c>
      <c r="P5459" s="26">
        <f>0.00346*M5459</f>
        <v>0</v>
      </c>
      <c r="Q5459" s="30"/>
      <c r="R5459" s="22" t="s">
        <v>19515</v>
      </c>
      <c r="S5459" s="22" t="s">
        <v>435</v>
      </c>
      <c r="T5459" s="21" t="str">
        <f>HYPERLINK("https://miland.ru/api/getInfo/image/db684d43-181b-11ea-a237-ac1f6b442184")</f>
        <v>https://miland.ru/api/getInfo/image/db684d43-181b-11ea-a237-ac1f6b442184</v>
      </c>
      <c r="U5459" s="21"/>
      <c r="V5459" s="21" t="s">
        <v>6429</v>
      </c>
      <c r="W5459" s="21" t="s">
        <v>5671</v>
      </c>
      <c r="X5459" s="21"/>
      <c r="Y5459" s="21" t="s">
        <v>41</v>
      </c>
      <c r="Z5459" s="21"/>
      <c r="AA5459" s="21" t="str">
        <f>HYPERLINK("https://miland.ru/api/getInfo/item/db684d43-181b-11ea-a237-ac1f6b442184")</f>
        <v>https://miland.ru/api/getInfo/item/db684d43-181b-11ea-a237-ac1f6b442184</v>
      </c>
      <c r="AB5459" s="21" t="s">
        <v>42</v>
      </c>
      <c r="AC5459" s="21"/>
      <c r="AD5459" s="21"/>
    </row>
    <row r="5460" spans="2:31" s="1" customFormat="1" ht="96.3" customHeight="1" outlineLevel="4">
      <c r="B5460" s="59">
        <v>4470</v>
      </c>
      <c r="C5460" s="35" t="s">
        <v>19516</v>
      </c>
      <c r="D5460" s="73" t="s">
        <v>19517</v>
      </c>
      <c r="E5460" s="73"/>
      <c r="F5460" s="73"/>
      <c r="G5460" s="73"/>
      <c r="H5460" s="36" t="s">
        <v>19518</v>
      </c>
      <c r="I5460" s="40">
        <v>16</v>
      </c>
      <c r="J5460" s="36"/>
      <c r="K5460" s="34">
        <v>2</v>
      </c>
      <c r="L5460" s="41">
        <v>219.73333333333335</v>
      </c>
      <c r="M5460" s="11"/>
      <c r="N5460" s="36">
        <f t="shared" si="304"/>
        <v>0</v>
      </c>
      <c r="O5460" s="42">
        <f>0.036*M5460</f>
        <v>0</v>
      </c>
      <c r="P5460" s="43">
        <f>0.00328*M5460</f>
        <v>0</v>
      </c>
      <c r="Q5460" s="50"/>
      <c r="R5460" s="36" t="s">
        <v>19519</v>
      </c>
      <c r="S5460" s="36" t="s">
        <v>435</v>
      </c>
      <c r="T5460" s="35" t="str">
        <f>HYPERLINK("https://miland.ru/api/getInfo/image/087d0edb-181c-11ea-a237-ac1f6b442184")</f>
        <v>https://miland.ru/api/getInfo/image/087d0edb-181c-11ea-a237-ac1f6b442184</v>
      </c>
      <c r="U5460" s="35"/>
      <c r="V5460" s="35" t="s">
        <v>6429</v>
      </c>
      <c r="W5460" s="35" t="s">
        <v>5671</v>
      </c>
      <c r="X5460" s="35"/>
      <c r="Y5460" s="35" t="s">
        <v>41</v>
      </c>
      <c r="Z5460" s="35"/>
      <c r="AA5460" s="35" t="str">
        <f>HYPERLINK("https://miland.ru/api/getInfo/item/087d0edb-181c-11ea-a237-ac1f6b442184")</f>
        <v>https://miland.ru/api/getInfo/item/087d0edb-181c-11ea-a237-ac1f6b442184</v>
      </c>
      <c r="AB5460" s="35" t="s">
        <v>42</v>
      </c>
      <c r="AC5460" s="35"/>
      <c r="AD5460" s="35"/>
      <c r="AE5460" s="52" t="s">
        <v>1251</v>
      </c>
    </row>
    <row r="5461" spans="2:31" s="1" customFormat="1" ht="96.3" customHeight="1" outlineLevel="4">
      <c r="B5461" s="59">
        <v>4471</v>
      </c>
      <c r="C5461" s="35" t="s">
        <v>19520</v>
      </c>
      <c r="D5461" s="73" t="s">
        <v>19521</v>
      </c>
      <c r="E5461" s="73"/>
      <c r="F5461" s="73"/>
      <c r="G5461" s="73"/>
      <c r="H5461" s="36" t="s">
        <v>19522</v>
      </c>
      <c r="I5461" s="40">
        <v>9</v>
      </c>
      <c r="J5461" s="36"/>
      <c r="K5461" s="34">
        <v>1</v>
      </c>
      <c r="L5461" s="41">
        <v>155.06666666666666</v>
      </c>
      <c r="M5461" s="11"/>
      <c r="N5461" s="36">
        <f t="shared" si="304"/>
        <v>0</v>
      </c>
      <c r="O5461" s="47">
        <f>0.03*M5461</f>
        <v>0</v>
      </c>
      <c r="P5461" s="55">
        <f>0.0037*M5461</f>
        <v>0</v>
      </c>
      <c r="Q5461" s="50"/>
      <c r="R5461" s="36" t="s">
        <v>19523</v>
      </c>
      <c r="S5461" s="36" t="s">
        <v>435</v>
      </c>
      <c r="T5461" s="35" t="str">
        <f>HYPERLINK("https://miland.ru/api/getInfo/image/34f2876d-181d-11ea-a237-ac1f6b442184")</f>
        <v>https://miland.ru/api/getInfo/image/34f2876d-181d-11ea-a237-ac1f6b442184</v>
      </c>
      <c r="U5461" s="35"/>
      <c r="V5461" s="35" t="s">
        <v>6429</v>
      </c>
      <c r="W5461" s="35" t="s">
        <v>5671</v>
      </c>
      <c r="X5461" s="35"/>
      <c r="Y5461" s="35" t="s">
        <v>41</v>
      </c>
      <c r="Z5461" s="35"/>
      <c r="AA5461" s="35" t="str">
        <f>HYPERLINK("https://miland.ru/api/getInfo/item/34f2876d-181d-11ea-a237-ac1f6b442184")</f>
        <v>https://miland.ru/api/getInfo/item/34f2876d-181d-11ea-a237-ac1f6b442184</v>
      </c>
      <c r="AB5461" s="35" t="s">
        <v>42</v>
      </c>
      <c r="AC5461" s="35"/>
      <c r="AD5461" s="35"/>
      <c r="AE5461" s="52" t="s">
        <v>1251</v>
      </c>
    </row>
    <row r="5462" spans="2:31" s="1" customFormat="1" ht="96.3" customHeight="1" outlineLevel="4">
      <c r="B5462" s="57">
        <v>4472</v>
      </c>
      <c r="C5462" s="21" t="s">
        <v>19524</v>
      </c>
      <c r="D5462" s="72" t="s">
        <v>19525</v>
      </c>
      <c r="E5462" s="72"/>
      <c r="F5462" s="72"/>
      <c r="G5462" s="72"/>
      <c r="H5462" s="22" t="s">
        <v>19526</v>
      </c>
      <c r="I5462" s="23" t="s">
        <v>36</v>
      </c>
      <c r="J5462" s="22"/>
      <c r="K5462" s="20">
        <v>4</v>
      </c>
      <c r="L5462" s="24">
        <v>146.37</v>
      </c>
      <c r="M5462" s="11"/>
      <c r="N5462" s="22">
        <f t="shared" si="304"/>
        <v>0</v>
      </c>
      <c r="O5462" s="25">
        <f>0.013*M5462</f>
        <v>0</v>
      </c>
      <c r="P5462" s="26">
        <f>0.00063*M5462</f>
        <v>0</v>
      </c>
      <c r="Q5462" s="30"/>
      <c r="R5462" s="22" t="s">
        <v>19527</v>
      </c>
      <c r="S5462" s="22"/>
      <c r="T5462" s="21" t="str">
        <f>HYPERLINK("https://miland.ru/api/getInfo/image/bda843c5-ca22-11ed-a230-00155d82e902")</f>
        <v>https://miland.ru/api/getInfo/image/bda843c5-ca22-11ed-a230-00155d82e902</v>
      </c>
      <c r="U5462" s="21"/>
      <c r="V5462" s="21" t="s">
        <v>6429</v>
      </c>
      <c r="W5462" s="21" t="s">
        <v>5671</v>
      </c>
      <c r="X5462" s="21"/>
      <c r="Y5462" s="21" t="s">
        <v>41</v>
      </c>
      <c r="Z5462" s="21"/>
      <c r="AA5462" s="21" t="str">
        <f>HYPERLINK("https://miland.ru/api/getInfo/item/bda843c5-ca22-11ed-a230-00155d82e902")</f>
        <v>https://miland.ru/api/getInfo/item/bda843c5-ca22-11ed-a230-00155d82e902</v>
      </c>
      <c r="AB5462" s="21" t="s">
        <v>42</v>
      </c>
      <c r="AC5462" s="21"/>
      <c r="AD5462" s="21"/>
    </row>
    <row r="5463" spans="2:31" s="1" customFormat="1" ht="96.3" customHeight="1" outlineLevel="4">
      <c r="B5463" s="57">
        <v>4473</v>
      </c>
      <c r="C5463" s="21" t="s">
        <v>19528</v>
      </c>
      <c r="D5463" s="72" t="s">
        <v>19529</v>
      </c>
      <c r="E5463" s="72"/>
      <c r="F5463" s="72"/>
      <c r="G5463" s="72"/>
      <c r="H5463" s="22" t="s">
        <v>19530</v>
      </c>
      <c r="I5463" s="23" t="s">
        <v>36</v>
      </c>
      <c r="J5463" s="22"/>
      <c r="K5463" s="20">
        <v>6</v>
      </c>
      <c r="L5463" s="24">
        <v>101.57</v>
      </c>
      <c r="M5463" s="11"/>
      <c r="N5463" s="22">
        <f t="shared" si="304"/>
        <v>0</v>
      </c>
      <c r="O5463" s="25">
        <f>0.006*M5463</f>
        <v>0</v>
      </c>
      <c r="P5463" s="29">
        <f>0.0003*M5463</f>
        <v>0</v>
      </c>
      <c r="Q5463" s="30"/>
      <c r="R5463" s="22" t="s">
        <v>19531</v>
      </c>
      <c r="S5463" s="22"/>
      <c r="T5463" s="21" t="str">
        <f>HYPERLINK("https://miland.ru/api/getInfo/image/882cb3ce-ca23-11ed-a230-00155d82e902")</f>
        <v>https://miland.ru/api/getInfo/image/882cb3ce-ca23-11ed-a230-00155d82e902</v>
      </c>
      <c r="U5463" s="21"/>
      <c r="V5463" s="21" t="s">
        <v>6429</v>
      </c>
      <c r="W5463" s="21" t="s">
        <v>5671</v>
      </c>
      <c r="X5463" s="21"/>
      <c r="Y5463" s="21" t="s">
        <v>41</v>
      </c>
      <c r="Z5463" s="21"/>
      <c r="AA5463" s="21" t="str">
        <f>HYPERLINK("https://miland.ru/api/getInfo/item/882cb3ce-ca23-11ed-a230-00155d82e902")</f>
        <v>https://miland.ru/api/getInfo/item/882cb3ce-ca23-11ed-a230-00155d82e902</v>
      </c>
      <c r="AB5463" s="21" t="s">
        <v>42</v>
      </c>
      <c r="AC5463" s="21"/>
      <c r="AD5463" s="21"/>
    </row>
    <row r="5464" spans="2:31" s="1" customFormat="1" ht="96.3" customHeight="1" outlineLevel="4">
      <c r="B5464" s="57">
        <v>4474</v>
      </c>
      <c r="C5464" s="21" t="s">
        <v>19532</v>
      </c>
      <c r="D5464" s="72" t="s">
        <v>19533</v>
      </c>
      <c r="E5464" s="72"/>
      <c r="F5464" s="72"/>
      <c r="G5464" s="72"/>
      <c r="H5464" s="22" t="s">
        <v>19534</v>
      </c>
      <c r="I5464" s="27">
        <v>5</v>
      </c>
      <c r="J5464" s="22"/>
      <c r="K5464" s="20">
        <v>5</v>
      </c>
      <c r="L5464" s="24">
        <v>101.57</v>
      </c>
      <c r="M5464" s="11"/>
      <c r="N5464" s="22">
        <f t="shared" si="304"/>
        <v>0</v>
      </c>
      <c r="O5464" s="28">
        <f>0.01*M5464</f>
        <v>0</v>
      </c>
      <c r="P5464" s="26">
        <f>0.00008*M5464</f>
        <v>0</v>
      </c>
      <c r="Q5464" s="30"/>
      <c r="R5464" s="22" t="s">
        <v>19535</v>
      </c>
      <c r="S5464" s="22" t="s">
        <v>435</v>
      </c>
      <c r="T5464" s="21" t="str">
        <f>HYPERLINK("https://miland.ru/api/getInfo/image/3d89b8a3-ca23-11ed-a230-00155d82e902")</f>
        <v>https://miland.ru/api/getInfo/image/3d89b8a3-ca23-11ed-a230-00155d82e902</v>
      </c>
      <c r="U5464" s="21"/>
      <c r="V5464" s="21" t="s">
        <v>6429</v>
      </c>
      <c r="W5464" s="21" t="s">
        <v>5671</v>
      </c>
      <c r="X5464" s="21"/>
      <c r="Y5464" s="21" t="s">
        <v>41</v>
      </c>
      <c r="Z5464" s="21"/>
      <c r="AA5464" s="21" t="str">
        <f>HYPERLINK("https://miland.ru/api/getInfo/item/3d89b8a3-ca23-11ed-a230-00155d82e902")</f>
        <v>https://miland.ru/api/getInfo/item/3d89b8a3-ca23-11ed-a230-00155d82e902</v>
      </c>
      <c r="AB5464" s="21" t="s">
        <v>42</v>
      </c>
      <c r="AC5464" s="21"/>
      <c r="AD5464" s="21"/>
    </row>
    <row r="5465" spans="2:31" s="1" customFormat="1" ht="96.3" customHeight="1" outlineLevel="4">
      <c r="B5465" s="57">
        <v>4475</v>
      </c>
      <c r="C5465" s="21" t="s">
        <v>19536</v>
      </c>
      <c r="D5465" s="72" t="s">
        <v>19537</v>
      </c>
      <c r="E5465" s="72"/>
      <c r="F5465" s="72"/>
      <c r="G5465" s="72"/>
      <c r="H5465" s="22" t="s">
        <v>19538</v>
      </c>
      <c r="I5465" s="23" t="s">
        <v>36</v>
      </c>
      <c r="J5465" s="22"/>
      <c r="K5465" s="20">
        <v>5</v>
      </c>
      <c r="L5465" s="24">
        <v>124</v>
      </c>
      <c r="M5465" s="11"/>
      <c r="N5465" s="22">
        <f t="shared" si="304"/>
        <v>0</v>
      </c>
      <c r="O5465" s="25">
        <f>0.026*M5465</f>
        <v>0</v>
      </c>
      <c r="P5465" s="29">
        <f>0.0033*M5465</f>
        <v>0</v>
      </c>
      <c r="Q5465" s="30"/>
      <c r="R5465" s="22" t="s">
        <v>19539</v>
      </c>
      <c r="S5465" s="22"/>
      <c r="T5465" s="21" t="str">
        <f>HYPERLINK("https://miland.ru/api/getInfo/image/8740629a-ff05-11ef-a277-00155d82e908")</f>
        <v>https://miland.ru/api/getInfo/image/8740629a-ff05-11ef-a277-00155d82e908</v>
      </c>
      <c r="U5465" s="21"/>
      <c r="V5465" s="21" t="s">
        <v>6429</v>
      </c>
      <c r="W5465" s="21" t="s">
        <v>5671</v>
      </c>
      <c r="X5465" s="21"/>
      <c r="Y5465" s="21" t="s">
        <v>41</v>
      </c>
      <c r="Z5465" s="21"/>
      <c r="AA5465" s="21" t="str">
        <f>HYPERLINK("https://miland.ru/api/getInfo/item/8740629a-ff05-11ef-a277-00155d82e908")</f>
        <v>https://miland.ru/api/getInfo/item/8740629a-ff05-11ef-a277-00155d82e908</v>
      </c>
      <c r="AB5465" s="21" t="s">
        <v>42</v>
      </c>
      <c r="AC5465" s="21"/>
      <c r="AD5465" s="21"/>
    </row>
    <row r="5466" spans="2:31" s="1" customFormat="1" ht="96.3" customHeight="1" outlineLevel="4">
      <c r="B5466" s="57">
        <v>4476</v>
      </c>
      <c r="C5466" s="21" t="s">
        <v>19540</v>
      </c>
      <c r="D5466" s="72" t="s">
        <v>19541</v>
      </c>
      <c r="E5466" s="72"/>
      <c r="F5466" s="72"/>
      <c r="G5466" s="72"/>
      <c r="H5466" s="22" t="s">
        <v>19542</v>
      </c>
      <c r="I5466" s="23" t="s">
        <v>36</v>
      </c>
      <c r="J5466" s="22"/>
      <c r="K5466" s="20">
        <v>10</v>
      </c>
      <c r="L5466" s="24">
        <v>84.69</v>
      </c>
      <c r="M5466" s="11"/>
      <c r="N5466" s="22">
        <f t="shared" si="304"/>
        <v>0</v>
      </c>
      <c r="O5466" s="25">
        <f>0.017*M5466</f>
        <v>0</v>
      </c>
      <c r="P5466" s="26">
        <f>0.00071*M5466</f>
        <v>0</v>
      </c>
      <c r="Q5466" s="30"/>
      <c r="R5466" s="22" t="s">
        <v>19543</v>
      </c>
      <c r="S5466" s="22"/>
      <c r="T5466" s="21" t="str">
        <f>HYPERLINK("https://miland.ru/api/getInfo/image/851b0661-ff02-11ef-a277-00155d82e908")</f>
        <v>https://miland.ru/api/getInfo/image/851b0661-ff02-11ef-a277-00155d82e908</v>
      </c>
      <c r="U5466" s="21"/>
      <c r="V5466" s="21" t="s">
        <v>6429</v>
      </c>
      <c r="W5466" s="21" t="s">
        <v>5671</v>
      </c>
      <c r="X5466" s="21"/>
      <c r="Y5466" s="21" t="s">
        <v>41</v>
      </c>
      <c r="Z5466" s="21"/>
      <c r="AA5466" s="21" t="str">
        <f>HYPERLINK("https://miland.ru/api/getInfo/item/851b0661-ff02-11ef-a277-00155d82e908")</f>
        <v>https://miland.ru/api/getInfo/item/851b0661-ff02-11ef-a277-00155d82e908</v>
      </c>
      <c r="AB5466" s="21" t="s">
        <v>42</v>
      </c>
      <c r="AC5466" s="21"/>
      <c r="AD5466" s="21"/>
    </row>
    <row r="5467" spans="2:31" s="1" customFormat="1" ht="96.3" customHeight="1" outlineLevel="4">
      <c r="B5467" s="57">
        <v>4477</v>
      </c>
      <c r="C5467" s="21" t="s">
        <v>19544</v>
      </c>
      <c r="D5467" s="72" t="s">
        <v>19545</v>
      </c>
      <c r="E5467" s="72"/>
      <c r="F5467" s="72"/>
      <c r="G5467" s="72"/>
      <c r="H5467" s="22" t="s">
        <v>19546</v>
      </c>
      <c r="I5467" s="23" t="s">
        <v>36</v>
      </c>
      <c r="J5467" s="22"/>
      <c r="K5467" s="20">
        <v>10</v>
      </c>
      <c r="L5467" s="24">
        <v>84.69</v>
      </c>
      <c r="M5467" s="11"/>
      <c r="N5467" s="22">
        <f t="shared" si="304"/>
        <v>0</v>
      </c>
      <c r="O5467" s="25">
        <f>0.007*M5467</f>
        <v>0</v>
      </c>
      <c r="P5467" s="26">
        <f>0.00587*M5467</f>
        <v>0</v>
      </c>
      <c r="Q5467" s="30"/>
      <c r="R5467" s="22" t="s">
        <v>19547</v>
      </c>
      <c r="S5467" s="22"/>
      <c r="T5467" s="21" t="str">
        <f>HYPERLINK("https://miland.ru/api/getInfo/image/9078391e-ff00-11ef-a277-00155d82e908")</f>
        <v>https://miland.ru/api/getInfo/image/9078391e-ff00-11ef-a277-00155d82e908</v>
      </c>
      <c r="U5467" s="21"/>
      <c r="V5467" s="21" t="s">
        <v>6429</v>
      </c>
      <c r="W5467" s="21" t="s">
        <v>5671</v>
      </c>
      <c r="X5467" s="21"/>
      <c r="Y5467" s="21" t="s">
        <v>41</v>
      </c>
      <c r="Z5467" s="21"/>
      <c r="AA5467" s="21" t="str">
        <f>HYPERLINK("https://miland.ru/api/getInfo/item/9078391e-ff00-11ef-a277-00155d82e908")</f>
        <v>https://miland.ru/api/getInfo/item/9078391e-ff00-11ef-a277-00155d82e908</v>
      </c>
      <c r="AB5467" s="21" t="s">
        <v>42</v>
      </c>
      <c r="AC5467" s="21"/>
      <c r="AD5467" s="21"/>
    </row>
    <row r="5468" spans="2:31" s="1" customFormat="1" ht="96.3" customHeight="1" outlineLevel="4">
      <c r="B5468" s="57">
        <v>4478</v>
      </c>
      <c r="C5468" s="21" t="s">
        <v>19548</v>
      </c>
      <c r="D5468" s="72" t="s">
        <v>19549</v>
      </c>
      <c r="E5468" s="72"/>
      <c r="F5468" s="72"/>
      <c r="G5468" s="72"/>
      <c r="H5468" s="22" t="s">
        <v>19550</v>
      </c>
      <c r="I5468" s="23" t="s">
        <v>36</v>
      </c>
      <c r="J5468" s="22"/>
      <c r="K5468" s="20">
        <v>10</v>
      </c>
      <c r="L5468" s="24">
        <v>84.69</v>
      </c>
      <c r="M5468" s="11"/>
      <c r="N5468" s="22">
        <f t="shared" si="304"/>
        <v>0</v>
      </c>
      <c r="O5468" s="25">
        <f>0.029*M5468</f>
        <v>0</v>
      </c>
      <c r="P5468" s="26">
        <f>0.00185*M5468</f>
        <v>0</v>
      </c>
      <c r="Q5468" s="30"/>
      <c r="R5468" s="22" t="s">
        <v>19551</v>
      </c>
      <c r="S5468" s="22"/>
      <c r="T5468" s="21" t="str">
        <f>HYPERLINK("https://miland.ru/api/getInfo/image/690777c7-ff01-11ef-a277-00155d82e908")</f>
        <v>https://miland.ru/api/getInfo/image/690777c7-ff01-11ef-a277-00155d82e908</v>
      </c>
      <c r="U5468" s="21"/>
      <c r="V5468" s="21" t="s">
        <v>6429</v>
      </c>
      <c r="W5468" s="21" t="s">
        <v>5671</v>
      </c>
      <c r="X5468" s="21"/>
      <c r="Y5468" s="21" t="s">
        <v>41</v>
      </c>
      <c r="Z5468" s="21"/>
      <c r="AA5468" s="21" t="str">
        <f>HYPERLINK("https://miland.ru/api/getInfo/item/690777c7-ff01-11ef-a277-00155d82e908")</f>
        <v>https://miland.ru/api/getInfo/item/690777c7-ff01-11ef-a277-00155d82e908</v>
      </c>
      <c r="AB5468" s="21" t="s">
        <v>42</v>
      </c>
      <c r="AC5468" s="21"/>
      <c r="AD5468" s="21"/>
    </row>
    <row r="5469" spans="2:31" s="1" customFormat="1" ht="96.3" customHeight="1" outlineLevel="4">
      <c r="B5469" s="57">
        <v>4479</v>
      </c>
      <c r="C5469" s="21" t="s">
        <v>19552</v>
      </c>
      <c r="D5469" s="72" t="s">
        <v>19553</v>
      </c>
      <c r="E5469" s="72"/>
      <c r="F5469" s="72"/>
      <c r="G5469" s="72"/>
      <c r="H5469" s="22" t="s">
        <v>19554</v>
      </c>
      <c r="I5469" s="23" t="s">
        <v>36</v>
      </c>
      <c r="J5469" s="22"/>
      <c r="K5469" s="20">
        <v>6</v>
      </c>
      <c r="L5469" s="24">
        <v>101.82</v>
      </c>
      <c r="M5469" s="11"/>
      <c r="N5469" s="22">
        <f t="shared" si="304"/>
        <v>0</v>
      </c>
      <c r="O5469" s="25">
        <f>0.031*M5469</f>
        <v>0</v>
      </c>
      <c r="P5469" s="26">
        <f>0.00083*M5469</f>
        <v>0</v>
      </c>
      <c r="Q5469" s="30"/>
      <c r="R5469" s="22" t="s">
        <v>19555</v>
      </c>
      <c r="S5469" s="22"/>
      <c r="T5469" s="21" t="str">
        <f>HYPERLINK("https://miland.ru/api/getInfo/image/066c9394-ff04-11ef-a277-00155d82e908")</f>
        <v>https://miland.ru/api/getInfo/image/066c9394-ff04-11ef-a277-00155d82e908</v>
      </c>
      <c r="U5469" s="21"/>
      <c r="V5469" s="21" t="s">
        <v>6429</v>
      </c>
      <c r="W5469" s="21" t="s">
        <v>5671</v>
      </c>
      <c r="X5469" s="21"/>
      <c r="Y5469" s="21" t="s">
        <v>41</v>
      </c>
      <c r="Z5469" s="21"/>
      <c r="AA5469" s="21" t="str">
        <f>HYPERLINK("https://miland.ru/api/getInfo/item/066c9394-ff04-11ef-a277-00155d82e908")</f>
        <v>https://miland.ru/api/getInfo/item/066c9394-ff04-11ef-a277-00155d82e908</v>
      </c>
      <c r="AB5469" s="21" t="s">
        <v>42</v>
      </c>
      <c r="AC5469" s="21"/>
      <c r="AD5469" s="21"/>
    </row>
    <row r="5470" spans="2:31" s="1" customFormat="1" ht="96.3" customHeight="1" outlineLevel="4">
      <c r="B5470" s="57">
        <v>4480</v>
      </c>
      <c r="C5470" s="21" t="s">
        <v>19556</v>
      </c>
      <c r="D5470" s="72" t="s">
        <v>19557</v>
      </c>
      <c r="E5470" s="72"/>
      <c r="F5470" s="72"/>
      <c r="G5470" s="72"/>
      <c r="H5470" s="22" t="s">
        <v>19558</v>
      </c>
      <c r="I5470" s="23" t="s">
        <v>36</v>
      </c>
      <c r="J5470" s="22"/>
      <c r="K5470" s="20">
        <v>10</v>
      </c>
      <c r="L5470" s="24">
        <v>84.69</v>
      </c>
      <c r="M5470" s="11"/>
      <c r="N5470" s="22">
        <f t="shared" si="304"/>
        <v>0</v>
      </c>
      <c r="O5470" s="25">
        <f>0.015*M5470</f>
        <v>0</v>
      </c>
      <c r="P5470" s="26">
        <f>0.00085*M5470</f>
        <v>0</v>
      </c>
      <c r="Q5470" s="30"/>
      <c r="R5470" s="22" t="s">
        <v>19559</v>
      </c>
      <c r="S5470" s="22"/>
      <c r="T5470" s="21" t="str">
        <f>HYPERLINK("https://miland.ru/api/getInfo/image/2b79a1f2-ff02-11ef-a277-00155d82e908")</f>
        <v>https://miland.ru/api/getInfo/image/2b79a1f2-ff02-11ef-a277-00155d82e908</v>
      </c>
      <c r="U5470" s="21"/>
      <c r="V5470" s="21" t="s">
        <v>6429</v>
      </c>
      <c r="W5470" s="21" t="s">
        <v>5671</v>
      </c>
      <c r="X5470" s="21"/>
      <c r="Y5470" s="21" t="s">
        <v>41</v>
      </c>
      <c r="Z5470" s="21"/>
      <c r="AA5470" s="21" t="str">
        <f>HYPERLINK("https://miland.ru/api/getInfo/item/2b79a1f2-ff02-11ef-a277-00155d82e908")</f>
        <v>https://miland.ru/api/getInfo/item/2b79a1f2-ff02-11ef-a277-00155d82e908</v>
      </c>
      <c r="AB5470" s="21" t="s">
        <v>42</v>
      </c>
      <c r="AC5470" s="21"/>
      <c r="AD5470" s="21"/>
    </row>
    <row r="5471" spans="2:31" s="1" customFormat="1" ht="96.3" customHeight="1" outlineLevel="4">
      <c r="B5471" s="57">
        <v>4481</v>
      </c>
      <c r="C5471" s="21" t="s">
        <v>19560</v>
      </c>
      <c r="D5471" s="72" t="s">
        <v>19561</v>
      </c>
      <c r="E5471" s="72"/>
      <c r="F5471" s="72"/>
      <c r="G5471" s="72"/>
      <c r="H5471" s="22" t="s">
        <v>19562</v>
      </c>
      <c r="I5471" s="23" t="s">
        <v>36</v>
      </c>
      <c r="J5471" s="22"/>
      <c r="K5471" s="20">
        <v>13</v>
      </c>
      <c r="L5471" s="24">
        <v>47.89</v>
      </c>
      <c r="M5471" s="11"/>
      <c r="N5471" s="22">
        <f t="shared" si="304"/>
        <v>0</v>
      </c>
      <c r="O5471" s="25">
        <f>0.034*M5471</f>
        <v>0</v>
      </c>
      <c r="P5471" s="26">
        <f>0.00113*M5471</f>
        <v>0</v>
      </c>
      <c r="Q5471" s="30"/>
      <c r="R5471" s="22" t="s">
        <v>19563</v>
      </c>
      <c r="S5471" s="22"/>
      <c r="T5471" s="21" t="str">
        <f>HYPERLINK("https://miland.ru/api/getInfo/image/a7a1c197-ff03-11ef-a277-00155d82e908")</f>
        <v>https://miland.ru/api/getInfo/image/a7a1c197-ff03-11ef-a277-00155d82e908</v>
      </c>
      <c r="U5471" s="21"/>
      <c r="V5471" s="21" t="s">
        <v>6429</v>
      </c>
      <c r="W5471" s="21" t="s">
        <v>5671</v>
      </c>
      <c r="X5471" s="21"/>
      <c r="Y5471" s="21" t="s">
        <v>41</v>
      </c>
      <c r="Z5471" s="21"/>
      <c r="AA5471" s="21" t="str">
        <f>HYPERLINK("https://miland.ru/api/getInfo/item/a7a1c197-ff03-11ef-a277-00155d82e908")</f>
        <v>https://miland.ru/api/getInfo/item/a7a1c197-ff03-11ef-a277-00155d82e908</v>
      </c>
      <c r="AB5471" s="21" t="s">
        <v>42</v>
      </c>
      <c r="AC5471" s="21"/>
      <c r="AD5471" s="21"/>
    </row>
    <row r="5472" spans="2:31" s="1" customFormat="1" ht="96.3" customHeight="1" outlineLevel="4">
      <c r="B5472" s="57">
        <v>4482</v>
      </c>
      <c r="C5472" s="21" t="s">
        <v>19564</v>
      </c>
      <c r="D5472" s="72" t="s">
        <v>19565</v>
      </c>
      <c r="E5472" s="72"/>
      <c r="F5472" s="72"/>
      <c r="G5472" s="72"/>
      <c r="H5472" s="22" t="s">
        <v>19566</v>
      </c>
      <c r="I5472" s="23" t="s">
        <v>36</v>
      </c>
      <c r="J5472" s="22"/>
      <c r="K5472" s="20">
        <v>10</v>
      </c>
      <c r="L5472" s="24">
        <v>84.69</v>
      </c>
      <c r="M5472" s="11"/>
      <c r="N5472" s="22">
        <f t="shared" si="304"/>
        <v>0</v>
      </c>
      <c r="O5472" s="25">
        <f>0.013*M5472</f>
        <v>0</v>
      </c>
      <c r="P5472" s="26">
        <f>0.00038*M5472</f>
        <v>0</v>
      </c>
      <c r="Q5472" s="30"/>
      <c r="R5472" s="22" t="s">
        <v>19567</v>
      </c>
      <c r="S5472" s="22"/>
      <c r="T5472" s="21" t="str">
        <f>HYPERLINK("https://miland.ru/api/getInfo/image/435d3ee4-ff03-11ef-a277-00155d82e908")</f>
        <v>https://miland.ru/api/getInfo/image/435d3ee4-ff03-11ef-a277-00155d82e908</v>
      </c>
      <c r="U5472" s="21"/>
      <c r="V5472" s="21" t="s">
        <v>6429</v>
      </c>
      <c r="W5472" s="21" t="s">
        <v>5671</v>
      </c>
      <c r="X5472" s="21"/>
      <c r="Y5472" s="21" t="s">
        <v>41</v>
      </c>
      <c r="Z5472" s="21"/>
      <c r="AA5472" s="21" t="str">
        <f>HYPERLINK("https://miland.ru/api/getInfo/item/435d3ee4-ff03-11ef-a277-00155d82e908")</f>
        <v>https://miland.ru/api/getInfo/item/435d3ee4-ff03-11ef-a277-00155d82e908</v>
      </c>
      <c r="AB5472" s="21" t="s">
        <v>42</v>
      </c>
      <c r="AC5472" s="21"/>
      <c r="AD5472" s="21"/>
    </row>
    <row r="5473" spans="2:31" s="1" customFormat="1" ht="96.3" customHeight="1" outlineLevel="4">
      <c r="B5473" s="57">
        <v>4483</v>
      </c>
      <c r="C5473" s="21" t="s">
        <v>19568</v>
      </c>
      <c r="D5473" s="72" t="s">
        <v>19569</v>
      </c>
      <c r="E5473" s="72"/>
      <c r="F5473" s="72"/>
      <c r="G5473" s="72"/>
      <c r="H5473" s="22" t="s">
        <v>19570</v>
      </c>
      <c r="I5473" s="23" t="s">
        <v>36</v>
      </c>
      <c r="J5473" s="22"/>
      <c r="K5473" s="20">
        <v>10</v>
      </c>
      <c r="L5473" s="24">
        <v>84.69</v>
      </c>
      <c r="M5473" s="11"/>
      <c r="N5473" s="22">
        <f t="shared" si="304"/>
        <v>0</v>
      </c>
      <c r="O5473" s="25">
        <f>0.019*M5473</f>
        <v>0</v>
      </c>
      <c r="P5473" s="26">
        <f>0.00059*M5473</f>
        <v>0</v>
      </c>
      <c r="Q5473" s="30"/>
      <c r="R5473" s="22" t="s">
        <v>19571</v>
      </c>
      <c r="S5473" s="22"/>
      <c r="T5473" s="21" t="str">
        <f>HYPERLINK("https://miland.ru/api/getInfo/image/da615396-ff01-11ef-a277-00155d82e908")</f>
        <v>https://miland.ru/api/getInfo/image/da615396-ff01-11ef-a277-00155d82e908</v>
      </c>
      <c r="U5473" s="21"/>
      <c r="V5473" s="21" t="s">
        <v>6429</v>
      </c>
      <c r="W5473" s="21" t="s">
        <v>5671</v>
      </c>
      <c r="X5473" s="21"/>
      <c r="Y5473" s="21" t="s">
        <v>41</v>
      </c>
      <c r="Z5473" s="21"/>
      <c r="AA5473" s="21" t="str">
        <f>HYPERLINK("https://miland.ru/api/getInfo/item/da615396-ff01-11ef-a277-00155d82e908")</f>
        <v>https://miland.ru/api/getInfo/item/da615396-ff01-11ef-a277-00155d82e908</v>
      </c>
      <c r="AB5473" s="21" t="s">
        <v>42</v>
      </c>
      <c r="AC5473" s="21"/>
      <c r="AD5473" s="21"/>
    </row>
    <row r="5474" spans="2:31" s="1" customFormat="1" ht="96.3" customHeight="1" outlineLevel="4">
      <c r="B5474" s="57">
        <v>4484</v>
      </c>
      <c r="C5474" s="21" t="s">
        <v>19572</v>
      </c>
      <c r="D5474" s="72" t="s">
        <v>19573</v>
      </c>
      <c r="E5474" s="72"/>
      <c r="F5474" s="72"/>
      <c r="G5474" s="72"/>
      <c r="H5474" s="22" t="s">
        <v>19574</v>
      </c>
      <c r="I5474" s="23" t="s">
        <v>36</v>
      </c>
      <c r="J5474" s="22"/>
      <c r="K5474" s="20">
        <v>5</v>
      </c>
      <c r="L5474" s="24">
        <v>124</v>
      </c>
      <c r="M5474" s="11"/>
      <c r="N5474" s="22">
        <f t="shared" si="304"/>
        <v>0</v>
      </c>
      <c r="O5474" s="25">
        <f>0.039*M5474</f>
        <v>0</v>
      </c>
      <c r="P5474" s="26">
        <f>0.00126*M5474</f>
        <v>0</v>
      </c>
      <c r="Q5474" s="30"/>
      <c r="R5474" s="22" t="s">
        <v>19575</v>
      </c>
      <c r="S5474" s="22"/>
      <c r="T5474" s="21" t="str">
        <f>HYPERLINK("https://miland.ru/api/getInfo/image/fcb971ae-ff04-11ef-a277-00155d82e908")</f>
        <v>https://miland.ru/api/getInfo/image/fcb971ae-ff04-11ef-a277-00155d82e908</v>
      </c>
      <c r="U5474" s="21"/>
      <c r="V5474" s="21" t="s">
        <v>6429</v>
      </c>
      <c r="W5474" s="21" t="s">
        <v>5671</v>
      </c>
      <c r="X5474" s="21"/>
      <c r="Y5474" s="21" t="s">
        <v>41</v>
      </c>
      <c r="Z5474" s="21"/>
      <c r="AA5474" s="21" t="str">
        <f>HYPERLINK("https://miland.ru/api/getInfo/item/fcb971ae-ff04-11ef-a277-00155d82e908")</f>
        <v>https://miland.ru/api/getInfo/item/fcb971ae-ff04-11ef-a277-00155d82e908</v>
      </c>
      <c r="AB5474" s="21" t="s">
        <v>42</v>
      </c>
      <c r="AC5474" s="21"/>
      <c r="AD5474" s="21"/>
    </row>
    <row r="5475" spans="2:31" s="1" customFormat="1" ht="96.3" customHeight="1" outlineLevel="4">
      <c r="B5475" s="57">
        <v>4485</v>
      </c>
      <c r="C5475" s="21" t="s">
        <v>19576</v>
      </c>
      <c r="D5475" s="72" t="s">
        <v>19577</v>
      </c>
      <c r="E5475" s="72"/>
      <c r="F5475" s="72"/>
      <c r="G5475" s="72"/>
      <c r="H5475" s="22" t="s">
        <v>19578</v>
      </c>
      <c r="I5475" s="23" t="s">
        <v>36</v>
      </c>
      <c r="J5475" s="22"/>
      <c r="K5475" s="20">
        <v>13</v>
      </c>
      <c r="L5475" s="24">
        <v>47.89</v>
      </c>
      <c r="M5475" s="11"/>
      <c r="N5475" s="22">
        <f t="shared" si="304"/>
        <v>0</v>
      </c>
      <c r="O5475" s="25">
        <f>0.022*M5475</f>
        <v>0</v>
      </c>
      <c r="P5475" s="26">
        <f>0.00137*M5475</f>
        <v>0</v>
      </c>
      <c r="Q5475" s="30"/>
      <c r="R5475" s="22" t="s">
        <v>19579</v>
      </c>
      <c r="S5475" s="22"/>
      <c r="T5475" s="21" t="str">
        <f>HYPERLINK("https://miland.ru/api/getInfo/image/d39416d5-ff02-11ef-a277-00155d82e908")</f>
        <v>https://miland.ru/api/getInfo/image/d39416d5-ff02-11ef-a277-00155d82e908</v>
      </c>
      <c r="U5475" s="21"/>
      <c r="V5475" s="21" t="s">
        <v>6429</v>
      </c>
      <c r="W5475" s="21" t="s">
        <v>5671</v>
      </c>
      <c r="X5475" s="21"/>
      <c r="Y5475" s="21" t="s">
        <v>41</v>
      </c>
      <c r="Z5475" s="21"/>
      <c r="AA5475" s="21" t="str">
        <f>HYPERLINK("https://miland.ru/api/getInfo/item/d39416d5-ff02-11ef-a277-00155d82e908")</f>
        <v>https://miland.ru/api/getInfo/item/d39416d5-ff02-11ef-a277-00155d82e908</v>
      </c>
      <c r="AB5475" s="21" t="s">
        <v>42</v>
      </c>
      <c r="AC5475" s="21"/>
      <c r="AD5475" s="21"/>
    </row>
    <row r="5476" spans="2:31" ht="12" customHeight="1" outlineLevel="3">
      <c r="B5476" s="70" t="s">
        <v>19580</v>
      </c>
      <c r="C5476" s="70"/>
      <c r="D5476" s="70"/>
      <c r="E5476" s="70"/>
      <c r="F5476" s="70"/>
      <c r="G5476" s="70"/>
    </row>
    <row r="5477" spans="2:31" s="1" customFormat="1" ht="96.3" customHeight="1" outlineLevel="4">
      <c r="B5477" s="57">
        <v>4486</v>
      </c>
      <c r="C5477" s="21" t="s">
        <v>19581</v>
      </c>
      <c r="D5477" s="72" t="s">
        <v>19582</v>
      </c>
      <c r="E5477" s="72"/>
      <c r="F5477" s="72"/>
      <c r="G5477" s="72"/>
      <c r="H5477" s="22" t="s">
        <v>19583</v>
      </c>
      <c r="I5477" s="27">
        <v>29</v>
      </c>
      <c r="J5477" s="22"/>
      <c r="K5477" s="20">
        <v>4</v>
      </c>
      <c r="L5477" s="24">
        <v>150.05000000000001</v>
      </c>
      <c r="M5477" s="11"/>
      <c r="N5477" s="22">
        <f t="shared" ref="N5477:N5482" si="305">L5477*M5477</f>
        <v>0</v>
      </c>
      <c r="O5477" s="25">
        <f>0.025*M5477</f>
        <v>0</v>
      </c>
      <c r="P5477" s="26">
        <f>0.00248*M5477</f>
        <v>0</v>
      </c>
      <c r="Q5477" s="30"/>
      <c r="R5477" s="22" t="s">
        <v>19584</v>
      </c>
      <c r="S5477" s="22" t="s">
        <v>435</v>
      </c>
      <c r="T5477" s="21" t="str">
        <f>HYPERLINK("https://miland.ru/api/getInfo/image/99d0b883-d799-11ed-a231-00155d82e902")</f>
        <v>https://miland.ru/api/getInfo/image/99d0b883-d799-11ed-a231-00155d82e902</v>
      </c>
      <c r="U5477" s="21"/>
      <c r="V5477" s="21"/>
      <c r="W5477" s="21" t="s">
        <v>5671</v>
      </c>
      <c r="X5477" s="21"/>
      <c r="Y5477" s="21" t="s">
        <v>41</v>
      </c>
      <c r="Z5477" s="21"/>
      <c r="AA5477" s="21" t="str">
        <f>HYPERLINK("https://miland.ru/api/getInfo/item/99d0b883-d799-11ed-a231-00155d82e902")</f>
        <v>https://miland.ru/api/getInfo/item/99d0b883-d799-11ed-a231-00155d82e902</v>
      </c>
      <c r="AB5477" s="21" t="s">
        <v>42</v>
      </c>
      <c r="AC5477" s="21"/>
      <c r="AD5477" s="21"/>
    </row>
    <row r="5478" spans="2:31" s="1" customFormat="1" ht="96.3" customHeight="1" outlineLevel="4">
      <c r="B5478" s="57">
        <v>4487</v>
      </c>
      <c r="C5478" s="21" t="s">
        <v>19585</v>
      </c>
      <c r="D5478" s="72" t="s">
        <v>19586</v>
      </c>
      <c r="E5478" s="72"/>
      <c r="F5478" s="72"/>
      <c r="G5478" s="72"/>
      <c r="H5478" s="22" t="s">
        <v>19587</v>
      </c>
      <c r="I5478" s="23" t="s">
        <v>36</v>
      </c>
      <c r="J5478" s="22"/>
      <c r="K5478" s="20">
        <v>4</v>
      </c>
      <c r="L5478" s="24">
        <v>144.53</v>
      </c>
      <c r="M5478" s="11"/>
      <c r="N5478" s="22">
        <f t="shared" si="305"/>
        <v>0</v>
      </c>
      <c r="O5478" s="25">
        <f>0.022*M5478</f>
        <v>0</v>
      </c>
      <c r="P5478" s="26">
        <f>0.00075*M5478</f>
        <v>0</v>
      </c>
      <c r="Q5478" s="30"/>
      <c r="R5478" s="22" t="s">
        <v>19588</v>
      </c>
      <c r="S5478" s="22" t="s">
        <v>435</v>
      </c>
      <c r="T5478" s="21" t="str">
        <f>HYPERLINK("https://miland.ru/api/getInfo/image/bed59c61-d797-11ed-a231-00155d82e902")</f>
        <v>https://miland.ru/api/getInfo/image/bed59c61-d797-11ed-a231-00155d82e902</v>
      </c>
      <c r="U5478" s="21"/>
      <c r="V5478" s="21"/>
      <c r="W5478" s="21" t="s">
        <v>5671</v>
      </c>
      <c r="X5478" s="21"/>
      <c r="Y5478" s="21" t="s">
        <v>41</v>
      </c>
      <c r="Z5478" s="21"/>
      <c r="AA5478" s="21" t="str">
        <f>HYPERLINK("https://miland.ru/api/getInfo/item/bed59c61-d797-11ed-a231-00155d82e902")</f>
        <v>https://miland.ru/api/getInfo/item/bed59c61-d797-11ed-a231-00155d82e902</v>
      </c>
      <c r="AB5478" s="21" t="s">
        <v>42</v>
      </c>
      <c r="AC5478" s="21"/>
      <c r="AD5478" s="21"/>
    </row>
    <row r="5479" spans="2:31" s="1" customFormat="1" ht="96.3" customHeight="1" outlineLevel="4">
      <c r="B5479" s="57">
        <v>4488</v>
      </c>
      <c r="C5479" s="21" t="s">
        <v>19589</v>
      </c>
      <c r="D5479" s="72" t="s">
        <v>19590</v>
      </c>
      <c r="E5479" s="72"/>
      <c r="F5479" s="72"/>
      <c r="G5479" s="72"/>
      <c r="H5479" s="22" t="s">
        <v>19591</v>
      </c>
      <c r="I5479" s="23" t="s">
        <v>36</v>
      </c>
      <c r="J5479" s="22"/>
      <c r="K5479" s="20">
        <v>4</v>
      </c>
      <c r="L5479" s="24">
        <v>144.53</v>
      </c>
      <c r="M5479" s="11"/>
      <c r="N5479" s="22">
        <f t="shared" si="305"/>
        <v>0</v>
      </c>
      <c r="O5479" s="25">
        <f>0.023*M5479</f>
        <v>0</v>
      </c>
      <c r="P5479" s="29">
        <f>0.0008*M5479</f>
        <v>0</v>
      </c>
      <c r="Q5479" s="30"/>
      <c r="R5479" s="22" t="s">
        <v>19592</v>
      </c>
      <c r="S5479" s="22" t="s">
        <v>435</v>
      </c>
      <c r="T5479" s="21" t="str">
        <f>HYPERLINK("https://miland.ru/api/getInfo/image/69d647f0-d798-11ed-a231-00155d82e902")</f>
        <v>https://miland.ru/api/getInfo/image/69d647f0-d798-11ed-a231-00155d82e902</v>
      </c>
      <c r="U5479" s="21"/>
      <c r="V5479" s="21"/>
      <c r="W5479" s="21" t="s">
        <v>5671</v>
      </c>
      <c r="X5479" s="21"/>
      <c r="Y5479" s="21" t="s">
        <v>41</v>
      </c>
      <c r="Z5479" s="21"/>
      <c r="AA5479" s="21" t="str">
        <f>HYPERLINK("https://miland.ru/api/getInfo/item/69d647f0-d798-11ed-a231-00155d82e902")</f>
        <v>https://miland.ru/api/getInfo/item/69d647f0-d798-11ed-a231-00155d82e902</v>
      </c>
      <c r="AB5479" s="21" t="s">
        <v>42</v>
      </c>
      <c r="AC5479" s="21"/>
      <c r="AD5479" s="21"/>
    </row>
    <row r="5480" spans="2:31" s="1" customFormat="1" ht="96.3" customHeight="1" outlineLevel="4">
      <c r="B5480" s="57">
        <v>4489</v>
      </c>
      <c r="C5480" s="21" t="s">
        <v>19593</v>
      </c>
      <c r="D5480" s="72" t="s">
        <v>19594</v>
      </c>
      <c r="E5480" s="72"/>
      <c r="F5480" s="72"/>
      <c r="G5480" s="72"/>
      <c r="H5480" s="22" t="s">
        <v>19595</v>
      </c>
      <c r="I5480" s="23" t="s">
        <v>36</v>
      </c>
      <c r="J5480" s="22"/>
      <c r="K5480" s="20">
        <v>5</v>
      </c>
      <c r="L5480" s="24">
        <v>123.96</v>
      </c>
      <c r="M5480" s="11"/>
      <c r="N5480" s="22">
        <f t="shared" si="305"/>
        <v>0</v>
      </c>
      <c r="O5480" s="28">
        <f>0.04*M5480</f>
        <v>0</v>
      </c>
      <c r="P5480" s="26">
        <f>0.00282*M5480</f>
        <v>0</v>
      </c>
      <c r="Q5480" s="30"/>
      <c r="R5480" s="22" t="s">
        <v>19596</v>
      </c>
      <c r="S5480" s="22" t="s">
        <v>435</v>
      </c>
      <c r="T5480" s="21" t="str">
        <f>HYPERLINK("https://miland.ru/api/getInfo/image/0817b7f0-17fa-11ea-a237-ac1f6b442184")</f>
        <v>https://miland.ru/api/getInfo/image/0817b7f0-17fa-11ea-a237-ac1f6b442184</v>
      </c>
      <c r="U5480" s="21"/>
      <c r="V5480" s="21"/>
      <c r="W5480" s="21" t="s">
        <v>5671</v>
      </c>
      <c r="X5480" s="21"/>
      <c r="Y5480" s="21" t="s">
        <v>41</v>
      </c>
      <c r="Z5480" s="21"/>
      <c r="AA5480" s="21" t="str">
        <f>HYPERLINK("https://miland.ru/api/getInfo/item/0817b7f0-17fa-11ea-a237-ac1f6b442184")</f>
        <v>https://miland.ru/api/getInfo/item/0817b7f0-17fa-11ea-a237-ac1f6b442184</v>
      </c>
      <c r="AB5480" s="21" t="s">
        <v>42</v>
      </c>
      <c r="AC5480" s="21" t="s">
        <v>19597</v>
      </c>
      <c r="AD5480" s="21"/>
    </row>
    <row r="5481" spans="2:31" s="1" customFormat="1" ht="96.3" customHeight="1" outlineLevel="4">
      <c r="B5481" s="57">
        <v>4490</v>
      </c>
      <c r="C5481" s="21" t="s">
        <v>19598</v>
      </c>
      <c r="D5481" s="72" t="s">
        <v>19599</v>
      </c>
      <c r="E5481" s="72"/>
      <c r="F5481" s="72"/>
      <c r="G5481" s="72"/>
      <c r="H5481" s="22" t="s">
        <v>19600</v>
      </c>
      <c r="I5481" s="27">
        <v>68</v>
      </c>
      <c r="J5481" s="22"/>
      <c r="K5481" s="20">
        <v>10</v>
      </c>
      <c r="L5481" s="24">
        <v>72.33</v>
      </c>
      <c r="M5481" s="11"/>
      <c r="N5481" s="22">
        <f t="shared" si="305"/>
        <v>0</v>
      </c>
      <c r="O5481" s="28">
        <f>0.03*M5481</f>
        <v>0</v>
      </c>
      <c r="P5481" s="26">
        <f>0.00084*M5481</f>
        <v>0</v>
      </c>
      <c r="Q5481" s="30"/>
      <c r="R5481" s="22" t="s">
        <v>19601</v>
      </c>
      <c r="S5481" s="22" t="s">
        <v>435</v>
      </c>
      <c r="T5481" s="21" t="str">
        <f>HYPERLINK("https://miland.ru/api/getInfo/image/62dc7baf-17fb-11ea-a237-ac1f6b442184")</f>
        <v>https://miland.ru/api/getInfo/image/62dc7baf-17fb-11ea-a237-ac1f6b442184</v>
      </c>
      <c r="U5481" s="21"/>
      <c r="V5481" s="21"/>
      <c r="W5481" s="21" t="s">
        <v>5671</v>
      </c>
      <c r="X5481" s="21"/>
      <c r="Y5481" s="21" t="s">
        <v>41</v>
      </c>
      <c r="Z5481" s="21"/>
      <c r="AA5481" s="21" t="str">
        <f>HYPERLINK("https://miland.ru/api/getInfo/item/62dc7baf-17fb-11ea-a237-ac1f6b442184")</f>
        <v>https://miland.ru/api/getInfo/item/62dc7baf-17fb-11ea-a237-ac1f6b442184</v>
      </c>
      <c r="AB5481" s="21" t="s">
        <v>42</v>
      </c>
      <c r="AC5481" s="21" t="s">
        <v>19602</v>
      </c>
      <c r="AD5481" s="21"/>
    </row>
    <row r="5482" spans="2:31" s="1" customFormat="1" ht="96.3" customHeight="1" outlineLevel="4">
      <c r="B5482" s="57">
        <v>4491</v>
      </c>
      <c r="C5482" s="21" t="s">
        <v>19603</v>
      </c>
      <c r="D5482" s="72" t="s">
        <v>19604</v>
      </c>
      <c r="E5482" s="72"/>
      <c r="F5482" s="72"/>
      <c r="G5482" s="72"/>
      <c r="H5482" s="22" t="s">
        <v>19605</v>
      </c>
      <c r="I5482" s="27">
        <v>112</v>
      </c>
      <c r="J5482" s="22"/>
      <c r="K5482" s="20">
        <v>10</v>
      </c>
      <c r="L5482" s="24">
        <v>84.02</v>
      </c>
      <c r="M5482" s="11"/>
      <c r="N5482" s="22">
        <f t="shared" si="305"/>
        <v>0</v>
      </c>
      <c r="O5482" s="28">
        <f>0.03*M5482</f>
        <v>0</v>
      </c>
      <c r="P5482" s="26">
        <f>0.00084*M5482</f>
        <v>0</v>
      </c>
      <c r="Q5482" s="30"/>
      <c r="R5482" s="22" t="s">
        <v>19606</v>
      </c>
      <c r="S5482" s="22" t="s">
        <v>435</v>
      </c>
      <c r="T5482" s="21" t="str">
        <f>HYPERLINK("https://miland.ru/api/getInfo/image/9ad96247-17fc-11ea-a237-ac1f6b442184")</f>
        <v>https://miland.ru/api/getInfo/image/9ad96247-17fc-11ea-a237-ac1f6b442184</v>
      </c>
      <c r="U5482" s="21"/>
      <c r="V5482" s="21"/>
      <c r="W5482" s="21" t="s">
        <v>5671</v>
      </c>
      <c r="X5482" s="21"/>
      <c r="Y5482" s="21" t="s">
        <v>41</v>
      </c>
      <c r="Z5482" s="21"/>
      <c r="AA5482" s="21" t="str">
        <f>HYPERLINK("https://miland.ru/api/getInfo/item/9ad96247-17fc-11ea-a237-ac1f6b442184")</f>
        <v>https://miland.ru/api/getInfo/item/9ad96247-17fc-11ea-a237-ac1f6b442184</v>
      </c>
      <c r="AB5482" s="21" t="s">
        <v>42</v>
      </c>
      <c r="AC5482" s="21" t="s">
        <v>19607</v>
      </c>
      <c r="AD5482" s="21"/>
    </row>
    <row r="5483" spans="2:31" ht="12" customHeight="1" outlineLevel="3">
      <c r="B5483" s="70" t="s">
        <v>19608</v>
      </c>
      <c r="C5483" s="70"/>
      <c r="D5483" s="70"/>
      <c r="E5483" s="70"/>
      <c r="F5483" s="70"/>
      <c r="G5483" s="70"/>
    </row>
    <row r="5484" spans="2:31" s="1" customFormat="1" ht="96.3" customHeight="1" outlineLevel="4">
      <c r="B5484" s="57">
        <v>4492</v>
      </c>
      <c r="C5484" s="21" t="s">
        <v>19609</v>
      </c>
      <c r="D5484" s="72" t="s">
        <v>19610</v>
      </c>
      <c r="E5484" s="72"/>
      <c r="F5484" s="72"/>
      <c r="G5484" s="72"/>
      <c r="H5484" s="22" t="s">
        <v>19611</v>
      </c>
      <c r="I5484" s="27">
        <v>30</v>
      </c>
      <c r="J5484" s="22"/>
      <c r="K5484" s="20">
        <v>2</v>
      </c>
      <c r="L5484" s="24">
        <v>379.55</v>
      </c>
      <c r="M5484" s="11"/>
      <c r="N5484" s="22">
        <f>L5484*M5484</f>
        <v>0</v>
      </c>
      <c r="O5484" s="25">
        <f>0.133*M5484</f>
        <v>0</v>
      </c>
      <c r="P5484" s="29">
        <f>0.0013*M5484</f>
        <v>0</v>
      </c>
      <c r="Q5484" s="30"/>
      <c r="R5484" s="22" t="s">
        <v>19612</v>
      </c>
      <c r="S5484" s="22" t="s">
        <v>435</v>
      </c>
      <c r="T5484" s="21" t="str">
        <f>HYPERLINK("https://miland.ru/api/getInfo/image/0e858a1b-d9c6-11ed-a232-00155d82e902")</f>
        <v>https://miland.ru/api/getInfo/image/0e858a1b-d9c6-11ed-a232-00155d82e902</v>
      </c>
      <c r="U5484" s="21"/>
      <c r="V5484" s="21"/>
      <c r="W5484" s="21" t="s">
        <v>5671</v>
      </c>
      <c r="X5484" s="21"/>
      <c r="Y5484" s="21" t="s">
        <v>41</v>
      </c>
      <c r="Z5484" s="21"/>
      <c r="AA5484" s="21" t="str">
        <f>HYPERLINK("https://miland.ru/api/getInfo/item/0e858a1b-d9c6-11ed-a232-00155d82e902")</f>
        <v>https://miland.ru/api/getInfo/item/0e858a1b-d9c6-11ed-a232-00155d82e902</v>
      </c>
      <c r="AB5484" s="21" t="s">
        <v>42</v>
      </c>
      <c r="AC5484" s="21"/>
      <c r="AD5484" s="21"/>
    </row>
    <row r="5485" spans="2:31" s="1" customFormat="1" ht="96.3" customHeight="1" outlineLevel="4">
      <c r="B5485" s="57">
        <v>4493</v>
      </c>
      <c r="C5485" s="21" t="s">
        <v>19613</v>
      </c>
      <c r="D5485" s="72" t="s">
        <v>19614</v>
      </c>
      <c r="E5485" s="72"/>
      <c r="F5485" s="72"/>
      <c r="G5485" s="72"/>
      <c r="H5485" s="22" t="s">
        <v>19615</v>
      </c>
      <c r="I5485" s="27">
        <v>23</v>
      </c>
      <c r="J5485" s="22"/>
      <c r="K5485" s="20">
        <v>2</v>
      </c>
      <c r="L5485" s="24">
        <v>268.20999999999998</v>
      </c>
      <c r="M5485" s="11"/>
      <c r="N5485" s="22">
        <f>L5485*M5485</f>
        <v>0</v>
      </c>
      <c r="O5485" s="25">
        <f>0.135*M5485</f>
        <v>0</v>
      </c>
      <c r="P5485" s="25">
        <f>0.001*M5485</f>
        <v>0</v>
      </c>
      <c r="Q5485" s="30"/>
      <c r="R5485" s="22" t="s">
        <v>19616</v>
      </c>
      <c r="S5485" s="22" t="s">
        <v>435</v>
      </c>
      <c r="T5485" s="21" t="str">
        <f>HYPERLINK("https://miland.ru/api/getInfo/image/31f6b3e6-d9c8-11ed-a232-00155d82e902")</f>
        <v>https://miland.ru/api/getInfo/image/31f6b3e6-d9c8-11ed-a232-00155d82e902</v>
      </c>
      <c r="U5485" s="21"/>
      <c r="V5485" s="21"/>
      <c r="W5485" s="21" t="s">
        <v>5671</v>
      </c>
      <c r="X5485" s="21"/>
      <c r="Y5485" s="21" t="s">
        <v>41</v>
      </c>
      <c r="Z5485" s="21"/>
      <c r="AA5485" s="21" t="str">
        <f>HYPERLINK("https://miland.ru/api/getInfo/item/31f6b3e6-d9c8-11ed-a232-00155d82e902")</f>
        <v>https://miland.ru/api/getInfo/item/31f6b3e6-d9c8-11ed-a232-00155d82e902</v>
      </c>
      <c r="AB5485" s="21" t="s">
        <v>42</v>
      </c>
      <c r="AC5485" s="21"/>
      <c r="AD5485" s="21"/>
    </row>
    <row r="5486" spans="2:31" ht="12" customHeight="1" outlineLevel="3">
      <c r="B5486" s="70" t="s">
        <v>19357</v>
      </c>
      <c r="C5486" s="70"/>
      <c r="D5486" s="70"/>
      <c r="E5486" s="70"/>
      <c r="F5486" s="70"/>
      <c r="G5486" s="70"/>
    </row>
    <row r="5487" spans="2:31" s="1" customFormat="1" ht="96.3" customHeight="1" outlineLevel="4">
      <c r="B5487" s="59">
        <v>4494</v>
      </c>
      <c r="C5487" s="35" t="s">
        <v>19617</v>
      </c>
      <c r="D5487" s="73" t="s">
        <v>19618</v>
      </c>
      <c r="E5487" s="73"/>
      <c r="F5487" s="73"/>
      <c r="G5487" s="73"/>
      <c r="H5487" s="36" t="s">
        <v>19619</v>
      </c>
      <c r="I5487" s="40">
        <v>5</v>
      </c>
      <c r="J5487" s="36"/>
      <c r="K5487" s="34">
        <v>1</v>
      </c>
      <c r="L5487" s="41">
        <v>381.10666666666663</v>
      </c>
      <c r="M5487" s="11"/>
      <c r="N5487" s="36">
        <f>L5487*M5487</f>
        <v>0</v>
      </c>
      <c r="O5487" s="42">
        <f>0.065*M5487</f>
        <v>0</v>
      </c>
      <c r="P5487" s="55">
        <f>0.0021*M5487</f>
        <v>0</v>
      </c>
      <c r="Q5487" s="50"/>
      <c r="R5487" s="36" t="s">
        <v>19620</v>
      </c>
      <c r="S5487" s="36"/>
      <c r="T5487" s="35" t="str">
        <f>HYPERLINK("https://miland.ru/api/getInfo/image/c60549e5-c743-11ee-a25a-00155d82e908")</f>
        <v>https://miland.ru/api/getInfo/image/c60549e5-c743-11ee-a25a-00155d82e908</v>
      </c>
      <c r="U5487" s="35"/>
      <c r="V5487" s="35"/>
      <c r="W5487" s="35" t="s">
        <v>10918</v>
      </c>
      <c r="X5487" s="35" t="s">
        <v>172</v>
      </c>
      <c r="Y5487" s="35" t="s">
        <v>10405</v>
      </c>
      <c r="Z5487" s="35" t="s">
        <v>19620</v>
      </c>
      <c r="AA5487" s="35" t="str">
        <f>HYPERLINK("https://miland.ru/api/getInfo/item/c60549e5-c743-11ee-a25a-00155d82e908")</f>
        <v>https://miland.ru/api/getInfo/item/c60549e5-c743-11ee-a25a-00155d82e908</v>
      </c>
      <c r="AB5487" s="35" t="s">
        <v>42</v>
      </c>
      <c r="AC5487" s="35" t="s">
        <v>19621</v>
      </c>
      <c r="AD5487" s="35"/>
      <c r="AE5487" s="52" t="s">
        <v>9152</v>
      </c>
    </row>
    <row r="5488" spans="2:31" ht="12" customHeight="1" outlineLevel="2">
      <c r="B5488" s="69" t="s">
        <v>19622</v>
      </c>
      <c r="C5488" s="69"/>
      <c r="D5488" s="69"/>
      <c r="E5488" s="69"/>
      <c r="F5488" s="69"/>
      <c r="G5488" s="69"/>
    </row>
    <row r="5489" spans="2:31" ht="12" customHeight="1" outlineLevel="3">
      <c r="B5489" s="70" t="s">
        <v>19623</v>
      </c>
      <c r="C5489" s="70"/>
      <c r="D5489" s="70"/>
      <c r="E5489" s="70"/>
      <c r="F5489" s="70"/>
      <c r="G5489" s="70"/>
    </row>
    <row r="5490" spans="2:31" ht="12" customHeight="1" outlineLevel="4">
      <c r="B5490" s="70" t="s">
        <v>19624</v>
      </c>
      <c r="C5490" s="70"/>
      <c r="D5490" s="70"/>
      <c r="E5490" s="70"/>
      <c r="F5490" s="70"/>
      <c r="G5490" s="70"/>
    </row>
    <row r="5491" spans="2:31" s="1" customFormat="1" ht="96.3" customHeight="1" outlineLevel="5">
      <c r="B5491" s="57">
        <v>4495</v>
      </c>
      <c r="C5491" s="21" t="s">
        <v>19625</v>
      </c>
      <c r="D5491" s="72" t="s">
        <v>19626</v>
      </c>
      <c r="E5491" s="72"/>
      <c r="F5491" s="72"/>
      <c r="G5491" s="72"/>
      <c r="H5491" s="22" t="s">
        <v>19627</v>
      </c>
      <c r="I5491" s="27">
        <v>59</v>
      </c>
      <c r="J5491" s="22"/>
      <c r="K5491" s="20">
        <v>3</v>
      </c>
      <c r="L5491" s="24">
        <v>200.89</v>
      </c>
      <c r="M5491" s="11"/>
      <c r="N5491" s="22">
        <f>L5491*M5491</f>
        <v>0</v>
      </c>
      <c r="O5491" s="28">
        <f>0.11*M5491</f>
        <v>0</v>
      </c>
      <c r="P5491" s="26">
        <f>0.00036*M5491</f>
        <v>0</v>
      </c>
      <c r="Q5491" s="30"/>
      <c r="R5491" s="22" t="s">
        <v>19628</v>
      </c>
      <c r="S5491" s="22" t="s">
        <v>435</v>
      </c>
      <c r="T5491" s="21" t="str">
        <f>HYPERLINK("https://miland.ru/api/getInfo/image/9425d793-48e2-11eb-a25e-ac1f6b442184")</f>
        <v>https://miland.ru/api/getInfo/image/9425d793-48e2-11eb-a25e-ac1f6b442184</v>
      </c>
      <c r="U5491" s="21"/>
      <c r="V5491" s="21" t="s">
        <v>1682</v>
      </c>
      <c r="W5491" s="21" t="s">
        <v>1683</v>
      </c>
      <c r="X5491" s="21"/>
      <c r="Y5491" s="21" t="s">
        <v>41</v>
      </c>
      <c r="Z5491" s="21"/>
      <c r="AA5491" s="21" t="str">
        <f>HYPERLINK("https://miland.ru/api/getInfo/item/9425d793-48e2-11eb-a25e-ac1f6b442184")</f>
        <v>https://miland.ru/api/getInfo/item/9425d793-48e2-11eb-a25e-ac1f6b442184</v>
      </c>
      <c r="AB5491" s="21" t="s">
        <v>50</v>
      </c>
      <c r="AC5491" s="21" t="s">
        <v>19629</v>
      </c>
      <c r="AD5491" s="21"/>
    </row>
    <row r="5492" spans="2:31" ht="12" customHeight="1" outlineLevel="2">
      <c r="B5492" s="69" t="s">
        <v>19630</v>
      </c>
      <c r="C5492" s="69"/>
      <c r="D5492" s="69"/>
      <c r="E5492" s="69"/>
      <c r="F5492" s="69"/>
      <c r="G5492" s="69"/>
    </row>
    <row r="5493" spans="2:31" s="1" customFormat="1" ht="96.3" customHeight="1" outlineLevel="3">
      <c r="B5493" s="59">
        <v>4496</v>
      </c>
      <c r="C5493" s="35" t="s">
        <v>19631</v>
      </c>
      <c r="D5493" s="73" t="s">
        <v>19632</v>
      </c>
      <c r="E5493" s="73"/>
      <c r="F5493" s="73"/>
      <c r="G5493" s="73"/>
      <c r="H5493" s="36" t="s">
        <v>19633</v>
      </c>
      <c r="I5493" s="40">
        <v>82</v>
      </c>
      <c r="J5493" s="36"/>
      <c r="K5493" s="34">
        <v>1</v>
      </c>
      <c r="L5493" s="41">
        <v>261.56</v>
      </c>
      <c r="M5493" s="11"/>
      <c r="N5493" s="36">
        <f>L5493*M5493</f>
        <v>0</v>
      </c>
      <c r="O5493" s="42">
        <f>0.218*M5493</f>
        <v>0</v>
      </c>
      <c r="P5493" s="43">
        <f>0.00032*M5493</f>
        <v>0</v>
      </c>
      <c r="Q5493" s="50"/>
      <c r="R5493" s="36" t="s">
        <v>19634</v>
      </c>
      <c r="S5493" s="36" t="s">
        <v>435</v>
      </c>
      <c r="T5493" s="35" t="str">
        <f>HYPERLINK("https://miland.ru/api/getInfo/image/e7f2886c-3cc3-11ee-a241-00155d82e902")</f>
        <v>https://miland.ru/api/getInfo/image/e7f2886c-3cc3-11ee-a241-00155d82e902</v>
      </c>
      <c r="U5493" s="35"/>
      <c r="V5493" s="35"/>
      <c r="W5493" s="35"/>
      <c r="X5493" s="35"/>
      <c r="Y5493" s="35" t="s">
        <v>41</v>
      </c>
      <c r="Z5493" s="35"/>
      <c r="AA5493" s="35" t="str">
        <f>HYPERLINK("https://miland.ru/api/getInfo/item/e7f2886c-3cc3-11ee-a241-00155d82e902")</f>
        <v>https://miland.ru/api/getInfo/item/e7f2886c-3cc3-11ee-a241-00155d82e902</v>
      </c>
      <c r="AB5493" s="35" t="s">
        <v>50</v>
      </c>
      <c r="AC5493" s="35"/>
      <c r="AD5493" s="35"/>
      <c r="AE5493" s="52" t="s">
        <v>1251</v>
      </c>
    </row>
    <row r="5494" spans="2:31" s="1" customFormat="1" ht="96.3" customHeight="1" outlineLevel="3">
      <c r="B5494" s="59">
        <v>4497</v>
      </c>
      <c r="C5494" s="35" t="s">
        <v>19635</v>
      </c>
      <c r="D5494" s="73" t="s">
        <v>19636</v>
      </c>
      <c r="E5494" s="73"/>
      <c r="F5494" s="73"/>
      <c r="G5494" s="73"/>
      <c r="H5494" s="36" t="s">
        <v>19637</v>
      </c>
      <c r="I5494" s="40">
        <v>26</v>
      </c>
      <c r="J5494" s="36"/>
      <c r="K5494" s="34">
        <v>1</v>
      </c>
      <c r="L5494" s="41">
        <v>261.56</v>
      </c>
      <c r="M5494" s="11"/>
      <c r="N5494" s="36">
        <f>L5494*M5494</f>
        <v>0</v>
      </c>
      <c r="O5494" s="42">
        <f>0.217*M5494</f>
        <v>0</v>
      </c>
      <c r="P5494" s="43">
        <f>0.00064*M5494</f>
        <v>0</v>
      </c>
      <c r="Q5494" s="50"/>
      <c r="R5494" s="36" t="s">
        <v>19638</v>
      </c>
      <c r="S5494" s="36" t="s">
        <v>435</v>
      </c>
      <c r="T5494" s="35" t="str">
        <f>HYPERLINK("https://miland.ru/api/getInfo/image/44cd1d2c-c19e-11ed-a230-00155d82e902")</f>
        <v>https://miland.ru/api/getInfo/image/44cd1d2c-c19e-11ed-a230-00155d82e902</v>
      </c>
      <c r="U5494" s="35"/>
      <c r="V5494" s="35"/>
      <c r="W5494" s="35"/>
      <c r="X5494" s="35"/>
      <c r="Y5494" s="35" t="s">
        <v>41</v>
      </c>
      <c r="Z5494" s="35"/>
      <c r="AA5494" s="35" t="str">
        <f>HYPERLINK("https://miland.ru/api/getInfo/item/44cd1d2c-c19e-11ed-a230-00155d82e902")</f>
        <v>https://miland.ru/api/getInfo/item/44cd1d2c-c19e-11ed-a230-00155d82e902</v>
      </c>
      <c r="AB5494" s="35" t="s">
        <v>50</v>
      </c>
      <c r="AC5494" s="35"/>
      <c r="AD5494" s="35"/>
      <c r="AE5494" s="52" t="s">
        <v>1251</v>
      </c>
    </row>
    <row r="5495" spans="2:31" ht="12" customHeight="1" outlineLevel="2">
      <c r="B5495" s="69" t="s">
        <v>19639</v>
      </c>
      <c r="C5495" s="69"/>
      <c r="D5495" s="69"/>
      <c r="E5495" s="69"/>
      <c r="F5495" s="69"/>
      <c r="G5495" s="69"/>
    </row>
    <row r="5496" spans="2:31" s="1" customFormat="1" ht="96.3" customHeight="1" outlineLevel="3">
      <c r="B5496" s="57">
        <v>4498</v>
      </c>
      <c r="C5496" s="21" t="s">
        <v>19640</v>
      </c>
      <c r="D5496" s="72" t="s">
        <v>19641</v>
      </c>
      <c r="E5496" s="72"/>
      <c r="F5496" s="72"/>
      <c r="G5496" s="72"/>
      <c r="H5496" s="22" t="s">
        <v>19642</v>
      </c>
      <c r="I5496" s="27">
        <v>24</v>
      </c>
      <c r="J5496" s="22"/>
      <c r="K5496" s="20">
        <v>3</v>
      </c>
      <c r="L5496" s="24">
        <v>251.7</v>
      </c>
      <c r="M5496" s="11"/>
      <c r="N5496" s="22">
        <f>L5496*M5496</f>
        <v>0</v>
      </c>
      <c r="O5496" s="25">
        <f>0.089*M5496</f>
        <v>0</v>
      </c>
      <c r="P5496" s="26">
        <f>0.00022*M5496</f>
        <v>0</v>
      </c>
      <c r="Q5496" s="30"/>
      <c r="R5496" s="22" t="s">
        <v>19643</v>
      </c>
      <c r="S5496" s="22" t="s">
        <v>435</v>
      </c>
      <c r="T5496" s="21" t="str">
        <f>HYPERLINK("https://miland.ru/api/getInfo/image/7759f8f8-c19d-11ed-a230-00155d82e902")</f>
        <v>https://miland.ru/api/getInfo/image/7759f8f8-c19d-11ed-a230-00155d82e902</v>
      </c>
      <c r="U5496" s="21"/>
      <c r="V5496" s="21"/>
      <c r="W5496" s="21"/>
      <c r="X5496" s="21" t="s">
        <v>172</v>
      </c>
      <c r="Y5496" s="21" t="s">
        <v>477</v>
      </c>
      <c r="Z5496" s="21" t="s">
        <v>19644</v>
      </c>
      <c r="AA5496" s="21" t="str">
        <f>HYPERLINK("https://miland.ru/api/getInfo/item/7759f8f8-c19d-11ed-a230-00155d82e902")</f>
        <v>https://miland.ru/api/getInfo/item/7759f8f8-c19d-11ed-a230-00155d82e902</v>
      </c>
      <c r="AB5496" s="21" t="s">
        <v>50</v>
      </c>
      <c r="AC5496" s="21"/>
      <c r="AD5496" s="21"/>
    </row>
    <row r="5497" spans="2:31" s="1" customFormat="1" ht="96.3" customHeight="1" outlineLevel="3">
      <c r="B5497" s="57">
        <v>4499</v>
      </c>
      <c r="C5497" s="21" t="s">
        <v>19645</v>
      </c>
      <c r="D5497" s="72" t="s">
        <v>19646</v>
      </c>
      <c r="E5497" s="72"/>
      <c r="F5497" s="72"/>
      <c r="G5497" s="72"/>
      <c r="H5497" s="22" t="s">
        <v>19647</v>
      </c>
      <c r="I5497" s="23" t="s">
        <v>36</v>
      </c>
      <c r="J5497" s="22"/>
      <c r="K5497" s="20">
        <v>4</v>
      </c>
      <c r="L5497" s="24">
        <v>147.93</v>
      </c>
      <c r="M5497" s="11"/>
      <c r="N5497" s="22">
        <f>L5497*M5497</f>
        <v>0</v>
      </c>
      <c r="O5497" s="25">
        <f>0.053*M5497</f>
        <v>0</v>
      </c>
      <c r="P5497" s="26">
        <f>0.00037*M5497</f>
        <v>0</v>
      </c>
      <c r="Q5497" s="30"/>
      <c r="R5497" s="22" t="s">
        <v>19648</v>
      </c>
      <c r="S5497" s="22"/>
      <c r="T5497" s="21" t="str">
        <f>HYPERLINK("https://miland.ru/api/getInfo/image/ada5df2d-ce55-11ef-a268-00155d82e908")</f>
        <v>https://miland.ru/api/getInfo/image/ada5df2d-ce55-11ef-a268-00155d82e908</v>
      </c>
      <c r="U5497" s="21"/>
      <c r="V5497" s="21" t="s">
        <v>1818</v>
      </c>
      <c r="W5497" s="21" t="s">
        <v>1819</v>
      </c>
      <c r="X5497" s="21" t="s">
        <v>172</v>
      </c>
      <c r="Y5497" s="21" t="s">
        <v>477</v>
      </c>
      <c r="Z5497" s="21" t="s">
        <v>19649</v>
      </c>
      <c r="AA5497" s="21" t="str">
        <f>HYPERLINK("https://miland.ru/api/getInfo/item/ada5df2d-ce55-11ef-a268-00155d82e908")</f>
        <v>https://miland.ru/api/getInfo/item/ada5df2d-ce55-11ef-a268-00155d82e908</v>
      </c>
      <c r="AB5497" s="21" t="s">
        <v>50</v>
      </c>
      <c r="AC5497" s="21"/>
      <c r="AD5497" s="21"/>
    </row>
    <row r="5498" spans="2:31" s="1" customFormat="1" ht="96.3" customHeight="1" outlineLevel="3">
      <c r="B5498" s="57">
        <v>4500</v>
      </c>
      <c r="C5498" s="21" t="s">
        <v>19650</v>
      </c>
      <c r="D5498" s="72" t="s">
        <v>19651</v>
      </c>
      <c r="E5498" s="72"/>
      <c r="F5498" s="72"/>
      <c r="G5498" s="72"/>
      <c r="H5498" s="22" t="s">
        <v>19652</v>
      </c>
      <c r="I5498" s="23" t="s">
        <v>36</v>
      </c>
      <c r="J5498" s="22"/>
      <c r="K5498" s="20">
        <v>4</v>
      </c>
      <c r="L5498" s="24">
        <v>147.93</v>
      </c>
      <c r="M5498" s="11"/>
      <c r="N5498" s="22">
        <f>L5498*M5498</f>
        <v>0</v>
      </c>
      <c r="O5498" s="25">
        <f>0.054*M5498</f>
        <v>0</v>
      </c>
      <c r="P5498" s="26">
        <f>0.00008*M5498</f>
        <v>0</v>
      </c>
      <c r="Q5498" s="30"/>
      <c r="R5498" s="22" t="s">
        <v>19653</v>
      </c>
      <c r="S5498" s="22"/>
      <c r="T5498" s="21" t="str">
        <f>HYPERLINK("https://miland.ru/api/getInfo/image/4df5aca7-ce56-11ef-a268-00155d82e908")</f>
        <v>https://miland.ru/api/getInfo/image/4df5aca7-ce56-11ef-a268-00155d82e908</v>
      </c>
      <c r="U5498" s="21"/>
      <c r="V5498" s="21" t="s">
        <v>1818</v>
      </c>
      <c r="W5498" s="21" t="s">
        <v>1819</v>
      </c>
      <c r="X5498" s="21" t="s">
        <v>172</v>
      </c>
      <c r="Y5498" s="21" t="s">
        <v>477</v>
      </c>
      <c r="Z5498" s="21" t="s">
        <v>19654</v>
      </c>
      <c r="AA5498" s="21" t="str">
        <f>HYPERLINK("https://miland.ru/api/getInfo/item/4df5aca7-ce56-11ef-a268-00155d82e908")</f>
        <v>https://miland.ru/api/getInfo/item/4df5aca7-ce56-11ef-a268-00155d82e908</v>
      </c>
      <c r="AB5498" s="21" t="s">
        <v>50</v>
      </c>
      <c r="AC5498" s="21"/>
      <c r="AD5498" s="21"/>
    </row>
    <row r="5499" spans="2:31" ht="12" customHeight="1" outlineLevel="2">
      <c r="B5499" s="69" t="s">
        <v>19655</v>
      </c>
      <c r="C5499" s="69"/>
      <c r="D5499" s="69"/>
      <c r="E5499" s="69"/>
      <c r="F5499" s="69"/>
      <c r="G5499" s="69"/>
    </row>
    <row r="5500" spans="2:31" s="1" customFormat="1" ht="96.3" customHeight="1" outlineLevel="3">
      <c r="B5500" s="57">
        <v>4501</v>
      </c>
      <c r="C5500" s="21" t="s">
        <v>19656</v>
      </c>
      <c r="D5500" s="72" t="s">
        <v>19657</v>
      </c>
      <c r="E5500" s="72"/>
      <c r="F5500" s="72"/>
      <c r="G5500" s="72"/>
      <c r="H5500" s="22" t="s">
        <v>19658</v>
      </c>
      <c r="I5500" s="23" t="s">
        <v>36</v>
      </c>
      <c r="J5500" s="22"/>
      <c r="K5500" s="20">
        <v>10</v>
      </c>
      <c r="L5500" s="24">
        <v>69.59</v>
      </c>
      <c r="M5500" s="11"/>
      <c r="N5500" s="22">
        <f t="shared" ref="N5500:N5507" si="306">L5500*M5500</f>
        <v>0</v>
      </c>
      <c r="O5500" s="25">
        <f>0.057*M5500</f>
        <v>0</v>
      </c>
      <c r="P5500" s="26">
        <f>0.00019*M5500</f>
        <v>0</v>
      </c>
      <c r="Q5500" s="30"/>
      <c r="R5500" s="22" t="s">
        <v>19659</v>
      </c>
      <c r="S5500" s="22"/>
      <c r="T5500" s="21" t="str">
        <f>HYPERLINK("https://miland.ru/api/getInfo/image/2d1616da-fe06-11ed-a23a-00155d82e902")</f>
        <v>https://miland.ru/api/getInfo/image/2d1616da-fe06-11ed-a23a-00155d82e902</v>
      </c>
      <c r="U5500" s="21"/>
      <c r="V5500" s="21"/>
      <c r="W5500" s="21" t="s">
        <v>5671</v>
      </c>
      <c r="X5500" s="21"/>
      <c r="Y5500" s="21" t="s">
        <v>41</v>
      </c>
      <c r="Z5500" s="21"/>
      <c r="AA5500" s="21" t="str">
        <f>HYPERLINK("https://miland.ru/api/getInfo/item/2d1616da-fe06-11ed-a23a-00155d82e902")</f>
        <v>https://miland.ru/api/getInfo/item/2d1616da-fe06-11ed-a23a-00155d82e902</v>
      </c>
      <c r="AB5500" s="21" t="s">
        <v>42</v>
      </c>
      <c r="AC5500" s="21" t="s">
        <v>19660</v>
      </c>
      <c r="AD5500" s="21"/>
    </row>
    <row r="5501" spans="2:31" s="1" customFormat="1" ht="96.3" customHeight="1" outlineLevel="3">
      <c r="B5501" s="57">
        <v>4502</v>
      </c>
      <c r="C5501" s="21" t="s">
        <v>19661</v>
      </c>
      <c r="D5501" s="72" t="s">
        <v>19662</v>
      </c>
      <c r="E5501" s="72"/>
      <c r="F5501" s="72"/>
      <c r="G5501" s="72"/>
      <c r="H5501" s="22" t="s">
        <v>19663</v>
      </c>
      <c r="I5501" s="23" t="s">
        <v>36</v>
      </c>
      <c r="J5501" s="22"/>
      <c r="K5501" s="20">
        <v>10</v>
      </c>
      <c r="L5501" s="24">
        <v>62.63</v>
      </c>
      <c r="M5501" s="11"/>
      <c r="N5501" s="22">
        <f t="shared" si="306"/>
        <v>0</v>
      </c>
      <c r="O5501" s="25">
        <f>0.045*M5501</f>
        <v>0</v>
      </c>
      <c r="P5501" s="26">
        <f>0.00011*M5501</f>
        <v>0</v>
      </c>
      <c r="Q5501" s="30"/>
      <c r="R5501" s="22" t="s">
        <v>19664</v>
      </c>
      <c r="S5501" s="22"/>
      <c r="T5501" s="21" t="str">
        <f>HYPERLINK("https://miland.ru/api/getInfo/image/e585f337-fe05-11ed-a23a-00155d82e902")</f>
        <v>https://miland.ru/api/getInfo/image/e585f337-fe05-11ed-a23a-00155d82e902</v>
      </c>
      <c r="U5501" s="21"/>
      <c r="V5501" s="21"/>
      <c r="W5501" s="21" t="s">
        <v>5671</v>
      </c>
      <c r="X5501" s="21"/>
      <c r="Y5501" s="21" t="s">
        <v>41</v>
      </c>
      <c r="Z5501" s="21"/>
      <c r="AA5501" s="21" t="str">
        <f>HYPERLINK("https://miland.ru/api/getInfo/item/e585f337-fe05-11ed-a23a-00155d82e902")</f>
        <v>https://miland.ru/api/getInfo/item/e585f337-fe05-11ed-a23a-00155d82e902</v>
      </c>
      <c r="AB5501" s="21" t="s">
        <v>42</v>
      </c>
      <c r="AC5501" s="21" t="s">
        <v>19660</v>
      </c>
      <c r="AD5501" s="21"/>
    </row>
    <row r="5502" spans="2:31" s="1" customFormat="1" ht="96.3" customHeight="1" outlineLevel="3">
      <c r="B5502" s="57">
        <v>4503</v>
      </c>
      <c r="C5502" s="21" t="s">
        <v>19665</v>
      </c>
      <c r="D5502" s="72" t="s">
        <v>19666</v>
      </c>
      <c r="E5502" s="72"/>
      <c r="F5502" s="72"/>
      <c r="G5502" s="72"/>
      <c r="H5502" s="22" t="s">
        <v>19667</v>
      </c>
      <c r="I5502" s="23" t="s">
        <v>36</v>
      </c>
      <c r="J5502" s="22"/>
      <c r="K5502" s="20">
        <v>10</v>
      </c>
      <c r="L5502" s="24">
        <v>62.63</v>
      </c>
      <c r="M5502" s="11"/>
      <c r="N5502" s="22">
        <f t="shared" si="306"/>
        <v>0</v>
      </c>
      <c r="O5502" s="25">
        <f>0.049*M5502</f>
        <v>0</v>
      </c>
      <c r="P5502" s="29">
        <f>0.0003*M5502</f>
        <v>0</v>
      </c>
      <c r="Q5502" s="30"/>
      <c r="R5502" s="22" t="s">
        <v>19668</v>
      </c>
      <c r="S5502" s="22"/>
      <c r="T5502" s="21" t="str">
        <f>HYPERLINK("https://miland.ru/api/getInfo/image/8b8042c9-fe05-11ed-a23a-00155d82e902")</f>
        <v>https://miland.ru/api/getInfo/image/8b8042c9-fe05-11ed-a23a-00155d82e902</v>
      </c>
      <c r="U5502" s="21"/>
      <c r="V5502" s="21"/>
      <c r="W5502" s="21" t="s">
        <v>5671</v>
      </c>
      <c r="X5502" s="21"/>
      <c r="Y5502" s="21" t="s">
        <v>41</v>
      </c>
      <c r="Z5502" s="21"/>
      <c r="AA5502" s="21" t="str">
        <f>HYPERLINK("https://miland.ru/api/getInfo/item/8b8042c9-fe05-11ed-a23a-00155d82e902")</f>
        <v>https://miland.ru/api/getInfo/item/8b8042c9-fe05-11ed-a23a-00155d82e902</v>
      </c>
      <c r="AB5502" s="21" t="s">
        <v>42</v>
      </c>
      <c r="AC5502" s="21" t="s">
        <v>19660</v>
      </c>
      <c r="AD5502" s="21"/>
    </row>
    <row r="5503" spans="2:31" s="1" customFormat="1" ht="96.3" customHeight="1" outlineLevel="3">
      <c r="B5503" s="57">
        <v>4504</v>
      </c>
      <c r="C5503" s="21" t="s">
        <v>19669</v>
      </c>
      <c r="D5503" s="72" t="s">
        <v>19670</v>
      </c>
      <c r="E5503" s="72"/>
      <c r="F5503" s="72"/>
      <c r="G5503" s="72"/>
      <c r="H5503" s="22" t="s">
        <v>19671</v>
      </c>
      <c r="I5503" s="27">
        <v>288</v>
      </c>
      <c r="J5503" s="22"/>
      <c r="K5503" s="20">
        <v>2</v>
      </c>
      <c r="L5503" s="24">
        <v>273.81</v>
      </c>
      <c r="M5503" s="11"/>
      <c r="N5503" s="22">
        <f t="shared" si="306"/>
        <v>0</v>
      </c>
      <c r="O5503" s="25">
        <f>0.225*M5503</f>
        <v>0</v>
      </c>
      <c r="P5503" s="26">
        <f>0.00071*M5503</f>
        <v>0</v>
      </c>
      <c r="Q5503" s="30"/>
      <c r="R5503" s="22" t="s">
        <v>19672</v>
      </c>
      <c r="S5503" s="22" t="s">
        <v>435</v>
      </c>
      <c r="T5503" s="21" t="str">
        <f>HYPERLINK("https://miland.ru/api/getInfo/image/db7e543f-c4e3-11ef-a268-00155d82e908")</f>
        <v>https://miland.ru/api/getInfo/image/db7e543f-c4e3-11ef-a268-00155d82e908</v>
      </c>
      <c r="U5503" s="21"/>
      <c r="V5503" s="21"/>
      <c r="W5503" s="21" t="s">
        <v>82</v>
      </c>
      <c r="X5503" s="21"/>
      <c r="Y5503" s="21" t="s">
        <v>41</v>
      </c>
      <c r="Z5503" s="21"/>
      <c r="AA5503" s="21" t="str">
        <f>HYPERLINK("https://miland.ru/api/getInfo/item/db7e543f-c4e3-11ef-a268-00155d82e908")</f>
        <v>https://miland.ru/api/getInfo/item/db7e543f-c4e3-11ef-a268-00155d82e908</v>
      </c>
      <c r="AB5503" s="21" t="s">
        <v>42</v>
      </c>
      <c r="AC5503" s="21"/>
      <c r="AD5503" s="21"/>
    </row>
    <row r="5504" spans="2:31" s="1" customFormat="1" ht="96.3" customHeight="1" outlineLevel="3">
      <c r="B5504" s="57">
        <v>4505</v>
      </c>
      <c r="C5504" s="21" t="s">
        <v>19673</v>
      </c>
      <c r="D5504" s="72" t="s">
        <v>19674</v>
      </c>
      <c r="E5504" s="72"/>
      <c r="F5504" s="72"/>
      <c r="G5504" s="72"/>
      <c r="H5504" s="22" t="s">
        <v>19675</v>
      </c>
      <c r="I5504" s="23" t="s">
        <v>36</v>
      </c>
      <c r="J5504" s="22"/>
      <c r="K5504" s="20">
        <v>10</v>
      </c>
      <c r="L5504" s="24">
        <v>62.63</v>
      </c>
      <c r="M5504" s="11"/>
      <c r="N5504" s="22">
        <f t="shared" si="306"/>
        <v>0</v>
      </c>
      <c r="O5504" s="25">
        <f>0.042*M5504</f>
        <v>0</v>
      </c>
      <c r="P5504" s="26">
        <f>0.00012*M5504</f>
        <v>0</v>
      </c>
      <c r="Q5504" s="30"/>
      <c r="R5504" s="22" t="s">
        <v>19676</v>
      </c>
      <c r="S5504" s="22"/>
      <c r="T5504" s="21" t="str">
        <f>HYPERLINK("https://miland.ru/api/getInfo/image/de2be681-fe04-11ed-a23a-00155d82e902")</f>
        <v>https://miland.ru/api/getInfo/image/de2be681-fe04-11ed-a23a-00155d82e902</v>
      </c>
      <c r="U5504" s="21"/>
      <c r="V5504" s="21"/>
      <c r="W5504" s="21" t="s">
        <v>5671</v>
      </c>
      <c r="X5504" s="21"/>
      <c r="Y5504" s="21" t="s">
        <v>41</v>
      </c>
      <c r="Z5504" s="21"/>
      <c r="AA5504" s="21" t="str">
        <f>HYPERLINK("https://miland.ru/api/getInfo/item/de2be681-fe04-11ed-a23a-00155d82e902")</f>
        <v>https://miland.ru/api/getInfo/item/de2be681-fe04-11ed-a23a-00155d82e902</v>
      </c>
      <c r="AB5504" s="21" t="s">
        <v>42</v>
      </c>
      <c r="AC5504" s="21" t="s">
        <v>19660</v>
      </c>
      <c r="AD5504" s="21"/>
    </row>
    <row r="5505" spans="2:31" s="1" customFormat="1" ht="96.3" customHeight="1" outlineLevel="3">
      <c r="B5505" s="57">
        <v>4506</v>
      </c>
      <c r="C5505" s="21" t="s">
        <v>19677</v>
      </c>
      <c r="D5505" s="72" t="s">
        <v>19678</v>
      </c>
      <c r="E5505" s="72"/>
      <c r="F5505" s="72"/>
      <c r="G5505" s="72"/>
      <c r="H5505" s="22" t="s">
        <v>19679</v>
      </c>
      <c r="I5505" s="23" t="s">
        <v>36</v>
      </c>
      <c r="J5505" s="22"/>
      <c r="K5505" s="20">
        <v>3</v>
      </c>
      <c r="L5505" s="24">
        <v>179.41</v>
      </c>
      <c r="M5505" s="11"/>
      <c r="N5505" s="22">
        <f t="shared" si="306"/>
        <v>0</v>
      </c>
      <c r="O5505" s="25">
        <f>0.094*M5505</f>
        <v>0</v>
      </c>
      <c r="P5505" s="29">
        <f>0.0001*M5505</f>
        <v>0</v>
      </c>
      <c r="Q5505" s="30"/>
      <c r="R5505" s="22" t="s">
        <v>19680</v>
      </c>
      <c r="S5505" s="22"/>
      <c r="T5505" s="21" t="str">
        <f>HYPERLINK("https://miland.ru/api/getInfo/image/22979d1b-cbd5-11ee-a25a-00155d82e908")</f>
        <v>https://miland.ru/api/getInfo/image/22979d1b-cbd5-11ee-a25a-00155d82e908</v>
      </c>
      <c r="U5505" s="21"/>
      <c r="V5505" s="21"/>
      <c r="W5505" s="21" t="s">
        <v>5671</v>
      </c>
      <c r="X5505" s="21"/>
      <c r="Y5505" s="21" t="s">
        <v>41</v>
      </c>
      <c r="Z5505" s="21"/>
      <c r="AA5505" s="21" t="str">
        <f>HYPERLINK("https://miland.ru/api/getInfo/item/22979d1b-cbd5-11ee-a25a-00155d82e908")</f>
        <v>https://miland.ru/api/getInfo/item/22979d1b-cbd5-11ee-a25a-00155d82e908</v>
      </c>
      <c r="AB5505" s="21" t="s">
        <v>42</v>
      </c>
      <c r="AC5505" s="21" t="s">
        <v>19681</v>
      </c>
      <c r="AD5505" s="21"/>
    </row>
    <row r="5506" spans="2:31" s="1" customFormat="1" ht="96.3" customHeight="1" outlineLevel="3">
      <c r="B5506" s="57">
        <v>4507</v>
      </c>
      <c r="C5506" s="21" t="s">
        <v>19682</v>
      </c>
      <c r="D5506" s="72" t="s">
        <v>19683</v>
      </c>
      <c r="E5506" s="72"/>
      <c r="F5506" s="72"/>
      <c r="G5506" s="72"/>
      <c r="H5506" s="22" t="s">
        <v>19684</v>
      </c>
      <c r="I5506" s="23" t="s">
        <v>36</v>
      </c>
      <c r="J5506" s="22"/>
      <c r="K5506" s="20">
        <v>3</v>
      </c>
      <c r="L5506" s="24">
        <v>179.41</v>
      </c>
      <c r="M5506" s="11"/>
      <c r="N5506" s="22">
        <f t="shared" si="306"/>
        <v>0</v>
      </c>
      <c r="O5506" s="25">
        <f>0.101*M5506</f>
        <v>0</v>
      </c>
      <c r="P5506" s="26">
        <f>0.00005*M5506</f>
        <v>0</v>
      </c>
      <c r="Q5506" s="30"/>
      <c r="R5506" s="22" t="s">
        <v>19685</v>
      </c>
      <c r="S5506" s="22" t="s">
        <v>435</v>
      </c>
      <c r="T5506" s="21" t="str">
        <f>HYPERLINK("https://miland.ru/api/getInfo/image/c4d7cddf-cbd4-11ee-a25a-00155d82e908")</f>
        <v>https://miland.ru/api/getInfo/image/c4d7cddf-cbd4-11ee-a25a-00155d82e908</v>
      </c>
      <c r="U5506" s="21"/>
      <c r="V5506" s="21"/>
      <c r="W5506" s="21" t="s">
        <v>82</v>
      </c>
      <c r="X5506" s="21"/>
      <c r="Y5506" s="21" t="s">
        <v>41</v>
      </c>
      <c r="Z5506" s="21"/>
      <c r="AA5506" s="21" t="str">
        <f>HYPERLINK("https://miland.ru/api/getInfo/item/c4d7cddf-cbd4-11ee-a25a-00155d82e908")</f>
        <v>https://miland.ru/api/getInfo/item/c4d7cddf-cbd4-11ee-a25a-00155d82e908</v>
      </c>
      <c r="AB5506" s="21" t="s">
        <v>42</v>
      </c>
      <c r="AC5506" s="21" t="s">
        <v>19681</v>
      </c>
      <c r="AD5506" s="21"/>
    </row>
    <row r="5507" spans="2:31" s="1" customFormat="1" ht="96.3" customHeight="1" outlineLevel="3">
      <c r="B5507" s="57">
        <v>4508</v>
      </c>
      <c r="C5507" s="21" t="s">
        <v>19686</v>
      </c>
      <c r="D5507" s="72" t="s">
        <v>19687</v>
      </c>
      <c r="E5507" s="72"/>
      <c r="F5507" s="72"/>
      <c r="G5507" s="72"/>
      <c r="H5507" s="22" t="s">
        <v>19688</v>
      </c>
      <c r="I5507" s="23" t="s">
        <v>36</v>
      </c>
      <c r="J5507" s="22"/>
      <c r="K5507" s="20">
        <v>5</v>
      </c>
      <c r="L5507" s="24">
        <v>119.61</v>
      </c>
      <c r="M5507" s="11"/>
      <c r="N5507" s="22">
        <f t="shared" si="306"/>
        <v>0</v>
      </c>
      <c r="O5507" s="28">
        <f>0.07*M5507</f>
        <v>0</v>
      </c>
      <c r="P5507" s="26">
        <f>0.00035*M5507</f>
        <v>0</v>
      </c>
      <c r="Q5507" s="30"/>
      <c r="R5507" s="22" t="s">
        <v>19689</v>
      </c>
      <c r="S5507" s="22" t="s">
        <v>435</v>
      </c>
      <c r="T5507" s="21" t="str">
        <f>HYPERLINK("https://miland.ru/api/getInfo/image/62ad4029-cbd5-11ee-a25a-00155d82e908")</f>
        <v>https://miland.ru/api/getInfo/image/62ad4029-cbd5-11ee-a25a-00155d82e908</v>
      </c>
      <c r="U5507" s="21"/>
      <c r="V5507" s="21"/>
      <c r="W5507" s="21" t="s">
        <v>82</v>
      </c>
      <c r="X5507" s="21"/>
      <c r="Y5507" s="21" t="s">
        <v>41</v>
      </c>
      <c r="Z5507" s="21"/>
      <c r="AA5507" s="21" t="str">
        <f>HYPERLINK("https://miland.ru/api/getInfo/item/62ad4029-cbd5-11ee-a25a-00155d82e908")</f>
        <v>https://miland.ru/api/getInfo/item/62ad4029-cbd5-11ee-a25a-00155d82e908</v>
      </c>
      <c r="AB5507" s="21" t="s">
        <v>42</v>
      </c>
      <c r="AC5507" s="21" t="s">
        <v>19681</v>
      </c>
      <c r="AD5507" s="21"/>
    </row>
    <row r="5508" spans="2:31" ht="16.05" customHeight="1" outlineLevel="1">
      <c r="B5508" s="68" t="s">
        <v>19690</v>
      </c>
      <c r="C5508" s="68"/>
      <c r="D5508" s="68"/>
      <c r="E5508" s="68"/>
      <c r="F5508" s="68"/>
      <c r="G5508" s="68"/>
    </row>
    <row r="5509" spans="2:31" ht="12" customHeight="1" outlineLevel="2">
      <c r="B5509" s="69" t="s">
        <v>19691</v>
      </c>
      <c r="C5509" s="69"/>
      <c r="D5509" s="69"/>
      <c r="E5509" s="69"/>
      <c r="F5509" s="69"/>
      <c r="G5509" s="69"/>
    </row>
    <row r="5510" spans="2:31" s="1" customFormat="1" ht="96.3" customHeight="1" outlineLevel="3">
      <c r="B5510" s="58">
        <v>4509</v>
      </c>
      <c r="C5510" s="7" t="s">
        <v>19692</v>
      </c>
      <c r="D5510" s="71" t="s">
        <v>19693</v>
      </c>
      <c r="E5510" s="71"/>
      <c r="F5510" s="71"/>
      <c r="G5510" s="71"/>
      <c r="H5510" s="8" t="s">
        <v>19694</v>
      </c>
      <c r="I5510" s="9" t="s">
        <v>36</v>
      </c>
      <c r="J5510" s="8"/>
      <c r="K5510" s="6">
        <v>100</v>
      </c>
      <c r="L5510" s="10">
        <v>7.75</v>
      </c>
      <c r="M5510" s="11"/>
      <c r="N5510" s="8">
        <f t="shared" ref="N5510:N5520" si="307">L5510*M5510</f>
        <v>0</v>
      </c>
      <c r="O5510" s="12">
        <f>0.012*M5510</f>
        <v>0</v>
      </c>
      <c r="P5510" s="13">
        <f t="shared" ref="P5510:P5516" si="308">0.00006*M5510</f>
        <v>0</v>
      </c>
      <c r="Q5510" s="17" t="s">
        <v>37</v>
      </c>
      <c r="R5510" s="8" t="s">
        <v>19695</v>
      </c>
      <c r="S5510" s="8"/>
      <c r="T5510" s="7" t="str">
        <f>HYPERLINK("https://miland.ru/api/getInfo/image/61a89f84-1e0f-11f1-a28f-00155d82e908")</f>
        <v>https://miland.ru/api/getInfo/image/61a89f84-1e0f-11f1-a28f-00155d82e908</v>
      </c>
      <c r="U5510" s="7"/>
      <c r="V5510" s="7" t="s">
        <v>19696</v>
      </c>
      <c r="W5510" s="7" t="s">
        <v>1799</v>
      </c>
      <c r="X5510" s="7"/>
      <c r="Y5510" s="7" t="s">
        <v>41</v>
      </c>
      <c r="Z5510" s="7"/>
      <c r="AA5510" s="7" t="str">
        <f>HYPERLINK("https://miland.ru/api/getInfo/item/61a89f84-1e0f-11f1-a28f-00155d82e908")</f>
        <v>https://miland.ru/api/getInfo/item/61a89f84-1e0f-11f1-a28f-00155d82e908</v>
      </c>
      <c r="AB5510" s="7" t="s">
        <v>50</v>
      </c>
      <c r="AC5510" s="7" t="s">
        <v>19697</v>
      </c>
      <c r="AD5510" s="7"/>
      <c r="AE5510" s="54"/>
    </row>
    <row r="5511" spans="2:31" s="1" customFormat="1" ht="96.3" customHeight="1" outlineLevel="3">
      <c r="B5511" s="58">
        <v>4510</v>
      </c>
      <c r="C5511" s="7" t="s">
        <v>19698</v>
      </c>
      <c r="D5511" s="71" t="s">
        <v>19699</v>
      </c>
      <c r="E5511" s="71"/>
      <c r="F5511" s="71"/>
      <c r="G5511" s="71"/>
      <c r="H5511" s="8" t="s">
        <v>19700</v>
      </c>
      <c r="I5511" s="9" t="s">
        <v>36</v>
      </c>
      <c r="J5511" s="8"/>
      <c r="K5511" s="6">
        <v>100</v>
      </c>
      <c r="L5511" s="10">
        <v>7.75</v>
      </c>
      <c r="M5511" s="11"/>
      <c r="N5511" s="8">
        <f t="shared" si="307"/>
        <v>0</v>
      </c>
      <c r="O5511" s="18">
        <f>0.01*M5511</f>
        <v>0</v>
      </c>
      <c r="P5511" s="13">
        <f t="shared" si="308"/>
        <v>0</v>
      </c>
      <c r="Q5511" s="17" t="s">
        <v>37</v>
      </c>
      <c r="R5511" s="8" t="s">
        <v>19701</v>
      </c>
      <c r="S5511" s="8"/>
      <c r="T5511" s="7" t="str">
        <f>HYPERLINK("https://miland.ru/api/getInfo/image/45810443-8b54-11f1-a29a-00155d82e908")</f>
        <v>https://miland.ru/api/getInfo/image/45810443-8b54-11f1-a29a-00155d82e908</v>
      </c>
      <c r="U5511" s="7"/>
      <c r="V5511" s="7" t="s">
        <v>19696</v>
      </c>
      <c r="W5511" s="7" t="s">
        <v>1799</v>
      </c>
      <c r="X5511" s="7"/>
      <c r="Y5511" s="7" t="s">
        <v>41</v>
      </c>
      <c r="Z5511" s="7"/>
      <c r="AA5511" s="7" t="str">
        <f>HYPERLINK("https://miland.ru/api/getInfo/item/45810443-8b54-11f1-a29a-00155d82e908")</f>
        <v>https://miland.ru/api/getInfo/item/45810443-8b54-11f1-a29a-00155d82e908</v>
      </c>
      <c r="AB5511" s="7" t="s">
        <v>50</v>
      </c>
      <c r="AC5511" s="7"/>
      <c r="AD5511" s="7"/>
      <c r="AE5511" s="54"/>
    </row>
    <row r="5512" spans="2:31" s="1" customFormat="1" ht="96.3" customHeight="1" outlineLevel="3">
      <c r="B5512" s="58">
        <v>4511</v>
      </c>
      <c r="C5512" s="7" t="s">
        <v>19702</v>
      </c>
      <c r="D5512" s="71" t="s">
        <v>19703</v>
      </c>
      <c r="E5512" s="71"/>
      <c r="F5512" s="71"/>
      <c r="G5512" s="71"/>
      <c r="H5512" s="8" t="s">
        <v>19704</v>
      </c>
      <c r="I5512" s="9" t="s">
        <v>36</v>
      </c>
      <c r="J5512" s="8"/>
      <c r="K5512" s="6">
        <v>100</v>
      </c>
      <c r="L5512" s="10">
        <v>7.75</v>
      </c>
      <c r="M5512" s="11"/>
      <c r="N5512" s="8">
        <f t="shared" si="307"/>
        <v>0</v>
      </c>
      <c r="O5512" s="18">
        <f>0.01*M5512</f>
        <v>0</v>
      </c>
      <c r="P5512" s="13">
        <f t="shared" si="308"/>
        <v>0</v>
      </c>
      <c r="Q5512" s="17" t="s">
        <v>37</v>
      </c>
      <c r="R5512" s="8" t="s">
        <v>19705</v>
      </c>
      <c r="S5512" s="8"/>
      <c r="T5512" s="7" t="str">
        <f>HYPERLINK("https://miland.ru/api/getInfo/image/eb9d3c6f-8b53-11f1-a29a-00155d82e908")</f>
        <v>https://miland.ru/api/getInfo/image/eb9d3c6f-8b53-11f1-a29a-00155d82e908</v>
      </c>
      <c r="U5512" s="7"/>
      <c r="V5512" s="7" t="s">
        <v>19696</v>
      </c>
      <c r="W5512" s="7" t="s">
        <v>1799</v>
      </c>
      <c r="X5512" s="7"/>
      <c r="Y5512" s="7" t="s">
        <v>41</v>
      </c>
      <c r="Z5512" s="7"/>
      <c r="AA5512" s="7" t="str">
        <f>HYPERLINK("https://miland.ru/api/getInfo/item/eb9d3c6f-8b53-11f1-a29a-00155d82e908")</f>
        <v>https://miland.ru/api/getInfo/item/eb9d3c6f-8b53-11f1-a29a-00155d82e908</v>
      </c>
      <c r="AB5512" s="7" t="s">
        <v>50</v>
      </c>
      <c r="AC5512" s="7"/>
      <c r="AD5512" s="7"/>
      <c r="AE5512" s="54"/>
    </row>
    <row r="5513" spans="2:31" s="1" customFormat="1" ht="96.3" customHeight="1" outlineLevel="3">
      <c r="B5513" s="58">
        <v>4512</v>
      </c>
      <c r="C5513" s="7" t="s">
        <v>19706</v>
      </c>
      <c r="D5513" s="71" t="s">
        <v>19707</v>
      </c>
      <c r="E5513" s="71"/>
      <c r="F5513" s="71"/>
      <c r="G5513" s="71"/>
      <c r="H5513" s="8" t="s">
        <v>19708</v>
      </c>
      <c r="I5513" s="9" t="s">
        <v>36</v>
      </c>
      <c r="J5513" s="8"/>
      <c r="K5513" s="6">
        <v>100</v>
      </c>
      <c r="L5513" s="10">
        <v>7.75</v>
      </c>
      <c r="M5513" s="11"/>
      <c r="N5513" s="8">
        <f t="shared" si="307"/>
        <v>0</v>
      </c>
      <c r="O5513" s="18">
        <f>0.01*M5513</f>
        <v>0</v>
      </c>
      <c r="P5513" s="13">
        <f t="shared" si="308"/>
        <v>0</v>
      </c>
      <c r="Q5513" s="17" t="s">
        <v>37</v>
      </c>
      <c r="R5513" s="8" t="s">
        <v>19709</v>
      </c>
      <c r="S5513" s="8"/>
      <c r="T5513" s="7" t="str">
        <f>HYPERLINK("https://miland.ru/api/getInfo/image/a3860c69-8b54-11f1-a29a-00155d82e908")</f>
        <v>https://miland.ru/api/getInfo/image/a3860c69-8b54-11f1-a29a-00155d82e908</v>
      </c>
      <c r="U5513" s="7"/>
      <c r="V5513" s="7" t="s">
        <v>19696</v>
      </c>
      <c r="W5513" s="7" t="s">
        <v>1799</v>
      </c>
      <c r="X5513" s="7"/>
      <c r="Y5513" s="7" t="s">
        <v>41</v>
      </c>
      <c r="Z5513" s="7"/>
      <c r="AA5513" s="7" t="str">
        <f>HYPERLINK("https://miland.ru/api/getInfo/item/a3860c69-8b54-11f1-a29a-00155d82e908")</f>
        <v>https://miland.ru/api/getInfo/item/a3860c69-8b54-11f1-a29a-00155d82e908</v>
      </c>
      <c r="AB5513" s="7" t="s">
        <v>50</v>
      </c>
      <c r="AC5513" s="7"/>
      <c r="AD5513" s="7"/>
      <c r="AE5513" s="54"/>
    </row>
    <row r="5514" spans="2:31" s="1" customFormat="1" ht="96.3" customHeight="1" outlineLevel="3">
      <c r="B5514" s="58">
        <v>4513</v>
      </c>
      <c r="C5514" s="7" t="s">
        <v>19710</v>
      </c>
      <c r="D5514" s="71" t="s">
        <v>19711</v>
      </c>
      <c r="E5514" s="71"/>
      <c r="F5514" s="71"/>
      <c r="G5514" s="71"/>
      <c r="H5514" s="8" t="s">
        <v>19712</v>
      </c>
      <c r="I5514" s="9" t="s">
        <v>36</v>
      </c>
      <c r="J5514" s="8"/>
      <c r="K5514" s="6">
        <v>100</v>
      </c>
      <c r="L5514" s="10">
        <v>7.75</v>
      </c>
      <c r="M5514" s="11"/>
      <c r="N5514" s="8">
        <f t="shared" si="307"/>
        <v>0</v>
      </c>
      <c r="O5514" s="12">
        <f t="shared" ref="O5514:O5520" si="309">0.012*M5514</f>
        <v>0</v>
      </c>
      <c r="P5514" s="13">
        <f t="shared" si="308"/>
        <v>0</v>
      </c>
      <c r="Q5514" s="17" t="s">
        <v>37</v>
      </c>
      <c r="R5514" s="8" t="s">
        <v>19713</v>
      </c>
      <c r="S5514" s="8"/>
      <c r="T5514" s="7" t="str">
        <f>HYPERLINK("https://miland.ru/api/getInfo/image/ca2ee884-1e0f-11f1-a28f-00155d82e908")</f>
        <v>https://miland.ru/api/getInfo/image/ca2ee884-1e0f-11f1-a28f-00155d82e908</v>
      </c>
      <c r="U5514" s="7"/>
      <c r="V5514" s="7" t="s">
        <v>19696</v>
      </c>
      <c r="W5514" s="7" t="s">
        <v>1799</v>
      </c>
      <c r="X5514" s="7"/>
      <c r="Y5514" s="7" t="s">
        <v>41</v>
      </c>
      <c r="Z5514" s="7"/>
      <c r="AA5514" s="7" t="str">
        <f>HYPERLINK("https://miland.ru/api/getInfo/item/ca2ee884-1e0f-11f1-a28f-00155d82e908")</f>
        <v>https://miland.ru/api/getInfo/item/ca2ee884-1e0f-11f1-a28f-00155d82e908</v>
      </c>
      <c r="AB5514" s="7" t="s">
        <v>50</v>
      </c>
      <c r="AC5514" s="7" t="s">
        <v>19697</v>
      </c>
      <c r="AD5514" s="7"/>
      <c r="AE5514" s="54"/>
    </row>
    <row r="5515" spans="2:31" s="1" customFormat="1" ht="96.3" customHeight="1" outlineLevel="3">
      <c r="B5515" s="58">
        <v>4514</v>
      </c>
      <c r="C5515" s="7" t="s">
        <v>19714</v>
      </c>
      <c r="D5515" s="71" t="s">
        <v>19715</v>
      </c>
      <c r="E5515" s="71"/>
      <c r="F5515" s="71"/>
      <c r="G5515" s="71"/>
      <c r="H5515" s="8" t="s">
        <v>19716</v>
      </c>
      <c r="I5515" s="9" t="s">
        <v>36</v>
      </c>
      <c r="J5515" s="8"/>
      <c r="K5515" s="6">
        <v>100</v>
      </c>
      <c r="L5515" s="10">
        <v>7.75</v>
      </c>
      <c r="M5515" s="11"/>
      <c r="N5515" s="8">
        <f t="shared" si="307"/>
        <v>0</v>
      </c>
      <c r="O5515" s="12">
        <f t="shared" si="309"/>
        <v>0</v>
      </c>
      <c r="P5515" s="13">
        <f t="shared" si="308"/>
        <v>0</v>
      </c>
      <c r="Q5515" s="17" t="s">
        <v>37</v>
      </c>
      <c r="R5515" s="8" t="s">
        <v>19717</v>
      </c>
      <c r="S5515" s="8"/>
      <c r="T5515" s="7" t="str">
        <f>HYPERLINK("https://miland.ru/api/getInfo/image/ad5218fc-1e0f-11f1-a28f-00155d82e908")</f>
        <v>https://miland.ru/api/getInfo/image/ad5218fc-1e0f-11f1-a28f-00155d82e908</v>
      </c>
      <c r="U5515" s="7"/>
      <c r="V5515" s="7" t="s">
        <v>19696</v>
      </c>
      <c r="W5515" s="7" t="s">
        <v>1799</v>
      </c>
      <c r="X5515" s="7"/>
      <c r="Y5515" s="7" t="s">
        <v>41</v>
      </c>
      <c r="Z5515" s="7"/>
      <c r="AA5515" s="7" t="str">
        <f>HYPERLINK("https://miland.ru/api/getInfo/item/ad5218fc-1e0f-11f1-a28f-00155d82e908")</f>
        <v>https://miland.ru/api/getInfo/item/ad5218fc-1e0f-11f1-a28f-00155d82e908</v>
      </c>
      <c r="AB5515" s="7" t="s">
        <v>50</v>
      </c>
      <c r="AC5515" s="7" t="s">
        <v>19697</v>
      </c>
      <c r="AD5515" s="7"/>
      <c r="AE5515" s="54"/>
    </row>
    <row r="5516" spans="2:31" s="1" customFormat="1" ht="96.3" customHeight="1" outlineLevel="3">
      <c r="B5516" s="58">
        <v>4515</v>
      </c>
      <c r="C5516" s="7" t="s">
        <v>19718</v>
      </c>
      <c r="D5516" s="71" t="s">
        <v>19719</v>
      </c>
      <c r="E5516" s="71"/>
      <c r="F5516" s="71"/>
      <c r="G5516" s="71"/>
      <c r="H5516" s="8" t="s">
        <v>19720</v>
      </c>
      <c r="I5516" s="9" t="s">
        <v>36</v>
      </c>
      <c r="J5516" s="8"/>
      <c r="K5516" s="6">
        <v>100</v>
      </c>
      <c r="L5516" s="10">
        <v>7.75</v>
      </c>
      <c r="M5516" s="11"/>
      <c r="N5516" s="8">
        <f t="shared" si="307"/>
        <v>0</v>
      </c>
      <c r="O5516" s="12">
        <f t="shared" si="309"/>
        <v>0</v>
      </c>
      <c r="P5516" s="13">
        <f t="shared" si="308"/>
        <v>0</v>
      </c>
      <c r="Q5516" s="17" t="s">
        <v>37</v>
      </c>
      <c r="R5516" s="8" t="s">
        <v>19721</v>
      </c>
      <c r="S5516" s="8"/>
      <c r="T5516" s="7" t="str">
        <f>HYPERLINK("https://miland.ru/api/getInfo/image/f914c0b7-1e0f-11f1-a28f-00155d82e908")</f>
        <v>https://miland.ru/api/getInfo/image/f914c0b7-1e0f-11f1-a28f-00155d82e908</v>
      </c>
      <c r="U5516" s="7"/>
      <c r="V5516" s="7" t="s">
        <v>19696</v>
      </c>
      <c r="W5516" s="7" t="s">
        <v>1799</v>
      </c>
      <c r="X5516" s="7"/>
      <c r="Y5516" s="7" t="s">
        <v>41</v>
      </c>
      <c r="Z5516" s="7"/>
      <c r="AA5516" s="7" t="str">
        <f>HYPERLINK("https://miland.ru/api/getInfo/item/f914c0b7-1e0f-11f1-a28f-00155d82e908")</f>
        <v>https://miland.ru/api/getInfo/item/f914c0b7-1e0f-11f1-a28f-00155d82e908</v>
      </c>
      <c r="AB5516" s="7" t="s">
        <v>50</v>
      </c>
      <c r="AC5516" s="7" t="s">
        <v>19697</v>
      </c>
      <c r="AD5516" s="7"/>
      <c r="AE5516" s="54"/>
    </row>
    <row r="5517" spans="2:31" s="1" customFormat="1" ht="96.3" customHeight="1" outlineLevel="3">
      <c r="B5517" s="58">
        <v>4516</v>
      </c>
      <c r="C5517" s="7" t="s">
        <v>19722</v>
      </c>
      <c r="D5517" s="71" t="s">
        <v>19723</v>
      </c>
      <c r="E5517" s="71"/>
      <c r="F5517" s="71"/>
      <c r="G5517" s="71"/>
      <c r="H5517" s="8" t="s">
        <v>19724</v>
      </c>
      <c r="I5517" s="9" t="s">
        <v>36</v>
      </c>
      <c r="J5517" s="8"/>
      <c r="K5517" s="6">
        <v>100</v>
      </c>
      <c r="L5517" s="10">
        <v>7.75</v>
      </c>
      <c r="M5517" s="11"/>
      <c r="N5517" s="8">
        <f t="shared" si="307"/>
        <v>0</v>
      </c>
      <c r="O5517" s="12">
        <f t="shared" si="309"/>
        <v>0</v>
      </c>
      <c r="P5517" s="13">
        <f>0.00013*M5517</f>
        <v>0</v>
      </c>
      <c r="Q5517" s="17" t="s">
        <v>37</v>
      </c>
      <c r="R5517" s="8" t="s">
        <v>19725</v>
      </c>
      <c r="S5517" s="8"/>
      <c r="T5517" s="7" t="str">
        <f>HYPERLINK("https://miland.ru/api/getInfo/image/557dac4a-1e10-11f1-a28f-00155d82e908")</f>
        <v>https://miland.ru/api/getInfo/image/557dac4a-1e10-11f1-a28f-00155d82e908</v>
      </c>
      <c r="U5517" s="7"/>
      <c r="V5517" s="7" t="s">
        <v>19696</v>
      </c>
      <c r="W5517" s="7" t="s">
        <v>1799</v>
      </c>
      <c r="X5517" s="7"/>
      <c r="Y5517" s="7" t="s">
        <v>41</v>
      </c>
      <c r="Z5517" s="7"/>
      <c r="AA5517" s="7" t="str">
        <f>HYPERLINK("https://miland.ru/api/getInfo/item/557dac4a-1e10-11f1-a28f-00155d82e908")</f>
        <v>https://miland.ru/api/getInfo/item/557dac4a-1e10-11f1-a28f-00155d82e908</v>
      </c>
      <c r="AB5517" s="7" t="s">
        <v>50</v>
      </c>
      <c r="AC5517" s="7" t="s">
        <v>19697</v>
      </c>
      <c r="AD5517" s="7"/>
      <c r="AE5517" s="54"/>
    </row>
    <row r="5518" spans="2:31" s="1" customFormat="1" ht="96.3" customHeight="1" outlineLevel="3">
      <c r="B5518" s="58">
        <v>4517</v>
      </c>
      <c r="C5518" s="7" t="s">
        <v>19726</v>
      </c>
      <c r="D5518" s="71" t="s">
        <v>19727</v>
      </c>
      <c r="E5518" s="71"/>
      <c r="F5518" s="71"/>
      <c r="G5518" s="71"/>
      <c r="H5518" s="8" t="s">
        <v>19728</v>
      </c>
      <c r="I5518" s="9" t="s">
        <v>36</v>
      </c>
      <c r="J5518" s="8"/>
      <c r="K5518" s="6">
        <v>100</v>
      </c>
      <c r="L5518" s="10">
        <v>7.75</v>
      </c>
      <c r="M5518" s="11"/>
      <c r="N5518" s="8">
        <f t="shared" si="307"/>
        <v>0</v>
      </c>
      <c r="O5518" s="12">
        <f t="shared" si="309"/>
        <v>0</v>
      </c>
      <c r="P5518" s="13">
        <f>0.00006*M5518</f>
        <v>0</v>
      </c>
      <c r="Q5518" s="17" t="s">
        <v>37</v>
      </c>
      <c r="R5518" s="8" t="s">
        <v>19729</v>
      </c>
      <c r="S5518" s="8"/>
      <c r="T5518" s="7" t="str">
        <f>HYPERLINK("https://miland.ru/api/getInfo/image/dcba19c2-1e0f-11f1-a28f-00155d82e908")</f>
        <v>https://miland.ru/api/getInfo/image/dcba19c2-1e0f-11f1-a28f-00155d82e908</v>
      </c>
      <c r="U5518" s="7"/>
      <c r="V5518" s="7" t="s">
        <v>19696</v>
      </c>
      <c r="W5518" s="7" t="s">
        <v>1799</v>
      </c>
      <c r="X5518" s="7"/>
      <c r="Y5518" s="7" t="s">
        <v>41</v>
      </c>
      <c r="Z5518" s="7"/>
      <c r="AA5518" s="7" t="str">
        <f>HYPERLINK("https://miland.ru/api/getInfo/item/dcba19c2-1e0f-11f1-a28f-00155d82e908")</f>
        <v>https://miland.ru/api/getInfo/item/dcba19c2-1e0f-11f1-a28f-00155d82e908</v>
      </c>
      <c r="AB5518" s="7" t="s">
        <v>50</v>
      </c>
      <c r="AC5518" s="7" t="s">
        <v>19697</v>
      </c>
      <c r="AD5518" s="7"/>
      <c r="AE5518" s="54"/>
    </row>
    <row r="5519" spans="2:31" s="1" customFormat="1" ht="96.3" customHeight="1" outlineLevel="3">
      <c r="B5519" s="58">
        <v>4518</v>
      </c>
      <c r="C5519" s="7" t="s">
        <v>19730</v>
      </c>
      <c r="D5519" s="71" t="s">
        <v>19731</v>
      </c>
      <c r="E5519" s="71"/>
      <c r="F5519" s="71"/>
      <c r="G5519" s="71"/>
      <c r="H5519" s="8" t="s">
        <v>19732</v>
      </c>
      <c r="I5519" s="9" t="s">
        <v>36</v>
      </c>
      <c r="J5519" s="8"/>
      <c r="K5519" s="6">
        <v>100</v>
      </c>
      <c r="L5519" s="10">
        <v>7.75</v>
      </c>
      <c r="M5519" s="11"/>
      <c r="N5519" s="8">
        <f t="shared" si="307"/>
        <v>0</v>
      </c>
      <c r="O5519" s="12">
        <f t="shared" si="309"/>
        <v>0</v>
      </c>
      <c r="P5519" s="13">
        <f>0.00006*M5519</f>
        <v>0</v>
      </c>
      <c r="Q5519" s="17" t="s">
        <v>37</v>
      </c>
      <c r="R5519" s="8" t="s">
        <v>19733</v>
      </c>
      <c r="S5519" s="8"/>
      <c r="T5519" s="7" t="str">
        <f>HYPERLINK("https://miland.ru/api/getInfo/image/1041dd92-1e10-11f1-a28f-00155d82e908")</f>
        <v>https://miland.ru/api/getInfo/image/1041dd92-1e10-11f1-a28f-00155d82e908</v>
      </c>
      <c r="U5519" s="7"/>
      <c r="V5519" s="7" t="s">
        <v>19696</v>
      </c>
      <c r="W5519" s="7" t="s">
        <v>1799</v>
      </c>
      <c r="X5519" s="7"/>
      <c r="Y5519" s="7" t="s">
        <v>41</v>
      </c>
      <c r="Z5519" s="7"/>
      <c r="AA5519" s="7" t="str">
        <f>HYPERLINK("https://miland.ru/api/getInfo/item/1041dd92-1e10-11f1-a28f-00155d82e908")</f>
        <v>https://miland.ru/api/getInfo/item/1041dd92-1e10-11f1-a28f-00155d82e908</v>
      </c>
      <c r="AB5519" s="7" t="s">
        <v>50</v>
      </c>
      <c r="AC5519" s="7" t="s">
        <v>19697</v>
      </c>
      <c r="AD5519" s="7"/>
      <c r="AE5519" s="54"/>
    </row>
    <row r="5520" spans="2:31" s="1" customFormat="1" ht="96.3" customHeight="1" outlineLevel="3">
      <c r="B5520" s="58">
        <v>4519</v>
      </c>
      <c r="C5520" s="7" t="s">
        <v>19734</v>
      </c>
      <c r="D5520" s="71" t="s">
        <v>19735</v>
      </c>
      <c r="E5520" s="71"/>
      <c r="F5520" s="71"/>
      <c r="G5520" s="71"/>
      <c r="H5520" s="8" t="s">
        <v>19736</v>
      </c>
      <c r="I5520" s="9" t="s">
        <v>36</v>
      </c>
      <c r="J5520" s="8"/>
      <c r="K5520" s="6">
        <v>100</v>
      </c>
      <c r="L5520" s="10">
        <v>7.75</v>
      </c>
      <c r="M5520" s="11"/>
      <c r="N5520" s="8">
        <f t="shared" si="307"/>
        <v>0</v>
      </c>
      <c r="O5520" s="12">
        <f t="shared" si="309"/>
        <v>0</v>
      </c>
      <c r="P5520" s="13">
        <f>0.00006*M5520</f>
        <v>0</v>
      </c>
      <c r="Q5520" s="17" t="s">
        <v>37</v>
      </c>
      <c r="R5520" s="8" t="s">
        <v>19737</v>
      </c>
      <c r="S5520" s="8"/>
      <c r="T5520" s="7" t="str">
        <f>HYPERLINK("https://miland.ru/api/getInfo/image/337f6089-1e10-11f1-a28f-00155d82e908")</f>
        <v>https://miland.ru/api/getInfo/image/337f6089-1e10-11f1-a28f-00155d82e908</v>
      </c>
      <c r="U5520" s="7"/>
      <c r="V5520" s="7" t="s">
        <v>19696</v>
      </c>
      <c r="W5520" s="7" t="s">
        <v>1799</v>
      </c>
      <c r="X5520" s="7"/>
      <c r="Y5520" s="7" t="s">
        <v>41</v>
      </c>
      <c r="Z5520" s="7"/>
      <c r="AA5520" s="7" t="str">
        <f>HYPERLINK("https://miland.ru/api/getInfo/item/337f6089-1e10-11f1-a28f-00155d82e908")</f>
        <v>https://miland.ru/api/getInfo/item/337f6089-1e10-11f1-a28f-00155d82e908</v>
      </c>
      <c r="AB5520" s="7" t="s">
        <v>50</v>
      </c>
      <c r="AC5520" s="7" t="s">
        <v>19697</v>
      </c>
      <c r="AD5520" s="7"/>
      <c r="AE5520" s="54"/>
    </row>
    <row r="5521" spans="2:31" ht="12" customHeight="1" outlineLevel="2">
      <c r="B5521" s="69" t="s">
        <v>19738</v>
      </c>
      <c r="C5521" s="69"/>
      <c r="D5521" s="69"/>
      <c r="E5521" s="69"/>
      <c r="F5521" s="69"/>
      <c r="G5521" s="69"/>
    </row>
    <row r="5522" spans="2:31" ht="12" customHeight="1" outlineLevel="3">
      <c r="B5522" s="70" t="s">
        <v>19739</v>
      </c>
      <c r="C5522" s="70"/>
      <c r="D5522" s="70"/>
      <c r="E5522" s="70"/>
      <c r="F5522" s="70"/>
      <c r="G5522" s="70"/>
    </row>
    <row r="5523" spans="2:31" ht="12" customHeight="1" outlineLevel="4">
      <c r="B5523" s="70" t="s">
        <v>19740</v>
      </c>
      <c r="C5523" s="70"/>
      <c r="D5523" s="70"/>
      <c r="E5523" s="70"/>
      <c r="F5523" s="70"/>
      <c r="G5523" s="70"/>
    </row>
    <row r="5524" spans="2:31" s="1" customFormat="1" ht="96.3" customHeight="1" outlineLevel="5">
      <c r="B5524" s="57">
        <v>4520</v>
      </c>
      <c r="C5524" s="21" t="s">
        <v>19741</v>
      </c>
      <c r="D5524" s="72" t="s">
        <v>19742</v>
      </c>
      <c r="E5524" s="72"/>
      <c r="F5524" s="72"/>
      <c r="G5524" s="72"/>
      <c r="H5524" s="22" t="s">
        <v>19743</v>
      </c>
      <c r="I5524" s="23" t="s">
        <v>36</v>
      </c>
      <c r="J5524" s="22"/>
      <c r="K5524" s="20">
        <v>3</v>
      </c>
      <c r="L5524" s="24">
        <v>230.46</v>
      </c>
      <c r="M5524" s="11"/>
      <c r="N5524" s="22">
        <f t="shared" ref="N5524:N5530" si="310">L5524*M5524</f>
        <v>0</v>
      </c>
      <c r="O5524" s="25">
        <f>0.019*M5524</f>
        <v>0</v>
      </c>
      <c r="P5524" s="26">
        <f>0.00028*M5524</f>
        <v>0</v>
      </c>
      <c r="Q5524" s="30"/>
      <c r="R5524" s="22" t="s">
        <v>19744</v>
      </c>
      <c r="S5524" s="22"/>
      <c r="T5524" s="21" t="str">
        <f>HYPERLINK("https://miland.ru/api/getInfo/image/708331ef-eeb8-11ef-a274-00155d82e908")</f>
        <v>https://miland.ru/api/getInfo/image/708331ef-eeb8-11ef-a274-00155d82e908</v>
      </c>
      <c r="U5524" s="21"/>
      <c r="V5524" s="21" t="s">
        <v>19745</v>
      </c>
      <c r="W5524" s="21" t="s">
        <v>16895</v>
      </c>
      <c r="X5524" s="21"/>
      <c r="Y5524" s="21" t="s">
        <v>41</v>
      </c>
      <c r="Z5524" s="21"/>
      <c r="AA5524" s="21" t="str">
        <f>HYPERLINK("https://miland.ru/api/getInfo/item/708331ef-eeb8-11ef-a274-00155d82e908")</f>
        <v>https://miland.ru/api/getInfo/item/708331ef-eeb8-11ef-a274-00155d82e908</v>
      </c>
      <c r="AB5524" s="21" t="s">
        <v>50</v>
      </c>
      <c r="AC5524" s="21"/>
      <c r="AD5524" s="21"/>
    </row>
    <row r="5525" spans="2:31" s="1" customFormat="1" ht="96.3" customHeight="1" outlineLevel="5">
      <c r="B5525" s="57">
        <v>4521</v>
      </c>
      <c r="C5525" s="21" t="s">
        <v>19746</v>
      </c>
      <c r="D5525" s="72" t="s">
        <v>19747</v>
      </c>
      <c r="E5525" s="72"/>
      <c r="F5525" s="72"/>
      <c r="G5525" s="72"/>
      <c r="H5525" s="22" t="s">
        <v>19748</v>
      </c>
      <c r="I5525" s="23" t="s">
        <v>36</v>
      </c>
      <c r="J5525" s="22"/>
      <c r="K5525" s="20">
        <v>5</v>
      </c>
      <c r="L5525" s="24">
        <v>118.66</v>
      </c>
      <c r="M5525" s="11"/>
      <c r="N5525" s="22">
        <f t="shared" si="310"/>
        <v>0</v>
      </c>
      <c r="O5525" s="25">
        <f>0.013*M5525</f>
        <v>0</v>
      </c>
      <c r="P5525" s="26">
        <f>0.00032*M5525</f>
        <v>0</v>
      </c>
      <c r="Q5525" s="30"/>
      <c r="R5525" s="22" t="s">
        <v>19749</v>
      </c>
      <c r="S5525" s="22"/>
      <c r="T5525" s="21" t="str">
        <f>HYPERLINK("https://miland.ru/api/getInfo/image/d8bf590e-120b-11ec-a20f-ac1f6b442185")</f>
        <v>https://miland.ru/api/getInfo/image/d8bf590e-120b-11ec-a20f-ac1f6b442185</v>
      </c>
      <c r="U5525" s="21"/>
      <c r="V5525" s="21" t="s">
        <v>19745</v>
      </c>
      <c r="W5525" s="21" t="s">
        <v>16895</v>
      </c>
      <c r="X5525" s="21"/>
      <c r="Y5525" s="21" t="s">
        <v>41</v>
      </c>
      <c r="Z5525" s="21"/>
      <c r="AA5525" s="21" t="str">
        <f>HYPERLINK("https://miland.ru/api/getInfo/item/d8bf590e-120b-11ec-a20f-ac1f6b442185")</f>
        <v>https://miland.ru/api/getInfo/item/d8bf590e-120b-11ec-a20f-ac1f6b442185</v>
      </c>
      <c r="AB5525" s="21" t="s">
        <v>50</v>
      </c>
      <c r="AC5525" s="21" t="s">
        <v>19697</v>
      </c>
      <c r="AD5525" s="21"/>
    </row>
    <row r="5526" spans="2:31" s="1" customFormat="1" ht="96.3" customHeight="1" outlineLevel="5">
      <c r="B5526" s="57">
        <v>4522</v>
      </c>
      <c r="C5526" s="21" t="s">
        <v>19750</v>
      </c>
      <c r="D5526" s="72" t="s">
        <v>19751</v>
      </c>
      <c r="E5526" s="72"/>
      <c r="F5526" s="72"/>
      <c r="G5526" s="72"/>
      <c r="H5526" s="22" t="s">
        <v>19752</v>
      </c>
      <c r="I5526" s="23" t="s">
        <v>36</v>
      </c>
      <c r="J5526" s="22"/>
      <c r="K5526" s="20">
        <v>3</v>
      </c>
      <c r="L5526" s="24">
        <v>230.36</v>
      </c>
      <c r="M5526" s="11"/>
      <c r="N5526" s="22">
        <f t="shared" si="310"/>
        <v>0</v>
      </c>
      <c r="O5526" s="25">
        <f>0.017*M5526</f>
        <v>0</v>
      </c>
      <c r="P5526" s="26">
        <f>0.00024*M5526</f>
        <v>0</v>
      </c>
      <c r="Q5526" s="30"/>
      <c r="R5526" s="22" t="s">
        <v>19753</v>
      </c>
      <c r="S5526" s="22"/>
      <c r="T5526" s="21" t="str">
        <f>HYPERLINK("https://miland.ru/api/getInfo/image/d6119b01-eeb8-11ef-a274-00155d82e908")</f>
        <v>https://miland.ru/api/getInfo/image/d6119b01-eeb8-11ef-a274-00155d82e908</v>
      </c>
      <c r="U5526" s="21"/>
      <c r="V5526" s="21" t="s">
        <v>19745</v>
      </c>
      <c r="W5526" s="21" t="s">
        <v>16895</v>
      </c>
      <c r="X5526" s="21"/>
      <c r="Y5526" s="21" t="s">
        <v>41</v>
      </c>
      <c r="Z5526" s="21"/>
      <c r="AA5526" s="21" t="str">
        <f>HYPERLINK("https://miland.ru/api/getInfo/item/d6119b01-eeb8-11ef-a274-00155d82e908")</f>
        <v>https://miland.ru/api/getInfo/item/d6119b01-eeb8-11ef-a274-00155d82e908</v>
      </c>
      <c r="AB5526" s="21" t="s">
        <v>50</v>
      </c>
      <c r="AC5526" s="21"/>
      <c r="AD5526" s="21"/>
    </row>
    <row r="5527" spans="2:31" s="1" customFormat="1" ht="96.3" customHeight="1" outlineLevel="5">
      <c r="B5527" s="58">
        <v>4523</v>
      </c>
      <c r="C5527" s="7" t="s">
        <v>19754</v>
      </c>
      <c r="D5527" s="71" t="s">
        <v>19755</v>
      </c>
      <c r="E5527" s="71"/>
      <c r="F5527" s="71"/>
      <c r="G5527" s="71"/>
      <c r="H5527" s="8" t="s">
        <v>19756</v>
      </c>
      <c r="I5527" s="9" t="s">
        <v>36</v>
      </c>
      <c r="J5527" s="8"/>
      <c r="K5527" s="6">
        <v>10</v>
      </c>
      <c r="L5527" s="10">
        <v>40.840000000000003</v>
      </c>
      <c r="M5527" s="11"/>
      <c r="N5527" s="8">
        <f t="shared" si="310"/>
        <v>0</v>
      </c>
      <c r="O5527" s="12">
        <f>0.004*M5527</f>
        <v>0</v>
      </c>
      <c r="P5527" s="13">
        <f>0.00002*M5527</f>
        <v>0</v>
      </c>
      <c r="Q5527" s="17" t="s">
        <v>37</v>
      </c>
      <c r="R5527" s="8" t="s">
        <v>19757</v>
      </c>
      <c r="S5527" s="8"/>
      <c r="T5527" s="7" t="str">
        <f>HYPERLINK("https://miland.ru/api/getInfo/image/9c1d6688-5db5-11f1-a295-00155d82e908")</f>
        <v>https://miland.ru/api/getInfo/image/9c1d6688-5db5-11f1-a295-00155d82e908</v>
      </c>
      <c r="U5527" s="7"/>
      <c r="V5527" s="7" t="s">
        <v>19745</v>
      </c>
      <c r="W5527" s="7" t="s">
        <v>16895</v>
      </c>
      <c r="X5527" s="7"/>
      <c r="Y5527" s="7" t="s">
        <v>41</v>
      </c>
      <c r="Z5527" s="7"/>
      <c r="AA5527" s="7" t="str">
        <f>HYPERLINK("https://miland.ru/api/getInfo/item/9c1d6688-5db5-11f1-a295-00155d82e908")</f>
        <v>https://miland.ru/api/getInfo/item/9c1d6688-5db5-11f1-a295-00155d82e908</v>
      </c>
      <c r="AB5527" s="7" t="s">
        <v>50</v>
      </c>
      <c r="AC5527" s="7"/>
      <c r="AD5527" s="7"/>
      <c r="AE5527" s="54"/>
    </row>
    <row r="5528" spans="2:31" s="1" customFormat="1" ht="96.3" customHeight="1" outlineLevel="5">
      <c r="B5528" s="58">
        <v>4524</v>
      </c>
      <c r="C5528" s="7" t="s">
        <v>19758</v>
      </c>
      <c r="D5528" s="71" t="s">
        <v>19759</v>
      </c>
      <c r="E5528" s="71"/>
      <c r="F5528" s="71"/>
      <c r="G5528" s="71"/>
      <c r="H5528" s="8" t="s">
        <v>19760</v>
      </c>
      <c r="I5528" s="9" t="s">
        <v>36</v>
      </c>
      <c r="J5528" s="8"/>
      <c r="K5528" s="6">
        <v>10</v>
      </c>
      <c r="L5528" s="10">
        <v>40.840000000000003</v>
      </c>
      <c r="M5528" s="11"/>
      <c r="N5528" s="8">
        <f t="shared" si="310"/>
        <v>0</v>
      </c>
      <c r="O5528" s="12">
        <f>0.003*M5528</f>
        <v>0</v>
      </c>
      <c r="P5528" s="13">
        <f>0.00002*M5528</f>
        <v>0</v>
      </c>
      <c r="Q5528" s="17" t="s">
        <v>37</v>
      </c>
      <c r="R5528" s="8" t="s">
        <v>19761</v>
      </c>
      <c r="S5528" s="8"/>
      <c r="T5528" s="7" t="str">
        <f>HYPERLINK("https://miland.ru/api/getInfo/image/813d521b-5db5-11f1-a295-00155d82e908")</f>
        <v>https://miland.ru/api/getInfo/image/813d521b-5db5-11f1-a295-00155d82e908</v>
      </c>
      <c r="U5528" s="7"/>
      <c r="V5528" s="7" t="s">
        <v>19745</v>
      </c>
      <c r="W5528" s="7" t="s">
        <v>16895</v>
      </c>
      <c r="X5528" s="7"/>
      <c r="Y5528" s="7" t="s">
        <v>41</v>
      </c>
      <c r="Z5528" s="7"/>
      <c r="AA5528" s="7" t="str">
        <f>HYPERLINK("https://miland.ru/api/getInfo/item/813d521b-5db5-11f1-a295-00155d82e908")</f>
        <v>https://miland.ru/api/getInfo/item/813d521b-5db5-11f1-a295-00155d82e908</v>
      </c>
      <c r="AB5528" s="7" t="s">
        <v>50</v>
      </c>
      <c r="AC5528" s="7"/>
      <c r="AD5528" s="7"/>
      <c r="AE5528" s="54"/>
    </row>
    <row r="5529" spans="2:31" s="1" customFormat="1" ht="96.3" customHeight="1" outlineLevel="5">
      <c r="B5529" s="58">
        <v>4525</v>
      </c>
      <c r="C5529" s="7" t="s">
        <v>19762</v>
      </c>
      <c r="D5529" s="71" t="s">
        <v>19763</v>
      </c>
      <c r="E5529" s="71"/>
      <c r="F5529" s="71"/>
      <c r="G5529" s="71"/>
      <c r="H5529" s="8" t="s">
        <v>19764</v>
      </c>
      <c r="I5529" s="9" t="s">
        <v>36</v>
      </c>
      <c r="J5529" s="8"/>
      <c r="K5529" s="6">
        <v>10</v>
      </c>
      <c r="L5529" s="10">
        <v>40.840000000000003</v>
      </c>
      <c r="M5529" s="11"/>
      <c r="N5529" s="8">
        <f t="shared" si="310"/>
        <v>0</v>
      </c>
      <c r="O5529" s="12">
        <f>0.004*M5529</f>
        <v>0</v>
      </c>
      <c r="P5529" s="13">
        <f>0.00007*M5529</f>
        <v>0</v>
      </c>
      <c r="Q5529" s="17" t="s">
        <v>37</v>
      </c>
      <c r="R5529" s="8" t="s">
        <v>19765</v>
      </c>
      <c r="S5529" s="8"/>
      <c r="T5529" s="7" t="str">
        <f>HYPERLINK("https://miland.ru/api/getInfo/image/929b264d-5db5-11f1-a295-00155d82e908")</f>
        <v>https://miland.ru/api/getInfo/image/929b264d-5db5-11f1-a295-00155d82e908</v>
      </c>
      <c r="U5529" s="7"/>
      <c r="V5529" s="7" t="s">
        <v>19745</v>
      </c>
      <c r="W5529" s="7" t="s">
        <v>16895</v>
      </c>
      <c r="X5529" s="7"/>
      <c r="Y5529" s="7" t="s">
        <v>41</v>
      </c>
      <c r="Z5529" s="7"/>
      <c r="AA5529" s="7" t="str">
        <f>HYPERLINK("https://miland.ru/api/getInfo/item/929b264d-5db5-11f1-a295-00155d82e908")</f>
        <v>https://miland.ru/api/getInfo/item/929b264d-5db5-11f1-a295-00155d82e908</v>
      </c>
      <c r="AB5529" s="7" t="s">
        <v>50</v>
      </c>
      <c r="AC5529" s="7"/>
      <c r="AD5529" s="7"/>
      <c r="AE5529" s="54"/>
    </row>
    <row r="5530" spans="2:31" s="1" customFormat="1" ht="96.3" customHeight="1" outlineLevel="5">
      <c r="B5530" s="58">
        <v>4526</v>
      </c>
      <c r="C5530" s="7" t="s">
        <v>19766</v>
      </c>
      <c r="D5530" s="71" t="s">
        <v>19767</v>
      </c>
      <c r="E5530" s="71"/>
      <c r="F5530" s="71"/>
      <c r="G5530" s="71"/>
      <c r="H5530" s="8" t="s">
        <v>19768</v>
      </c>
      <c r="I5530" s="9" t="s">
        <v>36</v>
      </c>
      <c r="J5530" s="8"/>
      <c r="K5530" s="6">
        <v>10</v>
      </c>
      <c r="L5530" s="10">
        <v>40.840000000000003</v>
      </c>
      <c r="M5530" s="11"/>
      <c r="N5530" s="8">
        <f t="shared" si="310"/>
        <v>0</v>
      </c>
      <c r="O5530" s="12">
        <f>0.004*M5530</f>
        <v>0</v>
      </c>
      <c r="P5530" s="13">
        <f>0.00007*M5530</f>
        <v>0</v>
      </c>
      <c r="Q5530" s="17" t="s">
        <v>37</v>
      </c>
      <c r="R5530" s="8" t="s">
        <v>19769</v>
      </c>
      <c r="S5530" s="8"/>
      <c r="T5530" s="7" t="str">
        <f>HYPERLINK("https://miland.ru/api/getInfo/image/44dcae63-5db5-11f1-a295-00155d82e908")</f>
        <v>https://miland.ru/api/getInfo/image/44dcae63-5db5-11f1-a295-00155d82e908</v>
      </c>
      <c r="U5530" s="7"/>
      <c r="V5530" s="7" t="s">
        <v>19745</v>
      </c>
      <c r="W5530" s="7" t="s">
        <v>16895</v>
      </c>
      <c r="X5530" s="7"/>
      <c r="Y5530" s="7" t="s">
        <v>41</v>
      </c>
      <c r="Z5530" s="7"/>
      <c r="AA5530" s="7" t="str">
        <f>HYPERLINK("https://miland.ru/api/getInfo/item/44dcae63-5db5-11f1-a295-00155d82e908")</f>
        <v>https://miland.ru/api/getInfo/item/44dcae63-5db5-11f1-a295-00155d82e908</v>
      </c>
      <c r="AB5530" s="7" t="s">
        <v>50</v>
      </c>
      <c r="AC5530" s="7"/>
      <c r="AD5530" s="7"/>
      <c r="AE5530" s="54"/>
    </row>
    <row r="5531" spans="2:31" ht="12" customHeight="1" outlineLevel="4">
      <c r="B5531" s="70" t="s">
        <v>19770</v>
      </c>
      <c r="C5531" s="70"/>
      <c r="D5531" s="70"/>
      <c r="E5531" s="70"/>
      <c r="F5531" s="70"/>
      <c r="G5531" s="70"/>
    </row>
    <row r="5532" spans="2:31" s="1" customFormat="1" ht="96.3" customHeight="1" outlineLevel="5">
      <c r="B5532" s="58">
        <v>4527</v>
      </c>
      <c r="C5532" s="7" t="s">
        <v>19771</v>
      </c>
      <c r="D5532" s="71" t="s">
        <v>19772</v>
      </c>
      <c r="E5532" s="71"/>
      <c r="F5532" s="71"/>
      <c r="G5532" s="71"/>
      <c r="H5532" s="8" t="s">
        <v>19773</v>
      </c>
      <c r="I5532" s="9" t="s">
        <v>36</v>
      </c>
      <c r="J5532" s="8"/>
      <c r="K5532" s="6">
        <v>10</v>
      </c>
      <c r="L5532" s="10">
        <v>43.27</v>
      </c>
      <c r="M5532" s="11"/>
      <c r="N5532" s="8">
        <f>L5532*M5532</f>
        <v>0</v>
      </c>
      <c r="O5532" s="12">
        <f>0.005*M5532</f>
        <v>0</v>
      </c>
      <c r="P5532" s="13">
        <f>0.00004*M5532</f>
        <v>0</v>
      </c>
      <c r="Q5532" s="17" t="s">
        <v>37</v>
      </c>
      <c r="R5532" s="8" t="s">
        <v>19774</v>
      </c>
      <c r="S5532" s="8"/>
      <c r="T5532" s="7" t="str">
        <f>HYPERLINK("https://miland.ru/api/getInfo/image/fbfd2a58-5db5-11f1-a295-00155d82e908")</f>
        <v>https://miland.ru/api/getInfo/image/fbfd2a58-5db5-11f1-a295-00155d82e908</v>
      </c>
      <c r="U5532" s="7"/>
      <c r="V5532" s="7" t="s">
        <v>19745</v>
      </c>
      <c r="W5532" s="7" t="s">
        <v>16895</v>
      </c>
      <c r="X5532" s="7"/>
      <c r="Y5532" s="7" t="s">
        <v>41</v>
      </c>
      <c r="Z5532" s="7"/>
      <c r="AA5532" s="7" t="str">
        <f>HYPERLINK("https://miland.ru/api/getInfo/item/fbfd2a58-5db5-11f1-a295-00155d82e908")</f>
        <v>https://miland.ru/api/getInfo/item/fbfd2a58-5db5-11f1-a295-00155d82e908</v>
      </c>
      <c r="AB5532" s="7" t="s">
        <v>50</v>
      </c>
      <c r="AC5532" s="7"/>
      <c r="AD5532" s="7"/>
      <c r="AE5532" s="54"/>
    </row>
    <row r="5533" spans="2:31" s="1" customFormat="1" ht="96.3" customHeight="1" outlineLevel="5">
      <c r="B5533" s="58">
        <v>4528</v>
      </c>
      <c r="C5533" s="7" t="s">
        <v>19775</v>
      </c>
      <c r="D5533" s="71" t="s">
        <v>19776</v>
      </c>
      <c r="E5533" s="71"/>
      <c r="F5533" s="71"/>
      <c r="G5533" s="71"/>
      <c r="H5533" s="8" t="s">
        <v>19777</v>
      </c>
      <c r="I5533" s="9" t="s">
        <v>36</v>
      </c>
      <c r="J5533" s="8"/>
      <c r="K5533" s="6">
        <v>10</v>
      </c>
      <c r="L5533" s="10">
        <v>43.27</v>
      </c>
      <c r="M5533" s="11"/>
      <c r="N5533" s="8">
        <f>L5533*M5533</f>
        <v>0</v>
      </c>
      <c r="O5533" s="12">
        <f>0.005*M5533</f>
        <v>0</v>
      </c>
      <c r="P5533" s="13">
        <f>0.00004*M5533</f>
        <v>0</v>
      </c>
      <c r="Q5533" s="17" t="s">
        <v>37</v>
      </c>
      <c r="R5533" s="8" t="s">
        <v>19778</v>
      </c>
      <c r="S5533" s="8"/>
      <c r="T5533" s="7"/>
      <c r="U5533" s="7"/>
      <c r="V5533" s="7" t="s">
        <v>19745</v>
      </c>
      <c r="W5533" s="7" t="s">
        <v>16895</v>
      </c>
      <c r="X5533" s="7"/>
      <c r="Y5533" s="7" t="s">
        <v>41</v>
      </c>
      <c r="Z5533" s="7"/>
      <c r="AA5533" s="7"/>
      <c r="AB5533" s="7" t="s">
        <v>50</v>
      </c>
      <c r="AC5533" s="7" t="s">
        <v>19779</v>
      </c>
      <c r="AD5533" s="7"/>
      <c r="AE5533" s="54"/>
    </row>
    <row r="5534" spans="2:31" ht="12" customHeight="1" outlineLevel="4">
      <c r="B5534" s="70" t="s">
        <v>19780</v>
      </c>
      <c r="C5534" s="70"/>
      <c r="D5534" s="70"/>
      <c r="E5534" s="70"/>
      <c r="F5534" s="70"/>
      <c r="G5534" s="70"/>
    </row>
    <row r="5535" spans="2:31" s="1" customFormat="1" ht="96.3" customHeight="1" outlineLevel="5">
      <c r="B5535" s="57">
        <v>4529</v>
      </c>
      <c r="C5535" s="21" t="s">
        <v>19781</v>
      </c>
      <c r="D5535" s="72" t="s">
        <v>19782</v>
      </c>
      <c r="E5535" s="72"/>
      <c r="F5535" s="72"/>
      <c r="G5535" s="72"/>
      <c r="H5535" s="22" t="s">
        <v>19783</v>
      </c>
      <c r="I5535" s="23" t="s">
        <v>36</v>
      </c>
      <c r="J5535" s="22"/>
      <c r="K5535" s="20">
        <v>3</v>
      </c>
      <c r="L5535" s="24">
        <v>213.98</v>
      </c>
      <c r="M5535" s="11"/>
      <c r="N5535" s="22">
        <f t="shared" ref="N5535:N5545" si="311">L5535*M5535</f>
        <v>0</v>
      </c>
      <c r="O5535" s="25">
        <f>0.017*M5535</f>
        <v>0</v>
      </c>
      <c r="P5535" s="26">
        <f>0.00023*M5535</f>
        <v>0</v>
      </c>
      <c r="Q5535" s="30"/>
      <c r="R5535" s="22" t="s">
        <v>19784</v>
      </c>
      <c r="S5535" s="22"/>
      <c r="T5535" s="21" t="str">
        <f>HYPERLINK("https://miland.ru/api/getInfo/image/3b25554b-eeb9-11ef-a274-00155d82e908")</f>
        <v>https://miland.ru/api/getInfo/image/3b25554b-eeb9-11ef-a274-00155d82e908</v>
      </c>
      <c r="U5535" s="21"/>
      <c r="V5535" s="21" t="s">
        <v>19745</v>
      </c>
      <c r="W5535" s="21" t="s">
        <v>16895</v>
      </c>
      <c r="X5535" s="21"/>
      <c r="Y5535" s="21" t="s">
        <v>41</v>
      </c>
      <c r="Z5535" s="21"/>
      <c r="AA5535" s="21" t="str">
        <f>HYPERLINK("https://miland.ru/api/getInfo/item/3b25554b-eeb9-11ef-a274-00155d82e908")</f>
        <v>https://miland.ru/api/getInfo/item/3b25554b-eeb9-11ef-a274-00155d82e908</v>
      </c>
      <c r="AB5535" s="21" t="s">
        <v>50</v>
      </c>
      <c r="AC5535" s="21"/>
      <c r="AD5535" s="21"/>
    </row>
    <row r="5536" spans="2:31" s="1" customFormat="1" ht="96.3" customHeight="1" outlineLevel="5">
      <c r="B5536" s="57">
        <v>4530</v>
      </c>
      <c r="C5536" s="21" t="s">
        <v>19785</v>
      </c>
      <c r="D5536" s="72" t="s">
        <v>19786</v>
      </c>
      <c r="E5536" s="72"/>
      <c r="F5536" s="72"/>
      <c r="G5536" s="72"/>
      <c r="H5536" s="22" t="s">
        <v>19787</v>
      </c>
      <c r="I5536" s="23" t="s">
        <v>36</v>
      </c>
      <c r="J5536" s="22"/>
      <c r="K5536" s="20">
        <v>6</v>
      </c>
      <c r="L5536" s="24">
        <v>109.5</v>
      </c>
      <c r="M5536" s="11"/>
      <c r="N5536" s="22">
        <f t="shared" si="311"/>
        <v>0</v>
      </c>
      <c r="O5536" s="25">
        <f>0.015*M5536</f>
        <v>0</v>
      </c>
      <c r="P5536" s="26">
        <f>0.00023*M5536</f>
        <v>0</v>
      </c>
      <c r="Q5536" s="30"/>
      <c r="R5536" s="22" t="s">
        <v>19788</v>
      </c>
      <c r="S5536" s="22"/>
      <c r="T5536" s="21" t="str">
        <f>HYPERLINK("https://miland.ru/api/getInfo/image/06e57bfb-98e6-11ea-a248-ac1f6b442184")</f>
        <v>https://miland.ru/api/getInfo/image/06e57bfb-98e6-11ea-a248-ac1f6b442184</v>
      </c>
      <c r="U5536" s="21"/>
      <c r="V5536" s="21" t="s">
        <v>19745</v>
      </c>
      <c r="W5536" s="21" t="s">
        <v>16895</v>
      </c>
      <c r="X5536" s="21"/>
      <c r="Y5536" s="21" t="s">
        <v>41</v>
      </c>
      <c r="Z5536" s="21"/>
      <c r="AA5536" s="21" t="str">
        <f>HYPERLINK("https://miland.ru/api/getInfo/item/06e57bfb-98e6-11ea-a248-ac1f6b442184")</f>
        <v>https://miland.ru/api/getInfo/item/06e57bfb-98e6-11ea-a248-ac1f6b442184</v>
      </c>
      <c r="AB5536" s="21" t="s">
        <v>50</v>
      </c>
      <c r="AC5536" s="21"/>
      <c r="AD5536" s="21"/>
    </row>
    <row r="5537" spans="2:31" s="1" customFormat="1" ht="96.3" customHeight="1" outlineLevel="5">
      <c r="B5537" s="57">
        <v>4531</v>
      </c>
      <c r="C5537" s="21" t="s">
        <v>19789</v>
      </c>
      <c r="D5537" s="72" t="s">
        <v>19790</v>
      </c>
      <c r="E5537" s="72"/>
      <c r="F5537" s="72"/>
      <c r="G5537" s="72"/>
      <c r="H5537" s="22" t="s">
        <v>19791</v>
      </c>
      <c r="I5537" s="23" t="s">
        <v>36</v>
      </c>
      <c r="J5537" s="22"/>
      <c r="K5537" s="20">
        <v>3</v>
      </c>
      <c r="L5537" s="24">
        <v>213.98</v>
      </c>
      <c r="M5537" s="11"/>
      <c r="N5537" s="22">
        <f t="shared" si="311"/>
        <v>0</v>
      </c>
      <c r="O5537" s="25">
        <f>0.017*M5537</f>
        <v>0</v>
      </c>
      <c r="P5537" s="26">
        <f>0.00026*M5537</f>
        <v>0</v>
      </c>
      <c r="Q5537" s="30"/>
      <c r="R5537" s="22" t="s">
        <v>19792</v>
      </c>
      <c r="S5537" s="22"/>
      <c r="T5537" s="21" t="str">
        <f>HYPERLINK("https://miland.ru/api/getInfo/image/cd67d427-eeb9-11ef-a274-00155d82e908")</f>
        <v>https://miland.ru/api/getInfo/image/cd67d427-eeb9-11ef-a274-00155d82e908</v>
      </c>
      <c r="U5537" s="21"/>
      <c r="V5537" s="21" t="s">
        <v>19745</v>
      </c>
      <c r="W5537" s="21" t="s">
        <v>16895</v>
      </c>
      <c r="X5537" s="21"/>
      <c r="Y5537" s="21" t="s">
        <v>41</v>
      </c>
      <c r="Z5537" s="21"/>
      <c r="AA5537" s="21" t="str">
        <f>HYPERLINK("https://miland.ru/api/getInfo/item/cd67d427-eeb9-11ef-a274-00155d82e908")</f>
        <v>https://miland.ru/api/getInfo/item/cd67d427-eeb9-11ef-a274-00155d82e908</v>
      </c>
      <c r="AB5537" s="21" t="s">
        <v>50</v>
      </c>
      <c r="AC5537" s="21"/>
      <c r="AD5537" s="21"/>
    </row>
    <row r="5538" spans="2:31" s="1" customFormat="1" ht="96.3" customHeight="1" outlineLevel="5">
      <c r="B5538" s="58">
        <v>4532</v>
      </c>
      <c r="C5538" s="7" t="s">
        <v>19793</v>
      </c>
      <c r="D5538" s="71" t="s">
        <v>19794</v>
      </c>
      <c r="E5538" s="71"/>
      <c r="F5538" s="71"/>
      <c r="G5538" s="71"/>
      <c r="H5538" s="8" t="s">
        <v>19795</v>
      </c>
      <c r="I5538" s="9" t="s">
        <v>36</v>
      </c>
      <c r="J5538" s="8"/>
      <c r="K5538" s="6">
        <v>20</v>
      </c>
      <c r="L5538" s="10">
        <v>39.81</v>
      </c>
      <c r="M5538" s="11"/>
      <c r="N5538" s="8">
        <f t="shared" si="311"/>
        <v>0</v>
      </c>
      <c r="O5538" s="12">
        <f>0.003*M5538</f>
        <v>0</v>
      </c>
      <c r="P5538" s="13">
        <f>0.00002*M5538</f>
        <v>0</v>
      </c>
      <c r="Q5538" s="17" t="s">
        <v>37</v>
      </c>
      <c r="R5538" s="8" t="s">
        <v>19796</v>
      </c>
      <c r="S5538" s="8"/>
      <c r="T5538" s="7" t="str">
        <f>HYPERLINK("https://miland.ru/api/getInfo/image/b8c039f6-5db5-11f1-a295-00155d82e908")</f>
        <v>https://miland.ru/api/getInfo/image/b8c039f6-5db5-11f1-a295-00155d82e908</v>
      </c>
      <c r="U5538" s="7"/>
      <c r="V5538" s="7" t="s">
        <v>19745</v>
      </c>
      <c r="W5538" s="7" t="s">
        <v>16895</v>
      </c>
      <c r="X5538" s="7"/>
      <c r="Y5538" s="7" t="s">
        <v>41</v>
      </c>
      <c r="Z5538" s="7"/>
      <c r="AA5538" s="7" t="str">
        <f>HYPERLINK("https://miland.ru/api/getInfo/item/b8c039f6-5db5-11f1-a295-00155d82e908")</f>
        <v>https://miland.ru/api/getInfo/item/b8c039f6-5db5-11f1-a295-00155d82e908</v>
      </c>
      <c r="AB5538" s="7" t="s">
        <v>50</v>
      </c>
      <c r="AC5538" s="7"/>
      <c r="AD5538" s="7"/>
      <c r="AE5538" s="54"/>
    </row>
    <row r="5539" spans="2:31" s="1" customFormat="1" ht="96.3" customHeight="1" outlineLevel="5">
      <c r="B5539" s="58">
        <v>4533</v>
      </c>
      <c r="C5539" s="7" t="s">
        <v>19797</v>
      </c>
      <c r="D5539" s="71" t="s">
        <v>19798</v>
      </c>
      <c r="E5539" s="71"/>
      <c r="F5539" s="71"/>
      <c r="G5539" s="71"/>
      <c r="H5539" s="8" t="s">
        <v>19799</v>
      </c>
      <c r="I5539" s="9" t="s">
        <v>36</v>
      </c>
      <c r="J5539" s="8"/>
      <c r="K5539" s="6">
        <v>20</v>
      </c>
      <c r="L5539" s="10">
        <v>39.81</v>
      </c>
      <c r="M5539" s="11"/>
      <c r="N5539" s="8">
        <f t="shared" si="311"/>
        <v>0</v>
      </c>
      <c r="O5539" s="12">
        <f>0.005*M5539</f>
        <v>0</v>
      </c>
      <c r="P5539" s="13">
        <f>0.00055*M5539</f>
        <v>0</v>
      </c>
      <c r="Q5539" s="17" t="s">
        <v>37</v>
      </c>
      <c r="R5539" s="8" t="s">
        <v>19800</v>
      </c>
      <c r="S5539" s="8"/>
      <c r="T5539" s="7" t="str">
        <f>HYPERLINK("https://miland.ru/api/getInfo/image/c95cb9ad-5db5-11f1-a295-00155d82e908")</f>
        <v>https://miland.ru/api/getInfo/image/c95cb9ad-5db5-11f1-a295-00155d82e908</v>
      </c>
      <c r="U5539" s="7"/>
      <c r="V5539" s="7" t="s">
        <v>19745</v>
      </c>
      <c r="W5539" s="7" t="s">
        <v>16895</v>
      </c>
      <c r="X5539" s="7"/>
      <c r="Y5539" s="7" t="s">
        <v>41</v>
      </c>
      <c r="Z5539" s="7"/>
      <c r="AA5539" s="7" t="str">
        <f>HYPERLINK("https://miland.ru/api/getInfo/item/c95cb9ad-5db5-11f1-a295-00155d82e908")</f>
        <v>https://miland.ru/api/getInfo/item/c95cb9ad-5db5-11f1-a295-00155d82e908</v>
      </c>
      <c r="AB5539" s="7" t="s">
        <v>50</v>
      </c>
      <c r="AC5539" s="7"/>
      <c r="AD5539" s="7"/>
      <c r="AE5539" s="54"/>
    </row>
    <row r="5540" spans="2:31" s="1" customFormat="1" ht="96.3" customHeight="1" outlineLevel="5">
      <c r="B5540" s="58">
        <v>4534</v>
      </c>
      <c r="C5540" s="7" t="s">
        <v>19801</v>
      </c>
      <c r="D5540" s="71" t="s">
        <v>19802</v>
      </c>
      <c r="E5540" s="71"/>
      <c r="F5540" s="71"/>
      <c r="G5540" s="71"/>
      <c r="H5540" s="8" t="s">
        <v>19803</v>
      </c>
      <c r="I5540" s="9" t="s">
        <v>36</v>
      </c>
      <c r="J5540" s="8"/>
      <c r="K5540" s="6">
        <v>20</v>
      </c>
      <c r="L5540" s="10">
        <v>39.81</v>
      </c>
      <c r="M5540" s="11"/>
      <c r="N5540" s="8">
        <f t="shared" si="311"/>
        <v>0</v>
      </c>
      <c r="O5540" s="12">
        <f>0.003*M5540</f>
        <v>0</v>
      </c>
      <c r="P5540" s="13">
        <f>0.00002*M5540</f>
        <v>0</v>
      </c>
      <c r="Q5540" s="17" t="s">
        <v>37</v>
      </c>
      <c r="R5540" s="8" t="s">
        <v>19804</v>
      </c>
      <c r="S5540" s="8"/>
      <c r="T5540" s="7" t="str">
        <f>HYPERLINK("https://miland.ru/api/getInfo/image/d8cffb60-5db5-11f1-a295-00155d82e908")</f>
        <v>https://miland.ru/api/getInfo/image/d8cffb60-5db5-11f1-a295-00155d82e908</v>
      </c>
      <c r="U5540" s="7"/>
      <c r="V5540" s="7" t="s">
        <v>19745</v>
      </c>
      <c r="W5540" s="7" t="s">
        <v>16895</v>
      </c>
      <c r="X5540" s="7"/>
      <c r="Y5540" s="7" t="s">
        <v>41</v>
      </c>
      <c r="Z5540" s="7"/>
      <c r="AA5540" s="7" t="str">
        <f>HYPERLINK("https://miland.ru/api/getInfo/item/d8cffb60-5db5-11f1-a295-00155d82e908")</f>
        <v>https://miland.ru/api/getInfo/item/d8cffb60-5db5-11f1-a295-00155d82e908</v>
      </c>
      <c r="AB5540" s="7" t="s">
        <v>50</v>
      </c>
      <c r="AC5540" s="7"/>
      <c r="AD5540" s="7"/>
      <c r="AE5540" s="54"/>
    </row>
    <row r="5541" spans="2:31" s="1" customFormat="1" ht="96.3" customHeight="1" outlineLevel="5">
      <c r="B5541" s="58">
        <v>4535</v>
      </c>
      <c r="C5541" s="7" t="s">
        <v>19805</v>
      </c>
      <c r="D5541" s="71" t="s">
        <v>19806</v>
      </c>
      <c r="E5541" s="71"/>
      <c r="F5541" s="71"/>
      <c r="G5541" s="71"/>
      <c r="H5541" s="8" t="s">
        <v>19807</v>
      </c>
      <c r="I5541" s="9" t="s">
        <v>36</v>
      </c>
      <c r="J5541" s="8"/>
      <c r="K5541" s="6">
        <v>20</v>
      </c>
      <c r="L5541" s="10">
        <v>39.81</v>
      </c>
      <c r="M5541" s="11"/>
      <c r="N5541" s="8">
        <f t="shared" si="311"/>
        <v>0</v>
      </c>
      <c r="O5541" s="12">
        <f>0.005*M5541</f>
        <v>0</v>
      </c>
      <c r="P5541" s="13">
        <f>0.00055*M5541</f>
        <v>0</v>
      </c>
      <c r="Q5541" s="17" t="s">
        <v>37</v>
      </c>
      <c r="R5541" s="8" t="s">
        <v>19808</v>
      </c>
      <c r="S5541" s="8"/>
      <c r="T5541" s="7" t="str">
        <f>HYPERLINK("https://miland.ru/api/getInfo/image/aba42fdf-5db5-11f1-a295-00155d82e908")</f>
        <v>https://miland.ru/api/getInfo/image/aba42fdf-5db5-11f1-a295-00155d82e908</v>
      </c>
      <c r="U5541" s="7"/>
      <c r="V5541" s="7" t="s">
        <v>19745</v>
      </c>
      <c r="W5541" s="7" t="s">
        <v>16895</v>
      </c>
      <c r="X5541" s="7"/>
      <c r="Y5541" s="7" t="s">
        <v>41</v>
      </c>
      <c r="Z5541" s="7"/>
      <c r="AA5541" s="7" t="str">
        <f>HYPERLINK("https://miland.ru/api/getInfo/item/aba42fdf-5db5-11f1-a295-00155d82e908")</f>
        <v>https://miland.ru/api/getInfo/item/aba42fdf-5db5-11f1-a295-00155d82e908</v>
      </c>
      <c r="AB5541" s="7" t="s">
        <v>50</v>
      </c>
      <c r="AC5541" s="7"/>
      <c r="AD5541" s="7"/>
      <c r="AE5541" s="54"/>
    </row>
    <row r="5542" spans="2:31" s="1" customFormat="1" ht="96.3" customHeight="1" outlineLevel="5">
      <c r="B5542" s="58">
        <v>4536</v>
      </c>
      <c r="C5542" s="7" t="s">
        <v>19809</v>
      </c>
      <c r="D5542" s="71" t="s">
        <v>19810</v>
      </c>
      <c r="E5542" s="71"/>
      <c r="F5542" s="71"/>
      <c r="G5542" s="71"/>
      <c r="H5542" s="8" t="s">
        <v>19811</v>
      </c>
      <c r="I5542" s="9" t="s">
        <v>36</v>
      </c>
      <c r="J5542" s="8"/>
      <c r="K5542" s="6">
        <v>20</v>
      </c>
      <c r="L5542" s="10">
        <v>39.81</v>
      </c>
      <c r="M5542" s="11"/>
      <c r="N5542" s="8">
        <f t="shared" si="311"/>
        <v>0</v>
      </c>
      <c r="O5542" s="12">
        <f>0.004*M5542</f>
        <v>0</v>
      </c>
      <c r="P5542" s="13">
        <f>0.00004*M5542</f>
        <v>0</v>
      </c>
      <c r="Q5542" s="17" t="s">
        <v>37</v>
      </c>
      <c r="R5542" s="8" t="s">
        <v>19812</v>
      </c>
      <c r="S5542" s="8"/>
      <c r="T5542" s="7" t="str">
        <f>HYPERLINK("https://miland.ru/api/getInfo/image/e6ebc2ae-5db5-11f1-a295-00155d82e908")</f>
        <v>https://miland.ru/api/getInfo/image/e6ebc2ae-5db5-11f1-a295-00155d82e908</v>
      </c>
      <c r="U5542" s="7"/>
      <c r="V5542" s="7" t="s">
        <v>19745</v>
      </c>
      <c r="W5542" s="7" t="s">
        <v>16895</v>
      </c>
      <c r="X5542" s="7"/>
      <c r="Y5542" s="7" t="s">
        <v>41</v>
      </c>
      <c r="Z5542" s="7"/>
      <c r="AA5542" s="7" t="str">
        <f>HYPERLINK("https://miland.ru/api/getInfo/item/e6ebc2ae-5db5-11f1-a295-00155d82e908")</f>
        <v>https://miland.ru/api/getInfo/item/e6ebc2ae-5db5-11f1-a295-00155d82e908</v>
      </c>
      <c r="AB5542" s="7" t="s">
        <v>50</v>
      </c>
      <c r="AC5542" s="7"/>
      <c r="AD5542" s="7"/>
      <c r="AE5542" s="54"/>
    </row>
    <row r="5543" spans="2:31" s="1" customFormat="1" ht="96.3" customHeight="1" outlineLevel="5">
      <c r="B5543" s="57">
        <v>4537</v>
      </c>
      <c r="C5543" s="21" t="s">
        <v>19813</v>
      </c>
      <c r="D5543" s="72" t="s">
        <v>19814</v>
      </c>
      <c r="E5543" s="72"/>
      <c r="F5543" s="72"/>
      <c r="G5543" s="72"/>
      <c r="H5543" s="22" t="s">
        <v>19815</v>
      </c>
      <c r="I5543" s="23" t="s">
        <v>36</v>
      </c>
      <c r="J5543" s="22"/>
      <c r="K5543" s="20">
        <v>10</v>
      </c>
      <c r="L5543" s="24">
        <v>84.62</v>
      </c>
      <c r="M5543" s="11"/>
      <c r="N5543" s="22">
        <f t="shared" si="311"/>
        <v>0</v>
      </c>
      <c r="O5543" s="25">
        <f>0.011*M5543</f>
        <v>0</v>
      </c>
      <c r="P5543" s="26">
        <f>0.00008*M5543</f>
        <v>0</v>
      </c>
      <c r="Q5543" s="30"/>
      <c r="R5543" s="22" t="s">
        <v>19816</v>
      </c>
      <c r="S5543" s="22"/>
      <c r="T5543" s="21" t="str">
        <f>HYPERLINK("https://miland.ru/api/getInfo/image/a8bb7a2e-5bf0-11eb-a26d-ac1f6b442184")</f>
        <v>https://miland.ru/api/getInfo/image/a8bb7a2e-5bf0-11eb-a26d-ac1f6b442184</v>
      </c>
      <c r="U5543" s="21"/>
      <c r="V5543" s="21" t="s">
        <v>19745</v>
      </c>
      <c r="W5543" s="21" t="s">
        <v>16895</v>
      </c>
      <c r="X5543" s="21"/>
      <c r="Y5543" s="21" t="s">
        <v>41</v>
      </c>
      <c r="Z5543" s="21"/>
      <c r="AA5543" s="21" t="str">
        <f>HYPERLINK("https://miland.ru/api/getInfo/item/a8bb7a2e-5bf0-11eb-a26d-ac1f6b442184")</f>
        <v>https://miland.ru/api/getInfo/item/a8bb7a2e-5bf0-11eb-a26d-ac1f6b442184</v>
      </c>
      <c r="AB5543" s="21" t="s">
        <v>50</v>
      </c>
      <c r="AC5543" s="21"/>
      <c r="AD5543" s="21"/>
    </row>
    <row r="5544" spans="2:31" s="1" customFormat="1" ht="96.3" customHeight="1" outlineLevel="5">
      <c r="B5544" s="58">
        <v>4538</v>
      </c>
      <c r="C5544" s="7" t="s">
        <v>19817</v>
      </c>
      <c r="D5544" s="71" t="s">
        <v>19818</v>
      </c>
      <c r="E5544" s="71"/>
      <c r="F5544" s="71"/>
      <c r="G5544" s="71"/>
      <c r="H5544" s="8" t="s">
        <v>19819</v>
      </c>
      <c r="I5544" s="9" t="s">
        <v>36</v>
      </c>
      <c r="J5544" s="8"/>
      <c r="K5544" s="6">
        <v>10</v>
      </c>
      <c r="L5544" s="10">
        <v>59.68</v>
      </c>
      <c r="M5544" s="11"/>
      <c r="N5544" s="8">
        <f t="shared" si="311"/>
        <v>0</v>
      </c>
      <c r="O5544" s="12">
        <f>0.003*M5544</f>
        <v>0</v>
      </c>
      <c r="P5544" s="13">
        <f>0.00004*M5544</f>
        <v>0</v>
      </c>
      <c r="Q5544" s="17" t="s">
        <v>37</v>
      </c>
      <c r="R5544" s="8" t="s">
        <v>19820</v>
      </c>
      <c r="S5544" s="8"/>
      <c r="T5544" s="7"/>
      <c r="U5544" s="7"/>
      <c r="V5544" s="7" t="s">
        <v>19745</v>
      </c>
      <c r="W5544" s="7" t="s">
        <v>16895</v>
      </c>
      <c r="X5544" s="7"/>
      <c r="Y5544" s="7" t="s">
        <v>41</v>
      </c>
      <c r="Z5544" s="7"/>
      <c r="AA5544" s="7"/>
      <c r="AB5544" s="7" t="s">
        <v>50</v>
      </c>
      <c r="AC5544" s="7" t="s">
        <v>19779</v>
      </c>
      <c r="AD5544" s="7"/>
      <c r="AE5544" s="54"/>
    </row>
    <row r="5545" spans="2:31" s="1" customFormat="1" ht="96.3" customHeight="1" outlineLevel="5">
      <c r="B5545" s="57">
        <v>4539</v>
      </c>
      <c r="C5545" s="21" t="s">
        <v>19821</v>
      </c>
      <c r="D5545" s="72" t="s">
        <v>19822</v>
      </c>
      <c r="E5545" s="72"/>
      <c r="F5545" s="72"/>
      <c r="G5545" s="72"/>
      <c r="H5545" s="22" t="s">
        <v>19823</v>
      </c>
      <c r="I5545" s="27">
        <v>370</v>
      </c>
      <c r="J5545" s="22"/>
      <c r="K5545" s="20">
        <v>20</v>
      </c>
      <c r="L5545" s="24">
        <v>39.81</v>
      </c>
      <c r="M5545" s="11"/>
      <c r="N5545" s="22">
        <f t="shared" si="311"/>
        <v>0</v>
      </c>
      <c r="O5545" s="25">
        <f>0.005*M5545</f>
        <v>0</v>
      </c>
      <c r="P5545" s="26">
        <f>0.00004*M5545</f>
        <v>0</v>
      </c>
      <c r="Q5545" s="30"/>
      <c r="R5545" s="22" t="s">
        <v>19824</v>
      </c>
      <c r="S5545" s="22" t="s">
        <v>435</v>
      </c>
      <c r="T5545" s="21" t="str">
        <f>HYPERLINK("https://miland.ru/api/getInfo/image/4cc8c70c-eb6a-11e5-98ff-5cf3fc4a2490")</f>
        <v>https://miland.ru/api/getInfo/image/4cc8c70c-eb6a-11e5-98ff-5cf3fc4a2490</v>
      </c>
      <c r="U5545" s="21"/>
      <c r="V5545" s="21" t="s">
        <v>19745</v>
      </c>
      <c r="W5545" s="21" t="s">
        <v>16895</v>
      </c>
      <c r="X5545" s="21"/>
      <c r="Y5545" s="21" t="s">
        <v>41</v>
      </c>
      <c r="Z5545" s="21"/>
      <c r="AA5545" s="21" t="str">
        <f>HYPERLINK("https://miland.ru/api/getInfo/item/4cc8c70c-eb6a-11e5-98ff-5cf3fc4a2490")</f>
        <v>https://miland.ru/api/getInfo/item/4cc8c70c-eb6a-11e5-98ff-5cf3fc4a2490</v>
      </c>
      <c r="AB5545" s="21" t="s">
        <v>50</v>
      </c>
      <c r="AC5545" s="21" t="s">
        <v>19779</v>
      </c>
      <c r="AD5545" s="21"/>
    </row>
    <row r="5546" spans="2:31" ht="12" customHeight="1" outlineLevel="4">
      <c r="B5546" s="70" t="s">
        <v>19825</v>
      </c>
      <c r="C5546" s="70"/>
      <c r="D5546" s="70"/>
      <c r="E5546" s="70"/>
      <c r="F5546" s="70"/>
      <c r="G5546" s="70"/>
    </row>
    <row r="5547" spans="2:31" s="1" customFormat="1" ht="96.3" customHeight="1" outlineLevel="5">
      <c r="B5547" s="58">
        <v>4540</v>
      </c>
      <c r="C5547" s="7" t="s">
        <v>19826</v>
      </c>
      <c r="D5547" s="71" t="s">
        <v>19827</v>
      </c>
      <c r="E5547" s="71"/>
      <c r="F5547" s="71"/>
      <c r="G5547" s="71"/>
      <c r="H5547" s="8" t="s">
        <v>19828</v>
      </c>
      <c r="I5547" s="9" t="s">
        <v>36</v>
      </c>
      <c r="J5547" s="8"/>
      <c r="K5547" s="6">
        <v>10</v>
      </c>
      <c r="L5547" s="10">
        <v>69.709999999999994</v>
      </c>
      <c r="M5547" s="11"/>
      <c r="N5547" s="8">
        <f>L5547*M5547</f>
        <v>0</v>
      </c>
      <c r="O5547" s="12">
        <f>0.026*M5547</f>
        <v>0</v>
      </c>
      <c r="P5547" s="13">
        <f>0.00431*M5547</f>
        <v>0</v>
      </c>
      <c r="Q5547" s="17" t="s">
        <v>37</v>
      </c>
      <c r="R5547" s="8" t="s">
        <v>19829</v>
      </c>
      <c r="S5547" s="8"/>
      <c r="T5547" s="7" t="str">
        <f>HYPERLINK("https://miland.ru/api/getInfo/image/a934e05f-00dd-11f1-a28e-00155d82e908")</f>
        <v>https://miland.ru/api/getInfo/image/a934e05f-00dd-11f1-a28e-00155d82e908</v>
      </c>
      <c r="U5547" s="7"/>
      <c r="V5547" s="7" t="s">
        <v>19745</v>
      </c>
      <c r="W5547" s="7" t="s">
        <v>16895</v>
      </c>
      <c r="X5547" s="7"/>
      <c r="Y5547" s="7" t="s">
        <v>41</v>
      </c>
      <c r="Z5547" s="7"/>
      <c r="AA5547" s="7" t="str">
        <f>HYPERLINK("https://miland.ru/api/getInfo/item/a934e05f-00dd-11f1-a28e-00155d82e908")</f>
        <v>https://miland.ru/api/getInfo/item/a934e05f-00dd-11f1-a28e-00155d82e908</v>
      </c>
      <c r="AB5547" s="7" t="s">
        <v>50</v>
      </c>
      <c r="AC5547" s="7"/>
      <c r="AD5547" s="7"/>
      <c r="AE5547" s="54"/>
    </row>
    <row r="5548" spans="2:31" s="1" customFormat="1" ht="96.3" customHeight="1" outlineLevel="5">
      <c r="B5548" s="58">
        <v>4541</v>
      </c>
      <c r="C5548" s="7" t="s">
        <v>19830</v>
      </c>
      <c r="D5548" s="71" t="s">
        <v>19831</v>
      </c>
      <c r="E5548" s="71"/>
      <c r="F5548" s="71"/>
      <c r="G5548" s="71"/>
      <c r="H5548" s="8" t="s">
        <v>19832</v>
      </c>
      <c r="I5548" s="14">
        <v>68</v>
      </c>
      <c r="J5548" s="8"/>
      <c r="K5548" s="6">
        <v>4</v>
      </c>
      <c r="L5548" s="10">
        <v>179.43</v>
      </c>
      <c r="M5548" s="11"/>
      <c r="N5548" s="8">
        <f>L5548*M5548</f>
        <v>0</v>
      </c>
      <c r="O5548" s="18">
        <f>0.06*M5548</f>
        <v>0</v>
      </c>
      <c r="P5548" s="13">
        <f>0.00374*M5548</f>
        <v>0</v>
      </c>
      <c r="Q5548" s="17" t="s">
        <v>37</v>
      </c>
      <c r="R5548" s="8" t="s">
        <v>19833</v>
      </c>
      <c r="S5548" s="8"/>
      <c r="T5548" s="7" t="str">
        <f>HYPERLINK("https://miland.ru/api/getInfo/image/8b873f78-00de-11f1-a28e-00155d82e908")</f>
        <v>https://miland.ru/api/getInfo/image/8b873f78-00de-11f1-a28e-00155d82e908</v>
      </c>
      <c r="U5548" s="7"/>
      <c r="V5548" s="7" t="s">
        <v>19745</v>
      </c>
      <c r="W5548" s="7" t="s">
        <v>16895</v>
      </c>
      <c r="X5548" s="7"/>
      <c r="Y5548" s="7" t="s">
        <v>41</v>
      </c>
      <c r="Z5548" s="7"/>
      <c r="AA5548" s="7" t="str">
        <f>HYPERLINK("https://miland.ru/api/getInfo/item/8b873f78-00de-11f1-a28e-00155d82e908")</f>
        <v>https://miland.ru/api/getInfo/item/8b873f78-00de-11f1-a28e-00155d82e908</v>
      </c>
      <c r="AB5548" s="7" t="s">
        <v>50</v>
      </c>
      <c r="AC5548" s="7"/>
      <c r="AD5548" s="7"/>
      <c r="AE5548" s="54"/>
    </row>
    <row r="5549" spans="2:31" s="1" customFormat="1" ht="96.3" customHeight="1" outlineLevel="5">
      <c r="B5549" s="58">
        <v>4542</v>
      </c>
      <c r="C5549" s="7" t="s">
        <v>19834</v>
      </c>
      <c r="D5549" s="71" t="s">
        <v>19835</v>
      </c>
      <c r="E5549" s="71"/>
      <c r="F5549" s="71"/>
      <c r="G5549" s="71"/>
      <c r="H5549" s="8" t="s">
        <v>19836</v>
      </c>
      <c r="I5549" s="9" t="s">
        <v>36</v>
      </c>
      <c r="J5549" s="8"/>
      <c r="K5549" s="6">
        <v>10</v>
      </c>
      <c r="L5549" s="10">
        <v>49.14</v>
      </c>
      <c r="M5549" s="11"/>
      <c r="N5549" s="8">
        <f>L5549*M5549</f>
        <v>0</v>
      </c>
      <c r="O5549" s="18">
        <f>0.02*M5549</f>
        <v>0</v>
      </c>
      <c r="P5549" s="13">
        <f>0.00448*M5549</f>
        <v>0</v>
      </c>
      <c r="Q5549" s="17" t="s">
        <v>37</v>
      </c>
      <c r="R5549" s="8" t="s">
        <v>19837</v>
      </c>
      <c r="S5549" s="8"/>
      <c r="T5549" s="7" t="str">
        <f>HYPERLINK("https://miland.ru/api/getInfo/image/3b1a6f8b-00de-11f1-a28e-00155d82e908")</f>
        <v>https://miland.ru/api/getInfo/image/3b1a6f8b-00de-11f1-a28e-00155d82e908</v>
      </c>
      <c r="U5549" s="7"/>
      <c r="V5549" s="7" t="s">
        <v>19745</v>
      </c>
      <c r="W5549" s="7" t="s">
        <v>16895</v>
      </c>
      <c r="X5549" s="7"/>
      <c r="Y5549" s="7" t="s">
        <v>41</v>
      </c>
      <c r="Z5549" s="7"/>
      <c r="AA5549" s="7" t="str">
        <f>HYPERLINK("https://miland.ru/api/getInfo/item/3b1a6f8b-00de-11f1-a28e-00155d82e908")</f>
        <v>https://miland.ru/api/getInfo/item/3b1a6f8b-00de-11f1-a28e-00155d82e908</v>
      </c>
      <c r="AB5549" s="7" t="s">
        <v>50</v>
      </c>
      <c r="AC5549" s="7"/>
      <c r="AD5549" s="7"/>
      <c r="AE5549" s="54"/>
    </row>
    <row r="5550" spans="2:31" s="1" customFormat="1" ht="96.3" customHeight="1" outlineLevel="5">
      <c r="B5550" s="58">
        <v>4543</v>
      </c>
      <c r="C5550" s="7" t="s">
        <v>19838</v>
      </c>
      <c r="D5550" s="71" t="s">
        <v>19839</v>
      </c>
      <c r="E5550" s="71"/>
      <c r="F5550" s="71"/>
      <c r="G5550" s="71"/>
      <c r="H5550" s="8" t="s">
        <v>19840</v>
      </c>
      <c r="I5550" s="14">
        <v>451</v>
      </c>
      <c r="J5550" s="8"/>
      <c r="K5550" s="6">
        <v>5</v>
      </c>
      <c r="L5550" s="10">
        <v>108.57</v>
      </c>
      <c r="M5550" s="11"/>
      <c r="N5550" s="8">
        <f>L5550*M5550</f>
        <v>0</v>
      </c>
      <c r="O5550" s="12">
        <f>0.034*M5550</f>
        <v>0</v>
      </c>
      <c r="P5550" s="13">
        <f>0.00444*M5550</f>
        <v>0</v>
      </c>
      <c r="Q5550" s="17" t="s">
        <v>37</v>
      </c>
      <c r="R5550" s="8" t="s">
        <v>19841</v>
      </c>
      <c r="S5550" s="8"/>
      <c r="T5550" s="7" t="str">
        <f>HYPERLINK("https://miland.ru/api/getInfo/image/6c00fac5-00de-11f1-a28e-00155d82e908")</f>
        <v>https://miland.ru/api/getInfo/image/6c00fac5-00de-11f1-a28e-00155d82e908</v>
      </c>
      <c r="U5550" s="7"/>
      <c r="V5550" s="7" t="s">
        <v>19745</v>
      </c>
      <c r="W5550" s="7" t="s">
        <v>16895</v>
      </c>
      <c r="X5550" s="7"/>
      <c r="Y5550" s="7" t="s">
        <v>41</v>
      </c>
      <c r="Z5550" s="7"/>
      <c r="AA5550" s="7" t="str">
        <f>HYPERLINK("https://miland.ru/api/getInfo/item/6c00fac5-00de-11f1-a28e-00155d82e908")</f>
        <v>https://miland.ru/api/getInfo/item/6c00fac5-00de-11f1-a28e-00155d82e908</v>
      </c>
      <c r="AB5550" s="7" t="s">
        <v>50</v>
      </c>
      <c r="AC5550" s="7"/>
      <c r="AD5550" s="7"/>
      <c r="AE5550" s="54"/>
    </row>
    <row r="5551" spans="2:31" ht="12" customHeight="1" outlineLevel="2">
      <c r="B5551" s="69" t="s">
        <v>19842</v>
      </c>
      <c r="C5551" s="69"/>
      <c r="D5551" s="69"/>
      <c r="E5551" s="69"/>
      <c r="F5551" s="69"/>
      <c r="G5551" s="69"/>
    </row>
    <row r="5552" spans="2:31" s="1" customFormat="1" ht="96.3" customHeight="1" outlineLevel="3">
      <c r="B5552" s="58">
        <v>4544</v>
      </c>
      <c r="C5552" s="7" t="s">
        <v>19843</v>
      </c>
      <c r="D5552" s="71" t="s">
        <v>19844</v>
      </c>
      <c r="E5552" s="71"/>
      <c r="F5552" s="71"/>
      <c r="G5552" s="71"/>
      <c r="H5552" s="8" t="s">
        <v>19845</v>
      </c>
      <c r="I5552" s="9" t="s">
        <v>36</v>
      </c>
      <c r="J5552" s="8"/>
      <c r="K5552" s="6">
        <v>1</v>
      </c>
      <c r="L5552" s="15">
        <v>1087.67</v>
      </c>
      <c r="M5552" s="11"/>
      <c r="N5552" s="8">
        <f>L5552*M5552</f>
        <v>0</v>
      </c>
      <c r="O5552" s="12">
        <f>0.146*M5552</f>
        <v>0</v>
      </c>
      <c r="P5552" s="13">
        <f>0.00022*M5552</f>
        <v>0</v>
      </c>
      <c r="Q5552" s="17" t="s">
        <v>37</v>
      </c>
      <c r="R5552" s="8" t="s">
        <v>19846</v>
      </c>
      <c r="S5552" s="8"/>
      <c r="T5552" s="7" t="str">
        <f>HYPERLINK("https://miland.ru/api/getInfo/image/9e8ae904-783d-11f0-a284-00155d82e908")</f>
        <v>https://miland.ru/api/getInfo/image/9e8ae904-783d-11f0-a284-00155d82e908</v>
      </c>
      <c r="U5552" s="7"/>
      <c r="V5552" s="7"/>
      <c r="W5552" s="7"/>
      <c r="X5552" s="7"/>
      <c r="Y5552" s="7" t="s">
        <v>41</v>
      </c>
      <c r="Z5552" s="7"/>
      <c r="AA5552" s="7" t="str">
        <f>HYPERLINK("https://miland.ru/api/getInfo/item/9e8ae904-783d-11f0-a284-00155d82e908")</f>
        <v>https://miland.ru/api/getInfo/item/9e8ae904-783d-11f0-a284-00155d82e908</v>
      </c>
      <c r="AB5552" s="7" t="s">
        <v>50</v>
      </c>
      <c r="AC5552" s="7"/>
      <c r="AD5552" s="7"/>
      <c r="AE5552" s="54"/>
    </row>
    <row r="5553" spans="2:31" s="1" customFormat="1" ht="96.3" customHeight="1" outlineLevel="3">
      <c r="B5553" s="57">
        <v>4545</v>
      </c>
      <c r="C5553" s="21" t="s">
        <v>19847</v>
      </c>
      <c r="D5553" s="72" t="s">
        <v>19848</v>
      </c>
      <c r="E5553" s="72"/>
      <c r="F5553" s="72"/>
      <c r="G5553" s="72"/>
      <c r="H5553" s="22" t="s">
        <v>19849</v>
      </c>
      <c r="I5553" s="23" t="s">
        <v>36</v>
      </c>
      <c r="J5553" s="22"/>
      <c r="K5553" s="20">
        <v>1</v>
      </c>
      <c r="L5553" s="32">
        <v>1087.67</v>
      </c>
      <c r="M5553" s="11"/>
      <c r="N5553" s="22">
        <f>L5553*M5553</f>
        <v>0</v>
      </c>
      <c r="O5553" s="25">
        <f>0.616*M5553</f>
        <v>0</v>
      </c>
      <c r="P5553" s="26">
        <f>0.00273*M5553</f>
        <v>0</v>
      </c>
      <c r="Q5553" s="30"/>
      <c r="R5553" s="22" t="s">
        <v>19850</v>
      </c>
      <c r="S5553" s="22"/>
      <c r="T5553" s="21" t="str">
        <f>HYPERLINK("https://miland.ru/api/getInfo/image/b24c55ea-0c4c-11ef-a25d-00155d82e908")</f>
        <v>https://miland.ru/api/getInfo/image/b24c55ea-0c4c-11ef-a25d-00155d82e908</v>
      </c>
      <c r="U5553" s="21"/>
      <c r="V5553" s="21"/>
      <c r="W5553" s="21"/>
      <c r="X5553" s="21"/>
      <c r="Y5553" s="21" t="s">
        <v>41</v>
      </c>
      <c r="Z5553" s="21"/>
      <c r="AA5553" s="21" t="str">
        <f>HYPERLINK("https://miland.ru/api/getInfo/item/b24c55ea-0c4c-11ef-a25d-00155d82e908")</f>
        <v>https://miland.ru/api/getInfo/item/b24c55ea-0c4c-11ef-a25d-00155d82e908</v>
      </c>
      <c r="AB5553" s="21" t="s">
        <v>50</v>
      </c>
      <c r="AC5553" s="21"/>
      <c r="AD5553" s="21"/>
    </row>
    <row r="5554" spans="2:31" s="1" customFormat="1" ht="96.3" customHeight="1" outlineLevel="3">
      <c r="B5554" s="57">
        <v>4546</v>
      </c>
      <c r="C5554" s="21" t="s">
        <v>19851</v>
      </c>
      <c r="D5554" s="72" t="s">
        <v>19852</v>
      </c>
      <c r="E5554" s="72"/>
      <c r="F5554" s="72"/>
      <c r="G5554" s="72"/>
      <c r="H5554" s="22" t="s">
        <v>19853</v>
      </c>
      <c r="I5554" s="27">
        <v>115</v>
      </c>
      <c r="J5554" s="22"/>
      <c r="K5554" s="20">
        <v>1</v>
      </c>
      <c r="L5554" s="32">
        <v>1087.67</v>
      </c>
      <c r="M5554" s="11"/>
      <c r="N5554" s="22">
        <f>L5554*M5554</f>
        <v>0</v>
      </c>
      <c r="O5554" s="25">
        <f>0.591*M5554</f>
        <v>0</v>
      </c>
      <c r="P5554" s="26">
        <f>0.00252*M5554</f>
        <v>0</v>
      </c>
      <c r="Q5554" s="30"/>
      <c r="R5554" s="22" t="s">
        <v>19854</v>
      </c>
      <c r="S5554" s="22" t="s">
        <v>435</v>
      </c>
      <c r="T5554" s="21" t="str">
        <f>HYPERLINK("https://miland.ru/api/getInfo/image/72ce945a-1a14-11ec-a20f-ac1f6b442185")</f>
        <v>https://miland.ru/api/getInfo/image/72ce945a-1a14-11ec-a20f-ac1f6b442185</v>
      </c>
      <c r="U5554" s="21"/>
      <c r="V5554" s="21"/>
      <c r="W5554" s="21"/>
      <c r="X5554" s="21"/>
      <c r="Y5554" s="21" t="s">
        <v>41</v>
      </c>
      <c r="Z5554" s="21"/>
      <c r="AA5554" s="21" t="str">
        <f>HYPERLINK("https://miland.ru/api/getInfo/item/72ce945a-1a14-11ec-a20f-ac1f6b442185")</f>
        <v>https://miland.ru/api/getInfo/item/72ce945a-1a14-11ec-a20f-ac1f6b442185</v>
      </c>
      <c r="AB5554" s="21" t="s">
        <v>50</v>
      </c>
      <c r="AC5554" s="21"/>
      <c r="AD5554" s="21"/>
    </row>
    <row r="5555" spans="2:31" ht="16.05" customHeight="1" outlineLevel="1">
      <c r="B5555" s="68" t="s">
        <v>19855</v>
      </c>
      <c r="C5555" s="68"/>
      <c r="D5555" s="68"/>
      <c r="E5555" s="68"/>
      <c r="F5555" s="68"/>
      <c r="G5555" s="68"/>
    </row>
    <row r="5556" spans="2:31" ht="12" customHeight="1" outlineLevel="2">
      <c r="B5556" s="69" t="s">
        <v>19856</v>
      </c>
      <c r="C5556" s="69"/>
      <c r="D5556" s="69"/>
      <c r="E5556" s="69"/>
      <c r="F5556" s="69"/>
      <c r="G5556" s="69"/>
    </row>
    <row r="5557" spans="2:31" ht="12" customHeight="1" outlineLevel="3">
      <c r="B5557" s="70" t="s">
        <v>19857</v>
      </c>
      <c r="C5557" s="70"/>
      <c r="D5557" s="70"/>
      <c r="E5557" s="70"/>
      <c r="F5557" s="70"/>
      <c r="G5557" s="70"/>
    </row>
    <row r="5558" spans="2:31" ht="12" customHeight="1" outlineLevel="4">
      <c r="B5558" s="70" t="s">
        <v>19858</v>
      </c>
      <c r="C5558" s="70"/>
      <c r="D5558" s="70"/>
      <c r="E5558" s="70"/>
      <c r="F5558" s="70"/>
      <c r="G5558" s="70"/>
    </row>
    <row r="5559" spans="2:31" ht="12" customHeight="1" outlineLevel="5">
      <c r="B5559" s="70" t="s">
        <v>19859</v>
      </c>
      <c r="C5559" s="70"/>
      <c r="D5559" s="70"/>
      <c r="E5559" s="70"/>
      <c r="F5559" s="70"/>
      <c r="G5559" s="70"/>
    </row>
    <row r="5560" spans="2:31" s="1" customFormat="1" ht="96.3" customHeight="1" outlineLevel="6">
      <c r="B5560" s="59">
        <v>4547</v>
      </c>
      <c r="C5560" s="35" t="s">
        <v>19860</v>
      </c>
      <c r="D5560" s="73" t="s">
        <v>19861</v>
      </c>
      <c r="E5560" s="73"/>
      <c r="F5560" s="73"/>
      <c r="G5560" s="73"/>
      <c r="H5560" s="36" t="s">
        <v>19862</v>
      </c>
      <c r="I5560" s="40">
        <v>184</v>
      </c>
      <c r="J5560" s="36"/>
      <c r="K5560" s="34">
        <v>3</v>
      </c>
      <c r="L5560" s="41">
        <v>107.94666666666666</v>
      </c>
      <c r="M5560" s="11"/>
      <c r="N5560" s="36">
        <f>L5560*M5560</f>
        <v>0</v>
      </c>
      <c r="O5560" s="47">
        <f>0.54*M5560</f>
        <v>0</v>
      </c>
      <c r="P5560" s="43">
        <f>0.00062*M5560</f>
        <v>0</v>
      </c>
      <c r="Q5560" s="50"/>
      <c r="R5560" s="36" t="s">
        <v>19863</v>
      </c>
      <c r="S5560" s="36" t="s">
        <v>435</v>
      </c>
      <c r="T5560" s="35" t="str">
        <f>HYPERLINK("https://miland.ru/api/getInfo/image/e03c704a-4072-11ec-a20f-ac1f6b442185")</f>
        <v>https://miland.ru/api/getInfo/image/e03c704a-4072-11ec-a20f-ac1f6b442185</v>
      </c>
      <c r="U5560" s="35"/>
      <c r="V5560" s="35" t="s">
        <v>12327</v>
      </c>
      <c r="W5560" s="35" t="s">
        <v>12310</v>
      </c>
      <c r="X5560" s="35"/>
      <c r="Y5560" s="35" t="s">
        <v>41</v>
      </c>
      <c r="Z5560" s="35"/>
      <c r="AA5560" s="35" t="str">
        <f>HYPERLINK("https://miland.ru/api/getInfo/item/e03c704a-4072-11ec-a20f-ac1f6b442185")</f>
        <v>https://miland.ru/api/getInfo/item/e03c704a-4072-11ec-a20f-ac1f6b442185</v>
      </c>
      <c r="AB5560" s="35" t="s">
        <v>50</v>
      </c>
      <c r="AC5560" s="35"/>
      <c r="AD5560" s="35"/>
      <c r="AE5560" s="52" t="s">
        <v>1251</v>
      </c>
    </row>
    <row r="5561" spans="2:31" s="1" customFormat="1" ht="96.3" customHeight="1" outlineLevel="6">
      <c r="B5561" s="59">
        <v>4548</v>
      </c>
      <c r="C5561" s="35" t="s">
        <v>19864</v>
      </c>
      <c r="D5561" s="73" t="s">
        <v>19865</v>
      </c>
      <c r="E5561" s="73"/>
      <c r="F5561" s="73"/>
      <c r="G5561" s="73"/>
      <c r="H5561" s="36" t="s">
        <v>19866</v>
      </c>
      <c r="I5561" s="56" t="s">
        <v>36</v>
      </c>
      <c r="J5561" s="36"/>
      <c r="K5561" s="34">
        <v>3</v>
      </c>
      <c r="L5561" s="41">
        <v>107.94666666666666</v>
      </c>
      <c r="M5561" s="11"/>
      <c r="N5561" s="36">
        <f>L5561*M5561</f>
        <v>0</v>
      </c>
      <c r="O5561" s="47">
        <f>0.54*M5561</f>
        <v>0</v>
      </c>
      <c r="P5561" s="43">
        <f>0.00062*M5561</f>
        <v>0</v>
      </c>
      <c r="Q5561" s="50"/>
      <c r="R5561" s="36" t="s">
        <v>19867</v>
      </c>
      <c r="S5561" s="36" t="s">
        <v>435</v>
      </c>
      <c r="T5561" s="35" t="str">
        <f>HYPERLINK("https://miland.ru/api/getInfo/image/6e5bb74a-4073-11ec-a20f-ac1f6b442185")</f>
        <v>https://miland.ru/api/getInfo/image/6e5bb74a-4073-11ec-a20f-ac1f6b442185</v>
      </c>
      <c r="U5561" s="35"/>
      <c r="V5561" s="35" t="s">
        <v>12327</v>
      </c>
      <c r="W5561" s="35" t="s">
        <v>12310</v>
      </c>
      <c r="X5561" s="35"/>
      <c r="Y5561" s="35" t="s">
        <v>41</v>
      </c>
      <c r="Z5561" s="35"/>
      <c r="AA5561" s="35" t="str">
        <f>HYPERLINK("https://miland.ru/api/getInfo/item/6e5bb74a-4073-11ec-a20f-ac1f6b442185")</f>
        <v>https://miland.ru/api/getInfo/item/6e5bb74a-4073-11ec-a20f-ac1f6b442185</v>
      </c>
      <c r="AB5561" s="35" t="s">
        <v>50</v>
      </c>
      <c r="AC5561" s="35"/>
      <c r="AD5561" s="35"/>
      <c r="AE5561" s="52" t="s">
        <v>1251</v>
      </c>
    </row>
    <row r="5562" spans="2:31" s="1" customFormat="1" ht="96.3" customHeight="1" outlineLevel="6">
      <c r="B5562" s="59">
        <v>4549</v>
      </c>
      <c r="C5562" s="35" t="s">
        <v>19868</v>
      </c>
      <c r="D5562" s="73" t="s">
        <v>19869</v>
      </c>
      <c r="E5562" s="73"/>
      <c r="F5562" s="73"/>
      <c r="G5562" s="73"/>
      <c r="H5562" s="36" t="s">
        <v>19870</v>
      </c>
      <c r="I5562" s="40">
        <v>407</v>
      </c>
      <c r="J5562" s="36"/>
      <c r="K5562" s="34">
        <v>3</v>
      </c>
      <c r="L5562" s="41">
        <v>107.94666666666666</v>
      </c>
      <c r="M5562" s="11"/>
      <c r="N5562" s="36">
        <f>L5562*M5562</f>
        <v>0</v>
      </c>
      <c r="O5562" s="47">
        <f>0.54*M5562</f>
        <v>0</v>
      </c>
      <c r="P5562" s="43">
        <f>0.00062*M5562</f>
        <v>0</v>
      </c>
      <c r="Q5562" s="50"/>
      <c r="R5562" s="36" t="s">
        <v>19871</v>
      </c>
      <c r="S5562" s="36" t="s">
        <v>435</v>
      </c>
      <c r="T5562" s="35" t="str">
        <f>HYPERLINK("https://miland.ru/api/getInfo/image/524746d4-4073-11ec-a20f-ac1f6b442185")</f>
        <v>https://miland.ru/api/getInfo/image/524746d4-4073-11ec-a20f-ac1f6b442185</v>
      </c>
      <c r="U5562" s="35"/>
      <c r="V5562" s="35" t="s">
        <v>12327</v>
      </c>
      <c r="W5562" s="35" t="s">
        <v>12310</v>
      </c>
      <c r="X5562" s="35"/>
      <c r="Y5562" s="35" t="s">
        <v>41</v>
      </c>
      <c r="Z5562" s="35"/>
      <c r="AA5562" s="35" t="str">
        <f>HYPERLINK("https://miland.ru/api/getInfo/item/524746d4-4073-11ec-a20f-ac1f6b442185")</f>
        <v>https://miland.ru/api/getInfo/item/524746d4-4073-11ec-a20f-ac1f6b442185</v>
      </c>
      <c r="AB5562" s="35" t="s">
        <v>50</v>
      </c>
      <c r="AC5562" s="35"/>
      <c r="AD5562" s="35"/>
      <c r="AE5562" s="52" t="s">
        <v>1251</v>
      </c>
    </row>
    <row r="5563" spans="2:31" s="1" customFormat="1" ht="96.3" customHeight="1" outlineLevel="6">
      <c r="B5563" s="59">
        <v>4550</v>
      </c>
      <c r="C5563" s="35" t="s">
        <v>19872</v>
      </c>
      <c r="D5563" s="73" t="s">
        <v>19873</v>
      </c>
      <c r="E5563" s="73"/>
      <c r="F5563" s="73"/>
      <c r="G5563" s="73"/>
      <c r="H5563" s="36" t="s">
        <v>19874</v>
      </c>
      <c r="I5563" s="56" t="s">
        <v>36</v>
      </c>
      <c r="J5563" s="36"/>
      <c r="K5563" s="34">
        <v>3</v>
      </c>
      <c r="L5563" s="41">
        <v>107.94666666666666</v>
      </c>
      <c r="M5563" s="11"/>
      <c r="N5563" s="36">
        <f>L5563*M5563</f>
        <v>0</v>
      </c>
      <c r="O5563" s="47">
        <f>0.54*M5563</f>
        <v>0</v>
      </c>
      <c r="P5563" s="43">
        <f>0.00062*M5563</f>
        <v>0</v>
      </c>
      <c r="Q5563" s="50"/>
      <c r="R5563" s="36" t="s">
        <v>19875</v>
      </c>
      <c r="S5563" s="36" t="s">
        <v>435</v>
      </c>
      <c r="T5563" s="35" t="str">
        <f>HYPERLINK("https://miland.ru/api/getInfo/image/8ddfef2f-4073-11ec-a20f-ac1f6b442185")</f>
        <v>https://miland.ru/api/getInfo/image/8ddfef2f-4073-11ec-a20f-ac1f6b442185</v>
      </c>
      <c r="U5563" s="35"/>
      <c r="V5563" s="35" t="s">
        <v>12327</v>
      </c>
      <c r="W5563" s="35" t="s">
        <v>12310</v>
      </c>
      <c r="X5563" s="35"/>
      <c r="Y5563" s="35" t="s">
        <v>41</v>
      </c>
      <c r="Z5563" s="35"/>
      <c r="AA5563" s="35" t="str">
        <f>HYPERLINK("https://miland.ru/api/getInfo/item/8ddfef2f-4073-11ec-a20f-ac1f6b442185")</f>
        <v>https://miland.ru/api/getInfo/item/8ddfef2f-4073-11ec-a20f-ac1f6b442185</v>
      </c>
      <c r="AB5563" s="35" t="s">
        <v>50</v>
      </c>
      <c r="AC5563" s="35"/>
      <c r="AD5563" s="35"/>
      <c r="AE5563" s="52" t="s">
        <v>1251</v>
      </c>
    </row>
    <row r="5564" spans="2:31" ht="12" customHeight="1" outlineLevel="5">
      <c r="B5564" s="70" t="s">
        <v>19876</v>
      </c>
      <c r="C5564" s="70"/>
      <c r="D5564" s="70"/>
      <c r="E5564" s="70"/>
      <c r="F5564" s="70"/>
      <c r="G5564" s="70"/>
    </row>
    <row r="5565" spans="2:31" s="1" customFormat="1" ht="96.3" customHeight="1" outlineLevel="6">
      <c r="B5565" s="59">
        <v>4551</v>
      </c>
      <c r="C5565" s="35" t="s">
        <v>19877</v>
      </c>
      <c r="D5565" s="73" t="s">
        <v>19878</v>
      </c>
      <c r="E5565" s="73"/>
      <c r="F5565" s="73"/>
      <c r="G5565" s="73"/>
      <c r="H5565" s="36" t="s">
        <v>19879</v>
      </c>
      <c r="I5565" s="56" t="s">
        <v>36</v>
      </c>
      <c r="J5565" s="36"/>
      <c r="K5565" s="34">
        <v>3</v>
      </c>
      <c r="L5565" s="41">
        <v>99.426666666666662</v>
      </c>
      <c r="M5565" s="11"/>
      <c r="N5565" s="36">
        <f>L5565*M5565</f>
        <v>0</v>
      </c>
      <c r="O5565" s="42">
        <f>0.373*M5565</f>
        <v>0</v>
      </c>
      <c r="P5565" s="43">
        <f>0.00063*M5565</f>
        <v>0</v>
      </c>
      <c r="Q5565" s="50"/>
      <c r="R5565" s="36" t="s">
        <v>19880</v>
      </c>
      <c r="S5565" s="36" t="s">
        <v>435</v>
      </c>
      <c r="T5565" s="35" t="str">
        <f>HYPERLINK("https://miland.ru/api/getInfo/image/9704fe5a-9caf-11ed-a22e-00155d82e902")</f>
        <v>https://miland.ru/api/getInfo/image/9704fe5a-9caf-11ed-a22e-00155d82e902</v>
      </c>
      <c r="U5565" s="35"/>
      <c r="V5565" s="35" t="s">
        <v>12327</v>
      </c>
      <c r="W5565" s="35" t="s">
        <v>12310</v>
      </c>
      <c r="X5565" s="35"/>
      <c r="Y5565" s="35" t="s">
        <v>41</v>
      </c>
      <c r="Z5565" s="35"/>
      <c r="AA5565" s="35" t="str">
        <f>HYPERLINK("https://miland.ru/api/getInfo/item/9704fe5a-9caf-11ed-a22e-00155d82e902")</f>
        <v>https://miland.ru/api/getInfo/item/9704fe5a-9caf-11ed-a22e-00155d82e902</v>
      </c>
      <c r="AB5565" s="35" t="s">
        <v>50</v>
      </c>
      <c r="AC5565" s="35" t="s">
        <v>19881</v>
      </c>
      <c r="AD5565" s="35"/>
      <c r="AE5565" s="52" t="s">
        <v>1251</v>
      </c>
    </row>
    <row r="5566" spans="2:31" ht="12" customHeight="1" outlineLevel="5">
      <c r="B5566" s="70" t="s">
        <v>19882</v>
      </c>
      <c r="C5566" s="70"/>
      <c r="D5566" s="70"/>
      <c r="E5566" s="70"/>
      <c r="F5566" s="70"/>
      <c r="G5566" s="70"/>
    </row>
    <row r="5567" spans="2:31" s="1" customFormat="1" ht="96.3" customHeight="1" outlineLevel="6">
      <c r="B5567" s="59">
        <v>4552</v>
      </c>
      <c r="C5567" s="35" t="s">
        <v>19883</v>
      </c>
      <c r="D5567" s="73" t="s">
        <v>19884</v>
      </c>
      <c r="E5567" s="73"/>
      <c r="F5567" s="73"/>
      <c r="G5567" s="73"/>
      <c r="H5567" s="36" t="s">
        <v>19885</v>
      </c>
      <c r="I5567" s="56" t="s">
        <v>36</v>
      </c>
      <c r="J5567" s="36"/>
      <c r="K5567" s="34">
        <v>3</v>
      </c>
      <c r="L5567" s="41">
        <v>105.41333333333334</v>
      </c>
      <c r="M5567" s="11"/>
      <c r="N5567" s="36">
        <f>L5567*M5567</f>
        <v>0</v>
      </c>
      <c r="O5567" s="42">
        <f>0.491*M5567</f>
        <v>0</v>
      </c>
      <c r="P5567" s="43">
        <f>0.00103*M5567</f>
        <v>0</v>
      </c>
      <c r="Q5567" s="50"/>
      <c r="R5567" s="36" t="s">
        <v>19886</v>
      </c>
      <c r="S5567" s="36" t="s">
        <v>435</v>
      </c>
      <c r="T5567" s="35" t="str">
        <f>HYPERLINK("https://miland.ru/api/getInfo/image/032f67e4-9c9d-11ed-a22e-00155d82e902")</f>
        <v>https://miland.ru/api/getInfo/image/032f67e4-9c9d-11ed-a22e-00155d82e902</v>
      </c>
      <c r="U5567" s="35"/>
      <c r="V5567" s="35" t="s">
        <v>12327</v>
      </c>
      <c r="W5567" s="35" t="s">
        <v>12310</v>
      </c>
      <c r="X5567" s="35"/>
      <c r="Y5567" s="35" t="s">
        <v>41</v>
      </c>
      <c r="Z5567" s="35"/>
      <c r="AA5567" s="35" t="str">
        <f>HYPERLINK("https://miland.ru/api/getInfo/item/032f67e4-9c9d-11ed-a22e-00155d82e902")</f>
        <v>https://miland.ru/api/getInfo/item/032f67e4-9c9d-11ed-a22e-00155d82e902</v>
      </c>
      <c r="AB5567" s="35" t="s">
        <v>50</v>
      </c>
      <c r="AC5567" s="35"/>
      <c r="AD5567" s="35"/>
      <c r="AE5567" s="52" t="s">
        <v>1251</v>
      </c>
    </row>
    <row r="5568" spans="2:31" ht="12" customHeight="1" outlineLevel="4">
      <c r="B5568" s="70" t="s">
        <v>19887</v>
      </c>
      <c r="C5568" s="70"/>
      <c r="D5568" s="70"/>
      <c r="E5568" s="70"/>
      <c r="F5568" s="70"/>
      <c r="G5568" s="70"/>
    </row>
    <row r="5569" spans="2:31" ht="12" customHeight="1" outlineLevel="5">
      <c r="B5569" s="70" t="s">
        <v>19888</v>
      </c>
      <c r="C5569" s="70"/>
      <c r="D5569" s="70"/>
      <c r="E5569" s="70"/>
      <c r="F5569" s="70"/>
      <c r="G5569" s="70"/>
    </row>
    <row r="5570" spans="2:31" s="1" customFormat="1" ht="96.3" customHeight="1" outlineLevel="6">
      <c r="B5570" s="59">
        <v>4553</v>
      </c>
      <c r="C5570" s="35" t="s">
        <v>19889</v>
      </c>
      <c r="D5570" s="73" t="s">
        <v>19890</v>
      </c>
      <c r="E5570" s="73"/>
      <c r="F5570" s="73"/>
      <c r="G5570" s="73"/>
      <c r="H5570" s="36" t="s">
        <v>19891</v>
      </c>
      <c r="I5570" s="56" t="s">
        <v>36</v>
      </c>
      <c r="J5570" s="36"/>
      <c r="K5570" s="34">
        <v>3</v>
      </c>
      <c r="L5570" s="41">
        <v>80.399999999999991</v>
      </c>
      <c r="M5570" s="11"/>
      <c r="N5570" s="36">
        <f t="shared" ref="N5570:N5577" si="312">L5570*M5570</f>
        <v>0</v>
      </c>
      <c r="O5570" s="42">
        <f>0.301*M5570</f>
        <v>0</v>
      </c>
      <c r="P5570" s="43">
        <f>0.00037*M5570</f>
        <v>0</v>
      </c>
      <c r="Q5570" s="50"/>
      <c r="R5570" s="36" t="s">
        <v>19892</v>
      </c>
      <c r="S5570" s="36" t="s">
        <v>435</v>
      </c>
      <c r="T5570" s="35" t="str">
        <f>HYPERLINK("https://miland.ru/api/getInfo/image/0d309d0f-5e6a-11ec-a20f-ac1f6b442185")</f>
        <v>https://miland.ru/api/getInfo/image/0d309d0f-5e6a-11ec-a20f-ac1f6b442185</v>
      </c>
      <c r="U5570" s="35"/>
      <c r="V5570" s="35" t="s">
        <v>12327</v>
      </c>
      <c r="W5570" s="35" t="s">
        <v>12310</v>
      </c>
      <c r="X5570" s="35"/>
      <c r="Y5570" s="35" t="s">
        <v>41</v>
      </c>
      <c r="Z5570" s="35"/>
      <c r="AA5570" s="35" t="str">
        <f>HYPERLINK("https://miland.ru/api/getInfo/item/0d309d0f-5e6a-11ec-a20f-ac1f6b442185")</f>
        <v>https://miland.ru/api/getInfo/item/0d309d0f-5e6a-11ec-a20f-ac1f6b442185</v>
      </c>
      <c r="AB5570" s="35" t="s">
        <v>50</v>
      </c>
      <c r="AC5570" s="35"/>
      <c r="AD5570" s="35"/>
      <c r="AE5570" s="52" t="s">
        <v>1251</v>
      </c>
    </row>
    <row r="5571" spans="2:31" s="1" customFormat="1" ht="96.3" customHeight="1" outlineLevel="6">
      <c r="B5571" s="59">
        <v>4554</v>
      </c>
      <c r="C5571" s="35" t="s">
        <v>19893</v>
      </c>
      <c r="D5571" s="73" t="s">
        <v>19894</v>
      </c>
      <c r="E5571" s="73"/>
      <c r="F5571" s="73"/>
      <c r="G5571" s="73"/>
      <c r="H5571" s="36" t="s">
        <v>19895</v>
      </c>
      <c r="I5571" s="56" t="s">
        <v>36</v>
      </c>
      <c r="J5571" s="36"/>
      <c r="K5571" s="34">
        <v>3</v>
      </c>
      <c r="L5571" s="41">
        <v>80.399999999999991</v>
      </c>
      <c r="M5571" s="11"/>
      <c r="N5571" s="36">
        <f t="shared" si="312"/>
        <v>0</v>
      </c>
      <c r="O5571" s="42">
        <f>0.289*M5571</f>
        <v>0</v>
      </c>
      <c r="P5571" s="43">
        <f>0.00037*M5571</f>
        <v>0</v>
      </c>
      <c r="Q5571" s="50"/>
      <c r="R5571" s="36" t="s">
        <v>19896</v>
      </c>
      <c r="S5571" s="36" t="s">
        <v>435</v>
      </c>
      <c r="T5571" s="35" t="str">
        <f>HYPERLINK("https://miland.ru/api/getInfo/image/fec1b552-5e68-11ec-a20f-ac1f6b442185")</f>
        <v>https://miland.ru/api/getInfo/image/fec1b552-5e68-11ec-a20f-ac1f6b442185</v>
      </c>
      <c r="U5571" s="35"/>
      <c r="V5571" s="35" t="s">
        <v>12327</v>
      </c>
      <c r="W5571" s="35" t="s">
        <v>12310</v>
      </c>
      <c r="X5571" s="35"/>
      <c r="Y5571" s="35" t="s">
        <v>41</v>
      </c>
      <c r="Z5571" s="35"/>
      <c r="AA5571" s="35" t="str">
        <f>HYPERLINK("https://miland.ru/api/getInfo/item/fec1b552-5e68-11ec-a20f-ac1f6b442185")</f>
        <v>https://miland.ru/api/getInfo/item/fec1b552-5e68-11ec-a20f-ac1f6b442185</v>
      </c>
      <c r="AB5571" s="35" t="s">
        <v>50</v>
      </c>
      <c r="AC5571" s="35"/>
      <c r="AD5571" s="35"/>
      <c r="AE5571" s="52" t="s">
        <v>1251</v>
      </c>
    </row>
    <row r="5572" spans="2:31" s="1" customFormat="1" ht="96.3" customHeight="1" outlineLevel="6">
      <c r="B5572" s="59">
        <v>4555</v>
      </c>
      <c r="C5572" s="35" t="s">
        <v>19897</v>
      </c>
      <c r="D5572" s="73" t="s">
        <v>19898</v>
      </c>
      <c r="E5572" s="73"/>
      <c r="F5572" s="73"/>
      <c r="G5572" s="73"/>
      <c r="H5572" s="36" t="s">
        <v>19899</v>
      </c>
      <c r="I5572" s="56" t="s">
        <v>36</v>
      </c>
      <c r="J5572" s="36"/>
      <c r="K5572" s="34">
        <v>3</v>
      </c>
      <c r="L5572" s="41">
        <v>80.399999999999991</v>
      </c>
      <c r="M5572" s="11"/>
      <c r="N5572" s="36">
        <f t="shared" si="312"/>
        <v>0</v>
      </c>
      <c r="O5572" s="42">
        <f>0.299*M5572</f>
        <v>0</v>
      </c>
      <c r="P5572" s="43">
        <f>0.00034*M5572</f>
        <v>0</v>
      </c>
      <c r="Q5572" s="50"/>
      <c r="R5572" s="36" t="s">
        <v>19900</v>
      </c>
      <c r="S5572" s="36" t="s">
        <v>435</v>
      </c>
      <c r="T5572" s="35" t="str">
        <f>HYPERLINK("https://miland.ru/api/getInfo/image/6a76af5d-5e6a-11ec-a20f-ac1f6b442185")</f>
        <v>https://miland.ru/api/getInfo/image/6a76af5d-5e6a-11ec-a20f-ac1f6b442185</v>
      </c>
      <c r="U5572" s="35"/>
      <c r="V5572" s="35" t="s">
        <v>12327</v>
      </c>
      <c r="W5572" s="35" t="s">
        <v>12310</v>
      </c>
      <c r="X5572" s="35"/>
      <c r="Y5572" s="35" t="s">
        <v>41</v>
      </c>
      <c r="Z5572" s="35"/>
      <c r="AA5572" s="35" t="str">
        <f>HYPERLINK("https://miland.ru/api/getInfo/item/6a76af5d-5e6a-11ec-a20f-ac1f6b442185")</f>
        <v>https://miland.ru/api/getInfo/item/6a76af5d-5e6a-11ec-a20f-ac1f6b442185</v>
      </c>
      <c r="AB5572" s="35" t="s">
        <v>50</v>
      </c>
      <c r="AC5572" s="35"/>
      <c r="AD5572" s="35"/>
      <c r="AE5572" s="52" t="s">
        <v>1251</v>
      </c>
    </row>
    <row r="5573" spans="2:31" s="1" customFormat="1" ht="96.3" customHeight="1" outlineLevel="6">
      <c r="B5573" s="59">
        <v>4556</v>
      </c>
      <c r="C5573" s="35" t="s">
        <v>19901</v>
      </c>
      <c r="D5573" s="73" t="s">
        <v>19902</v>
      </c>
      <c r="E5573" s="73"/>
      <c r="F5573" s="73"/>
      <c r="G5573" s="73"/>
      <c r="H5573" s="36" t="s">
        <v>19903</v>
      </c>
      <c r="I5573" s="56" t="s">
        <v>36</v>
      </c>
      <c r="J5573" s="36"/>
      <c r="K5573" s="34">
        <v>3</v>
      </c>
      <c r="L5573" s="41">
        <v>80.399999999999991</v>
      </c>
      <c r="M5573" s="11"/>
      <c r="N5573" s="36">
        <f t="shared" si="312"/>
        <v>0</v>
      </c>
      <c r="O5573" s="42">
        <f>0.288*M5573</f>
        <v>0</v>
      </c>
      <c r="P5573" s="43">
        <f>0.00034*M5573</f>
        <v>0</v>
      </c>
      <c r="Q5573" s="50"/>
      <c r="R5573" s="36" t="s">
        <v>19904</v>
      </c>
      <c r="S5573" s="36" t="s">
        <v>435</v>
      </c>
      <c r="T5573" s="35" t="str">
        <f>HYPERLINK("https://miland.ru/api/getInfo/image/7f8de529-5e68-11ec-a20f-ac1f6b442185")</f>
        <v>https://miland.ru/api/getInfo/image/7f8de529-5e68-11ec-a20f-ac1f6b442185</v>
      </c>
      <c r="U5573" s="35"/>
      <c r="V5573" s="35" t="s">
        <v>12327</v>
      </c>
      <c r="W5573" s="35" t="s">
        <v>12310</v>
      </c>
      <c r="X5573" s="35"/>
      <c r="Y5573" s="35" t="s">
        <v>41</v>
      </c>
      <c r="Z5573" s="35"/>
      <c r="AA5573" s="35" t="str">
        <f>HYPERLINK("https://miland.ru/api/getInfo/item/7f8de529-5e68-11ec-a20f-ac1f6b442185")</f>
        <v>https://miland.ru/api/getInfo/item/7f8de529-5e68-11ec-a20f-ac1f6b442185</v>
      </c>
      <c r="AB5573" s="35" t="s">
        <v>50</v>
      </c>
      <c r="AC5573" s="35"/>
      <c r="AD5573" s="35"/>
      <c r="AE5573" s="52" t="s">
        <v>1251</v>
      </c>
    </row>
    <row r="5574" spans="2:31" s="1" customFormat="1" ht="96.3" customHeight="1" outlineLevel="6">
      <c r="B5574" s="59">
        <v>4557</v>
      </c>
      <c r="C5574" s="35" t="s">
        <v>19905</v>
      </c>
      <c r="D5574" s="73" t="s">
        <v>19906</v>
      </c>
      <c r="E5574" s="73"/>
      <c r="F5574" s="73"/>
      <c r="G5574" s="73"/>
      <c r="H5574" s="36" t="s">
        <v>19907</v>
      </c>
      <c r="I5574" s="40">
        <v>59</v>
      </c>
      <c r="J5574" s="36"/>
      <c r="K5574" s="34">
        <v>3</v>
      </c>
      <c r="L5574" s="41">
        <v>80.399999999999991</v>
      </c>
      <c r="M5574" s="11"/>
      <c r="N5574" s="36">
        <f t="shared" si="312"/>
        <v>0</v>
      </c>
      <c r="O5574" s="42">
        <f>0.287*M5574</f>
        <v>0</v>
      </c>
      <c r="P5574" s="55">
        <f>0.0004*M5574</f>
        <v>0</v>
      </c>
      <c r="Q5574" s="50"/>
      <c r="R5574" s="36" t="s">
        <v>19908</v>
      </c>
      <c r="S5574" s="36" t="s">
        <v>435</v>
      </c>
      <c r="T5574" s="35" t="str">
        <f>HYPERLINK("https://miland.ru/api/getInfo/image/cfda14d2-5e69-11ec-a20f-ac1f6b442185")</f>
        <v>https://miland.ru/api/getInfo/image/cfda14d2-5e69-11ec-a20f-ac1f6b442185</v>
      </c>
      <c r="U5574" s="35"/>
      <c r="V5574" s="35" t="s">
        <v>12327</v>
      </c>
      <c r="W5574" s="35" t="s">
        <v>12310</v>
      </c>
      <c r="X5574" s="35"/>
      <c r="Y5574" s="35" t="s">
        <v>41</v>
      </c>
      <c r="Z5574" s="35"/>
      <c r="AA5574" s="35" t="str">
        <f>HYPERLINK("https://miland.ru/api/getInfo/item/cfda14d2-5e69-11ec-a20f-ac1f6b442185")</f>
        <v>https://miland.ru/api/getInfo/item/cfda14d2-5e69-11ec-a20f-ac1f6b442185</v>
      </c>
      <c r="AB5574" s="35" t="s">
        <v>50</v>
      </c>
      <c r="AC5574" s="35"/>
      <c r="AD5574" s="35"/>
      <c r="AE5574" s="52" t="s">
        <v>1251</v>
      </c>
    </row>
    <row r="5575" spans="2:31" s="1" customFormat="1" ht="96.3" customHeight="1" outlineLevel="6">
      <c r="B5575" s="59">
        <v>4558</v>
      </c>
      <c r="C5575" s="35" t="s">
        <v>19909</v>
      </c>
      <c r="D5575" s="73" t="s">
        <v>19910</v>
      </c>
      <c r="E5575" s="73"/>
      <c r="F5575" s="73"/>
      <c r="G5575" s="73"/>
      <c r="H5575" s="36" t="s">
        <v>19911</v>
      </c>
      <c r="I5575" s="56" t="s">
        <v>36</v>
      </c>
      <c r="J5575" s="36"/>
      <c r="K5575" s="34">
        <v>3</v>
      </c>
      <c r="L5575" s="41">
        <v>80.399999999999991</v>
      </c>
      <c r="M5575" s="11"/>
      <c r="N5575" s="36">
        <f t="shared" si="312"/>
        <v>0</v>
      </c>
      <c r="O5575" s="42">
        <f>0.298*M5575</f>
        <v>0</v>
      </c>
      <c r="P5575" s="55">
        <f>0.0004*M5575</f>
        <v>0</v>
      </c>
      <c r="Q5575" s="50"/>
      <c r="R5575" s="36" t="s">
        <v>19912</v>
      </c>
      <c r="S5575" s="36" t="s">
        <v>435</v>
      </c>
      <c r="T5575" s="35" t="str">
        <f>HYPERLINK("https://miland.ru/api/getInfo/image/87f635c9-5e69-11ec-a20f-ac1f6b442185")</f>
        <v>https://miland.ru/api/getInfo/image/87f635c9-5e69-11ec-a20f-ac1f6b442185</v>
      </c>
      <c r="U5575" s="35"/>
      <c r="V5575" s="35" t="s">
        <v>12327</v>
      </c>
      <c r="W5575" s="35" t="s">
        <v>12310</v>
      </c>
      <c r="X5575" s="35"/>
      <c r="Y5575" s="35" t="s">
        <v>41</v>
      </c>
      <c r="Z5575" s="35"/>
      <c r="AA5575" s="35" t="str">
        <f>HYPERLINK("https://miland.ru/api/getInfo/item/87f635c9-5e69-11ec-a20f-ac1f6b442185")</f>
        <v>https://miland.ru/api/getInfo/item/87f635c9-5e69-11ec-a20f-ac1f6b442185</v>
      </c>
      <c r="AB5575" s="35" t="s">
        <v>50</v>
      </c>
      <c r="AC5575" s="35"/>
      <c r="AD5575" s="35"/>
      <c r="AE5575" s="52" t="s">
        <v>1251</v>
      </c>
    </row>
    <row r="5576" spans="2:31" s="1" customFormat="1" ht="96.3" customHeight="1" outlineLevel="6">
      <c r="B5576" s="59">
        <v>4559</v>
      </c>
      <c r="C5576" s="35" t="s">
        <v>19913</v>
      </c>
      <c r="D5576" s="73" t="s">
        <v>19914</v>
      </c>
      <c r="E5576" s="73"/>
      <c r="F5576" s="73"/>
      <c r="G5576" s="73"/>
      <c r="H5576" s="36" t="s">
        <v>19915</v>
      </c>
      <c r="I5576" s="56" t="s">
        <v>36</v>
      </c>
      <c r="J5576" s="36"/>
      <c r="K5576" s="34">
        <v>3</v>
      </c>
      <c r="L5576" s="41">
        <v>80.399999999999991</v>
      </c>
      <c r="M5576" s="11"/>
      <c r="N5576" s="36">
        <f t="shared" si="312"/>
        <v>0</v>
      </c>
      <c r="O5576" s="42">
        <f>0.301*M5576</f>
        <v>0</v>
      </c>
      <c r="P5576" s="43">
        <f>0.00041*M5576</f>
        <v>0</v>
      </c>
      <c r="Q5576" s="50"/>
      <c r="R5576" s="36" t="s">
        <v>19916</v>
      </c>
      <c r="S5576" s="36" t="s">
        <v>435</v>
      </c>
      <c r="T5576" s="35" t="str">
        <f>HYPERLINK("https://miland.ru/api/getInfo/image/c5eac4fa-5e68-11ec-a20f-ac1f6b442185")</f>
        <v>https://miland.ru/api/getInfo/image/c5eac4fa-5e68-11ec-a20f-ac1f6b442185</v>
      </c>
      <c r="U5576" s="35"/>
      <c r="V5576" s="35" t="s">
        <v>12327</v>
      </c>
      <c r="W5576" s="35" t="s">
        <v>12310</v>
      </c>
      <c r="X5576" s="35"/>
      <c r="Y5576" s="35" t="s">
        <v>41</v>
      </c>
      <c r="Z5576" s="35"/>
      <c r="AA5576" s="35" t="str">
        <f>HYPERLINK("https://miland.ru/api/getInfo/item/c5eac4fa-5e68-11ec-a20f-ac1f6b442185")</f>
        <v>https://miland.ru/api/getInfo/item/c5eac4fa-5e68-11ec-a20f-ac1f6b442185</v>
      </c>
      <c r="AB5576" s="35" t="s">
        <v>50</v>
      </c>
      <c r="AC5576" s="35"/>
      <c r="AD5576" s="35"/>
      <c r="AE5576" s="52" t="s">
        <v>1251</v>
      </c>
    </row>
    <row r="5577" spans="2:31" s="1" customFormat="1" ht="96.3" customHeight="1" outlineLevel="6">
      <c r="B5577" s="59">
        <v>4560</v>
      </c>
      <c r="C5577" s="35" t="s">
        <v>19917</v>
      </c>
      <c r="D5577" s="73" t="s">
        <v>19918</v>
      </c>
      <c r="E5577" s="73"/>
      <c r="F5577" s="73"/>
      <c r="G5577" s="73"/>
      <c r="H5577" s="36" t="s">
        <v>19919</v>
      </c>
      <c r="I5577" s="56" t="s">
        <v>36</v>
      </c>
      <c r="J5577" s="36"/>
      <c r="K5577" s="34">
        <v>3</v>
      </c>
      <c r="L5577" s="41">
        <v>80.399999999999991</v>
      </c>
      <c r="M5577" s="11"/>
      <c r="N5577" s="36">
        <f t="shared" si="312"/>
        <v>0</v>
      </c>
      <c r="O5577" s="61">
        <f>0.3*M5577</f>
        <v>0</v>
      </c>
      <c r="P5577" s="43">
        <f>0.00038*M5577</f>
        <v>0</v>
      </c>
      <c r="Q5577" s="50"/>
      <c r="R5577" s="36" t="s">
        <v>19920</v>
      </c>
      <c r="S5577" s="36" t="s">
        <v>435</v>
      </c>
      <c r="T5577" s="35" t="str">
        <f>HYPERLINK("https://miland.ru/api/getInfo/image/3d419dae-5e6a-11ec-a20f-ac1f6b442185")</f>
        <v>https://miland.ru/api/getInfo/image/3d419dae-5e6a-11ec-a20f-ac1f6b442185</v>
      </c>
      <c r="U5577" s="35"/>
      <c r="V5577" s="35" t="s">
        <v>12327</v>
      </c>
      <c r="W5577" s="35" t="s">
        <v>12310</v>
      </c>
      <c r="X5577" s="35"/>
      <c r="Y5577" s="35" t="s">
        <v>41</v>
      </c>
      <c r="Z5577" s="35"/>
      <c r="AA5577" s="35" t="str">
        <f>HYPERLINK("https://miland.ru/api/getInfo/item/3d419dae-5e6a-11ec-a20f-ac1f6b442185")</f>
        <v>https://miland.ru/api/getInfo/item/3d419dae-5e6a-11ec-a20f-ac1f6b442185</v>
      </c>
      <c r="AB5577" s="35" t="s">
        <v>50</v>
      </c>
      <c r="AC5577" s="35"/>
      <c r="AD5577" s="35"/>
      <c r="AE5577" s="52" t="s">
        <v>1251</v>
      </c>
    </row>
    <row r="5578" spans="2:31" ht="12" customHeight="1" outlineLevel="5">
      <c r="B5578" s="70" t="s">
        <v>19921</v>
      </c>
      <c r="C5578" s="70"/>
      <c r="D5578" s="70"/>
      <c r="E5578" s="70"/>
      <c r="F5578" s="70"/>
      <c r="G5578" s="70"/>
    </row>
    <row r="5579" spans="2:31" s="1" customFormat="1" ht="96.3" customHeight="1" outlineLevel="6">
      <c r="B5579" s="59">
        <v>4561</v>
      </c>
      <c r="C5579" s="35" t="s">
        <v>19922</v>
      </c>
      <c r="D5579" s="73" t="s">
        <v>19923</v>
      </c>
      <c r="E5579" s="73"/>
      <c r="F5579" s="73"/>
      <c r="G5579" s="73"/>
      <c r="H5579" s="36" t="s">
        <v>19924</v>
      </c>
      <c r="I5579" s="56" t="s">
        <v>36</v>
      </c>
      <c r="J5579" s="36"/>
      <c r="K5579" s="34">
        <v>4</v>
      </c>
      <c r="L5579" s="41">
        <v>80.72</v>
      </c>
      <c r="M5579" s="11"/>
      <c r="N5579" s="36">
        <f>L5579*M5579</f>
        <v>0</v>
      </c>
      <c r="O5579" s="47">
        <f>0.32*M5579</f>
        <v>0</v>
      </c>
      <c r="P5579" s="43">
        <f>0.00075*M5579</f>
        <v>0</v>
      </c>
      <c r="Q5579" s="50"/>
      <c r="R5579" s="36" t="s">
        <v>19925</v>
      </c>
      <c r="S5579" s="36" t="s">
        <v>435</v>
      </c>
      <c r="T5579" s="35" t="str">
        <f>HYPERLINK("https://miland.ru/api/getInfo/image/9803fe6e-275f-11ec-a20f-ac1f6b442185")</f>
        <v>https://miland.ru/api/getInfo/image/9803fe6e-275f-11ec-a20f-ac1f6b442185</v>
      </c>
      <c r="U5579" s="35"/>
      <c r="V5579" s="35" t="s">
        <v>12327</v>
      </c>
      <c r="W5579" s="35" t="s">
        <v>12310</v>
      </c>
      <c r="X5579" s="35"/>
      <c r="Y5579" s="35" t="s">
        <v>41</v>
      </c>
      <c r="Z5579" s="35"/>
      <c r="AA5579" s="35" t="str">
        <f>HYPERLINK("https://miland.ru/api/getInfo/item/9803fe6e-275f-11ec-a20f-ac1f6b442185")</f>
        <v>https://miland.ru/api/getInfo/item/9803fe6e-275f-11ec-a20f-ac1f6b442185</v>
      </c>
      <c r="AB5579" s="35" t="s">
        <v>50</v>
      </c>
      <c r="AC5579" s="35" t="s">
        <v>19779</v>
      </c>
      <c r="AD5579" s="35"/>
      <c r="AE5579" s="52" t="s">
        <v>1251</v>
      </c>
    </row>
    <row r="5580" spans="2:31" s="1" customFormat="1" ht="96.3" customHeight="1" outlineLevel="6">
      <c r="B5580" s="59">
        <v>4562</v>
      </c>
      <c r="C5580" s="35" t="s">
        <v>19926</v>
      </c>
      <c r="D5580" s="73" t="s">
        <v>19927</v>
      </c>
      <c r="E5580" s="73"/>
      <c r="F5580" s="73"/>
      <c r="G5580" s="73"/>
      <c r="H5580" s="36" t="s">
        <v>19928</v>
      </c>
      <c r="I5580" s="56" t="s">
        <v>36</v>
      </c>
      <c r="J5580" s="36"/>
      <c r="K5580" s="34">
        <v>4</v>
      </c>
      <c r="L5580" s="41">
        <v>80.72</v>
      </c>
      <c r="M5580" s="11"/>
      <c r="N5580" s="36">
        <f>L5580*M5580</f>
        <v>0</v>
      </c>
      <c r="O5580" s="47">
        <f>0.32*M5580</f>
        <v>0</v>
      </c>
      <c r="P5580" s="43">
        <f>0.00075*M5580</f>
        <v>0</v>
      </c>
      <c r="Q5580" s="50"/>
      <c r="R5580" s="36" t="s">
        <v>19929</v>
      </c>
      <c r="S5580" s="36" t="s">
        <v>435</v>
      </c>
      <c r="T5580" s="35" t="str">
        <f>HYPERLINK("https://miland.ru/api/getInfo/image/bcab0e63-275e-11ec-a20f-ac1f6b442185")</f>
        <v>https://miland.ru/api/getInfo/image/bcab0e63-275e-11ec-a20f-ac1f6b442185</v>
      </c>
      <c r="U5580" s="35"/>
      <c r="V5580" s="35" t="s">
        <v>12327</v>
      </c>
      <c r="W5580" s="35" t="s">
        <v>12310</v>
      </c>
      <c r="X5580" s="35"/>
      <c r="Y5580" s="35" t="s">
        <v>41</v>
      </c>
      <c r="Z5580" s="35"/>
      <c r="AA5580" s="35" t="str">
        <f>HYPERLINK("https://miland.ru/api/getInfo/item/bcab0e63-275e-11ec-a20f-ac1f6b442185")</f>
        <v>https://miland.ru/api/getInfo/item/bcab0e63-275e-11ec-a20f-ac1f6b442185</v>
      </c>
      <c r="AB5580" s="35" t="s">
        <v>50</v>
      </c>
      <c r="AC5580" s="35" t="s">
        <v>19779</v>
      </c>
      <c r="AD5580" s="35"/>
      <c r="AE5580" s="52" t="s">
        <v>1251</v>
      </c>
    </row>
    <row r="5581" spans="2:31" s="1" customFormat="1" ht="96.3" customHeight="1" outlineLevel="6">
      <c r="B5581" s="59">
        <v>4563</v>
      </c>
      <c r="C5581" s="35" t="s">
        <v>19930</v>
      </c>
      <c r="D5581" s="73" t="s">
        <v>19931</v>
      </c>
      <c r="E5581" s="73"/>
      <c r="F5581" s="73"/>
      <c r="G5581" s="73"/>
      <c r="H5581" s="36" t="s">
        <v>19932</v>
      </c>
      <c r="I5581" s="40">
        <v>438</v>
      </c>
      <c r="J5581" s="36"/>
      <c r="K5581" s="34">
        <v>4</v>
      </c>
      <c r="L5581" s="41">
        <v>80.72</v>
      </c>
      <c r="M5581" s="11"/>
      <c r="N5581" s="36">
        <f>L5581*M5581</f>
        <v>0</v>
      </c>
      <c r="O5581" s="47">
        <f>0.32*M5581</f>
        <v>0</v>
      </c>
      <c r="P5581" s="43">
        <f>0.00075*M5581</f>
        <v>0</v>
      </c>
      <c r="Q5581" s="50"/>
      <c r="R5581" s="36" t="s">
        <v>19933</v>
      </c>
      <c r="S5581" s="36" t="s">
        <v>435</v>
      </c>
      <c r="T5581" s="35" t="str">
        <f>HYPERLINK("https://miland.ru/api/getInfo/image/4886bfff-275f-11ec-a20f-ac1f6b442185")</f>
        <v>https://miland.ru/api/getInfo/image/4886bfff-275f-11ec-a20f-ac1f6b442185</v>
      </c>
      <c r="U5581" s="35"/>
      <c r="V5581" s="35" t="s">
        <v>12327</v>
      </c>
      <c r="W5581" s="35" t="s">
        <v>12310</v>
      </c>
      <c r="X5581" s="35"/>
      <c r="Y5581" s="35" t="s">
        <v>41</v>
      </c>
      <c r="Z5581" s="35"/>
      <c r="AA5581" s="35" t="str">
        <f>HYPERLINK("https://miland.ru/api/getInfo/item/4886bfff-275f-11ec-a20f-ac1f6b442185")</f>
        <v>https://miland.ru/api/getInfo/item/4886bfff-275f-11ec-a20f-ac1f6b442185</v>
      </c>
      <c r="AB5581" s="35" t="s">
        <v>50</v>
      </c>
      <c r="AC5581" s="35" t="s">
        <v>19779</v>
      </c>
      <c r="AD5581" s="35"/>
      <c r="AE5581" s="52" t="s">
        <v>1251</v>
      </c>
    </row>
    <row r="5582" spans="2:31" s="1" customFormat="1" ht="96.3" customHeight="1" outlineLevel="6">
      <c r="B5582" s="59">
        <v>4564</v>
      </c>
      <c r="C5582" s="35" t="s">
        <v>19934</v>
      </c>
      <c r="D5582" s="73" t="s">
        <v>19935</v>
      </c>
      <c r="E5582" s="73"/>
      <c r="F5582" s="73"/>
      <c r="G5582" s="73"/>
      <c r="H5582" s="36" t="s">
        <v>19936</v>
      </c>
      <c r="I5582" s="56" t="s">
        <v>36</v>
      </c>
      <c r="J5582" s="36"/>
      <c r="K5582" s="34">
        <v>4</v>
      </c>
      <c r="L5582" s="41">
        <v>80.72</v>
      </c>
      <c r="M5582" s="11"/>
      <c r="N5582" s="36">
        <f>L5582*M5582</f>
        <v>0</v>
      </c>
      <c r="O5582" s="47">
        <f>0.33*M5582</f>
        <v>0</v>
      </c>
      <c r="P5582" s="55">
        <f>0.0008*M5582</f>
        <v>0</v>
      </c>
      <c r="Q5582" s="50"/>
      <c r="R5582" s="36" t="s">
        <v>19937</v>
      </c>
      <c r="S5582" s="36" t="s">
        <v>435</v>
      </c>
      <c r="T5582" s="35" t="str">
        <f>HYPERLINK("https://miland.ru/api/getInfo/image/e23cf6bf-275e-11ec-a20f-ac1f6b442185")</f>
        <v>https://miland.ru/api/getInfo/image/e23cf6bf-275e-11ec-a20f-ac1f6b442185</v>
      </c>
      <c r="U5582" s="35"/>
      <c r="V5582" s="35" t="s">
        <v>12327</v>
      </c>
      <c r="W5582" s="35" t="s">
        <v>12310</v>
      </c>
      <c r="X5582" s="35"/>
      <c r="Y5582" s="35" t="s">
        <v>41</v>
      </c>
      <c r="Z5582" s="35"/>
      <c r="AA5582" s="35" t="str">
        <f>HYPERLINK("https://miland.ru/api/getInfo/item/e23cf6bf-275e-11ec-a20f-ac1f6b442185")</f>
        <v>https://miland.ru/api/getInfo/item/e23cf6bf-275e-11ec-a20f-ac1f6b442185</v>
      </c>
      <c r="AB5582" s="35" t="s">
        <v>50</v>
      </c>
      <c r="AC5582" s="35" t="s">
        <v>19779</v>
      </c>
      <c r="AD5582" s="35"/>
      <c r="AE5582" s="52" t="s">
        <v>1251</v>
      </c>
    </row>
    <row r="5583" spans="2:31" s="1" customFormat="1" ht="96.3" customHeight="1" outlineLevel="6">
      <c r="B5583" s="59">
        <v>4565</v>
      </c>
      <c r="C5583" s="35" t="s">
        <v>19938</v>
      </c>
      <c r="D5583" s="73" t="s">
        <v>19939</v>
      </c>
      <c r="E5583" s="73"/>
      <c r="F5583" s="73"/>
      <c r="G5583" s="73"/>
      <c r="H5583" s="36" t="s">
        <v>19940</v>
      </c>
      <c r="I5583" s="40">
        <v>195</v>
      </c>
      <c r="J5583" s="36"/>
      <c r="K5583" s="34">
        <v>4</v>
      </c>
      <c r="L5583" s="41">
        <v>80.72</v>
      </c>
      <c r="M5583" s="11"/>
      <c r="N5583" s="36">
        <f>L5583*M5583</f>
        <v>0</v>
      </c>
      <c r="O5583" s="42">
        <f>0.323*M5583</f>
        <v>0</v>
      </c>
      <c r="P5583" s="43">
        <f>0.00084*M5583</f>
        <v>0</v>
      </c>
      <c r="Q5583" s="50"/>
      <c r="R5583" s="36" t="s">
        <v>19941</v>
      </c>
      <c r="S5583" s="36" t="s">
        <v>435</v>
      </c>
      <c r="T5583" s="35" t="str">
        <f>HYPERLINK("https://miland.ru/api/getInfo/image/24f573aa-275f-11ec-a20f-ac1f6b442185")</f>
        <v>https://miland.ru/api/getInfo/image/24f573aa-275f-11ec-a20f-ac1f6b442185</v>
      </c>
      <c r="U5583" s="35"/>
      <c r="V5583" s="35" t="s">
        <v>12327</v>
      </c>
      <c r="W5583" s="35" t="s">
        <v>12310</v>
      </c>
      <c r="X5583" s="35"/>
      <c r="Y5583" s="35" t="s">
        <v>41</v>
      </c>
      <c r="Z5583" s="35"/>
      <c r="AA5583" s="35" t="str">
        <f>HYPERLINK("https://miland.ru/api/getInfo/item/24f573aa-275f-11ec-a20f-ac1f6b442185")</f>
        <v>https://miland.ru/api/getInfo/item/24f573aa-275f-11ec-a20f-ac1f6b442185</v>
      </c>
      <c r="AB5583" s="35" t="s">
        <v>50</v>
      </c>
      <c r="AC5583" s="35" t="s">
        <v>19779</v>
      </c>
      <c r="AD5583" s="35"/>
      <c r="AE5583" s="52" t="s">
        <v>1251</v>
      </c>
    </row>
    <row r="5584" spans="2:31" ht="12" customHeight="1" outlineLevel="5">
      <c r="B5584" s="70" t="s">
        <v>19942</v>
      </c>
      <c r="C5584" s="70"/>
      <c r="D5584" s="70"/>
      <c r="E5584" s="70"/>
      <c r="F5584" s="70"/>
      <c r="G5584" s="70"/>
    </row>
    <row r="5585" spans="2:31" s="1" customFormat="1" ht="96.3" customHeight="1" outlineLevel="6">
      <c r="B5585" s="59">
        <v>4566</v>
      </c>
      <c r="C5585" s="35" t="s">
        <v>19943</v>
      </c>
      <c r="D5585" s="73" t="s">
        <v>19944</v>
      </c>
      <c r="E5585" s="73"/>
      <c r="F5585" s="73"/>
      <c r="G5585" s="73"/>
      <c r="H5585" s="36" t="s">
        <v>19945</v>
      </c>
      <c r="I5585" s="56" t="s">
        <v>36</v>
      </c>
      <c r="J5585" s="36"/>
      <c r="K5585" s="34">
        <v>5</v>
      </c>
      <c r="L5585" s="41">
        <v>72.040000000000006</v>
      </c>
      <c r="M5585" s="11"/>
      <c r="N5585" s="36">
        <f>L5585*M5585</f>
        <v>0</v>
      </c>
      <c r="O5585" s="42">
        <f>0.238*M5585</f>
        <v>0</v>
      </c>
      <c r="P5585" s="43">
        <f>0.00061*M5585</f>
        <v>0</v>
      </c>
      <c r="Q5585" s="50"/>
      <c r="R5585" s="36" t="s">
        <v>19946</v>
      </c>
      <c r="S5585" s="36" t="s">
        <v>435</v>
      </c>
      <c r="T5585" s="35" t="str">
        <f>HYPERLINK("https://miland.ru/api/getInfo/image/843c4e1f-9c9f-11ed-a22e-00155d82e902")</f>
        <v>https://miland.ru/api/getInfo/image/843c4e1f-9c9f-11ed-a22e-00155d82e902</v>
      </c>
      <c r="U5585" s="35"/>
      <c r="V5585" s="35" t="s">
        <v>12327</v>
      </c>
      <c r="W5585" s="35" t="s">
        <v>12310</v>
      </c>
      <c r="X5585" s="35"/>
      <c r="Y5585" s="35" t="s">
        <v>41</v>
      </c>
      <c r="Z5585" s="35"/>
      <c r="AA5585" s="35" t="str">
        <f>HYPERLINK("https://miland.ru/api/getInfo/item/843c4e1f-9c9f-11ed-a22e-00155d82e902")</f>
        <v>https://miland.ru/api/getInfo/item/843c4e1f-9c9f-11ed-a22e-00155d82e902</v>
      </c>
      <c r="AB5585" s="35" t="s">
        <v>50</v>
      </c>
      <c r="AC5585" s="35"/>
      <c r="AD5585" s="35"/>
      <c r="AE5585" s="52" t="s">
        <v>1251</v>
      </c>
    </row>
    <row r="5586" spans="2:31" s="1" customFormat="1" ht="96.3" customHeight="1" outlineLevel="6">
      <c r="B5586" s="59">
        <v>4567</v>
      </c>
      <c r="C5586" s="35" t="s">
        <v>19947</v>
      </c>
      <c r="D5586" s="73" t="s">
        <v>19948</v>
      </c>
      <c r="E5586" s="73"/>
      <c r="F5586" s="73"/>
      <c r="G5586" s="73"/>
      <c r="H5586" s="36" t="s">
        <v>19949</v>
      </c>
      <c r="I5586" s="56" t="s">
        <v>36</v>
      </c>
      <c r="J5586" s="36"/>
      <c r="K5586" s="34">
        <v>5</v>
      </c>
      <c r="L5586" s="41">
        <v>72.040000000000006</v>
      </c>
      <c r="M5586" s="11"/>
      <c r="N5586" s="36">
        <f>L5586*M5586</f>
        <v>0</v>
      </c>
      <c r="O5586" s="42">
        <f>0.235*M5586</f>
        <v>0</v>
      </c>
      <c r="P5586" s="43">
        <f>0.00058*M5586</f>
        <v>0</v>
      </c>
      <c r="Q5586" s="50"/>
      <c r="R5586" s="36" t="s">
        <v>19950</v>
      </c>
      <c r="S5586" s="36" t="s">
        <v>435</v>
      </c>
      <c r="T5586" s="35" t="str">
        <f>HYPERLINK("https://miland.ru/api/getInfo/image/015831de-9ca1-11ed-a22e-00155d82e902")</f>
        <v>https://miland.ru/api/getInfo/image/015831de-9ca1-11ed-a22e-00155d82e902</v>
      </c>
      <c r="U5586" s="35"/>
      <c r="V5586" s="35" t="s">
        <v>12327</v>
      </c>
      <c r="W5586" s="35" t="s">
        <v>12310</v>
      </c>
      <c r="X5586" s="35"/>
      <c r="Y5586" s="35" t="s">
        <v>41</v>
      </c>
      <c r="Z5586" s="35"/>
      <c r="AA5586" s="35" t="str">
        <f>HYPERLINK("https://miland.ru/api/getInfo/item/015831de-9ca1-11ed-a22e-00155d82e902")</f>
        <v>https://miland.ru/api/getInfo/item/015831de-9ca1-11ed-a22e-00155d82e902</v>
      </c>
      <c r="AB5586" s="35" t="s">
        <v>50</v>
      </c>
      <c r="AC5586" s="35"/>
      <c r="AD5586" s="35"/>
      <c r="AE5586" s="52" t="s">
        <v>1251</v>
      </c>
    </row>
    <row r="5587" spans="2:31" s="1" customFormat="1" ht="96.3" customHeight="1" outlineLevel="6">
      <c r="B5587" s="59">
        <v>4568</v>
      </c>
      <c r="C5587" s="35" t="s">
        <v>19951</v>
      </c>
      <c r="D5587" s="73" t="s">
        <v>19952</v>
      </c>
      <c r="E5587" s="73"/>
      <c r="F5587" s="73"/>
      <c r="G5587" s="73"/>
      <c r="H5587" s="36" t="s">
        <v>19953</v>
      </c>
      <c r="I5587" s="40">
        <v>456</v>
      </c>
      <c r="J5587" s="36"/>
      <c r="K5587" s="34">
        <v>5</v>
      </c>
      <c r="L5587" s="41">
        <v>72.040000000000006</v>
      </c>
      <c r="M5587" s="11"/>
      <c r="N5587" s="36">
        <f>L5587*M5587</f>
        <v>0</v>
      </c>
      <c r="O5587" s="42">
        <f>0.238*M5587</f>
        <v>0</v>
      </c>
      <c r="P5587" s="43">
        <f>0.00069*M5587</f>
        <v>0</v>
      </c>
      <c r="Q5587" s="50"/>
      <c r="R5587" s="36" t="s">
        <v>19954</v>
      </c>
      <c r="S5587" s="36" t="s">
        <v>435</v>
      </c>
      <c r="T5587" s="35" t="str">
        <f>HYPERLINK("https://miland.ru/api/getInfo/image/944e12f9-9ca2-11ed-a22e-00155d82e902")</f>
        <v>https://miland.ru/api/getInfo/image/944e12f9-9ca2-11ed-a22e-00155d82e902</v>
      </c>
      <c r="U5587" s="35"/>
      <c r="V5587" s="35" t="s">
        <v>12327</v>
      </c>
      <c r="W5587" s="35" t="s">
        <v>12310</v>
      </c>
      <c r="X5587" s="35"/>
      <c r="Y5587" s="35" t="s">
        <v>41</v>
      </c>
      <c r="Z5587" s="35"/>
      <c r="AA5587" s="35" t="str">
        <f>HYPERLINK("https://miland.ru/api/getInfo/item/944e12f9-9ca2-11ed-a22e-00155d82e902")</f>
        <v>https://miland.ru/api/getInfo/item/944e12f9-9ca2-11ed-a22e-00155d82e902</v>
      </c>
      <c r="AB5587" s="35" t="s">
        <v>50</v>
      </c>
      <c r="AC5587" s="35"/>
      <c r="AD5587" s="35"/>
      <c r="AE5587" s="52" t="s">
        <v>1251</v>
      </c>
    </row>
    <row r="5588" spans="2:31" ht="12" customHeight="1" outlineLevel="5">
      <c r="B5588" s="70" t="s">
        <v>19955</v>
      </c>
      <c r="C5588" s="70"/>
      <c r="D5588" s="70"/>
      <c r="E5588" s="70"/>
      <c r="F5588" s="70"/>
      <c r="G5588" s="70"/>
    </row>
    <row r="5589" spans="2:31" s="1" customFormat="1" ht="96.3" customHeight="1" outlineLevel="6">
      <c r="B5589" s="59">
        <v>4569</v>
      </c>
      <c r="C5589" s="35" t="s">
        <v>19956</v>
      </c>
      <c r="D5589" s="73" t="s">
        <v>19957</v>
      </c>
      <c r="E5589" s="73"/>
      <c r="F5589" s="73"/>
      <c r="G5589" s="73"/>
      <c r="H5589" s="36" t="s">
        <v>19958</v>
      </c>
      <c r="I5589" s="56" t="s">
        <v>36</v>
      </c>
      <c r="J5589" s="36"/>
      <c r="K5589" s="34">
        <v>3</v>
      </c>
      <c r="L5589" s="41">
        <v>86.52</v>
      </c>
      <c r="M5589" s="11"/>
      <c r="N5589" s="36">
        <f>L5589*M5589</f>
        <v>0</v>
      </c>
      <c r="O5589" s="47">
        <f>0.44*M5589</f>
        <v>0</v>
      </c>
      <c r="P5589" s="43">
        <f>0.00112*M5589</f>
        <v>0</v>
      </c>
      <c r="Q5589" s="50"/>
      <c r="R5589" s="36" t="s">
        <v>19959</v>
      </c>
      <c r="S5589" s="36" t="s">
        <v>435</v>
      </c>
      <c r="T5589" s="35" t="str">
        <f>HYPERLINK("https://miland.ru/api/getInfo/image/14d9956a-2679-11ec-a20f-ac1f6b442185")</f>
        <v>https://miland.ru/api/getInfo/image/14d9956a-2679-11ec-a20f-ac1f6b442185</v>
      </c>
      <c r="U5589" s="35"/>
      <c r="V5589" s="35" t="s">
        <v>12327</v>
      </c>
      <c r="W5589" s="35" t="s">
        <v>12310</v>
      </c>
      <c r="X5589" s="35"/>
      <c r="Y5589" s="35" t="s">
        <v>41</v>
      </c>
      <c r="Z5589" s="35"/>
      <c r="AA5589" s="35" t="str">
        <f>HYPERLINK("https://miland.ru/api/getInfo/item/14d9956a-2679-11ec-a20f-ac1f6b442185")</f>
        <v>https://miland.ru/api/getInfo/item/14d9956a-2679-11ec-a20f-ac1f6b442185</v>
      </c>
      <c r="AB5589" s="35" t="s">
        <v>50</v>
      </c>
      <c r="AC5589" s="35" t="s">
        <v>19779</v>
      </c>
      <c r="AD5589" s="35"/>
      <c r="AE5589" s="52" t="s">
        <v>1251</v>
      </c>
    </row>
    <row r="5590" spans="2:31" s="1" customFormat="1" ht="96.3" customHeight="1" outlineLevel="6">
      <c r="B5590" s="59">
        <v>4570</v>
      </c>
      <c r="C5590" s="35" t="s">
        <v>19960</v>
      </c>
      <c r="D5590" s="73" t="s">
        <v>19961</v>
      </c>
      <c r="E5590" s="73"/>
      <c r="F5590" s="73"/>
      <c r="G5590" s="73"/>
      <c r="H5590" s="36" t="s">
        <v>19962</v>
      </c>
      <c r="I5590" s="56" t="s">
        <v>36</v>
      </c>
      <c r="J5590" s="36"/>
      <c r="K5590" s="34">
        <v>3</v>
      </c>
      <c r="L5590" s="41">
        <v>86.52</v>
      </c>
      <c r="M5590" s="11"/>
      <c r="N5590" s="36">
        <f>L5590*M5590</f>
        <v>0</v>
      </c>
      <c r="O5590" s="47">
        <f>0.44*M5590</f>
        <v>0</v>
      </c>
      <c r="P5590" s="43">
        <f>0.00112*M5590</f>
        <v>0</v>
      </c>
      <c r="Q5590" s="50"/>
      <c r="R5590" s="36" t="s">
        <v>19963</v>
      </c>
      <c r="S5590" s="36" t="s">
        <v>435</v>
      </c>
      <c r="T5590" s="35" t="str">
        <f>HYPERLINK("https://miland.ru/api/getInfo/image/fa1c1d93-2676-11ec-a20f-ac1f6b442185")</f>
        <v>https://miland.ru/api/getInfo/image/fa1c1d93-2676-11ec-a20f-ac1f6b442185</v>
      </c>
      <c r="U5590" s="35"/>
      <c r="V5590" s="35" t="s">
        <v>12327</v>
      </c>
      <c r="W5590" s="35" t="s">
        <v>12310</v>
      </c>
      <c r="X5590" s="35"/>
      <c r="Y5590" s="35" t="s">
        <v>41</v>
      </c>
      <c r="Z5590" s="35"/>
      <c r="AA5590" s="35" t="str">
        <f>HYPERLINK("https://miland.ru/api/getInfo/item/fa1c1d93-2676-11ec-a20f-ac1f6b442185")</f>
        <v>https://miland.ru/api/getInfo/item/fa1c1d93-2676-11ec-a20f-ac1f6b442185</v>
      </c>
      <c r="AB5590" s="35" t="s">
        <v>50</v>
      </c>
      <c r="AC5590" s="35" t="s">
        <v>19779</v>
      </c>
      <c r="AD5590" s="35"/>
      <c r="AE5590" s="52" t="s">
        <v>1251</v>
      </c>
    </row>
    <row r="5591" spans="2:31" s="1" customFormat="1" ht="96.3" customHeight="1" outlineLevel="6">
      <c r="B5591" s="59">
        <v>4571</v>
      </c>
      <c r="C5591" s="35" t="s">
        <v>19964</v>
      </c>
      <c r="D5591" s="73" t="s">
        <v>19965</v>
      </c>
      <c r="E5591" s="73"/>
      <c r="F5591" s="73"/>
      <c r="G5591" s="73"/>
      <c r="H5591" s="36" t="s">
        <v>19966</v>
      </c>
      <c r="I5591" s="56" t="s">
        <v>36</v>
      </c>
      <c r="J5591" s="36"/>
      <c r="K5591" s="34">
        <v>3</v>
      </c>
      <c r="L5591" s="41">
        <v>86.52</v>
      </c>
      <c r="M5591" s="11"/>
      <c r="N5591" s="36">
        <f>L5591*M5591</f>
        <v>0</v>
      </c>
      <c r="O5591" s="47">
        <f>0.44*M5591</f>
        <v>0</v>
      </c>
      <c r="P5591" s="43">
        <f>0.00112*M5591</f>
        <v>0</v>
      </c>
      <c r="Q5591" s="50"/>
      <c r="R5591" s="36" t="s">
        <v>19967</v>
      </c>
      <c r="S5591" s="36" t="s">
        <v>435</v>
      </c>
      <c r="T5591" s="35" t="str">
        <f>HYPERLINK("https://miland.ru/api/getInfo/image/59e420b1-2679-11ec-a20f-ac1f6b442185")</f>
        <v>https://miland.ru/api/getInfo/image/59e420b1-2679-11ec-a20f-ac1f6b442185</v>
      </c>
      <c r="U5591" s="35"/>
      <c r="V5591" s="35" t="s">
        <v>12327</v>
      </c>
      <c r="W5591" s="35" t="s">
        <v>12310</v>
      </c>
      <c r="X5591" s="35"/>
      <c r="Y5591" s="35" t="s">
        <v>41</v>
      </c>
      <c r="Z5591" s="35"/>
      <c r="AA5591" s="35" t="str">
        <f>HYPERLINK("https://miland.ru/api/getInfo/item/59e420b1-2679-11ec-a20f-ac1f6b442185")</f>
        <v>https://miland.ru/api/getInfo/item/59e420b1-2679-11ec-a20f-ac1f6b442185</v>
      </c>
      <c r="AB5591" s="35" t="s">
        <v>50</v>
      </c>
      <c r="AC5591" s="35" t="s">
        <v>19779</v>
      </c>
      <c r="AD5591" s="35"/>
      <c r="AE5591" s="52" t="s">
        <v>1251</v>
      </c>
    </row>
    <row r="5592" spans="2:31" s="1" customFormat="1" ht="96.3" customHeight="1" outlineLevel="6">
      <c r="B5592" s="59">
        <v>4572</v>
      </c>
      <c r="C5592" s="35" t="s">
        <v>19968</v>
      </c>
      <c r="D5592" s="73" t="s">
        <v>19969</v>
      </c>
      <c r="E5592" s="73"/>
      <c r="F5592" s="73"/>
      <c r="G5592" s="73"/>
      <c r="H5592" s="36" t="s">
        <v>19970</v>
      </c>
      <c r="I5592" s="40">
        <v>245</v>
      </c>
      <c r="J5592" s="36"/>
      <c r="K5592" s="34">
        <v>3</v>
      </c>
      <c r="L5592" s="41">
        <v>86.52</v>
      </c>
      <c r="M5592" s="11"/>
      <c r="N5592" s="36">
        <f>L5592*M5592</f>
        <v>0</v>
      </c>
      <c r="O5592" s="47">
        <f>0.44*M5592</f>
        <v>0</v>
      </c>
      <c r="P5592" s="43">
        <f>0.00112*M5592</f>
        <v>0</v>
      </c>
      <c r="Q5592" s="50"/>
      <c r="R5592" s="36" t="s">
        <v>19971</v>
      </c>
      <c r="S5592" s="36" t="s">
        <v>435</v>
      </c>
      <c r="T5592" s="35" t="str">
        <f>HYPERLINK("https://miland.ru/api/getInfo/image/3a3dcae6-2677-11ec-a20f-ac1f6b442185")</f>
        <v>https://miland.ru/api/getInfo/image/3a3dcae6-2677-11ec-a20f-ac1f6b442185</v>
      </c>
      <c r="U5592" s="35"/>
      <c r="V5592" s="35" t="s">
        <v>12327</v>
      </c>
      <c r="W5592" s="35" t="s">
        <v>12310</v>
      </c>
      <c r="X5592" s="35"/>
      <c r="Y5592" s="35" t="s">
        <v>41</v>
      </c>
      <c r="Z5592" s="35"/>
      <c r="AA5592" s="35" t="str">
        <f>HYPERLINK("https://miland.ru/api/getInfo/item/3a3dcae6-2677-11ec-a20f-ac1f6b442185")</f>
        <v>https://miland.ru/api/getInfo/item/3a3dcae6-2677-11ec-a20f-ac1f6b442185</v>
      </c>
      <c r="AB5592" s="35" t="s">
        <v>50</v>
      </c>
      <c r="AC5592" s="35" t="s">
        <v>19779</v>
      </c>
      <c r="AD5592" s="35"/>
      <c r="AE5592" s="52" t="s">
        <v>1251</v>
      </c>
    </row>
    <row r="5593" spans="2:31" s="1" customFormat="1" ht="96.3" customHeight="1" outlineLevel="6">
      <c r="B5593" s="59">
        <v>4573</v>
      </c>
      <c r="C5593" s="35" t="s">
        <v>19972</v>
      </c>
      <c r="D5593" s="73" t="s">
        <v>19973</v>
      </c>
      <c r="E5593" s="73"/>
      <c r="F5593" s="73"/>
      <c r="G5593" s="73"/>
      <c r="H5593" s="36" t="s">
        <v>19974</v>
      </c>
      <c r="I5593" s="56" t="s">
        <v>36</v>
      </c>
      <c r="J5593" s="36"/>
      <c r="K5593" s="34">
        <v>3</v>
      </c>
      <c r="L5593" s="41">
        <v>86.52</v>
      </c>
      <c r="M5593" s="11"/>
      <c r="N5593" s="36">
        <f>L5593*M5593</f>
        <v>0</v>
      </c>
      <c r="O5593" s="42">
        <f>0.393*M5593</f>
        <v>0</v>
      </c>
      <c r="P5593" s="43">
        <f>0.00078*M5593</f>
        <v>0</v>
      </c>
      <c r="Q5593" s="50"/>
      <c r="R5593" s="36" t="s">
        <v>19975</v>
      </c>
      <c r="S5593" s="36" t="s">
        <v>435</v>
      </c>
      <c r="T5593" s="35" t="str">
        <f>HYPERLINK("https://miland.ru/api/getInfo/image/39f22180-2679-11ec-a20f-ac1f6b442185")</f>
        <v>https://miland.ru/api/getInfo/image/39f22180-2679-11ec-a20f-ac1f6b442185</v>
      </c>
      <c r="U5593" s="35"/>
      <c r="V5593" s="35" t="s">
        <v>12327</v>
      </c>
      <c r="W5593" s="35" t="s">
        <v>12310</v>
      </c>
      <c r="X5593" s="35"/>
      <c r="Y5593" s="35" t="s">
        <v>41</v>
      </c>
      <c r="Z5593" s="35"/>
      <c r="AA5593" s="35" t="str">
        <f>HYPERLINK("https://miland.ru/api/getInfo/item/39f22180-2679-11ec-a20f-ac1f6b442185")</f>
        <v>https://miland.ru/api/getInfo/item/39f22180-2679-11ec-a20f-ac1f6b442185</v>
      </c>
      <c r="AB5593" s="35" t="s">
        <v>50</v>
      </c>
      <c r="AC5593" s="35" t="s">
        <v>19779</v>
      </c>
      <c r="AD5593" s="35"/>
      <c r="AE5593" s="52" t="s">
        <v>1251</v>
      </c>
    </row>
    <row r="5594" spans="2:31" ht="12" customHeight="1" outlineLevel="5">
      <c r="B5594" s="70" t="s">
        <v>19976</v>
      </c>
      <c r="C5594" s="70"/>
      <c r="D5594" s="70"/>
      <c r="E5594" s="70"/>
      <c r="F5594" s="70"/>
      <c r="G5594" s="70"/>
    </row>
    <row r="5595" spans="2:31" ht="12" customHeight="1" outlineLevel="6">
      <c r="B5595" s="70" t="s">
        <v>19977</v>
      </c>
      <c r="C5595" s="70"/>
      <c r="D5595" s="70"/>
      <c r="E5595" s="70"/>
      <c r="F5595" s="70"/>
      <c r="G5595" s="70"/>
    </row>
    <row r="5596" spans="2:31" s="1" customFormat="1" ht="96.3" customHeight="1" outlineLevel="7">
      <c r="B5596" s="59">
        <v>4574</v>
      </c>
      <c r="C5596" s="35" t="s">
        <v>19978</v>
      </c>
      <c r="D5596" s="73" t="s">
        <v>19979</v>
      </c>
      <c r="E5596" s="73"/>
      <c r="F5596" s="73"/>
      <c r="G5596" s="73"/>
      <c r="H5596" s="36" t="s">
        <v>19980</v>
      </c>
      <c r="I5596" s="56" t="s">
        <v>36</v>
      </c>
      <c r="J5596" s="36"/>
      <c r="K5596" s="34">
        <v>4</v>
      </c>
      <c r="L5596" s="41">
        <v>62.54666666666666</v>
      </c>
      <c r="M5596" s="11"/>
      <c r="N5596" s="36">
        <f>L5596*M5596</f>
        <v>0</v>
      </c>
      <c r="O5596" s="47">
        <f>0.24*M5596</f>
        <v>0</v>
      </c>
      <c r="P5596" s="43">
        <f>0.00561*M5596</f>
        <v>0</v>
      </c>
      <c r="Q5596" s="50"/>
      <c r="R5596" s="36" t="s">
        <v>19981</v>
      </c>
      <c r="S5596" s="36" t="s">
        <v>435</v>
      </c>
      <c r="T5596" s="35" t="str">
        <f>HYPERLINK("https://miland.ru/api/getInfo/image/a2f5ec41-4d15-11ec-a20f-ac1f6b442185")</f>
        <v>https://miland.ru/api/getInfo/image/a2f5ec41-4d15-11ec-a20f-ac1f6b442185</v>
      </c>
      <c r="U5596" s="35"/>
      <c r="V5596" s="35" t="s">
        <v>12327</v>
      </c>
      <c r="W5596" s="35" t="s">
        <v>12310</v>
      </c>
      <c r="X5596" s="35"/>
      <c r="Y5596" s="35" t="s">
        <v>41</v>
      </c>
      <c r="Z5596" s="35"/>
      <c r="AA5596" s="35" t="str">
        <f>HYPERLINK("https://miland.ru/api/getInfo/item/a2f5ec41-4d15-11ec-a20f-ac1f6b442185")</f>
        <v>https://miland.ru/api/getInfo/item/a2f5ec41-4d15-11ec-a20f-ac1f6b442185</v>
      </c>
      <c r="AB5596" s="35" t="s">
        <v>50</v>
      </c>
      <c r="AC5596" s="35"/>
      <c r="AD5596" s="35"/>
      <c r="AE5596" s="52" t="s">
        <v>1251</v>
      </c>
    </row>
    <row r="5597" spans="2:31" s="1" customFormat="1" ht="96.3" customHeight="1" outlineLevel="7">
      <c r="B5597" s="59">
        <v>4575</v>
      </c>
      <c r="C5597" s="35" t="s">
        <v>19982</v>
      </c>
      <c r="D5597" s="73" t="s">
        <v>19983</v>
      </c>
      <c r="E5597" s="73"/>
      <c r="F5597" s="73"/>
      <c r="G5597" s="73"/>
      <c r="H5597" s="36" t="s">
        <v>19984</v>
      </c>
      <c r="I5597" s="56" t="s">
        <v>36</v>
      </c>
      <c r="J5597" s="36"/>
      <c r="K5597" s="34">
        <v>4</v>
      </c>
      <c r="L5597" s="41">
        <v>62.54666666666666</v>
      </c>
      <c r="M5597" s="11"/>
      <c r="N5597" s="36">
        <f>L5597*M5597</f>
        <v>0</v>
      </c>
      <c r="O5597" s="47">
        <f>0.24*M5597</f>
        <v>0</v>
      </c>
      <c r="P5597" s="43">
        <f>0.00561*M5597</f>
        <v>0</v>
      </c>
      <c r="Q5597" s="50"/>
      <c r="R5597" s="36" t="s">
        <v>19985</v>
      </c>
      <c r="S5597" s="36" t="s">
        <v>435</v>
      </c>
      <c r="T5597" s="35" t="str">
        <f>HYPERLINK("https://miland.ru/api/getInfo/image/272c2652-4d16-11ec-a20f-ac1f6b442185")</f>
        <v>https://miland.ru/api/getInfo/image/272c2652-4d16-11ec-a20f-ac1f6b442185</v>
      </c>
      <c r="U5597" s="35"/>
      <c r="V5597" s="35" t="s">
        <v>12327</v>
      </c>
      <c r="W5597" s="35" t="s">
        <v>12310</v>
      </c>
      <c r="X5597" s="35"/>
      <c r="Y5597" s="35" t="s">
        <v>41</v>
      </c>
      <c r="Z5597" s="35"/>
      <c r="AA5597" s="35" t="str">
        <f>HYPERLINK("https://miland.ru/api/getInfo/item/272c2652-4d16-11ec-a20f-ac1f6b442185")</f>
        <v>https://miland.ru/api/getInfo/item/272c2652-4d16-11ec-a20f-ac1f6b442185</v>
      </c>
      <c r="AB5597" s="35" t="s">
        <v>50</v>
      </c>
      <c r="AC5597" s="35"/>
      <c r="AD5597" s="35"/>
      <c r="AE5597" s="52" t="s">
        <v>1251</v>
      </c>
    </row>
    <row r="5598" spans="2:31" s="1" customFormat="1" ht="96.3" customHeight="1" outlineLevel="7">
      <c r="B5598" s="59">
        <v>4576</v>
      </c>
      <c r="C5598" s="35" t="s">
        <v>19986</v>
      </c>
      <c r="D5598" s="73" t="s">
        <v>19987</v>
      </c>
      <c r="E5598" s="73"/>
      <c r="F5598" s="73"/>
      <c r="G5598" s="73"/>
      <c r="H5598" s="36" t="s">
        <v>19988</v>
      </c>
      <c r="I5598" s="56" t="s">
        <v>36</v>
      </c>
      <c r="J5598" s="36"/>
      <c r="K5598" s="34">
        <v>4</v>
      </c>
      <c r="L5598" s="41">
        <v>62.54666666666666</v>
      </c>
      <c r="M5598" s="11"/>
      <c r="N5598" s="36">
        <f>L5598*M5598</f>
        <v>0</v>
      </c>
      <c r="O5598" s="47">
        <f>0.24*M5598</f>
        <v>0</v>
      </c>
      <c r="P5598" s="43">
        <f>0.00561*M5598</f>
        <v>0</v>
      </c>
      <c r="Q5598" s="50"/>
      <c r="R5598" s="36" t="s">
        <v>19989</v>
      </c>
      <c r="S5598" s="36" t="s">
        <v>435</v>
      </c>
      <c r="T5598" s="35" t="str">
        <f>HYPERLINK("https://miland.ru/api/getInfo/image/5635a41f-4d15-11ec-a20f-ac1f6b442185")</f>
        <v>https://miland.ru/api/getInfo/image/5635a41f-4d15-11ec-a20f-ac1f6b442185</v>
      </c>
      <c r="U5598" s="35"/>
      <c r="V5598" s="35" t="s">
        <v>12327</v>
      </c>
      <c r="W5598" s="35" t="s">
        <v>12310</v>
      </c>
      <c r="X5598" s="35"/>
      <c r="Y5598" s="35" t="s">
        <v>41</v>
      </c>
      <c r="Z5598" s="35"/>
      <c r="AA5598" s="35" t="str">
        <f>HYPERLINK("https://miland.ru/api/getInfo/item/5635a41f-4d15-11ec-a20f-ac1f6b442185")</f>
        <v>https://miland.ru/api/getInfo/item/5635a41f-4d15-11ec-a20f-ac1f6b442185</v>
      </c>
      <c r="AB5598" s="35" t="s">
        <v>50</v>
      </c>
      <c r="AC5598" s="35"/>
      <c r="AD5598" s="35"/>
      <c r="AE5598" s="52" t="s">
        <v>1251</v>
      </c>
    </row>
    <row r="5599" spans="2:31" s="1" customFormat="1" ht="96.3" customHeight="1" outlineLevel="7">
      <c r="B5599" s="59">
        <v>4577</v>
      </c>
      <c r="C5599" s="35" t="s">
        <v>19990</v>
      </c>
      <c r="D5599" s="73" t="s">
        <v>19991</v>
      </c>
      <c r="E5599" s="73"/>
      <c r="F5599" s="73"/>
      <c r="G5599" s="73"/>
      <c r="H5599" s="36" t="s">
        <v>19992</v>
      </c>
      <c r="I5599" s="56" t="s">
        <v>36</v>
      </c>
      <c r="J5599" s="36"/>
      <c r="K5599" s="34">
        <v>4</v>
      </c>
      <c r="L5599" s="41">
        <v>62.54666666666666</v>
      </c>
      <c r="M5599" s="11"/>
      <c r="N5599" s="36">
        <f>L5599*M5599</f>
        <v>0</v>
      </c>
      <c r="O5599" s="47">
        <f>0.24*M5599</f>
        <v>0</v>
      </c>
      <c r="P5599" s="43">
        <f>0.00561*M5599</f>
        <v>0</v>
      </c>
      <c r="Q5599" s="50"/>
      <c r="R5599" s="36" t="s">
        <v>19993</v>
      </c>
      <c r="S5599" s="36" t="s">
        <v>435</v>
      </c>
      <c r="T5599" s="35" t="str">
        <f>HYPERLINK("https://miland.ru/api/getInfo/image/e80e625e-4d15-11ec-a20f-ac1f6b442185")</f>
        <v>https://miland.ru/api/getInfo/image/e80e625e-4d15-11ec-a20f-ac1f6b442185</v>
      </c>
      <c r="U5599" s="35"/>
      <c r="V5599" s="35" t="s">
        <v>12327</v>
      </c>
      <c r="W5599" s="35" t="s">
        <v>12310</v>
      </c>
      <c r="X5599" s="35"/>
      <c r="Y5599" s="35" t="s">
        <v>41</v>
      </c>
      <c r="Z5599" s="35"/>
      <c r="AA5599" s="35" t="str">
        <f>HYPERLINK("https://miland.ru/api/getInfo/item/e80e625e-4d15-11ec-a20f-ac1f6b442185")</f>
        <v>https://miland.ru/api/getInfo/item/e80e625e-4d15-11ec-a20f-ac1f6b442185</v>
      </c>
      <c r="AB5599" s="35" t="s">
        <v>50</v>
      </c>
      <c r="AC5599" s="35"/>
      <c r="AD5599" s="35"/>
      <c r="AE5599" s="52" t="s">
        <v>1251</v>
      </c>
    </row>
    <row r="5600" spans="2:31" ht="12" customHeight="1" outlineLevel="6">
      <c r="B5600" s="70" t="s">
        <v>19994</v>
      </c>
      <c r="C5600" s="70"/>
      <c r="D5600" s="70"/>
      <c r="E5600" s="70"/>
      <c r="F5600" s="70"/>
      <c r="G5600" s="70"/>
    </row>
    <row r="5601" spans="2:31" s="1" customFormat="1" ht="96.3" customHeight="1" outlineLevel="7">
      <c r="B5601" s="59">
        <v>4578</v>
      </c>
      <c r="C5601" s="35" t="s">
        <v>19995</v>
      </c>
      <c r="D5601" s="73" t="s">
        <v>19996</v>
      </c>
      <c r="E5601" s="73"/>
      <c r="F5601" s="73"/>
      <c r="G5601" s="73"/>
      <c r="H5601" s="36" t="s">
        <v>19997</v>
      </c>
      <c r="I5601" s="56" t="s">
        <v>36</v>
      </c>
      <c r="J5601" s="36"/>
      <c r="K5601" s="34">
        <v>3</v>
      </c>
      <c r="L5601" s="41">
        <v>81.226666666666674</v>
      </c>
      <c r="M5601" s="11"/>
      <c r="N5601" s="36">
        <f>L5601*M5601</f>
        <v>0</v>
      </c>
      <c r="O5601" s="42">
        <f>0.343*M5601</f>
        <v>0</v>
      </c>
      <c r="P5601" s="43">
        <f>0.00076*M5601</f>
        <v>0</v>
      </c>
      <c r="Q5601" s="50"/>
      <c r="R5601" s="36" t="s">
        <v>19998</v>
      </c>
      <c r="S5601" s="36" t="s">
        <v>435</v>
      </c>
      <c r="T5601" s="35" t="str">
        <f>HYPERLINK("https://miland.ru/api/getInfo/image/4a908458-4d17-11ec-a20f-ac1f6b442185")</f>
        <v>https://miland.ru/api/getInfo/image/4a908458-4d17-11ec-a20f-ac1f6b442185</v>
      </c>
      <c r="U5601" s="35"/>
      <c r="V5601" s="35" t="s">
        <v>12327</v>
      </c>
      <c r="W5601" s="35" t="s">
        <v>12310</v>
      </c>
      <c r="X5601" s="35"/>
      <c r="Y5601" s="35" t="s">
        <v>41</v>
      </c>
      <c r="Z5601" s="35"/>
      <c r="AA5601" s="35" t="str">
        <f>HYPERLINK("https://miland.ru/api/getInfo/item/4a908458-4d17-11ec-a20f-ac1f6b442185")</f>
        <v>https://miland.ru/api/getInfo/item/4a908458-4d17-11ec-a20f-ac1f6b442185</v>
      </c>
      <c r="AB5601" s="35" t="s">
        <v>50</v>
      </c>
      <c r="AC5601" s="35"/>
      <c r="AD5601" s="35"/>
      <c r="AE5601" s="52" t="s">
        <v>1251</v>
      </c>
    </row>
    <row r="5602" spans="2:31" s="1" customFormat="1" ht="96.3" customHeight="1" outlineLevel="7">
      <c r="B5602" s="59">
        <v>4579</v>
      </c>
      <c r="C5602" s="35" t="s">
        <v>19999</v>
      </c>
      <c r="D5602" s="73" t="s">
        <v>20000</v>
      </c>
      <c r="E5602" s="73"/>
      <c r="F5602" s="73"/>
      <c r="G5602" s="73"/>
      <c r="H5602" s="36" t="s">
        <v>20001</v>
      </c>
      <c r="I5602" s="40">
        <v>297</v>
      </c>
      <c r="J5602" s="36"/>
      <c r="K5602" s="34">
        <v>3</v>
      </c>
      <c r="L5602" s="41">
        <v>81.226666666666674</v>
      </c>
      <c r="M5602" s="11"/>
      <c r="N5602" s="36">
        <f>L5602*M5602</f>
        <v>0</v>
      </c>
      <c r="O5602" s="47">
        <f>0.38*M5602</f>
        <v>0</v>
      </c>
      <c r="P5602" s="43">
        <f>0.00935*M5602</f>
        <v>0</v>
      </c>
      <c r="Q5602" s="50"/>
      <c r="R5602" s="36" t="s">
        <v>20002</v>
      </c>
      <c r="S5602" s="36" t="s">
        <v>435</v>
      </c>
      <c r="T5602" s="35" t="str">
        <f>HYPERLINK("https://miland.ru/api/getInfo/image/ca396b5a-4d16-11ec-a20f-ac1f6b442185")</f>
        <v>https://miland.ru/api/getInfo/image/ca396b5a-4d16-11ec-a20f-ac1f6b442185</v>
      </c>
      <c r="U5602" s="35"/>
      <c r="V5602" s="35" t="s">
        <v>12327</v>
      </c>
      <c r="W5602" s="35" t="s">
        <v>12310</v>
      </c>
      <c r="X5602" s="35"/>
      <c r="Y5602" s="35" t="s">
        <v>41</v>
      </c>
      <c r="Z5602" s="35"/>
      <c r="AA5602" s="35" t="str">
        <f>HYPERLINK("https://miland.ru/api/getInfo/item/ca396b5a-4d16-11ec-a20f-ac1f6b442185")</f>
        <v>https://miland.ru/api/getInfo/item/ca396b5a-4d16-11ec-a20f-ac1f6b442185</v>
      </c>
      <c r="AB5602" s="35" t="s">
        <v>50</v>
      </c>
      <c r="AC5602" s="35"/>
      <c r="AD5602" s="35"/>
      <c r="AE5602" s="52" t="s">
        <v>1251</v>
      </c>
    </row>
    <row r="5603" spans="2:31" s="1" customFormat="1" ht="96.3" customHeight="1" outlineLevel="7">
      <c r="B5603" s="59">
        <v>4580</v>
      </c>
      <c r="C5603" s="35" t="s">
        <v>20003</v>
      </c>
      <c r="D5603" s="73" t="s">
        <v>20004</v>
      </c>
      <c r="E5603" s="73"/>
      <c r="F5603" s="73"/>
      <c r="G5603" s="73"/>
      <c r="H5603" s="36" t="s">
        <v>20005</v>
      </c>
      <c r="I5603" s="56" t="s">
        <v>36</v>
      </c>
      <c r="J5603" s="36"/>
      <c r="K5603" s="34">
        <v>3</v>
      </c>
      <c r="L5603" s="41">
        <v>81.226666666666674</v>
      </c>
      <c r="M5603" s="11"/>
      <c r="N5603" s="36">
        <f>L5603*M5603</f>
        <v>0</v>
      </c>
      <c r="O5603" s="47">
        <f>0.38*M5603</f>
        <v>0</v>
      </c>
      <c r="P5603" s="43">
        <f>0.00935*M5603</f>
        <v>0</v>
      </c>
      <c r="Q5603" s="50"/>
      <c r="R5603" s="36" t="s">
        <v>20006</v>
      </c>
      <c r="S5603" s="36" t="s">
        <v>435</v>
      </c>
      <c r="T5603" s="35" t="str">
        <f>HYPERLINK("https://miland.ru/api/getInfo/image/8b67a60b-4d16-11ec-a20f-ac1f6b442185")</f>
        <v>https://miland.ru/api/getInfo/image/8b67a60b-4d16-11ec-a20f-ac1f6b442185</v>
      </c>
      <c r="U5603" s="35"/>
      <c r="V5603" s="35" t="s">
        <v>12327</v>
      </c>
      <c r="W5603" s="35" t="s">
        <v>12310</v>
      </c>
      <c r="X5603" s="35"/>
      <c r="Y5603" s="35" t="s">
        <v>41</v>
      </c>
      <c r="Z5603" s="35"/>
      <c r="AA5603" s="35" t="str">
        <f>HYPERLINK("https://miland.ru/api/getInfo/item/8b67a60b-4d16-11ec-a20f-ac1f6b442185")</f>
        <v>https://miland.ru/api/getInfo/item/8b67a60b-4d16-11ec-a20f-ac1f6b442185</v>
      </c>
      <c r="AB5603" s="35" t="s">
        <v>50</v>
      </c>
      <c r="AC5603" s="35"/>
      <c r="AD5603" s="35"/>
      <c r="AE5603" s="52" t="s">
        <v>1251</v>
      </c>
    </row>
    <row r="5604" spans="2:31" s="1" customFormat="1" ht="96.3" customHeight="1" outlineLevel="7">
      <c r="B5604" s="59">
        <v>4581</v>
      </c>
      <c r="C5604" s="35" t="s">
        <v>20007</v>
      </c>
      <c r="D5604" s="73" t="s">
        <v>20008</v>
      </c>
      <c r="E5604" s="73"/>
      <c r="F5604" s="73"/>
      <c r="G5604" s="73"/>
      <c r="H5604" s="36" t="s">
        <v>20009</v>
      </c>
      <c r="I5604" s="56" t="s">
        <v>36</v>
      </c>
      <c r="J5604" s="36"/>
      <c r="K5604" s="34">
        <v>3</v>
      </c>
      <c r="L5604" s="41">
        <v>81.226666666666674</v>
      </c>
      <c r="M5604" s="11"/>
      <c r="N5604" s="36">
        <f>L5604*M5604</f>
        <v>0</v>
      </c>
      <c r="O5604" s="47">
        <f>0.38*M5604</f>
        <v>0</v>
      </c>
      <c r="P5604" s="43">
        <f>0.00935*M5604</f>
        <v>0</v>
      </c>
      <c r="Q5604" s="50"/>
      <c r="R5604" s="36" t="s">
        <v>20010</v>
      </c>
      <c r="S5604" s="36" t="s">
        <v>435</v>
      </c>
      <c r="T5604" s="35" t="str">
        <f>HYPERLINK("https://miland.ru/api/getInfo/image/0ec30e6a-4d17-11ec-a20f-ac1f6b442185")</f>
        <v>https://miland.ru/api/getInfo/image/0ec30e6a-4d17-11ec-a20f-ac1f6b442185</v>
      </c>
      <c r="U5604" s="35"/>
      <c r="V5604" s="35" t="s">
        <v>12327</v>
      </c>
      <c r="W5604" s="35" t="s">
        <v>12310</v>
      </c>
      <c r="X5604" s="35"/>
      <c r="Y5604" s="35" t="s">
        <v>41</v>
      </c>
      <c r="Z5604" s="35"/>
      <c r="AA5604" s="35" t="str">
        <f>HYPERLINK("https://miland.ru/api/getInfo/item/0ec30e6a-4d17-11ec-a20f-ac1f6b442185")</f>
        <v>https://miland.ru/api/getInfo/item/0ec30e6a-4d17-11ec-a20f-ac1f6b442185</v>
      </c>
      <c r="AB5604" s="35" t="s">
        <v>50</v>
      </c>
      <c r="AC5604" s="35"/>
      <c r="AD5604" s="35"/>
      <c r="AE5604" s="52" t="s">
        <v>1251</v>
      </c>
    </row>
    <row r="5605" spans="2:31" ht="12" customHeight="1" outlineLevel="5">
      <c r="B5605" s="70" t="s">
        <v>20011</v>
      </c>
      <c r="C5605" s="70"/>
      <c r="D5605" s="70"/>
      <c r="E5605" s="70"/>
      <c r="F5605" s="70"/>
      <c r="G5605" s="70"/>
    </row>
    <row r="5606" spans="2:31" ht="12" customHeight="1" outlineLevel="6">
      <c r="B5606" s="70" t="s">
        <v>19977</v>
      </c>
      <c r="C5606" s="70"/>
      <c r="D5606" s="70"/>
      <c r="E5606" s="70"/>
      <c r="F5606" s="70"/>
      <c r="G5606" s="70"/>
    </row>
    <row r="5607" spans="2:31" s="1" customFormat="1" ht="96.3" customHeight="1" outlineLevel="7">
      <c r="B5607" s="59">
        <v>4582</v>
      </c>
      <c r="C5607" s="35" t="s">
        <v>20012</v>
      </c>
      <c r="D5607" s="73" t="s">
        <v>20013</v>
      </c>
      <c r="E5607" s="73"/>
      <c r="F5607" s="73"/>
      <c r="G5607" s="73"/>
      <c r="H5607" s="36" t="s">
        <v>20014</v>
      </c>
      <c r="I5607" s="56" t="s">
        <v>36</v>
      </c>
      <c r="J5607" s="36"/>
      <c r="K5607" s="34">
        <v>4</v>
      </c>
      <c r="L5607" s="41">
        <v>67.426666666666662</v>
      </c>
      <c r="M5607" s="11"/>
      <c r="N5607" s="36">
        <f>L5607*M5607</f>
        <v>0</v>
      </c>
      <c r="O5607" s="42">
        <f>0.238*M5607</f>
        <v>0</v>
      </c>
      <c r="P5607" s="43">
        <f>0.00062*M5607</f>
        <v>0</v>
      </c>
      <c r="Q5607" s="50"/>
      <c r="R5607" s="36" t="s">
        <v>20015</v>
      </c>
      <c r="S5607" s="36" t="s">
        <v>435</v>
      </c>
      <c r="T5607" s="35" t="str">
        <f>HYPERLINK("https://miland.ru/api/getInfo/image/5136339a-9c9a-11ed-a22e-00155d82e902")</f>
        <v>https://miland.ru/api/getInfo/image/5136339a-9c9a-11ed-a22e-00155d82e902</v>
      </c>
      <c r="U5607" s="35"/>
      <c r="V5607" s="35" t="s">
        <v>12327</v>
      </c>
      <c r="W5607" s="35" t="s">
        <v>12310</v>
      </c>
      <c r="X5607" s="35"/>
      <c r="Y5607" s="35" t="s">
        <v>41</v>
      </c>
      <c r="Z5607" s="35"/>
      <c r="AA5607" s="35" t="str">
        <f>HYPERLINK("https://miland.ru/api/getInfo/item/5136339a-9c9a-11ed-a22e-00155d82e902")</f>
        <v>https://miland.ru/api/getInfo/item/5136339a-9c9a-11ed-a22e-00155d82e902</v>
      </c>
      <c r="AB5607" s="35" t="s">
        <v>50</v>
      </c>
      <c r="AC5607" s="35"/>
      <c r="AD5607" s="35"/>
      <c r="AE5607" s="52" t="s">
        <v>1251</v>
      </c>
    </row>
    <row r="5608" spans="2:31" s="1" customFormat="1" ht="96.3" customHeight="1" outlineLevel="7">
      <c r="B5608" s="59">
        <v>4583</v>
      </c>
      <c r="C5608" s="35" t="s">
        <v>20016</v>
      </c>
      <c r="D5608" s="73" t="s">
        <v>20017</v>
      </c>
      <c r="E5608" s="73"/>
      <c r="F5608" s="73"/>
      <c r="G5608" s="73"/>
      <c r="H5608" s="36" t="s">
        <v>20018</v>
      </c>
      <c r="I5608" s="56" t="s">
        <v>36</v>
      </c>
      <c r="J5608" s="36"/>
      <c r="K5608" s="34">
        <v>4</v>
      </c>
      <c r="L5608" s="41">
        <v>67.426666666666662</v>
      </c>
      <c r="M5608" s="11"/>
      <c r="N5608" s="36">
        <f>L5608*M5608</f>
        <v>0</v>
      </c>
      <c r="O5608" s="42">
        <f>0.237*M5608</f>
        <v>0</v>
      </c>
      <c r="P5608" s="43">
        <f>0.00063*M5608</f>
        <v>0</v>
      </c>
      <c r="Q5608" s="50"/>
      <c r="R5608" s="36" t="s">
        <v>20019</v>
      </c>
      <c r="S5608" s="36" t="s">
        <v>435</v>
      </c>
      <c r="T5608" s="35" t="str">
        <f>HYPERLINK("https://miland.ru/api/getInfo/image/153e54b6-9c9a-11ed-a22e-00155d82e902")</f>
        <v>https://miland.ru/api/getInfo/image/153e54b6-9c9a-11ed-a22e-00155d82e902</v>
      </c>
      <c r="U5608" s="35"/>
      <c r="V5608" s="35" t="s">
        <v>12327</v>
      </c>
      <c r="W5608" s="35" t="s">
        <v>12310</v>
      </c>
      <c r="X5608" s="35"/>
      <c r="Y5608" s="35" t="s">
        <v>41</v>
      </c>
      <c r="Z5608" s="35"/>
      <c r="AA5608" s="35" t="str">
        <f>HYPERLINK("https://miland.ru/api/getInfo/item/153e54b6-9c9a-11ed-a22e-00155d82e902")</f>
        <v>https://miland.ru/api/getInfo/item/153e54b6-9c9a-11ed-a22e-00155d82e902</v>
      </c>
      <c r="AB5608" s="35" t="s">
        <v>50</v>
      </c>
      <c r="AC5608" s="35"/>
      <c r="AD5608" s="35"/>
      <c r="AE5608" s="52" t="s">
        <v>1251</v>
      </c>
    </row>
    <row r="5609" spans="2:31" s="1" customFormat="1" ht="96.3" customHeight="1" outlineLevel="7">
      <c r="B5609" s="59">
        <v>4584</v>
      </c>
      <c r="C5609" s="35" t="s">
        <v>20020</v>
      </c>
      <c r="D5609" s="73" t="s">
        <v>20021</v>
      </c>
      <c r="E5609" s="73"/>
      <c r="F5609" s="73"/>
      <c r="G5609" s="73"/>
      <c r="H5609" s="36" t="s">
        <v>20022</v>
      </c>
      <c r="I5609" s="56" t="s">
        <v>36</v>
      </c>
      <c r="J5609" s="36"/>
      <c r="K5609" s="34">
        <v>4</v>
      </c>
      <c r="L5609" s="41">
        <v>67.426666666666662</v>
      </c>
      <c r="M5609" s="11"/>
      <c r="N5609" s="36">
        <f>L5609*M5609</f>
        <v>0</v>
      </c>
      <c r="O5609" s="42">
        <f>0.247*M5609</f>
        <v>0</v>
      </c>
      <c r="P5609" s="43">
        <f>0.00065*M5609</f>
        <v>0</v>
      </c>
      <c r="Q5609" s="50"/>
      <c r="R5609" s="36" t="s">
        <v>20023</v>
      </c>
      <c r="S5609" s="36" t="s">
        <v>435</v>
      </c>
      <c r="T5609" s="35" t="str">
        <f>HYPERLINK("https://miland.ru/api/getInfo/image/8a1b493c-9c9a-11ed-a22e-00155d82e902")</f>
        <v>https://miland.ru/api/getInfo/image/8a1b493c-9c9a-11ed-a22e-00155d82e902</v>
      </c>
      <c r="U5609" s="35"/>
      <c r="V5609" s="35" t="s">
        <v>12327</v>
      </c>
      <c r="W5609" s="35" t="s">
        <v>12310</v>
      </c>
      <c r="X5609" s="35"/>
      <c r="Y5609" s="35" t="s">
        <v>41</v>
      </c>
      <c r="Z5609" s="35"/>
      <c r="AA5609" s="35" t="str">
        <f>HYPERLINK("https://miland.ru/api/getInfo/item/8a1b493c-9c9a-11ed-a22e-00155d82e902")</f>
        <v>https://miland.ru/api/getInfo/item/8a1b493c-9c9a-11ed-a22e-00155d82e902</v>
      </c>
      <c r="AB5609" s="35" t="s">
        <v>50</v>
      </c>
      <c r="AC5609" s="35"/>
      <c r="AD5609" s="35"/>
      <c r="AE5609" s="52" t="s">
        <v>1251</v>
      </c>
    </row>
    <row r="5610" spans="2:31" ht="12" customHeight="1" outlineLevel="6">
      <c r="B5610" s="70" t="s">
        <v>19994</v>
      </c>
      <c r="C5610" s="70"/>
      <c r="D5610" s="70"/>
      <c r="E5610" s="70"/>
      <c r="F5610" s="70"/>
      <c r="G5610" s="70"/>
    </row>
    <row r="5611" spans="2:31" s="1" customFormat="1" ht="96.3" customHeight="1" outlineLevel="7">
      <c r="B5611" s="59">
        <v>4585</v>
      </c>
      <c r="C5611" s="35" t="s">
        <v>20024</v>
      </c>
      <c r="D5611" s="73" t="s">
        <v>20025</v>
      </c>
      <c r="E5611" s="73"/>
      <c r="F5611" s="73"/>
      <c r="G5611" s="73"/>
      <c r="H5611" s="36" t="s">
        <v>20026</v>
      </c>
      <c r="I5611" s="56" t="s">
        <v>36</v>
      </c>
      <c r="J5611" s="36"/>
      <c r="K5611" s="34">
        <v>3</v>
      </c>
      <c r="L5611" s="41">
        <v>87.826666666666668</v>
      </c>
      <c r="M5611" s="11"/>
      <c r="N5611" s="36">
        <f>L5611*M5611</f>
        <v>0</v>
      </c>
      <c r="O5611" s="42">
        <f>0.391*M5611</f>
        <v>0</v>
      </c>
      <c r="P5611" s="55">
        <f>0.0008*M5611</f>
        <v>0</v>
      </c>
      <c r="Q5611" s="50"/>
      <c r="R5611" s="36" t="s">
        <v>20027</v>
      </c>
      <c r="S5611" s="36" t="s">
        <v>435</v>
      </c>
      <c r="T5611" s="35" t="str">
        <f>HYPERLINK("https://miland.ru/api/getInfo/image/513d603c-9c94-11ed-a22e-00155d82e902")</f>
        <v>https://miland.ru/api/getInfo/image/513d603c-9c94-11ed-a22e-00155d82e902</v>
      </c>
      <c r="U5611" s="35"/>
      <c r="V5611" s="35" t="s">
        <v>12327</v>
      </c>
      <c r="W5611" s="35" t="s">
        <v>12310</v>
      </c>
      <c r="X5611" s="35"/>
      <c r="Y5611" s="35" t="s">
        <v>41</v>
      </c>
      <c r="Z5611" s="35"/>
      <c r="AA5611" s="35" t="str">
        <f>HYPERLINK("https://miland.ru/api/getInfo/item/513d603c-9c94-11ed-a22e-00155d82e902")</f>
        <v>https://miland.ru/api/getInfo/item/513d603c-9c94-11ed-a22e-00155d82e902</v>
      </c>
      <c r="AB5611" s="35" t="s">
        <v>50</v>
      </c>
      <c r="AC5611" s="35"/>
      <c r="AD5611" s="35"/>
      <c r="AE5611" s="52" t="s">
        <v>1251</v>
      </c>
    </row>
    <row r="5612" spans="2:31" s="1" customFormat="1" ht="96.3" customHeight="1" outlineLevel="7">
      <c r="B5612" s="59">
        <v>4586</v>
      </c>
      <c r="C5612" s="35" t="s">
        <v>20028</v>
      </c>
      <c r="D5612" s="73" t="s">
        <v>20029</v>
      </c>
      <c r="E5612" s="73"/>
      <c r="F5612" s="73"/>
      <c r="G5612" s="73"/>
      <c r="H5612" s="36" t="s">
        <v>20030</v>
      </c>
      <c r="I5612" s="56" t="s">
        <v>36</v>
      </c>
      <c r="J5612" s="36"/>
      <c r="K5612" s="34">
        <v>3</v>
      </c>
      <c r="L5612" s="41">
        <v>87.826666666666668</v>
      </c>
      <c r="M5612" s="11"/>
      <c r="N5612" s="36">
        <f>L5612*M5612</f>
        <v>0</v>
      </c>
      <c r="O5612" s="42">
        <f>0.376*M5612</f>
        <v>0</v>
      </c>
      <c r="P5612" s="43">
        <f>0.00113*M5612</f>
        <v>0</v>
      </c>
      <c r="Q5612" s="50"/>
      <c r="R5612" s="36" t="s">
        <v>20031</v>
      </c>
      <c r="S5612" s="36" t="s">
        <v>435</v>
      </c>
      <c r="T5612" s="35" t="str">
        <f>HYPERLINK("https://miland.ru/api/getInfo/image/ce0fe6b9-9c93-11ed-a22e-00155d82e902")</f>
        <v>https://miland.ru/api/getInfo/image/ce0fe6b9-9c93-11ed-a22e-00155d82e902</v>
      </c>
      <c r="U5612" s="35"/>
      <c r="V5612" s="35" t="s">
        <v>12327</v>
      </c>
      <c r="W5612" s="35" t="s">
        <v>12310</v>
      </c>
      <c r="X5612" s="35"/>
      <c r="Y5612" s="35" t="s">
        <v>41</v>
      </c>
      <c r="Z5612" s="35"/>
      <c r="AA5612" s="35" t="str">
        <f>HYPERLINK("https://miland.ru/api/getInfo/item/ce0fe6b9-9c93-11ed-a22e-00155d82e902")</f>
        <v>https://miland.ru/api/getInfo/item/ce0fe6b9-9c93-11ed-a22e-00155d82e902</v>
      </c>
      <c r="AB5612" s="35" t="s">
        <v>50</v>
      </c>
      <c r="AC5612" s="35"/>
      <c r="AD5612" s="35"/>
      <c r="AE5612" s="52" t="s">
        <v>1251</v>
      </c>
    </row>
    <row r="5613" spans="2:31" ht="12" customHeight="1" outlineLevel="5">
      <c r="B5613" s="70" t="s">
        <v>20032</v>
      </c>
      <c r="C5613" s="70"/>
      <c r="D5613" s="70"/>
      <c r="E5613" s="70"/>
      <c r="F5613" s="70"/>
      <c r="G5613" s="70"/>
    </row>
    <row r="5614" spans="2:31" s="1" customFormat="1" ht="96.3" customHeight="1" outlineLevel="6">
      <c r="B5614" s="59">
        <v>4587</v>
      </c>
      <c r="C5614" s="35" t="s">
        <v>20033</v>
      </c>
      <c r="D5614" s="73" t="s">
        <v>20034</v>
      </c>
      <c r="E5614" s="73"/>
      <c r="F5614" s="73"/>
      <c r="G5614" s="73"/>
      <c r="H5614" s="36" t="s">
        <v>20035</v>
      </c>
      <c r="I5614" s="40">
        <v>354</v>
      </c>
      <c r="J5614" s="36"/>
      <c r="K5614" s="34">
        <v>4</v>
      </c>
      <c r="L5614" s="41">
        <v>79.48</v>
      </c>
      <c r="M5614" s="11"/>
      <c r="N5614" s="36">
        <f t="shared" ref="N5614:N5619" si="313">L5614*M5614</f>
        <v>0</v>
      </c>
      <c r="O5614" s="47">
        <f t="shared" ref="O5614:O5619" si="314">0.35*M5614</f>
        <v>0</v>
      </c>
      <c r="P5614" s="55">
        <f t="shared" ref="P5614:P5619" si="315">0.0006*M5614</f>
        <v>0</v>
      </c>
      <c r="Q5614" s="50"/>
      <c r="R5614" s="36" t="s">
        <v>20036</v>
      </c>
      <c r="S5614" s="36" t="s">
        <v>435</v>
      </c>
      <c r="T5614" s="35" t="str">
        <f>HYPERLINK("https://miland.ru/api/getInfo/image/7537f3cf-6333-11ec-a20f-ac1f6b442185")</f>
        <v>https://miland.ru/api/getInfo/image/7537f3cf-6333-11ec-a20f-ac1f6b442185</v>
      </c>
      <c r="U5614" s="35"/>
      <c r="V5614" s="35" t="s">
        <v>12327</v>
      </c>
      <c r="W5614" s="35" t="s">
        <v>12310</v>
      </c>
      <c r="X5614" s="35"/>
      <c r="Y5614" s="35" t="s">
        <v>41</v>
      </c>
      <c r="Z5614" s="35"/>
      <c r="AA5614" s="35" t="str">
        <f>HYPERLINK("https://miland.ru/api/getInfo/item/7537f3cf-6333-11ec-a20f-ac1f6b442185")</f>
        <v>https://miland.ru/api/getInfo/item/7537f3cf-6333-11ec-a20f-ac1f6b442185</v>
      </c>
      <c r="AB5614" s="35" t="s">
        <v>50</v>
      </c>
      <c r="AC5614" s="35"/>
      <c r="AD5614" s="35"/>
      <c r="AE5614" s="52" t="s">
        <v>1251</v>
      </c>
    </row>
    <row r="5615" spans="2:31" s="1" customFormat="1" ht="96.3" customHeight="1" outlineLevel="6">
      <c r="B5615" s="59">
        <v>4588</v>
      </c>
      <c r="C5615" s="35" t="s">
        <v>20037</v>
      </c>
      <c r="D5615" s="73" t="s">
        <v>20038</v>
      </c>
      <c r="E5615" s="73"/>
      <c r="F5615" s="73"/>
      <c r="G5615" s="73"/>
      <c r="H5615" s="36" t="s">
        <v>20039</v>
      </c>
      <c r="I5615" s="40">
        <v>50</v>
      </c>
      <c r="J5615" s="36"/>
      <c r="K5615" s="34">
        <v>4</v>
      </c>
      <c r="L5615" s="41">
        <v>79.48</v>
      </c>
      <c r="M5615" s="11"/>
      <c r="N5615" s="36">
        <f t="shared" si="313"/>
        <v>0</v>
      </c>
      <c r="O5615" s="47">
        <f t="shared" si="314"/>
        <v>0</v>
      </c>
      <c r="P5615" s="55">
        <f t="shared" si="315"/>
        <v>0</v>
      </c>
      <c r="Q5615" s="50"/>
      <c r="R5615" s="36" t="s">
        <v>20040</v>
      </c>
      <c r="S5615" s="36" t="s">
        <v>435</v>
      </c>
      <c r="T5615" s="35" t="str">
        <f>HYPERLINK("https://miland.ru/api/getInfo/image/58f9fcd1-6332-11ec-a20f-ac1f6b442185")</f>
        <v>https://miland.ru/api/getInfo/image/58f9fcd1-6332-11ec-a20f-ac1f6b442185</v>
      </c>
      <c r="U5615" s="35"/>
      <c r="V5615" s="35" t="s">
        <v>12327</v>
      </c>
      <c r="W5615" s="35" t="s">
        <v>12310</v>
      </c>
      <c r="X5615" s="35"/>
      <c r="Y5615" s="35" t="s">
        <v>41</v>
      </c>
      <c r="Z5615" s="35"/>
      <c r="AA5615" s="35" t="str">
        <f>HYPERLINK("https://miland.ru/api/getInfo/item/58f9fcd1-6332-11ec-a20f-ac1f6b442185")</f>
        <v>https://miland.ru/api/getInfo/item/58f9fcd1-6332-11ec-a20f-ac1f6b442185</v>
      </c>
      <c r="AB5615" s="35" t="s">
        <v>50</v>
      </c>
      <c r="AC5615" s="35"/>
      <c r="AD5615" s="35"/>
      <c r="AE5615" s="52" t="s">
        <v>1251</v>
      </c>
    </row>
    <row r="5616" spans="2:31" s="1" customFormat="1" ht="96.3" customHeight="1" outlineLevel="6">
      <c r="B5616" s="59">
        <v>4589</v>
      </c>
      <c r="C5616" s="35" t="s">
        <v>20041</v>
      </c>
      <c r="D5616" s="73" t="s">
        <v>20042</v>
      </c>
      <c r="E5616" s="73"/>
      <c r="F5616" s="73"/>
      <c r="G5616" s="73"/>
      <c r="H5616" s="36" t="s">
        <v>20043</v>
      </c>
      <c r="I5616" s="40">
        <v>463</v>
      </c>
      <c r="J5616" s="36"/>
      <c r="K5616" s="34">
        <v>4</v>
      </c>
      <c r="L5616" s="41">
        <v>79.48</v>
      </c>
      <c r="M5616" s="11"/>
      <c r="N5616" s="36">
        <f t="shared" si="313"/>
        <v>0</v>
      </c>
      <c r="O5616" s="47">
        <f t="shared" si="314"/>
        <v>0</v>
      </c>
      <c r="P5616" s="55">
        <f t="shared" si="315"/>
        <v>0</v>
      </c>
      <c r="Q5616" s="50"/>
      <c r="R5616" s="36" t="s">
        <v>20044</v>
      </c>
      <c r="S5616" s="36" t="s">
        <v>435</v>
      </c>
      <c r="T5616" s="35" t="str">
        <f>HYPERLINK("https://miland.ru/api/getInfo/image/b71be511-6332-11ec-a20f-ac1f6b442185")</f>
        <v>https://miland.ru/api/getInfo/image/b71be511-6332-11ec-a20f-ac1f6b442185</v>
      </c>
      <c r="U5616" s="35"/>
      <c r="V5616" s="35" t="s">
        <v>12327</v>
      </c>
      <c r="W5616" s="35" t="s">
        <v>12310</v>
      </c>
      <c r="X5616" s="35"/>
      <c r="Y5616" s="35" t="s">
        <v>41</v>
      </c>
      <c r="Z5616" s="35"/>
      <c r="AA5616" s="35" t="str">
        <f>HYPERLINK("https://miland.ru/api/getInfo/item/b71be511-6332-11ec-a20f-ac1f6b442185")</f>
        <v>https://miland.ru/api/getInfo/item/b71be511-6332-11ec-a20f-ac1f6b442185</v>
      </c>
      <c r="AB5616" s="35" t="s">
        <v>50</v>
      </c>
      <c r="AC5616" s="35"/>
      <c r="AD5616" s="35"/>
      <c r="AE5616" s="52" t="s">
        <v>1251</v>
      </c>
    </row>
    <row r="5617" spans="2:31" s="1" customFormat="1" ht="96.3" customHeight="1" outlineLevel="6">
      <c r="B5617" s="59">
        <v>4590</v>
      </c>
      <c r="C5617" s="35" t="s">
        <v>20045</v>
      </c>
      <c r="D5617" s="73" t="s">
        <v>20046</v>
      </c>
      <c r="E5617" s="73"/>
      <c r="F5617" s="73"/>
      <c r="G5617" s="73"/>
      <c r="H5617" s="36" t="s">
        <v>20047</v>
      </c>
      <c r="I5617" s="40">
        <v>349</v>
      </c>
      <c r="J5617" s="36"/>
      <c r="K5617" s="34">
        <v>4</v>
      </c>
      <c r="L5617" s="41">
        <v>79.48</v>
      </c>
      <c r="M5617" s="11"/>
      <c r="N5617" s="36">
        <f t="shared" si="313"/>
        <v>0</v>
      </c>
      <c r="O5617" s="47">
        <f t="shared" si="314"/>
        <v>0</v>
      </c>
      <c r="P5617" s="55">
        <f t="shared" si="315"/>
        <v>0</v>
      </c>
      <c r="Q5617" s="50"/>
      <c r="R5617" s="36" t="s">
        <v>20048</v>
      </c>
      <c r="S5617" s="36" t="s">
        <v>435</v>
      </c>
      <c r="T5617" s="35" t="str">
        <f>HYPERLINK("https://miland.ru/api/getInfo/image/357742b2-6333-11ec-a20f-ac1f6b442185")</f>
        <v>https://miland.ru/api/getInfo/image/357742b2-6333-11ec-a20f-ac1f6b442185</v>
      </c>
      <c r="U5617" s="35"/>
      <c r="V5617" s="35" t="s">
        <v>12327</v>
      </c>
      <c r="W5617" s="35" t="s">
        <v>12310</v>
      </c>
      <c r="X5617" s="35"/>
      <c r="Y5617" s="35" t="s">
        <v>41</v>
      </c>
      <c r="Z5617" s="35"/>
      <c r="AA5617" s="35" t="str">
        <f>HYPERLINK("https://miland.ru/api/getInfo/item/357742b2-6333-11ec-a20f-ac1f6b442185")</f>
        <v>https://miland.ru/api/getInfo/item/357742b2-6333-11ec-a20f-ac1f6b442185</v>
      </c>
      <c r="AB5617" s="35" t="s">
        <v>50</v>
      </c>
      <c r="AC5617" s="35"/>
      <c r="AD5617" s="35"/>
      <c r="AE5617" s="52" t="s">
        <v>1251</v>
      </c>
    </row>
    <row r="5618" spans="2:31" s="1" customFormat="1" ht="96.3" customHeight="1" outlineLevel="6">
      <c r="B5618" s="59">
        <v>4591</v>
      </c>
      <c r="C5618" s="35" t="s">
        <v>20049</v>
      </c>
      <c r="D5618" s="73" t="s">
        <v>20050</v>
      </c>
      <c r="E5618" s="73"/>
      <c r="F5618" s="73"/>
      <c r="G5618" s="73"/>
      <c r="H5618" s="36" t="s">
        <v>20051</v>
      </c>
      <c r="I5618" s="56" t="s">
        <v>36</v>
      </c>
      <c r="J5618" s="36"/>
      <c r="K5618" s="34">
        <v>4</v>
      </c>
      <c r="L5618" s="41">
        <v>79.48</v>
      </c>
      <c r="M5618" s="11"/>
      <c r="N5618" s="36">
        <f t="shared" si="313"/>
        <v>0</v>
      </c>
      <c r="O5618" s="47">
        <f t="shared" si="314"/>
        <v>0</v>
      </c>
      <c r="P5618" s="55">
        <f t="shared" si="315"/>
        <v>0</v>
      </c>
      <c r="Q5618" s="50"/>
      <c r="R5618" s="36" t="s">
        <v>20052</v>
      </c>
      <c r="S5618" s="36" t="s">
        <v>435</v>
      </c>
      <c r="T5618" s="35" t="str">
        <f>HYPERLINK("https://miland.ru/api/getInfo/image/bc0047e5-6333-11ec-a20f-ac1f6b442185")</f>
        <v>https://miland.ru/api/getInfo/image/bc0047e5-6333-11ec-a20f-ac1f6b442185</v>
      </c>
      <c r="U5618" s="35"/>
      <c r="V5618" s="35" t="s">
        <v>12327</v>
      </c>
      <c r="W5618" s="35" t="s">
        <v>12310</v>
      </c>
      <c r="X5618" s="35"/>
      <c r="Y5618" s="35" t="s">
        <v>41</v>
      </c>
      <c r="Z5618" s="35"/>
      <c r="AA5618" s="35" t="str">
        <f>HYPERLINK("https://miland.ru/api/getInfo/item/bc0047e5-6333-11ec-a20f-ac1f6b442185")</f>
        <v>https://miland.ru/api/getInfo/item/bc0047e5-6333-11ec-a20f-ac1f6b442185</v>
      </c>
      <c r="AB5618" s="35" t="s">
        <v>50</v>
      </c>
      <c r="AC5618" s="35"/>
      <c r="AD5618" s="35"/>
      <c r="AE5618" s="52" t="s">
        <v>1251</v>
      </c>
    </row>
    <row r="5619" spans="2:31" s="1" customFormat="1" ht="96.3" customHeight="1" outlineLevel="6">
      <c r="B5619" s="59">
        <v>4592</v>
      </c>
      <c r="C5619" s="35" t="s">
        <v>20053</v>
      </c>
      <c r="D5619" s="73" t="s">
        <v>20054</v>
      </c>
      <c r="E5619" s="73"/>
      <c r="F5619" s="73"/>
      <c r="G5619" s="73"/>
      <c r="H5619" s="36" t="s">
        <v>20055</v>
      </c>
      <c r="I5619" s="56" t="s">
        <v>36</v>
      </c>
      <c r="J5619" s="36"/>
      <c r="K5619" s="34">
        <v>4</v>
      </c>
      <c r="L5619" s="41">
        <v>79.48</v>
      </c>
      <c r="M5619" s="11"/>
      <c r="N5619" s="36">
        <f t="shared" si="313"/>
        <v>0</v>
      </c>
      <c r="O5619" s="47">
        <f t="shared" si="314"/>
        <v>0</v>
      </c>
      <c r="P5619" s="55">
        <f t="shared" si="315"/>
        <v>0</v>
      </c>
      <c r="Q5619" s="50"/>
      <c r="R5619" s="36" t="s">
        <v>20056</v>
      </c>
      <c r="S5619" s="36" t="s">
        <v>435</v>
      </c>
      <c r="T5619" s="35" t="str">
        <f>HYPERLINK("https://miland.ru/api/getInfo/image/0c1358e6-6334-11ec-a20f-ac1f6b442185")</f>
        <v>https://miland.ru/api/getInfo/image/0c1358e6-6334-11ec-a20f-ac1f6b442185</v>
      </c>
      <c r="U5619" s="35"/>
      <c r="V5619" s="35" t="s">
        <v>12327</v>
      </c>
      <c r="W5619" s="35" t="s">
        <v>12310</v>
      </c>
      <c r="X5619" s="35"/>
      <c r="Y5619" s="35" t="s">
        <v>41</v>
      </c>
      <c r="Z5619" s="35"/>
      <c r="AA5619" s="35" t="str">
        <f>HYPERLINK("https://miland.ru/api/getInfo/item/0c1358e6-6334-11ec-a20f-ac1f6b442185")</f>
        <v>https://miland.ru/api/getInfo/item/0c1358e6-6334-11ec-a20f-ac1f6b442185</v>
      </c>
      <c r="AB5619" s="35" t="s">
        <v>50</v>
      </c>
      <c r="AC5619" s="35"/>
      <c r="AD5619" s="35"/>
      <c r="AE5619" s="52" t="s">
        <v>1251</v>
      </c>
    </row>
    <row r="5620" spans="2:31" ht="24" customHeight="1" outlineLevel="5">
      <c r="B5620" s="70" t="s">
        <v>20057</v>
      </c>
      <c r="C5620" s="70"/>
      <c r="D5620" s="70"/>
      <c r="E5620" s="70"/>
      <c r="F5620" s="70"/>
      <c r="G5620" s="70"/>
    </row>
    <row r="5621" spans="2:31" s="1" customFormat="1" ht="96.3" customHeight="1" outlineLevel="6">
      <c r="B5621" s="59">
        <v>4593</v>
      </c>
      <c r="C5621" s="35" t="s">
        <v>20058</v>
      </c>
      <c r="D5621" s="73" t="s">
        <v>20059</v>
      </c>
      <c r="E5621" s="73"/>
      <c r="F5621" s="73"/>
      <c r="G5621" s="73"/>
      <c r="H5621" s="36" t="s">
        <v>20060</v>
      </c>
      <c r="I5621" s="40">
        <v>305</v>
      </c>
      <c r="J5621" s="36"/>
      <c r="K5621" s="34">
        <v>6</v>
      </c>
      <c r="L5621" s="41">
        <v>46.946666666666665</v>
      </c>
      <c r="M5621" s="11"/>
      <c r="N5621" s="36">
        <f>L5621*M5621</f>
        <v>0</v>
      </c>
      <c r="O5621" s="42">
        <f>0.152*M5621</f>
        <v>0</v>
      </c>
      <c r="P5621" s="43">
        <f>0.00049*M5621</f>
        <v>0</v>
      </c>
      <c r="Q5621" s="50"/>
      <c r="R5621" s="36" t="s">
        <v>20061</v>
      </c>
      <c r="S5621" s="36" t="s">
        <v>435</v>
      </c>
      <c r="T5621" s="35" t="str">
        <f>HYPERLINK("https://miland.ru/api/getInfo/image/ab5b66b6-9c92-11ed-a22e-00155d82e902")</f>
        <v>https://miland.ru/api/getInfo/image/ab5b66b6-9c92-11ed-a22e-00155d82e902</v>
      </c>
      <c r="U5621" s="35"/>
      <c r="V5621" s="35" t="s">
        <v>12327</v>
      </c>
      <c r="W5621" s="35" t="s">
        <v>12310</v>
      </c>
      <c r="X5621" s="35"/>
      <c r="Y5621" s="35" t="s">
        <v>41</v>
      </c>
      <c r="Z5621" s="35"/>
      <c r="AA5621" s="35" t="str">
        <f>HYPERLINK("https://miland.ru/api/getInfo/item/ab5b66b6-9c92-11ed-a22e-00155d82e902")</f>
        <v>https://miland.ru/api/getInfo/item/ab5b66b6-9c92-11ed-a22e-00155d82e902</v>
      </c>
      <c r="AB5621" s="35" t="s">
        <v>50</v>
      </c>
      <c r="AC5621" s="35"/>
      <c r="AD5621" s="35"/>
      <c r="AE5621" s="52" t="s">
        <v>1251</v>
      </c>
    </row>
    <row r="5622" spans="2:31" s="1" customFormat="1" ht="96.3" customHeight="1" outlineLevel="6">
      <c r="B5622" s="59">
        <v>4594</v>
      </c>
      <c r="C5622" s="35" t="s">
        <v>20062</v>
      </c>
      <c r="D5622" s="73" t="s">
        <v>20063</v>
      </c>
      <c r="E5622" s="73"/>
      <c r="F5622" s="73"/>
      <c r="G5622" s="73"/>
      <c r="H5622" s="36" t="s">
        <v>20064</v>
      </c>
      <c r="I5622" s="40">
        <v>16</v>
      </c>
      <c r="J5622" s="36"/>
      <c r="K5622" s="34">
        <v>6</v>
      </c>
      <c r="L5622" s="41">
        <v>46.946666666666665</v>
      </c>
      <c r="M5622" s="11"/>
      <c r="N5622" s="36">
        <f>L5622*M5622</f>
        <v>0</v>
      </c>
      <c r="O5622" s="42">
        <f>0.153*M5622</f>
        <v>0</v>
      </c>
      <c r="P5622" s="43">
        <f>0.00048*M5622</f>
        <v>0</v>
      </c>
      <c r="Q5622" s="50"/>
      <c r="R5622" s="36" t="s">
        <v>20065</v>
      </c>
      <c r="S5622" s="36" t="s">
        <v>435</v>
      </c>
      <c r="T5622" s="35" t="str">
        <f>HYPERLINK("https://miland.ru/api/getInfo/image/e6a44fc8-9c91-11ed-a22e-00155d82e902")</f>
        <v>https://miland.ru/api/getInfo/image/e6a44fc8-9c91-11ed-a22e-00155d82e902</v>
      </c>
      <c r="U5622" s="35"/>
      <c r="V5622" s="35" t="s">
        <v>12327</v>
      </c>
      <c r="W5622" s="35" t="s">
        <v>12310</v>
      </c>
      <c r="X5622" s="35"/>
      <c r="Y5622" s="35" t="s">
        <v>41</v>
      </c>
      <c r="Z5622" s="35"/>
      <c r="AA5622" s="35" t="str">
        <f>HYPERLINK("https://miland.ru/api/getInfo/item/e6a44fc8-9c91-11ed-a22e-00155d82e902")</f>
        <v>https://miland.ru/api/getInfo/item/e6a44fc8-9c91-11ed-a22e-00155d82e902</v>
      </c>
      <c r="AB5622" s="35" t="s">
        <v>50</v>
      </c>
      <c r="AC5622" s="35"/>
      <c r="AD5622" s="35"/>
      <c r="AE5622" s="52" t="s">
        <v>1251</v>
      </c>
    </row>
    <row r="5623" spans="2:31" s="1" customFormat="1" ht="96.3" customHeight="1" outlineLevel="6">
      <c r="B5623" s="59">
        <v>4595</v>
      </c>
      <c r="C5623" s="35" t="s">
        <v>20066</v>
      </c>
      <c r="D5623" s="73" t="s">
        <v>20067</v>
      </c>
      <c r="E5623" s="73"/>
      <c r="F5623" s="73"/>
      <c r="G5623" s="73"/>
      <c r="H5623" s="36" t="s">
        <v>20068</v>
      </c>
      <c r="I5623" s="40">
        <v>373</v>
      </c>
      <c r="J5623" s="36"/>
      <c r="K5623" s="34">
        <v>6</v>
      </c>
      <c r="L5623" s="41">
        <v>46.946666666666665</v>
      </c>
      <c r="M5623" s="11"/>
      <c r="N5623" s="36">
        <f>L5623*M5623</f>
        <v>0</v>
      </c>
      <c r="O5623" s="47">
        <f>0.15*M5623</f>
        <v>0</v>
      </c>
      <c r="P5623" s="43">
        <f>0.00049*M5623</f>
        <v>0</v>
      </c>
      <c r="Q5623" s="50"/>
      <c r="R5623" s="36" t="s">
        <v>20069</v>
      </c>
      <c r="S5623" s="36" t="s">
        <v>435</v>
      </c>
      <c r="T5623" s="35" t="str">
        <f>HYPERLINK("https://miland.ru/api/getInfo/image/587a657d-9c92-11ed-a22e-00155d82e902")</f>
        <v>https://miland.ru/api/getInfo/image/587a657d-9c92-11ed-a22e-00155d82e902</v>
      </c>
      <c r="U5623" s="35"/>
      <c r="V5623" s="35" t="s">
        <v>12327</v>
      </c>
      <c r="W5623" s="35" t="s">
        <v>12310</v>
      </c>
      <c r="X5623" s="35"/>
      <c r="Y5623" s="35" t="s">
        <v>41</v>
      </c>
      <c r="Z5623" s="35"/>
      <c r="AA5623" s="35" t="str">
        <f>HYPERLINK("https://miland.ru/api/getInfo/item/587a657d-9c92-11ed-a22e-00155d82e902")</f>
        <v>https://miland.ru/api/getInfo/item/587a657d-9c92-11ed-a22e-00155d82e902</v>
      </c>
      <c r="AB5623" s="35" t="s">
        <v>50</v>
      </c>
      <c r="AC5623" s="35"/>
      <c r="AD5623" s="35"/>
      <c r="AE5623" s="52" t="s">
        <v>1251</v>
      </c>
    </row>
    <row r="5624" spans="2:31" ht="24" customHeight="1" outlineLevel="5">
      <c r="B5624" s="70" t="s">
        <v>20070</v>
      </c>
      <c r="C5624" s="70"/>
      <c r="D5624" s="70"/>
      <c r="E5624" s="70"/>
      <c r="F5624" s="70"/>
      <c r="G5624" s="70"/>
    </row>
    <row r="5625" spans="2:31" s="1" customFormat="1" ht="96.3" customHeight="1" outlineLevel="6">
      <c r="B5625" s="59">
        <v>4596</v>
      </c>
      <c r="C5625" s="35" t="s">
        <v>20071</v>
      </c>
      <c r="D5625" s="73" t="s">
        <v>20072</v>
      </c>
      <c r="E5625" s="73"/>
      <c r="F5625" s="73"/>
      <c r="G5625" s="73"/>
      <c r="H5625" s="36" t="s">
        <v>20073</v>
      </c>
      <c r="I5625" s="56" t="s">
        <v>36</v>
      </c>
      <c r="J5625" s="36"/>
      <c r="K5625" s="34">
        <v>6</v>
      </c>
      <c r="L5625" s="41">
        <v>43.333333333333336</v>
      </c>
      <c r="M5625" s="11"/>
      <c r="N5625" s="36">
        <f>L5625*M5625</f>
        <v>0</v>
      </c>
      <c r="O5625" s="42">
        <f>0.137*M5625</f>
        <v>0</v>
      </c>
      <c r="P5625" s="43">
        <f>0.00031*M5625</f>
        <v>0</v>
      </c>
      <c r="Q5625" s="50"/>
      <c r="R5625" s="36" t="s">
        <v>20074</v>
      </c>
      <c r="S5625" s="36" t="s">
        <v>435</v>
      </c>
      <c r="T5625" s="35" t="str">
        <f>HYPERLINK("https://miland.ru/api/getInfo/image/289bbac2-9cb3-11ed-a22e-00155d82e902")</f>
        <v>https://miland.ru/api/getInfo/image/289bbac2-9cb3-11ed-a22e-00155d82e902</v>
      </c>
      <c r="U5625" s="35"/>
      <c r="V5625" s="35" t="s">
        <v>12327</v>
      </c>
      <c r="W5625" s="35" t="s">
        <v>12310</v>
      </c>
      <c r="X5625" s="35"/>
      <c r="Y5625" s="35" t="s">
        <v>41</v>
      </c>
      <c r="Z5625" s="35"/>
      <c r="AA5625" s="35" t="str">
        <f>HYPERLINK("https://miland.ru/api/getInfo/item/289bbac2-9cb3-11ed-a22e-00155d82e902")</f>
        <v>https://miland.ru/api/getInfo/item/289bbac2-9cb3-11ed-a22e-00155d82e902</v>
      </c>
      <c r="AB5625" s="35" t="s">
        <v>50</v>
      </c>
      <c r="AC5625" s="35"/>
      <c r="AD5625" s="35"/>
      <c r="AE5625" s="52" t="s">
        <v>1251</v>
      </c>
    </row>
    <row r="5626" spans="2:31" s="1" customFormat="1" ht="96.3" customHeight="1" outlineLevel="6">
      <c r="B5626" s="59">
        <v>4597</v>
      </c>
      <c r="C5626" s="35" t="s">
        <v>20075</v>
      </c>
      <c r="D5626" s="73" t="s">
        <v>20076</v>
      </c>
      <c r="E5626" s="73"/>
      <c r="F5626" s="73"/>
      <c r="G5626" s="73"/>
      <c r="H5626" s="36" t="s">
        <v>20077</v>
      </c>
      <c r="I5626" s="40">
        <v>185</v>
      </c>
      <c r="J5626" s="36"/>
      <c r="K5626" s="34">
        <v>6</v>
      </c>
      <c r="L5626" s="41">
        <v>43.333333333333336</v>
      </c>
      <c r="M5626" s="11"/>
      <c r="N5626" s="36">
        <f>L5626*M5626</f>
        <v>0</v>
      </c>
      <c r="O5626" s="47">
        <f>0.14*M5626</f>
        <v>0</v>
      </c>
      <c r="P5626" s="43">
        <f>0.00048*M5626</f>
        <v>0</v>
      </c>
      <c r="Q5626" s="50"/>
      <c r="R5626" s="36" t="s">
        <v>20078</v>
      </c>
      <c r="S5626" s="36" t="s">
        <v>435</v>
      </c>
      <c r="T5626" s="35" t="str">
        <f>HYPERLINK("https://miland.ru/api/getInfo/image/abb03664-9cb2-11ed-a22e-00155d82e902")</f>
        <v>https://miland.ru/api/getInfo/image/abb03664-9cb2-11ed-a22e-00155d82e902</v>
      </c>
      <c r="U5626" s="35"/>
      <c r="V5626" s="35" t="s">
        <v>12327</v>
      </c>
      <c r="W5626" s="35" t="s">
        <v>12310</v>
      </c>
      <c r="X5626" s="35"/>
      <c r="Y5626" s="35" t="s">
        <v>41</v>
      </c>
      <c r="Z5626" s="35"/>
      <c r="AA5626" s="35" t="str">
        <f>HYPERLINK("https://miland.ru/api/getInfo/item/abb03664-9cb2-11ed-a22e-00155d82e902")</f>
        <v>https://miland.ru/api/getInfo/item/abb03664-9cb2-11ed-a22e-00155d82e902</v>
      </c>
      <c r="AB5626" s="35" t="s">
        <v>50</v>
      </c>
      <c r="AC5626" s="35"/>
      <c r="AD5626" s="35"/>
      <c r="AE5626" s="52" t="s">
        <v>1251</v>
      </c>
    </row>
    <row r="5627" spans="2:31" s="1" customFormat="1" ht="96.3" customHeight="1" outlineLevel="6">
      <c r="B5627" s="59">
        <v>4598</v>
      </c>
      <c r="C5627" s="35" t="s">
        <v>20079</v>
      </c>
      <c r="D5627" s="73" t="s">
        <v>20080</v>
      </c>
      <c r="E5627" s="73"/>
      <c r="F5627" s="73"/>
      <c r="G5627" s="73"/>
      <c r="H5627" s="36" t="s">
        <v>20081</v>
      </c>
      <c r="I5627" s="56" t="s">
        <v>36</v>
      </c>
      <c r="J5627" s="36"/>
      <c r="K5627" s="34">
        <v>6</v>
      </c>
      <c r="L5627" s="41">
        <v>43.333333333333336</v>
      </c>
      <c r="M5627" s="11"/>
      <c r="N5627" s="36">
        <f>L5627*M5627</f>
        <v>0</v>
      </c>
      <c r="O5627" s="42">
        <f>0.142*M5627</f>
        <v>0</v>
      </c>
      <c r="P5627" s="43">
        <f>0.00063*M5627</f>
        <v>0</v>
      </c>
      <c r="Q5627" s="50"/>
      <c r="R5627" s="36" t="s">
        <v>20082</v>
      </c>
      <c r="S5627" s="36" t="s">
        <v>435</v>
      </c>
      <c r="T5627" s="35" t="str">
        <f>HYPERLINK("https://miland.ru/api/getInfo/image/b0df3ce8-9cb3-11ed-a22e-00155d82e902")</f>
        <v>https://miland.ru/api/getInfo/image/b0df3ce8-9cb3-11ed-a22e-00155d82e902</v>
      </c>
      <c r="U5627" s="35"/>
      <c r="V5627" s="35" t="s">
        <v>12327</v>
      </c>
      <c r="W5627" s="35" t="s">
        <v>12310</v>
      </c>
      <c r="X5627" s="35"/>
      <c r="Y5627" s="35" t="s">
        <v>41</v>
      </c>
      <c r="Z5627" s="35"/>
      <c r="AA5627" s="35" t="str">
        <f>HYPERLINK("https://miland.ru/api/getInfo/item/b0df3ce8-9cb3-11ed-a22e-00155d82e902")</f>
        <v>https://miland.ru/api/getInfo/item/b0df3ce8-9cb3-11ed-a22e-00155d82e902</v>
      </c>
      <c r="AB5627" s="35" t="s">
        <v>50</v>
      </c>
      <c r="AC5627" s="35"/>
      <c r="AD5627" s="35"/>
      <c r="AE5627" s="52" t="s">
        <v>1251</v>
      </c>
    </row>
    <row r="5628" spans="2:31" ht="12" customHeight="1" outlineLevel="4">
      <c r="B5628" s="70" t="s">
        <v>20083</v>
      </c>
      <c r="C5628" s="70"/>
      <c r="D5628" s="70"/>
      <c r="E5628" s="70"/>
      <c r="F5628" s="70"/>
      <c r="G5628" s="70"/>
    </row>
    <row r="5629" spans="2:31" ht="24" customHeight="1" outlineLevel="5">
      <c r="B5629" s="70" t="s">
        <v>20084</v>
      </c>
      <c r="C5629" s="70"/>
      <c r="D5629" s="70"/>
      <c r="E5629" s="70"/>
      <c r="F5629" s="70"/>
      <c r="G5629" s="70"/>
    </row>
    <row r="5630" spans="2:31" s="1" customFormat="1" ht="96.3" customHeight="1" outlineLevel="6">
      <c r="B5630" s="59">
        <v>4599</v>
      </c>
      <c r="C5630" s="35" t="s">
        <v>20085</v>
      </c>
      <c r="D5630" s="73" t="s">
        <v>20086</v>
      </c>
      <c r="E5630" s="73"/>
      <c r="F5630" s="73"/>
      <c r="G5630" s="73"/>
      <c r="H5630" s="36" t="s">
        <v>20087</v>
      </c>
      <c r="I5630" s="40">
        <v>201</v>
      </c>
      <c r="J5630" s="36"/>
      <c r="K5630" s="34">
        <v>10</v>
      </c>
      <c r="L5630" s="41">
        <v>33.466666666666669</v>
      </c>
      <c r="M5630" s="11"/>
      <c r="N5630" s="36">
        <f>L5630*M5630</f>
        <v>0</v>
      </c>
      <c r="O5630" s="42">
        <f>0.095*M5630</f>
        <v>0</v>
      </c>
      <c r="P5630" s="43">
        <f>0.00038*M5630</f>
        <v>0</v>
      </c>
      <c r="Q5630" s="50"/>
      <c r="R5630" s="36" t="s">
        <v>20088</v>
      </c>
      <c r="S5630" s="36" t="s">
        <v>435</v>
      </c>
      <c r="T5630" s="35" t="str">
        <f>HYPERLINK("https://miland.ru/api/getInfo/image/c75f7a9a-9ca1-11ed-a22e-00155d82e902")</f>
        <v>https://miland.ru/api/getInfo/image/c75f7a9a-9ca1-11ed-a22e-00155d82e902</v>
      </c>
      <c r="U5630" s="35"/>
      <c r="V5630" s="35" t="s">
        <v>12327</v>
      </c>
      <c r="W5630" s="35" t="s">
        <v>12310</v>
      </c>
      <c r="X5630" s="35"/>
      <c r="Y5630" s="35" t="s">
        <v>41</v>
      </c>
      <c r="Z5630" s="35"/>
      <c r="AA5630" s="35" t="str">
        <f>HYPERLINK("https://miland.ru/api/getInfo/item/c75f7a9a-9ca1-11ed-a22e-00155d82e902")</f>
        <v>https://miland.ru/api/getInfo/item/c75f7a9a-9ca1-11ed-a22e-00155d82e902</v>
      </c>
      <c r="AB5630" s="35" t="s">
        <v>50</v>
      </c>
      <c r="AC5630" s="35"/>
      <c r="AD5630" s="35"/>
      <c r="AE5630" s="52" t="s">
        <v>1251</v>
      </c>
    </row>
    <row r="5631" spans="2:31" s="1" customFormat="1" ht="96.3" customHeight="1" outlineLevel="6">
      <c r="B5631" s="59">
        <v>4600</v>
      </c>
      <c r="C5631" s="35" t="s">
        <v>20089</v>
      </c>
      <c r="D5631" s="73" t="s">
        <v>20090</v>
      </c>
      <c r="E5631" s="73"/>
      <c r="F5631" s="73"/>
      <c r="G5631" s="73"/>
      <c r="H5631" s="36" t="s">
        <v>20091</v>
      </c>
      <c r="I5631" s="40">
        <v>294</v>
      </c>
      <c r="J5631" s="36"/>
      <c r="K5631" s="34">
        <v>10</v>
      </c>
      <c r="L5631" s="41">
        <v>33.466666666666669</v>
      </c>
      <c r="M5631" s="11"/>
      <c r="N5631" s="36">
        <f>L5631*M5631</f>
        <v>0</v>
      </c>
      <c r="O5631" s="42">
        <f>0.095*M5631</f>
        <v>0</v>
      </c>
      <c r="P5631" s="43">
        <f>0.00027*M5631</f>
        <v>0</v>
      </c>
      <c r="Q5631" s="50"/>
      <c r="R5631" s="36" t="s">
        <v>20092</v>
      </c>
      <c r="S5631" s="36" t="s">
        <v>435</v>
      </c>
      <c r="T5631" s="35" t="str">
        <f>HYPERLINK("https://miland.ru/api/getInfo/image/6ede68ee-9ca1-11ed-a22e-00155d82e902")</f>
        <v>https://miland.ru/api/getInfo/image/6ede68ee-9ca1-11ed-a22e-00155d82e902</v>
      </c>
      <c r="U5631" s="35"/>
      <c r="V5631" s="35" t="s">
        <v>12327</v>
      </c>
      <c r="W5631" s="35" t="s">
        <v>12310</v>
      </c>
      <c r="X5631" s="35"/>
      <c r="Y5631" s="35" t="s">
        <v>41</v>
      </c>
      <c r="Z5631" s="35"/>
      <c r="AA5631" s="35" t="str">
        <f>HYPERLINK("https://miland.ru/api/getInfo/item/6ede68ee-9ca1-11ed-a22e-00155d82e902")</f>
        <v>https://miland.ru/api/getInfo/item/6ede68ee-9ca1-11ed-a22e-00155d82e902</v>
      </c>
      <c r="AB5631" s="35" t="s">
        <v>50</v>
      </c>
      <c r="AC5631" s="35"/>
      <c r="AD5631" s="35"/>
      <c r="AE5631" s="52" t="s">
        <v>1251</v>
      </c>
    </row>
    <row r="5632" spans="2:31" ht="12" customHeight="1" outlineLevel="4">
      <c r="B5632" s="70" t="s">
        <v>20093</v>
      </c>
      <c r="C5632" s="70"/>
      <c r="D5632" s="70"/>
      <c r="E5632" s="70"/>
      <c r="F5632" s="70"/>
      <c r="G5632" s="70"/>
    </row>
    <row r="5633" spans="2:31" ht="24" customHeight="1" outlineLevel="5">
      <c r="B5633" s="70" t="s">
        <v>20094</v>
      </c>
      <c r="C5633" s="70"/>
      <c r="D5633" s="70"/>
      <c r="E5633" s="70"/>
      <c r="F5633" s="70"/>
      <c r="G5633" s="70"/>
    </row>
    <row r="5634" spans="2:31" s="1" customFormat="1" ht="96.3" customHeight="1" outlineLevel="6">
      <c r="B5634" s="59">
        <v>4601</v>
      </c>
      <c r="C5634" s="35" t="s">
        <v>20095</v>
      </c>
      <c r="D5634" s="73" t="s">
        <v>20096</v>
      </c>
      <c r="E5634" s="73"/>
      <c r="F5634" s="73"/>
      <c r="G5634" s="73"/>
      <c r="H5634" s="36" t="s">
        <v>20097</v>
      </c>
      <c r="I5634" s="40">
        <v>7</v>
      </c>
      <c r="J5634" s="36"/>
      <c r="K5634" s="34">
        <v>3</v>
      </c>
      <c r="L5634" s="41">
        <v>109.02666666666666</v>
      </c>
      <c r="M5634" s="11"/>
      <c r="N5634" s="36">
        <f>L5634*M5634</f>
        <v>0</v>
      </c>
      <c r="O5634" s="47">
        <f>0.44*M5634</f>
        <v>0</v>
      </c>
      <c r="P5634" s="43">
        <f>0.00064*M5634</f>
        <v>0</v>
      </c>
      <c r="Q5634" s="50"/>
      <c r="R5634" s="36" t="s">
        <v>20098</v>
      </c>
      <c r="S5634" s="36" t="s">
        <v>435</v>
      </c>
      <c r="T5634" s="35" t="str">
        <f>HYPERLINK("https://miland.ru/api/getInfo/image/a55f40b4-00e9-11ec-a20e-ac1f6b442185")</f>
        <v>https://miland.ru/api/getInfo/image/a55f40b4-00e9-11ec-a20e-ac1f6b442185</v>
      </c>
      <c r="U5634" s="35"/>
      <c r="V5634" s="35" t="s">
        <v>12327</v>
      </c>
      <c r="W5634" s="35" t="s">
        <v>12310</v>
      </c>
      <c r="X5634" s="35"/>
      <c r="Y5634" s="35" t="s">
        <v>41</v>
      </c>
      <c r="Z5634" s="35"/>
      <c r="AA5634" s="35" t="str">
        <f>HYPERLINK("https://miland.ru/api/getInfo/item/a55f40b4-00e9-11ec-a20e-ac1f6b442185")</f>
        <v>https://miland.ru/api/getInfo/item/a55f40b4-00e9-11ec-a20e-ac1f6b442185</v>
      </c>
      <c r="AB5634" s="35" t="s">
        <v>50</v>
      </c>
      <c r="AC5634" s="35"/>
      <c r="AD5634" s="35"/>
      <c r="AE5634" s="52" t="s">
        <v>1251</v>
      </c>
    </row>
    <row r="5635" spans="2:31" ht="12" customHeight="1" outlineLevel="5">
      <c r="B5635" s="70" t="s">
        <v>20099</v>
      </c>
      <c r="C5635" s="70"/>
      <c r="D5635" s="70"/>
      <c r="E5635" s="70"/>
      <c r="F5635" s="70"/>
      <c r="G5635" s="70"/>
    </row>
    <row r="5636" spans="2:31" s="1" customFormat="1" ht="96.3" customHeight="1" outlineLevel="6">
      <c r="B5636" s="59">
        <v>4602</v>
      </c>
      <c r="C5636" s="35" t="s">
        <v>20100</v>
      </c>
      <c r="D5636" s="73" t="s">
        <v>20101</v>
      </c>
      <c r="E5636" s="73"/>
      <c r="F5636" s="73"/>
      <c r="G5636" s="73"/>
      <c r="H5636" s="36" t="s">
        <v>20102</v>
      </c>
      <c r="I5636" s="40">
        <v>12</v>
      </c>
      <c r="J5636" s="36"/>
      <c r="K5636" s="34">
        <v>3</v>
      </c>
      <c r="L5636" s="41">
        <v>107.82666666666667</v>
      </c>
      <c r="M5636" s="11"/>
      <c r="N5636" s="36">
        <f>L5636*M5636</f>
        <v>0</v>
      </c>
      <c r="O5636" s="47">
        <f>0.19*M5636</f>
        <v>0</v>
      </c>
      <c r="P5636" s="43">
        <f>0.00026*M5636</f>
        <v>0</v>
      </c>
      <c r="Q5636" s="50"/>
      <c r="R5636" s="36" t="s">
        <v>20103</v>
      </c>
      <c r="S5636" s="36" t="s">
        <v>435</v>
      </c>
      <c r="T5636" s="35" t="str">
        <f>HYPERLINK("https://miland.ru/api/getInfo/image/39bb3c46-12c9-11eb-a25d-ac1f6b442184")</f>
        <v>https://miland.ru/api/getInfo/image/39bb3c46-12c9-11eb-a25d-ac1f6b442184</v>
      </c>
      <c r="U5636" s="35"/>
      <c r="V5636" s="35" t="s">
        <v>12327</v>
      </c>
      <c r="W5636" s="35" t="s">
        <v>12310</v>
      </c>
      <c r="X5636" s="35"/>
      <c r="Y5636" s="35" t="s">
        <v>41</v>
      </c>
      <c r="Z5636" s="35"/>
      <c r="AA5636" s="35" t="str">
        <f>HYPERLINK("https://miland.ru/api/getInfo/item/39bb3c46-12c9-11eb-a25d-ac1f6b442184")</f>
        <v>https://miland.ru/api/getInfo/item/39bb3c46-12c9-11eb-a25d-ac1f6b442184</v>
      </c>
      <c r="AB5636" s="35" t="s">
        <v>50</v>
      </c>
      <c r="AC5636" s="35"/>
      <c r="AD5636" s="35"/>
      <c r="AE5636" s="52" t="s">
        <v>1251</v>
      </c>
    </row>
    <row r="5637" spans="2:31" ht="12" customHeight="1" outlineLevel="5">
      <c r="B5637" s="70" t="s">
        <v>20104</v>
      </c>
      <c r="C5637" s="70"/>
      <c r="D5637" s="70"/>
      <c r="E5637" s="70"/>
      <c r="F5637" s="70"/>
      <c r="G5637" s="70"/>
    </row>
    <row r="5638" spans="2:31" s="1" customFormat="1" ht="96.3" customHeight="1" outlineLevel="6">
      <c r="B5638" s="59">
        <v>4603</v>
      </c>
      <c r="C5638" s="35" t="s">
        <v>20105</v>
      </c>
      <c r="D5638" s="73" t="s">
        <v>20106</v>
      </c>
      <c r="E5638" s="73"/>
      <c r="F5638" s="73"/>
      <c r="G5638" s="73"/>
      <c r="H5638" s="36" t="s">
        <v>20107</v>
      </c>
      <c r="I5638" s="40">
        <v>146</v>
      </c>
      <c r="J5638" s="36"/>
      <c r="K5638" s="34">
        <v>5</v>
      </c>
      <c r="L5638" s="41">
        <v>54.906666666666666</v>
      </c>
      <c r="M5638" s="11"/>
      <c r="N5638" s="36">
        <f>L5638*M5638</f>
        <v>0</v>
      </c>
      <c r="O5638" s="42">
        <f>0.166*M5638</f>
        <v>0</v>
      </c>
      <c r="P5638" s="43">
        <f>0.00039*M5638</f>
        <v>0</v>
      </c>
      <c r="Q5638" s="50"/>
      <c r="R5638" s="36" t="s">
        <v>20108</v>
      </c>
      <c r="S5638" s="36" t="s">
        <v>435</v>
      </c>
      <c r="T5638" s="35" t="str">
        <f>HYPERLINK("https://miland.ru/api/getInfo/image/b3c4c45c-9c8e-11ed-a22e-00155d82e902")</f>
        <v>https://miland.ru/api/getInfo/image/b3c4c45c-9c8e-11ed-a22e-00155d82e902</v>
      </c>
      <c r="U5638" s="35"/>
      <c r="V5638" s="35" t="s">
        <v>12327</v>
      </c>
      <c r="W5638" s="35" t="s">
        <v>12310</v>
      </c>
      <c r="X5638" s="35"/>
      <c r="Y5638" s="35" t="s">
        <v>41</v>
      </c>
      <c r="Z5638" s="35"/>
      <c r="AA5638" s="35" t="str">
        <f>HYPERLINK("https://miland.ru/api/getInfo/item/b3c4c45c-9c8e-11ed-a22e-00155d82e902")</f>
        <v>https://miland.ru/api/getInfo/item/b3c4c45c-9c8e-11ed-a22e-00155d82e902</v>
      </c>
      <c r="AB5638" s="35" t="s">
        <v>50</v>
      </c>
      <c r="AC5638" s="35"/>
      <c r="AD5638" s="35"/>
      <c r="AE5638" s="52" t="s">
        <v>1251</v>
      </c>
    </row>
    <row r="5639" spans="2:31" s="1" customFormat="1" ht="96.3" customHeight="1" outlineLevel="6">
      <c r="B5639" s="59">
        <v>4604</v>
      </c>
      <c r="C5639" s="35" t="s">
        <v>20109</v>
      </c>
      <c r="D5639" s="73" t="s">
        <v>20110</v>
      </c>
      <c r="E5639" s="73"/>
      <c r="F5639" s="73"/>
      <c r="G5639" s="73"/>
      <c r="H5639" s="36" t="s">
        <v>20111</v>
      </c>
      <c r="I5639" s="56" t="s">
        <v>36</v>
      </c>
      <c r="J5639" s="36"/>
      <c r="K5639" s="34">
        <v>5</v>
      </c>
      <c r="L5639" s="41">
        <v>54.906666666666666</v>
      </c>
      <c r="M5639" s="11"/>
      <c r="N5639" s="36">
        <f>L5639*M5639</f>
        <v>0</v>
      </c>
      <c r="O5639" s="42">
        <f>0.165*M5639</f>
        <v>0</v>
      </c>
      <c r="P5639" s="43">
        <f>0.00045*M5639</f>
        <v>0</v>
      </c>
      <c r="Q5639" s="50"/>
      <c r="R5639" s="36" t="s">
        <v>20112</v>
      </c>
      <c r="S5639" s="36" t="s">
        <v>435</v>
      </c>
      <c r="T5639" s="35" t="str">
        <f>HYPERLINK("https://miland.ru/api/getInfo/image/2c75e45d-9c8f-11ed-a22e-00155d82e902")</f>
        <v>https://miland.ru/api/getInfo/image/2c75e45d-9c8f-11ed-a22e-00155d82e902</v>
      </c>
      <c r="U5639" s="35"/>
      <c r="V5639" s="35" t="s">
        <v>12327</v>
      </c>
      <c r="W5639" s="35" t="s">
        <v>12310</v>
      </c>
      <c r="X5639" s="35"/>
      <c r="Y5639" s="35" t="s">
        <v>41</v>
      </c>
      <c r="Z5639" s="35"/>
      <c r="AA5639" s="35" t="str">
        <f>HYPERLINK("https://miland.ru/api/getInfo/item/2c75e45d-9c8f-11ed-a22e-00155d82e902")</f>
        <v>https://miland.ru/api/getInfo/item/2c75e45d-9c8f-11ed-a22e-00155d82e902</v>
      </c>
      <c r="AB5639" s="35" t="s">
        <v>50</v>
      </c>
      <c r="AC5639" s="35"/>
      <c r="AD5639" s="35"/>
      <c r="AE5639" s="52" t="s">
        <v>1251</v>
      </c>
    </row>
    <row r="5640" spans="2:31" ht="24" customHeight="1" outlineLevel="5">
      <c r="B5640" s="70" t="s">
        <v>20113</v>
      </c>
      <c r="C5640" s="70"/>
      <c r="D5640" s="70"/>
      <c r="E5640" s="70"/>
      <c r="F5640" s="70"/>
      <c r="G5640" s="70"/>
    </row>
    <row r="5641" spans="2:31" s="1" customFormat="1" ht="96.3" customHeight="1" outlineLevel="6">
      <c r="B5641" s="59">
        <v>4605</v>
      </c>
      <c r="C5641" s="35" t="s">
        <v>20114</v>
      </c>
      <c r="D5641" s="73" t="s">
        <v>20115</v>
      </c>
      <c r="E5641" s="73"/>
      <c r="F5641" s="73"/>
      <c r="G5641" s="73"/>
      <c r="H5641" s="36" t="s">
        <v>20116</v>
      </c>
      <c r="I5641" s="56" t="s">
        <v>36</v>
      </c>
      <c r="J5641" s="36"/>
      <c r="K5641" s="34">
        <v>3</v>
      </c>
      <c r="L5641" s="41">
        <v>93.146666666666661</v>
      </c>
      <c r="M5641" s="11"/>
      <c r="N5641" s="36">
        <f t="shared" ref="N5641:N5646" si="316">L5641*M5641</f>
        <v>0</v>
      </c>
      <c r="O5641" s="42">
        <f>0.359*M5641</f>
        <v>0</v>
      </c>
      <c r="P5641" s="43">
        <f>0.00047*M5641</f>
        <v>0</v>
      </c>
      <c r="Q5641" s="50"/>
      <c r="R5641" s="36" t="s">
        <v>20117</v>
      </c>
      <c r="S5641" s="36" t="s">
        <v>435</v>
      </c>
      <c r="T5641" s="35" t="str">
        <f>HYPERLINK("https://miland.ru/api/getInfo/image/2f009735-63f1-11ec-a20f-ac1f6b442185")</f>
        <v>https://miland.ru/api/getInfo/image/2f009735-63f1-11ec-a20f-ac1f6b442185</v>
      </c>
      <c r="U5641" s="35"/>
      <c r="V5641" s="35" t="s">
        <v>12327</v>
      </c>
      <c r="W5641" s="35" t="s">
        <v>12310</v>
      </c>
      <c r="X5641" s="35"/>
      <c r="Y5641" s="35" t="s">
        <v>41</v>
      </c>
      <c r="Z5641" s="35"/>
      <c r="AA5641" s="35" t="str">
        <f>HYPERLINK("https://miland.ru/api/getInfo/item/2f009735-63f1-11ec-a20f-ac1f6b442185")</f>
        <v>https://miland.ru/api/getInfo/item/2f009735-63f1-11ec-a20f-ac1f6b442185</v>
      </c>
      <c r="AB5641" s="35" t="s">
        <v>50</v>
      </c>
      <c r="AC5641" s="35"/>
      <c r="AD5641" s="35"/>
      <c r="AE5641" s="52" t="s">
        <v>1251</v>
      </c>
    </row>
    <row r="5642" spans="2:31" s="1" customFormat="1" ht="96.3" customHeight="1" outlineLevel="6">
      <c r="B5642" s="59">
        <v>4606</v>
      </c>
      <c r="C5642" s="35" t="s">
        <v>20118</v>
      </c>
      <c r="D5642" s="73" t="s">
        <v>20119</v>
      </c>
      <c r="E5642" s="73"/>
      <c r="F5642" s="73"/>
      <c r="G5642" s="73"/>
      <c r="H5642" s="36" t="s">
        <v>20120</v>
      </c>
      <c r="I5642" s="56" t="s">
        <v>36</v>
      </c>
      <c r="J5642" s="36"/>
      <c r="K5642" s="34">
        <v>3</v>
      </c>
      <c r="L5642" s="41">
        <v>93.146666666666661</v>
      </c>
      <c r="M5642" s="11"/>
      <c r="N5642" s="36">
        <f t="shared" si="316"/>
        <v>0</v>
      </c>
      <c r="O5642" s="42">
        <f>0.355*M5642</f>
        <v>0</v>
      </c>
      <c r="P5642" s="43">
        <f>0.00051*M5642</f>
        <v>0</v>
      </c>
      <c r="Q5642" s="50"/>
      <c r="R5642" s="36" t="s">
        <v>20121</v>
      </c>
      <c r="S5642" s="36" t="s">
        <v>435</v>
      </c>
      <c r="T5642" s="35" t="str">
        <f>HYPERLINK("https://miland.ru/api/getInfo/image/1695c92f-b72d-11ec-a211-ac1f6b442185")</f>
        <v>https://miland.ru/api/getInfo/image/1695c92f-b72d-11ec-a211-ac1f6b442185</v>
      </c>
      <c r="U5642" s="35"/>
      <c r="V5642" s="35" t="s">
        <v>12327</v>
      </c>
      <c r="W5642" s="35" t="s">
        <v>12310</v>
      </c>
      <c r="X5642" s="35"/>
      <c r="Y5642" s="35" t="s">
        <v>41</v>
      </c>
      <c r="Z5642" s="35"/>
      <c r="AA5642" s="35" t="str">
        <f>HYPERLINK("https://miland.ru/api/getInfo/item/1695c92f-b72d-11ec-a211-ac1f6b442185")</f>
        <v>https://miland.ru/api/getInfo/item/1695c92f-b72d-11ec-a211-ac1f6b442185</v>
      </c>
      <c r="AB5642" s="35" t="s">
        <v>50</v>
      </c>
      <c r="AC5642" s="35"/>
      <c r="AD5642" s="35"/>
      <c r="AE5642" s="52" t="s">
        <v>1251</v>
      </c>
    </row>
    <row r="5643" spans="2:31" s="1" customFormat="1" ht="96.3" customHeight="1" outlineLevel="6">
      <c r="B5643" s="59">
        <v>4607</v>
      </c>
      <c r="C5643" s="35" t="s">
        <v>20122</v>
      </c>
      <c r="D5643" s="73" t="s">
        <v>20123</v>
      </c>
      <c r="E5643" s="73"/>
      <c r="F5643" s="73"/>
      <c r="G5643" s="73"/>
      <c r="H5643" s="36" t="s">
        <v>20124</v>
      </c>
      <c r="I5643" s="56" t="s">
        <v>36</v>
      </c>
      <c r="J5643" s="36"/>
      <c r="K5643" s="34">
        <v>3</v>
      </c>
      <c r="L5643" s="41">
        <v>93.146666666666661</v>
      </c>
      <c r="M5643" s="11"/>
      <c r="N5643" s="36">
        <f t="shared" si="316"/>
        <v>0</v>
      </c>
      <c r="O5643" s="47">
        <f>0.35*M5643</f>
        <v>0</v>
      </c>
      <c r="P5643" s="43">
        <f>0.00052*M5643</f>
        <v>0</v>
      </c>
      <c r="Q5643" s="50"/>
      <c r="R5643" s="36" t="s">
        <v>20125</v>
      </c>
      <c r="S5643" s="36" t="s">
        <v>435</v>
      </c>
      <c r="T5643" s="35" t="str">
        <f>HYPERLINK("https://miland.ru/api/getInfo/image/d4132eda-63f0-11ec-a20f-ac1f6b442185")</f>
        <v>https://miland.ru/api/getInfo/image/d4132eda-63f0-11ec-a20f-ac1f6b442185</v>
      </c>
      <c r="U5643" s="35"/>
      <c r="V5643" s="35" t="s">
        <v>12327</v>
      </c>
      <c r="W5643" s="35" t="s">
        <v>12310</v>
      </c>
      <c r="X5643" s="35"/>
      <c r="Y5643" s="35" t="s">
        <v>41</v>
      </c>
      <c r="Z5643" s="35"/>
      <c r="AA5643" s="35" t="str">
        <f>HYPERLINK("https://miland.ru/api/getInfo/item/d4132eda-63f0-11ec-a20f-ac1f6b442185")</f>
        <v>https://miland.ru/api/getInfo/item/d4132eda-63f0-11ec-a20f-ac1f6b442185</v>
      </c>
      <c r="AB5643" s="35" t="s">
        <v>50</v>
      </c>
      <c r="AC5643" s="35"/>
      <c r="AD5643" s="35"/>
      <c r="AE5643" s="52" t="s">
        <v>1251</v>
      </c>
    </row>
    <row r="5644" spans="2:31" s="1" customFormat="1" ht="96.3" customHeight="1" outlineLevel="6">
      <c r="B5644" s="59">
        <v>4608</v>
      </c>
      <c r="C5644" s="35" t="s">
        <v>20126</v>
      </c>
      <c r="D5644" s="73" t="s">
        <v>20127</v>
      </c>
      <c r="E5644" s="73"/>
      <c r="F5644" s="73"/>
      <c r="G5644" s="73"/>
      <c r="H5644" s="36" t="s">
        <v>20128</v>
      </c>
      <c r="I5644" s="56" t="s">
        <v>36</v>
      </c>
      <c r="J5644" s="36"/>
      <c r="K5644" s="34">
        <v>3</v>
      </c>
      <c r="L5644" s="41">
        <v>93.146666666666661</v>
      </c>
      <c r="M5644" s="11"/>
      <c r="N5644" s="36">
        <f t="shared" si="316"/>
        <v>0</v>
      </c>
      <c r="O5644" s="42">
        <f>0.357*M5644</f>
        <v>0</v>
      </c>
      <c r="P5644" s="43">
        <f>0.00056*M5644</f>
        <v>0</v>
      </c>
      <c r="Q5644" s="50"/>
      <c r="R5644" s="36" t="s">
        <v>20129</v>
      </c>
      <c r="S5644" s="36" t="s">
        <v>435</v>
      </c>
      <c r="T5644" s="35" t="str">
        <f>HYPERLINK("https://miland.ru/api/getInfo/image/0ded22d4-63f1-11ec-a20f-ac1f6b442185")</f>
        <v>https://miland.ru/api/getInfo/image/0ded22d4-63f1-11ec-a20f-ac1f6b442185</v>
      </c>
      <c r="U5644" s="35"/>
      <c r="V5644" s="35" t="s">
        <v>12327</v>
      </c>
      <c r="W5644" s="35" t="s">
        <v>12310</v>
      </c>
      <c r="X5644" s="35"/>
      <c r="Y5644" s="35" t="s">
        <v>41</v>
      </c>
      <c r="Z5644" s="35"/>
      <c r="AA5644" s="35" t="str">
        <f>HYPERLINK("https://miland.ru/api/getInfo/item/0ded22d4-63f1-11ec-a20f-ac1f6b442185")</f>
        <v>https://miland.ru/api/getInfo/item/0ded22d4-63f1-11ec-a20f-ac1f6b442185</v>
      </c>
      <c r="AB5644" s="35" t="s">
        <v>50</v>
      </c>
      <c r="AC5644" s="35"/>
      <c r="AD5644" s="35"/>
      <c r="AE5644" s="52" t="s">
        <v>1251</v>
      </c>
    </row>
    <row r="5645" spans="2:31" s="1" customFormat="1" ht="96.3" customHeight="1" outlineLevel="6">
      <c r="B5645" s="59">
        <v>4609</v>
      </c>
      <c r="C5645" s="35" t="s">
        <v>20130</v>
      </c>
      <c r="D5645" s="73" t="s">
        <v>20131</v>
      </c>
      <c r="E5645" s="73"/>
      <c r="F5645" s="73"/>
      <c r="G5645" s="73"/>
      <c r="H5645" s="36" t="s">
        <v>20132</v>
      </c>
      <c r="I5645" s="56" t="s">
        <v>36</v>
      </c>
      <c r="J5645" s="36"/>
      <c r="K5645" s="34">
        <v>3</v>
      </c>
      <c r="L5645" s="41">
        <v>93.146666666666661</v>
      </c>
      <c r="M5645" s="11"/>
      <c r="N5645" s="36">
        <f t="shared" si="316"/>
        <v>0</v>
      </c>
      <c r="O5645" s="42">
        <f>0.356*M5645</f>
        <v>0</v>
      </c>
      <c r="P5645" s="43">
        <f>0.00051*M5645</f>
        <v>0</v>
      </c>
      <c r="Q5645" s="50"/>
      <c r="R5645" s="36" t="s">
        <v>20133</v>
      </c>
      <c r="S5645" s="36" t="s">
        <v>435</v>
      </c>
      <c r="T5645" s="35" t="str">
        <f>HYPERLINK("https://miland.ru/api/getInfo/image/62895f45-63f0-11ec-a20f-ac1f6b442185")</f>
        <v>https://miland.ru/api/getInfo/image/62895f45-63f0-11ec-a20f-ac1f6b442185</v>
      </c>
      <c r="U5645" s="35"/>
      <c r="V5645" s="35" t="s">
        <v>12327</v>
      </c>
      <c r="W5645" s="35" t="s">
        <v>12310</v>
      </c>
      <c r="X5645" s="35"/>
      <c r="Y5645" s="35" t="s">
        <v>41</v>
      </c>
      <c r="Z5645" s="35"/>
      <c r="AA5645" s="35" t="str">
        <f>HYPERLINK("https://miland.ru/api/getInfo/item/62895f45-63f0-11ec-a20f-ac1f6b442185")</f>
        <v>https://miland.ru/api/getInfo/item/62895f45-63f0-11ec-a20f-ac1f6b442185</v>
      </c>
      <c r="AB5645" s="35" t="s">
        <v>50</v>
      </c>
      <c r="AC5645" s="35"/>
      <c r="AD5645" s="35"/>
      <c r="AE5645" s="52" t="s">
        <v>1251</v>
      </c>
    </row>
    <row r="5646" spans="2:31" s="1" customFormat="1" ht="96.3" customHeight="1" outlineLevel="6">
      <c r="B5646" s="59">
        <v>4610</v>
      </c>
      <c r="C5646" s="35" t="s">
        <v>20134</v>
      </c>
      <c r="D5646" s="73" t="s">
        <v>20135</v>
      </c>
      <c r="E5646" s="73"/>
      <c r="F5646" s="73"/>
      <c r="G5646" s="73"/>
      <c r="H5646" s="36" t="s">
        <v>20136</v>
      </c>
      <c r="I5646" s="56" t="s">
        <v>36</v>
      </c>
      <c r="J5646" s="36"/>
      <c r="K5646" s="34">
        <v>3</v>
      </c>
      <c r="L5646" s="41">
        <v>93.146666666666661</v>
      </c>
      <c r="M5646" s="11"/>
      <c r="N5646" s="36">
        <f t="shared" si="316"/>
        <v>0</v>
      </c>
      <c r="O5646" s="42">
        <f>0.352*M5646</f>
        <v>0</v>
      </c>
      <c r="P5646" s="55">
        <f>0.0005*M5646</f>
        <v>0</v>
      </c>
      <c r="Q5646" s="50"/>
      <c r="R5646" s="36" t="s">
        <v>20137</v>
      </c>
      <c r="S5646" s="36" t="s">
        <v>435</v>
      </c>
      <c r="T5646" s="35" t="str">
        <f>HYPERLINK("https://miland.ru/api/getInfo/image/681ee43d-b72d-11ec-a211-ac1f6b442185")</f>
        <v>https://miland.ru/api/getInfo/image/681ee43d-b72d-11ec-a211-ac1f6b442185</v>
      </c>
      <c r="U5646" s="35"/>
      <c r="V5646" s="35" t="s">
        <v>12327</v>
      </c>
      <c r="W5646" s="35" t="s">
        <v>12310</v>
      </c>
      <c r="X5646" s="35"/>
      <c r="Y5646" s="35" t="s">
        <v>41</v>
      </c>
      <c r="Z5646" s="35"/>
      <c r="AA5646" s="35" t="str">
        <f>HYPERLINK("https://miland.ru/api/getInfo/item/681ee43d-b72d-11ec-a211-ac1f6b442185")</f>
        <v>https://miland.ru/api/getInfo/item/681ee43d-b72d-11ec-a211-ac1f6b442185</v>
      </c>
      <c r="AB5646" s="35" t="s">
        <v>50</v>
      </c>
      <c r="AC5646" s="35"/>
      <c r="AD5646" s="35"/>
      <c r="AE5646" s="52" t="s">
        <v>1251</v>
      </c>
    </row>
    <row r="5647" spans="2:31" ht="24" customHeight="1" outlineLevel="5">
      <c r="B5647" s="70" t="s">
        <v>20138</v>
      </c>
      <c r="C5647" s="70"/>
      <c r="D5647" s="70"/>
      <c r="E5647" s="70"/>
      <c r="F5647" s="70"/>
      <c r="G5647" s="70"/>
    </row>
    <row r="5648" spans="2:31" s="1" customFormat="1" ht="96.3" customHeight="1" outlineLevel="6">
      <c r="B5648" s="59">
        <v>4611</v>
      </c>
      <c r="C5648" s="35" t="s">
        <v>20139</v>
      </c>
      <c r="D5648" s="73" t="s">
        <v>20140</v>
      </c>
      <c r="E5648" s="73"/>
      <c r="F5648" s="73"/>
      <c r="G5648" s="73"/>
      <c r="H5648" s="36" t="s">
        <v>20141</v>
      </c>
      <c r="I5648" s="40">
        <v>493</v>
      </c>
      <c r="J5648" s="36"/>
      <c r="K5648" s="34">
        <v>4</v>
      </c>
      <c r="L5648" s="41">
        <v>81.426666666666662</v>
      </c>
      <c r="M5648" s="11"/>
      <c r="N5648" s="36">
        <f>L5648*M5648</f>
        <v>0</v>
      </c>
      <c r="O5648" s="47">
        <f>0.27*M5648</f>
        <v>0</v>
      </c>
      <c r="P5648" s="55">
        <f>0.0004*M5648</f>
        <v>0</v>
      </c>
      <c r="Q5648" s="50"/>
      <c r="R5648" s="36" t="s">
        <v>20142</v>
      </c>
      <c r="S5648" s="36" t="s">
        <v>435</v>
      </c>
      <c r="T5648" s="35" t="str">
        <f>HYPERLINK("https://miland.ru/api/getInfo/image/715a3b43-12cb-11eb-a25d-ac1f6b442184")</f>
        <v>https://miland.ru/api/getInfo/image/715a3b43-12cb-11eb-a25d-ac1f6b442184</v>
      </c>
      <c r="U5648" s="35"/>
      <c r="V5648" s="35" t="s">
        <v>12327</v>
      </c>
      <c r="W5648" s="35" t="s">
        <v>12310</v>
      </c>
      <c r="X5648" s="35"/>
      <c r="Y5648" s="35" t="s">
        <v>41</v>
      </c>
      <c r="Z5648" s="35"/>
      <c r="AA5648" s="35" t="str">
        <f>HYPERLINK("https://miland.ru/api/getInfo/item/715a3b43-12cb-11eb-a25d-ac1f6b442184")</f>
        <v>https://miland.ru/api/getInfo/item/715a3b43-12cb-11eb-a25d-ac1f6b442184</v>
      </c>
      <c r="AB5648" s="35" t="s">
        <v>50</v>
      </c>
      <c r="AC5648" s="35"/>
      <c r="AD5648" s="35"/>
      <c r="AE5648" s="52" t="s">
        <v>1251</v>
      </c>
    </row>
    <row r="5649" spans="2:31" s="1" customFormat="1" ht="96.3" customHeight="1" outlineLevel="6">
      <c r="B5649" s="59">
        <v>4612</v>
      </c>
      <c r="C5649" s="35" t="s">
        <v>20143</v>
      </c>
      <c r="D5649" s="73" t="s">
        <v>20144</v>
      </c>
      <c r="E5649" s="73"/>
      <c r="F5649" s="73"/>
      <c r="G5649" s="73"/>
      <c r="H5649" s="36" t="s">
        <v>20145</v>
      </c>
      <c r="I5649" s="40">
        <v>5</v>
      </c>
      <c r="J5649" s="36"/>
      <c r="K5649" s="34">
        <v>4</v>
      </c>
      <c r="L5649" s="41">
        <v>81.426666666666662</v>
      </c>
      <c r="M5649" s="11"/>
      <c r="N5649" s="36">
        <f>L5649*M5649</f>
        <v>0</v>
      </c>
      <c r="O5649" s="47">
        <f>0.27*M5649</f>
        <v>0</v>
      </c>
      <c r="P5649" s="55">
        <f>0.0004*M5649</f>
        <v>0</v>
      </c>
      <c r="Q5649" s="50"/>
      <c r="R5649" s="36" t="s">
        <v>20146</v>
      </c>
      <c r="S5649" s="36" t="s">
        <v>435</v>
      </c>
      <c r="T5649" s="35" t="str">
        <f>HYPERLINK("https://miland.ru/api/getInfo/image/86308a34-12cb-11eb-a25d-ac1f6b442184")</f>
        <v>https://miland.ru/api/getInfo/image/86308a34-12cb-11eb-a25d-ac1f6b442184</v>
      </c>
      <c r="U5649" s="35"/>
      <c r="V5649" s="35" t="s">
        <v>12327</v>
      </c>
      <c r="W5649" s="35" t="s">
        <v>12310</v>
      </c>
      <c r="X5649" s="35"/>
      <c r="Y5649" s="35" t="s">
        <v>41</v>
      </c>
      <c r="Z5649" s="35"/>
      <c r="AA5649" s="35" t="str">
        <f>HYPERLINK("https://miland.ru/api/getInfo/item/86308a34-12cb-11eb-a25d-ac1f6b442184")</f>
        <v>https://miland.ru/api/getInfo/item/86308a34-12cb-11eb-a25d-ac1f6b442184</v>
      </c>
      <c r="AB5649" s="35" t="s">
        <v>50</v>
      </c>
      <c r="AC5649" s="35"/>
      <c r="AD5649" s="35"/>
      <c r="AE5649" s="52" t="s">
        <v>1251</v>
      </c>
    </row>
    <row r="5650" spans="2:31" ht="12" customHeight="1" outlineLevel="5">
      <c r="B5650" s="70" t="s">
        <v>20147</v>
      </c>
      <c r="C5650" s="70"/>
      <c r="D5650" s="70"/>
      <c r="E5650" s="70"/>
      <c r="F5650" s="70"/>
      <c r="G5650" s="70"/>
    </row>
    <row r="5651" spans="2:31" s="1" customFormat="1" ht="96.3" customHeight="1" outlineLevel="6">
      <c r="B5651" s="59">
        <v>4613</v>
      </c>
      <c r="C5651" s="35" t="s">
        <v>20148</v>
      </c>
      <c r="D5651" s="73" t="s">
        <v>20149</v>
      </c>
      <c r="E5651" s="73"/>
      <c r="F5651" s="73"/>
      <c r="G5651" s="73"/>
      <c r="H5651" s="36" t="s">
        <v>20150</v>
      </c>
      <c r="I5651" s="56" t="s">
        <v>36</v>
      </c>
      <c r="J5651" s="36"/>
      <c r="K5651" s="34">
        <v>3</v>
      </c>
      <c r="L5651" s="41">
        <v>103.22666666666667</v>
      </c>
      <c r="M5651" s="11"/>
      <c r="N5651" s="36">
        <f>L5651*M5651</f>
        <v>0</v>
      </c>
      <c r="O5651" s="47">
        <f>0.27*M5651</f>
        <v>0</v>
      </c>
      <c r="P5651" s="43">
        <f>0.00056*M5651</f>
        <v>0</v>
      </c>
      <c r="Q5651" s="50"/>
      <c r="R5651" s="36" t="s">
        <v>20151</v>
      </c>
      <c r="S5651" s="36" t="s">
        <v>435</v>
      </c>
      <c r="T5651" s="35" t="str">
        <f>HYPERLINK("https://miland.ru/api/getInfo/image/b025cd1f-7792-11ec-a210-ac1f6b442185")</f>
        <v>https://miland.ru/api/getInfo/image/b025cd1f-7792-11ec-a210-ac1f6b442185</v>
      </c>
      <c r="U5651" s="35"/>
      <c r="V5651" s="35" t="s">
        <v>12327</v>
      </c>
      <c r="W5651" s="35" t="s">
        <v>12310</v>
      </c>
      <c r="X5651" s="35"/>
      <c r="Y5651" s="35" t="s">
        <v>41</v>
      </c>
      <c r="Z5651" s="35"/>
      <c r="AA5651" s="35" t="str">
        <f>HYPERLINK("https://miland.ru/api/getInfo/item/b025cd1f-7792-11ec-a210-ac1f6b442185")</f>
        <v>https://miland.ru/api/getInfo/item/b025cd1f-7792-11ec-a210-ac1f6b442185</v>
      </c>
      <c r="AB5651" s="35" t="s">
        <v>50</v>
      </c>
      <c r="AC5651" s="35"/>
      <c r="AD5651" s="35"/>
      <c r="AE5651" s="52" t="s">
        <v>1251</v>
      </c>
    </row>
    <row r="5652" spans="2:31" s="1" customFormat="1" ht="96.3" customHeight="1" outlineLevel="6">
      <c r="B5652" s="59">
        <v>4614</v>
      </c>
      <c r="C5652" s="35" t="s">
        <v>20152</v>
      </c>
      <c r="D5652" s="73" t="s">
        <v>20153</v>
      </c>
      <c r="E5652" s="73"/>
      <c r="F5652" s="73"/>
      <c r="G5652" s="73"/>
      <c r="H5652" s="36" t="s">
        <v>20154</v>
      </c>
      <c r="I5652" s="56" t="s">
        <v>36</v>
      </c>
      <c r="J5652" s="36"/>
      <c r="K5652" s="34">
        <v>3</v>
      </c>
      <c r="L5652" s="41">
        <v>103.22666666666667</v>
      </c>
      <c r="M5652" s="11"/>
      <c r="N5652" s="36">
        <f>L5652*M5652</f>
        <v>0</v>
      </c>
      <c r="O5652" s="47">
        <f>0.27*M5652</f>
        <v>0</v>
      </c>
      <c r="P5652" s="43">
        <f>0.00056*M5652</f>
        <v>0</v>
      </c>
      <c r="Q5652" s="50"/>
      <c r="R5652" s="36" t="s">
        <v>20155</v>
      </c>
      <c r="S5652" s="36" t="s">
        <v>435</v>
      </c>
      <c r="T5652" s="35" t="str">
        <f>HYPERLINK("https://miland.ru/api/getInfo/image/4816e637-7793-11ec-a210-ac1f6b442185")</f>
        <v>https://miland.ru/api/getInfo/image/4816e637-7793-11ec-a210-ac1f6b442185</v>
      </c>
      <c r="U5652" s="35"/>
      <c r="V5652" s="35" t="s">
        <v>12327</v>
      </c>
      <c r="W5652" s="35" t="s">
        <v>12310</v>
      </c>
      <c r="X5652" s="35"/>
      <c r="Y5652" s="35" t="s">
        <v>41</v>
      </c>
      <c r="Z5652" s="35"/>
      <c r="AA5652" s="35" t="str">
        <f>HYPERLINK("https://miland.ru/api/getInfo/item/4816e637-7793-11ec-a210-ac1f6b442185")</f>
        <v>https://miland.ru/api/getInfo/item/4816e637-7793-11ec-a210-ac1f6b442185</v>
      </c>
      <c r="AB5652" s="35" t="s">
        <v>50</v>
      </c>
      <c r="AC5652" s="35"/>
      <c r="AD5652" s="35"/>
      <c r="AE5652" s="52" t="s">
        <v>1251</v>
      </c>
    </row>
    <row r="5653" spans="2:31" s="1" customFormat="1" ht="96.3" customHeight="1" outlineLevel="6">
      <c r="B5653" s="59">
        <v>4615</v>
      </c>
      <c r="C5653" s="35" t="s">
        <v>20156</v>
      </c>
      <c r="D5653" s="73" t="s">
        <v>20157</v>
      </c>
      <c r="E5653" s="73"/>
      <c r="F5653" s="73"/>
      <c r="G5653" s="73"/>
      <c r="H5653" s="36" t="s">
        <v>20158</v>
      </c>
      <c r="I5653" s="56" t="s">
        <v>36</v>
      </c>
      <c r="J5653" s="36"/>
      <c r="K5653" s="34">
        <v>3</v>
      </c>
      <c r="L5653" s="41">
        <v>103.22666666666667</v>
      </c>
      <c r="M5653" s="11"/>
      <c r="N5653" s="36">
        <f>L5653*M5653</f>
        <v>0</v>
      </c>
      <c r="O5653" s="47">
        <f>0.27*M5653</f>
        <v>0</v>
      </c>
      <c r="P5653" s="43">
        <f>0.00056*M5653</f>
        <v>0</v>
      </c>
      <c r="Q5653" s="50"/>
      <c r="R5653" s="36" t="s">
        <v>20159</v>
      </c>
      <c r="S5653" s="36" t="s">
        <v>435</v>
      </c>
      <c r="T5653" s="35" t="str">
        <f>HYPERLINK("https://miland.ru/api/getInfo/image/6f226686-7793-11ec-a210-ac1f6b442185")</f>
        <v>https://miland.ru/api/getInfo/image/6f226686-7793-11ec-a210-ac1f6b442185</v>
      </c>
      <c r="U5653" s="35"/>
      <c r="V5653" s="35" t="s">
        <v>12327</v>
      </c>
      <c r="W5653" s="35" t="s">
        <v>12310</v>
      </c>
      <c r="X5653" s="35"/>
      <c r="Y5653" s="35" t="s">
        <v>41</v>
      </c>
      <c r="Z5653" s="35"/>
      <c r="AA5653" s="35" t="str">
        <f>HYPERLINK("https://miland.ru/api/getInfo/item/6f226686-7793-11ec-a210-ac1f6b442185")</f>
        <v>https://miland.ru/api/getInfo/item/6f226686-7793-11ec-a210-ac1f6b442185</v>
      </c>
      <c r="AB5653" s="35" t="s">
        <v>50</v>
      </c>
      <c r="AC5653" s="35"/>
      <c r="AD5653" s="35"/>
      <c r="AE5653" s="52" t="s">
        <v>1251</v>
      </c>
    </row>
    <row r="5654" spans="2:31" s="1" customFormat="1" ht="96.3" customHeight="1" outlineLevel="6">
      <c r="B5654" s="59">
        <v>4616</v>
      </c>
      <c r="C5654" s="35" t="s">
        <v>20160</v>
      </c>
      <c r="D5654" s="73" t="s">
        <v>20161</v>
      </c>
      <c r="E5654" s="73"/>
      <c r="F5654" s="73"/>
      <c r="G5654" s="73"/>
      <c r="H5654" s="36" t="s">
        <v>20162</v>
      </c>
      <c r="I5654" s="56" t="s">
        <v>36</v>
      </c>
      <c r="J5654" s="36"/>
      <c r="K5654" s="34">
        <v>3</v>
      </c>
      <c r="L5654" s="41">
        <v>103.22666666666667</v>
      </c>
      <c r="M5654" s="11"/>
      <c r="N5654" s="36">
        <f>L5654*M5654</f>
        <v>0</v>
      </c>
      <c r="O5654" s="42">
        <f>0.277*M5654</f>
        <v>0</v>
      </c>
      <c r="P5654" s="43">
        <f>0.00057*M5654</f>
        <v>0</v>
      </c>
      <c r="Q5654" s="50"/>
      <c r="R5654" s="36" t="s">
        <v>20163</v>
      </c>
      <c r="S5654" s="36" t="s">
        <v>435</v>
      </c>
      <c r="T5654" s="35" t="str">
        <f>HYPERLINK("https://miland.ru/api/getInfo/image/1ec3350a-7793-11ec-a210-ac1f6b442185")</f>
        <v>https://miland.ru/api/getInfo/image/1ec3350a-7793-11ec-a210-ac1f6b442185</v>
      </c>
      <c r="U5654" s="35"/>
      <c r="V5654" s="35" t="s">
        <v>12327</v>
      </c>
      <c r="W5654" s="35" t="s">
        <v>12310</v>
      </c>
      <c r="X5654" s="35"/>
      <c r="Y5654" s="35" t="s">
        <v>41</v>
      </c>
      <c r="Z5654" s="35"/>
      <c r="AA5654" s="35" t="str">
        <f>HYPERLINK("https://miland.ru/api/getInfo/item/1ec3350a-7793-11ec-a210-ac1f6b442185")</f>
        <v>https://miland.ru/api/getInfo/item/1ec3350a-7793-11ec-a210-ac1f6b442185</v>
      </c>
      <c r="AB5654" s="35" t="s">
        <v>50</v>
      </c>
      <c r="AC5654" s="35"/>
      <c r="AD5654" s="35"/>
      <c r="AE5654" s="52" t="s">
        <v>1251</v>
      </c>
    </row>
    <row r="5655" spans="2:31" ht="12" customHeight="1" outlineLevel="3">
      <c r="B5655" s="70" t="s">
        <v>20164</v>
      </c>
      <c r="C5655" s="70"/>
      <c r="D5655" s="70"/>
      <c r="E5655" s="70"/>
      <c r="F5655" s="70"/>
      <c r="G5655" s="70"/>
    </row>
    <row r="5656" spans="2:31" ht="12" customHeight="1" outlineLevel="4">
      <c r="B5656" s="70" t="s">
        <v>20165</v>
      </c>
      <c r="C5656" s="70"/>
      <c r="D5656" s="70"/>
      <c r="E5656" s="70"/>
      <c r="F5656" s="70"/>
      <c r="G5656" s="70"/>
    </row>
    <row r="5657" spans="2:31" ht="12" customHeight="1" outlineLevel="5">
      <c r="B5657" s="70" t="s">
        <v>20166</v>
      </c>
      <c r="C5657" s="70"/>
      <c r="D5657" s="70"/>
      <c r="E5657" s="70"/>
      <c r="F5657" s="70"/>
      <c r="G5657" s="70"/>
    </row>
    <row r="5658" spans="2:31" s="1" customFormat="1" ht="96.3" customHeight="1" outlineLevel="6">
      <c r="B5658" s="59">
        <v>4617</v>
      </c>
      <c r="C5658" s="35" t="s">
        <v>20167</v>
      </c>
      <c r="D5658" s="73" t="s">
        <v>20168</v>
      </c>
      <c r="E5658" s="73"/>
      <c r="F5658" s="73"/>
      <c r="G5658" s="73"/>
      <c r="H5658" s="36" t="s">
        <v>20169</v>
      </c>
      <c r="I5658" s="40">
        <v>7</v>
      </c>
      <c r="J5658" s="36"/>
      <c r="K5658" s="34">
        <v>7</v>
      </c>
      <c r="L5658" s="41">
        <v>33.08</v>
      </c>
      <c r="M5658" s="11"/>
      <c r="N5658" s="36">
        <f>L5658*M5658</f>
        <v>0</v>
      </c>
      <c r="O5658" s="42">
        <f>0.116*M5658</f>
        <v>0</v>
      </c>
      <c r="P5658" s="43">
        <f>0.00009*M5658</f>
        <v>0</v>
      </c>
      <c r="Q5658" s="50"/>
      <c r="R5658" s="36" t="s">
        <v>20170</v>
      </c>
      <c r="S5658" s="36" t="s">
        <v>435</v>
      </c>
      <c r="T5658" s="35" t="str">
        <f>HYPERLINK("https://miland.ru/api/getInfo/image/b99e9950-9ca7-11ed-a22e-00155d82e902")</f>
        <v>https://miland.ru/api/getInfo/image/b99e9950-9ca7-11ed-a22e-00155d82e902</v>
      </c>
      <c r="U5658" s="35"/>
      <c r="V5658" s="35" t="s">
        <v>12327</v>
      </c>
      <c r="W5658" s="35" t="s">
        <v>12310</v>
      </c>
      <c r="X5658" s="35"/>
      <c r="Y5658" s="35" t="s">
        <v>41</v>
      </c>
      <c r="Z5658" s="35"/>
      <c r="AA5658" s="35" t="str">
        <f>HYPERLINK("https://miland.ru/api/getInfo/item/b99e9950-9ca7-11ed-a22e-00155d82e902")</f>
        <v>https://miland.ru/api/getInfo/item/b99e9950-9ca7-11ed-a22e-00155d82e902</v>
      </c>
      <c r="AB5658" s="35" t="s">
        <v>50</v>
      </c>
      <c r="AC5658" s="35"/>
      <c r="AD5658" s="35"/>
      <c r="AE5658" s="52" t="s">
        <v>1251</v>
      </c>
    </row>
    <row r="5659" spans="2:31" s="1" customFormat="1" ht="96.3" customHeight="1" outlineLevel="6">
      <c r="B5659" s="59">
        <v>4618</v>
      </c>
      <c r="C5659" s="35" t="s">
        <v>20171</v>
      </c>
      <c r="D5659" s="73" t="s">
        <v>20172</v>
      </c>
      <c r="E5659" s="73"/>
      <c r="F5659" s="73"/>
      <c r="G5659" s="73"/>
      <c r="H5659" s="36" t="s">
        <v>20173</v>
      </c>
      <c r="I5659" s="40">
        <v>448</v>
      </c>
      <c r="J5659" s="36"/>
      <c r="K5659" s="34">
        <v>10</v>
      </c>
      <c r="L5659" s="41">
        <v>24.813333333333333</v>
      </c>
      <c r="M5659" s="11"/>
      <c r="N5659" s="36">
        <f>L5659*M5659</f>
        <v>0</v>
      </c>
      <c r="O5659" s="47">
        <f>0.11*M5659</f>
        <v>0</v>
      </c>
      <c r="P5659" s="43">
        <f>0.00018*M5659</f>
        <v>0</v>
      </c>
      <c r="Q5659" s="50"/>
      <c r="R5659" s="36" t="s">
        <v>20174</v>
      </c>
      <c r="S5659" s="36" t="s">
        <v>435</v>
      </c>
      <c r="T5659" s="35" t="str">
        <f>HYPERLINK("https://miland.ru/api/getInfo/image/fb16819f-9ca9-11ed-a22e-00155d82e902")</f>
        <v>https://miland.ru/api/getInfo/image/fb16819f-9ca9-11ed-a22e-00155d82e902</v>
      </c>
      <c r="U5659" s="35"/>
      <c r="V5659" s="35" t="s">
        <v>12327</v>
      </c>
      <c r="W5659" s="35" t="s">
        <v>12310</v>
      </c>
      <c r="X5659" s="35"/>
      <c r="Y5659" s="35" t="s">
        <v>41</v>
      </c>
      <c r="Z5659" s="35"/>
      <c r="AA5659" s="35" t="str">
        <f>HYPERLINK("https://miland.ru/api/getInfo/item/fb16819f-9ca9-11ed-a22e-00155d82e902")</f>
        <v>https://miland.ru/api/getInfo/item/fb16819f-9ca9-11ed-a22e-00155d82e902</v>
      </c>
      <c r="AB5659" s="35" t="s">
        <v>50</v>
      </c>
      <c r="AC5659" s="35"/>
      <c r="AD5659" s="35"/>
      <c r="AE5659" s="52" t="s">
        <v>1251</v>
      </c>
    </row>
    <row r="5660" spans="2:31" s="1" customFormat="1" ht="96.3" customHeight="1" outlineLevel="6">
      <c r="B5660" s="59">
        <v>4619</v>
      </c>
      <c r="C5660" s="35" t="s">
        <v>20175</v>
      </c>
      <c r="D5660" s="73" t="s">
        <v>20176</v>
      </c>
      <c r="E5660" s="73"/>
      <c r="F5660" s="73"/>
      <c r="G5660" s="73"/>
      <c r="H5660" s="36" t="s">
        <v>20177</v>
      </c>
      <c r="I5660" s="56" t="s">
        <v>36</v>
      </c>
      <c r="J5660" s="36"/>
      <c r="K5660" s="34">
        <v>10</v>
      </c>
      <c r="L5660" s="41">
        <v>24.813333333333333</v>
      </c>
      <c r="M5660" s="11"/>
      <c r="N5660" s="36">
        <f>L5660*M5660</f>
        <v>0</v>
      </c>
      <c r="O5660" s="42">
        <f>0.109*M5660</f>
        <v>0</v>
      </c>
      <c r="P5660" s="43">
        <f>0.00018*M5660</f>
        <v>0</v>
      </c>
      <c r="Q5660" s="50"/>
      <c r="R5660" s="36" t="s">
        <v>20178</v>
      </c>
      <c r="S5660" s="36" t="s">
        <v>435</v>
      </c>
      <c r="T5660" s="35" t="str">
        <f>HYPERLINK("https://miland.ru/api/getInfo/image/f9e0102f-9ca8-11ed-a22e-00155d82e902")</f>
        <v>https://miland.ru/api/getInfo/image/f9e0102f-9ca8-11ed-a22e-00155d82e902</v>
      </c>
      <c r="U5660" s="35"/>
      <c r="V5660" s="35" t="s">
        <v>12327</v>
      </c>
      <c r="W5660" s="35" t="s">
        <v>12310</v>
      </c>
      <c r="X5660" s="35"/>
      <c r="Y5660" s="35" t="s">
        <v>41</v>
      </c>
      <c r="Z5660" s="35"/>
      <c r="AA5660" s="35" t="str">
        <f>HYPERLINK("https://miland.ru/api/getInfo/item/f9e0102f-9ca8-11ed-a22e-00155d82e902")</f>
        <v>https://miland.ru/api/getInfo/item/f9e0102f-9ca8-11ed-a22e-00155d82e902</v>
      </c>
      <c r="AB5660" s="35" t="s">
        <v>50</v>
      </c>
      <c r="AC5660" s="35"/>
      <c r="AD5660" s="35"/>
      <c r="AE5660" s="52" t="s">
        <v>1251</v>
      </c>
    </row>
    <row r="5661" spans="2:31" s="1" customFormat="1" ht="96.3" customHeight="1" outlineLevel="6">
      <c r="B5661" s="59">
        <v>4620</v>
      </c>
      <c r="C5661" s="35" t="s">
        <v>20179</v>
      </c>
      <c r="D5661" s="73" t="s">
        <v>20180</v>
      </c>
      <c r="E5661" s="73"/>
      <c r="F5661" s="73"/>
      <c r="G5661" s="73"/>
      <c r="H5661" s="36" t="s">
        <v>20181</v>
      </c>
      <c r="I5661" s="56" t="s">
        <v>36</v>
      </c>
      <c r="J5661" s="36"/>
      <c r="K5661" s="34">
        <v>10</v>
      </c>
      <c r="L5661" s="41">
        <v>24.813333333333333</v>
      </c>
      <c r="M5661" s="11"/>
      <c r="N5661" s="36">
        <f>L5661*M5661</f>
        <v>0</v>
      </c>
      <c r="O5661" s="42">
        <f>0.106*M5661</f>
        <v>0</v>
      </c>
      <c r="P5661" s="43">
        <f>0.00021*M5661</f>
        <v>0</v>
      </c>
      <c r="Q5661" s="50"/>
      <c r="R5661" s="36" t="s">
        <v>20182</v>
      </c>
      <c r="S5661" s="36" t="s">
        <v>435</v>
      </c>
      <c r="T5661" s="35" t="str">
        <f>HYPERLINK("https://miland.ru/api/getInfo/image/a5f77792-9ca6-11ed-a22e-00155d82e902")</f>
        <v>https://miland.ru/api/getInfo/image/a5f77792-9ca6-11ed-a22e-00155d82e902</v>
      </c>
      <c r="U5661" s="35"/>
      <c r="V5661" s="35" t="s">
        <v>12327</v>
      </c>
      <c r="W5661" s="35" t="s">
        <v>12310</v>
      </c>
      <c r="X5661" s="35"/>
      <c r="Y5661" s="35" t="s">
        <v>41</v>
      </c>
      <c r="Z5661" s="35"/>
      <c r="AA5661" s="35" t="str">
        <f>HYPERLINK("https://miland.ru/api/getInfo/item/a5f77792-9ca6-11ed-a22e-00155d82e902")</f>
        <v>https://miland.ru/api/getInfo/item/a5f77792-9ca6-11ed-a22e-00155d82e902</v>
      </c>
      <c r="AB5661" s="35" t="s">
        <v>50</v>
      </c>
      <c r="AC5661" s="35"/>
      <c r="AD5661" s="35"/>
      <c r="AE5661" s="52" t="s">
        <v>1251</v>
      </c>
    </row>
    <row r="5662" spans="2:31" s="1" customFormat="1" ht="96.3" customHeight="1" outlineLevel="6">
      <c r="B5662" s="59">
        <v>4621</v>
      </c>
      <c r="C5662" s="35" t="s">
        <v>20183</v>
      </c>
      <c r="D5662" s="73" t="s">
        <v>20184</v>
      </c>
      <c r="E5662" s="73"/>
      <c r="F5662" s="73"/>
      <c r="G5662" s="73"/>
      <c r="H5662" s="36" t="s">
        <v>20185</v>
      </c>
      <c r="I5662" s="40">
        <v>27</v>
      </c>
      <c r="J5662" s="36"/>
      <c r="K5662" s="34">
        <v>14</v>
      </c>
      <c r="L5662" s="41">
        <v>21.506666666666664</v>
      </c>
      <c r="M5662" s="11"/>
      <c r="N5662" s="36">
        <f>L5662*M5662</f>
        <v>0</v>
      </c>
      <c r="O5662" s="47">
        <f>0.12*M5662</f>
        <v>0</v>
      </c>
      <c r="P5662" s="43">
        <f>0.00022*M5662</f>
        <v>0</v>
      </c>
      <c r="Q5662" s="50"/>
      <c r="R5662" s="36" t="s">
        <v>20186</v>
      </c>
      <c r="S5662" s="36" t="s">
        <v>435</v>
      </c>
      <c r="T5662" s="35" t="str">
        <f>HYPERLINK("https://miland.ru/api/getInfo/image/9db822ef-b812-11e9-a22e-ac1f6b442184")</f>
        <v>https://miland.ru/api/getInfo/image/9db822ef-b812-11e9-a22e-ac1f6b442184</v>
      </c>
      <c r="U5662" s="35"/>
      <c r="V5662" s="35" t="s">
        <v>12327</v>
      </c>
      <c r="W5662" s="35" t="s">
        <v>12310</v>
      </c>
      <c r="X5662" s="35"/>
      <c r="Y5662" s="35" t="s">
        <v>41</v>
      </c>
      <c r="Z5662" s="35"/>
      <c r="AA5662" s="35" t="str">
        <f>HYPERLINK("https://miland.ru/api/getInfo/item/9db822ef-b812-11e9-a22e-ac1f6b442184")</f>
        <v>https://miland.ru/api/getInfo/item/9db822ef-b812-11e9-a22e-ac1f6b442184</v>
      </c>
      <c r="AB5662" s="35" t="s">
        <v>50</v>
      </c>
      <c r="AC5662" s="35"/>
      <c r="AD5662" s="35"/>
      <c r="AE5662" s="52" t="s">
        <v>1251</v>
      </c>
    </row>
    <row r="5663" spans="2:31" ht="12" customHeight="1" outlineLevel="2">
      <c r="B5663" s="69" t="s">
        <v>20187</v>
      </c>
      <c r="C5663" s="69"/>
      <c r="D5663" s="69"/>
      <c r="E5663" s="69"/>
      <c r="F5663" s="69"/>
      <c r="G5663" s="69"/>
    </row>
    <row r="5664" spans="2:31" ht="12" customHeight="1" outlineLevel="3">
      <c r="B5664" s="70" t="s">
        <v>20188</v>
      </c>
      <c r="C5664" s="70"/>
      <c r="D5664" s="70"/>
      <c r="E5664" s="70"/>
      <c r="F5664" s="70"/>
      <c r="G5664" s="70"/>
    </row>
    <row r="5665" spans="2:31" s="1" customFormat="1" ht="96.3" customHeight="1" outlineLevel="4">
      <c r="B5665" s="59">
        <v>4622</v>
      </c>
      <c r="C5665" s="35" t="s">
        <v>20189</v>
      </c>
      <c r="D5665" s="73" t="s">
        <v>20190</v>
      </c>
      <c r="E5665" s="73"/>
      <c r="F5665" s="73"/>
      <c r="G5665" s="73"/>
      <c r="H5665" s="36" t="s">
        <v>20191</v>
      </c>
      <c r="I5665" s="40">
        <v>418</v>
      </c>
      <c r="J5665" s="36"/>
      <c r="K5665" s="34">
        <v>4</v>
      </c>
      <c r="L5665" s="41">
        <v>73.026666666666671</v>
      </c>
      <c r="M5665" s="11"/>
      <c r="N5665" s="36">
        <f t="shared" ref="N5665:N5670" si="317">L5665*M5665</f>
        <v>0</v>
      </c>
      <c r="O5665" s="42">
        <f>0.234*M5665</f>
        <v>0</v>
      </c>
      <c r="P5665" s="43">
        <f>0.00036*M5665</f>
        <v>0</v>
      </c>
      <c r="Q5665" s="50"/>
      <c r="R5665" s="36" t="s">
        <v>20192</v>
      </c>
      <c r="S5665" s="36" t="s">
        <v>435</v>
      </c>
      <c r="T5665" s="35" t="str">
        <f>HYPERLINK("https://miland.ru/api/getInfo/image/5c2328b2-ddb3-11ed-a233-00155d82e902")</f>
        <v>https://miland.ru/api/getInfo/image/5c2328b2-ddb3-11ed-a233-00155d82e902</v>
      </c>
      <c r="U5665" s="35"/>
      <c r="V5665" s="35" t="s">
        <v>12327</v>
      </c>
      <c r="W5665" s="35" t="s">
        <v>12310</v>
      </c>
      <c r="X5665" s="35"/>
      <c r="Y5665" s="35" t="s">
        <v>41</v>
      </c>
      <c r="Z5665" s="35"/>
      <c r="AA5665" s="35" t="str">
        <f>HYPERLINK("https://miland.ru/api/getInfo/item/5c2328b2-ddb3-11ed-a233-00155d82e902")</f>
        <v>https://miland.ru/api/getInfo/item/5c2328b2-ddb3-11ed-a233-00155d82e902</v>
      </c>
      <c r="AB5665" s="35" t="s">
        <v>50</v>
      </c>
      <c r="AC5665" s="35"/>
      <c r="AD5665" s="35"/>
      <c r="AE5665" s="52" t="s">
        <v>1251</v>
      </c>
    </row>
    <row r="5666" spans="2:31" s="1" customFormat="1" ht="96.3" customHeight="1" outlineLevel="4">
      <c r="B5666" s="59">
        <v>4623</v>
      </c>
      <c r="C5666" s="35" t="s">
        <v>20193</v>
      </c>
      <c r="D5666" s="73" t="s">
        <v>20194</v>
      </c>
      <c r="E5666" s="73"/>
      <c r="F5666" s="73"/>
      <c r="G5666" s="73"/>
      <c r="H5666" s="36" t="s">
        <v>20195</v>
      </c>
      <c r="I5666" s="56" t="s">
        <v>36</v>
      </c>
      <c r="J5666" s="36"/>
      <c r="K5666" s="34">
        <v>4</v>
      </c>
      <c r="L5666" s="41">
        <v>73.026666666666671</v>
      </c>
      <c r="M5666" s="11"/>
      <c r="N5666" s="36">
        <f t="shared" si="317"/>
        <v>0</v>
      </c>
      <c r="O5666" s="42">
        <f>0.235*M5666</f>
        <v>0</v>
      </c>
      <c r="P5666" s="43">
        <f>0.00039*M5666</f>
        <v>0</v>
      </c>
      <c r="Q5666" s="50"/>
      <c r="R5666" s="36" t="s">
        <v>20196</v>
      </c>
      <c r="S5666" s="36" t="s">
        <v>435</v>
      </c>
      <c r="T5666" s="35" t="str">
        <f>HYPERLINK("https://miland.ru/api/getInfo/image/16db156e-ddb3-11ed-a233-00155d82e902")</f>
        <v>https://miland.ru/api/getInfo/image/16db156e-ddb3-11ed-a233-00155d82e902</v>
      </c>
      <c r="U5666" s="35"/>
      <c r="V5666" s="35" t="s">
        <v>12327</v>
      </c>
      <c r="W5666" s="35" t="s">
        <v>12310</v>
      </c>
      <c r="X5666" s="35"/>
      <c r="Y5666" s="35" t="s">
        <v>41</v>
      </c>
      <c r="Z5666" s="35"/>
      <c r="AA5666" s="35" t="str">
        <f>HYPERLINK("https://miland.ru/api/getInfo/item/16db156e-ddb3-11ed-a233-00155d82e902")</f>
        <v>https://miland.ru/api/getInfo/item/16db156e-ddb3-11ed-a233-00155d82e902</v>
      </c>
      <c r="AB5666" s="35" t="s">
        <v>50</v>
      </c>
      <c r="AC5666" s="35"/>
      <c r="AD5666" s="35"/>
      <c r="AE5666" s="52" t="s">
        <v>1251</v>
      </c>
    </row>
    <row r="5667" spans="2:31" s="1" customFormat="1" ht="96.3" customHeight="1" outlineLevel="4">
      <c r="B5667" s="59">
        <v>4624</v>
      </c>
      <c r="C5667" s="35" t="s">
        <v>20197</v>
      </c>
      <c r="D5667" s="73" t="s">
        <v>20198</v>
      </c>
      <c r="E5667" s="73"/>
      <c r="F5667" s="73"/>
      <c r="G5667" s="73"/>
      <c r="H5667" s="36" t="s">
        <v>20199</v>
      </c>
      <c r="I5667" s="40">
        <v>488</v>
      </c>
      <c r="J5667" s="36"/>
      <c r="K5667" s="34">
        <v>4</v>
      </c>
      <c r="L5667" s="41">
        <v>73.026666666666671</v>
      </c>
      <c r="M5667" s="11"/>
      <c r="N5667" s="36">
        <f t="shared" si="317"/>
        <v>0</v>
      </c>
      <c r="O5667" s="42">
        <f>0.235*M5667</f>
        <v>0</v>
      </c>
      <c r="P5667" s="43">
        <f>0.00033*M5667</f>
        <v>0</v>
      </c>
      <c r="Q5667" s="50"/>
      <c r="R5667" s="36" t="s">
        <v>20200</v>
      </c>
      <c r="S5667" s="36" t="s">
        <v>435</v>
      </c>
      <c r="T5667" s="35" t="str">
        <f>HYPERLINK("https://miland.ru/api/getInfo/image/ca06672d-ddb1-11ed-a233-00155d82e902")</f>
        <v>https://miland.ru/api/getInfo/image/ca06672d-ddb1-11ed-a233-00155d82e902</v>
      </c>
      <c r="U5667" s="35"/>
      <c r="V5667" s="35" t="s">
        <v>12327</v>
      </c>
      <c r="W5667" s="35" t="s">
        <v>12310</v>
      </c>
      <c r="X5667" s="35"/>
      <c r="Y5667" s="35" t="s">
        <v>41</v>
      </c>
      <c r="Z5667" s="35"/>
      <c r="AA5667" s="35" t="str">
        <f>HYPERLINK("https://miland.ru/api/getInfo/item/ca06672d-ddb1-11ed-a233-00155d82e902")</f>
        <v>https://miland.ru/api/getInfo/item/ca06672d-ddb1-11ed-a233-00155d82e902</v>
      </c>
      <c r="AB5667" s="35" t="s">
        <v>50</v>
      </c>
      <c r="AC5667" s="35"/>
      <c r="AD5667" s="35"/>
      <c r="AE5667" s="52" t="s">
        <v>1251</v>
      </c>
    </row>
    <row r="5668" spans="2:31" s="1" customFormat="1" ht="96.3" customHeight="1" outlineLevel="4">
      <c r="B5668" s="59">
        <v>4625</v>
      </c>
      <c r="C5668" s="35" t="s">
        <v>20201</v>
      </c>
      <c r="D5668" s="73" t="s">
        <v>20202</v>
      </c>
      <c r="E5668" s="73"/>
      <c r="F5668" s="73"/>
      <c r="G5668" s="73"/>
      <c r="H5668" s="36" t="s">
        <v>20203</v>
      </c>
      <c r="I5668" s="56" t="s">
        <v>36</v>
      </c>
      <c r="J5668" s="36"/>
      <c r="K5668" s="34">
        <v>4</v>
      </c>
      <c r="L5668" s="41">
        <v>73.026666666666671</v>
      </c>
      <c r="M5668" s="11"/>
      <c r="N5668" s="36">
        <f t="shared" si="317"/>
        <v>0</v>
      </c>
      <c r="O5668" s="42">
        <f>0.236*M5668</f>
        <v>0</v>
      </c>
      <c r="P5668" s="43">
        <f>0.00013*M5668</f>
        <v>0</v>
      </c>
      <c r="Q5668" s="50"/>
      <c r="R5668" s="36" t="s">
        <v>20204</v>
      </c>
      <c r="S5668" s="36" t="s">
        <v>435</v>
      </c>
      <c r="T5668" s="35" t="str">
        <f>HYPERLINK("https://miland.ru/api/getInfo/image/093734b6-ddb2-11ed-a233-00155d82e902")</f>
        <v>https://miland.ru/api/getInfo/image/093734b6-ddb2-11ed-a233-00155d82e902</v>
      </c>
      <c r="U5668" s="35"/>
      <c r="V5668" s="35" t="s">
        <v>12327</v>
      </c>
      <c r="W5668" s="35" t="s">
        <v>12310</v>
      </c>
      <c r="X5668" s="35"/>
      <c r="Y5668" s="35" t="s">
        <v>41</v>
      </c>
      <c r="Z5668" s="35"/>
      <c r="AA5668" s="35" t="str">
        <f>HYPERLINK("https://miland.ru/api/getInfo/item/093734b6-ddb2-11ed-a233-00155d82e902")</f>
        <v>https://miland.ru/api/getInfo/item/093734b6-ddb2-11ed-a233-00155d82e902</v>
      </c>
      <c r="AB5668" s="35" t="s">
        <v>50</v>
      </c>
      <c r="AC5668" s="35"/>
      <c r="AD5668" s="35"/>
      <c r="AE5668" s="52" t="s">
        <v>1251</v>
      </c>
    </row>
    <row r="5669" spans="2:31" s="1" customFormat="1" ht="96.3" customHeight="1" outlineLevel="4">
      <c r="B5669" s="59">
        <v>4626</v>
      </c>
      <c r="C5669" s="35" t="s">
        <v>20205</v>
      </c>
      <c r="D5669" s="73" t="s">
        <v>20206</v>
      </c>
      <c r="E5669" s="73"/>
      <c r="F5669" s="73"/>
      <c r="G5669" s="73"/>
      <c r="H5669" s="36" t="s">
        <v>20207</v>
      </c>
      <c r="I5669" s="56" t="s">
        <v>36</v>
      </c>
      <c r="J5669" s="36"/>
      <c r="K5669" s="34">
        <v>4</v>
      </c>
      <c r="L5669" s="41">
        <v>73.026666666666671</v>
      </c>
      <c r="M5669" s="11"/>
      <c r="N5669" s="36">
        <f t="shared" si="317"/>
        <v>0</v>
      </c>
      <c r="O5669" s="42">
        <f>0.234*M5669</f>
        <v>0</v>
      </c>
      <c r="P5669" s="43">
        <f>0.00026*M5669</f>
        <v>0</v>
      </c>
      <c r="Q5669" s="50"/>
      <c r="R5669" s="36" t="s">
        <v>20208</v>
      </c>
      <c r="S5669" s="36" t="s">
        <v>435</v>
      </c>
      <c r="T5669" s="35" t="str">
        <f>HYPERLINK("https://miland.ru/api/getInfo/image/6f1e378a-ddb1-11ed-a233-00155d82e902")</f>
        <v>https://miland.ru/api/getInfo/image/6f1e378a-ddb1-11ed-a233-00155d82e902</v>
      </c>
      <c r="U5669" s="35"/>
      <c r="V5669" s="35" t="s">
        <v>12327</v>
      </c>
      <c r="W5669" s="35" t="s">
        <v>12310</v>
      </c>
      <c r="X5669" s="35"/>
      <c r="Y5669" s="35" t="s">
        <v>41</v>
      </c>
      <c r="Z5669" s="35"/>
      <c r="AA5669" s="35" t="str">
        <f>HYPERLINK("https://miland.ru/api/getInfo/item/6f1e378a-ddb1-11ed-a233-00155d82e902")</f>
        <v>https://miland.ru/api/getInfo/item/6f1e378a-ddb1-11ed-a233-00155d82e902</v>
      </c>
      <c r="AB5669" s="35" t="s">
        <v>50</v>
      </c>
      <c r="AC5669" s="35"/>
      <c r="AD5669" s="35"/>
      <c r="AE5669" s="52" t="s">
        <v>1251</v>
      </c>
    </row>
    <row r="5670" spans="2:31" s="1" customFormat="1" ht="96.3" customHeight="1" outlineLevel="4">
      <c r="B5670" s="59">
        <v>4627</v>
      </c>
      <c r="C5670" s="35" t="s">
        <v>20209</v>
      </c>
      <c r="D5670" s="73" t="s">
        <v>20210</v>
      </c>
      <c r="E5670" s="73"/>
      <c r="F5670" s="73"/>
      <c r="G5670" s="73"/>
      <c r="H5670" s="36" t="s">
        <v>20211</v>
      </c>
      <c r="I5670" s="56" t="s">
        <v>36</v>
      </c>
      <c r="J5670" s="36"/>
      <c r="K5670" s="34">
        <v>4</v>
      </c>
      <c r="L5670" s="41">
        <v>73.026666666666671</v>
      </c>
      <c r="M5670" s="11"/>
      <c r="N5670" s="36">
        <f t="shared" si="317"/>
        <v>0</v>
      </c>
      <c r="O5670" s="42">
        <f>0.236*M5670</f>
        <v>0</v>
      </c>
      <c r="P5670" s="43">
        <f>0.00036*M5670</f>
        <v>0</v>
      </c>
      <c r="Q5670" s="50"/>
      <c r="R5670" s="36" t="s">
        <v>20212</v>
      </c>
      <c r="S5670" s="36" t="s">
        <v>435</v>
      </c>
      <c r="T5670" s="35" t="str">
        <f>HYPERLINK("https://miland.ru/api/getInfo/image/8c292677-ddb2-11ed-a233-00155d82e902")</f>
        <v>https://miland.ru/api/getInfo/image/8c292677-ddb2-11ed-a233-00155d82e902</v>
      </c>
      <c r="U5670" s="35"/>
      <c r="V5670" s="35" t="s">
        <v>12327</v>
      </c>
      <c r="W5670" s="35" t="s">
        <v>12310</v>
      </c>
      <c r="X5670" s="35"/>
      <c r="Y5670" s="35" t="s">
        <v>41</v>
      </c>
      <c r="Z5670" s="35"/>
      <c r="AA5670" s="35" t="str">
        <f>HYPERLINK("https://miland.ru/api/getInfo/item/8c292677-ddb2-11ed-a233-00155d82e902")</f>
        <v>https://miland.ru/api/getInfo/item/8c292677-ddb2-11ed-a233-00155d82e902</v>
      </c>
      <c r="AB5670" s="35" t="s">
        <v>50</v>
      </c>
      <c r="AC5670" s="35"/>
      <c r="AD5670" s="35"/>
      <c r="AE5670" s="52" t="s">
        <v>1251</v>
      </c>
    </row>
    <row r="5671" spans="2:31" ht="12" customHeight="1" outlineLevel="3">
      <c r="B5671" s="70" t="s">
        <v>20213</v>
      </c>
      <c r="C5671" s="70"/>
      <c r="D5671" s="70"/>
      <c r="E5671" s="70"/>
      <c r="F5671" s="70"/>
      <c r="G5671" s="70"/>
    </row>
    <row r="5672" spans="2:31" s="1" customFormat="1" ht="96.3" customHeight="1" outlineLevel="4">
      <c r="B5672" s="59">
        <v>4628</v>
      </c>
      <c r="C5672" s="35" t="s">
        <v>20214</v>
      </c>
      <c r="D5672" s="73" t="s">
        <v>20215</v>
      </c>
      <c r="E5672" s="73"/>
      <c r="F5672" s="73"/>
      <c r="G5672" s="73"/>
      <c r="H5672" s="36" t="s">
        <v>20216</v>
      </c>
      <c r="I5672" s="40">
        <v>103</v>
      </c>
      <c r="J5672" s="36"/>
      <c r="K5672" s="34">
        <v>3</v>
      </c>
      <c r="L5672" s="41">
        <v>101.02666666666666</v>
      </c>
      <c r="M5672" s="11"/>
      <c r="N5672" s="36">
        <f t="shared" ref="N5672:N5682" si="318">L5672*M5672</f>
        <v>0</v>
      </c>
      <c r="O5672" s="42">
        <f>0.301*M5672</f>
        <v>0</v>
      </c>
      <c r="P5672" s="43">
        <f>0.00047*M5672</f>
        <v>0</v>
      </c>
      <c r="Q5672" s="50"/>
      <c r="R5672" s="36" t="s">
        <v>20217</v>
      </c>
      <c r="S5672" s="36" t="s">
        <v>435</v>
      </c>
      <c r="T5672" s="35" t="str">
        <f>HYPERLINK("https://miland.ru/api/getInfo/image/8d3f1dee-ddb1-11ed-a233-00155d82e902")</f>
        <v>https://miland.ru/api/getInfo/image/8d3f1dee-ddb1-11ed-a233-00155d82e902</v>
      </c>
      <c r="U5672" s="35"/>
      <c r="V5672" s="35" t="s">
        <v>12327</v>
      </c>
      <c r="W5672" s="35" t="s">
        <v>12310</v>
      </c>
      <c r="X5672" s="35"/>
      <c r="Y5672" s="35" t="s">
        <v>41</v>
      </c>
      <c r="Z5672" s="35"/>
      <c r="AA5672" s="35" t="str">
        <f>HYPERLINK("https://miland.ru/api/getInfo/item/8d3f1dee-ddb1-11ed-a233-00155d82e902")</f>
        <v>https://miland.ru/api/getInfo/item/8d3f1dee-ddb1-11ed-a233-00155d82e902</v>
      </c>
      <c r="AB5672" s="35" t="s">
        <v>50</v>
      </c>
      <c r="AC5672" s="35"/>
      <c r="AD5672" s="35"/>
      <c r="AE5672" s="52" t="s">
        <v>1251</v>
      </c>
    </row>
    <row r="5673" spans="2:31" s="1" customFormat="1" ht="96.3" customHeight="1" outlineLevel="4">
      <c r="B5673" s="59">
        <v>4629</v>
      </c>
      <c r="C5673" s="35" t="s">
        <v>20218</v>
      </c>
      <c r="D5673" s="73" t="s">
        <v>20219</v>
      </c>
      <c r="E5673" s="73"/>
      <c r="F5673" s="73"/>
      <c r="G5673" s="73"/>
      <c r="H5673" s="36" t="s">
        <v>20220</v>
      </c>
      <c r="I5673" s="56" t="s">
        <v>36</v>
      </c>
      <c r="J5673" s="36"/>
      <c r="K5673" s="34">
        <v>3</v>
      </c>
      <c r="L5673" s="41">
        <v>101.02666666666666</v>
      </c>
      <c r="M5673" s="11"/>
      <c r="N5673" s="36">
        <f t="shared" si="318"/>
        <v>0</v>
      </c>
      <c r="O5673" s="42">
        <f>0.302*M5673</f>
        <v>0</v>
      </c>
      <c r="P5673" s="43">
        <f>0.00047*M5673</f>
        <v>0</v>
      </c>
      <c r="Q5673" s="50"/>
      <c r="R5673" s="36" t="s">
        <v>20221</v>
      </c>
      <c r="S5673" s="36" t="s">
        <v>435</v>
      </c>
      <c r="T5673" s="35" t="str">
        <f>HYPERLINK("https://miland.ru/api/getInfo/image/da9a4718-ddb1-11ed-a233-00155d82e902")</f>
        <v>https://miland.ru/api/getInfo/image/da9a4718-ddb1-11ed-a233-00155d82e902</v>
      </c>
      <c r="U5673" s="35"/>
      <c r="V5673" s="35" t="s">
        <v>12327</v>
      </c>
      <c r="W5673" s="35" t="s">
        <v>12310</v>
      </c>
      <c r="X5673" s="35"/>
      <c r="Y5673" s="35" t="s">
        <v>41</v>
      </c>
      <c r="Z5673" s="35"/>
      <c r="AA5673" s="35" t="str">
        <f>HYPERLINK("https://miland.ru/api/getInfo/item/da9a4718-ddb1-11ed-a233-00155d82e902")</f>
        <v>https://miland.ru/api/getInfo/item/da9a4718-ddb1-11ed-a233-00155d82e902</v>
      </c>
      <c r="AB5673" s="35" t="s">
        <v>50</v>
      </c>
      <c r="AC5673" s="35"/>
      <c r="AD5673" s="35"/>
      <c r="AE5673" s="52" t="s">
        <v>1251</v>
      </c>
    </row>
    <row r="5674" spans="2:31" s="1" customFormat="1" ht="96.3" customHeight="1" outlineLevel="4">
      <c r="B5674" s="59">
        <v>4630</v>
      </c>
      <c r="C5674" s="35" t="s">
        <v>20222</v>
      </c>
      <c r="D5674" s="73" t="s">
        <v>20223</v>
      </c>
      <c r="E5674" s="73"/>
      <c r="F5674" s="73"/>
      <c r="G5674" s="73"/>
      <c r="H5674" s="36" t="s">
        <v>20224</v>
      </c>
      <c r="I5674" s="40">
        <v>233</v>
      </c>
      <c r="J5674" s="36"/>
      <c r="K5674" s="34">
        <v>3</v>
      </c>
      <c r="L5674" s="41">
        <v>101.02666666666666</v>
      </c>
      <c r="M5674" s="11"/>
      <c r="N5674" s="36">
        <f t="shared" si="318"/>
        <v>0</v>
      </c>
      <c r="O5674" s="42">
        <f>0.297*M5674</f>
        <v>0</v>
      </c>
      <c r="P5674" s="55">
        <f>0.0005*M5674</f>
        <v>0</v>
      </c>
      <c r="Q5674" s="50"/>
      <c r="R5674" s="36" t="s">
        <v>20225</v>
      </c>
      <c r="S5674" s="36" t="s">
        <v>435</v>
      </c>
      <c r="T5674" s="35" t="str">
        <f>HYPERLINK("https://miland.ru/api/getInfo/image/62ebd6bd-ddb2-11ed-a233-00155d82e902")</f>
        <v>https://miland.ru/api/getInfo/image/62ebd6bd-ddb2-11ed-a233-00155d82e902</v>
      </c>
      <c r="U5674" s="35"/>
      <c r="V5674" s="35" t="s">
        <v>12327</v>
      </c>
      <c r="W5674" s="35" t="s">
        <v>12310</v>
      </c>
      <c r="X5674" s="35"/>
      <c r="Y5674" s="35" t="s">
        <v>41</v>
      </c>
      <c r="Z5674" s="35"/>
      <c r="AA5674" s="35" t="str">
        <f>HYPERLINK("https://miland.ru/api/getInfo/item/62ebd6bd-ddb2-11ed-a233-00155d82e902")</f>
        <v>https://miland.ru/api/getInfo/item/62ebd6bd-ddb2-11ed-a233-00155d82e902</v>
      </c>
      <c r="AB5674" s="35" t="s">
        <v>50</v>
      </c>
      <c r="AC5674" s="35"/>
      <c r="AD5674" s="35"/>
      <c r="AE5674" s="52" t="s">
        <v>1251</v>
      </c>
    </row>
    <row r="5675" spans="2:31" s="1" customFormat="1" ht="96.3" customHeight="1" outlineLevel="4">
      <c r="B5675" s="59">
        <v>4631</v>
      </c>
      <c r="C5675" s="35" t="s">
        <v>20226</v>
      </c>
      <c r="D5675" s="73" t="s">
        <v>20227</v>
      </c>
      <c r="E5675" s="73"/>
      <c r="F5675" s="73"/>
      <c r="G5675" s="73"/>
      <c r="H5675" s="36" t="s">
        <v>20228</v>
      </c>
      <c r="I5675" s="40">
        <v>5</v>
      </c>
      <c r="J5675" s="36"/>
      <c r="K5675" s="34">
        <v>3</v>
      </c>
      <c r="L5675" s="41">
        <v>101.02666666666666</v>
      </c>
      <c r="M5675" s="11"/>
      <c r="N5675" s="36">
        <f t="shared" si="318"/>
        <v>0</v>
      </c>
      <c r="O5675" s="42">
        <f>0.306*M5675</f>
        <v>0</v>
      </c>
      <c r="P5675" s="43">
        <f>0.00051*M5675</f>
        <v>0</v>
      </c>
      <c r="Q5675" s="50"/>
      <c r="R5675" s="36" t="s">
        <v>20229</v>
      </c>
      <c r="S5675" s="36" t="s">
        <v>435</v>
      </c>
      <c r="T5675" s="35" t="str">
        <f>HYPERLINK("https://miland.ru/api/getInfo/image/e18ba496-ddb2-11ed-a233-00155d82e902")</f>
        <v>https://miland.ru/api/getInfo/image/e18ba496-ddb2-11ed-a233-00155d82e902</v>
      </c>
      <c r="U5675" s="35"/>
      <c r="V5675" s="35" t="s">
        <v>12327</v>
      </c>
      <c r="W5675" s="35" t="s">
        <v>12310</v>
      </c>
      <c r="X5675" s="35"/>
      <c r="Y5675" s="35" t="s">
        <v>41</v>
      </c>
      <c r="Z5675" s="35"/>
      <c r="AA5675" s="35" t="str">
        <f>HYPERLINK("https://miland.ru/api/getInfo/item/e18ba496-ddb2-11ed-a233-00155d82e902")</f>
        <v>https://miland.ru/api/getInfo/item/e18ba496-ddb2-11ed-a233-00155d82e902</v>
      </c>
      <c r="AB5675" s="35" t="s">
        <v>50</v>
      </c>
      <c r="AC5675" s="35"/>
      <c r="AD5675" s="35"/>
      <c r="AE5675" s="52" t="s">
        <v>1251</v>
      </c>
    </row>
    <row r="5676" spans="2:31" s="1" customFormat="1" ht="96.3" customHeight="1" outlineLevel="4">
      <c r="B5676" s="59">
        <v>4632</v>
      </c>
      <c r="C5676" s="35" t="s">
        <v>20230</v>
      </c>
      <c r="D5676" s="73" t="s">
        <v>20231</v>
      </c>
      <c r="E5676" s="73"/>
      <c r="F5676" s="73"/>
      <c r="G5676" s="73"/>
      <c r="H5676" s="36" t="s">
        <v>20232</v>
      </c>
      <c r="I5676" s="56" t="s">
        <v>36</v>
      </c>
      <c r="J5676" s="36"/>
      <c r="K5676" s="34">
        <v>3</v>
      </c>
      <c r="L5676" s="41">
        <v>101.02666666666666</v>
      </c>
      <c r="M5676" s="11"/>
      <c r="N5676" s="36">
        <f t="shared" si="318"/>
        <v>0</v>
      </c>
      <c r="O5676" s="42">
        <f>0.302*M5676</f>
        <v>0</v>
      </c>
      <c r="P5676" s="43">
        <f>0.00053*M5676</f>
        <v>0</v>
      </c>
      <c r="Q5676" s="50"/>
      <c r="R5676" s="36" t="s">
        <v>20233</v>
      </c>
      <c r="S5676" s="36" t="s">
        <v>435</v>
      </c>
      <c r="T5676" s="35" t="str">
        <f>HYPERLINK("https://miland.ru/api/getInfo/image/0db463b5-ddb2-11ed-a233-00155d82e902")</f>
        <v>https://miland.ru/api/getInfo/image/0db463b5-ddb2-11ed-a233-00155d82e902</v>
      </c>
      <c r="U5676" s="35"/>
      <c r="V5676" s="35" t="s">
        <v>12327</v>
      </c>
      <c r="W5676" s="35" t="s">
        <v>12310</v>
      </c>
      <c r="X5676" s="35"/>
      <c r="Y5676" s="35" t="s">
        <v>41</v>
      </c>
      <c r="Z5676" s="35"/>
      <c r="AA5676" s="35" t="str">
        <f>HYPERLINK("https://miland.ru/api/getInfo/item/0db463b5-ddb2-11ed-a233-00155d82e902")</f>
        <v>https://miland.ru/api/getInfo/item/0db463b5-ddb2-11ed-a233-00155d82e902</v>
      </c>
      <c r="AB5676" s="35" t="s">
        <v>50</v>
      </c>
      <c r="AC5676" s="35"/>
      <c r="AD5676" s="35"/>
      <c r="AE5676" s="52" t="s">
        <v>1251</v>
      </c>
    </row>
    <row r="5677" spans="2:31" s="1" customFormat="1" ht="96.3" customHeight="1" outlineLevel="4">
      <c r="B5677" s="59">
        <v>4633</v>
      </c>
      <c r="C5677" s="35" t="s">
        <v>20234</v>
      </c>
      <c r="D5677" s="73" t="s">
        <v>20235</v>
      </c>
      <c r="E5677" s="73"/>
      <c r="F5677" s="73"/>
      <c r="G5677" s="73"/>
      <c r="H5677" s="36" t="s">
        <v>20236</v>
      </c>
      <c r="I5677" s="56" t="s">
        <v>36</v>
      </c>
      <c r="J5677" s="36"/>
      <c r="K5677" s="34">
        <v>3</v>
      </c>
      <c r="L5677" s="41">
        <v>101.02666666666666</v>
      </c>
      <c r="M5677" s="11"/>
      <c r="N5677" s="36">
        <f t="shared" si="318"/>
        <v>0</v>
      </c>
      <c r="O5677" s="42">
        <f>0.306*M5677</f>
        <v>0</v>
      </c>
      <c r="P5677" s="43">
        <f>0.00051*M5677</f>
        <v>0</v>
      </c>
      <c r="Q5677" s="50"/>
      <c r="R5677" s="36" t="s">
        <v>20237</v>
      </c>
      <c r="S5677" s="36" t="s">
        <v>435</v>
      </c>
      <c r="T5677" s="35" t="str">
        <f>HYPERLINK("https://miland.ru/api/getInfo/image/32f2cf42-ddb2-11ed-a233-00155d82e902")</f>
        <v>https://miland.ru/api/getInfo/image/32f2cf42-ddb2-11ed-a233-00155d82e902</v>
      </c>
      <c r="U5677" s="35"/>
      <c r="V5677" s="35" t="s">
        <v>12327</v>
      </c>
      <c r="W5677" s="35" t="s">
        <v>12310</v>
      </c>
      <c r="X5677" s="35"/>
      <c r="Y5677" s="35" t="s">
        <v>41</v>
      </c>
      <c r="Z5677" s="35"/>
      <c r="AA5677" s="35" t="str">
        <f>HYPERLINK("https://miland.ru/api/getInfo/item/32f2cf42-ddb2-11ed-a233-00155d82e902")</f>
        <v>https://miland.ru/api/getInfo/item/32f2cf42-ddb2-11ed-a233-00155d82e902</v>
      </c>
      <c r="AB5677" s="35" t="s">
        <v>50</v>
      </c>
      <c r="AC5677" s="35"/>
      <c r="AD5677" s="35"/>
      <c r="AE5677" s="52" t="s">
        <v>1251</v>
      </c>
    </row>
    <row r="5678" spans="2:31" s="1" customFormat="1" ht="96.3" customHeight="1" outlineLevel="4">
      <c r="B5678" s="59">
        <v>4634</v>
      </c>
      <c r="C5678" s="35" t="s">
        <v>20238</v>
      </c>
      <c r="D5678" s="73" t="s">
        <v>20239</v>
      </c>
      <c r="E5678" s="73"/>
      <c r="F5678" s="73"/>
      <c r="G5678" s="73"/>
      <c r="H5678" s="36" t="s">
        <v>20240</v>
      </c>
      <c r="I5678" s="40">
        <v>350</v>
      </c>
      <c r="J5678" s="36"/>
      <c r="K5678" s="34">
        <v>3</v>
      </c>
      <c r="L5678" s="41">
        <v>101.02666666666666</v>
      </c>
      <c r="M5678" s="11"/>
      <c r="N5678" s="36">
        <f t="shared" si="318"/>
        <v>0</v>
      </c>
      <c r="O5678" s="42">
        <f>0.302*M5678</f>
        <v>0</v>
      </c>
      <c r="P5678" s="43">
        <f>0.00053*M5678</f>
        <v>0</v>
      </c>
      <c r="Q5678" s="50"/>
      <c r="R5678" s="36" t="s">
        <v>20241</v>
      </c>
      <c r="S5678" s="36" t="s">
        <v>435</v>
      </c>
      <c r="T5678" s="35" t="str">
        <f>HYPERLINK("https://miland.ru/api/getInfo/image/8b8967b9-ddb2-11ed-a233-00155d82e902")</f>
        <v>https://miland.ru/api/getInfo/image/8b8967b9-ddb2-11ed-a233-00155d82e902</v>
      </c>
      <c r="U5678" s="35"/>
      <c r="V5678" s="35" t="s">
        <v>12327</v>
      </c>
      <c r="W5678" s="35" t="s">
        <v>12310</v>
      </c>
      <c r="X5678" s="35"/>
      <c r="Y5678" s="35" t="s">
        <v>41</v>
      </c>
      <c r="Z5678" s="35"/>
      <c r="AA5678" s="35" t="str">
        <f>HYPERLINK("https://miland.ru/api/getInfo/item/8b8967b9-ddb2-11ed-a233-00155d82e902")</f>
        <v>https://miland.ru/api/getInfo/item/8b8967b9-ddb2-11ed-a233-00155d82e902</v>
      </c>
      <c r="AB5678" s="35" t="s">
        <v>50</v>
      </c>
      <c r="AC5678" s="35"/>
      <c r="AD5678" s="35"/>
      <c r="AE5678" s="52" t="s">
        <v>1251</v>
      </c>
    </row>
    <row r="5679" spans="2:31" s="1" customFormat="1" ht="96.3" customHeight="1" outlineLevel="4">
      <c r="B5679" s="59">
        <v>4635</v>
      </c>
      <c r="C5679" s="35" t="s">
        <v>20242</v>
      </c>
      <c r="D5679" s="73" t="s">
        <v>20243</v>
      </c>
      <c r="E5679" s="73"/>
      <c r="F5679" s="73"/>
      <c r="G5679" s="73"/>
      <c r="H5679" s="36" t="s">
        <v>20244</v>
      </c>
      <c r="I5679" s="40">
        <v>65</v>
      </c>
      <c r="J5679" s="36"/>
      <c r="K5679" s="34">
        <v>3</v>
      </c>
      <c r="L5679" s="41">
        <v>109.30666666666667</v>
      </c>
      <c r="M5679" s="11"/>
      <c r="N5679" s="36">
        <f t="shared" si="318"/>
        <v>0</v>
      </c>
      <c r="O5679" s="42">
        <f>0.311*M5679</f>
        <v>0</v>
      </c>
      <c r="P5679" s="55">
        <f>0.0004*M5679</f>
        <v>0</v>
      </c>
      <c r="Q5679" s="50"/>
      <c r="R5679" s="36" t="s">
        <v>20245</v>
      </c>
      <c r="S5679" s="36" t="s">
        <v>435</v>
      </c>
      <c r="T5679" s="35" t="str">
        <f>HYPERLINK("https://miland.ru/api/getInfo/image/3d69a3fa-f1f7-11ec-a213-ac1f6b442185")</f>
        <v>https://miland.ru/api/getInfo/image/3d69a3fa-f1f7-11ec-a213-ac1f6b442185</v>
      </c>
      <c r="U5679" s="35"/>
      <c r="V5679" s="35" t="s">
        <v>12327</v>
      </c>
      <c r="W5679" s="35" t="s">
        <v>12310</v>
      </c>
      <c r="X5679" s="35"/>
      <c r="Y5679" s="35" t="s">
        <v>41</v>
      </c>
      <c r="Z5679" s="35"/>
      <c r="AA5679" s="35" t="str">
        <f>HYPERLINK("https://miland.ru/api/getInfo/item/3d69a3fa-f1f7-11ec-a213-ac1f6b442185")</f>
        <v>https://miland.ru/api/getInfo/item/3d69a3fa-f1f7-11ec-a213-ac1f6b442185</v>
      </c>
      <c r="AB5679" s="35" t="s">
        <v>50</v>
      </c>
      <c r="AC5679" s="35"/>
      <c r="AD5679" s="35"/>
      <c r="AE5679" s="52" t="s">
        <v>1251</v>
      </c>
    </row>
    <row r="5680" spans="2:31" s="1" customFormat="1" ht="96.3" customHeight="1" outlineLevel="4">
      <c r="B5680" s="59">
        <v>4636</v>
      </c>
      <c r="C5680" s="35" t="s">
        <v>20246</v>
      </c>
      <c r="D5680" s="73" t="s">
        <v>20247</v>
      </c>
      <c r="E5680" s="73"/>
      <c r="F5680" s="73"/>
      <c r="G5680" s="73"/>
      <c r="H5680" s="36" t="s">
        <v>20248</v>
      </c>
      <c r="I5680" s="40">
        <v>70</v>
      </c>
      <c r="J5680" s="36"/>
      <c r="K5680" s="34">
        <v>3</v>
      </c>
      <c r="L5680" s="41">
        <v>109.30666666666667</v>
      </c>
      <c r="M5680" s="11"/>
      <c r="N5680" s="36">
        <f t="shared" si="318"/>
        <v>0</v>
      </c>
      <c r="O5680" s="42">
        <f>0.299*M5680</f>
        <v>0</v>
      </c>
      <c r="P5680" s="43">
        <f>0.00031*M5680</f>
        <v>0</v>
      </c>
      <c r="Q5680" s="50"/>
      <c r="R5680" s="36" t="s">
        <v>20249</v>
      </c>
      <c r="S5680" s="36" t="s">
        <v>435</v>
      </c>
      <c r="T5680" s="35" t="str">
        <f>HYPERLINK("https://miland.ru/api/getInfo/image/e73ab5ce-f1f6-11ec-a213-ac1f6b442185")</f>
        <v>https://miland.ru/api/getInfo/image/e73ab5ce-f1f6-11ec-a213-ac1f6b442185</v>
      </c>
      <c r="U5680" s="35"/>
      <c r="V5680" s="35" t="s">
        <v>12327</v>
      </c>
      <c r="W5680" s="35" t="s">
        <v>12310</v>
      </c>
      <c r="X5680" s="35"/>
      <c r="Y5680" s="35" t="s">
        <v>41</v>
      </c>
      <c r="Z5680" s="35"/>
      <c r="AA5680" s="35" t="str">
        <f>HYPERLINK("https://miland.ru/api/getInfo/item/e73ab5ce-f1f6-11ec-a213-ac1f6b442185")</f>
        <v>https://miland.ru/api/getInfo/item/e73ab5ce-f1f6-11ec-a213-ac1f6b442185</v>
      </c>
      <c r="AB5680" s="35" t="s">
        <v>50</v>
      </c>
      <c r="AC5680" s="35"/>
      <c r="AD5680" s="35"/>
      <c r="AE5680" s="52" t="s">
        <v>1251</v>
      </c>
    </row>
    <row r="5681" spans="2:31" s="1" customFormat="1" ht="96.3" customHeight="1" outlineLevel="4">
      <c r="B5681" s="59">
        <v>4637</v>
      </c>
      <c r="C5681" s="35" t="s">
        <v>20250</v>
      </c>
      <c r="D5681" s="73" t="s">
        <v>20251</v>
      </c>
      <c r="E5681" s="73"/>
      <c r="F5681" s="73"/>
      <c r="G5681" s="73"/>
      <c r="H5681" s="36" t="s">
        <v>20252</v>
      </c>
      <c r="I5681" s="40">
        <v>47</v>
      </c>
      <c r="J5681" s="36"/>
      <c r="K5681" s="34">
        <v>3</v>
      </c>
      <c r="L5681" s="41">
        <v>109.30666666666667</v>
      </c>
      <c r="M5681" s="11"/>
      <c r="N5681" s="36">
        <f t="shared" si="318"/>
        <v>0</v>
      </c>
      <c r="O5681" s="61">
        <f>0.3*M5681</f>
        <v>0</v>
      </c>
      <c r="P5681" s="43">
        <f>0.00039*M5681</f>
        <v>0</v>
      </c>
      <c r="Q5681" s="50"/>
      <c r="R5681" s="36" t="s">
        <v>20253</v>
      </c>
      <c r="S5681" s="36" t="s">
        <v>435</v>
      </c>
      <c r="T5681" s="35" t="str">
        <f>HYPERLINK("https://miland.ru/api/getInfo/image/a442cfd7-f1f6-11ec-a213-ac1f6b442185")</f>
        <v>https://miland.ru/api/getInfo/image/a442cfd7-f1f6-11ec-a213-ac1f6b442185</v>
      </c>
      <c r="U5681" s="35"/>
      <c r="V5681" s="35" t="s">
        <v>12327</v>
      </c>
      <c r="W5681" s="35" t="s">
        <v>12310</v>
      </c>
      <c r="X5681" s="35"/>
      <c r="Y5681" s="35" t="s">
        <v>41</v>
      </c>
      <c r="Z5681" s="35"/>
      <c r="AA5681" s="35" t="str">
        <f>HYPERLINK("https://miland.ru/api/getInfo/item/a442cfd7-f1f6-11ec-a213-ac1f6b442185")</f>
        <v>https://miland.ru/api/getInfo/item/a442cfd7-f1f6-11ec-a213-ac1f6b442185</v>
      </c>
      <c r="AB5681" s="35" t="s">
        <v>50</v>
      </c>
      <c r="AC5681" s="35"/>
      <c r="AD5681" s="35"/>
      <c r="AE5681" s="52" t="s">
        <v>1251</v>
      </c>
    </row>
    <row r="5682" spans="2:31" s="1" customFormat="1" ht="96.3" customHeight="1" outlineLevel="4">
      <c r="B5682" s="59">
        <v>4638</v>
      </c>
      <c r="C5682" s="35" t="s">
        <v>20254</v>
      </c>
      <c r="D5682" s="73" t="s">
        <v>20255</v>
      </c>
      <c r="E5682" s="73"/>
      <c r="F5682" s="73"/>
      <c r="G5682" s="73"/>
      <c r="H5682" s="36" t="s">
        <v>20256</v>
      </c>
      <c r="I5682" s="40">
        <v>59</v>
      </c>
      <c r="J5682" s="36"/>
      <c r="K5682" s="34">
        <v>3</v>
      </c>
      <c r="L5682" s="41">
        <v>109.30666666666667</v>
      </c>
      <c r="M5682" s="11"/>
      <c r="N5682" s="36">
        <f t="shared" si="318"/>
        <v>0</v>
      </c>
      <c r="O5682" s="42">
        <f>0.306*M5682</f>
        <v>0</v>
      </c>
      <c r="P5682" s="43">
        <f>0.00044*M5682</f>
        <v>0</v>
      </c>
      <c r="Q5682" s="50"/>
      <c r="R5682" s="36" t="s">
        <v>20257</v>
      </c>
      <c r="S5682" s="36" t="s">
        <v>435</v>
      </c>
      <c r="T5682" s="35" t="str">
        <f>HYPERLINK("https://miland.ru/api/getInfo/image/6ec701b6-f1f7-11ec-a213-ac1f6b442185")</f>
        <v>https://miland.ru/api/getInfo/image/6ec701b6-f1f7-11ec-a213-ac1f6b442185</v>
      </c>
      <c r="U5682" s="35"/>
      <c r="V5682" s="35" t="s">
        <v>12327</v>
      </c>
      <c r="W5682" s="35" t="s">
        <v>12310</v>
      </c>
      <c r="X5682" s="35"/>
      <c r="Y5682" s="35" t="s">
        <v>41</v>
      </c>
      <c r="Z5682" s="35"/>
      <c r="AA5682" s="35" t="str">
        <f>HYPERLINK("https://miland.ru/api/getInfo/item/6ec701b6-f1f7-11ec-a213-ac1f6b442185")</f>
        <v>https://miland.ru/api/getInfo/item/6ec701b6-f1f7-11ec-a213-ac1f6b442185</v>
      </c>
      <c r="AB5682" s="35" t="s">
        <v>50</v>
      </c>
      <c r="AC5682" s="35"/>
      <c r="AD5682" s="35"/>
      <c r="AE5682" s="52" t="s">
        <v>1251</v>
      </c>
    </row>
    <row r="5683" spans="2:31" ht="12" customHeight="1" outlineLevel="2">
      <c r="B5683" s="69" t="s">
        <v>20258</v>
      </c>
      <c r="C5683" s="69"/>
      <c r="D5683" s="69"/>
      <c r="E5683" s="69"/>
      <c r="F5683" s="69"/>
      <c r="G5683" s="69"/>
    </row>
    <row r="5684" spans="2:31" ht="12" customHeight="1" outlineLevel="3">
      <c r="B5684" s="70" t="s">
        <v>20259</v>
      </c>
      <c r="C5684" s="70"/>
      <c r="D5684" s="70"/>
      <c r="E5684" s="70"/>
      <c r="F5684" s="70"/>
      <c r="G5684" s="70"/>
    </row>
    <row r="5685" spans="2:31" s="1" customFormat="1" ht="96.3" customHeight="1" outlineLevel="4">
      <c r="B5685" s="59">
        <v>4639</v>
      </c>
      <c r="C5685" s="35" t="s">
        <v>20260</v>
      </c>
      <c r="D5685" s="73" t="s">
        <v>20261</v>
      </c>
      <c r="E5685" s="73"/>
      <c r="F5685" s="73"/>
      <c r="G5685" s="73"/>
      <c r="H5685" s="36" t="s">
        <v>20262</v>
      </c>
      <c r="I5685" s="56" t="s">
        <v>36</v>
      </c>
      <c r="J5685" s="36"/>
      <c r="K5685" s="34">
        <v>5</v>
      </c>
      <c r="L5685" s="41">
        <v>59.146666666666668</v>
      </c>
      <c r="M5685" s="11"/>
      <c r="N5685" s="36">
        <f>L5685*M5685</f>
        <v>0</v>
      </c>
      <c r="O5685" s="42">
        <f>0.155*M5685</f>
        <v>0</v>
      </c>
      <c r="P5685" s="43">
        <f>0.00046*M5685</f>
        <v>0</v>
      </c>
      <c r="Q5685" s="50"/>
      <c r="R5685" s="36" t="s">
        <v>20263</v>
      </c>
      <c r="S5685" s="36" t="s">
        <v>435</v>
      </c>
      <c r="T5685" s="35" t="str">
        <f>HYPERLINK("https://miland.ru/api/getInfo/image/2486a040-b8c7-11ed-a230-00155d82e902")</f>
        <v>https://miland.ru/api/getInfo/image/2486a040-b8c7-11ed-a230-00155d82e902</v>
      </c>
      <c r="U5685" s="35"/>
      <c r="V5685" s="35"/>
      <c r="W5685" s="35" t="s">
        <v>20264</v>
      </c>
      <c r="X5685" s="35"/>
      <c r="Y5685" s="35" t="s">
        <v>41</v>
      </c>
      <c r="Z5685" s="35"/>
      <c r="AA5685" s="35" t="str">
        <f>HYPERLINK("https://miland.ru/api/getInfo/item/2486a040-b8c7-11ed-a230-00155d82e902")</f>
        <v>https://miland.ru/api/getInfo/item/2486a040-b8c7-11ed-a230-00155d82e902</v>
      </c>
      <c r="AB5685" s="35" t="s">
        <v>50</v>
      </c>
      <c r="AC5685" s="35"/>
      <c r="AD5685" s="35"/>
      <c r="AE5685" s="52" t="s">
        <v>1251</v>
      </c>
    </row>
    <row r="5686" spans="2:31" s="1" customFormat="1" ht="96.3" customHeight="1" outlineLevel="4">
      <c r="B5686" s="59">
        <v>4640</v>
      </c>
      <c r="C5686" s="35" t="s">
        <v>20265</v>
      </c>
      <c r="D5686" s="73" t="s">
        <v>20266</v>
      </c>
      <c r="E5686" s="73"/>
      <c r="F5686" s="73"/>
      <c r="G5686" s="73"/>
      <c r="H5686" s="36" t="s">
        <v>20267</v>
      </c>
      <c r="I5686" s="40">
        <v>106</v>
      </c>
      <c r="J5686" s="36"/>
      <c r="K5686" s="34">
        <v>5</v>
      </c>
      <c r="L5686" s="41">
        <v>59.146666666666668</v>
      </c>
      <c r="M5686" s="11"/>
      <c r="N5686" s="36">
        <f>L5686*M5686</f>
        <v>0</v>
      </c>
      <c r="O5686" s="42">
        <f>0.154*M5686</f>
        <v>0</v>
      </c>
      <c r="P5686" s="43">
        <f>0.00029*M5686</f>
        <v>0</v>
      </c>
      <c r="Q5686" s="50"/>
      <c r="R5686" s="36" t="s">
        <v>20268</v>
      </c>
      <c r="S5686" s="36" t="s">
        <v>435</v>
      </c>
      <c r="T5686" s="35" t="str">
        <f>HYPERLINK("https://miland.ru/api/getInfo/image/f0c4cc99-b8d9-11ed-a230-00155d82e902")</f>
        <v>https://miland.ru/api/getInfo/image/f0c4cc99-b8d9-11ed-a230-00155d82e902</v>
      </c>
      <c r="U5686" s="35"/>
      <c r="V5686" s="35"/>
      <c r="W5686" s="35" t="s">
        <v>20264</v>
      </c>
      <c r="X5686" s="35"/>
      <c r="Y5686" s="35" t="s">
        <v>41</v>
      </c>
      <c r="Z5686" s="35"/>
      <c r="AA5686" s="35" t="str">
        <f>HYPERLINK("https://miland.ru/api/getInfo/item/f0c4cc99-b8d9-11ed-a230-00155d82e902")</f>
        <v>https://miland.ru/api/getInfo/item/f0c4cc99-b8d9-11ed-a230-00155d82e902</v>
      </c>
      <c r="AB5686" s="35" t="s">
        <v>50</v>
      </c>
      <c r="AC5686" s="35"/>
      <c r="AD5686" s="35"/>
      <c r="AE5686" s="52" t="s">
        <v>1251</v>
      </c>
    </row>
    <row r="5687" spans="2:31" s="1" customFormat="1" ht="96.3" customHeight="1" outlineLevel="4">
      <c r="B5687" s="59">
        <v>4641</v>
      </c>
      <c r="C5687" s="35" t="s">
        <v>20269</v>
      </c>
      <c r="D5687" s="73" t="s">
        <v>20270</v>
      </c>
      <c r="E5687" s="73"/>
      <c r="F5687" s="73"/>
      <c r="G5687" s="73"/>
      <c r="H5687" s="36" t="s">
        <v>20271</v>
      </c>
      <c r="I5687" s="40">
        <v>100</v>
      </c>
      <c r="J5687" s="36"/>
      <c r="K5687" s="34">
        <v>5</v>
      </c>
      <c r="L5687" s="41">
        <v>59.146666666666668</v>
      </c>
      <c r="M5687" s="11"/>
      <c r="N5687" s="36">
        <f>L5687*M5687</f>
        <v>0</v>
      </c>
      <c r="O5687" s="42">
        <f>0.158*M5687</f>
        <v>0</v>
      </c>
      <c r="P5687" s="43">
        <f>0.00028*M5687</f>
        <v>0</v>
      </c>
      <c r="Q5687" s="50"/>
      <c r="R5687" s="36" t="s">
        <v>20272</v>
      </c>
      <c r="S5687" s="36" t="s">
        <v>435</v>
      </c>
      <c r="T5687" s="35" t="str">
        <f>HYPERLINK("https://miland.ru/api/getInfo/image/032903ad-b8d7-11ed-a230-00155d82e902")</f>
        <v>https://miland.ru/api/getInfo/image/032903ad-b8d7-11ed-a230-00155d82e902</v>
      </c>
      <c r="U5687" s="35"/>
      <c r="V5687" s="35"/>
      <c r="W5687" s="35" t="s">
        <v>20264</v>
      </c>
      <c r="X5687" s="35"/>
      <c r="Y5687" s="35" t="s">
        <v>41</v>
      </c>
      <c r="Z5687" s="35"/>
      <c r="AA5687" s="35" t="str">
        <f>HYPERLINK("https://miland.ru/api/getInfo/item/032903ad-b8d7-11ed-a230-00155d82e902")</f>
        <v>https://miland.ru/api/getInfo/item/032903ad-b8d7-11ed-a230-00155d82e902</v>
      </c>
      <c r="AB5687" s="35" t="s">
        <v>50</v>
      </c>
      <c r="AC5687" s="35" t="s">
        <v>20273</v>
      </c>
      <c r="AD5687" s="35"/>
      <c r="AE5687" s="52" t="s">
        <v>1251</v>
      </c>
    </row>
    <row r="5688" spans="2:31" ht="12" customHeight="1" outlineLevel="3">
      <c r="B5688" s="70" t="s">
        <v>20274</v>
      </c>
      <c r="C5688" s="70"/>
      <c r="D5688" s="70"/>
      <c r="E5688" s="70"/>
      <c r="F5688" s="70"/>
      <c r="G5688" s="70"/>
    </row>
    <row r="5689" spans="2:31" s="1" customFormat="1" ht="96.3" customHeight="1" outlineLevel="4">
      <c r="B5689" s="59">
        <v>4642</v>
      </c>
      <c r="C5689" s="35" t="s">
        <v>20275</v>
      </c>
      <c r="D5689" s="73" t="s">
        <v>20276</v>
      </c>
      <c r="E5689" s="73"/>
      <c r="F5689" s="73"/>
      <c r="G5689" s="73"/>
      <c r="H5689" s="36" t="s">
        <v>20277</v>
      </c>
      <c r="I5689" s="56" t="s">
        <v>36</v>
      </c>
      <c r="J5689" s="36"/>
      <c r="K5689" s="34">
        <v>4</v>
      </c>
      <c r="L5689" s="41">
        <v>62.666666666666664</v>
      </c>
      <c r="M5689" s="11"/>
      <c r="N5689" s="36">
        <f>L5689*M5689</f>
        <v>0</v>
      </c>
      <c r="O5689" s="42">
        <f>0.189*M5689</f>
        <v>0</v>
      </c>
      <c r="P5689" s="43">
        <f>0.00042*M5689</f>
        <v>0</v>
      </c>
      <c r="Q5689" s="50"/>
      <c r="R5689" s="36" t="s">
        <v>20278</v>
      </c>
      <c r="S5689" s="36" t="s">
        <v>435</v>
      </c>
      <c r="T5689" s="35" t="str">
        <f>HYPERLINK("https://miland.ru/api/getInfo/image/014ae05e-4dc1-11ec-a20f-ac1f6b442185")</f>
        <v>https://miland.ru/api/getInfo/image/014ae05e-4dc1-11ec-a20f-ac1f6b442185</v>
      </c>
      <c r="U5689" s="35"/>
      <c r="V5689" s="35"/>
      <c r="W5689" s="35" t="s">
        <v>20264</v>
      </c>
      <c r="X5689" s="35"/>
      <c r="Y5689" s="35" t="s">
        <v>41</v>
      </c>
      <c r="Z5689" s="35"/>
      <c r="AA5689" s="35" t="str">
        <f>HYPERLINK("https://miland.ru/api/getInfo/item/014ae05e-4dc1-11ec-a20f-ac1f6b442185")</f>
        <v>https://miland.ru/api/getInfo/item/014ae05e-4dc1-11ec-a20f-ac1f6b442185</v>
      </c>
      <c r="AB5689" s="35" t="s">
        <v>50</v>
      </c>
      <c r="AC5689" s="35" t="s">
        <v>19779</v>
      </c>
      <c r="AD5689" s="35"/>
      <c r="AE5689" s="52" t="s">
        <v>1251</v>
      </c>
    </row>
    <row r="5690" spans="2:31" ht="12" customHeight="1" outlineLevel="3">
      <c r="B5690" s="70" t="s">
        <v>20279</v>
      </c>
      <c r="C5690" s="70"/>
      <c r="D5690" s="70"/>
      <c r="E5690" s="70"/>
      <c r="F5690" s="70"/>
      <c r="G5690" s="70"/>
    </row>
    <row r="5691" spans="2:31" s="1" customFormat="1" ht="96.3" customHeight="1" outlineLevel="4">
      <c r="B5691" s="59">
        <v>4643</v>
      </c>
      <c r="C5691" s="35" t="s">
        <v>20280</v>
      </c>
      <c r="D5691" s="73" t="s">
        <v>20281</v>
      </c>
      <c r="E5691" s="73"/>
      <c r="F5691" s="73"/>
      <c r="G5691" s="73"/>
      <c r="H5691" s="36" t="s">
        <v>20282</v>
      </c>
      <c r="I5691" s="56" t="s">
        <v>36</v>
      </c>
      <c r="J5691" s="36"/>
      <c r="K5691" s="34">
        <v>6</v>
      </c>
      <c r="L5691" s="41">
        <v>46.213333333333331</v>
      </c>
      <c r="M5691" s="11"/>
      <c r="N5691" s="36">
        <f>L5691*M5691</f>
        <v>0</v>
      </c>
      <c r="O5691" s="47">
        <f>0.11*M5691</f>
        <v>0</v>
      </c>
      <c r="P5691" s="43">
        <f>0.00028*M5691</f>
        <v>0</v>
      </c>
      <c r="Q5691" s="50"/>
      <c r="R5691" s="36" t="s">
        <v>20283</v>
      </c>
      <c r="S5691" s="36" t="s">
        <v>435</v>
      </c>
      <c r="T5691" s="35" t="str">
        <f>HYPERLINK("https://miland.ru/api/getInfo/image/7514b3a7-b8e4-11ed-a230-00155d82e902")</f>
        <v>https://miland.ru/api/getInfo/image/7514b3a7-b8e4-11ed-a230-00155d82e902</v>
      </c>
      <c r="U5691" s="35"/>
      <c r="V5691" s="35" t="s">
        <v>20284</v>
      </c>
      <c r="W5691" s="35" t="s">
        <v>20264</v>
      </c>
      <c r="X5691" s="35"/>
      <c r="Y5691" s="35" t="s">
        <v>41</v>
      </c>
      <c r="Z5691" s="35"/>
      <c r="AA5691" s="35" t="str">
        <f>HYPERLINK("https://miland.ru/api/getInfo/item/7514b3a7-b8e4-11ed-a230-00155d82e902")</f>
        <v>https://miland.ru/api/getInfo/item/7514b3a7-b8e4-11ed-a230-00155d82e902</v>
      </c>
      <c r="AB5691" s="35" t="s">
        <v>50</v>
      </c>
      <c r="AC5691" s="35" t="s">
        <v>19779</v>
      </c>
      <c r="AD5691" s="35"/>
      <c r="AE5691" s="52" t="s">
        <v>1251</v>
      </c>
    </row>
    <row r="5692" spans="2:31" s="1" customFormat="1" ht="96.3" customHeight="1" outlineLevel="4">
      <c r="B5692" s="59">
        <v>4644</v>
      </c>
      <c r="C5692" s="35" t="s">
        <v>20285</v>
      </c>
      <c r="D5692" s="73" t="s">
        <v>20286</v>
      </c>
      <c r="E5692" s="73"/>
      <c r="F5692" s="73"/>
      <c r="G5692" s="73"/>
      <c r="H5692" s="36" t="s">
        <v>20287</v>
      </c>
      <c r="I5692" s="40">
        <v>102</v>
      </c>
      <c r="J5692" s="36"/>
      <c r="K5692" s="34">
        <v>6</v>
      </c>
      <c r="L5692" s="41">
        <v>46.213333333333331</v>
      </c>
      <c r="M5692" s="11"/>
      <c r="N5692" s="36">
        <f>L5692*M5692</f>
        <v>0</v>
      </c>
      <c r="O5692" s="42">
        <f>0.098*M5692</f>
        <v>0</v>
      </c>
      <c r="P5692" s="43">
        <f>0.00034*M5692</f>
        <v>0</v>
      </c>
      <c r="Q5692" s="50"/>
      <c r="R5692" s="36" t="s">
        <v>20288</v>
      </c>
      <c r="S5692" s="36" t="s">
        <v>435</v>
      </c>
      <c r="T5692" s="35" t="str">
        <f>HYPERLINK("https://miland.ru/api/getInfo/image/f758c9c6-b8e6-11ed-a230-00155d82e902")</f>
        <v>https://miland.ru/api/getInfo/image/f758c9c6-b8e6-11ed-a230-00155d82e902</v>
      </c>
      <c r="U5692" s="35"/>
      <c r="V5692" s="35" t="s">
        <v>20284</v>
      </c>
      <c r="W5692" s="35" t="s">
        <v>20264</v>
      </c>
      <c r="X5692" s="35"/>
      <c r="Y5692" s="35" t="s">
        <v>41</v>
      </c>
      <c r="Z5692" s="35"/>
      <c r="AA5692" s="35" t="str">
        <f>HYPERLINK("https://miland.ru/api/getInfo/item/f758c9c6-b8e6-11ed-a230-00155d82e902")</f>
        <v>https://miland.ru/api/getInfo/item/f758c9c6-b8e6-11ed-a230-00155d82e902</v>
      </c>
      <c r="AB5692" s="35" t="s">
        <v>50</v>
      </c>
      <c r="AC5692" s="35" t="s">
        <v>19779</v>
      </c>
      <c r="AD5692" s="35"/>
      <c r="AE5692" s="52" t="s">
        <v>1251</v>
      </c>
    </row>
    <row r="5693" spans="2:31" s="1" customFormat="1" ht="96.3" customHeight="1" outlineLevel="4">
      <c r="B5693" s="59">
        <v>4645</v>
      </c>
      <c r="C5693" s="35" t="s">
        <v>20289</v>
      </c>
      <c r="D5693" s="73" t="s">
        <v>20290</v>
      </c>
      <c r="E5693" s="73"/>
      <c r="F5693" s="73"/>
      <c r="G5693" s="73"/>
      <c r="H5693" s="36" t="s">
        <v>20291</v>
      </c>
      <c r="I5693" s="56" t="s">
        <v>36</v>
      </c>
      <c r="J5693" s="36"/>
      <c r="K5693" s="34">
        <v>6</v>
      </c>
      <c r="L5693" s="41">
        <v>46.213333333333331</v>
      </c>
      <c r="M5693" s="11"/>
      <c r="N5693" s="36">
        <f>L5693*M5693</f>
        <v>0</v>
      </c>
      <c r="O5693" s="42">
        <f>0.099*M5693</f>
        <v>0</v>
      </c>
      <c r="P5693" s="43">
        <f>0.00026*M5693</f>
        <v>0</v>
      </c>
      <c r="Q5693" s="50"/>
      <c r="R5693" s="36" t="s">
        <v>20292</v>
      </c>
      <c r="S5693" s="36" t="s">
        <v>435</v>
      </c>
      <c r="T5693" s="35" t="str">
        <f>HYPERLINK("https://miland.ru/api/getInfo/image/41844634-b8e5-11ed-a230-00155d82e902")</f>
        <v>https://miland.ru/api/getInfo/image/41844634-b8e5-11ed-a230-00155d82e902</v>
      </c>
      <c r="U5693" s="35"/>
      <c r="V5693" s="35" t="s">
        <v>20284</v>
      </c>
      <c r="W5693" s="35" t="s">
        <v>20264</v>
      </c>
      <c r="X5693" s="35"/>
      <c r="Y5693" s="35" t="s">
        <v>41</v>
      </c>
      <c r="Z5693" s="35"/>
      <c r="AA5693" s="35" t="str">
        <f>HYPERLINK("https://miland.ru/api/getInfo/item/41844634-b8e5-11ed-a230-00155d82e902")</f>
        <v>https://miland.ru/api/getInfo/item/41844634-b8e5-11ed-a230-00155d82e902</v>
      </c>
      <c r="AB5693" s="35" t="s">
        <v>50</v>
      </c>
      <c r="AC5693" s="35" t="s">
        <v>19779</v>
      </c>
      <c r="AD5693" s="35"/>
      <c r="AE5693" s="52" t="s">
        <v>1251</v>
      </c>
    </row>
    <row r="5694" spans="2:31" s="1" customFormat="1" ht="96.3" customHeight="1" outlineLevel="4">
      <c r="B5694" s="59">
        <v>4646</v>
      </c>
      <c r="C5694" s="35" t="s">
        <v>20293</v>
      </c>
      <c r="D5694" s="73" t="s">
        <v>20294</v>
      </c>
      <c r="E5694" s="73"/>
      <c r="F5694" s="73"/>
      <c r="G5694" s="73"/>
      <c r="H5694" s="36" t="s">
        <v>20295</v>
      </c>
      <c r="I5694" s="56" t="s">
        <v>36</v>
      </c>
      <c r="J5694" s="36"/>
      <c r="K5694" s="34">
        <v>6</v>
      </c>
      <c r="L5694" s="41">
        <v>46.213333333333331</v>
      </c>
      <c r="M5694" s="11"/>
      <c r="N5694" s="36">
        <f>L5694*M5694</f>
        <v>0</v>
      </c>
      <c r="O5694" s="42">
        <f>0.097*M5694</f>
        <v>0</v>
      </c>
      <c r="P5694" s="43">
        <f>0.00041*M5694</f>
        <v>0</v>
      </c>
      <c r="Q5694" s="50"/>
      <c r="R5694" s="36" t="s">
        <v>20296</v>
      </c>
      <c r="S5694" s="36" t="s">
        <v>435</v>
      </c>
      <c r="T5694" s="35" t="str">
        <f>HYPERLINK("https://miland.ru/api/getInfo/image/e631ba4d-b8e5-11ed-a230-00155d82e902")</f>
        <v>https://miland.ru/api/getInfo/image/e631ba4d-b8e5-11ed-a230-00155d82e902</v>
      </c>
      <c r="U5694" s="35"/>
      <c r="V5694" s="35" t="s">
        <v>20284</v>
      </c>
      <c r="W5694" s="35" t="s">
        <v>20264</v>
      </c>
      <c r="X5694" s="35"/>
      <c r="Y5694" s="35" t="s">
        <v>41</v>
      </c>
      <c r="Z5694" s="35"/>
      <c r="AA5694" s="35" t="str">
        <f>HYPERLINK("https://miland.ru/api/getInfo/item/e631ba4d-b8e5-11ed-a230-00155d82e902")</f>
        <v>https://miland.ru/api/getInfo/item/e631ba4d-b8e5-11ed-a230-00155d82e902</v>
      </c>
      <c r="AB5694" s="35" t="s">
        <v>50</v>
      </c>
      <c r="AC5694" s="35" t="s">
        <v>19779</v>
      </c>
      <c r="AD5694" s="35"/>
      <c r="AE5694" s="52" t="s">
        <v>1251</v>
      </c>
    </row>
    <row r="5695" spans="2:31" ht="12" customHeight="1" outlineLevel="2">
      <c r="B5695" s="69" t="s">
        <v>20297</v>
      </c>
      <c r="C5695" s="69"/>
      <c r="D5695" s="69"/>
      <c r="E5695" s="69"/>
      <c r="F5695" s="69"/>
      <c r="G5695" s="69"/>
    </row>
    <row r="5696" spans="2:31" ht="12" customHeight="1" outlineLevel="3">
      <c r="B5696" s="70" t="s">
        <v>20298</v>
      </c>
      <c r="C5696" s="70"/>
      <c r="D5696" s="70"/>
      <c r="E5696" s="70"/>
      <c r="F5696" s="70"/>
      <c r="G5696" s="70"/>
    </row>
    <row r="5697" spans="2:31" s="1" customFormat="1" ht="96.3" customHeight="1" outlineLevel="4">
      <c r="B5697" s="59">
        <v>4647</v>
      </c>
      <c r="C5697" s="35" t="s">
        <v>20299</v>
      </c>
      <c r="D5697" s="73" t="s">
        <v>20300</v>
      </c>
      <c r="E5697" s="73"/>
      <c r="F5697" s="73"/>
      <c r="G5697" s="73"/>
      <c r="H5697" s="36" t="s">
        <v>20301</v>
      </c>
      <c r="I5697" s="40">
        <v>48</v>
      </c>
      <c r="J5697" s="36"/>
      <c r="K5697" s="34">
        <v>3</v>
      </c>
      <c r="L5697" s="41">
        <v>111.33333333333333</v>
      </c>
      <c r="M5697" s="11"/>
      <c r="N5697" s="36">
        <f t="shared" ref="N5697:N5702" si="319">L5697*M5697</f>
        <v>0</v>
      </c>
      <c r="O5697" s="42">
        <f>0.135*M5697</f>
        <v>0</v>
      </c>
      <c r="P5697" s="43">
        <f>0.00023*M5697</f>
        <v>0</v>
      </c>
      <c r="Q5697" s="50"/>
      <c r="R5697" s="36" t="s">
        <v>20302</v>
      </c>
      <c r="S5697" s="36" t="s">
        <v>435</v>
      </c>
      <c r="T5697" s="35" t="str">
        <f>HYPERLINK("https://miland.ru/api/getInfo/image/165d94fd-cc94-11ed-a230-00155d82e902")</f>
        <v>https://miland.ru/api/getInfo/image/165d94fd-cc94-11ed-a230-00155d82e902</v>
      </c>
      <c r="U5697" s="35"/>
      <c r="V5697" s="35" t="s">
        <v>1682</v>
      </c>
      <c r="W5697" s="35" t="s">
        <v>1683</v>
      </c>
      <c r="X5697" s="35"/>
      <c r="Y5697" s="35" t="s">
        <v>41</v>
      </c>
      <c r="Z5697" s="35"/>
      <c r="AA5697" s="35" t="str">
        <f>HYPERLINK("https://miland.ru/api/getInfo/item/165d94fd-cc94-11ed-a230-00155d82e902")</f>
        <v>https://miland.ru/api/getInfo/item/165d94fd-cc94-11ed-a230-00155d82e902</v>
      </c>
      <c r="AB5697" s="35" t="s">
        <v>50</v>
      </c>
      <c r="AC5697" s="35"/>
      <c r="AD5697" s="35"/>
      <c r="AE5697" s="52" t="s">
        <v>1251</v>
      </c>
    </row>
    <row r="5698" spans="2:31" s="1" customFormat="1" ht="96.3" customHeight="1" outlineLevel="4">
      <c r="B5698" s="59">
        <v>4648</v>
      </c>
      <c r="C5698" s="35" t="s">
        <v>20303</v>
      </c>
      <c r="D5698" s="73" t="s">
        <v>20304</v>
      </c>
      <c r="E5698" s="73"/>
      <c r="F5698" s="73"/>
      <c r="G5698" s="73"/>
      <c r="H5698" s="36" t="s">
        <v>20305</v>
      </c>
      <c r="I5698" s="56" t="s">
        <v>36</v>
      </c>
      <c r="J5698" s="36"/>
      <c r="K5698" s="34">
        <v>3</v>
      </c>
      <c r="L5698" s="41">
        <v>111.33333333333333</v>
      </c>
      <c r="M5698" s="11"/>
      <c r="N5698" s="36">
        <f t="shared" si="319"/>
        <v>0</v>
      </c>
      <c r="O5698" s="42">
        <f>0.133*M5698</f>
        <v>0</v>
      </c>
      <c r="P5698" s="43">
        <f>0.00031*M5698</f>
        <v>0</v>
      </c>
      <c r="Q5698" s="50"/>
      <c r="R5698" s="36" t="s">
        <v>20306</v>
      </c>
      <c r="S5698" s="36" t="s">
        <v>435</v>
      </c>
      <c r="T5698" s="35" t="str">
        <f>HYPERLINK("https://miland.ru/api/getInfo/image/27ce2519-cc95-11ed-a230-00155d82e902")</f>
        <v>https://miland.ru/api/getInfo/image/27ce2519-cc95-11ed-a230-00155d82e902</v>
      </c>
      <c r="U5698" s="35"/>
      <c r="V5698" s="35" t="s">
        <v>1682</v>
      </c>
      <c r="W5698" s="35" t="s">
        <v>1683</v>
      </c>
      <c r="X5698" s="35"/>
      <c r="Y5698" s="35" t="s">
        <v>41</v>
      </c>
      <c r="Z5698" s="35"/>
      <c r="AA5698" s="35" t="str">
        <f>HYPERLINK("https://miland.ru/api/getInfo/item/27ce2519-cc95-11ed-a230-00155d82e902")</f>
        <v>https://miland.ru/api/getInfo/item/27ce2519-cc95-11ed-a230-00155d82e902</v>
      </c>
      <c r="AB5698" s="35" t="s">
        <v>50</v>
      </c>
      <c r="AC5698" s="35"/>
      <c r="AD5698" s="35"/>
      <c r="AE5698" s="52" t="s">
        <v>1251</v>
      </c>
    </row>
    <row r="5699" spans="2:31" s="1" customFormat="1" ht="96.3" customHeight="1" outlineLevel="4">
      <c r="B5699" s="59">
        <v>4649</v>
      </c>
      <c r="C5699" s="35" t="s">
        <v>20307</v>
      </c>
      <c r="D5699" s="73" t="s">
        <v>20308</v>
      </c>
      <c r="E5699" s="73"/>
      <c r="F5699" s="73"/>
      <c r="G5699" s="73"/>
      <c r="H5699" s="36" t="s">
        <v>20309</v>
      </c>
      <c r="I5699" s="40">
        <v>194</v>
      </c>
      <c r="J5699" s="36"/>
      <c r="K5699" s="34">
        <v>3</v>
      </c>
      <c r="L5699" s="41">
        <v>111.33333333333333</v>
      </c>
      <c r="M5699" s="11"/>
      <c r="N5699" s="36">
        <f t="shared" si="319"/>
        <v>0</v>
      </c>
      <c r="O5699" s="42">
        <f>0.136*M5699</f>
        <v>0</v>
      </c>
      <c r="P5699" s="43">
        <f>0.00023*M5699</f>
        <v>0</v>
      </c>
      <c r="Q5699" s="50"/>
      <c r="R5699" s="36" t="s">
        <v>20310</v>
      </c>
      <c r="S5699" s="36" t="s">
        <v>435</v>
      </c>
      <c r="T5699" s="35" t="str">
        <f>HYPERLINK("https://miland.ru/api/getInfo/image/54eeb976-cc94-11ed-a230-00155d82e902")</f>
        <v>https://miland.ru/api/getInfo/image/54eeb976-cc94-11ed-a230-00155d82e902</v>
      </c>
      <c r="U5699" s="35"/>
      <c r="V5699" s="35" t="s">
        <v>1682</v>
      </c>
      <c r="W5699" s="35" t="s">
        <v>1683</v>
      </c>
      <c r="X5699" s="35"/>
      <c r="Y5699" s="35" t="s">
        <v>41</v>
      </c>
      <c r="Z5699" s="35"/>
      <c r="AA5699" s="35" t="str">
        <f>HYPERLINK("https://miland.ru/api/getInfo/item/54eeb976-cc94-11ed-a230-00155d82e902")</f>
        <v>https://miland.ru/api/getInfo/item/54eeb976-cc94-11ed-a230-00155d82e902</v>
      </c>
      <c r="AB5699" s="35" t="s">
        <v>50</v>
      </c>
      <c r="AC5699" s="35"/>
      <c r="AD5699" s="35"/>
      <c r="AE5699" s="52" t="s">
        <v>1251</v>
      </c>
    </row>
    <row r="5700" spans="2:31" s="1" customFormat="1" ht="96.3" customHeight="1" outlineLevel="4">
      <c r="B5700" s="59">
        <v>4650</v>
      </c>
      <c r="C5700" s="35" t="s">
        <v>20311</v>
      </c>
      <c r="D5700" s="73" t="s">
        <v>20312</v>
      </c>
      <c r="E5700" s="73"/>
      <c r="F5700" s="73"/>
      <c r="G5700" s="73"/>
      <c r="H5700" s="36" t="s">
        <v>20313</v>
      </c>
      <c r="I5700" s="56" t="s">
        <v>36</v>
      </c>
      <c r="J5700" s="36"/>
      <c r="K5700" s="34">
        <v>3</v>
      </c>
      <c r="L5700" s="41">
        <v>111.33333333333333</v>
      </c>
      <c r="M5700" s="11"/>
      <c r="N5700" s="36">
        <f t="shared" si="319"/>
        <v>0</v>
      </c>
      <c r="O5700" s="42">
        <f>0.135*M5700</f>
        <v>0</v>
      </c>
      <c r="P5700" s="43">
        <f>0.00023*M5700</f>
        <v>0</v>
      </c>
      <c r="Q5700" s="50"/>
      <c r="R5700" s="36" t="s">
        <v>20314</v>
      </c>
      <c r="S5700" s="36" t="s">
        <v>435</v>
      </c>
      <c r="T5700" s="35" t="str">
        <f>HYPERLINK("https://miland.ru/api/getInfo/image/bbadd2b1-cc92-11ed-a230-00155d82e902")</f>
        <v>https://miland.ru/api/getInfo/image/bbadd2b1-cc92-11ed-a230-00155d82e902</v>
      </c>
      <c r="U5700" s="35"/>
      <c r="V5700" s="35" t="s">
        <v>1682</v>
      </c>
      <c r="W5700" s="35" t="s">
        <v>1683</v>
      </c>
      <c r="X5700" s="35"/>
      <c r="Y5700" s="35" t="s">
        <v>41</v>
      </c>
      <c r="Z5700" s="35"/>
      <c r="AA5700" s="35" t="str">
        <f>HYPERLINK("https://miland.ru/api/getInfo/item/bbadd2b1-cc92-11ed-a230-00155d82e902")</f>
        <v>https://miland.ru/api/getInfo/item/bbadd2b1-cc92-11ed-a230-00155d82e902</v>
      </c>
      <c r="AB5700" s="35" t="s">
        <v>50</v>
      </c>
      <c r="AC5700" s="35"/>
      <c r="AD5700" s="35"/>
      <c r="AE5700" s="52" t="s">
        <v>1251</v>
      </c>
    </row>
    <row r="5701" spans="2:31" s="1" customFormat="1" ht="96.3" customHeight="1" outlineLevel="4">
      <c r="B5701" s="59">
        <v>4651</v>
      </c>
      <c r="C5701" s="35" t="s">
        <v>20315</v>
      </c>
      <c r="D5701" s="73" t="s">
        <v>20316</v>
      </c>
      <c r="E5701" s="73"/>
      <c r="F5701" s="73"/>
      <c r="G5701" s="73"/>
      <c r="H5701" s="36" t="s">
        <v>20317</v>
      </c>
      <c r="I5701" s="56" t="s">
        <v>36</v>
      </c>
      <c r="J5701" s="36"/>
      <c r="K5701" s="34">
        <v>3</v>
      </c>
      <c r="L5701" s="41">
        <v>111.33333333333333</v>
      </c>
      <c r="M5701" s="11"/>
      <c r="N5701" s="36">
        <f t="shared" si="319"/>
        <v>0</v>
      </c>
      <c r="O5701" s="42">
        <f>0.138*M5701</f>
        <v>0</v>
      </c>
      <c r="P5701" s="43">
        <f>0.00027*M5701</f>
        <v>0</v>
      </c>
      <c r="Q5701" s="50"/>
      <c r="R5701" s="36" t="s">
        <v>20318</v>
      </c>
      <c r="S5701" s="36" t="s">
        <v>435</v>
      </c>
      <c r="T5701" s="35" t="str">
        <f>HYPERLINK("https://miland.ru/api/getInfo/image/c6f12025-cc93-11ed-a230-00155d82e902")</f>
        <v>https://miland.ru/api/getInfo/image/c6f12025-cc93-11ed-a230-00155d82e902</v>
      </c>
      <c r="U5701" s="35"/>
      <c r="V5701" s="35" t="s">
        <v>1682</v>
      </c>
      <c r="W5701" s="35" t="s">
        <v>1683</v>
      </c>
      <c r="X5701" s="35"/>
      <c r="Y5701" s="35" t="s">
        <v>41</v>
      </c>
      <c r="Z5701" s="35"/>
      <c r="AA5701" s="35" t="str">
        <f>HYPERLINK("https://miland.ru/api/getInfo/item/c6f12025-cc93-11ed-a230-00155d82e902")</f>
        <v>https://miland.ru/api/getInfo/item/c6f12025-cc93-11ed-a230-00155d82e902</v>
      </c>
      <c r="AB5701" s="35" t="s">
        <v>50</v>
      </c>
      <c r="AC5701" s="35"/>
      <c r="AD5701" s="35"/>
      <c r="AE5701" s="52" t="s">
        <v>1251</v>
      </c>
    </row>
    <row r="5702" spans="2:31" s="1" customFormat="1" ht="96.3" customHeight="1" outlineLevel="4">
      <c r="B5702" s="59">
        <v>4652</v>
      </c>
      <c r="C5702" s="35" t="s">
        <v>20319</v>
      </c>
      <c r="D5702" s="73" t="s">
        <v>20320</v>
      </c>
      <c r="E5702" s="73"/>
      <c r="F5702" s="73"/>
      <c r="G5702" s="73"/>
      <c r="H5702" s="36" t="s">
        <v>20321</v>
      </c>
      <c r="I5702" s="56" t="s">
        <v>36</v>
      </c>
      <c r="J5702" s="36"/>
      <c r="K5702" s="34">
        <v>3</v>
      </c>
      <c r="L5702" s="41">
        <v>111.33333333333333</v>
      </c>
      <c r="M5702" s="11"/>
      <c r="N5702" s="36">
        <f t="shared" si="319"/>
        <v>0</v>
      </c>
      <c r="O5702" s="42">
        <f>0.141*M5702</f>
        <v>0</v>
      </c>
      <c r="P5702" s="43">
        <f>0.00016*M5702</f>
        <v>0</v>
      </c>
      <c r="Q5702" s="50"/>
      <c r="R5702" s="36" t="s">
        <v>20322</v>
      </c>
      <c r="S5702" s="36" t="s">
        <v>435</v>
      </c>
      <c r="T5702" s="35" t="str">
        <f>HYPERLINK("https://miland.ru/api/getInfo/image/312a0b1c-cc92-11ed-a230-00155d82e902")</f>
        <v>https://miland.ru/api/getInfo/image/312a0b1c-cc92-11ed-a230-00155d82e902</v>
      </c>
      <c r="U5702" s="35"/>
      <c r="V5702" s="35" t="s">
        <v>1682</v>
      </c>
      <c r="W5702" s="35" t="s">
        <v>1683</v>
      </c>
      <c r="X5702" s="35"/>
      <c r="Y5702" s="35" t="s">
        <v>41</v>
      </c>
      <c r="Z5702" s="35"/>
      <c r="AA5702" s="35" t="str">
        <f>HYPERLINK("https://miland.ru/api/getInfo/item/312a0b1c-cc92-11ed-a230-00155d82e902")</f>
        <v>https://miland.ru/api/getInfo/item/312a0b1c-cc92-11ed-a230-00155d82e902</v>
      </c>
      <c r="AB5702" s="35" t="s">
        <v>50</v>
      </c>
      <c r="AC5702" s="35"/>
      <c r="AD5702" s="35"/>
      <c r="AE5702" s="52" t="s">
        <v>1251</v>
      </c>
    </row>
    <row r="5703" spans="2:31" ht="12" customHeight="1" outlineLevel="3">
      <c r="B5703" s="70" t="s">
        <v>20323</v>
      </c>
      <c r="C5703" s="70"/>
      <c r="D5703" s="70"/>
      <c r="E5703" s="70"/>
      <c r="F5703" s="70"/>
      <c r="G5703" s="70"/>
    </row>
    <row r="5704" spans="2:31" s="1" customFormat="1" ht="96.3" customHeight="1" outlineLevel="4">
      <c r="B5704" s="59">
        <v>4653</v>
      </c>
      <c r="C5704" s="35" t="s">
        <v>20324</v>
      </c>
      <c r="D5704" s="73" t="s">
        <v>20325</v>
      </c>
      <c r="E5704" s="73"/>
      <c r="F5704" s="73"/>
      <c r="G5704" s="73"/>
      <c r="H5704" s="36" t="s">
        <v>20326</v>
      </c>
      <c r="I5704" s="40">
        <v>397</v>
      </c>
      <c r="J5704" s="36"/>
      <c r="K5704" s="34">
        <v>3</v>
      </c>
      <c r="L5704" s="41">
        <v>61.733333333333327</v>
      </c>
      <c r="M5704" s="11"/>
      <c r="N5704" s="36">
        <f t="shared" ref="N5704:N5712" si="320">L5704*M5704</f>
        <v>0</v>
      </c>
      <c r="O5704" s="42">
        <f>0.054*M5704</f>
        <v>0</v>
      </c>
      <c r="P5704" s="43">
        <f>0.00004*M5704</f>
        <v>0</v>
      </c>
      <c r="Q5704" s="50"/>
      <c r="R5704" s="36" t="s">
        <v>20327</v>
      </c>
      <c r="S5704" s="36" t="s">
        <v>435</v>
      </c>
      <c r="T5704" s="35" t="str">
        <f>HYPERLINK("https://miland.ru/api/getInfo/image/a0a70915-b0de-11ed-a230-00155d82e902")</f>
        <v>https://miland.ru/api/getInfo/image/a0a70915-b0de-11ed-a230-00155d82e902</v>
      </c>
      <c r="U5704" s="35"/>
      <c r="V5704" s="35" t="s">
        <v>1682</v>
      </c>
      <c r="W5704" s="35" t="s">
        <v>1683</v>
      </c>
      <c r="X5704" s="35"/>
      <c r="Y5704" s="35" t="s">
        <v>41</v>
      </c>
      <c r="Z5704" s="35"/>
      <c r="AA5704" s="35" t="str">
        <f>HYPERLINK("https://miland.ru/api/getInfo/item/a0a70915-b0de-11ed-a230-00155d82e902")</f>
        <v>https://miland.ru/api/getInfo/item/a0a70915-b0de-11ed-a230-00155d82e902</v>
      </c>
      <c r="AB5704" s="35" t="s">
        <v>50</v>
      </c>
      <c r="AC5704" s="35"/>
      <c r="AD5704" s="35"/>
      <c r="AE5704" s="52" t="s">
        <v>1251</v>
      </c>
    </row>
    <row r="5705" spans="2:31" s="1" customFormat="1" ht="96.3" customHeight="1" outlineLevel="4">
      <c r="B5705" s="59">
        <v>4654</v>
      </c>
      <c r="C5705" s="35" t="s">
        <v>20328</v>
      </c>
      <c r="D5705" s="73" t="s">
        <v>20329</v>
      </c>
      <c r="E5705" s="73"/>
      <c r="F5705" s="73"/>
      <c r="G5705" s="73"/>
      <c r="H5705" s="36" t="s">
        <v>20330</v>
      </c>
      <c r="I5705" s="56" t="s">
        <v>36</v>
      </c>
      <c r="J5705" s="36"/>
      <c r="K5705" s="34">
        <v>3</v>
      </c>
      <c r="L5705" s="41">
        <v>61.733333333333327</v>
      </c>
      <c r="M5705" s="11"/>
      <c r="N5705" s="36">
        <f t="shared" si="320"/>
        <v>0</v>
      </c>
      <c r="O5705" s="42">
        <f>0.057*M5705</f>
        <v>0</v>
      </c>
      <c r="P5705" s="55">
        <f>0.0001*M5705</f>
        <v>0</v>
      </c>
      <c r="Q5705" s="50"/>
      <c r="R5705" s="36" t="s">
        <v>20331</v>
      </c>
      <c r="S5705" s="36" t="s">
        <v>435</v>
      </c>
      <c r="T5705" s="35" t="str">
        <f>HYPERLINK("https://miland.ru/api/getInfo/image/e49565c2-b0de-11ed-a230-00155d82e902")</f>
        <v>https://miland.ru/api/getInfo/image/e49565c2-b0de-11ed-a230-00155d82e902</v>
      </c>
      <c r="U5705" s="35"/>
      <c r="V5705" s="35" t="s">
        <v>1682</v>
      </c>
      <c r="W5705" s="35" t="s">
        <v>1683</v>
      </c>
      <c r="X5705" s="35"/>
      <c r="Y5705" s="35" t="s">
        <v>41</v>
      </c>
      <c r="Z5705" s="35"/>
      <c r="AA5705" s="35" t="str">
        <f>HYPERLINK("https://miland.ru/api/getInfo/item/e49565c2-b0de-11ed-a230-00155d82e902")</f>
        <v>https://miland.ru/api/getInfo/item/e49565c2-b0de-11ed-a230-00155d82e902</v>
      </c>
      <c r="AB5705" s="35" t="s">
        <v>50</v>
      </c>
      <c r="AC5705" s="35"/>
      <c r="AD5705" s="35"/>
      <c r="AE5705" s="52" t="s">
        <v>1251</v>
      </c>
    </row>
    <row r="5706" spans="2:31" s="1" customFormat="1" ht="96.3" customHeight="1" outlineLevel="4">
      <c r="B5706" s="57">
        <v>4655</v>
      </c>
      <c r="C5706" s="21" t="s">
        <v>20332</v>
      </c>
      <c r="D5706" s="72" t="s">
        <v>20333</v>
      </c>
      <c r="E5706" s="72"/>
      <c r="F5706" s="72"/>
      <c r="G5706" s="72"/>
      <c r="H5706" s="22" t="s">
        <v>20334</v>
      </c>
      <c r="I5706" s="27">
        <v>19</v>
      </c>
      <c r="J5706" s="22"/>
      <c r="K5706" s="20">
        <v>3</v>
      </c>
      <c r="L5706" s="24">
        <v>192.19</v>
      </c>
      <c r="M5706" s="11"/>
      <c r="N5706" s="22">
        <f t="shared" si="320"/>
        <v>0</v>
      </c>
      <c r="O5706" s="28">
        <f>0.06*M5706</f>
        <v>0</v>
      </c>
      <c r="P5706" s="26">
        <f>0.00002*M5706</f>
        <v>0</v>
      </c>
      <c r="Q5706" s="30"/>
      <c r="R5706" s="22" t="s">
        <v>20335</v>
      </c>
      <c r="S5706" s="22" t="s">
        <v>435</v>
      </c>
      <c r="T5706" s="21" t="str">
        <f>HYPERLINK("https://miland.ru/api/getInfo/image/6d6e7f2a-25bf-11ec-a20f-ac1f6b442185")</f>
        <v>https://miland.ru/api/getInfo/image/6d6e7f2a-25bf-11ec-a20f-ac1f6b442185</v>
      </c>
      <c r="U5706" s="21"/>
      <c r="V5706" s="21" t="s">
        <v>1682</v>
      </c>
      <c r="W5706" s="21" t="s">
        <v>1683</v>
      </c>
      <c r="X5706" s="21"/>
      <c r="Y5706" s="21" t="s">
        <v>41</v>
      </c>
      <c r="Z5706" s="21"/>
      <c r="AA5706" s="21" t="str">
        <f>HYPERLINK("https://miland.ru/api/getInfo/item/6d6e7f2a-25bf-11ec-a20f-ac1f6b442185")</f>
        <v>https://miland.ru/api/getInfo/item/6d6e7f2a-25bf-11ec-a20f-ac1f6b442185</v>
      </c>
      <c r="AB5706" s="21" t="s">
        <v>50</v>
      </c>
      <c r="AC5706" s="21"/>
      <c r="AD5706" s="21"/>
    </row>
    <row r="5707" spans="2:31" s="1" customFormat="1" ht="96.3" customHeight="1" outlineLevel="4">
      <c r="B5707" s="59">
        <v>4656</v>
      </c>
      <c r="C5707" s="35" t="s">
        <v>20336</v>
      </c>
      <c r="D5707" s="73" t="s">
        <v>20337</v>
      </c>
      <c r="E5707" s="73"/>
      <c r="F5707" s="73"/>
      <c r="G5707" s="73"/>
      <c r="H5707" s="36" t="s">
        <v>20338</v>
      </c>
      <c r="I5707" s="56" t="s">
        <v>36</v>
      </c>
      <c r="J5707" s="36"/>
      <c r="K5707" s="34">
        <v>3</v>
      </c>
      <c r="L5707" s="41">
        <v>65.013333333333335</v>
      </c>
      <c r="M5707" s="11"/>
      <c r="N5707" s="36">
        <f t="shared" si="320"/>
        <v>0</v>
      </c>
      <c r="O5707" s="42">
        <f>0.056*M5707</f>
        <v>0</v>
      </c>
      <c r="P5707" s="43">
        <f>0.00007*M5707</f>
        <v>0</v>
      </c>
      <c r="Q5707" s="50"/>
      <c r="R5707" s="36" t="s">
        <v>20339</v>
      </c>
      <c r="S5707" s="36" t="s">
        <v>435</v>
      </c>
      <c r="T5707" s="35" t="str">
        <f>HYPERLINK("https://miland.ru/api/getInfo/image/fbb85971-38b9-11ed-a216-ac1f6b442185")</f>
        <v>https://miland.ru/api/getInfo/image/fbb85971-38b9-11ed-a216-ac1f6b442185</v>
      </c>
      <c r="U5707" s="35"/>
      <c r="V5707" s="35" t="s">
        <v>1682</v>
      </c>
      <c r="W5707" s="35" t="s">
        <v>1683</v>
      </c>
      <c r="X5707" s="35"/>
      <c r="Y5707" s="35" t="s">
        <v>41</v>
      </c>
      <c r="Z5707" s="35"/>
      <c r="AA5707" s="35" t="str">
        <f>HYPERLINK("https://miland.ru/api/getInfo/item/fbb85971-38b9-11ed-a216-ac1f6b442185")</f>
        <v>https://miland.ru/api/getInfo/item/fbb85971-38b9-11ed-a216-ac1f6b442185</v>
      </c>
      <c r="AB5707" s="35" t="s">
        <v>50</v>
      </c>
      <c r="AC5707" s="35"/>
      <c r="AD5707" s="35"/>
      <c r="AE5707" s="52" t="s">
        <v>1251</v>
      </c>
    </row>
    <row r="5708" spans="2:31" s="1" customFormat="1" ht="96.3" customHeight="1" outlineLevel="4">
      <c r="B5708" s="59">
        <v>4657</v>
      </c>
      <c r="C5708" s="35" t="s">
        <v>20340</v>
      </c>
      <c r="D5708" s="73" t="s">
        <v>20341</v>
      </c>
      <c r="E5708" s="73"/>
      <c r="F5708" s="73"/>
      <c r="G5708" s="73"/>
      <c r="H5708" s="36" t="s">
        <v>20342</v>
      </c>
      <c r="I5708" s="56" t="s">
        <v>36</v>
      </c>
      <c r="J5708" s="36"/>
      <c r="K5708" s="34">
        <v>3</v>
      </c>
      <c r="L5708" s="41">
        <v>65.013333333333335</v>
      </c>
      <c r="M5708" s="11"/>
      <c r="N5708" s="36">
        <f t="shared" si="320"/>
        <v>0</v>
      </c>
      <c r="O5708" s="42">
        <f>0.057*M5708</f>
        <v>0</v>
      </c>
      <c r="P5708" s="43">
        <f>0.00004*M5708</f>
        <v>0</v>
      </c>
      <c r="Q5708" s="50"/>
      <c r="R5708" s="36" t="s">
        <v>20343</v>
      </c>
      <c r="S5708" s="36" t="s">
        <v>435</v>
      </c>
      <c r="T5708" s="35" t="str">
        <f>HYPERLINK("https://miland.ru/api/getInfo/image/5f96be0a-38ba-11ed-a216-ac1f6b442185")</f>
        <v>https://miland.ru/api/getInfo/image/5f96be0a-38ba-11ed-a216-ac1f6b442185</v>
      </c>
      <c r="U5708" s="35"/>
      <c r="V5708" s="35" t="s">
        <v>1682</v>
      </c>
      <c r="W5708" s="35" t="s">
        <v>1683</v>
      </c>
      <c r="X5708" s="35"/>
      <c r="Y5708" s="35" t="s">
        <v>41</v>
      </c>
      <c r="Z5708" s="35"/>
      <c r="AA5708" s="35" t="str">
        <f>HYPERLINK("https://miland.ru/api/getInfo/item/5f96be0a-38ba-11ed-a216-ac1f6b442185")</f>
        <v>https://miland.ru/api/getInfo/item/5f96be0a-38ba-11ed-a216-ac1f6b442185</v>
      </c>
      <c r="AB5708" s="35" t="s">
        <v>50</v>
      </c>
      <c r="AC5708" s="35"/>
      <c r="AD5708" s="35"/>
      <c r="AE5708" s="52" t="s">
        <v>1251</v>
      </c>
    </row>
    <row r="5709" spans="2:31" s="1" customFormat="1" ht="96.3" customHeight="1" outlineLevel="4">
      <c r="B5709" s="59">
        <v>4658</v>
      </c>
      <c r="C5709" s="35" t="s">
        <v>20344</v>
      </c>
      <c r="D5709" s="73" t="s">
        <v>20345</v>
      </c>
      <c r="E5709" s="73"/>
      <c r="F5709" s="73"/>
      <c r="G5709" s="73"/>
      <c r="H5709" s="36" t="s">
        <v>20346</v>
      </c>
      <c r="I5709" s="40">
        <v>25</v>
      </c>
      <c r="J5709" s="36"/>
      <c r="K5709" s="34">
        <v>3</v>
      </c>
      <c r="L5709" s="41">
        <v>85.933333333333337</v>
      </c>
      <c r="M5709" s="11"/>
      <c r="N5709" s="36">
        <f t="shared" si="320"/>
        <v>0</v>
      </c>
      <c r="O5709" s="47">
        <f>0.06*M5709</f>
        <v>0</v>
      </c>
      <c r="P5709" s="43">
        <f>0.00002*M5709</f>
        <v>0</v>
      </c>
      <c r="Q5709" s="50"/>
      <c r="R5709" s="36" t="s">
        <v>20347</v>
      </c>
      <c r="S5709" s="36" t="s">
        <v>435</v>
      </c>
      <c r="T5709" s="35" t="str">
        <f>HYPERLINK("https://miland.ru/api/getInfo/image/9858f493-25bf-11ec-a20f-ac1f6b442185")</f>
        <v>https://miland.ru/api/getInfo/image/9858f493-25bf-11ec-a20f-ac1f6b442185</v>
      </c>
      <c r="U5709" s="35"/>
      <c r="V5709" s="35" t="s">
        <v>1682</v>
      </c>
      <c r="W5709" s="35" t="s">
        <v>1683</v>
      </c>
      <c r="X5709" s="35"/>
      <c r="Y5709" s="35" t="s">
        <v>41</v>
      </c>
      <c r="Z5709" s="35"/>
      <c r="AA5709" s="35" t="str">
        <f>HYPERLINK("https://miland.ru/api/getInfo/item/9858f493-25bf-11ec-a20f-ac1f6b442185")</f>
        <v>https://miland.ru/api/getInfo/item/9858f493-25bf-11ec-a20f-ac1f6b442185</v>
      </c>
      <c r="AB5709" s="35" t="s">
        <v>50</v>
      </c>
      <c r="AC5709" s="35"/>
      <c r="AD5709" s="35"/>
      <c r="AE5709" s="52" t="s">
        <v>1251</v>
      </c>
    </row>
    <row r="5710" spans="2:31" s="1" customFormat="1" ht="96.3" customHeight="1" outlineLevel="4">
      <c r="B5710" s="59">
        <v>4659</v>
      </c>
      <c r="C5710" s="35" t="s">
        <v>20348</v>
      </c>
      <c r="D5710" s="73" t="s">
        <v>20349</v>
      </c>
      <c r="E5710" s="73"/>
      <c r="F5710" s="73"/>
      <c r="G5710" s="73"/>
      <c r="H5710" s="36" t="s">
        <v>20350</v>
      </c>
      <c r="I5710" s="40">
        <v>287</v>
      </c>
      <c r="J5710" s="36"/>
      <c r="K5710" s="34">
        <v>3</v>
      </c>
      <c r="L5710" s="41">
        <v>65.013333333333335</v>
      </c>
      <c r="M5710" s="11"/>
      <c r="N5710" s="36">
        <f t="shared" si="320"/>
        <v>0</v>
      </c>
      <c r="O5710" s="42">
        <f>0.057*M5710</f>
        <v>0</v>
      </c>
      <c r="P5710" s="55">
        <f>0.0001*M5710</f>
        <v>0</v>
      </c>
      <c r="Q5710" s="50"/>
      <c r="R5710" s="36" t="s">
        <v>20351</v>
      </c>
      <c r="S5710" s="36" t="s">
        <v>435</v>
      </c>
      <c r="T5710" s="35" t="str">
        <f>HYPERLINK("https://miland.ru/api/getInfo/image/1a1da0d6-d70a-11ee-a25a-00155d82e908")</f>
        <v>https://miland.ru/api/getInfo/image/1a1da0d6-d70a-11ee-a25a-00155d82e908</v>
      </c>
      <c r="U5710" s="35"/>
      <c r="V5710" s="35" t="s">
        <v>1682</v>
      </c>
      <c r="W5710" s="35" t="s">
        <v>1683</v>
      </c>
      <c r="X5710" s="35"/>
      <c r="Y5710" s="35" t="s">
        <v>41</v>
      </c>
      <c r="Z5710" s="35"/>
      <c r="AA5710" s="35" t="str">
        <f>HYPERLINK("https://miland.ru/api/getInfo/item/1a1da0d6-d70a-11ee-a25a-00155d82e908")</f>
        <v>https://miland.ru/api/getInfo/item/1a1da0d6-d70a-11ee-a25a-00155d82e908</v>
      </c>
      <c r="AB5710" s="35" t="s">
        <v>50</v>
      </c>
      <c r="AC5710" s="35"/>
      <c r="AD5710" s="35"/>
      <c r="AE5710" s="52" t="s">
        <v>1251</v>
      </c>
    </row>
    <row r="5711" spans="2:31" s="1" customFormat="1" ht="96.3" customHeight="1" outlineLevel="4">
      <c r="B5711" s="57">
        <v>4660</v>
      </c>
      <c r="C5711" s="21" t="s">
        <v>20352</v>
      </c>
      <c r="D5711" s="72" t="s">
        <v>20353</v>
      </c>
      <c r="E5711" s="72"/>
      <c r="F5711" s="72"/>
      <c r="G5711" s="72"/>
      <c r="H5711" s="22" t="s">
        <v>20354</v>
      </c>
      <c r="I5711" s="27">
        <v>40</v>
      </c>
      <c r="J5711" s="22"/>
      <c r="K5711" s="20">
        <v>3</v>
      </c>
      <c r="L5711" s="24">
        <v>192.19</v>
      </c>
      <c r="M5711" s="11"/>
      <c r="N5711" s="22">
        <f t="shared" si="320"/>
        <v>0</v>
      </c>
      <c r="O5711" s="28">
        <f>0.06*M5711</f>
        <v>0</v>
      </c>
      <c r="P5711" s="26">
        <f>0.00002*M5711</f>
        <v>0</v>
      </c>
      <c r="Q5711" s="30"/>
      <c r="R5711" s="22" t="s">
        <v>20355</v>
      </c>
      <c r="S5711" s="22" t="s">
        <v>435</v>
      </c>
      <c r="T5711" s="21" t="str">
        <f>HYPERLINK("https://miland.ru/api/getInfo/image/c12d5976-25bf-11ec-a20f-ac1f6b442185")</f>
        <v>https://miland.ru/api/getInfo/image/c12d5976-25bf-11ec-a20f-ac1f6b442185</v>
      </c>
      <c r="U5711" s="21"/>
      <c r="V5711" s="21" t="s">
        <v>1682</v>
      </c>
      <c r="W5711" s="21" t="s">
        <v>1683</v>
      </c>
      <c r="X5711" s="21"/>
      <c r="Y5711" s="21" t="s">
        <v>41</v>
      </c>
      <c r="Z5711" s="21"/>
      <c r="AA5711" s="21" t="str">
        <f>HYPERLINK("https://miland.ru/api/getInfo/item/c12d5976-25bf-11ec-a20f-ac1f6b442185")</f>
        <v>https://miland.ru/api/getInfo/item/c12d5976-25bf-11ec-a20f-ac1f6b442185</v>
      </c>
      <c r="AB5711" s="21" t="s">
        <v>50</v>
      </c>
      <c r="AC5711" s="21"/>
      <c r="AD5711" s="21"/>
    </row>
    <row r="5712" spans="2:31" s="1" customFormat="1" ht="96.3" customHeight="1" outlineLevel="4">
      <c r="B5712" s="59">
        <v>4661</v>
      </c>
      <c r="C5712" s="35" t="s">
        <v>20356</v>
      </c>
      <c r="D5712" s="73" t="s">
        <v>20357</v>
      </c>
      <c r="E5712" s="73"/>
      <c r="F5712" s="73"/>
      <c r="G5712" s="73"/>
      <c r="H5712" s="36" t="s">
        <v>20358</v>
      </c>
      <c r="I5712" s="40">
        <v>89</v>
      </c>
      <c r="J5712" s="36"/>
      <c r="K5712" s="34">
        <v>3</v>
      </c>
      <c r="L5712" s="41">
        <v>64.426666666666662</v>
      </c>
      <c r="M5712" s="11"/>
      <c r="N5712" s="36">
        <f t="shared" si="320"/>
        <v>0</v>
      </c>
      <c r="O5712" s="42">
        <f>0.055*M5712</f>
        <v>0</v>
      </c>
      <c r="P5712" s="43">
        <f>0.00011*M5712</f>
        <v>0</v>
      </c>
      <c r="Q5712" s="50"/>
      <c r="R5712" s="36" t="s">
        <v>20359</v>
      </c>
      <c r="S5712" s="36" t="s">
        <v>435</v>
      </c>
      <c r="T5712" s="35" t="str">
        <f>HYPERLINK("https://miland.ru/api/getInfo/image/7ce3f5a0-916f-11ed-a22c-00155d82e902")</f>
        <v>https://miland.ru/api/getInfo/image/7ce3f5a0-916f-11ed-a22c-00155d82e902</v>
      </c>
      <c r="U5712" s="35"/>
      <c r="V5712" s="35" t="s">
        <v>1682</v>
      </c>
      <c r="W5712" s="35" t="s">
        <v>1683</v>
      </c>
      <c r="X5712" s="35"/>
      <c r="Y5712" s="35" t="s">
        <v>41</v>
      </c>
      <c r="Z5712" s="35"/>
      <c r="AA5712" s="35" t="str">
        <f>HYPERLINK("https://miland.ru/api/getInfo/item/7ce3f5a0-916f-11ed-a22c-00155d82e902")</f>
        <v>https://miland.ru/api/getInfo/item/7ce3f5a0-916f-11ed-a22c-00155d82e902</v>
      </c>
      <c r="AB5712" s="35" t="s">
        <v>50</v>
      </c>
      <c r="AC5712" s="35"/>
      <c r="AD5712" s="35"/>
      <c r="AE5712" s="52" t="s">
        <v>1251</v>
      </c>
    </row>
    <row r="5713" spans="2:31" ht="12" customHeight="1" outlineLevel="2">
      <c r="B5713" s="69" t="s">
        <v>20360</v>
      </c>
      <c r="C5713" s="69"/>
      <c r="D5713" s="69"/>
      <c r="E5713" s="69"/>
      <c r="F5713" s="69"/>
      <c r="G5713" s="69"/>
    </row>
    <row r="5714" spans="2:31" ht="24" customHeight="1" outlineLevel="3">
      <c r="B5714" s="70" t="s">
        <v>20361</v>
      </c>
      <c r="C5714" s="70"/>
      <c r="D5714" s="70"/>
      <c r="E5714" s="70"/>
      <c r="F5714" s="70"/>
      <c r="G5714" s="70"/>
    </row>
    <row r="5715" spans="2:31" s="1" customFormat="1" ht="96.3" customHeight="1" outlineLevel="4">
      <c r="B5715" s="59">
        <v>4662</v>
      </c>
      <c r="C5715" s="35" t="s">
        <v>20362</v>
      </c>
      <c r="D5715" s="73" t="s">
        <v>20363</v>
      </c>
      <c r="E5715" s="73"/>
      <c r="F5715" s="73"/>
      <c r="G5715" s="73"/>
      <c r="H5715" s="36" t="s">
        <v>20364</v>
      </c>
      <c r="I5715" s="56" t="s">
        <v>36</v>
      </c>
      <c r="J5715" s="36"/>
      <c r="K5715" s="34">
        <v>5</v>
      </c>
      <c r="L5715" s="41">
        <v>72.56</v>
      </c>
      <c r="M5715" s="11"/>
      <c r="N5715" s="36">
        <f>L5715*M5715</f>
        <v>0</v>
      </c>
      <c r="O5715" s="42">
        <f>0.258*M5715</f>
        <v>0</v>
      </c>
      <c r="P5715" s="43">
        <f>0.00039*M5715</f>
        <v>0</v>
      </c>
      <c r="Q5715" s="50"/>
      <c r="R5715" s="36" t="s">
        <v>20365</v>
      </c>
      <c r="S5715" s="36" t="s">
        <v>435</v>
      </c>
      <c r="T5715" s="35" t="str">
        <f>HYPERLINK("https://miland.ru/api/getInfo/image/5366583f-a232-11ed-a22f-00155d82e902")</f>
        <v>https://miland.ru/api/getInfo/image/5366583f-a232-11ed-a22f-00155d82e902</v>
      </c>
      <c r="U5715" s="35"/>
      <c r="V5715" s="35"/>
      <c r="W5715" s="35" t="s">
        <v>12310</v>
      </c>
      <c r="X5715" s="35"/>
      <c r="Y5715" s="35" t="s">
        <v>41</v>
      </c>
      <c r="Z5715" s="35"/>
      <c r="AA5715" s="35" t="str">
        <f>HYPERLINK("https://miland.ru/api/getInfo/item/5366583f-a232-11ed-a22f-00155d82e902")</f>
        <v>https://miland.ru/api/getInfo/item/5366583f-a232-11ed-a22f-00155d82e902</v>
      </c>
      <c r="AB5715" s="35" t="s">
        <v>50</v>
      </c>
      <c r="AC5715" s="35"/>
      <c r="AD5715" s="35"/>
      <c r="AE5715" s="52" t="s">
        <v>1251</v>
      </c>
    </row>
    <row r="5716" spans="2:31" ht="24" customHeight="1" outlineLevel="3">
      <c r="B5716" s="70" t="s">
        <v>20366</v>
      </c>
      <c r="C5716" s="70"/>
      <c r="D5716" s="70"/>
      <c r="E5716" s="70"/>
      <c r="F5716" s="70"/>
      <c r="G5716" s="70"/>
    </row>
    <row r="5717" spans="2:31" s="1" customFormat="1" ht="96.3" customHeight="1" outlineLevel="4">
      <c r="B5717" s="59">
        <v>4663</v>
      </c>
      <c r="C5717" s="35" t="s">
        <v>20367</v>
      </c>
      <c r="D5717" s="73" t="s">
        <v>20368</v>
      </c>
      <c r="E5717" s="73"/>
      <c r="F5717" s="73"/>
      <c r="G5717" s="73"/>
      <c r="H5717" s="36" t="s">
        <v>20369</v>
      </c>
      <c r="I5717" s="56" t="s">
        <v>36</v>
      </c>
      <c r="J5717" s="36"/>
      <c r="K5717" s="34">
        <v>4</v>
      </c>
      <c r="L5717" s="41">
        <v>99.853333333333339</v>
      </c>
      <c r="M5717" s="11"/>
      <c r="N5717" s="36">
        <f>L5717*M5717</f>
        <v>0</v>
      </c>
      <c r="O5717" s="42">
        <f>0.291*M5717</f>
        <v>0</v>
      </c>
      <c r="P5717" s="55">
        <f>0.0005*M5717</f>
        <v>0</v>
      </c>
      <c r="Q5717" s="50"/>
      <c r="R5717" s="36" t="s">
        <v>20370</v>
      </c>
      <c r="S5717" s="36" t="s">
        <v>435</v>
      </c>
      <c r="T5717" s="35" t="str">
        <f>HYPERLINK("https://miland.ru/api/getInfo/image/c4662692-ec74-11ec-a213-ac1f6b442185")</f>
        <v>https://miland.ru/api/getInfo/image/c4662692-ec74-11ec-a213-ac1f6b442185</v>
      </c>
      <c r="U5717" s="35"/>
      <c r="V5717" s="35"/>
      <c r="W5717" s="35" t="s">
        <v>12310</v>
      </c>
      <c r="X5717" s="35"/>
      <c r="Y5717" s="35" t="s">
        <v>41</v>
      </c>
      <c r="Z5717" s="35"/>
      <c r="AA5717" s="35" t="str">
        <f>HYPERLINK("https://miland.ru/api/getInfo/item/c4662692-ec74-11ec-a213-ac1f6b442185")</f>
        <v>https://miland.ru/api/getInfo/item/c4662692-ec74-11ec-a213-ac1f6b442185</v>
      </c>
      <c r="AB5717" s="35" t="s">
        <v>50</v>
      </c>
      <c r="AC5717" s="35"/>
      <c r="AD5717" s="35"/>
      <c r="AE5717" s="52" t="s">
        <v>1251</v>
      </c>
    </row>
    <row r="5718" spans="2:31" s="1" customFormat="1" ht="96.3" customHeight="1" outlineLevel="4">
      <c r="B5718" s="59">
        <v>4664</v>
      </c>
      <c r="C5718" s="35" t="s">
        <v>20371</v>
      </c>
      <c r="D5718" s="73" t="s">
        <v>20372</v>
      </c>
      <c r="E5718" s="73"/>
      <c r="F5718" s="73"/>
      <c r="G5718" s="73"/>
      <c r="H5718" s="36" t="s">
        <v>20373</v>
      </c>
      <c r="I5718" s="56" t="s">
        <v>36</v>
      </c>
      <c r="J5718" s="36"/>
      <c r="K5718" s="34">
        <v>4</v>
      </c>
      <c r="L5718" s="41">
        <v>99.853333333333339</v>
      </c>
      <c r="M5718" s="11"/>
      <c r="N5718" s="36">
        <f>L5718*M5718</f>
        <v>0</v>
      </c>
      <c r="O5718" s="42">
        <f>0.287*M5718</f>
        <v>0</v>
      </c>
      <c r="P5718" s="43">
        <f>0.00049*M5718</f>
        <v>0</v>
      </c>
      <c r="Q5718" s="50"/>
      <c r="R5718" s="36" t="s">
        <v>20374</v>
      </c>
      <c r="S5718" s="36" t="s">
        <v>435</v>
      </c>
      <c r="T5718" s="35" t="str">
        <f>HYPERLINK("https://miland.ru/api/getInfo/image/eb9ee8d7-ec74-11ec-a213-ac1f6b442185")</f>
        <v>https://miland.ru/api/getInfo/image/eb9ee8d7-ec74-11ec-a213-ac1f6b442185</v>
      </c>
      <c r="U5718" s="35"/>
      <c r="V5718" s="35"/>
      <c r="W5718" s="35" t="s">
        <v>12310</v>
      </c>
      <c r="X5718" s="35"/>
      <c r="Y5718" s="35" t="s">
        <v>41</v>
      </c>
      <c r="Z5718" s="35"/>
      <c r="AA5718" s="35" t="str">
        <f>HYPERLINK("https://miland.ru/api/getInfo/item/eb9ee8d7-ec74-11ec-a213-ac1f6b442185")</f>
        <v>https://miland.ru/api/getInfo/item/eb9ee8d7-ec74-11ec-a213-ac1f6b442185</v>
      </c>
      <c r="AB5718" s="35" t="s">
        <v>50</v>
      </c>
      <c r="AC5718" s="35"/>
      <c r="AD5718" s="35"/>
      <c r="AE5718" s="52" t="s">
        <v>1251</v>
      </c>
    </row>
    <row r="5719" spans="2:31" s="1" customFormat="1" ht="96.3" customHeight="1" outlineLevel="4">
      <c r="B5719" s="59">
        <v>4665</v>
      </c>
      <c r="C5719" s="35" t="s">
        <v>20375</v>
      </c>
      <c r="D5719" s="73" t="s">
        <v>20376</v>
      </c>
      <c r="E5719" s="73"/>
      <c r="F5719" s="73"/>
      <c r="G5719" s="73"/>
      <c r="H5719" s="36" t="s">
        <v>20377</v>
      </c>
      <c r="I5719" s="40">
        <v>16</v>
      </c>
      <c r="J5719" s="36"/>
      <c r="K5719" s="34">
        <v>4</v>
      </c>
      <c r="L5719" s="41">
        <v>99.853333333333339</v>
      </c>
      <c r="M5719" s="11"/>
      <c r="N5719" s="36">
        <f>L5719*M5719</f>
        <v>0</v>
      </c>
      <c r="O5719" s="42">
        <f>0.292*M5719</f>
        <v>0</v>
      </c>
      <c r="P5719" s="43">
        <f>0.00046*M5719</f>
        <v>0</v>
      </c>
      <c r="Q5719" s="50"/>
      <c r="R5719" s="36" t="s">
        <v>20378</v>
      </c>
      <c r="S5719" s="36" t="s">
        <v>435</v>
      </c>
      <c r="T5719" s="35" t="str">
        <f>HYPERLINK("https://miland.ru/api/getInfo/image/fc570b8d-ec73-11ec-a213-ac1f6b442185")</f>
        <v>https://miland.ru/api/getInfo/image/fc570b8d-ec73-11ec-a213-ac1f6b442185</v>
      </c>
      <c r="U5719" s="35"/>
      <c r="V5719" s="35"/>
      <c r="W5719" s="35" t="s">
        <v>12310</v>
      </c>
      <c r="X5719" s="35"/>
      <c r="Y5719" s="35" t="s">
        <v>41</v>
      </c>
      <c r="Z5719" s="35"/>
      <c r="AA5719" s="35" t="str">
        <f>HYPERLINK("https://miland.ru/api/getInfo/item/fc570b8d-ec73-11ec-a213-ac1f6b442185")</f>
        <v>https://miland.ru/api/getInfo/item/fc570b8d-ec73-11ec-a213-ac1f6b442185</v>
      </c>
      <c r="AB5719" s="35" t="s">
        <v>50</v>
      </c>
      <c r="AC5719" s="35"/>
      <c r="AD5719" s="35"/>
      <c r="AE5719" s="52" t="s">
        <v>1251</v>
      </c>
    </row>
    <row r="5720" spans="2:31" ht="16.05" customHeight="1" outlineLevel="1">
      <c r="B5720" s="68" t="s">
        <v>20379</v>
      </c>
      <c r="C5720" s="68"/>
      <c r="D5720" s="68"/>
      <c r="E5720" s="68"/>
      <c r="F5720" s="68"/>
      <c r="G5720" s="68"/>
    </row>
    <row r="5721" spans="2:31" ht="12" customHeight="1" outlineLevel="2">
      <c r="B5721" s="69" t="s">
        <v>20380</v>
      </c>
      <c r="C5721" s="69"/>
      <c r="D5721" s="69"/>
      <c r="E5721" s="69"/>
      <c r="F5721" s="69"/>
      <c r="G5721" s="69"/>
    </row>
    <row r="5722" spans="2:31" ht="12" customHeight="1" outlineLevel="3">
      <c r="B5722" s="70" t="s">
        <v>20381</v>
      </c>
      <c r="C5722" s="70"/>
      <c r="D5722" s="70"/>
      <c r="E5722" s="70"/>
      <c r="F5722" s="70"/>
      <c r="G5722" s="70"/>
    </row>
    <row r="5723" spans="2:31" ht="12" customHeight="1" outlineLevel="4">
      <c r="B5723" s="70" t="s">
        <v>20382</v>
      </c>
      <c r="C5723" s="70"/>
      <c r="D5723" s="70"/>
      <c r="E5723" s="70"/>
      <c r="F5723" s="70"/>
      <c r="G5723" s="70"/>
    </row>
    <row r="5724" spans="2:31" s="1" customFormat="1" ht="96.3" customHeight="1" outlineLevel="5">
      <c r="B5724" s="57">
        <v>4666</v>
      </c>
      <c r="C5724" s="21" t="s">
        <v>20383</v>
      </c>
      <c r="D5724" s="72" t="s">
        <v>20384</v>
      </c>
      <c r="E5724" s="72"/>
      <c r="F5724" s="72"/>
      <c r="G5724" s="72"/>
      <c r="H5724" s="22" t="s">
        <v>20385</v>
      </c>
      <c r="I5724" s="23" t="s">
        <v>36</v>
      </c>
      <c r="J5724" s="22"/>
      <c r="K5724" s="20">
        <v>40</v>
      </c>
      <c r="L5724" s="24">
        <v>14.08</v>
      </c>
      <c r="M5724" s="11"/>
      <c r="N5724" s="22">
        <f>L5724*M5724</f>
        <v>0</v>
      </c>
      <c r="O5724" s="25">
        <f>0.008*M5724</f>
        <v>0</v>
      </c>
      <c r="P5724" s="26">
        <f>0.00001*M5724</f>
        <v>0</v>
      </c>
      <c r="Q5724" s="30"/>
      <c r="R5724" s="22" t="s">
        <v>20386</v>
      </c>
      <c r="S5724" s="22"/>
      <c r="T5724" s="21" t="str">
        <f>HYPERLINK("https://miland.ru/api/getInfo/image/7a82c2a2-3604-11f0-a27c-00155d82e908")</f>
        <v>https://miland.ru/api/getInfo/image/7a82c2a2-3604-11f0-a27c-00155d82e908</v>
      </c>
      <c r="U5724" s="21"/>
      <c r="V5724" s="21" t="s">
        <v>9009</v>
      </c>
      <c r="W5724" s="21" t="s">
        <v>9010</v>
      </c>
      <c r="X5724" s="21"/>
      <c r="Y5724" s="21" t="s">
        <v>41</v>
      </c>
      <c r="Z5724" s="21"/>
      <c r="AA5724" s="21" t="str">
        <f>HYPERLINK("https://miland.ru/api/getInfo/item/7a82c2a2-3604-11f0-a27c-00155d82e908")</f>
        <v>https://miland.ru/api/getInfo/item/7a82c2a2-3604-11f0-a27c-00155d82e908</v>
      </c>
      <c r="AB5724" s="21" t="s">
        <v>50</v>
      </c>
      <c r="AC5724" s="21"/>
      <c r="AD5724" s="21"/>
    </row>
    <row r="5725" spans="2:31" ht="12" customHeight="1" outlineLevel="3">
      <c r="B5725" s="70" t="s">
        <v>20387</v>
      </c>
      <c r="C5725" s="70"/>
      <c r="D5725" s="70"/>
      <c r="E5725" s="70"/>
      <c r="F5725" s="70"/>
      <c r="G5725" s="70"/>
    </row>
    <row r="5726" spans="2:31" ht="12" customHeight="1" outlineLevel="4">
      <c r="B5726" s="70" t="s">
        <v>20388</v>
      </c>
      <c r="C5726" s="70"/>
      <c r="D5726" s="70"/>
      <c r="E5726" s="70"/>
      <c r="F5726" s="70"/>
      <c r="G5726" s="70"/>
    </row>
    <row r="5727" spans="2:31" s="1" customFormat="1" ht="96.3" customHeight="1" outlineLevel="5">
      <c r="B5727" s="59">
        <v>4667</v>
      </c>
      <c r="C5727" s="35" t="s">
        <v>20389</v>
      </c>
      <c r="D5727" s="73" t="s">
        <v>20390</v>
      </c>
      <c r="E5727" s="73"/>
      <c r="F5727" s="73"/>
      <c r="G5727" s="73"/>
      <c r="H5727" s="36" t="s">
        <v>20391</v>
      </c>
      <c r="I5727" s="56" t="s">
        <v>36</v>
      </c>
      <c r="J5727" s="36"/>
      <c r="K5727" s="34">
        <v>20</v>
      </c>
      <c r="L5727" s="41">
        <v>23.22666666666667</v>
      </c>
      <c r="M5727" s="11"/>
      <c r="N5727" s="36">
        <f>L5727*M5727</f>
        <v>0</v>
      </c>
      <c r="O5727" s="42">
        <f>0.008*M5727</f>
        <v>0</v>
      </c>
      <c r="P5727" s="43">
        <f>0.00003*M5727</f>
        <v>0</v>
      </c>
      <c r="Q5727" s="50" t="s">
        <v>37</v>
      </c>
      <c r="R5727" s="36" t="s">
        <v>20392</v>
      </c>
      <c r="S5727" s="36"/>
      <c r="T5727" s="35" t="str">
        <f>HYPERLINK("https://miland.ru/api/getInfo/image/ab477b97-62e2-11f0-a281-00155d82e908")</f>
        <v>https://miland.ru/api/getInfo/image/ab477b97-62e2-11f0-a281-00155d82e908</v>
      </c>
      <c r="U5727" s="35"/>
      <c r="V5727" s="35" t="s">
        <v>9009</v>
      </c>
      <c r="W5727" s="35" t="s">
        <v>9010</v>
      </c>
      <c r="X5727" s="35"/>
      <c r="Y5727" s="35" t="s">
        <v>41</v>
      </c>
      <c r="Z5727" s="35"/>
      <c r="AA5727" s="35" t="str">
        <f>HYPERLINK("https://miland.ru/api/getInfo/item/ab477b97-62e2-11f0-a281-00155d82e908")</f>
        <v>https://miland.ru/api/getInfo/item/ab477b97-62e2-11f0-a281-00155d82e908</v>
      </c>
      <c r="AB5727" s="35" t="s">
        <v>42</v>
      </c>
      <c r="AC5727" s="35"/>
      <c r="AD5727" s="35"/>
      <c r="AE5727" s="52" t="s">
        <v>9152</v>
      </c>
    </row>
    <row r="5728" spans="2:31" s="1" customFormat="1" ht="96.3" customHeight="1" outlineLevel="5">
      <c r="B5728" s="59">
        <v>4668</v>
      </c>
      <c r="C5728" s="35" t="s">
        <v>20393</v>
      </c>
      <c r="D5728" s="73" t="s">
        <v>20394</v>
      </c>
      <c r="E5728" s="73"/>
      <c r="F5728" s="73"/>
      <c r="G5728" s="73"/>
      <c r="H5728" s="36" t="s">
        <v>20395</v>
      </c>
      <c r="I5728" s="56" t="s">
        <v>36</v>
      </c>
      <c r="J5728" s="36"/>
      <c r="K5728" s="34">
        <v>20</v>
      </c>
      <c r="L5728" s="41">
        <v>23.22666666666667</v>
      </c>
      <c r="M5728" s="11"/>
      <c r="N5728" s="36">
        <f>L5728*M5728</f>
        <v>0</v>
      </c>
      <c r="O5728" s="42">
        <f>0.011*M5728</f>
        <v>0</v>
      </c>
      <c r="P5728" s="43">
        <f>0.00004*M5728</f>
        <v>0</v>
      </c>
      <c r="Q5728" s="50" t="s">
        <v>37</v>
      </c>
      <c r="R5728" s="36" t="s">
        <v>20396</v>
      </c>
      <c r="S5728" s="36"/>
      <c r="T5728" s="35" t="str">
        <f>HYPERLINK("https://miland.ru/api/getInfo/image/5134d303-62e4-11f0-a282-00155d82e908")</f>
        <v>https://miland.ru/api/getInfo/image/5134d303-62e4-11f0-a282-00155d82e908</v>
      </c>
      <c r="U5728" s="35"/>
      <c r="V5728" s="35" t="s">
        <v>9009</v>
      </c>
      <c r="W5728" s="35" t="s">
        <v>9010</v>
      </c>
      <c r="X5728" s="35"/>
      <c r="Y5728" s="35" t="s">
        <v>41</v>
      </c>
      <c r="Z5728" s="35"/>
      <c r="AA5728" s="35" t="str">
        <f>HYPERLINK("https://miland.ru/api/getInfo/item/5134d303-62e4-11f0-a282-00155d82e908")</f>
        <v>https://miland.ru/api/getInfo/item/5134d303-62e4-11f0-a282-00155d82e908</v>
      </c>
      <c r="AB5728" s="35" t="s">
        <v>42</v>
      </c>
      <c r="AC5728" s="35"/>
      <c r="AD5728" s="35"/>
      <c r="AE5728" s="52" t="s">
        <v>9152</v>
      </c>
    </row>
    <row r="5729" spans="2:31" ht="12" customHeight="1" outlineLevel="4">
      <c r="B5729" s="70" t="s">
        <v>20397</v>
      </c>
      <c r="C5729" s="70"/>
      <c r="D5729" s="70"/>
      <c r="E5729" s="70"/>
      <c r="F5729" s="70"/>
      <c r="G5729" s="70"/>
    </row>
    <row r="5730" spans="2:31" s="1" customFormat="1" ht="96.3" customHeight="1" outlineLevel="5">
      <c r="B5730" s="59">
        <v>4669</v>
      </c>
      <c r="C5730" s="35" t="s">
        <v>20398</v>
      </c>
      <c r="D5730" s="73" t="s">
        <v>20399</v>
      </c>
      <c r="E5730" s="73"/>
      <c r="F5730" s="73"/>
      <c r="G5730" s="73"/>
      <c r="H5730" s="36" t="s">
        <v>20400</v>
      </c>
      <c r="I5730" s="56" t="s">
        <v>36</v>
      </c>
      <c r="J5730" s="36"/>
      <c r="K5730" s="34">
        <v>20</v>
      </c>
      <c r="L5730" s="41">
        <v>26.013333333333335</v>
      </c>
      <c r="M5730" s="11"/>
      <c r="N5730" s="36">
        <f>L5730*M5730</f>
        <v>0</v>
      </c>
      <c r="O5730" s="42">
        <f>0.008*M5730</f>
        <v>0</v>
      </c>
      <c r="P5730" s="43">
        <f>0.00003*M5730</f>
        <v>0</v>
      </c>
      <c r="Q5730" s="50" t="s">
        <v>37</v>
      </c>
      <c r="R5730" s="36" t="s">
        <v>20401</v>
      </c>
      <c r="S5730" s="36"/>
      <c r="T5730" s="35" t="str">
        <f>HYPERLINK("https://miland.ru/api/getInfo/image/d2fa0420-62e4-11f0-a282-00155d82e908")</f>
        <v>https://miland.ru/api/getInfo/image/d2fa0420-62e4-11f0-a282-00155d82e908</v>
      </c>
      <c r="U5730" s="35"/>
      <c r="V5730" s="35" t="s">
        <v>9009</v>
      </c>
      <c r="W5730" s="35" t="s">
        <v>9010</v>
      </c>
      <c r="X5730" s="35"/>
      <c r="Y5730" s="35" t="s">
        <v>41</v>
      </c>
      <c r="Z5730" s="35"/>
      <c r="AA5730" s="35" t="str">
        <f>HYPERLINK("https://miland.ru/api/getInfo/item/d2fa0420-62e4-11f0-a282-00155d82e908")</f>
        <v>https://miland.ru/api/getInfo/item/d2fa0420-62e4-11f0-a282-00155d82e908</v>
      </c>
      <c r="AB5730" s="35" t="s">
        <v>42</v>
      </c>
      <c r="AC5730" s="35"/>
      <c r="AD5730" s="35"/>
      <c r="AE5730" s="52" t="s">
        <v>9152</v>
      </c>
    </row>
    <row r="5731" spans="2:31" s="1" customFormat="1" ht="96.3" customHeight="1" outlineLevel="5">
      <c r="B5731" s="58">
        <v>4670</v>
      </c>
      <c r="C5731" s="7" t="s">
        <v>20402</v>
      </c>
      <c r="D5731" s="71" t="s">
        <v>20403</v>
      </c>
      <c r="E5731" s="71"/>
      <c r="F5731" s="71"/>
      <c r="G5731" s="71"/>
      <c r="H5731" s="8" t="s">
        <v>20404</v>
      </c>
      <c r="I5731" s="9" t="s">
        <v>36</v>
      </c>
      <c r="J5731" s="8"/>
      <c r="K5731" s="6">
        <v>20</v>
      </c>
      <c r="L5731" s="10">
        <v>32.520000000000003</v>
      </c>
      <c r="M5731" s="11"/>
      <c r="N5731" s="8">
        <f>L5731*M5731</f>
        <v>0</v>
      </c>
      <c r="O5731" s="12">
        <f>0.008*M5731</f>
        <v>0</v>
      </c>
      <c r="P5731" s="13">
        <f>0.00003*M5731</f>
        <v>0</v>
      </c>
      <c r="Q5731" s="17" t="s">
        <v>37</v>
      </c>
      <c r="R5731" s="8" t="s">
        <v>20405</v>
      </c>
      <c r="S5731" s="8"/>
      <c r="T5731" s="7" t="str">
        <f>HYPERLINK("https://miland.ru/api/getInfo/image/96efe406-62e6-11f0-a282-00155d82e908")</f>
        <v>https://miland.ru/api/getInfo/image/96efe406-62e6-11f0-a282-00155d82e908</v>
      </c>
      <c r="U5731" s="7"/>
      <c r="V5731" s="7" t="s">
        <v>9009</v>
      </c>
      <c r="W5731" s="7" t="s">
        <v>9010</v>
      </c>
      <c r="X5731" s="7"/>
      <c r="Y5731" s="7" t="s">
        <v>41</v>
      </c>
      <c r="Z5731" s="7"/>
      <c r="AA5731" s="7" t="str">
        <f>HYPERLINK("https://miland.ru/api/getInfo/item/96efe406-62e6-11f0-a282-00155d82e908")</f>
        <v>https://miland.ru/api/getInfo/item/96efe406-62e6-11f0-a282-00155d82e908</v>
      </c>
      <c r="AB5731" s="7" t="s">
        <v>42</v>
      </c>
      <c r="AC5731" s="7"/>
      <c r="AD5731" s="7"/>
      <c r="AE5731" s="54"/>
    </row>
    <row r="5732" spans="2:31" ht="12" customHeight="1" outlineLevel="2">
      <c r="B5732" s="69" t="s">
        <v>20406</v>
      </c>
      <c r="C5732" s="69"/>
      <c r="D5732" s="69"/>
      <c r="E5732" s="69"/>
      <c r="F5732" s="69"/>
      <c r="G5732" s="69"/>
    </row>
    <row r="5733" spans="2:31" ht="12" customHeight="1" outlineLevel="3">
      <c r="B5733" s="70" t="s">
        <v>20407</v>
      </c>
      <c r="C5733" s="70"/>
      <c r="D5733" s="70"/>
      <c r="E5733" s="70"/>
      <c r="F5733" s="70"/>
      <c r="G5733" s="70"/>
    </row>
    <row r="5734" spans="2:31" s="1" customFormat="1" ht="96.3" customHeight="1" outlineLevel="4">
      <c r="B5734" s="59">
        <v>4671</v>
      </c>
      <c r="C5734" s="35" t="s">
        <v>20408</v>
      </c>
      <c r="D5734" s="73" t="s">
        <v>20409</v>
      </c>
      <c r="E5734" s="73"/>
      <c r="F5734" s="73"/>
      <c r="G5734" s="73"/>
      <c r="H5734" s="36" t="s">
        <v>20410</v>
      </c>
      <c r="I5734" s="40">
        <v>280</v>
      </c>
      <c r="J5734" s="36"/>
      <c r="K5734" s="34">
        <v>50</v>
      </c>
      <c r="L5734" s="41">
        <v>8.2000000000000011</v>
      </c>
      <c r="M5734" s="11"/>
      <c r="N5734" s="36">
        <f t="shared" ref="N5734:N5740" si="321">L5734*M5734</f>
        <v>0</v>
      </c>
      <c r="O5734" s="42">
        <f>0.007*M5734</f>
        <v>0</v>
      </c>
      <c r="P5734" s="43">
        <f>0.00003*M5734</f>
        <v>0</v>
      </c>
      <c r="Q5734" s="50"/>
      <c r="R5734" s="36" t="s">
        <v>20411</v>
      </c>
      <c r="S5734" s="36" t="s">
        <v>435</v>
      </c>
      <c r="T5734" s="35" t="str">
        <f>HYPERLINK("https://miland.ru/api/getInfo/image/73728bda-8dbf-11ee-a250-00155d82e908")</f>
        <v>https://miland.ru/api/getInfo/image/73728bda-8dbf-11ee-a250-00155d82e908</v>
      </c>
      <c r="U5734" s="35"/>
      <c r="V5734" s="35" t="s">
        <v>9009</v>
      </c>
      <c r="W5734" s="35" t="s">
        <v>9010</v>
      </c>
      <c r="X5734" s="35"/>
      <c r="Y5734" s="35" t="s">
        <v>41</v>
      </c>
      <c r="Z5734" s="35"/>
      <c r="AA5734" s="35" t="str">
        <f>HYPERLINK("https://miland.ru/api/getInfo/item/73728bda-8dbf-11ee-a250-00155d82e908")</f>
        <v>https://miland.ru/api/getInfo/item/73728bda-8dbf-11ee-a250-00155d82e908</v>
      </c>
      <c r="AB5734" s="35" t="s">
        <v>50</v>
      </c>
      <c r="AC5734" s="35" t="s">
        <v>1698</v>
      </c>
      <c r="AD5734" s="35"/>
      <c r="AE5734" s="52" t="s">
        <v>1251</v>
      </c>
    </row>
    <row r="5735" spans="2:31" s="1" customFormat="1" ht="96.3" customHeight="1" outlineLevel="4">
      <c r="B5735" s="59">
        <v>4672</v>
      </c>
      <c r="C5735" s="35" t="s">
        <v>20412</v>
      </c>
      <c r="D5735" s="73" t="s">
        <v>20413</v>
      </c>
      <c r="E5735" s="73"/>
      <c r="F5735" s="73"/>
      <c r="G5735" s="73"/>
      <c r="H5735" s="36" t="s">
        <v>20414</v>
      </c>
      <c r="I5735" s="56" t="s">
        <v>36</v>
      </c>
      <c r="J5735" s="36"/>
      <c r="K5735" s="34">
        <v>50</v>
      </c>
      <c r="L5735" s="41">
        <v>8.2000000000000011</v>
      </c>
      <c r="M5735" s="11"/>
      <c r="N5735" s="36">
        <f t="shared" si="321"/>
        <v>0</v>
      </c>
      <c r="O5735" s="42">
        <f>0.008*M5735</f>
        <v>0</v>
      </c>
      <c r="P5735" s="43">
        <f>0.00001*M5735</f>
        <v>0</v>
      </c>
      <c r="Q5735" s="50" t="s">
        <v>37</v>
      </c>
      <c r="R5735" s="36" t="s">
        <v>20415</v>
      </c>
      <c r="S5735" s="36"/>
      <c r="T5735" s="35" t="str">
        <f>HYPERLINK("https://miland.ru/api/getInfo/image/5abbce63-0e3b-11f1-a28f-00155d82e908")</f>
        <v>https://miland.ru/api/getInfo/image/5abbce63-0e3b-11f1-a28f-00155d82e908</v>
      </c>
      <c r="U5735" s="35"/>
      <c r="V5735" s="35" t="s">
        <v>9009</v>
      </c>
      <c r="W5735" s="35" t="s">
        <v>9010</v>
      </c>
      <c r="X5735" s="35"/>
      <c r="Y5735" s="35" t="s">
        <v>41</v>
      </c>
      <c r="Z5735" s="35"/>
      <c r="AA5735" s="35" t="str">
        <f>HYPERLINK("https://miland.ru/api/getInfo/item/5abbce63-0e3b-11f1-a28f-00155d82e908")</f>
        <v>https://miland.ru/api/getInfo/item/5abbce63-0e3b-11f1-a28f-00155d82e908</v>
      </c>
      <c r="AB5735" s="35" t="s">
        <v>50</v>
      </c>
      <c r="AC5735" s="35"/>
      <c r="AD5735" s="35"/>
      <c r="AE5735" s="52" t="s">
        <v>1251</v>
      </c>
    </row>
    <row r="5736" spans="2:31" s="1" customFormat="1" ht="96.3" customHeight="1" outlineLevel="4">
      <c r="B5736" s="59">
        <v>4673</v>
      </c>
      <c r="C5736" s="35" t="s">
        <v>20416</v>
      </c>
      <c r="D5736" s="73" t="s">
        <v>20417</v>
      </c>
      <c r="E5736" s="73"/>
      <c r="F5736" s="73"/>
      <c r="G5736" s="73"/>
      <c r="H5736" s="36" t="s">
        <v>20418</v>
      </c>
      <c r="I5736" s="56" t="s">
        <v>36</v>
      </c>
      <c r="J5736" s="36"/>
      <c r="K5736" s="34">
        <v>50</v>
      </c>
      <c r="L5736" s="41">
        <v>8.2000000000000011</v>
      </c>
      <c r="M5736" s="11"/>
      <c r="N5736" s="36">
        <f t="shared" si="321"/>
        <v>0</v>
      </c>
      <c r="O5736" s="42">
        <f>0.008*M5736</f>
        <v>0</v>
      </c>
      <c r="P5736" s="43">
        <f>0.00001*M5736</f>
        <v>0</v>
      </c>
      <c r="Q5736" s="50" t="s">
        <v>37</v>
      </c>
      <c r="R5736" s="36" t="s">
        <v>20419</v>
      </c>
      <c r="S5736" s="36"/>
      <c r="T5736" s="35" t="str">
        <f>HYPERLINK("https://miland.ru/api/getInfo/image/18915efa-0e3a-11f1-a28f-00155d82e908")</f>
        <v>https://miland.ru/api/getInfo/image/18915efa-0e3a-11f1-a28f-00155d82e908</v>
      </c>
      <c r="U5736" s="35"/>
      <c r="V5736" s="35" t="s">
        <v>9009</v>
      </c>
      <c r="W5736" s="35" t="s">
        <v>9010</v>
      </c>
      <c r="X5736" s="35"/>
      <c r="Y5736" s="35" t="s">
        <v>41</v>
      </c>
      <c r="Z5736" s="35"/>
      <c r="AA5736" s="35" t="str">
        <f>HYPERLINK("https://miland.ru/api/getInfo/item/18915efa-0e3a-11f1-a28f-00155d82e908")</f>
        <v>https://miland.ru/api/getInfo/item/18915efa-0e3a-11f1-a28f-00155d82e908</v>
      </c>
      <c r="AB5736" s="35" t="s">
        <v>50</v>
      </c>
      <c r="AC5736" s="35"/>
      <c r="AD5736" s="35"/>
      <c r="AE5736" s="52" t="s">
        <v>1251</v>
      </c>
    </row>
    <row r="5737" spans="2:31" s="1" customFormat="1" ht="96.3" customHeight="1" outlineLevel="4">
      <c r="B5737" s="59">
        <v>4674</v>
      </c>
      <c r="C5737" s="35" t="s">
        <v>20420</v>
      </c>
      <c r="D5737" s="73" t="s">
        <v>20421</v>
      </c>
      <c r="E5737" s="73"/>
      <c r="F5737" s="73"/>
      <c r="G5737" s="73"/>
      <c r="H5737" s="36" t="s">
        <v>20422</v>
      </c>
      <c r="I5737" s="56" t="s">
        <v>36</v>
      </c>
      <c r="J5737" s="36"/>
      <c r="K5737" s="34">
        <v>50</v>
      </c>
      <c r="L5737" s="41">
        <v>8.2000000000000011</v>
      </c>
      <c r="M5737" s="11"/>
      <c r="N5737" s="36">
        <f t="shared" si="321"/>
        <v>0</v>
      </c>
      <c r="O5737" s="42">
        <f>0.008*M5737</f>
        <v>0</v>
      </c>
      <c r="P5737" s="43">
        <f>0.00001*M5737</f>
        <v>0</v>
      </c>
      <c r="Q5737" s="50" t="s">
        <v>37</v>
      </c>
      <c r="R5737" s="36" t="s">
        <v>20423</v>
      </c>
      <c r="S5737" s="36"/>
      <c r="T5737" s="35" t="str">
        <f>HYPERLINK("https://miland.ru/api/getInfo/image/5d5fbec7-0e3d-11f1-a28f-00155d82e908")</f>
        <v>https://miland.ru/api/getInfo/image/5d5fbec7-0e3d-11f1-a28f-00155d82e908</v>
      </c>
      <c r="U5737" s="35"/>
      <c r="V5737" s="35" t="s">
        <v>9009</v>
      </c>
      <c r="W5737" s="35" t="s">
        <v>9010</v>
      </c>
      <c r="X5737" s="35"/>
      <c r="Y5737" s="35" t="s">
        <v>41</v>
      </c>
      <c r="Z5737" s="35"/>
      <c r="AA5737" s="35" t="str">
        <f>HYPERLINK("https://miland.ru/api/getInfo/item/5d5fbec7-0e3d-11f1-a28f-00155d82e908")</f>
        <v>https://miland.ru/api/getInfo/item/5d5fbec7-0e3d-11f1-a28f-00155d82e908</v>
      </c>
      <c r="AB5737" s="35" t="s">
        <v>50</v>
      </c>
      <c r="AC5737" s="35"/>
      <c r="AD5737" s="35"/>
      <c r="AE5737" s="52" t="s">
        <v>1251</v>
      </c>
    </row>
    <row r="5738" spans="2:31" s="1" customFormat="1" ht="96.3" customHeight="1" outlineLevel="4">
      <c r="B5738" s="59">
        <v>4675</v>
      </c>
      <c r="C5738" s="35" t="s">
        <v>20424</v>
      </c>
      <c r="D5738" s="73" t="s">
        <v>20425</v>
      </c>
      <c r="E5738" s="73"/>
      <c r="F5738" s="73"/>
      <c r="G5738" s="73"/>
      <c r="H5738" s="36" t="s">
        <v>20426</v>
      </c>
      <c r="I5738" s="56" t="s">
        <v>36</v>
      </c>
      <c r="J5738" s="36"/>
      <c r="K5738" s="34">
        <v>50</v>
      </c>
      <c r="L5738" s="41">
        <v>8.2000000000000011</v>
      </c>
      <c r="M5738" s="11"/>
      <c r="N5738" s="36">
        <f t="shared" si="321"/>
        <v>0</v>
      </c>
      <c r="O5738" s="42">
        <f>0.008*M5738</f>
        <v>0</v>
      </c>
      <c r="P5738" s="43">
        <f>0.00001*M5738</f>
        <v>0</v>
      </c>
      <c r="Q5738" s="50" t="s">
        <v>37</v>
      </c>
      <c r="R5738" s="36" t="s">
        <v>20427</v>
      </c>
      <c r="S5738" s="36"/>
      <c r="T5738" s="35" t="str">
        <f>HYPERLINK("https://miland.ru/api/getInfo/image/f04b8e1b-0e38-11f1-a28f-00155d82e908")</f>
        <v>https://miland.ru/api/getInfo/image/f04b8e1b-0e38-11f1-a28f-00155d82e908</v>
      </c>
      <c r="U5738" s="35"/>
      <c r="V5738" s="35" t="s">
        <v>9009</v>
      </c>
      <c r="W5738" s="35" t="s">
        <v>9010</v>
      </c>
      <c r="X5738" s="35"/>
      <c r="Y5738" s="35" t="s">
        <v>41</v>
      </c>
      <c r="Z5738" s="35"/>
      <c r="AA5738" s="35" t="str">
        <f>HYPERLINK("https://miland.ru/api/getInfo/item/f04b8e1b-0e38-11f1-a28f-00155d82e908")</f>
        <v>https://miland.ru/api/getInfo/item/f04b8e1b-0e38-11f1-a28f-00155d82e908</v>
      </c>
      <c r="AB5738" s="35" t="s">
        <v>50</v>
      </c>
      <c r="AC5738" s="35"/>
      <c r="AD5738" s="35"/>
      <c r="AE5738" s="52" t="s">
        <v>1251</v>
      </c>
    </row>
    <row r="5739" spans="2:31" s="1" customFormat="1" ht="96.3" customHeight="1" outlineLevel="4">
      <c r="B5739" s="59">
        <v>4676</v>
      </c>
      <c r="C5739" s="35" t="s">
        <v>20428</v>
      </c>
      <c r="D5739" s="73" t="s">
        <v>20429</v>
      </c>
      <c r="E5739" s="73"/>
      <c r="F5739" s="73"/>
      <c r="G5739" s="73"/>
      <c r="H5739" s="36" t="s">
        <v>20430</v>
      </c>
      <c r="I5739" s="56" t="s">
        <v>36</v>
      </c>
      <c r="J5739" s="36"/>
      <c r="K5739" s="34">
        <v>50</v>
      </c>
      <c r="L5739" s="41">
        <v>8.2000000000000011</v>
      </c>
      <c r="M5739" s="11"/>
      <c r="N5739" s="36">
        <f t="shared" si="321"/>
        <v>0</v>
      </c>
      <c r="O5739" s="42">
        <f>0.008*M5739</f>
        <v>0</v>
      </c>
      <c r="P5739" s="43">
        <f>0.00001*M5739</f>
        <v>0</v>
      </c>
      <c r="Q5739" s="50" t="s">
        <v>37</v>
      </c>
      <c r="R5739" s="36" t="s">
        <v>20431</v>
      </c>
      <c r="S5739" s="36"/>
      <c r="T5739" s="35" t="str">
        <f>HYPERLINK("https://miland.ru/api/getInfo/image/35e051a0-0e3a-11f1-a28f-00155d82e908")</f>
        <v>https://miland.ru/api/getInfo/image/35e051a0-0e3a-11f1-a28f-00155d82e908</v>
      </c>
      <c r="U5739" s="35"/>
      <c r="V5739" s="35" t="s">
        <v>9009</v>
      </c>
      <c r="W5739" s="35" t="s">
        <v>9010</v>
      </c>
      <c r="X5739" s="35"/>
      <c r="Y5739" s="35" t="s">
        <v>41</v>
      </c>
      <c r="Z5739" s="35"/>
      <c r="AA5739" s="35" t="str">
        <f>HYPERLINK("https://miland.ru/api/getInfo/item/35e051a0-0e3a-11f1-a28f-00155d82e908")</f>
        <v>https://miland.ru/api/getInfo/item/35e051a0-0e3a-11f1-a28f-00155d82e908</v>
      </c>
      <c r="AB5739" s="35" t="s">
        <v>50</v>
      </c>
      <c r="AC5739" s="35"/>
      <c r="AD5739" s="35"/>
      <c r="AE5739" s="52" t="s">
        <v>1251</v>
      </c>
    </row>
    <row r="5740" spans="2:31" s="1" customFormat="1" ht="96.3" customHeight="1" outlineLevel="4">
      <c r="B5740" s="59">
        <v>4677</v>
      </c>
      <c r="C5740" s="35" t="s">
        <v>20432</v>
      </c>
      <c r="D5740" s="73" t="s">
        <v>20433</v>
      </c>
      <c r="E5740" s="73"/>
      <c r="F5740" s="73"/>
      <c r="G5740" s="73"/>
      <c r="H5740" s="36" t="s">
        <v>20434</v>
      </c>
      <c r="I5740" s="40">
        <v>10</v>
      </c>
      <c r="J5740" s="36"/>
      <c r="K5740" s="34">
        <v>10</v>
      </c>
      <c r="L5740" s="41">
        <v>8.2000000000000011</v>
      </c>
      <c r="M5740" s="11"/>
      <c r="N5740" s="36">
        <f t="shared" si="321"/>
        <v>0</v>
      </c>
      <c r="O5740" s="42">
        <f>0.007*M5740</f>
        <v>0</v>
      </c>
      <c r="P5740" s="43">
        <f>0.00003*M5740</f>
        <v>0</v>
      </c>
      <c r="Q5740" s="50"/>
      <c r="R5740" s="36" t="s">
        <v>20435</v>
      </c>
      <c r="S5740" s="36" t="s">
        <v>435</v>
      </c>
      <c r="T5740" s="35" t="str">
        <f>HYPERLINK("https://miland.ru/api/getInfo/image/4ca1ef72-4a1a-11ed-a216-ac1f6b442185")</f>
        <v>https://miland.ru/api/getInfo/image/4ca1ef72-4a1a-11ed-a216-ac1f6b442185</v>
      </c>
      <c r="U5740" s="35"/>
      <c r="V5740" s="35" t="s">
        <v>9009</v>
      </c>
      <c r="W5740" s="35" t="s">
        <v>9010</v>
      </c>
      <c r="X5740" s="35"/>
      <c r="Y5740" s="35" t="s">
        <v>41</v>
      </c>
      <c r="Z5740" s="35"/>
      <c r="AA5740" s="35" t="str">
        <f>HYPERLINK("https://miland.ru/api/getInfo/item/4ca1ef72-4a1a-11ed-a216-ac1f6b442185")</f>
        <v>https://miland.ru/api/getInfo/item/4ca1ef72-4a1a-11ed-a216-ac1f6b442185</v>
      </c>
      <c r="AB5740" s="35" t="s">
        <v>50</v>
      </c>
      <c r="AC5740" s="35" t="s">
        <v>1698</v>
      </c>
      <c r="AD5740" s="35"/>
      <c r="AE5740" s="52" t="s">
        <v>1251</v>
      </c>
    </row>
    <row r="5741" spans="2:31" ht="12" customHeight="1" outlineLevel="3">
      <c r="B5741" s="70" t="s">
        <v>20436</v>
      </c>
      <c r="C5741" s="70"/>
      <c r="D5741" s="70"/>
      <c r="E5741" s="70"/>
      <c r="F5741" s="70"/>
      <c r="G5741" s="70"/>
    </row>
    <row r="5742" spans="2:31" s="1" customFormat="1" ht="96.3" customHeight="1" outlineLevel="4">
      <c r="B5742" s="58">
        <v>4678</v>
      </c>
      <c r="C5742" s="7" t="s">
        <v>20437</v>
      </c>
      <c r="D5742" s="71" t="s">
        <v>20438</v>
      </c>
      <c r="E5742" s="71"/>
      <c r="F5742" s="71"/>
      <c r="G5742" s="71"/>
      <c r="H5742" s="8" t="s">
        <v>20439</v>
      </c>
      <c r="I5742" s="9" t="s">
        <v>36</v>
      </c>
      <c r="J5742" s="8"/>
      <c r="K5742" s="6">
        <v>50</v>
      </c>
      <c r="L5742" s="10">
        <v>10.47</v>
      </c>
      <c r="M5742" s="11"/>
      <c r="N5742" s="8">
        <f t="shared" ref="N5742:N5754" si="322">L5742*M5742</f>
        <v>0</v>
      </c>
      <c r="O5742" s="12">
        <f t="shared" ref="O5742:O5754" si="323">0.005*M5742</f>
        <v>0</v>
      </c>
      <c r="P5742" s="13">
        <f t="shared" ref="P5742:P5754" si="324">0.00001*M5742</f>
        <v>0</v>
      </c>
      <c r="Q5742" s="17" t="s">
        <v>37</v>
      </c>
      <c r="R5742" s="8" t="s">
        <v>20440</v>
      </c>
      <c r="S5742" s="8"/>
      <c r="T5742" s="7" t="str">
        <f>HYPERLINK("https://miland.ru/api/getInfo/image/2eee0419-f059-11f0-a28d-00155d82e908")</f>
        <v>https://miland.ru/api/getInfo/image/2eee0419-f059-11f0-a28d-00155d82e908</v>
      </c>
      <c r="U5742" s="7"/>
      <c r="V5742" s="7" t="s">
        <v>9009</v>
      </c>
      <c r="W5742" s="7" t="s">
        <v>9010</v>
      </c>
      <c r="X5742" s="7"/>
      <c r="Y5742" s="7" t="s">
        <v>41</v>
      </c>
      <c r="Z5742" s="7"/>
      <c r="AA5742" s="7" t="str">
        <f>HYPERLINK("https://miland.ru/api/getInfo/item/2eee0419-f059-11f0-a28d-00155d82e908")</f>
        <v>https://miland.ru/api/getInfo/item/2eee0419-f059-11f0-a28d-00155d82e908</v>
      </c>
      <c r="AB5742" s="7" t="s">
        <v>50</v>
      </c>
      <c r="AC5742" s="7" t="s">
        <v>1698</v>
      </c>
      <c r="AD5742" s="7"/>
      <c r="AE5742" s="54"/>
    </row>
    <row r="5743" spans="2:31" s="1" customFormat="1" ht="96.3" customHeight="1" outlineLevel="4">
      <c r="B5743" s="58">
        <v>4679</v>
      </c>
      <c r="C5743" s="7" t="s">
        <v>20441</v>
      </c>
      <c r="D5743" s="71" t="s">
        <v>20442</v>
      </c>
      <c r="E5743" s="71"/>
      <c r="F5743" s="71"/>
      <c r="G5743" s="71"/>
      <c r="H5743" s="8" t="s">
        <v>20443</v>
      </c>
      <c r="I5743" s="9" t="s">
        <v>36</v>
      </c>
      <c r="J5743" s="8"/>
      <c r="K5743" s="6">
        <v>50</v>
      </c>
      <c r="L5743" s="10">
        <v>10.47</v>
      </c>
      <c r="M5743" s="11"/>
      <c r="N5743" s="8">
        <f t="shared" si="322"/>
        <v>0</v>
      </c>
      <c r="O5743" s="12">
        <f t="shared" si="323"/>
        <v>0</v>
      </c>
      <c r="P5743" s="13">
        <f t="shared" si="324"/>
        <v>0</v>
      </c>
      <c r="Q5743" s="17" t="s">
        <v>37</v>
      </c>
      <c r="R5743" s="8" t="s">
        <v>20444</v>
      </c>
      <c r="S5743" s="8"/>
      <c r="T5743" s="7" t="str">
        <f>HYPERLINK("https://miland.ru/api/getInfo/image/4bc417b2-f059-11f0-a28d-00155d82e908")</f>
        <v>https://miland.ru/api/getInfo/image/4bc417b2-f059-11f0-a28d-00155d82e908</v>
      </c>
      <c r="U5743" s="7"/>
      <c r="V5743" s="7" t="s">
        <v>9009</v>
      </c>
      <c r="W5743" s="7" t="s">
        <v>9010</v>
      </c>
      <c r="X5743" s="7"/>
      <c r="Y5743" s="7" t="s">
        <v>41</v>
      </c>
      <c r="Z5743" s="7"/>
      <c r="AA5743" s="7" t="str">
        <f>HYPERLINK("https://miland.ru/api/getInfo/item/4bc417b2-f059-11f0-a28d-00155d82e908")</f>
        <v>https://miland.ru/api/getInfo/item/4bc417b2-f059-11f0-a28d-00155d82e908</v>
      </c>
      <c r="AB5743" s="7" t="s">
        <v>50</v>
      </c>
      <c r="AC5743" s="7" t="s">
        <v>1698</v>
      </c>
      <c r="AD5743" s="7"/>
      <c r="AE5743" s="54"/>
    </row>
    <row r="5744" spans="2:31" s="1" customFormat="1" ht="96.3" customHeight="1" outlineLevel="4">
      <c r="B5744" s="58">
        <v>4680</v>
      </c>
      <c r="C5744" s="7" t="s">
        <v>20445</v>
      </c>
      <c r="D5744" s="71" t="s">
        <v>20446</v>
      </c>
      <c r="E5744" s="71"/>
      <c r="F5744" s="71"/>
      <c r="G5744" s="71"/>
      <c r="H5744" s="8" t="s">
        <v>20447</v>
      </c>
      <c r="I5744" s="9" t="s">
        <v>36</v>
      </c>
      <c r="J5744" s="8"/>
      <c r="K5744" s="6">
        <v>50</v>
      </c>
      <c r="L5744" s="10">
        <v>10.47</v>
      </c>
      <c r="M5744" s="11"/>
      <c r="N5744" s="8">
        <f t="shared" si="322"/>
        <v>0</v>
      </c>
      <c r="O5744" s="12">
        <f t="shared" si="323"/>
        <v>0</v>
      </c>
      <c r="P5744" s="13">
        <f t="shared" si="324"/>
        <v>0</v>
      </c>
      <c r="Q5744" s="17" t="s">
        <v>37</v>
      </c>
      <c r="R5744" s="8" t="s">
        <v>20448</v>
      </c>
      <c r="S5744" s="8"/>
      <c r="T5744" s="7" t="str">
        <f>HYPERLINK("https://miland.ru/api/getInfo/image/d2720f68-f05a-11f0-a28d-00155d82e908")</f>
        <v>https://miland.ru/api/getInfo/image/d2720f68-f05a-11f0-a28d-00155d82e908</v>
      </c>
      <c r="U5744" s="7"/>
      <c r="V5744" s="7" t="s">
        <v>9009</v>
      </c>
      <c r="W5744" s="7" t="s">
        <v>9010</v>
      </c>
      <c r="X5744" s="7"/>
      <c r="Y5744" s="7" t="s">
        <v>41</v>
      </c>
      <c r="Z5744" s="7"/>
      <c r="AA5744" s="7" t="str">
        <f>HYPERLINK("https://miland.ru/api/getInfo/item/d2720f68-f05a-11f0-a28d-00155d82e908")</f>
        <v>https://miland.ru/api/getInfo/item/d2720f68-f05a-11f0-a28d-00155d82e908</v>
      </c>
      <c r="AB5744" s="7" t="s">
        <v>50</v>
      </c>
      <c r="AC5744" s="7" t="s">
        <v>1698</v>
      </c>
      <c r="AD5744" s="7"/>
      <c r="AE5744" s="54"/>
    </row>
    <row r="5745" spans="2:31" s="1" customFormat="1" ht="96.3" customHeight="1" outlineLevel="4">
      <c r="B5745" s="58">
        <v>4681</v>
      </c>
      <c r="C5745" s="7" t="s">
        <v>20449</v>
      </c>
      <c r="D5745" s="71" t="s">
        <v>20450</v>
      </c>
      <c r="E5745" s="71"/>
      <c r="F5745" s="71"/>
      <c r="G5745" s="71"/>
      <c r="H5745" s="8" t="s">
        <v>20451</v>
      </c>
      <c r="I5745" s="9" t="s">
        <v>36</v>
      </c>
      <c r="J5745" s="8"/>
      <c r="K5745" s="6">
        <v>50</v>
      </c>
      <c r="L5745" s="10">
        <v>10.47</v>
      </c>
      <c r="M5745" s="11"/>
      <c r="N5745" s="8">
        <f t="shared" si="322"/>
        <v>0</v>
      </c>
      <c r="O5745" s="12">
        <f t="shared" si="323"/>
        <v>0</v>
      </c>
      <c r="P5745" s="13">
        <f t="shared" si="324"/>
        <v>0</v>
      </c>
      <c r="Q5745" s="17" t="s">
        <v>37</v>
      </c>
      <c r="R5745" s="8" t="s">
        <v>20452</v>
      </c>
      <c r="S5745" s="8"/>
      <c r="T5745" s="7" t="str">
        <f>HYPERLINK("https://miland.ru/api/getInfo/image/9bef24f7-f05a-11f0-a28d-00155d82e908")</f>
        <v>https://miland.ru/api/getInfo/image/9bef24f7-f05a-11f0-a28d-00155d82e908</v>
      </c>
      <c r="U5745" s="7"/>
      <c r="V5745" s="7" t="s">
        <v>9009</v>
      </c>
      <c r="W5745" s="7" t="s">
        <v>9010</v>
      </c>
      <c r="X5745" s="7"/>
      <c r="Y5745" s="7" t="s">
        <v>41</v>
      </c>
      <c r="Z5745" s="7"/>
      <c r="AA5745" s="7" t="str">
        <f>HYPERLINK("https://miland.ru/api/getInfo/item/9bef24f7-f05a-11f0-a28d-00155d82e908")</f>
        <v>https://miland.ru/api/getInfo/item/9bef24f7-f05a-11f0-a28d-00155d82e908</v>
      </c>
      <c r="AB5745" s="7" t="s">
        <v>50</v>
      </c>
      <c r="AC5745" s="7" t="s">
        <v>1698</v>
      </c>
      <c r="AD5745" s="7"/>
      <c r="AE5745" s="54"/>
    </row>
    <row r="5746" spans="2:31" s="1" customFormat="1" ht="96.3" customHeight="1" outlineLevel="4">
      <c r="B5746" s="58">
        <v>4682</v>
      </c>
      <c r="C5746" s="7" t="s">
        <v>20453</v>
      </c>
      <c r="D5746" s="71" t="s">
        <v>20454</v>
      </c>
      <c r="E5746" s="71"/>
      <c r="F5746" s="71"/>
      <c r="G5746" s="71"/>
      <c r="H5746" s="8" t="s">
        <v>20455</v>
      </c>
      <c r="I5746" s="9" t="s">
        <v>36</v>
      </c>
      <c r="J5746" s="8"/>
      <c r="K5746" s="6">
        <v>50</v>
      </c>
      <c r="L5746" s="10">
        <v>10.47</v>
      </c>
      <c r="M5746" s="11"/>
      <c r="N5746" s="8">
        <f t="shared" si="322"/>
        <v>0</v>
      </c>
      <c r="O5746" s="12">
        <f t="shared" si="323"/>
        <v>0</v>
      </c>
      <c r="P5746" s="13">
        <f t="shared" si="324"/>
        <v>0</v>
      </c>
      <c r="Q5746" s="17" t="s">
        <v>37</v>
      </c>
      <c r="R5746" s="8" t="s">
        <v>20456</v>
      </c>
      <c r="S5746" s="8"/>
      <c r="T5746" s="7" t="str">
        <f>HYPERLINK("https://miland.ru/api/getInfo/image/eb7a72b4-f05a-11f0-a28d-00155d82e908")</f>
        <v>https://miland.ru/api/getInfo/image/eb7a72b4-f05a-11f0-a28d-00155d82e908</v>
      </c>
      <c r="U5746" s="7"/>
      <c r="V5746" s="7" t="s">
        <v>9009</v>
      </c>
      <c r="W5746" s="7" t="s">
        <v>9010</v>
      </c>
      <c r="X5746" s="7"/>
      <c r="Y5746" s="7" t="s">
        <v>41</v>
      </c>
      <c r="Z5746" s="7"/>
      <c r="AA5746" s="7" t="str">
        <f>HYPERLINK("https://miland.ru/api/getInfo/item/eb7a72b4-f05a-11f0-a28d-00155d82e908")</f>
        <v>https://miland.ru/api/getInfo/item/eb7a72b4-f05a-11f0-a28d-00155d82e908</v>
      </c>
      <c r="AB5746" s="7" t="s">
        <v>50</v>
      </c>
      <c r="AC5746" s="7" t="s">
        <v>1698</v>
      </c>
      <c r="AD5746" s="7"/>
      <c r="AE5746" s="54"/>
    </row>
    <row r="5747" spans="2:31" s="1" customFormat="1" ht="96.3" customHeight="1" outlineLevel="4">
      <c r="B5747" s="58">
        <v>4683</v>
      </c>
      <c r="C5747" s="7" t="s">
        <v>20457</v>
      </c>
      <c r="D5747" s="71" t="s">
        <v>20458</v>
      </c>
      <c r="E5747" s="71"/>
      <c r="F5747" s="71"/>
      <c r="G5747" s="71"/>
      <c r="H5747" s="8" t="s">
        <v>20459</v>
      </c>
      <c r="I5747" s="9" t="s">
        <v>36</v>
      </c>
      <c r="J5747" s="8"/>
      <c r="K5747" s="6">
        <v>50</v>
      </c>
      <c r="L5747" s="10">
        <v>10.47</v>
      </c>
      <c r="M5747" s="11"/>
      <c r="N5747" s="8">
        <f t="shared" si="322"/>
        <v>0</v>
      </c>
      <c r="O5747" s="12">
        <f t="shared" si="323"/>
        <v>0</v>
      </c>
      <c r="P5747" s="13">
        <f t="shared" si="324"/>
        <v>0</v>
      </c>
      <c r="Q5747" s="17" t="s">
        <v>37</v>
      </c>
      <c r="R5747" s="8" t="s">
        <v>20460</v>
      </c>
      <c r="S5747" s="8"/>
      <c r="T5747" s="7" t="str">
        <f>HYPERLINK("https://miland.ru/api/getInfo/image/82512e44-f05a-11f0-a28d-00155d82e908")</f>
        <v>https://miland.ru/api/getInfo/image/82512e44-f05a-11f0-a28d-00155d82e908</v>
      </c>
      <c r="U5747" s="7"/>
      <c r="V5747" s="7" t="s">
        <v>9009</v>
      </c>
      <c r="W5747" s="7" t="s">
        <v>9010</v>
      </c>
      <c r="X5747" s="7"/>
      <c r="Y5747" s="7" t="s">
        <v>41</v>
      </c>
      <c r="Z5747" s="7"/>
      <c r="AA5747" s="7" t="str">
        <f>HYPERLINK("https://miland.ru/api/getInfo/item/82512e44-f05a-11f0-a28d-00155d82e908")</f>
        <v>https://miland.ru/api/getInfo/item/82512e44-f05a-11f0-a28d-00155d82e908</v>
      </c>
      <c r="AB5747" s="7" t="s">
        <v>50</v>
      </c>
      <c r="AC5747" s="7" t="s">
        <v>1698</v>
      </c>
      <c r="AD5747" s="7"/>
      <c r="AE5747" s="54"/>
    </row>
    <row r="5748" spans="2:31" s="1" customFormat="1" ht="96.3" customHeight="1" outlineLevel="4">
      <c r="B5748" s="58">
        <v>4684</v>
      </c>
      <c r="C5748" s="7" t="s">
        <v>20461</v>
      </c>
      <c r="D5748" s="71" t="s">
        <v>20462</v>
      </c>
      <c r="E5748" s="71"/>
      <c r="F5748" s="71"/>
      <c r="G5748" s="71"/>
      <c r="H5748" s="8" t="s">
        <v>20463</v>
      </c>
      <c r="I5748" s="9" t="s">
        <v>36</v>
      </c>
      <c r="J5748" s="8"/>
      <c r="K5748" s="6">
        <v>50</v>
      </c>
      <c r="L5748" s="10">
        <v>10.47</v>
      </c>
      <c r="M5748" s="11"/>
      <c r="N5748" s="8">
        <f t="shared" si="322"/>
        <v>0</v>
      </c>
      <c r="O5748" s="12">
        <f t="shared" si="323"/>
        <v>0</v>
      </c>
      <c r="P5748" s="13">
        <f t="shared" si="324"/>
        <v>0</v>
      </c>
      <c r="Q5748" s="17" t="s">
        <v>37</v>
      </c>
      <c r="R5748" s="8" t="s">
        <v>20464</v>
      </c>
      <c r="S5748" s="8"/>
      <c r="T5748" s="7" t="str">
        <f>HYPERLINK("https://miland.ru/api/getInfo/image/6dfa3cf2-f05a-11f0-a28d-00155d82e908")</f>
        <v>https://miland.ru/api/getInfo/image/6dfa3cf2-f05a-11f0-a28d-00155d82e908</v>
      </c>
      <c r="U5748" s="7"/>
      <c r="V5748" s="7" t="s">
        <v>9009</v>
      </c>
      <c r="W5748" s="7" t="s">
        <v>9010</v>
      </c>
      <c r="X5748" s="7"/>
      <c r="Y5748" s="7" t="s">
        <v>41</v>
      </c>
      <c r="Z5748" s="7"/>
      <c r="AA5748" s="7" t="str">
        <f>HYPERLINK("https://miland.ru/api/getInfo/item/6dfa3cf2-f05a-11f0-a28d-00155d82e908")</f>
        <v>https://miland.ru/api/getInfo/item/6dfa3cf2-f05a-11f0-a28d-00155d82e908</v>
      </c>
      <c r="AB5748" s="7" t="s">
        <v>50</v>
      </c>
      <c r="AC5748" s="7" t="s">
        <v>1698</v>
      </c>
      <c r="AD5748" s="7"/>
      <c r="AE5748" s="54"/>
    </row>
    <row r="5749" spans="2:31" s="1" customFormat="1" ht="96.3" customHeight="1" outlineLevel="4">
      <c r="B5749" s="58">
        <v>4685</v>
      </c>
      <c r="C5749" s="7" t="s">
        <v>20465</v>
      </c>
      <c r="D5749" s="71" t="s">
        <v>20466</v>
      </c>
      <c r="E5749" s="71"/>
      <c r="F5749" s="71"/>
      <c r="G5749" s="71"/>
      <c r="H5749" s="8" t="s">
        <v>20467</v>
      </c>
      <c r="I5749" s="9" t="s">
        <v>36</v>
      </c>
      <c r="J5749" s="8"/>
      <c r="K5749" s="6">
        <v>50</v>
      </c>
      <c r="L5749" s="10">
        <v>10.47</v>
      </c>
      <c r="M5749" s="11"/>
      <c r="N5749" s="8">
        <f t="shared" si="322"/>
        <v>0</v>
      </c>
      <c r="O5749" s="12">
        <f t="shared" si="323"/>
        <v>0</v>
      </c>
      <c r="P5749" s="13">
        <f t="shared" si="324"/>
        <v>0</v>
      </c>
      <c r="Q5749" s="17" t="s">
        <v>37</v>
      </c>
      <c r="R5749" s="8" t="s">
        <v>20468</v>
      </c>
      <c r="S5749" s="8"/>
      <c r="T5749" s="7" t="str">
        <f>HYPERLINK("https://miland.ru/api/getInfo/image/1bfc10ba-f059-11f0-a28d-00155d82e908")</f>
        <v>https://miland.ru/api/getInfo/image/1bfc10ba-f059-11f0-a28d-00155d82e908</v>
      </c>
      <c r="U5749" s="7"/>
      <c r="V5749" s="7" t="s">
        <v>9009</v>
      </c>
      <c r="W5749" s="7" t="s">
        <v>9010</v>
      </c>
      <c r="X5749" s="7"/>
      <c r="Y5749" s="7" t="s">
        <v>41</v>
      </c>
      <c r="Z5749" s="7"/>
      <c r="AA5749" s="7" t="str">
        <f>HYPERLINK("https://miland.ru/api/getInfo/item/1bfc10ba-f059-11f0-a28d-00155d82e908")</f>
        <v>https://miland.ru/api/getInfo/item/1bfc10ba-f059-11f0-a28d-00155d82e908</v>
      </c>
      <c r="AB5749" s="7" t="s">
        <v>50</v>
      </c>
      <c r="AC5749" s="7" t="s">
        <v>1698</v>
      </c>
      <c r="AD5749" s="7"/>
      <c r="AE5749" s="54"/>
    </row>
    <row r="5750" spans="2:31" s="1" customFormat="1" ht="96.3" customHeight="1" outlineLevel="4">
      <c r="B5750" s="58">
        <v>4686</v>
      </c>
      <c r="C5750" s="7" t="s">
        <v>20469</v>
      </c>
      <c r="D5750" s="71" t="s">
        <v>20470</v>
      </c>
      <c r="E5750" s="71"/>
      <c r="F5750" s="71"/>
      <c r="G5750" s="71"/>
      <c r="H5750" s="8" t="s">
        <v>20471</v>
      </c>
      <c r="I5750" s="9" t="s">
        <v>36</v>
      </c>
      <c r="J5750" s="8"/>
      <c r="K5750" s="6">
        <v>50</v>
      </c>
      <c r="L5750" s="10">
        <v>10.47</v>
      </c>
      <c r="M5750" s="11"/>
      <c r="N5750" s="8">
        <f t="shared" si="322"/>
        <v>0</v>
      </c>
      <c r="O5750" s="12">
        <f t="shared" si="323"/>
        <v>0</v>
      </c>
      <c r="P5750" s="13">
        <f t="shared" si="324"/>
        <v>0</v>
      </c>
      <c r="Q5750" s="17" t="s">
        <v>37</v>
      </c>
      <c r="R5750" s="8" t="s">
        <v>20472</v>
      </c>
      <c r="S5750" s="8"/>
      <c r="T5750" s="7" t="str">
        <f>HYPERLINK("https://miland.ru/api/getInfo/image/1a605dc8-f05b-11f0-a28d-00155d82e908")</f>
        <v>https://miland.ru/api/getInfo/image/1a605dc8-f05b-11f0-a28d-00155d82e908</v>
      </c>
      <c r="U5750" s="7"/>
      <c r="V5750" s="7" t="s">
        <v>9009</v>
      </c>
      <c r="W5750" s="7" t="s">
        <v>9010</v>
      </c>
      <c r="X5750" s="7"/>
      <c r="Y5750" s="7" t="s">
        <v>41</v>
      </c>
      <c r="Z5750" s="7"/>
      <c r="AA5750" s="7" t="str">
        <f>HYPERLINK("https://miland.ru/api/getInfo/item/1a605dc8-f05b-11f0-a28d-00155d82e908")</f>
        <v>https://miland.ru/api/getInfo/item/1a605dc8-f05b-11f0-a28d-00155d82e908</v>
      </c>
      <c r="AB5750" s="7" t="s">
        <v>50</v>
      </c>
      <c r="AC5750" s="7" t="s">
        <v>1698</v>
      </c>
      <c r="AD5750" s="7"/>
      <c r="AE5750" s="54"/>
    </row>
    <row r="5751" spans="2:31" s="1" customFormat="1" ht="96.3" customHeight="1" outlineLevel="4">
      <c r="B5751" s="58">
        <v>4687</v>
      </c>
      <c r="C5751" s="7" t="s">
        <v>20473</v>
      </c>
      <c r="D5751" s="71" t="s">
        <v>20474</v>
      </c>
      <c r="E5751" s="71"/>
      <c r="F5751" s="71"/>
      <c r="G5751" s="71"/>
      <c r="H5751" s="8" t="s">
        <v>20475</v>
      </c>
      <c r="I5751" s="9" t="s">
        <v>36</v>
      </c>
      <c r="J5751" s="8"/>
      <c r="K5751" s="6">
        <v>50</v>
      </c>
      <c r="L5751" s="10">
        <v>10.47</v>
      </c>
      <c r="M5751" s="11"/>
      <c r="N5751" s="8">
        <f t="shared" si="322"/>
        <v>0</v>
      </c>
      <c r="O5751" s="12">
        <f t="shared" si="323"/>
        <v>0</v>
      </c>
      <c r="P5751" s="13">
        <f t="shared" si="324"/>
        <v>0</v>
      </c>
      <c r="Q5751" s="17" t="s">
        <v>37</v>
      </c>
      <c r="R5751" s="8" t="s">
        <v>20476</v>
      </c>
      <c r="S5751" s="8"/>
      <c r="T5751" s="7" t="str">
        <f>HYPERLINK("https://miland.ru/api/getInfo/image/268a7436-f05a-11f0-a28d-00155d82e908")</f>
        <v>https://miland.ru/api/getInfo/image/268a7436-f05a-11f0-a28d-00155d82e908</v>
      </c>
      <c r="U5751" s="7"/>
      <c r="V5751" s="7" t="s">
        <v>9009</v>
      </c>
      <c r="W5751" s="7" t="s">
        <v>9010</v>
      </c>
      <c r="X5751" s="7"/>
      <c r="Y5751" s="7" t="s">
        <v>41</v>
      </c>
      <c r="Z5751" s="7"/>
      <c r="AA5751" s="7" t="str">
        <f>HYPERLINK("https://miland.ru/api/getInfo/item/268a7436-f05a-11f0-a28d-00155d82e908")</f>
        <v>https://miland.ru/api/getInfo/item/268a7436-f05a-11f0-a28d-00155d82e908</v>
      </c>
      <c r="AB5751" s="7" t="s">
        <v>50</v>
      </c>
      <c r="AC5751" s="7" t="s">
        <v>1698</v>
      </c>
      <c r="AD5751" s="7"/>
      <c r="AE5751" s="54"/>
    </row>
    <row r="5752" spans="2:31" s="1" customFormat="1" ht="96.3" customHeight="1" outlineLevel="4">
      <c r="B5752" s="58">
        <v>4688</v>
      </c>
      <c r="C5752" s="7" t="s">
        <v>20477</v>
      </c>
      <c r="D5752" s="71" t="s">
        <v>20478</v>
      </c>
      <c r="E5752" s="71"/>
      <c r="F5752" s="71"/>
      <c r="G5752" s="71"/>
      <c r="H5752" s="8" t="s">
        <v>20479</v>
      </c>
      <c r="I5752" s="9" t="s">
        <v>36</v>
      </c>
      <c r="J5752" s="8"/>
      <c r="K5752" s="6">
        <v>50</v>
      </c>
      <c r="L5752" s="10">
        <v>10.47</v>
      </c>
      <c r="M5752" s="11"/>
      <c r="N5752" s="8">
        <f t="shared" si="322"/>
        <v>0</v>
      </c>
      <c r="O5752" s="12">
        <f t="shared" si="323"/>
        <v>0</v>
      </c>
      <c r="P5752" s="13">
        <f t="shared" si="324"/>
        <v>0</v>
      </c>
      <c r="Q5752" s="17" t="s">
        <v>37</v>
      </c>
      <c r="R5752" s="8" t="s">
        <v>20480</v>
      </c>
      <c r="S5752" s="8"/>
      <c r="T5752" s="7" t="str">
        <f>HYPERLINK("https://miland.ru/api/getInfo/image/0544bfee-f059-11f0-a28d-00155d82e908")</f>
        <v>https://miland.ru/api/getInfo/image/0544bfee-f059-11f0-a28d-00155d82e908</v>
      </c>
      <c r="U5752" s="7"/>
      <c r="V5752" s="7"/>
      <c r="W5752" s="7" t="s">
        <v>9010</v>
      </c>
      <c r="X5752" s="7"/>
      <c r="Y5752" s="7" t="s">
        <v>41</v>
      </c>
      <c r="Z5752" s="7"/>
      <c r="AA5752" s="7" t="str">
        <f>HYPERLINK("https://miland.ru/api/getInfo/item/0544bfee-f059-11f0-a28d-00155d82e908")</f>
        <v>https://miland.ru/api/getInfo/item/0544bfee-f059-11f0-a28d-00155d82e908</v>
      </c>
      <c r="AB5752" s="7" t="s">
        <v>50</v>
      </c>
      <c r="AC5752" s="7" t="s">
        <v>1698</v>
      </c>
      <c r="AD5752" s="7"/>
      <c r="AE5752" s="54"/>
    </row>
    <row r="5753" spans="2:31" s="1" customFormat="1" ht="96.3" customHeight="1" outlineLevel="4">
      <c r="B5753" s="58">
        <v>4689</v>
      </c>
      <c r="C5753" s="7" t="s">
        <v>20481</v>
      </c>
      <c r="D5753" s="71" t="s">
        <v>20482</v>
      </c>
      <c r="E5753" s="71"/>
      <c r="F5753" s="71"/>
      <c r="G5753" s="71"/>
      <c r="H5753" s="8" t="s">
        <v>20483</v>
      </c>
      <c r="I5753" s="9" t="s">
        <v>36</v>
      </c>
      <c r="J5753" s="8"/>
      <c r="K5753" s="6">
        <v>50</v>
      </c>
      <c r="L5753" s="10">
        <v>10.47</v>
      </c>
      <c r="M5753" s="11"/>
      <c r="N5753" s="8">
        <f t="shared" si="322"/>
        <v>0</v>
      </c>
      <c r="O5753" s="12">
        <f t="shared" si="323"/>
        <v>0</v>
      </c>
      <c r="P5753" s="13">
        <f t="shared" si="324"/>
        <v>0</v>
      </c>
      <c r="Q5753" s="17" t="s">
        <v>37</v>
      </c>
      <c r="R5753" s="8" t="s">
        <v>20484</v>
      </c>
      <c r="S5753" s="8"/>
      <c r="T5753" s="7" t="str">
        <f>HYPERLINK("https://miland.ru/api/getInfo/image/b3a659c5-f05a-11f0-a28d-00155d82e908")</f>
        <v>https://miland.ru/api/getInfo/image/b3a659c5-f05a-11f0-a28d-00155d82e908</v>
      </c>
      <c r="U5753" s="7"/>
      <c r="V5753" s="7" t="s">
        <v>9009</v>
      </c>
      <c r="W5753" s="7" t="s">
        <v>9010</v>
      </c>
      <c r="X5753" s="7"/>
      <c r="Y5753" s="7" t="s">
        <v>41</v>
      </c>
      <c r="Z5753" s="7"/>
      <c r="AA5753" s="7" t="str">
        <f>HYPERLINK("https://miland.ru/api/getInfo/item/b3a659c5-f05a-11f0-a28d-00155d82e908")</f>
        <v>https://miland.ru/api/getInfo/item/b3a659c5-f05a-11f0-a28d-00155d82e908</v>
      </c>
      <c r="AB5753" s="7" t="s">
        <v>50</v>
      </c>
      <c r="AC5753" s="7" t="s">
        <v>1698</v>
      </c>
      <c r="AD5753" s="7"/>
      <c r="AE5753" s="54"/>
    </row>
    <row r="5754" spans="2:31" s="1" customFormat="1" ht="96.3" customHeight="1" outlineLevel="4">
      <c r="B5754" s="58">
        <v>4690</v>
      </c>
      <c r="C5754" s="7" t="s">
        <v>20485</v>
      </c>
      <c r="D5754" s="71" t="s">
        <v>20486</v>
      </c>
      <c r="E5754" s="71"/>
      <c r="F5754" s="71"/>
      <c r="G5754" s="71"/>
      <c r="H5754" s="8" t="s">
        <v>20487</v>
      </c>
      <c r="I5754" s="9" t="s">
        <v>36</v>
      </c>
      <c r="J5754" s="8"/>
      <c r="K5754" s="6">
        <v>50</v>
      </c>
      <c r="L5754" s="10">
        <v>10.47</v>
      </c>
      <c r="M5754" s="11"/>
      <c r="N5754" s="8">
        <f t="shared" si="322"/>
        <v>0</v>
      </c>
      <c r="O5754" s="12">
        <f t="shared" si="323"/>
        <v>0</v>
      </c>
      <c r="P5754" s="13">
        <f t="shared" si="324"/>
        <v>0</v>
      </c>
      <c r="Q5754" s="17" t="s">
        <v>37</v>
      </c>
      <c r="R5754" s="8" t="s">
        <v>20488</v>
      </c>
      <c r="S5754" s="8"/>
      <c r="T5754" s="7" t="str">
        <f>HYPERLINK("https://miland.ru/api/getInfo/image/0366687c-f05b-11f0-a28d-00155d82e908")</f>
        <v>https://miland.ru/api/getInfo/image/0366687c-f05b-11f0-a28d-00155d82e908</v>
      </c>
      <c r="U5754" s="7"/>
      <c r="V5754" s="7" t="s">
        <v>9009</v>
      </c>
      <c r="W5754" s="7" t="s">
        <v>9010</v>
      </c>
      <c r="X5754" s="7"/>
      <c r="Y5754" s="7" t="s">
        <v>41</v>
      </c>
      <c r="Z5754" s="7"/>
      <c r="AA5754" s="7" t="str">
        <f>HYPERLINK("https://miland.ru/api/getInfo/item/0366687c-f05b-11f0-a28d-00155d82e908")</f>
        <v>https://miland.ru/api/getInfo/item/0366687c-f05b-11f0-a28d-00155d82e908</v>
      </c>
      <c r="AB5754" s="7" t="s">
        <v>50</v>
      </c>
      <c r="AC5754" s="7" t="s">
        <v>1698</v>
      </c>
      <c r="AD5754" s="7"/>
      <c r="AE5754" s="54"/>
    </row>
    <row r="5755" spans="2:31" ht="12" customHeight="1" outlineLevel="2">
      <c r="B5755" s="69" t="s">
        <v>20489</v>
      </c>
      <c r="C5755" s="69"/>
      <c r="D5755" s="69"/>
      <c r="E5755" s="69"/>
      <c r="F5755" s="69"/>
      <c r="G5755" s="69"/>
    </row>
    <row r="5756" spans="2:31" ht="12" customHeight="1" outlineLevel="3">
      <c r="B5756" s="70" t="s">
        <v>20490</v>
      </c>
      <c r="C5756" s="70"/>
      <c r="D5756" s="70"/>
      <c r="E5756" s="70"/>
      <c r="F5756" s="70"/>
      <c r="G5756" s="70"/>
    </row>
    <row r="5757" spans="2:31" s="1" customFormat="1" ht="96.3" customHeight="1" outlineLevel="4">
      <c r="B5757" s="59">
        <v>4691</v>
      </c>
      <c r="C5757" s="35" t="s">
        <v>20491</v>
      </c>
      <c r="D5757" s="73" t="s">
        <v>20492</v>
      </c>
      <c r="E5757" s="73"/>
      <c r="F5757" s="73"/>
      <c r="G5757" s="73"/>
      <c r="H5757" s="36" t="s">
        <v>20493</v>
      </c>
      <c r="I5757" s="56" t="s">
        <v>36</v>
      </c>
      <c r="J5757" s="36"/>
      <c r="K5757" s="34">
        <v>10</v>
      </c>
      <c r="L5757" s="41">
        <v>55.786666666666669</v>
      </c>
      <c r="M5757" s="11"/>
      <c r="N5757" s="36">
        <f>L5757*M5757</f>
        <v>0</v>
      </c>
      <c r="O5757" s="42">
        <f>0.031*M5757</f>
        <v>0</v>
      </c>
      <c r="P5757" s="43">
        <f>0.00011*M5757</f>
        <v>0</v>
      </c>
      <c r="Q5757" s="50" t="s">
        <v>37</v>
      </c>
      <c r="R5757" s="36" t="s">
        <v>20494</v>
      </c>
      <c r="S5757" s="36"/>
      <c r="T5757" s="35" t="str">
        <f>HYPERLINK("https://miland.ru/api/getInfo/image/b1bb7997-00d8-11f1-a28e-00155d82e908")</f>
        <v>https://miland.ru/api/getInfo/image/b1bb7997-00d8-11f1-a28e-00155d82e908</v>
      </c>
      <c r="U5757" s="35"/>
      <c r="V5757" s="35" t="s">
        <v>9009</v>
      </c>
      <c r="W5757" s="35" t="s">
        <v>9010</v>
      </c>
      <c r="X5757" s="35"/>
      <c r="Y5757" s="35" t="s">
        <v>41</v>
      </c>
      <c r="Z5757" s="35"/>
      <c r="AA5757" s="35" t="str">
        <f>HYPERLINK("https://miland.ru/api/getInfo/item/b1bb7997-00d8-11f1-a28e-00155d82e908")</f>
        <v>https://miland.ru/api/getInfo/item/b1bb7997-00d8-11f1-a28e-00155d82e908</v>
      </c>
      <c r="AB5757" s="35" t="s">
        <v>50</v>
      </c>
      <c r="AC5757" s="35"/>
      <c r="AD5757" s="35"/>
      <c r="AE5757" s="52" t="s">
        <v>1251</v>
      </c>
    </row>
    <row r="5758" spans="2:31" ht="12" customHeight="1" outlineLevel="3">
      <c r="B5758" s="70" t="s">
        <v>20495</v>
      </c>
      <c r="C5758" s="70"/>
      <c r="D5758" s="70"/>
      <c r="E5758" s="70"/>
      <c r="F5758" s="70"/>
      <c r="G5758" s="70"/>
    </row>
    <row r="5759" spans="2:31" s="1" customFormat="1" ht="96.3" customHeight="1" outlineLevel="4">
      <c r="B5759" s="57">
        <v>4692</v>
      </c>
      <c r="C5759" s="21" t="s">
        <v>20496</v>
      </c>
      <c r="D5759" s="72" t="s">
        <v>20497</v>
      </c>
      <c r="E5759" s="72"/>
      <c r="F5759" s="72"/>
      <c r="G5759" s="72"/>
      <c r="H5759" s="22" t="s">
        <v>20498</v>
      </c>
      <c r="I5759" s="23" t="s">
        <v>36</v>
      </c>
      <c r="J5759" s="22"/>
      <c r="K5759" s="20">
        <v>40</v>
      </c>
      <c r="L5759" s="24">
        <v>13.23</v>
      </c>
      <c r="M5759" s="11"/>
      <c r="N5759" s="22">
        <f t="shared" ref="N5759:N5802" si="325">L5759*M5759</f>
        <v>0</v>
      </c>
      <c r="O5759" s="25">
        <f>0.007*M5759</f>
        <v>0</v>
      </c>
      <c r="P5759" s="26">
        <f>0.00003*M5759</f>
        <v>0</v>
      </c>
      <c r="Q5759" s="30"/>
      <c r="R5759" s="22" t="s">
        <v>20499</v>
      </c>
      <c r="S5759" s="22"/>
      <c r="T5759" s="21" t="str">
        <f>HYPERLINK("https://miland.ru/api/getInfo/image/76c7b274-ab27-11ef-a267-00155d82e908")</f>
        <v>https://miland.ru/api/getInfo/image/76c7b274-ab27-11ef-a267-00155d82e908</v>
      </c>
      <c r="U5759" s="21"/>
      <c r="V5759" s="21" t="s">
        <v>9009</v>
      </c>
      <c r="W5759" s="21" t="s">
        <v>9010</v>
      </c>
      <c r="X5759" s="21"/>
      <c r="Y5759" s="21" t="s">
        <v>41</v>
      </c>
      <c r="Z5759" s="21"/>
      <c r="AA5759" s="21" t="str">
        <f>HYPERLINK("https://miland.ru/api/getInfo/item/76c7b274-ab27-11ef-a267-00155d82e908")</f>
        <v>https://miland.ru/api/getInfo/item/76c7b274-ab27-11ef-a267-00155d82e908</v>
      </c>
      <c r="AB5759" s="21" t="s">
        <v>50</v>
      </c>
      <c r="AC5759" s="21" t="s">
        <v>1698</v>
      </c>
      <c r="AD5759" s="21"/>
    </row>
    <row r="5760" spans="2:31" s="1" customFormat="1" ht="96.3" customHeight="1" outlineLevel="4">
      <c r="B5760" s="57">
        <v>4693</v>
      </c>
      <c r="C5760" s="21" t="s">
        <v>20500</v>
      </c>
      <c r="D5760" s="72" t="s">
        <v>20501</v>
      </c>
      <c r="E5760" s="72"/>
      <c r="F5760" s="72"/>
      <c r="G5760" s="72"/>
      <c r="H5760" s="22" t="s">
        <v>20502</v>
      </c>
      <c r="I5760" s="27">
        <v>240</v>
      </c>
      <c r="J5760" s="22"/>
      <c r="K5760" s="20">
        <v>40</v>
      </c>
      <c r="L5760" s="24">
        <v>13.23</v>
      </c>
      <c r="M5760" s="11"/>
      <c r="N5760" s="22">
        <f t="shared" si="325"/>
        <v>0</v>
      </c>
      <c r="O5760" s="25">
        <f>0.008*M5760</f>
        <v>0</v>
      </c>
      <c r="P5760" s="26">
        <f>0.00003*M5760</f>
        <v>0</v>
      </c>
      <c r="Q5760" s="30"/>
      <c r="R5760" s="22" t="s">
        <v>20503</v>
      </c>
      <c r="S5760" s="22" t="s">
        <v>435</v>
      </c>
      <c r="T5760" s="21" t="str">
        <f>HYPERLINK("https://miland.ru/api/getInfo/image/5565b820-68ed-11ee-a247-00155d82e902")</f>
        <v>https://miland.ru/api/getInfo/image/5565b820-68ed-11ee-a247-00155d82e902</v>
      </c>
      <c r="U5760" s="21"/>
      <c r="V5760" s="21" t="s">
        <v>9009</v>
      </c>
      <c r="W5760" s="21" t="s">
        <v>9010</v>
      </c>
      <c r="X5760" s="21"/>
      <c r="Y5760" s="21" t="s">
        <v>41</v>
      </c>
      <c r="Z5760" s="21"/>
      <c r="AA5760" s="21" t="str">
        <f>HYPERLINK("https://miland.ru/api/getInfo/item/5565b820-68ed-11ee-a247-00155d82e902")</f>
        <v>https://miland.ru/api/getInfo/item/5565b820-68ed-11ee-a247-00155d82e902</v>
      </c>
      <c r="AB5760" s="21" t="s">
        <v>50</v>
      </c>
      <c r="AC5760" s="21" t="s">
        <v>1698</v>
      </c>
      <c r="AD5760" s="21"/>
    </row>
    <row r="5761" spans="2:31" s="1" customFormat="1" ht="96.3" customHeight="1" outlineLevel="4">
      <c r="B5761" s="57">
        <v>4694</v>
      </c>
      <c r="C5761" s="21" t="s">
        <v>20504</v>
      </c>
      <c r="D5761" s="72" t="s">
        <v>20505</v>
      </c>
      <c r="E5761" s="72"/>
      <c r="F5761" s="72"/>
      <c r="G5761" s="72"/>
      <c r="H5761" s="22" t="s">
        <v>20506</v>
      </c>
      <c r="I5761" s="23" t="s">
        <v>36</v>
      </c>
      <c r="J5761" s="22"/>
      <c r="K5761" s="20">
        <v>40</v>
      </c>
      <c r="L5761" s="24">
        <v>13.23</v>
      </c>
      <c r="M5761" s="11"/>
      <c r="N5761" s="22">
        <f t="shared" si="325"/>
        <v>0</v>
      </c>
      <c r="O5761" s="25">
        <f>0.008*M5761</f>
        <v>0</v>
      </c>
      <c r="P5761" s="26">
        <f>0.00001*M5761</f>
        <v>0</v>
      </c>
      <c r="Q5761" s="30"/>
      <c r="R5761" s="22" t="s">
        <v>20507</v>
      </c>
      <c r="S5761" s="22" t="s">
        <v>435</v>
      </c>
      <c r="T5761" s="21" t="str">
        <f>HYPERLINK("https://miland.ru/api/getInfo/image/e720c90a-1db7-11ef-a25e-00155d82e908")</f>
        <v>https://miland.ru/api/getInfo/image/e720c90a-1db7-11ef-a25e-00155d82e908</v>
      </c>
      <c r="U5761" s="21"/>
      <c r="V5761" s="21" t="s">
        <v>9009</v>
      </c>
      <c r="W5761" s="21" t="s">
        <v>9010</v>
      </c>
      <c r="X5761" s="21"/>
      <c r="Y5761" s="21" t="s">
        <v>41</v>
      </c>
      <c r="Z5761" s="21"/>
      <c r="AA5761" s="21" t="str">
        <f>HYPERLINK("https://miland.ru/api/getInfo/item/e720c90a-1db7-11ef-a25e-00155d82e908")</f>
        <v>https://miland.ru/api/getInfo/item/e720c90a-1db7-11ef-a25e-00155d82e908</v>
      </c>
      <c r="AB5761" s="21" t="s">
        <v>50</v>
      </c>
      <c r="AC5761" s="21"/>
      <c r="AD5761" s="21"/>
    </row>
    <row r="5762" spans="2:31" s="1" customFormat="1" ht="96.3" customHeight="1" outlineLevel="4">
      <c r="B5762" s="57">
        <v>4695</v>
      </c>
      <c r="C5762" s="21" t="s">
        <v>20508</v>
      </c>
      <c r="D5762" s="72" t="s">
        <v>20509</v>
      </c>
      <c r="E5762" s="72"/>
      <c r="F5762" s="72"/>
      <c r="G5762" s="72"/>
      <c r="H5762" s="22" t="s">
        <v>20510</v>
      </c>
      <c r="I5762" s="23" t="s">
        <v>36</v>
      </c>
      <c r="J5762" s="22"/>
      <c r="K5762" s="20">
        <v>40</v>
      </c>
      <c r="L5762" s="24">
        <v>13.23</v>
      </c>
      <c r="M5762" s="11"/>
      <c r="N5762" s="22">
        <f t="shared" si="325"/>
        <v>0</v>
      </c>
      <c r="O5762" s="25">
        <f>0.008*M5762</f>
        <v>0</v>
      </c>
      <c r="P5762" s="26">
        <f>0.00001*M5762</f>
        <v>0</v>
      </c>
      <c r="Q5762" s="30"/>
      <c r="R5762" s="22" t="s">
        <v>20511</v>
      </c>
      <c r="S5762" s="22" t="s">
        <v>435</v>
      </c>
      <c r="T5762" s="21" t="str">
        <f>HYPERLINK("https://miland.ru/api/getInfo/image/c37c818d-1db7-11ef-a25e-00155d82e908")</f>
        <v>https://miland.ru/api/getInfo/image/c37c818d-1db7-11ef-a25e-00155d82e908</v>
      </c>
      <c r="U5762" s="21"/>
      <c r="V5762" s="21" t="s">
        <v>9009</v>
      </c>
      <c r="W5762" s="21" t="s">
        <v>9010</v>
      </c>
      <c r="X5762" s="21"/>
      <c r="Y5762" s="21" t="s">
        <v>41</v>
      </c>
      <c r="Z5762" s="21"/>
      <c r="AA5762" s="21" t="str">
        <f>HYPERLINK("https://miland.ru/api/getInfo/item/c37c818d-1db7-11ef-a25e-00155d82e908")</f>
        <v>https://miland.ru/api/getInfo/item/c37c818d-1db7-11ef-a25e-00155d82e908</v>
      </c>
      <c r="AB5762" s="21" t="s">
        <v>50</v>
      </c>
      <c r="AC5762" s="21"/>
      <c r="AD5762" s="21"/>
    </row>
    <row r="5763" spans="2:31" s="1" customFormat="1" ht="96.3" customHeight="1" outlineLevel="4">
      <c r="B5763" s="58">
        <v>4696</v>
      </c>
      <c r="C5763" s="7" t="s">
        <v>20512</v>
      </c>
      <c r="D5763" s="71" t="s">
        <v>20513</v>
      </c>
      <c r="E5763" s="71"/>
      <c r="F5763" s="71"/>
      <c r="G5763" s="71"/>
      <c r="H5763" s="8" t="s">
        <v>20514</v>
      </c>
      <c r="I5763" s="9" t="s">
        <v>36</v>
      </c>
      <c r="J5763" s="8"/>
      <c r="K5763" s="6">
        <v>40</v>
      </c>
      <c r="L5763" s="10">
        <v>13.23</v>
      </c>
      <c r="M5763" s="11"/>
      <c r="N5763" s="8">
        <f t="shared" si="325"/>
        <v>0</v>
      </c>
      <c r="O5763" s="12">
        <f>0.008*M5763</f>
        <v>0</v>
      </c>
      <c r="P5763" s="13">
        <f>0.00001*M5763</f>
        <v>0</v>
      </c>
      <c r="Q5763" s="17" t="s">
        <v>37</v>
      </c>
      <c r="R5763" s="8" t="s">
        <v>20515</v>
      </c>
      <c r="S5763" s="8"/>
      <c r="T5763" s="7" t="str">
        <f>HYPERLINK("https://miland.ru/api/getInfo/image/31056f81-0e32-11f1-a28f-00155d82e908")</f>
        <v>https://miland.ru/api/getInfo/image/31056f81-0e32-11f1-a28f-00155d82e908</v>
      </c>
      <c r="U5763" s="7"/>
      <c r="V5763" s="7" t="s">
        <v>9009</v>
      </c>
      <c r="W5763" s="7" t="s">
        <v>9010</v>
      </c>
      <c r="X5763" s="7"/>
      <c r="Y5763" s="7" t="s">
        <v>41</v>
      </c>
      <c r="Z5763" s="7"/>
      <c r="AA5763" s="7" t="str">
        <f>HYPERLINK("https://miland.ru/api/getInfo/item/31056f81-0e32-11f1-a28f-00155d82e908")</f>
        <v>https://miland.ru/api/getInfo/item/31056f81-0e32-11f1-a28f-00155d82e908</v>
      </c>
      <c r="AB5763" s="7" t="s">
        <v>50</v>
      </c>
      <c r="AC5763" s="7"/>
      <c r="AD5763" s="7"/>
      <c r="AE5763" s="54"/>
    </row>
    <row r="5764" spans="2:31" s="1" customFormat="1" ht="96.3" customHeight="1" outlineLevel="4">
      <c r="B5764" s="57">
        <v>4697</v>
      </c>
      <c r="C5764" s="21" t="s">
        <v>20516</v>
      </c>
      <c r="D5764" s="72" t="s">
        <v>20517</v>
      </c>
      <c r="E5764" s="72"/>
      <c r="F5764" s="72"/>
      <c r="G5764" s="72"/>
      <c r="H5764" s="22" t="s">
        <v>20518</v>
      </c>
      <c r="I5764" s="27">
        <v>60</v>
      </c>
      <c r="J5764" s="22"/>
      <c r="K5764" s="20">
        <v>40</v>
      </c>
      <c r="L5764" s="24">
        <v>13.23</v>
      </c>
      <c r="M5764" s="11"/>
      <c r="N5764" s="22">
        <f t="shared" si="325"/>
        <v>0</v>
      </c>
      <c r="O5764" s="25">
        <f>0.007*M5764</f>
        <v>0</v>
      </c>
      <c r="P5764" s="26">
        <f>0.00001*M5764</f>
        <v>0</v>
      </c>
      <c r="Q5764" s="30"/>
      <c r="R5764" s="22" t="s">
        <v>20519</v>
      </c>
      <c r="S5764" s="22"/>
      <c r="T5764" s="21" t="str">
        <f>HYPERLINK("https://miland.ru/api/getInfo/image/db6ca126-ab26-11ef-a267-00155d82e908")</f>
        <v>https://miland.ru/api/getInfo/image/db6ca126-ab26-11ef-a267-00155d82e908</v>
      </c>
      <c r="U5764" s="21"/>
      <c r="V5764" s="21" t="s">
        <v>9009</v>
      </c>
      <c r="W5764" s="21" t="s">
        <v>9010</v>
      </c>
      <c r="X5764" s="21"/>
      <c r="Y5764" s="21" t="s">
        <v>41</v>
      </c>
      <c r="Z5764" s="21"/>
      <c r="AA5764" s="21" t="str">
        <f>HYPERLINK("https://miland.ru/api/getInfo/item/db6ca126-ab26-11ef-a267-00155d82e908")</f>
        <v>https://miland.ru/api/getInfo/item/db6ca126-ab26-11ef-a267-00155d82e908</v>
      </c>
      <c r="AB5764" s="21" t="s">
        <v>50</v>
      </c>
      <c r="AC5764" s="21" t="s">
        <v>1698</v>
      </c>
      <c r="AD5764" s="21"/>
    </row>
    <row r="5765" spans="2:31" s="1" customFormat="1" ht="96.3" customHeight="1" outlineLevel="4">
      <c r="B5765" s="58">
        <v>4698</v>
      </c>
      <c r="C5765" s="7" t="s">
        <v>20520</v>
      </c>
      <c r="D5765" s="71" t="s">
        <v>20521</v>
      </c>
      <c r="E5765" s="71"/>
      <c r="F5765" s="71"/>
      <c r="G5765" s="71"/>
      <c r="H5765" s="8" t="s">
        <v>20522</v>
      </c>
      <c r="I5765" s="14">
        <v>360</v>
      </c>
      <c r="J5765" s="8"/>
      <c r="K5765" s="6">
        <v>40</v>
      </c>
      <c r="L5765" s="10">
        <v>13.23</v>
      </c>
      <c r="M5765" s="11"/>
      <c r="N5765" s="8">
        <f t="shared" si="325"/>
        <v>0</v>
      </c>
      <c r="O5765" s="12">
        <f>0.008*M5765</f>
        <v>0</v>
      </c>
      <c r="P5765" s="13">
        <f>0.00001*M5765</f>
        <v>0</v>
      </c>
      <c r="Q5765" s="17" t="s">
        <v>37</v>
      </c>
      <c r="R5765" s="8" t="s">
        <v>20523</v>
      </c>
      <c r="S5765" s="8"/>
      <c r="T5765" s="7" t="str">
        <f>HYPERLINK("https://miland.ru/api/getInfo/image/1bb0e408-0e32-11f1-a28f-00155d82e908")</f>
        <v>https://miland.ru/api/getInfo/image/1bb0e408-0e32-11f1-a28f-00155d82e908</v>
      </c>
      <c r="U5765" s="7"/>
      <c r="V5765" s="7" t="s">
        <v>9009</v>
      </c>
      <c r="W5765" s="7" t="s">
        <v>9010</v>
      </c>
      <c r="X5765" s="7"/>
      <c r="Y5765" s="7" t="s">
        <v>41</v>
      </c>
      <c r="Z5765" s="7"/>
      <c r="AA5765" s="7" t="str">
        <f>HYPERLINK("https://miland.ru/api/getInfo/item/1bb0e408-0e32-11f1-a28f-00155d82e908")</f>
        <v>https://miland.ru/api/getInfo/item/1bb0e408-0e32-11f1-a28f-00155d82e908</v>
      </c>
      <c r="AB5765" s="7" t="s">
        <v>50</v>
      </c>
      <c r="AC5765" s="7"/>
      <c r="AD5765" s="7"/>
      <c r="AE5765" s="54"/>
    </row>
    <row r="5766" spans="2:31" s="1" customFormat="1" ht="96.3" customHeight="1" outlineLevel="4">
      <c r="B5766" s="59">
        <v>4699</v>
      </c>
      <c r="C5766" s="35" t="s">
        <v>20524</v>
      </c>
      <c r="D5766" s="73" t="s">
        <v>20525</v>
      </c>
      <c r="E5766" s="73"/>
      <c r="F5766" s="73"/>
      <c r="G5766" s="73"/>
      <c r="H5766" s="36" t="s">
        <v>20526</v>
      </c>
      <c r="I5766" s="40">
        <v>250</v>
      </c>
      <c r="J5766" s="36"/>
      <c r="K5766" s="34">
        <v>40</v>
      </c>
      <c r="L5766" s="41">
        <v>10.333333333333334</v>
      </c>
      <c r="M5766" s="11"/>
      <c r="N5766" s="36">
        <f t="shared" si="325"/>
        <v>0</v>
      </c>
      <c r="O5766" s="42">
        <f>0.014*M5766</f>
        <v>0</v>
      </c>
      <c r="P5766" s="43">
        <f>0.00002*M5766</f>
        <v>0</v>
      </c>
      <c r="Q5766" s="50"/>
      <c r="R5766" s="36" t="s">
        <v>20527</v>
      </c>
      <c r="S5766" s="36" t="s">
        <v>435</v>
      </c>
      <c r="T5766" s="35" t="str">
        <f>HYPERLINK("https://miland.ru/api/getInfo/image/5657d441-6452-11ee-a245-00155d82e902")</f>
        <v>https://miland.ru/api/getInfo/image/5657d441-6452-11ee-a245-00155d82e902</v>
      </c>
      <c r="U5766" s="35"/>
      <c r="V5766" s="35" t="s">
        <v>9009</v>
      </c>
      <c r="W5766" s="35" t="s">
        <v>9010</v>
      </c>
      <c r="X5766" s="35"/>
      <c r="Y5766" s="35" t="s">
        <v>41</v>
      </c>
      <c r="Z5766" s="35"/>
      <c r="AA5766" s="35" t="str">
        <f>HYPERLINK("https://miland.ru/api/getInfo/item/5657d441-6452-11ee-a245-00155d82e902")</f>
        <v>https://miland.ru/api/getInfo/item/5657d441-6452-11ee-a245-00155d82e902</v>
      </c>
      <c r="AB5766" s="35" t="s">
        <v>50</v>
      </c>
      <c r="AC5766" s="35" t="s">
        <v>1698</v>
      </c>
      <c r="AD5766" s="35"/>
      <c r="AE5766" s="52" t="s">
        <v>1251</v>
      </c>
    </row>
    <row r="5767" spans="2:31" s="1" customFormat="1" ht="96.3" customHeight="1" outlineLevel="4">
      <c r="B5767" s="59">
        <v>4700</v>
      </c>
      <c r="C5767" s="35" t="s">
        <v>20528</v>
      </c>
      <c r="D5767" s="73" t="s">
        <v>20529</v>
      </c>
      <c r="E5767" s="73"/>
      <c r="F5767" s="73"/>
      <c r="G5767" s="73"/>
      <c r="H5767" s="36" t="s">
        <v>20530</v>
      </c>
      <c r="I5767" s="40">
        <v>140</v>
      </c>
      <c r="J5767" s="36"/>
      <c r="K5767" s="34">
        <v>40</v>
      </c>
      <c r="L5767" s="41">
        <v>7.2</v>
      </c>
      <c r="M5767" s="11"/>
      <c r="N5767" s="36">
        <f t="shared" si="325"/>
        <v>0</v>
      </c>
      <c r="O5767" s="42">
        <f>0.014*M5767</f>
        <v>0</v>
      </c>
      <c r="P5767" s="43">
        <f>0.00002*M5767</f>
        <v>0</v>
      </c>
      <c r="Q5767" s="50"/>
      <c r="R5767" s="36" t="s">
        <v>20531</v>
      </c>
      <c r="S5767" s="36" t="s">
        <v>435</v>
      </c>
      <c r="T5767" s="35" t="str">
        <f>HYPERLINK("https://miland.ru/api/getInfo/image/33c2e6ca-68ee-11ee-a247-00155d82e902")</f>
        <v>https://miland.ru/api/getInfo/image/33c2e6ca-68ee-11ee-a247-00155d82e902</v>
      </c>
      <c r="U5767" s="35"/>
      <c r="V5767" s="35" t="s">
        <v>9009</v>
      </c>
      <c r="W5767" s="35" t="s">
        <v>9010</v>
      </c>
      <c r="X5767" s="35"/>
      <c r="Y5767" s="35" t="s">
        <v>41</v>
      </c>
      <c r="Z5767" s="35"/>
      <c r="AA5767" s="35" t="str">
        <f>HYPERLINK("https://miland.ru/api/getInfo/item/33c2e6ca-68ee-11ee-a247-00155d82e902")</f>
        <v>https://miland.ru/api/getInfo/item/33c2e6ca-68ee-11ee-a247-00155d82e902</v>
      </c>
      <c r="AB5767" s="35" t="s">
        <v>50</v>
      </c>
      <c r="AC5767" s="35" t="s">
        <v>1698</v>
      </c>
      <c r="AD5767" s="35"/>
      <c r="AE5767" s="52" t="s">
        <v>1251</v>
      </c>
    </row>
    <row r="5768" spans="2:31" s="1" customFormat="1" ht="96.3" customHeight="1" outlineLevel="4">
      <c r="B5768" s="57">
        <v>4701</v>
      </c>
      <c r="C5768" s="21" t="s">
        <v>20532</v>
      </c>
      <c r="D5768" s="72" t="s">
        <v>20533</v>
      </c>
      <c r="E5768" s="72"/>
      <c r="F5768" s="72"/>
      <c r="G5768" s="72"/>
      <c r="H5768" s="22" t="s">
        <v>20534</v>
      </c>
      <c r="I5768" s="27">
        <v>200</v>
      </c>
      <c r="J5768" s="22"/>
      <c r="K5768" s="20">
        <v>40</v>
      </c>
      <c r="L5768" s="24">
        <v>13.23</v>
      </c>
      <c r="M5768" s="11"/>
      <c r="N5768" s="22">
        <f t="shared" si="325"/>
        <v>0</v>
      </c>
      <c r="O5768" s="25">
        <f>0.008*M5768</f>
        <v>0</v>
      </c>
      <c r="P5768" s="26">
        <f>0.00003*M5768</f>
        <v>0</v>
      </c>
      <c r="Q5768" s="30"/>
      <c r="R5768" s="22" t="s">
        <v>20535</v>
      </c>
      <c r="S5768" s="22" t="s">
        <v>435</v>
      </c>
      <c r="T5768" s="21" t="str">
        <f>HYPERLINK("https://miland.ru/api/getInfo/image/19d7ab89-68ee-11ee-a247-00155d82e902")</f>
        <v>https://miland.ru/api/getInfo/image/19d7ab89-68ee-11ee-a247-00155d82e902</v>
      </c>
      <c r="U5768" s="21"/>
      <c r="V5768" s="21" t="s">
        <v>9009</v>
      </c>
      <c r="W5768" s="21" t="s">
        <v>9010</v>
      </c>
      <c r="X5768" s="21"/>
      <c r="Y5768" s="21" t="s">
        <v>41</v>
      </c>
      <c r="Z5768" s="21"/>
      <c r="AA5768" s="21" t="str">
        <f>HYPERLINK("https://miland.ru/api/getInfo/item/19d7ab89-68ee-11ee-a247-00155d82e902")</f>
        <v>https://miland.ru/api/getInfo/item/19d7ab89-68ee-11ee-a247-00155d82e902</v>
      </c>
      <c r="AB5768" s="21" t="s">
        <v>50</v>
      </c>
      <c r="AC5768" s="21" t="s">
        <v>1698</v>
      </c>
      <c r="AD5768" s="21"/>
    </row>
    <row r="5769" spans="2:31" s="1" customFormat="1" ht="96.3" customHeight="1" outlineLevel="4">
      <c r="B5769" s="58">
        <v>4702</v>
      </c>
      <c r="C5769" s="7" t="s">
        <v>20536</v>
      </c>
      <c r="D5769" s="71" t="s">
        <v>20537</v>
      </c>
      <c r="E5769" s="71"/>
      <c r="F5769" s="71"/>
      <c r="G5769" s="71"/>
      <c r="H5769" s="8" t="s">
        <v>20538</v>
      </c>
      <c r="I5769" s="9" t="s">
        <v>36</v>
      </c>
      <c r="J5769" s="8"/>
      <c r="K5769" s="6">
        <v>40</v>
      </c>
      <c r="L5769" s="10">
        <v>13.23</v>
      </c>
      <c r="M5769" s="11"/>
      <c r="N5769" s="8">
        <f t="shared" si="325"/>
        <v>0</v>
      </c>
      <c r="O5769" s="12">
        <f>0.008*M5769</f>
        <v>0</v>
      </c>
      <c r="P5769" s="13">
        <f>0.00001*M5769</f>
        <v>0</v>
      </c>
      <c r="Q5769" s="17" t="s">
        <v>37</v>
      </c>
      <c r="R5769" s="8" t="s">
        <v>20539</v>
      </c>
      <c r="S5769" s="8"/>
      <c r="T5769" s="7" t="str">
        <f>HYPERLINK("https://miland.ru/api/getInfo/image/de8cefcf-0e32-11f1-a28f-00155d82e908")</f>
        <v>https://miland.ru/api/getInfo/image/de8cefcf-0e32-11f1-a28f-00155d82e908</v>
      </c>
      <c r="U5769" s="7"/>
      <c r="V5769" s="7" t="s">
        <v>9009</v>
      </c>
      <c r="W5769" s="7" t="s">
        <v>9010</v>
      </c>
      <c r="X5769" s="7"/>
      <c r="Y5769" s="7" t="s">
        <v>41</v>
      </c>
      <c r="Z5769" s="7"/>
      <c r="AA5769" s="7" t="str">
        <f>HYPERLINK("https://miland.ru/api/getInfo/item/de8cefcf-0e32-11f1-a28f-00155d82e908")</f>
        <v>https://miland.ru/api/getInfo/item/de8cefcf-0e32-11f1-a28f-00155d82e908</v>
      </c>
      <c r="AB5769" s="7" t="s">
        <v>50</v>
      </c>
      <c r="AC5769" s="7"/>
      <c r="AD5769" s="7"/>
      <c r="AE5769" s="54"/>
    </row>
    <row r="5770" spans="2:31" s="1" customFormat="1" ht="96.3" customHeight="1" outlineLevel="4">
      <c r="B5770" s="58">
        <v>4703</v>
      </c>
      <c r="C5770" s="7" t="s">
        <v>20540</v>
      </c>
      <c r="D5770" s="71" t="s">
        <v>20541</v>
      </c>
      <c r="E5770" s="71"/>
      <c r="F5770" s="71"/>
      <c r="G5770" s="71"/>
      <c r="H5770" s="8" t="s">
        <v>20542</v>
      </c>
      <c r="I5770" s="9" t="s">
        <v>36</v>
      </c>
      <c r="J5770" s="8"/>
      <c r="K5770" s="6">
        <v>40</v>
      </c>
      <c r="L5770" s="10">
        <v>13.23</v>
      </c>
      <c r="M5770" s="11"/>
      <c r="N5770" s="8">
        <f t="shared" si="325"/>
        <v>0</v>
      </c>
      <c r="O5770" s="12">
        <f>0.008*M5770</f>
        <v>0</v>
      </c>
      <c r="P5770" s="13">
        <f>0.00001*M5770</f>
        <v>0</v>
      </c>
      <c r="Q5770" s="17" t="s">
        <v>37</v>
      </c>
      <c r="R5770" s="8" t="s">
        <v>20543</v>
      </c>
      <c r="S5770" s="8"/>
      <c r="T5770" s="7" t="str">
        <f>HYPERLINK("https://miland.ru/api/getInfo/image/18a1807b-0e33-11f1-a28f-00155d82e908")</f>
        <v>https://miland.ru/api/getInfo/image/18a1807b-0e33-11f1-a28f-00155d82e908</v>
      </c>
      <c r="U5770" s="7"/>
      <c r="V5770" s="7" t="s">
        <v>9009</v>
      </c>
      <c r="W5770" s="7" t="s">
        <v>9010</v>
      </c>
      <c r="X5770" s="7"/>
      <c r="Y5770" s="7" t="s">
        <v>41</v>
      </c>
      <c r="Z5770" s="7"/>
      <c r="AA5770" s="7" t="str">
        <f>HYPERLINK("https://miland.ru/api/getInfo/item/18a1807b-0e33-11f1-a28f-00155d82e908")</f>
        <v>https://miland.ru/api/getInfo/item/18a1807b-0e33-11f1-a28f-00155d82e908</v>
      </c>
      <c r="AB5770" s="7" t="s">
        <v>50</v>
      </c>
      <c r="AC5770" s="7"/>
      <c r="AD5770" s="7"/>
      <c r="AE5770" s="54"/>
    </row>
    <row r="5771" spans="2:31" s="1" customFormat="1" ht="96.3" customHeight="1" outlineLevel="4">
      <c r="B5771" s="57">
        <v>4704</v>
      </c>
      <c r="C5771" s="21" t="s">
        <v>20544</v>
      </c>
      <c r="D5771" s="72" t="s">
        <v>20545</v>
      </c>
      <c r="E5771" s="72"/>
      <c r="F5771" s="72"/>
      <c r="G5771" s="72"/>
      <c r="H5771" s="22" t="s">
        <v>20546</v>
      </c>
      <c r="I5771" s="27">
        <v>80</v>
      </c>
      <c r="J5771" s="22"/>
      <c r="K5771" s="20">
        <v>40</v>
      </c>
      <c r="L5771" s="24">
        <v>13.23</v>
      </c>
      <c r="M5771" s="11"/>
      <c r="N5771" s="22">
        <f t="shared" si="325"/>
        <v>0</v>
      </c>
      <c r="O5771" s="25">
        <f>0.014*M5771</f>
        <v>0</v>
      </c>
      <c r="P5771" s="26">
        <f>0.00002*M5771</f>
        <v>0</v>
      </c>
      <c r="Q5771" s="30"/>
      <c r="R5771" s="22" t="s">
        <v>20547</v>
      </c>
      <c r="S5771" s="22"/>
      <c r="T5771" s="21" t="str">
        <f>HYPERLINK("https://miland.ru/api/getInfo/image/4639adb6-ba8c-11ee-a25a-00155d82e908")</f>
        <v>https://miland.ru/api/getInfo/image/4639adb6-ba8c-11ee-a25a-00155d82e908</v>
      </c>
      <c r="U5771" s="21"/>
      <c r="V5771" s="21" t="s">
        <v>9009</v>
      </c>
      <c r="W5771" s="21" t="s">
        <v>9010</v>
      </c>
      <c r="X5771" s="21"/>
      <c r="Y5771" s="21" t="s">
        <v>41</v>
      </c>
      <c r="Z5771" s="21"/>
      <c r="AA5771" s="21" t="str">
        <f>HYPERLINK("https://miland.ru/api/getInfo/item/4639adb6-ba8c-11ee-a25a-00155d82e908")</f>
        <v>https://miland.ru/api/getInfo/item/4639adb6-ba8c-11ee-a25a-00155d82e908</v>
      </c>
      <c r="AB5771" s="21" t="s">
        <v>50</v>
      </c>
      <c r="AC5771" s="21" t="s">
        <v>1698</v>
      </c>
      <c r="AD5771" s="21"/>
    </row>
    <row r="5772" spans="2:31" s="1" customFormat="1" ht="96.3" customHeight="1" outlineLevel="4">
      <c r="B5772" s="57">
        <v>4705</v>
      </c>
      <c r="C5772" s="21" t="s">
        <v>20548</v>
      </c>
      <c r="D5772" s="72" t="s">
        <v>20549</v>
      </c>
      <c r="E5772" s="72"/>
      <c r="F5772" s="72"/>
      <c r="G5772" s="72"/>
      <c r="H5772" s="22" t="s">
        <v>20550</v>
      </c>
      <c r="I5772" s="27">
        <v>20</v>
      </c>
      <c r="J5772" s="22"/>
      <c r="K5772" s="20">
        <v>20</v>
      </c>
      <c r="L5772" s="24">
        <v>13.23</v>
      </c>
      <c r="M5772" s="11"/>
      <c r="N5772" s="22">
        <f t="shared" si="325"/>
        <v>0</v>
      </c>
      <c r="O5772" s="25">
        <f>0.014*M5772</f>
        <v>0</v>
      </c>
      <c r="P5772" s="26">
        <f>0.00002*M5772</f>
        <v>0</v>
      </c>
      <c r="Q5772" s="30"/>
      <c r="R5772" s="22" t="s">
        <v>20551</v>
      </c>
      <c r="S5772" s="22" t="s">
        <v>435</v>
      </c>
      <c r="T5772" s="21" t="str">
        <f>HYPERLINK("https://miland.ru/api/getInfo/image/742bed2d-ba8d-11ee-a25a-00155d82e908")</f>
        <v>https://miland.ru/api/getInfo/image/742bed2d-ba8d-11ee-a25a-00155d82e908</v>
      </c>
      <c r="U5772" s="21"/>
      <c r="V5772" s="21" t="s">
        <v>9009</v>
      </c>
      <c r="W5772" s="21" t="s">
        <v>9010</v>
      </c>
      <c r="X5772" s="21"/>
      <c r="Y5772" s="21" t="s">
        <v>41</v>
      </c>
      <c r="Z5772" s="21"/>
      <c r="AA5772" s="21" t="str">
        <f>HYPERLINK("https://miland.ru/api/getInfo/item/742bed2d-ba8d-11ee-a25a-00155d82e908")</f>
        <v>https://miland.ru/api/getInfo/item/742bed2d-ba8d-11ee-a25a-00155d82e908</v>
      </c>
      <c r="AB5772" s="21" t="s">
        <v>50</v>
      </c>
      <c r="AC5772" s="21" t="s">
        <v>1698</v>
      </c>
      <c r="AD5772" s="21"/>
    </row>
    <row r="5773" spans="2:31" s="1" customFormat="1" ht="96.3" customHeight="1" outlineLevel="4">
      <c r="B5773" s="57">
        <v>4706</v>
      </c>
      <c r="C5773" s="21" t="s">
        <v>20552</v>
      </c>
      <c r="D5773" s="72" t="s">
        <v>20553</v>
      </c>
      <c r="E5773" s="72"/>
      <c r="F5773" s="72"/>
      <c r="G5773" s="72"/>
      <c r="H5773" s="22" t="s">
        <v>20554</v>
      </c>
      <c r="I5773" s="27">
        <v>340</v>
      </c>
      <c r="J5773" s="22"/>
      <c r="K5773" s="20">
        <v>40</v>
      </c>
      <c r="L5773" s="24">
        <v>13.23</v>
      </c>
      <c r="M5773" s="11"/>
      <c r="N5773" s="22">
        <f t="shared" si="325"/>
        <v>0</v>
      </c>
      <c r="O5773" s="25">
        <f>0.014*M5773</f>
        <v>0</v>
      </c>
      <c r="P5773" s="26">
        <f>0.00002*M5773</f>
        <v>0</v>
      </c>
      <c r="Q5773" s="30"/>
      <c r="R5773" s="22" t="s">
        <v>20555</v>
      </c>
      <c r="S5773" s="22" t="s">
        <v>435</v>
      </c>
      <c r="T5773" s="21" t="str">
        <f>HYPERLINK("https://miland.ru/api/getInfo/image/9f07b652-6451-11ee-a245-00155d82e902")</f>
        <v>https://miland.ru/api/getInfo/image/9f07b652-6451-11ee-a245-00155d82e902</v>
      </c>
      <c r="U5773" s="21"/>
      <c r="V5773" s="21" t="s">
        <v>9009</v>
      </c>
      <c r="W5773" s="21" t="s">
        <v>9010</v>
      </c>
      <c r="X5773" s="21"/>
      <c r="Y5773" s="21" t="s">
        <v>41</v>
      </c>
      <c r="Z5773" s="21"/>
      <c r="AA5773" s="21" t="str">
        <f>HYPERLINK("https://miland.ru/api/getInfo/item/9f07b652-6451-11ee-a245-00155d82e902")</f>
        <v>https://miland.ru/api/getInfo/item/9f07b652-6451-11ee-a245-00155d82e902</v>
      </c>
      <c r="AB5773" s="21" t="s">
        <v>50</v>
      </c>
      <c r="AC5773" s="21" t="s">
        <v>1698</v>
      </c>
      <c r="AD5773" s="21"/>
    </row>
    <row r="5774" spans="2:31" s="1" customFormat="1" ht="96.3" customHeight="1" outlineLevel="4">
      <c r="B5774" s="57">
        <v>4707</v>
      </c>
      <c r="C5774" s="21" t="s">
        <v>20556</v>
      </c>
      <c r="D5774" s="72" t="s">
        <v>20557</v>
      </c>
      <c r="E5774" s="72"/>
      <c r="F5774" s="72"/>
      <c r="G5774" s="72"/>
      <c r="H5774" s="22" t="s">
        <v>20558</v>
      </c>
      <c r="I5774" s="23" t="s">
        <v>36</v>
      </c>
      <c r="J5774" s="22"/>
      <c r="K5774" s="20">
        <v>40</v>
      </c>
      <c r="L5774" s="24">
        <v>13.23</v>
      </c>
      <c r="M5774" s="11"/>
      <c r="N5774" s="22">
        <f t="shared" si="325"/>
        <v>0</v>
      </c>
      <c r="O5774" s="25">
        <f>0.008*M5774</f>
        <v>0</v>
      </c>
      <c r="P5774" s="26">
        <f>0.00003*M5774</f>
        <v>0</v>
      </c>
      <c r="Q5774" s="30"/>
      <c r="R5774" s="22" t="s">
        <v>20559</v>
      </c>
      <c r="S5774" s="22"/>
      <c r="T5774" s="21" t="str">
        <f>HYPERLINK("https://miland.ru/api/getInfo/image/886b369e-ba8d-11ee-a25a-00155d82e908")</f>
        <v>https://miland.ru/api/getInfo/image/886b369e-ba8d-11ee-a25a-00155d82e908</v>
      </c>
      <c r="U5774" s="21"/>
      <c r="V5774" s="21" t="s">
        <v>9009</v>
      </c>
      <c r="W5774" s="21" t="s">
        <v>9010</v>
      </c>
      <c r="X5774" s="21"/>
      <c r="Y5774" s="21" t="s">
        <v>41</v>
      </c>
      <c r="Z5774" s="21"/>
      <c r="AA5774" s="21" t="str">
        <f>HYPERLINK("https://miland.ru/api/getInfo/item/886b369e-ba8d-11ee-a25a-00155d82e908")</f>
        <v>https://miland.ru/api/getInfo/item/886b369e-ba8d-11ee-a25a-00155d82e908</v>
      </c>
      <c r="AB5774" s="21" t="s">
        <v>50</v>
      </c>
      <c r="AC5774" s="21" t="s">
        <v>1698</v>
      </c>
      <c r="AD5774" s="21"/>
    </row>
    <row r="5775" spans="2:31" s="1" customFormat="1" ht="96.3" customHeight="1" outlineLevel="4">
      <c r="B5775" s="57">
        <v>4708</v>
      </c>
      <c r="C5775" s="21" t="s">
        <v>20560</v>
      </c>
      <c r="D5775" s="72" t="s">
        <v>20561</v>
      </c>
      <c r="E5775" s="72"/>
      <c r="F5775" s="72"/>
      <c r="G5775" s="72"/>
      <c r="H5775" s="22" t="s">
        <v>20562</v>
      </c>
      <c r="I5775" s="27">
        <v>60</v>
      </c>
      <c r="J5775" s="22"/>
      <c r="K5775" s="20">
        <v>40</v>
      </c>
      <c r="L5775" s="24">
        <v>13.23</v>
      </c>
      <c r="M5775" s="11"/>
      <c r="N5775" s="22">
        <f t="shared" si="325"/>
        <v>0</v>
      </c>
      <c r="O5775" s="28">
        <f>0.01*M5775</f>
        <v>0</v>
      </c>
      <c r="P5775" s="26">
        <f>0.00001*M5775</f>
        <v>0</v>
      </c>
      <c r="Q5775" s="30"/>
      <c r="R5775" s="22" t="s">
        <v>20563</v>
      </c>
      <c r="S5775" s="22" t="s">
        <v>435</v>
      </c>
      <c r="T5775" s="21" t="str">
        <f>HYPERLINK("https://miland.ru/api/getInfo/image/19f2d503-1d5f-11ed-a216-ac1f6b442185")</f>
        <v>https://miland.ru/api/getInfo/image/19f2d503-1d5f-11ed-a216-ac1f6b442185</v>
      </c>
      <c r="U5775" s="21"/>
      <c r="V5775" s="21" t="s">
        <v>9009</v>
      </c>
      <c r="W5775" s="21" t="s">
        <v>9010</v>
      </c>
      <c r="X5775" s="21"/>
      <c r="Y5775" s="21" t="s">
        <v>41</v>
      </c>
      <c r="Z5775" s="21"/>
      <c r="AA5775" s="21" t="str">
        <f>HYPERLINK("https://miland.ru/api/getInfo/item/19f2d503-1d5f-11ed-a216-ac1f6b442185")</f>
        <v>https://miland.ru/api/getInfo/item/19f2d503-1d5f-11ed-a216-ac1f6b442185</v>
      </c>
      <c r="AB5775" s="21" t="s">
        <v>50</v>
      </c>
      <c r="AC5775" s="21" t="s">
        <v>1698</v>
      </c>
      <c r="AD5775" s="21"/>
    </row>
    <row r="5776" spans="2:31" s="1" customFormat="1" ht="96.3" customHeight="1" outlineLevel="4">
      <c r="B5776" s="57">
        <v>4709</v>
      </c>
      <c r="C5776" s="21" t="s">
        <v>20564</v>
      </c>
      <c r="D5776" s="72" t="s">
        <v>20565</v>
      </c>
      <c r="E5776" s="72"/>
      <c r="F5776" s="72"/>
      <c r="G5776" s="72"/>
      <c r="H5776" s="22" t="s">
        <v>20566</v>
      </c>
      <c r="I5776" s="27">
        <v>30</v>
      </c>
      <c r="J5776" s="22"/>
      <c r="K5776" s="20">
        <v>30</v>
      </c>
      <c r="L5776" s="24">
        <v>13.23</v>
      </c>
      <c r="M5776" s="11"/>
      <c r="N5776" s="22">
        <f t="shared" si="325"/>
        <v>0</v>
      </c>
      <c r="O5776" s="25">
        <f>0.008*M5776</f>
        <v>0</v>
      </c>
      <c r="P5776" s="26">
        <f>0.00003*M5776</f>
        <v>0</v>
      </c>
      <c r="Q5776" s="30"/>
      <c r="R5776" s="22" t="s">
        <v>20567</v>
      </c>
      <c r="S5776" s="22"/>
      <c r="T5776" s="21" t="str">
        <f>HYPERLINK("https://miland.ru/api/getInfo/image/8fb5a276-acc4-11ef-a267-00155d82e908")</f>
        <v>https://miland.ru/api/getInfo/image/8fb5a276-acc4-11ef-a267-00155d82e908</v>
      </c>
      <c r="U5776" s="21"/>
      <c r="V5776" s="21" t="s">
        <v>9009</v>
      </c>
      <c r="W5776" s="21" t="s">
        <v>9010</v>
      </c>
      <c r="X5776" s="21"/>
      <c r="Y5776" s="21" t="s">
        <v>41</v>
      </c>
      <c r="Z5776" s="21"/>
      <c r="AA5776" s="21" t="str">
        <f>HYPERLINK("https://miland.ru/api/getInfo/item/8fb5a276-acc4-11ef-a267-00155d82e908")</f>
        <v>https://miland.ru/api/getInfo/item/8fb5a276-acc4-11ef-a267-00155d82e908</v>
      </c>
      <c r="AB5776" s="21" t="s">
        <v>50</v>
      </c>
      <c r="AC5776" s="21" t="s">
        <v>1698</v>
      </c>
      <c r="AD5776" s="21"/>
    </row>
    <row r="5777" spans="2:31" s="1" customFormat="1" ht="96.3" customHeight="1" outlineLevel="4">
      <c r="B5777" s="57">
        <v>4710</v>
      </c>
      <c r="C5777" s="21" t="s">
        <v>20568</v>
      </c>
      <c r="D5777" s="72" t="s">
        <v>20569</v>
      </c>
      <c r="E5777" s="72"/>
      <c r="F5777" s="72"/>
      <c r="G5777" s="72"/>
      <c r="H5777" s="22" t="s">
        <v>20570</v>
      </c>
      <c r="I5777" s="27">
        <v>330</v>
      </c>
      <c r="J5777" s="22"/>
      <c r="K5777" s="20">
        <v>40</v>
      </c>
      <c r="L5777" s="24">
        <v>13.23</v>
      </c>
      <c r="M5777" s="11"/>
      <c r="N5777" s="22">
        <f t="shared" si="325"/>
        <v>0</v>
      </c>
      <c r="O5777" s="25">
        <f>0.007*M5777</f>
        <v>0</v>
      </c>
      <c r="P5777" s="26">
        <f>0.00003*M5777</f>
        <v>0</v>
      </c>
      <c r="Q5777" s="30"/>
      <c r="R5777" s="22" t="s">
        <v>20571</v>
      </c>
      <c r="S5777" s="22"/>
      <c r="T5777" s="21" t="str">
        <f>HYPERLINK("https://miland.ru/api/getInfo/image/8d916335-acc6-11ef-a267-00155d82e908")</f>
        <v>https://miland.ru/api/getInfo/image/8d916335-acc6-11ef-a267-00155d82e908</v>
      </c>
      <c r="U5777" s="21"/>
      <c r="V5777" s="21" t="s">
        <v>9009</v>
      </c>
      <c r="W5777" s="21" t="s">
        <v>9010</v>
      </c>
      <c r="X5777" s="21"/>
      <c r="Y5777" s="21" t="s">
        <v>41</v>
      </c>
      <c r="Z5777" s="21"/>
      <c r="AA5777" s="21" t="str">
        <f>HYPERLINK("https://miland.ru/api/getInfo/item/8d916335-acc6-11ef-a267-00155d82e908")</f>
        <v>https://miland.ru/api/getInfo/item/8d916335-acc6-11ef-a267-00155d82e908</v>
      </c>
      <c r="AB5777" s="21" t="s">
        <v>50</v>
      </c>
      <c r="AC5777" s="21" t="s">
        <v>1698</v>
      </c>
      <c r="AD5777" s="21"/>
    </row>
    <row r="5778" spans="2:31" s="1" customFormat="1" ht="96.3" customHeight="1" outlineLevel="4">
      <c r="B5778" s="57">
        <v>4711</v>
      </c>
      <c r="C5778" s="21" t="s">
        <v>20572</v>
      </c>
      <c r="D5778" s="72" t="s">
        <v>20573</v>
      </c>
      <c r="E5778" s="72"/>
      <c r="F5778" s="72"/>
      <c r="G5778" s="72"/>
      <c r="H5778" s="22" t="s">
        <v>20574</v>
      </c>
      <c r="I5778" s="27">
        <v>420</v>
      </c>
      <c r="J5778" s="22"/>
      <c r="K5778" s="20">
        <v>40</v>
      </c>
      <c r="L5778" s="24">
        <v>13.23</v>
      </c>
      <c r="M5778" s="11"/>
      <c r="N5778" s="22">
        <f t="shared" si="325"/>
        <v>0</v>
      </c>
      <c r="O5778" s="25">
        <f>0.014*M5778</f>
        <v>0</v>
      </c>
      <c r="P5778" s="26">
        <f>0.00002*M5778</f>
        <v>0</v>
      </c>
      <c r="Q5778" s="30"/>
      <c r="R5778" s="22" t="s">
        <v>20575</v>
      </c>
      <c r="S5778" s="22" t="s">
        <v>435</v>
      </c>
      <c r="T5778" s="21" t="str">
        <f>HYPERLINK("https://miland.ru/api/getInfo/image/0a9d800d-68ee-11ee-a247-00155d82e902")</f>
        <v>https://miland.ru/api/getInfo/image/0a9d800d-68ee-11ee-a247-00155d82e902</v>
      </c>
      <c r="U5778" s="21"/>
      <c r="V5778" s="21" t="s">
        <v>9009</v>
      </c>
      <c r="W5778" s="21" t="s">
        <v>9010</v>
      </c>
      <c r="X5778" s="21"/>
      <c r="Y5778" s="21" t="s">
        <v>41</v>
      </c>
      <c r="Z5778" s="21"/>
      <c r="AA5778" s="21" t="str">
        <f>HYPERLINK("https://miland.ru/api/getInfo/item/0a9d800d-68ee-11ee-a247-00155d82e902")</f>
        <v>https://miland.ru/api/getInfo/item/0a9d800d-68ee-11ee-a247-00155d82e902</v>
      </c>
      <c r="AB5778" s="21" t="s">
        <v>50</v>
      </c>
      <c r="AC5778" s="21" t="s">
        <v>1698</v>
      </c>
      <c r="AD5778" s="21"/>
    </row>
    <row r="5779" spans="2:31" s="1" customFormat="1" ht="96.3" customHeight="1" outlineLevel="4">
      <c r="B5779" s="57">
        <v>4712</v>
      </c>
      <c r="C5779" s="21" t="s">
        <v>20576</v>
      </c>
      <c r="D5779" s="72" t="s">
        <v>20577</v>
      </c>
      <c r="E5779" s="72"/>
      <c r="F5779" s="72"/>
      <c r="G5779" s="72"/>
      <c r="H5779" s="22" t="s">
        <v>20578</v>
      </c>
      <c r="I5779" s="27">
        <v>340</v>
      </c>
      <c r="J5779" s="22"/>
      <c r="K5779" s="20">
        <v>40</v>
      </c>
      <c r="L5779" s="24">
        <v>13.23</v>
      </c>
      <c r="M5779" s="11"/>
      <c r="N5779" s="22">
        <f t="shared" si="325"/>
        <v>0</v>
      </c>
      <c r="O5779" s="25">
        <f>0.007*M5779</f>
        <v>0</v>
      </c>
      <c r="P5779" s="26">
        <f>0.00003*M5779</f>
        <v>0</v>
      </c>
      <c r="Q5779" s="30"/>
      <c r="R5779" s="22" t="s">
        <v>20579</v>
      </c>
      <c r="S5779" s="22" t="s">
        <v>435</v>
      </c>
      <c r="T5779" s="21" t="str">
        <f>HYPERLINK("https://miland.ru/api/getInfo/image/014e063f-acc6-11ef-a267-00155d82e908")</f>
        <v>https://miland.ru/api/getInfo/image/014e063f-acc6-11ef-a267-00155d82e908</v>
      </c>
      <c r="U5779" s="21"/>
      <c r="V5779" s="21" t="s">
        <v>9009</v>
      </c>
      <c r="W5779" s="21" t="s">
        <v>9010</v>
      </c>
      <c r="X5779" s="21"/>
      <c r="Y5779" s="21" t="s">
        <v>41</v>
      </c>
      <c r="Z5779" s="21"/>
      <c r="AA5779" s="21" t="str">
        <f>HYPERLINK("https://miland.ru/api/getInfo/item/014e063f-acc6-11ef-a267-00155d82e908")</f>
        <v>https://miland.ru/api/getInfo/item/014e063f-acc6-11ef-a267-00155d82e908</v>
      </c>
      <c r="AB5779" s="21" t="s">
        <v>50</v>
      </c>
      <c r="AC5779" s="21" t="s">
        <v>1698</v>
      </c>
      <c r="AD5779" s="21"/>
    </row>
    <row r="5780" spans="2:31" s="1" customFormat="1" ht="96.3" customHeight="1" outlineLevel="4">
      <c r="B5780" s="57">
        <v>4713</v>
      </c>
      <c r="C5780" s="21" t="s">
        <v>20580</v>
      </c>
      <c r="D5780" s="72" t="s">
        <v>20581</v>
      </c>
      <c r="E5780" s="72"/>
      <c r="F5780" s="72"/>
      <c r="G5780" s="72"/>
      <c r="H5780" s="22" t="s">
        <v>20582</v>
      </c>
      <c r="I5780" s="27">
        <v>340</v>
      </c>
      <c r="J5780" s="22"/>
      <c r="K5780" s="20">
        <v>40</v>
      </c>
      <c r="L5780" s="24">
        <v>13.23</v>
      </c>
      <c r="M5780" s="11"/>
      <c r="N5780" s="22">
        <f t="shared" si="325"/>
        <v>0</v>
      </c>
      <c r="O5780" s="25">
        <f>0.008*M5780</f>
        <v>0</v>
      </c>
      <c r="P5780" s="26">
        <f>0.00003*M5780</f>
        <v>0</v>
      </c>
      <c r="Q5780" s="30"/>
      <c r="R5780" s="22" t="s">
        <v>20583</v>
      </c>
      <c r="S5780" s="22" t="s">
        <v>435</v>
      </c>
      <c r="T5780" s="21" t="str">
        <f>HYPERLINK("https://miland.ru/api/getInfo/image/5648fa01-ba8d-11ee-a25a-00155d82e908")</f>
        <v>https://miland.ru/api/getInfo/image/5648fa01-ba8d-11ee-a25a-00155d82e908</v>
      </c>
      <c r="U5780" s="21"/>
      <c r="V5780" s="21" t="s">
        <v>9009</v>
      </c>
      <c r="W5780" s="21" t="s">
        <v>9010</v>
      </c>
      <c r="X5780" s="21"/>
      <c r="Y5780" s="21" t="s">
        <v>41</v>
      </c>
      <c r="Z5780" s="21"/>
      <c r="AA5780" s="21" t="str">
        <f>HYPERLINK("https://miland.ru/api/getInfo/item/5648fa01-ba8d-11ee-a25a-00155d82e908")</f>
        <v>https://miland.ru/api/getInfo/item/5648fa01-ba8d-11ee-a25a-00155d82e908</v>
      </c>
      <c r="AB5780" s="21" t="s">
        <v>50</v>
      </c>
      <c r="AC5780" s="21" t="s">
        <v>1698</v>
      </c>
      <c r="AD5780" s="21"/>
    </row>
    <row r="5781" spans="2:31" s="1" customFormat="1" ht="96.3" customHeight="1" outlineLevel="4">
      <c r="B5781" s="58">
        <v>4714</v>
      </c>
      <c r="C5781" s="7" t="s">
        <v>20584</v>
      </c>
      <c r="D5781" s="71" t="s">
        <v>20585</v>
      </c>
      <c r="E5781" s="71"/>
      <c r="F5781" s="71"/>
      <c r="G5781" s="71"/>
      <c r="H5781" s="8" t="s">
        <v>20586</v>
      </c>
      <c r="I5781" s="9" t="s">
        <v>36</v>
      </c>
      <c r="J5781" s="8"/>
      <c r="K5781" s="6">
        <v>40</v>
      </c>
      <c r="L5781" s="10">
        <v>13.23</v>
      </c>
      <c r="M5781" s="11"/>
      <c r="N5781" s="8">
        <f t="shared" si="325"/>
        <v>0</v>
      </c>
      <c r="O5781" s="12">
        <f>0.008*M5781</f>
        <v>0</v>
      </c>
      <c r="P5781" s="13">
        <f>0.00001*M5781</f>
        <v>0</v>
      </c>
      <c r="Q5781" s="17" t="s">
        <v>37</v>
      </c>
      <c r="R5781" s="8" t="s">
        <v>20587</v>
      </c>
      <c r="S5781" s="8"/>
      <c r="T5781" s="7" t="str">
        <f>HYPERLINK("https://miland.ru/api/getInfo/image/053bf4fb-0e33-11f1-a28f-00155d82e908")</f>
        <v>https://miland.ru/api/getInfo/image/053bf4fb-0e33-11f1-a28f-00155d82e908</v>
      </c>
      <c r="U5781" s="7"/>
      <c r="V5781" s="7" t="s">
        <v>9009</v>
      </c>
      <c r="W5781" s="7" t="s">
        <v>9010</v>
      </c>
      <c r="X5781" s="7"/>
      <c r="Y5781" s="7" t="s">
        <v>41</v>
      </c>
      <c r="Z5781" s="7"/>
      <c r="AA5781" s="7" t="str">
        <f>HYPERLINK("https://miland.ru/api/getInfo/item/053bf4fb-0e33-11f1-a28f-00155d82e908")</f>
        <v>https://miland.ru/api/getInfo/item/053bf4fb-0e33-11f1-a28f-00155d82e908</v>
      </c>
      <c r="AB5781" s="7" t="s">
        <v>50</v>
      </c>
      <c r="AC5781" s="7"/>
      <c r="AD5781" s="7"/>
      <c r="AE5781" s="54"/>
    </row>
    <row r="5782" spans="2:31" s="1" customFormat="1" ht="96.3" customHeight="1" outlineLevel="4">
      <c r="B5782" s="57">
        <v>4715</v>
      </c>
      <c r="C5782" s="21" t="s">
        <v>20588</v>
      </c>
      <c r="D5782" s="72" t="s">
        <v>20589</v>
      </c>
      <c r="E5782" s="72"/>
      <c r="F5782" s="72"/>
      <c r="G5782" s="72"/>
      <c r="H5782" s="22" t="s">
        <v>20590</v>
      </c>
      <c r="I5782" s="27">
        <v>490</v>
      </c>
      <c r="J5782" s="22"/>
      <c r="K5782" s="20">
        <v>40</v>
      </c>
      <c r="L5782" s="24">
        <v>13.23</v>
      </c>
      <c r="M5782" s="11"/>
      <c r="N5782" s="22">
        <f t="shared" si="325"/>
        <v>0</v>
      </c>
      <c r="O5782" s="25">
        <f>0.007*M5782</f>
        <v>0</v>
      </c>
      <c r="P5782" s="26">
        <f>0.00003*M5782</f>
        <v>0</v>
      </c>
      <c r="Q5782" s="30"/>
      <c r="R5782" s="22" t="s">
        <v>20591</v>
      </c>
      <c r="S5782" s="22"/>
      <c r="T5782" s="21" t="str">
        <f>HYPERLINK("https://miland.ru/api/getInfo/image/2163e214-acc6-11ef-a267-00155d82e908")</f>
        <v>https://miland.ru/api/getInfo/image/2163e214-acc6-11ef-a267-00155d82e908</v>
      </c>
      <c r="U5782" s="21"/>
      <c r="V5782" s="21" t="s">
        <v>9009</v>
      </c>
      <c r="W5782" s="21" t="s">
        <v>9010</v>
      </c>
      <c r="X5782" s="21"/>
      <c r="Y5782" s="21" t="s">
        <v>41</v>
      </c>
      <c r="Z5782" s="21"/>
      <c r="AA5782" s="21" t="str">
        <f>HYPERLINK("https://miland.ru/api/getInfo/item/2163e214-acc6-11ef-a267-00155d82e908")</f>
        <v>https://miland.ru/api/getInfo/item/2163e214-acc6-11ef-a267-00155d82e908</v>
      </c>
      <c r="AB5782" s="21" t="s">
        <v>50</v>
      </c>
      <c r="AC5782" s="21" t="s">
        <v>1698</v>
      </c>
      <c r="AD5782" s="21"/>
    </row>
    <row r="5783" spans="2:31" s="1" customFormat="1" ht="96.3" customHeight="1" outlineLevel="4">
      <c r="B5783" s="58">
        <v>4716</v>
      </c>
      <c r="C5783" s="7" t="s">
        <v>20592</v>
      </c>
      <c r="D5783" s="71" t="s">
        <v>20593</v>
      </c>
      <c r="E5783" s="71"/>
      <c r="F5783" s="71"/>
      <c r="G5783" s="71"/>
      <c r="H5783" s="8" t="s">
        <v>20594</v>
      </c>
      <c r="I5783" s="9" t="s">
        <v>36</v>
      </c>
      <c r="J5783" s="8"/>
      <c r="K5783" s="6">
        <v>40</v>
      </c>
      <c r="L5783" s="10">
        <v>13.23</v>
      </c>
      <c r="M5783" s="11"/>
      <c r="N5783" s="8">
        <f t="shared" si="325"/>
        <v>0</v>
      </c>
      <c r="O5783" s="12">
        <f>0.008*M5783</f>
        <v>0</v>
      </c>
      <c r="P5783" s="13">
        <f>0.00001*M5783</f>
        <v>0</v>
      </c>
      <c r="Q5783" s="17" t="s">
        <v>37</v>
      </c>
      <c r="R5783" s="8" t="s">
        <v>20595</v>
      </c>
      <c r="S5783" s="8"/>
      <c r="T5783" s="7" t="str">
        <f>HYPERLINK("https://miland.ru/api/getInfo/image/910c452e-0e32-11f1-a28f-00155d82e908")</f>
        <v>https://miland.ru/api/getInfo/image/910c452e-0e32-11f1-a28f-00155d82e908</v>
      </c>
      <c r="U5783" s="7"/>
      <c r="V5783" s="7" t="s">
        <v>9009</v>
      </c>
      <c r="W5783" s="7" t="s">
        <v>9010</v>
      </c>
      <c r="X5783" s="7"/>
      <c r="Y5783" s="7" t="s">
        <v>41</v>
      </c>
      <c r="Z5783" s="7"/>
      <c r="AA5783" s="7" t="str">
        <f>HYPERLINK("https://miland.ru/api/getInfo/item/910c452e-0e32-11f1-a28f-00155d82e908")</f>
        <v>https://miland.ru/api/getInfo/item/910c452e-0e32-11f1-a28f-00155d82e908</v>
      </c>
      <c r="AB5783" s="7" t="s">
        <v>50</v>
      </c>
      <c r="AC5783" s="7"/>
      <c r="AD5783" s="7"/>
      <c r="AE5783" s="54"/>
    </row>
    <row r="5784" spans="2:31" s="1" customFormat="1" ht="96.3" customHeight="1" outlineLevel="4">
      <c r="B5784" s="58">
        <v>4717</v>
      </c>
      <c r="C5784" s="7" t="s">
        <v>20596</v>
      </c>
      <c r="D5784" s="71" t="s">
        <v>20597</v>
      </c>
      <c r="E5784" s="71"/>
      <c r="F5784" s="71"/>
      <c r="G5784" s="71"/>
      <c r="H5784" s="8" t="s">
        <v>20598</v>
      </c>
      <c r="I5784" s="9" t="s">
        <v>36</v>
      </c>
      <c r="J5784" s="8"/>
      <c r="K5784" s="6">
        <v>40</v>
      </c>
      <c r="L5784" s="10">
        <v>13.23</v>
      </c>
      <c r="M5784" s="11"/>
      <c r="N5784" s="8">
        <f t="shared" si="325"/>
        <v>0</v>
      </c>
      <c r="O5784" s="12">
        <f>0.009*M5784</f>
        <v>0</v>
      </c>
      <c r="P5784" s="13">
        <f>0.00001*M5784</f>
        <v>0</v>
      </c>
      <c r="Q5784" s="17" t="s">
        <v>37</v>
      </c>
      <c r="R5784" s="8" t="s">
        <v>20599</v>
      </c>
      <c r="S5784" s="8"/>
      <c r="T5784" s="7" t="str">
        <f>HYPERLINK("https://miland.ru/api/getInfo/image/0cef8c9a-0e31-11f1-a28f-00155d82e908")</f>
        <v>https://miland.ru/api/getInfo/image/0cef8c9a-0e31-11f1-a28f-00155d82e908</v>
      </c>
      <c r="U5784" s="7"/>
      <c r="V5784" s="7" t="s">
        <v>9009</v>
      </c>
      <c r="W5784" s="7" t="s">
        <v>9010</v>
      </c>
      <c r="X5784" s="7"/>
      <c r="Y5784" s="7" t="s">
        <v>41</v>
      </c>
      <c r="Z5784" s="7"/>
      <c r="AA5784" s="7" t="str">
        <f>HYPERLINK("https://miland.ru/api/getInfo/item/0cef8c9a-0e31-11f1-a28f-00155d82e908")</f>
        <v>https://miland.ru/api/getInfo/item/0cef8c9a-0e31-11f1-a28f-00155d82e908</v>
      </c>
      <c r="AB5784" s="7" t="s">
        <v>50</v>
      </c>
      <c r="AC5784" s="7"/>
      <c r="AD5784" s="7"/>
      <c r="AE5784" s="54"/>
    </row>
    <row r="5785" spans="2:31" s="1" customFormat="1" ht="96.3" customHeight="1" outlineLevel="4">
      <c r="B5785" s="57">
        <v>4718</v>
      </c>
      <c r="C5785" s="21" t="s">
        <v>20600</v>
      </c>
      <c r="D5785" s="72" t="s">
        <v>20601</v>
      </c>
      <c r="E5785" s="72"/>
      <c r="F5785" s="72"/>
      <c r="G5785" s="72"/>
      <c r="H5785" s="22" t="s">
        <v>20602</v>
      </c>
      <c r="I5785" s="27">
        <v>200</v>
      </c>
      <c r="J5785" s="22"/>
      <c r="K5785" s="20">
        <v>40</v>
      </c>
      <c r="L5785" s="24">
        <v>13.23</v>
      </c>
      <c r="M5785" s="11"/>
      <c r="N5785" s="22">
        <f t="shared" si="325"/>
        <v>0</v>
      </c>
      <c r="O5785" s="25">
        <f>0.008*M5785</f>
        <v>0</v>
      </c>
      <c r="P5785" s="26">
        <f t="shared" ref="P5785:P5790" si="326">0.00003*M5785</f>
        <v>0</v>
      </c>
      <c r="Q5785" s="30"/>
      <c r="R5785" s="22" t="s">
        <v>20603</v>
      </c>
      <c r="S5785" s="22" t="s">
        <v>435</v>
      </c>
      <c r="T5785" s="21" t="str">
        <f>HYPERLINK("https://miland.ru/api/getInfo/image/a0f3f221-1db7-11ef-a25e-00155d82e908")</f>
        <v>https://miland.ru/api/getInfo/image/a0f3f221-1db7-11ef-a25e-00155d82e908</v>
      </c>
      <c r="U5785" s="21"/>
      <c r="V5785" s="21" t="s">
        <v>9009</v>
      </c>
      <c r="W5785" s="21" t="s">
        <v>9010</v>
      </c>
      <c r="X5785" s="21"/>
      <c r="Y5785" s="21" t="s">
        <v>41</v>
      </c>
      <c r="Z5785" s="21"/>
      <c r="AA5785" s="21" t="str">
        <f>HYPERLINK("https://miland.ru/api/getInfo/item/a0f3f221-1db7-11ef-a25e-00155d82e908")</f>
        <v>https://miland.ru/api/getInfo/item/a0f3f221-1db7-11ef-a25e-00155d82e908</v>
      </c>
      <c r="AB5785" s="21" t="s">
        <v>50</v>
      </c>
      <c r="AC5785" s="21"/>
      <c r="AD5785" s="21"/>
    </row>
    <row r="5786" spans="2:31" s="1" customFormat="1" ht="96.3" customHeight="1" outlineLevel="4">
      <c r="B5786" s="57">
        <v>4719</v>
      </c>
      <c r="C5786" s="21" t="s">
        <v>20604</v>
      </c>
      <c r="D5786" s="72" t="s">
        <v>20605</v>
      </c>
      <c r="E5786" s="72"/>
      <c r="F5786" s="72"/>
      <c r="G5786" s="72"/>
      <c r="H5786" s="22" t="s">
        <v>20606</v>
      </c>
      <c r="I5786" s="23" t="s">
        <v>36</v>
      </c>
      <c r="J5786" s="22"/>
      <c r="K5786" s="20">
        <v>40</v>
      </c>
      <c r="L5786" s="24">
        <v>13.23</v>
      </c>
      <c r="M5786" s="11"/>
      <c r="N5786" s="22">
        <f t="shared" si="325"/>
        <v>0</v>
      </c>
      <c r="O5786" s="25">
        <f>0.007*M5786</f>
        <v>0</v>
      </c>
      <c r="P5786" s="26">
        <f t="shared" si="326"/>
        <v>0</v>
      </c>
      <c r="Q5786" s="30"/>
      <c r="R5786" s="22" t="s">
        <v>20607</v>
      </c>
      <c r="S5786" s="22"/>
      <c r="T5786" s="21" t="str">
        <f>HYPERLINK("https://miland.ru/api/getInfo/image/55810f0b-ab28-11ef-a267-00155d82e908")</f>
        <v>https://miland.ru/api/getInfo/image/55810f0b-ab28-11ef-a267-00155d82e908</v>
      </c>
      <c r="U5786" s="21"/>
      <c r="V5786" s="21" t="s">
        <v>9009</v>
      </c>
      <c r="W5786" s="21" t="s">
        <v>9010</v>
      </c>
      <c r="X5786" s="21"/>
      <c r="Y5786" s="21" t="s">
        <v>41</v>
      </c>
      <c r="Z5786" s="21"/>
      <c r="AA5786" s="21" t="str">
        <f>HYPERLINK("https://miland.ru/api/getInfo/item/55810f0b-ab28-11ef-a267-00155d82e908")</f>
        <v>https://miland.ru/api/getInfo/item/55810f0b-ab28-11ef-a267-00155d82e908</v>
      </c>
      <c r="AB5786" s="21" t="s">
        <v>50</v>
      </c>
      <c r="AC5786" s="21" t="s">
        <v>1698</v>
      </c>
      <c r="AD5786" s="21"/>
    </row>
    <row r="5787" spans="2:31" s="1" customFormat="1" ht="96.3" customHeight="1" outlineLevel="4">
      <c r="B5787" s="57">
        <v>4720</v>
      </c>
      <c r="C5787" s="21" t="s">
        <v>20608</v>
      </c>
      <c r="D5787" s="72" t="s">
        <v>20609</v>
      </c>
      <c r="E5787" s="72"/>
      <c r="F5787" s="72"/>
      <c r="G5787" s="72"/>
      <c r="H5787" s="22" t="s">
        <v>20610</v>
      </c>
      <c r="I5787" s="23" t="s">
        <v>36</v>
      </c>
      <c r="J5787" s="22"/>
      <c r="K5787" s="20">
        <v>40</v>
      </c>
      <c r="L5787" s="24">
        <v>13.23</v>
      </c>
      <c r="M5787" s="11"/>
      <c r="N5787" s="22">
        <f t="shared" si="325"/>
        <v>0</v>
      </c>
      <c r="O5787" s="25">
        <f>0.008*M5787</f>
        <v>0</v>
      </c>
      <c r="P5787" s="26">
        <f t="shared" si="326"/>
        <v>0</v>
      </c>
      <c r="Q5787" s="30"/>
      <c r="R5787" s="22" t="s">
        <v>20611</v>
      </c>
      <c r="S5787" s="22"/>
      <c r="T5787" s="21" t="str">
        <f>HYPERLINK("https://miland.ru/api/getInfo/image/120f61f2-1db7-11ef-a25e-00155d82e908")</f>
        <v>https://miland.ru/api/getInfo/image/120f61f2-1db7-11ef-a25e-00155d82e908</v>
      </c>
      <c r="U5787" s="21"/>
      <c r="V5787" s="21" t="s">
        <v>9009</v>
      </c>
      <c r="W5787" s="21" t="s">
        <v>9010</v>
      </c>
      <c r="X5787" s="21"/>
      <c r="Y5787" s="21" t="s">
        <v>41</v>
      </c>
      <c r="Z5787" s="21"/>
      <c r="AA5787" s="21" t="str">
        <f>HYPERLINK("https://miland.ru/api/getInfo/item/120f61f2-1db7-11ef-a25e-00155d82e908")</f>
        <v>https://miland.ru/api/getInfo/item/120f61f2-1db7-11ef-a25e-00155d82e908</v>
      </c>
      <c r="AB5787" s="21" t="s">
        <v>50</v>
      </c>
      <c r="AC5787" s="21"/>
      <c r="AD5787" s="21"/>
    </row>
    <row r="5788" spans="2:31" s="1" customFormat="1" ht="96.3" customHeight="1" outlineLevel="4">
      <c r="B5788" s="57">
        <v>4721</v>
      </c>
      <c r="C5788" s="21" t="s">
        <v>20612</v>
      </c>
      <c r="D5788" s="72" t="s">
        <v>20613</v>
      </c>
      <c r="E5788" s="72"/>
      <c r="F5788" s="72"/>
      <c r="G5788" s="72"/>
      <c r="H5788" s="22" t="s">
        <v>20614</v>
      </c>
      <c r="I5788" s="27">
        <v>300</v>
      </c>
      <c r="J5788" s="22"/>
      <c r="K5788" s="20">
        <v>40</v>
      </c>
      <c r="L5788" s="24">
        <v>13.23</v>
      </c>
      <c r="M5788" s="11"/>
      <c r="N5788" s="22">
        <f t="shared" si="325"/>
        <v>0</v>
      </c>
      <c r="O5788" s="25">
        <f>0.008*M5788</f>
        <v>0</v>
      </c>
      <c r="P5788" s="26">
        <f t="shared" si="326"/>
        <v>0</v>
      </c>
      <c r="Q5788" s="30"/>
      <c r="R5788" s="22" t="s">
        <v>20615</v>
      </c>
      <c r="S5788" s="22"/>
      <c r="T5788" s="21" t="str">
        <f>HYPERLINK("https://miland.ru/api/getInfo/image/05defb86-1db8-11ef-a25e-00155d82e908")</f>
        <v>https://miland.ru/api/getInfo/image/05defb86-1db8-11ef-a25e-00155d82e908</v>
      </c>
      <c r="U5788" s="21"/>
      <c r="V5788" s="21" t="s">
        <v>9009</v>
      </c>
      <c r="W5788" s="21" t="s">
        <v>9010</v>
      </c>
      <c r="X5788" s="21"/>
      <c r="Y5788" s="21" t="s">
        <v>41</v>
      </c>
      <c r="Z5788" s="21"/>
      <c r="AA5788" s="21" t="str">
        <f>HYPERLINK("https://miland.ru/api/getInfo/item/05defb86-1db8-11ef-a25e-00155d82e908")</f>
        <v>https://miland.ru/api/getInfo/item/05defb86-1db8-11ef-a25e-00155d82e908</v>
      </c>
      <c r="AB5788" s="21" t="s">
        <v>50</v>
      </c>
      <c r="AC5788" s="21"/>
      <c r="AD5788" s="21"/>
    </row>
    <row r="5789" spans="2:31" s="1" customFormat="1" ht="96.3" customHeight="1" outlineLevel="4">
      <c r="B5789" s="57">
        <v>4722</v>
      </c>
      <c r="C5789" s="21" t="s">
        <v>20616</v>
      </c>
      <c r="D5789" s="72" t="s">
        <v>20617</v>
      </c>
      <c r="E5789" s="72"/>
      <c r="F5789" s="72"/>
      <c r="G5789" s="72"/>
      <c r="H5789" s="22" t="s">
        <v>20618</v>
      </c>
      <c r="I5789" s="27">
        <v>210</v>
      </c>
      <c r="J5789" s="22"/>
      <c r="K5789" s="20">
        <v>40</v>
      </c>
      <c r="L5789" s="24">
        <v>13.23</v>
      </c>
      <c r="M5789" s="11"/>
      <c r="N5789" s="22">
        <f t="shared" si="325"/>
        <v>0</v>
      </c>
      <c r="O5789" s="25">
        <f>0.008*M5789</f>
        <v>0</v>
      </c>
      <c r="P5789" s="26">
        <f t="shared" si="326"/>
        <v>0</v>
      </c>
      <c r="Q5789" s="30"/>
      <c r="R5789" s="22" t="s">
        <v>20619</v>
      </c>
      <c r="S5789" s="22" t="s">
        <v>435</v>
      </c>
      <c r="T5789" s="21" t="str">
        <f>HYPERLINK("https://miland.ru/api/getInfo/image/8cb0feee-acc5-11ef-a267-00155d82e908")</f>
        <v>https://miland.ru/api/getInfo/image/8cb0feee-acc5-11ef-a267-00155d82e908</v>
      </c>
      <c r="U5789" s="21"/>
      <c r="V5789" s="21" t="s">
        <v>9009</v>
      </c>
      <c r="W5789" s="21" t="s">
        <v>9010</v>
      </c>
      <c r="X5789" s="21"/>
      <c r="Y5789" s="21" t="s">
        <v>41</v>
      </c>
      <c r="Z5789" s="21"/>
      <c r="AA5789" s="21" t="str">
        <f>HYPERLINK("https://miland.ru/api/getInfo/item/8cb0feee-acc5-11ef-a267-00155d82e908")</f>
        <v>https://miland.ru/api/getInfo/item/8cb0feee-acc5-11ef-a267-00155d82e908</v>
      </c>
      <c r="AB5789" s="21" t="s">
        <v>50</v>
      </c>
      <c r="AC5789" s="21" t="s">
        <v>1698</v>
      </c>
      <c r="AD5789" s="21"/>
    </row>
    <row r="5790" spans="2:31" s="1" customFormat="1" ht="96.3" customHeight="1" outlineLevel="4">
      <c r="B5790" s="57">
        <v>4723</v>
      </c>
      <c r="C5790" s="21" t="s">
        <v>20620</v>
      </c>
      <c r="D5790" s="72" t="s">
        <v>20621</v>
      </c>
      <c r="E5790" s="72"/>
      <c r="F5790" s="72"/>
      <c r="G5790" s="72"/>
      <c r="H5790" s="22" t="s">
        <v>20622</v>
      </c>
      <c r="I5790" s="23" t="s">
        <v>36</v>
      </c>
      <c r="J5790" s="22"/>
      <c r="K5790" s="20">
        <v>40</v>
      </c>
      <c r="L5790" s="24">
        <v>13.23</v>
      </c>
      <c r="M5790" s="11"/>
      <c r="N5790" s="22">
        <f t="shared" si="325"/>
        <v>0</v>
      </c>
      <c r="O5790" s="25">
        <f>0.008*M5790</f>
        <v>0</v>
      </c>
      <c r="P5790" s="26">
        <f t="shared" si="326"/>
        <v>0</v>
      </c>
      <c r="Q5790" s="30"/>
      <c r="R5790" s="22" t="s">
        <v>20623</v>
      </c>
      <c r="S5790" s="22"/>
      <c r="T5790" s="21" t="str">
        <f>HYPERLINK("https://miland.ru/api/getInfo/image/30b67667-6450-11ee-a245-00155d82e902")</f>
        <v>https://miland.ru/api/getInfo/image/30b67667-6450-11ee-a245-00155d82e902</v>
      </c>
      <c r="U5790" s="21"/>
      <c r="V5790" s="21" t="s">
        <v>9009</v>
      </c>
      <c r="W5790" s="21" t="s">
        <v>9010</v>
      </c>
      <c r="X5790" s="21"/>
      <c r="Y5790" s="21" t="s">
        <v>41</v>
      </c>
      <c r="Z5790" s="21"/>
      <c r="AA5790" s="21" t="str">
        <f>HYPERLINK("https://miland.ru/api/getInfo/item/30b67667-6450-11ee-a245-00155d82e902")</f>
        <v>https://miland.ru/api/getInfo/item/30b67667-6450-11ee-a245-00155d82e902</v>
      </c>
      <c r="AB5790" s="21" t="s">
        <v>50</v>
      </c>
      <c r="AC5790" s="21" t="s">
        <v>1698</v>
      </c>
      <c r="AD5790" s="21"/>
    </row>
    <row r="5791" spans="2:31" s="1" customFormat="1" ht="96.3" customHeight="1" outlineLevel="4">
      <c r="B5791" s="57">
        <v>4724</v>
      </c>
      <c r="C5791" s="21" t="s">
        <v>20624</v>
      </c>
      <c r="D5791" s="72" t="s">
        <v>20625</v>
      </c>
      <c r="E5791" s="72"/>
      <c r="F5791" s="72"/>
      <c r="G5791" s="72"/>
      <c r="H5791" s="22" t="s">
        <v>20626</v>
      </c>
      <c r="I5791" s="23" t="s">
        <v>36</v>
      </c>
      <c r="J5791" s="22"/>
      <c r="K5791" s="20">
        <v>40</v>
      </c>
      <c r="L5791" s="24">
        <v>13.23</v>
      </c>
      <c r="M5791" s="11"/>
      <c r="N5791" s="22">
        <f t="shared" si="325"/>
        <v>0</v>
      </c>
      <c r="O5791" s="25">
        <f>0.007*M5791</f>
        <v>0</v>
      </c>
      <c r="P5791" s="26">
        <f>0.00001*M5791</f>
        <v>0</v>
      </c>
      <c r="Q5791" s="30"/>
      <c r="R5791" s="22" t="s">
        <v>20627</v>
      </c>
      <c r="S5791" s="22"/>
      <c r="T5791" s="21" t="str">
        <f>HYPERLINK("https://miland.ru/api/getInfo/image/6bf54559-ab28-11ef-a267-00155d82e908")</f>
        <v>https://miland.ru/api/getInfo/image/6bf54559-ab28-11ef-a267-00155d82e908</v>
      </c>
      <c r="U5791" s="21"/>
      <c r="V5791" s="21" t="s">
        <v>9009</v>
      </c>
      <c r="W5791" s="21" t="s">
        <v>9010</v>
      </c>
      <c r="X5791" s="21"/>
      <c r="Y5791" s="21" t="s">
        <v>41</v>
      </c>
      <c r="Z5791" s="21"/>
      <c r="AA5791" s="21" t="str">
        <f>HYPERLINK("https://miland.ru/api/getInfo/item/6bf54559-ab28-11ef-a267-00155d82e908")</f>
        <v>https://miland.ru/api/getInfo/item/6bf54559-ab28-11ef-a267-00155d82e908</v>
      </c>
      <c r="AB5791" s="21" t="s">
        <v>50</v>
      </c>
      <c r="AC5791" s="21" t="s">
        <v>1698</v>
      </c>
      <c r="AD5791" s="21"/>
    </row>
    <row r="5792" spans="2:31" s="1" customFormat="1" ht="96.3" customHeight="1" outlineLevel="4">
      <c r="B5792" s="57">
        <v>4725</v>
      </c>
      <c r="C5792" s="21" t="s">
        <v>20628</v>
      </c>
      <c r="D5792" s="72" t="s">
        <v>20629</v>
      </c>
      <c r="E5792" s="72"/>
      <c r="F5792" s="72"/>
      <c r="G5792" s="72"/>
      <c r="H5792" s="22" t="s">
        <v>20630</v>
      </c>
      <c r="I5792" s="27">
        <v>90</v>
      </c>
      <c r="J5792" s="22"/>
      <c r="K5792" s="20">
        <v>40</v>
      </c>
      <c r="L5792" s="24">
        <v>13.23</v>
      </c>
      <c r="M5792" s="11"/>
      <c r="N5792" s="22">
        <f t="shared" si="325"/>
        <v>0</v>
      </c>
      <c r="O5792" s="25">
        <f>0.007*M5792</f>
        <v>0</v>
      </c>
      <c r="P5792" s="26">
        <f>0.00003*M5792</f>
        <v>0</v>
      </c>
      <c r="Q5792" s="30"/>
      <c r="R5792" s="22" t="s">
        <v>20631</v>
      </c>
      <c r="S5792" s="22"/>
      <c r="T5792" s="21" t="str">
        <f>HYPERLINK("https://miland.ru/api/getInfo/image/6e5300c7-acc5-11ef-a267-00155d82e908")</f>
        <v>https://miland.ru/api/getInfo/image/6e5300c7-acc5-11ef-a267-00155d82e908</v>
      </c>
      <c r="U5792" s="21"/>
      <c r="V5792" s="21" t="s">
        <v>9009</v>
      </c>
      <c r="W5792" s="21" t="s">
        <v>9010</v>
      </c>
      <c r="X5792" s="21"/>
      <c r="Y5792" s="21" t="s">
        <v>41</v>
      </c>
      <c r="Z5792" s="21"/>
      <c r="AA5792" s="21" t="str">
        <f>HYPERLINK("https://miland.ru/api/getInfo/item/6e5300c7-acc5-11ef-a267-00155d82e908")</f>
        <v>https://miland.ru/api/getInfo/item/6e5300c7-acc5-11ef-a267-00155d82e908</v>
      </c>
      <c r="AB5792" s="21" t="s">
        <v>50</v>
      </c>
      <c r="AC5792" s="21" t="s">
        <v>1698</v>
      </c>
      <c r="AD5792" s="21"/>
    </row>
    <row r="5793" spans="2:31" s="1" customFormat="1" ht="96.3" customHeight="1" outlineLevel="4">
      <c r="B5793" s="57">
        <v>4726</v>
      </c>
      <c r="C5793" s="21" t="s">
        <v>20632</v>
      </c>
      <c r="D5793" s="72" t="s">
        <v>20633</v>
      </c>
      <c r="E5793" s="72"/>
      <c r="F5793" s="72"/>
      <c r="G5793" s="72"/>
      <c r="H5793" s="22" t="s">
        <v>20634</v>
      </c>
      <c r="I5793" s="23" t="s">
        <v>36</v>
      </c>
      <c r="J5793" s="22"/>
      <c r="K5793" s="20">
        <v>40</v>
      </c>
      <c r="L5793" s="24">
        <v>13.23</v>
      </c>
      <c r="M5793" s="11"/>
      <c r="N5793" s="22">
        <f t="shared" si="325"/>
        <v>0</v>
      </c>
      <c r="O5793" s="25">
        <f>0.008*M5793</f>
        <v>0</v>
      </c>
      <c r="P5793" s="26">
        <f>0.00003*M5793</f>
        <v>0</v>
      </c>
      <c r="Q5793" s="30"/>
      <c r="R5793" s="22" t="s">
        <v>20635</v>
      </c>
      <c r="S5793" s="22"/>
      <c r="T5793" s="21" t="str">
        <f>HYPERLINK("https://miland.ru/api/getInfo/image/24a51512-ab28-11ef-a267-00155d82e908")</f>
        <v>https://miland.ru/api/getInfo/image/24a51512-ab28-11ef-a267-00155d82e908</v>
      </c>
      <c r="U5793" s="21"/>
      <c r="V5793" s="21" t="s">
        <v>9009</v>
      </c>
      <c r="W5793" s="21" t="s">
        <v>9010</v>
      </c>
      <c r="X5793" s="21"/>
      <c r="Y5793" s="21" t="s">
        <v>41</v>
      </c>
      <c r="Z5793" s="21"/>
      <c r="AA5793" s="21" t="str">
        <f>HYPERLINK("https://miland.ru/api/getInfo/item/24a51512-ab28-11ef-a267-00155d82e908")</f>
        <v>https://miland.ru/api/getInfo/item/24a51512-ab28-11ef-a267-00155d82e908</v>
      </c>
      <c r="AB5793" s="21" t="s">
        <v>50</v>
      </c>
      <c r="AC5793" s="21" t="s">
        <v>1698</v>
      </c>
      <c r="AD5793" s="21"/>
    </row>
    <row r="5794" spans="2:31" s="1" customFormat="1" ht="96.3" customHeight="1" outlineLevel="4">
      <c r="B5794" s="58">
        <v>4727</v>
      </c>
      <c r="C5794" s="7" t="s">
        <v>20636</v>
      </c>
      <c r="D5794" s="71" t="s">
        <v>20637</v>
      </c>
      <c r="E5794" s="71"/>
      <c r="F5794" s="71"/>
      <c r="G5794" s="71"/>
      <c r="H5794" s="8" t="s">
        <v>20638</v>
      </c>
      <c r="I5794" s="9" t="s">
        <v>36</v>
      </c>
      <c r="J5794" s="8"/>
      <c r="K5794" s="6">
        <v>40</v>
      </c>
      <c r="L5794" s="10">
        <v>13.23</v>
      </c>
      <c r="M5794" s="11"/>
      <c r="N5794" s="8">
        <f t="shared" si="325"/>
        <v>0</v>
      </c>
      <c r="O5794" s="12">
        <f>0.005*M5794</f>
        <v>0</v>
      </c>
      <c r="P5794" s="13">
        <f t="shared" ref="P5794:P5800" si="327">0.00001*M5794</f>
        <v>0</v>
      </c>
      <c r="Q5794" s="17" t="s">
        <v>37</v>
      </c>
      <c r="R5794" s="8" t="s">
        <v>20639</v>
      </c>
      <c r="S5794" s="8"/>
      <c r="T5794" s="7" t="str">
        <f>HYPERLINK("https://miland.ru/api/getInfo/image/f9209f15-f04c-11f0-a28d-00155d82e908")</f>
        <v>https://miland.ru/api/getInfo/image/f9209f15-f04c-11f0-a28d-00155d82e908</v>
      </c>
      <c r="U5794" s="7"/>
      <c r="V5794" s="7" t="s">
        <v>9009</v>
      </c>
      <c r="W5794" s="7" t="s">
        <v>9010</v>
      </c>
      <c r="X5794" s="7"/>
      <c r="Y5794" s="7" t="s">
        <v>41</v>
      </c>
      <c r="Z5794" s="7"/>
      <c r="AA5794" s="7" t="str">
        <f>HYPERLINK("https://miland.ru/api/getInfo/item/f9209f15-f04c-11f0-a28d-00155d82e908")</f>
        <v>https://miland.ru/api/getInfo/item/f9209f15-f04c-11f0-a28d-00155d82e908</v>
      </c>
      <c r="AB5794" s="7" t="s">
        <v>50</v>
      </c>
      <c r="AC5794" s="7"/>
      <c r="AD5794" s="7"/>
      <c r="AE5794" s="54"/>
    </row>
    <row r="5795" spans="2:31" s="1" customFormat="1" ht="96.3" customHeight="1" outlineLevel="4">
      <c r="B5795" s="58">
        <v>4728</v>
      </c>
      <c r="C5795" s="7" t="s">
        <v>20640</v>
      </c>
      <c r="D5795" s="71" t="s">
        <v>20641</v>
      </c>
      <c r="E5795" s="71"/>
      <c r="F5795" s="71"/>
      <c r="G5795" s="71"/>
      <c r="H5795" s="8" t="s">
        <v>20642</v>
      </c>
      <c r="I5795" s="9" t="s">
        <v>36</v>
      </c>
      <c r="J5795" s="8"/>
      <c r="K5795" s="6">
        <v>40</v>
      </c>
      <c r="L5795" s="10">
        <v>13.23</v>
      </c>
      <c r="M5795" s="11"/>
      <c r="N5795" s="8">
        <f t="shared" si="325"/>
        <v>0</v>
      </c>
      <c r="O5795" s="12">
        <f>0.005*M5795</f>
        <v>0</v>
      </c>
      <c r="P5795" s="13">
        <f t="shared" si="327"/>
        <v>0</v>
      </c>
      <c r="Q5795" s="17" t="s">
        <v>37</v>
      </c>
      <c r="R5795" s="8" t="s">
        <v>20643</v>
      </c>
      <c r="S5795" s="8"/>
      <c r="T5795" s="7" t="str">
        <f>HYPERLINK("https://miland.ru/api/getInfo/image/72e585ff-f04c-11f0-a28d-00155d82e908")</f>
        <v>https://miland.ru/api/getInfo/image/72e585ff-f04c-11f0-a28d-00155d82e908</v>
      </c>
      <c r="U5795" s="7"/>
      <c r="V5795" s="7" t="s">
        <v>9009</v>
      </c>
      <c r="W5795" s="7" t="s">
        <v>9010</v>
      </c>
      <c r="X5795" s="7"/>
      <c r="Y5795" s="7" t="s">
        <v>41</v>
      </c>
      <c r="Z5795" s="7"/>
      <c r="AA5795" s="7" t="str">
        <f>HYPERLINK("https://miland.ru/api/getInfo/item/72e585ff-f04c-11f0-a28d-00155d82e908")</f>
        <v>https://miland.ru/api/getInfo/item/72e585ff-f04c-11f0-a28d-00155d82e908</v>
      </c>
      <c r="AB5795" s="7" t="s">
        <v>50</v>
      </c>
      <c r="AC5795" s="7"/>
      <c r="AD5795" s="7"/>
      <c r="AE5795" s="54"/>
    </row>
    <row r="5796" spans="2:31" s="1" customFormat="1" ht="96.3" customHeight="1" outlineLevel="4">
      <c r="B5796" s="58">
        <v>4729</v>
      </c>
      <c r="C5796" s="7" t="s">
        <v>20644</v>
      </c>
      <c r="D5796" s="71" t="s">
        <v>20645</v>
      </c>
      <c r="E5796" s="71"/>
      <c r="F5796" s="71"/>
      <c r="G5796" s="71"/>
      <c r="H5796" s="8" t="s">
        <v>20646</v>
      </c>
      <c r="I5796" s="9" t="s">
        <v>36</v>
      </c>
      <c r="J5796" s="8"/>
      <c r="K5796" s="6">
        <v>40</v>
      </c>
      <c r="L5796" s="10">
        <v>13.23</v>
      </c>
      <c r="M5796" s="11"/>
      <c r="N5796" s="8">
        <f t="shared" si="325"/>
        <v>0</v>
      </c>
      <c r="O5796" s="12">
        <f>0.005*M5796</f>
        <v>0</v>
      </c>
      <c r="P5796" s="13">
        <f t="shared" si="327"/>
        <v>0</v>
      </c>
      <c r="Q5796" s="17" t="s">
        <v>37</v>
      </c>
      <c r="R5796" s="8" t="s">
        <v>20647</v>
      </c>
      <c r="S5796" s="8"/>
      <c r="T5796" s="7" t="str">
        <f>HYPERLINK("https://miland.ru/api/getInfo/image/c522124f-f04c-11f0-a28d-00155d82e908")</f>
        <v>https://miland.ru/api/getInfo/image/c522124f-f04c-11f0-a28d-00155d82e908</v>
      </c>
      <c r="U5796" s="7"/>
      <c r="V5796" s="7" t="s">
        <v>9009</v>
      </c>
      <c r="W5796" s="7" t="s">
        <v>9010</v>
      </c>
      <c r="X5796" s="7"/>
      <c r="Y5796" s="7" t="s">
        <v>41</v>
      </c>
      <c r="Z5796" s="7"/>
      <c r="AA5796" s="7" t="str">
        <f>HYPERLINK("https://miland.ru/api/getInfo/item/c522124f-f04c-11f0-a28d-00155d82e908")</f>
        <v>https://miland.ru/api/getInfo/item/c522124f-f04c-11f0-a28d-00155d82e908</v>
      </c>
      <c r="AB5796" s="7" t="s">
        <v>50</v>
      </c>
      <c r="AC5796" s="7"/>
      <c r="AD5796" s="7"/>
      <c r="AE5796" s="54"/>
    </row>
    <row r="5797" spans="2:31" s="1" customFormat="1" ht="96.3" customHeight="1" outlineLevel="4">
      <c r="B5797" s="58">
        <v>4730</v>
      </c>
      <c r="C5797" s="7" t="s">
        <v>20648</v>
      </c>
      <c r="D5797" s="71" t="s">
        <v>20649</v>
      </c>
      <c r="E5797" s="71"/>
      <c r="F5797" s="71"/>
      <c r="G5797" s="71"/>
      <c r="H5797" s="8" t="s">
        <v>20650</v>
      </c>
      <c r="I5797" s="9" t="s">
        <v>36</v>
      </c>
      <c r="J5797" s="8"/>
      <c r="K5797" s="6">
        <v>40</v>
      </c>
      <c r="L5797" s="10">
        <v>13.23</v>
      </c>
      <c r="M5797" s="11"/>
      <c r="N5797" s="8">
        <f t="shared" si="325"/>
        <v>0</v>
      </c>
      <c r="O5797" s="12">
        <f>0.005*M5797</f>
        <v>0</v>
      </c>
      <c r="P5797" s="13">
        <f t="shared" si="327"/>
        <v>0</v>
      </c>
      <c r="Q5797" s="17" t="s">
        <v>37</v>
      </c>
      <c r="R5797" s="8" t="s">
        <v>20651</v>
      </c>
      <c r="S5797" s="8"/>
      <c r="T5797" s="7" t="str">
        <f>HYPERLINK("https://miland.ru/api/getInfo/image/641d0aae-f04d-11f0-a28d-00155d82e908")</f>
        <v>https://miland.ru/api/getInfo/image/641d0aae-f04d-11f0-a28d-00155d82e908</v>
      </c>
      <c r="U5797" s="7"/>
      <c r="V5797" s="7" t="s">
        <v>9009</v>
      </c>
      <c r="W5797" s="7" t="s">
        <v>9010</v>
      </c>
      <c r="X5797" s="7"/>
      <c r="Y5797" s="7" t="s">
        <v>41</v>
      </c>
      <c r="Z5797" s="7"/>
      <c r="AA5797" s="7" t="str">
        <f>HYPERLINK("https://miland.ru/api/getInfo/item/641d0aae-f04d-11f0-a28d-00155d82e908")</f>
        <v>https://miland.ru/api/getInfo/item/641d0aae-f04d-11f0-a28d-00155d82e908</v>
      </c>
      <c r="AB5797" s="7" t="s">
        <v>50</v>
      </c>
      <c r="AC5797" s="7"/>
      <c r="AD5797" s="7"/>
      <c r="AE5797" s="54"/>
    </row>
    <row r="5798" spans="2:31" s="1" customFormat="1" ht="96.3" customHeight="1" outlineLevel="4">
      <c r="B5798" s="58">
        <v>4731</v>
      </c>
      <c r="C5798" s="7" t="s">
        <v>20652</v>
      </c>
      <c r="D5798" s="71" t="s">
        <v>20653</v>
      </c>
      <c r="E5798" s="71"/>
      <c r="F5798" s="71"/>
      <c r="G5798" s="71"/>
      <c r="H5798" s="8" t="s">
        <v>20654</v>
      </c>
      <c r="I5798" s="9" t="s">
        <v>36</v>
      </c>
      <c r="J5798" s="8"/>
      <c r="K5798" s="6">
        <v>40</v>
      </c>
      <c r="L5798" s="10">
        <v>13.23</v>
      </c>
      <c r="M5798" s="11"/>
      <c r="N5798" s="8">
        <f t="shared" si="325"/>
        <v>0</v>
      </c>
      <c r="O5798" s="12">
        <f>0.006*M5798</f>
        <v>0</v>
      </c>
      <c r="P5798" s="13">
        <f t="shared" si="327"/>
        <v>0</v>
      </c>
      <c r="Q5798" s="17" t="s">
        <v>37</v>
      </c>
      <c r="R5798" s="8" t="s">
        <v>20655</v>
      </c>
      <c r="S5798" s="8"/>
      <c r="T5798" s="7" t="str">
        <f>HYPERLINK("https://miland.ru/api/getInfo/image/1db5c27a-f04d-11f0-a28d-00155d82e908")</f>
        <v>https://miland.ru/api/getInfo/image/1db5c27a-f04d-11f0-a28d-00155d82e908</v>
      </c>
      <c r="U5798" s="7"/>
      <c r="V5798" s="7" t="s">
        <v>9009</v>
      </c>
      <c r="W5798" s="7" t="s">
        <v>9010</v>
      </c>
      <c r="X5798" s="7"/>
      <c r="Y5798" s="7" t="s">
        <v>41</v>
      </c>
      <c r="Z5798" s="7"/>
      <c r="AA5798" s="7" t="str">
        <f>HYPERLINK("https://miland.ru/api/getInfo/item/1db5c27a-f04d-11f0-a28d-00155d82e908")</f>
        <v>https://miland.ru/api/getInfo/item/1db5c27a-f04d-11f0-a28d-00155d82e908</v>
      </c>
      <c r="AB5798" s="7" t="s">
        <v>50</v>
      </c>
      <c r="AC5798" s="7"/>
      <c r="AD5798" s="7"/>
      <c r="AE5798" s="54"/>
    </row>
    <row r="5799" spans="2:31" s="1" customFormat="1" ht="96.3" customHeight="1" outlineLevel="4">
      <c r="B5799" s="58">
        <v>4732</v>
      </c>
      <c r="C5799" s="7" t="s">
        <v>20656</v>
      </c>
      <c r="D5799" s="71" t="s">
        <v>20657</v>
      </c>
      <c r="E5799" s="71"/>
      <c r="F5799" s="71"/>
      <c r="G5799" s="71"/>
      <c r="H5799" s="8" t="s">
        <v>20658</v>
      </c>
      <c r="I5799" s="9" t="s">
        <v>36</v>
      </c>
      <c r="J5799" s="8"/>
      <c r="K5799" s="6">
        <v>40</v>
      </c>
      <c r="L5799" s="10">
        <v>13.23</v>
      </c>
      <c r="M5799" s="11"/>
      <c r="N5799" s="8">
        <f t="shared" si="325"/>
        <v>0</v>
      </c>
      <c r="O5799" s="12">
        <f>0.005*M5799</f>
        <v>0</v>
      </c>
      <c r="P5799" s="13">
        <f t="shared" si="327"/>
        <v>0</v>
      </c>
      <c r="Q5799" s="17" t="s">
        <v>37</v>
      </c>
      <c r="R5799" s="8" t="s">
        <v>20659</v>
      </c>
      <c r="S5799" s="8"/>
      <c r="T5799" s="7" t="str">
        <f>HYPERLINK("https://miland.ru/api/getInfo/image/3d706c4e-f04d-11f0-a28d-00155d82e908")</f>
        <v>https://miland.ru/api/getInfo/image/3d706c4e-f04d-11f0-a28d-00155d82e908</v>
      </c>
      <c r="U5799" s="7"/>
      <c r="V5799" s="7" t="s">
        <v>9009</v>
      </c>
      <c r="W5799" s="7" t="s">
        <v>9010</v>
      </c>
      <c r="X5799" s="7"/>
      <c r="Y5799" s="7" t="s">
        <v>41</v>
      </c>
      <c r="Z5799" s="7"/>
      <c r="AA5799" s="7" t="str">
        <f>HYPERLINK("https://miland.ru/api/getInfo/item/3d706c4e-f04d-11f0-a28d-00155d82e908")</f>
        <v>https://miland.ru/api/getInfo/item/3d706c4e-f04d-11f0-a28d-00155d82e908</v>
      </c>
      <c r="AB5799" s="7" t="s">
        <v>50</v>
      </c>
      <c r="AC5799" s="7"/>
      <c r="AD5799" s="7"/>
      <c r="AE5799" s="54"/>
    </row>
    <row r="5800" spans="2:31" s="1" customFormat="1" ht="96.3" customHeight="1" outlineLevel="4">
      <c r="B5800" s="58">
        <v>4733</v>
      </c>
      <c r="C5800" s="7" t="s">
        <v>20660</v>
      </c>
      <c r="D5800" s="71" t="s">
        <v>20661</v>
      </c>
      <c r="E5800" s="71"/>
      <c r="F5800" s="71"/>
      <c r="G5800" s="71"/>
      <c r="H5800" s="8" t="s">
        <v>20662</v>
      </c>
      <c r="I5800" s="9" t="s">
        <v>36</v>
      </c>
      <c r="J5800" s="8"/>
      <c r="K5800" s="6">
        <v>40</v>
      </c>
      <c r="L5800" s="10">
        <v>13.23</v>
      </c>
      <c r="M5800" s="11"/>
      <c r="N5800" s="8">
        <f t="shared" si="325"/>
        <v>0</v>
      </c>
      <c r="O5800" s="12">
        <f>0.006*M5800</f>
        <v>0</v>
      </c>
      <c r="P5800" s="13">
        <f t="shared" si="327"/>
        <v>0</v>
      </c>
      <c r="Q5800" s="17" t="s">
        <v>37</v>
      </c>
      <c r="R5800" s="8" t="s">
        <v>20663</v>
      </c>
      <c r="S5800" s="8"/>
      <c r="T5800" s="7" t="str">
        <f>HYPERLINK("https://miland.ru/api/getInfo/image/a961469f-f04c-11f0-a28d-00155d82e908")</f>
        <v>https://miland.ru/api/getInfo/image/a961469f-f04c-11f0-a28d-00155d82e908</v>
      </c>
      <c r="U5800" s="7"/>
      <c r="V5800" s="7" t="s">
        <v>9009</v>
      </c>
      <c r="W5800" s="7" t="s">
        <v>9010</v>
      </c>
      <c r="X5800" s="7"/>
      <c r="Y5800" s="7" t="s">
        <v>41</v>
      </c>
      <c r="Z5800" s="7"/>
      <c r="AA5800" s="7" t="str">
        <f>HYPERLINK("https://miland.ru/api/getInfo/item/a961469f-f04c-11f0-a28d-00155d82e908")</f>
        <v>https://miland.ru/api/getInfo/item/a961469f-f04c-11f0-a28d-00155d82e908</v>
      </c>
      <c r="AB5800" s="7" t="s">
        <v>50</v>
      </c>
      <c r="AC5800" s="7"/>
      <c r="AD5800" s="7"/>
      <c r="AE5800" s="54"/>
    </row>
    <row r="5801" spans="2:31" s="1" customFormat="1" ht="96.3" customHeight="1" outlineLevel="4">
      <c r="B5801" s="58">
        <v>4734</v>
      </c>
      <c r="C5801" s="7" t="s">
        <v>20664</v>
      </c>
      <c r="D5801" s="71" t="s">
        <v>20665</v>
      </c>
      <c r="E5801" s="71"/>
      <c r="F5801" s="71"/>
      <c r="G5801" s="71"/>
      <c r="H5801" s="8" t="s">
        <v>20666</v>
      </c>
      <c r="I5801" s="9" t="s">
        <v>36</v>
      </c>
      <c r="J5801" s="8"/>
      <c r="K5801" s="6">
        <v>40</v>
      </c>
      <c r="L5801" s="10">
        <v>13.23</v>
      </c>
      <c r="M5801" s="11"/>
      <c r="N5801" s="8">
        <f t="shared" si="325"/>
        <v>0</v>
      </c>
      <c r="O5801" s="12">
        <f>0.006*M5801</f>
        <v>0</v>
      </c>
      <c r="P5801" s="13">
        <f>0.00002*M5801</f>
        <v>0</v>
      </c>
      <c r="Q5801" s="17" t="s">
        <v>37</v>
      </c>
      <c r="R5801" s="8" t="s">
        <v>20667</v>
      </c>
      <c r="S5801" s="8"/>
      <c r="T5801" s="7" t="str">
        <f>HYPERLINK("https://miland.ru/api/getInfo/image/df7bfb51-f04c-11f0-a28d-00155d82e908")</f>
        <v>https://miland.ru/api/getInfo/image/df7bfb51-f04c-11f0-a28d-00155d82e908</v>
      </c>
      <c r="U5801" s="7"/>
      <c r="V5801" s="7" t="s">
        <v>9009</v>
      </c>
      <c r="W5801" s="7" t="s">
        <v>9010</v>
      </c>
      <c r="X5801" s="7"/>
      <c r="Y5801" s="7" t="s">
        <v>41</v>
      </c>
      <c r="Z5801" s="7"/>
      <c r="AA5801" s="7" t="str">
        <f>HYPERLINK("https://miland.ru/api/getInfo/item/df7bfb51-f04c-11f0-a28d-00155d82e908")</f>
        <v>https://miland.ru/api/getInfo/item/df7bfb51-f04c-11f0-a28d-00155d82e908</v>
      </c>
      <c r="AB5801" s="7" t="s">
        <v>50</v>
      </c>
      <c r="AC5801" s="7"/>
      <c r="AD5801" s="7"/>
      <c r="AE5801" s="54"/>
    </row>
    <row r="5802" spans="2:31" s="1" customFormat="1" ht="96.3" customHeight="1" outlineLevel="4">
      <c r="B5802" s="58">
        <v>4735</v>
      </c>
      <c r="C5802" s="7" t="s">
        <v>20668</v>
      </c>
      <c r="D5802" s="71" t="s">
        <v>20669</v>
      </c>
      <c r="E5802" s="71"/>
      <c r="F5802" s="71"/>
      <c r="G5802" s="71"/>
      <c r="H5802" s="8" t="s">
        <v>20670</v>
      </c>
      <c r="I5802" s="9" t="s">
        <v>36</v>
      </c>
      <c r="J5802" s="8"/>
      <c r="K5802" s="6">
        <v>40</v>
      </c>
      <c r="L5802" s="10">
        <v>13.23</v>
      </c>
      <c r="M5802" s="11"/>
      <c r="N5802" s="8">
        <f t="shared" si="325"/>
        <v>0</v>
      </c>
      <c r="O5802" s="12">
        <f>0.005*M5802</f>
        <v>0</v>
      </c>
      <c r="P5802" s="13">
        <f>0.00001*M5802</f>
        <v>0</v>
      </c>
      <c r="Q5802" s="17" t="s">
        <v>37</v>
      </c>
      <c r="R5802" s="8" t="s">
        <v>20671</v>
      </c>
      <c r="S5802" s="8"/>
      <c r="T5802" s="7" t="str">
        <f>HYPERLINK("https://miland.ru/api/getInfo/image/889d5de7-f04c-11f0-a28d-00155d82e908")</f>
        <v>https://miland.ru/api/getInfo/image/889d5de7-f04c-11f0-a28d-00155d82e908</v>
      </c>
      <c r="U5802" s="7"/>
      <c r="V5802" s="7" t="s">
        <v>9009</v>
      </c>
      <c r="W5802" s="7" t="s">
        <v>9010</v>
      </c>
      <c r="X5802" s="7"/>
      <c r="Y5802" s="7" t="s">
        <v>41</v>
      </c>
      <c r="Z5802" s="7"/>
      <c r="AA5802" s="7" t="str">
        <f>HYPERLINK("https://miland.ru/api/getInfo/item/889d5de7-f04c-11f0-a28d-00155d82e908")</f>
        <v>https://miland.ru/api/getInfo/item/889d5de7-f04c-11f0-a28d-00155d82e908</v>
      </c>
      <c r="AB5802" s="7" t="s">
        <v>50</v>
      </c>
      <c r="AC5802" s="7"/>
      <c r="AD5802" s="7"/>
      <c r="AE5802" s="54"/>
    </row>
    <row r="5803" spans="2:31" ht="12" customHeight="1" outlineLevel="3">
      <c r="B5803" s="70" t="s">
        <v>20672</v>
      </c>
      <c r="C5803" s="70"/>
      <c r="D5803" s="70"/>
      <c r="E5803" s="70"/>
      <c r="F5803" s="70"/>
      <c r="G5803" s="70"/>
    </row>
    <row r="5804" spans="2:31" s="1" customFormat="1" ht="96.3" customHeight="1" outlineLevel="4">
      <c r="B5804" s="58">
        <v>4736</v>
      </c>
      <c r="C5804" s="7" t="s">
        <v>20673</v>
      </c>
      <c r="D5804" s="71" t="s">
        <v>20674</v>
      </c>
      <c r="E5804" s="71"/>
      <c r="F5804" s="71"/>
      <c r="G5804" s="71"/>
      <c r="H5804" s="8" t="s">
        <v>20675</v>
      </c>
      <c r="I5804" s="9" t="s">
        <v>36</v>
      </c>
      <c r="J5804" s="8"/>
      <c r="K5804" s="6">
        <v>40</v>
      </c>
      <c r="L5804" s="10">
        <v>13.39</v>
      </c>
      <c r="M5804" s="11"/>
      <c r="N5804" s="8">
        <f t="shared" ref="N5804:N5811" si="328">L5804*M5804</f>
        <v>0</v>
      </c>
      <c r="O5804" s="12">
        <f>0.008*M5804</f>
        <v>0</v>
      </c>
      <c r="P5804" s="13">
        <f t="shared" ref="P5804:P5811" si="329">0.00001*M5804</f>
        <v>0</v>
      </c>
      <c r="Q5804" s="17" t="s">
        <v>37</v>
      </c>
      <c r="R5804" s="8" t="s">
        <v>20676</v>
      </c>
      <c r="S5804" s="8"/>
      <c r="T5804" s="7" t="str">
        <f>HYPERLINK("https://miland.ru/api/getInfo/image/8b6cf53c-f053-11f0-a28d-00155d82e908")</f>
        <v>https://miland.ru/api/getInfo/image/8b6cf53c-f053-11f0-a28d-00155d82e908</v>
      </c>
      <c r="U5804" s="7"/>
      <c r="V5804" s="7" t="s">
        <v>9009</v>
      </c>
      <c r="W5804" s="7" t="s">
        <v>9010</v>
      </c>
      <c r="X5804" s="7"/>
      <c r="Y5804" s="7" t="s">
        <v>41</v>
      </c>
      <c r="Z5804" s="7"/>
      <c r="AA5804" s="7" t="str">
        <f>HYPERLINK("https://miland.ru/api/getInfo/item/8b6cf53c-f053-11f0-a28d-00155d82e908")</f>
        <v>https://miland.ru/api/getInfo/item/8b6cf53c-f053-11f0-a28d-00155d82e908</v>
      </c>
      <c r="AB5804" s="7" t="s">
        <v>50</v>
      </c>
      <c r="AC5804" s="7"/>
      <c r="AD5804" s="7"/>
      <c r="AE5804" s="54"/>
    </row>
    <row r="5805" spans="2:31" s="1" customFormat="1" ht="96.3" customHeight="1" outlineLevel="4">
      <c r="B5805" s="58">
        <v>4737</v>
      </c>
      <c r="C5805" s="7" t="s">
        <v>20677</v>
      </c>
      <c r="D5805" s="71" t="s">
        <v>20678</v>
      </c>
      <c r="E5805" s="71"/>
      <c r="F5805" s="71"/>
      <c r="G5805" s="71"/>
      <c r="H5805" s="8" t="s">
        <v>20679</v>
      </c>
      <c r="I5805" s="9" t="s">
        <v>36</v>
      </c>
      <c r="J5805" s="8"/>
      <c r="K5805" s="6">
        <v>40</v>
      </c>
      <c r="L5805" s="10">
        <v>13.39</v>
      </c>
      <c r="M5805" s="11"/>
      <c r="N5805" s="8">
        <f t="shared" si="328"/>
        <v>0</v>
      </c>
      <c r="O5805" s="12">
        <f>0.009*M5805</f>
        <v>0</v>
      </c>
      <c r="P5805" s="13">
        <f t="shared" si="329"/>
        <v>0</v>
      </c>
      <c r="Q5805" s="17" t="s">
        <v>37</v>
      </c>
      <c r="R5805" s="8" t="s">
        <v>20680</v>
      </c>
      <c r="S5805" s="8"/>
      <c r="T5805" s="7" t="str">
        <f>HYPERLINK("https://miland.ru/api/getInfo/image/6ceba99e-f053-11f0-a28d-00155d82e908")</f>
        <v>https://miland.ru/api/getInfo/image/6ceba99e-f053-11f0-a28d-00155d82e908</v>
      </c>
      <c r="U5805" s="7"/>
      <c r="V5805" s="7" t="s">
        <v>9009</v>
      </c>
      <c r="W5805" s="7" t="s">
        <v>9010</v>
      </c>
      <c r="X5805" s="7"/>
      <c r="Y5805" s="7" t="s">
        <v>41</v>
      </c>
      <c r="Z5805" s="7"/>
      <c r="AA5805" s="7" t="str">
        <f>HYPERLINK("https://miland.ru/api/getInfo/item/6ceba99e-f053-11f0-a28d-00155d82e908")</f>
        <v>https://miland.ru/api/getInfo/item/6ceba99e-f053-11f0-a28d-00155d82e908</v>
      </c>
      <c r="AB5805" s="7" t="s">
        <v>50</v>
      </c>
      <c r="AC5805" s="7"/>
      <c r="AD5805" s="7"/>
      <c r="AE5805" s="54"/>
    </row>
    <row r="5806" spans="2:31" s="1" customFormat="1" ht="96.3" customHeight="1" outlineLevel="4">
      <c r="B5806" s="58">
        <v>4738</v>
      </c>
      <c r="C5806" s="7" t="s">
        <v>20681</v>
      </c>
      <c r="D5806" s="71" t="s">
        <v>20682</v>
      </c>
      <c r="E5806" s="71"/>
      <c r="F5806" s="71"/>
      <c r="G5806" s="71"/>
      <c r="H5806" s="8" t="s">
        <v>20683</v>
      </c>
      <c r="I5806" s="9" t="s">
        <v>36</v>
      </c>
      <c r="J5806" s="8"/>
      <c r="K5806" s="6">
        <v>40</v>
      </c>
      <c r="L5806" s="10">
        <v>13.39</v>
      </c>
      <c r="M5806" s="11"/>
      <c r="N5806" s="8">
        <f t="shared" si="328"/>
        <v>0</v>
      </c>
      <c r="O5806" s="12">
        <f t="shared" ref="O5806:O5811" si="330">0.008*M5806</f>
        <v>0</v>
      </c>
      <c r="P5806" s="13">
        <f t="shared" si="329"/>
        <v>0</v>
      </c>
      <c r="Q5806" s="17" t="s">
        <v>37</v>
      </c>
      <c r="R5806" s="8" t="s">
        <v>20684</v>
      </c>
      <c r="S5806" s="8"/>
      <c r="T5806" s="7" t="str">
        <f>HYPERLINK("https://miland.ru/api/getInfo/image/529bd29d-f053-11f0-a28d-00155d82e908")</f>
        <v>https://miland.ru/api/getInfo/image/529bd29d-f053-11f0-a28d-00155d82e908</v>
      </c>
      <c r="U5806" s="7"/>
      <c r="V5806" s="7" t="s">
        <v>9009</v>
      </c>
      <c r="W5806" s="7" t="s">
        <v>9010</v>
      </c>
      <c r="X5806" s="7"/>
      <c r="Y5806" s="7" t="s">
        <v>41</v>
      </c>
      <c r="Z5806" s="7"/>
      <c r="AA5806" s="7" t="str">
        <f>HYPERLINK("https://miland.ru/api/getInfo/item/529bd29d-f053-11f0-a28d-00155d82e908")</f>
        <v>https://miland.ru/api/getInfo/item/529bd29d-f053-11f0-a28d-00155d82e908</v>
      </c>
      <c r="AB5806" s="7" t="s">
        <v>50</v>
      </c>
      <c r="AC5806" s="7"/>
      <c r="AD5806" s="7"/>
      <c r="AE5806" s="54"/>
    </row>
    <row r="5807" spans="2:31" s="1" customFormat="1" ht="96.3" customHeight="1" outlineLevel="4">
      <c r="B5807" s="58">
        <v>4739</v>
      </c>
      <c r="C5807" s="7" t="s">
        <v>20685</v>
      </c>
      <c r="D5807" s="71" t="s">
        <v>20686</v>
      </c>
      <c r="E5807" s="71"/>
      <c r="F5807" s="71"/>
      <c r="G5807" s="71"/>
      <c r="H5807" s="8" t="s">
        <v>20687</v>
      </c>
      <c r="I5807" s="9" t="s">
        <v>36</v>
      </c>
      <c r="J5807" s="8"/>
      <c r="K5807" s="6">
        <v>40</v>
      </c>
      <c r="L5807" s="10">
        <v>13.39</v>
      </c>
      <c r="M5807" s="11"/>
      <c r="N5807" s="8">
        <f t="shared" si="328"/>
        <v>0</v>
      </c>
      <c r="O5807" s="12">
        <f t="shared" si="330"/>
        <v>0</v>
      </c>
      <c r="P5807" s="13">
        <f t="shared" si="329"/>
        <v>0</v>
      </c>
      <c r="Q5807" s="17" t="s">
        <v>37</v>
      </c>
      <c r="R5807" s="8" t="s">
        <v>20688</v>
      </c>
      <c r="S5807" s="8"/>
      <c r="T5807" s="7" t="str">
        <f>HYPERLINK("https://miland.ru/api/getInfo/image/1dbb9909-f053-11f0-a28d-00155d82e908")</f>
        <v>https://miland.ru/api/getInfo/image/1dbb9909-f053-11f0-a28d-00155d82e908</v>
      </c>
      <c r="U5807" s="7"/>
      <c r="V5807" s="7" t="s">
        <v>9009</v>
      </c>
      <c r="W5807" s="7" t="s">
        <v>9010</v>
      </c>
      <c r="X5807" s="7"/>
      <c r="Y5807" s="7" t="s">
        <v>41</v>
      </c>
      <c r="Z5807" s="7"/>
      <c r="AA5807" s="7" t="str">
        <f>HYPERLINK("https://miland.ru/api/getInfo/item/1dbb9909-f053-11f0-a28d-00155d82e908")</f>
        <v>https://miland.ru/api/getInfo/item/1dbb9909-f053-11f0-a28d-00155d82e908</v>
      </c>
      <c r="AB5807" s="7" t="s">
        <v>50</v>
      </c>
      <c r="AC5807" s="7"/>
      <c r="AD5807" s="7"/>
      <c r="AE5807" s="54"/>
    </row>
    <row r="5808" spans="2:31" s="1" customFormat="1" ht="96.3" customHeight="1" outlineLevel="4">
      <c r="B5808" s="58">
        <v>4740</v>
      </c>
      <c r="C5808" s="7" t="s">
        <v>20689</v>
      </c>
      <c r="D5808" s="71" t="s">
        <v>20690</v>
      </c>
      <c r="E5808" s="71"/>
      <c r="F5808" s="71"/>
      <c r="G5808" s="71"/>
      <c r="H5808" s="8" t="s">
        <v>20691</v>
      </c>
      <c r="I5808" s="9" t="s">
        <v>36</v>
      </c>
      <c r="J5808" s="8"/>
      <c r="K5808" s="6">
        <v>40</v>
      </c>
      <c r="L5808" s="10">
        <v>13.39</v>
      </c>
      <c r="M5808" s="11"/>
      <c r="N5808" s="8">
        <f t="shared" si="328"/>
        <v>0</v>
      </c>
      <c r="O5808" s="12">
        <f t="shared" si="330"/>
        <v>0</v>
      </c>
      <c r="P5808" s="13">
        <f t="shared" si="329"/>
        <v>0</v>
      </c>
      <c r="Q5808" s="17" t="s">
        <v>37</v>
      </c>
      <c r="R5808" s="8" t="s">
        <v>20692</v>
      </c>
      <c r="S5808" s="8"/>
      <c r="T5808" s="7" t="str">
        <f>HYPERLINK("https://miland.ru/api/getInfo/image/38419b73-f053-11f0-a28d-00155d82e908")</f>
        <v>https://miland.ru/api/getInfo/image/38419b73-f053-11f0-a28d-00155d82e908</v>
      </c>
      <c r="U5808" s="7"/>
      <c r="V5808" s="7" t="s">
        <v>9009</v>
      </c>
      <c r="W5808" s="7" t="s">
        <v>9010</v>
      </c>
      <c r="X5808" s="7"/>
      <c r="Y5808" s="7" t="s">
        <v>41</v>
      </c>
      <c r="Z5808" s="7"/>
      <c r="AA5808" s="7" t="str">
        <f>HYPERLINK("https://miland.ru/api/getInfo/item/38419b73-f053-11f0-a28d-00155d82e908")</f>
        <v>https://miland.ru/api/getInfo/item/38419b73-f053-11f0-a28d-00155d82e908</v>
      </c>
      <c r="AB5808" s="7" t="s">
        <v>50</v>
      </c>
      <c r="AC5808" s="7"/>
      <c r="AD5808" s="7"/>
      <c r="AE5808" s="54"/>
    </row>
    <row r="5809" spans="2:31" s="1" customFormat="1" ht="96.3" customHeight="1" outlineLevel="4">
      <c r="B5809" s="57">
        <v>4741</v>
      </c>
      <c r="C5809" s="21" t="s">
        <v>20693</v>
      </c>
      <c r="D5809" s="72" t="s">
        <v>20694</v>
      </c>
      <c r="E5809" s="72"/>
      <c r="F5809" s="72"/>
      <c r="G5809" s="72"/>
      <c r="H5809" s="22" t="s">
        <v>20695</v>
      </c>
      <c r="I5809" s="23" t="s">
        <v>36</v>
      </c>
      <c r="J5809" s="22"/>
      <c r="K5809" s="20">
        <v>40</v>
      </c>
      <c r="L5809" s="24">
        <v>13.39</v>
      </c>
      <c r="M5809" s="11"/>
      <c r="N5809" s="22">
        <f t="shared" si="328"/>
        <v>0</v>
      </c>
      <c r="O5809" s="25">
        <f t="shared" si="330"/>
        <v>0</v>
      </c>
      <c r="P5809" s="26">
        <f t="shared" si="329"/>
        <v>0</v>
      </c>
      <c r="Q5809" s="30"/>
      <c r="R5809" s="22" t="s">
        <v>20696</v>
      </c>
      <c r="S5809" s="22"/>
      <c r="T5809" s="21" t="str">
        <f>HYPERLINK("https://miland.ru/api/getInfo/image/95d29c97-dd75-11ef-a273-00155d82e908")</f>
        <v>https://miland.ru/api/getInfo/image/95d29c97-dd75-11ef-a273-00155d82e908</v>
      </c>
      <c r="U5809" s="21"/>
      <c r="V5809" s="21" t="s">
        <v>9009</v>
      </c>
      <c r="W5809" s="21" t="s">
        <v>9010</v>
      </c>
      <c r="X5809" s="21"/>
      <c r="Y5809" s="21" t="s">
        <v>41</v>
      </c>
      <c r="Z5809" s="21"/>
      <c r="AA5809" s="21" t="str">
        <f>HYPERLINK("https://miland.ru/api/getInfo/item/95d29c97-dd75-11ef-a273-00155d82e908")</f>
        <v>https://miland.ru/api/getInfo/item/95d29c97-dd75-11ef-a273-00155d82e908</v>
      </c>
      <c r="AB5809" s="21" t="s">
        <v>50</v>
      </c>
      <c r="AC5809" s="21" t="s">
        <v>1698</v>
      </c>
      <c r="AD5809" s="21"/>
    </row>
    <row r="5810" spans="2:31" s="1" customFormat="1" ht="96.3" customHeight="1" outlineLevel="4">
      <c r="B5810" s="57">
        <v>4742</v>
      </c>
      <c r="C5810" s="21" t="s">
        <v>20697</v>
      </c>
      <c r="D5810" s="72" t="s">
        <v>20698</v>
      </c>
      <c r="E5810" s="72"/>
      <c r="F5810" s="72"/>
      <c r="G5810" s="72"/>
      <c r="H5810" s="22" t="s">
        <v>20699</v>
      </c>
      <c r="I5810" s="23" t="s">
        <v>36</v>
      </c>
      <c r="J5810" s="22"/>
      <c r="K5810" s="20">
        <v>40</v>
      </c>
      <c r="L5810" s="24">
        <v>13.39</v>
      </c>
      <c r="M5810" s="11"/>
      <c r="N5810" s="22">
        <f t="shared" si="328"/>
        <v>0</v>
      </c>
      <c r="O5810" s="25">
        <f t="shared" si="330"/>
        <v>0</v>
      </c>
      <c r="P5810" s="26">
        <f t="shared" si="329"/>
        <v>0</v>
      </c>
      <c r="Q5810" s="30"/>
      <c r="R5810" s="22" t="s">
        <v>20700</v>
      </c>
      <c r="S5810" s="22"/>
      <c r="T5810" s="21" t="str">
        <f>HYPERLINK("https://miland.ru/api/getInfo/image/2452f046-dd75-11ef-a273-00155d82e908")</f>
        <v>https://miland.ru/api/getInfo/image/2452f046-dd75-11ef-a273-00155d82e908</v>
      </c>
      <c r="U5810" s="21"/>
      <c r="V5810" s="21" t="s">
        <v>9009</v>
      </c>
      <c r="W5810" s="21" t="s">
        <v>9010</v>
      </c>
      <c r="X5810" s="21"/>
      <c r="Y5810" s="21" t="s">
        <v>41</v>
      </c>
      <c r="Z5810" s="21"/>
      <c r="AA5810" s="21" t="str">
        <f>HYPERLINK("https://miland.ru/api/getInfo/item/2452f046-dd75-11ef-a273-00155d82e908")</f>
        <v>https://miland.ru/api/getInfo/item/2452f046-dd75-11ef-a273-00155d82e908</v>
      </c>
      <c r="AB5810" s="21" t="s">
        <v>50</v>
      </c>
      <c r="AC5810" s="21" t="s">
        <v>1698</v>
      </c>
      <c r="AD5810" s="21"/>
    </row>
    <row r="5811" spans="2:31" s="1" customFormat="1" ht="96.3" customHeight="1" outlineLevel="4">
      <c r="B5811" s="57">
        <v>4743</v>
      </c>
      <c r="C5811" s="21" t="s">
        <v>20701</v>
      </c>
      <c r="D5811" s="72" t="s">
        <v>20702</v>
      </c>
      <c r="E5811" s="72"/>
      <c r="F5811" s="72"/>
      <c r="G5811" s="72"/>
      <c r="H5811" s="22" t="s">
        <v>20703</v>
      </c>
      <c r="I5811" s="23" t="s">
        <v>36</v>
      </c>
      <c r="J5811" s="22"/>
      <c r="K5811" s="20">
        <v>40</v>
      </c>
      <c r="L5811" s="24">
        <v>13.39</v>
      </c>
      <c r="M5811" s="11"/>
      <c r="N5811" s="22">
        <f t="shared" si="328"/>
        <v>0</v>
      </c>
      <c r="O5811" s="25">
        <f t="shared" si="330"/>
        <v>0</v>
      </c>
      <c r="P5811" s="26">
        <f t="shared" si="329"/>
        <v>0</v>
      </c>
      <c r="Q5811" s="30"/>
      <c r="R5811" s="22" t="s">
        <v>20704</v>
      </c>
      <c r="S5811" s="22"/>
      <c r="T5811" s="21" t="str">
        <f>HYPERLINK("https://miland.ru/api/getInfo/image/5aa4f99b-dd75-11ef-a273-00155d82e908")</f>
        <v>https://miland.ru/api/getInfo/image/5aa4f99b-dd75-11ef-a273-00155d82e908</v>
      </c>
      <c r="U5811" s="21"/>
      <c r="V5811" s="21" t="s">
        <v>9009</v>
      </c>
      <c r="W5811" s="21" t="s">
        <v>9010</v>
      </c>
      <c r="X5811" s="21"/>
      <c r="Y5811" s="21" t="s">
        <v>41</v>
      </c>
      <c r="Z5811" s="21"/>
      <c r="AA5811" s="21" t="str">
        <f>HYPERLINK("https://miland.ru/api/getInfo/item/5aa4f99b-dd75-11ef-a273-00155d82e908")</f>
        <v>https://miland.ru/api/getInfo/item/5aa4f99b-dd75-11ef-a273-00155d82e908</v>
      </c>
      <c r="AB5811" s="21" t="s">
        <v>50</v>
      </c>
      <c r="AC5811" s="21" t="s">
        <v>1698</v>
      </c>
      <c r="AD5811" s="21"/>
    </row>
    <row r="5812" spans="2:31" ht="12" customHeight="1" outlineLevel="3">
      <c r="B5812" s="70" t="s">
        <v>20705</v>
      </c>
      <c r="C5812" s="70"/>
      <c r="D5812" s="70"/>
      <c r="E5812" s="70"/>
      <c r="F5812" s="70"/>
      <c r="G5812" s="70"/>
    </row>
    <row r="5813" spans="2:31" s="1" customFormat="1" ht="96.3" customHeight="1" outlineLevel="4">
      <c r="B5813" s="58">
        <v>4744</v>
      </c>
      <c r="C5813" s="7" t="s">
        <v>20706</v>
      </c>
      <c r="D5813" s="71" t="s">
        <v>20707</v>
      </c>
      <c r="E5813" s="71"/>
      <c r="F5813" s="71"/>
      <c r="G5813" s="71"/>
      <c r="H5813" s="8" t="s">
        <v>20708</v>
      </c>
      <c r="I5813" s="9" t="s">
        <v>36</v>
      </c>
      <c r="J5813" s="8"/>
      <c r="K5813" s="6">
        <v>30</v>
      </c>
      <c r="L5813" s="10">
        <v>14.08</v>
      </c>
      <c r="M5813" s="11"/>
      <c r="N5813" s="8">
        <f t="shared" ref="N5813:N5830" si="331">L5813*M5813</f>
        <v>0</v>
      </c>
      <c r="O5813" s="12">
        <f>0.012*M5813</f>
        <v>0</v>
      </c>
      <c r="P5813" s="13">
        <f>0.00007*M5813</f>
        <v>0</v>
      </c>
      <c r="Q5813" s="17" t="s">
        <v>37</v>
      </c>
      <c r="R5813" s="8" t="s">
        <v>20709</v>
      </c>
      <c r="S5813" s="8"/>
      <c r="T5813" s="7" t="str">
        <f>HYPERLINK("https://miland.ru/api/getInfo/image/4788bc98-4ac1-11f1-a297-00155d82e908")</f>
        <v>https://miland.ru/api/getInfo/image/4788bc98-4ac1-11f1-a297-00155d82e908</v>
      </c>
      <c r="U5813" s="7"/>
      <c r="V5813" s="7" t="s">
        <v>9009</v>
      </c>
      <c r="W5813" s="7" t="s">
        <v>9010</v>
      </c>
      <c r="X5813" s="7"/>
      <c r="Y5813" s="7" t="s">
        <v>41</v>
      </c>
      <c r="Z5813" s="7"/>
      <c r="AA5813" s="7" t="str">
        <f>HYPERLINK("https://miland.ru/api/getInfo/item/4788bc98-4ac1-11f1-a297-00155d82e908")</f>
        <v>https://miland.ru/api/getInfo/item/4788bc98-4ac1-11f1-a297-00155d82e908</v>
      </c>
      <c r="AB5813" s="7" t="s">
        <v>50</v>
      </c>
      <c r="AC5813" s="7"/>
      <c r="AD5813" s="7"/>
      <c r="AE5813" s="54"/>
    </row>
    <row r="5814" spans="2:31" s="1" customFormat="1" ht="96.3" customHeight="1" outlineLevel="4">
      <c r="B5814" s="57">
        <v>4745</v>
      </c>
      <c r="C5814" s="21" t="s">
        <v>20710</v>
      </c>
      <c r="D5814" s="72" t="s">
        <v>20711</v>
      </c>
      <c r="E5814" s="72"/>
      <c r="F5814" s="72"/>
      <c r="G5814" s="72"/>
      <c r="H5814" s="22" t="s">
        <v>20712</v>
      </c>
      <c r="I5814" s="23" t="s">
        <v>36</v>
      </c>
      <c r="J5814" s="22"/>
      <c r="K5814" s="20">
        <v>40</v>
      </c>
      <c r="L5814" s="24">
        <v>14.08</v>
      </c>
      <c r="M5814" s="11"/>
      <c r="N5814" s="22">
        <f t="shared" si="331"/>
        <v>0</v>
      </c>
      <c r="O5814" s="25">
        <f>0.007*M5814</f>
        <v>0</v>
      </c>
      <c r="P5814" s="26">
        <f>0.00003*M5814</f>
        <v>0</v>
      </c>
      <c r="Q5814" s="30"/>
      <c r="R5814" s="22" t="s">
        <v>20713</v>
      </c>
      <c r="S5814" s="22"/>
      <c r="T5814" s="21" t="str">
        <f>HYPERLINK("https://miland.ru/api/getInfo/image/aef64db8-3581-11f0-a27c-00155d82e908")</f>
        <v>https://miland.ru/api/getInfo/image/aef64db8-3581-11f0-a27c-00155d82e908</v>
      </c>
      <c r="U5814" s="21"/>
      <c r="V5814" s="21" t="s">
        <v>9009</v>
      </c>
      <c r="W5814" s="21" t="s">
        <v>9010</v>
      </c>
      <c r="X5814" s="21"/>
      <c r="Y5814" s="21" t="s">
        <v>41</v>
      </c>
      <c r="Z5814" s="21"/>
      <c r="AA5814" s="21" t="str">
        <f>HYPERLINK("https://miland.ru/api/getInfo/item/aef64db8-3581-11f0-a27c-00155d82e908")</f>
        <v>https://miland.ru/api/getInfo/item/aef64db8-3581-11f0-a27c-00155d82e908</v>
      </c>
      <c r="AB5814" s="21" t="s">
        <v>50</v>
      </c>
      <c r="AC5814" s="21"/>
      <c r="AD5814" s="21"/>
    </row>
    <row r="5815" spans="2:31" s="1" customFormat="1" ht="96.3" customHeight="1" outlineLevel="4">
      <c r="B5815" s="58">
        <v>4746</v>
      </c>
      <c r="C5815" s="7" t="s">
        <v>20714</v>
      </c>
      <c r="D5815" s="71" t="s">
        <v>20715</v>
      </c>
      <c r="E5815" s="71"/>
      <c r="F5815" s="71"/>
      <c r="G5815" s="71"/>
      <c r="H5815" s="8" t="s">
        <v>20716</v>
      </c>
      <c r="I5815" s="9" t="s">
        <v>36</v>
      </c>
      <c r="J5815" s="8"/>
      <c r="K5815" s="6">
        <v>30</v>
      </c>
      <c r="L5815" s="10">
        <v>14.08</v>
      </c>
      <c r="M5815" s="11"/>
      <c r="N5815" s="8">
        <f t="shared" si="331"/>
        <v>0</v>
      </c>
      <c r="O5815" s="12">
        <f>0.012*M5815</f>
        <v>0</v>
      </c>
      <c r="P5815" s="13">
        <f>0.00007*M5815</f>
        <v>0</v>
      </c>
      <c r="Q5815" s="17" t="s">
        <v>37</v>
      </c>
      <c r="R5815" s="8" t="s">
        <v>20717</v>
      </c>
      <c r="S5815" s="8"/>
      <c r="T5815" s="7" t="str">
        <f>HYPERLINK("https://miland.ru/api/getInfo/image/afb992f5-4ac1-11f1-a297-00155d82e908")</f>
        <v>https://miland.ru/api/getInfo/image/afb992f5-4ac1-11f1-a297-00155d82e908</v>
      </c>
      <c r="U5815" s="7"/>
      <c r="V5815" s="7" t="s">
        <v>9009</v>
      </c>
      <c r="W5815" s="7" t="s">
        <v>9010</v>
      </c>
      <c r="X5815" s="7"/>
      <c r="Y5815" s="7" t="s">
        <v>41</v>
      </c>
      <c r="Z5815" s="7"/>
      <c r="AA5815" s="7" t="str">
        <f>HYPERLINK("https://miland.ru/api/getInfo/item/afb992f5-4ac1-11f1-a297-00155d82e908")</f>
        <v>https://miland.ru/api/getInfo/item/afb992f5-4ac1-11f1-a297-00155d82e908</v>
      </c>
      <c r="AB5815" s="7" t="s">
        <v>50</v>
      </c>
      <c r="AC5815" s="7"/>
      <c r="AD5815" s="7"/>
      <c r="AE5815" s="54"/>
    </row>
    <row r="5816" spans="2:31" s="1" customFormat="1" ht="96.3" customHeight="1" outlineLevel="4">
      <c r="B5816" s="58">
        <v>4747</v>
      </c>
      <c r="C5816" s="7" t="s">
        <v>20718</v>
      </c>
      <c r="D5816" s="71" t="s">
        <v>20719</v>
      </c>
      <c r="E5816" s="71"/>
      <c r="F5816" s="71"/>
      <c r="G5816" s="71"/>
      <c r="H5816" s="8" t="s">
        <v>20720</v>
      </c>
      <c r="I5816" s="9" t="s">
        <v>36</v>
      </c>
      <c r="J5816" s="8"/>
      <c r="K5816" s="6">
        <v>30</v>
      </c>
      <c r="L5816" s="10">
        <v>14.08</v>
      </c>
      <c r="M5816" s="11"/>
      <c r="N5816" s="8">
        <f t="shared" si="331"/>
        <v>0</v>
      </c>
      <c r="O5816" s="12">
        <f>0.008*M5816</f>
        <v>0</v>
      </c>
      <c r="P5816" s="13">
        <f>0.00003*M5816</f>
        <v>0</v>
      </c>
      <c r="Q5816" s="17" t="s">
        <v>37</v>
      </c>
      <c r="R5816" s="8" t="s">
        <v>20721</v>
      </c>
      <c r="S5816" s="8"/>
      <c r="T5816" s="7" t="str">
        <f>HYPERLINK("https://miland.ru/api/getInfo/image/c9b6e807-4ac1-11f1-a297-00155d82e908")</f>
        <v>https://miland.ru/api/getInfo/image/c9b6e807-4ac1-11f1-a297-00155d82e908</v>
      </c>
      <c r="U5816" s="7"/>
      <c r="V5816" s="7" t="s">
        <v>9009</v>
      </c>
      <c r="W5816" s="7" t="s">
        <v>9010</v>
      </c>
      <c r="X5816" s="7"/>
      <c r="Y5816" s="7" t="s">
        <v>41</v>
      </c>
      <c r="Z5816" s="7"/>
      <c r="AA5816" s="7" t="str">
        <f>HYPERLINK("https://miland.ru/api/getInfo/item/c9b6e807-4ac1-11f1-a297-00155d82e908")</f>
        <v>https://miland.ru/api/getInfo/item/c9b6e807-4ac1-11f1-a297-00155d82e908</v>
      </c>
      <c r="AB5816" s="7" t="s">
        <v>50</v>
      </c>
      <c r="AC5816" s="7"/>
      <c r="AD5816" s="7"/>
      <c r="AE5816" s="54"/>
    </row>
    <row r="5817" spans="2:31" s="1" customFormat="1" ht="96.3" customHeight="1" outlineLevel="4">
      <c r="B5817" s="58">
        <v>4748</v>
      </c>
      <c r="C5817" s="7" t="s">
        <v>20722</v>
      </c>
      <c r="D5817" s="71" t="s">
        <v>20723</v>
      </c>
      <c r="E5817" s="71"/>
      <c r="F5817" s="71"/>
      <c r="G5817" s="71"/>
      <c r="H5817" s="8" t="s">
        <v>20724</v>
      </c>
      <c r="I5817" s="9" t="s">
        <v>36</v>
      </c>
      <c r="J5817" s="8"/>
      <c r="K5817" s="6">
        <v>30</v>
      </c>
      <c r="L5817" s="10">
        <v>14.08</v>
      </c>
      <c r="M5817" s="11"/>
      <c r="N5817" s="8">
        <f t="shared" si="331"/>
        <v>0</v>
      </c>
      <c r="O5817" s="12">
        <f>0.012*M5817</f>
        <v>0</v>
      </c>
      <c r="P5817" s="13">
        <f>0.00007*M5817</f>
        <v>0</v>
      </c>
      <c r="Q5817" s="17" t="s">
        <v>37</v>
      </c>
      <c r="R5817" s="8" t="s">
        <v>20725</v>
      </c>
      <c r="S5817" s="8"/>
      <c r="T5817" s="7" t="str">
        <f>HYPERLINK("https://miland.ru/api/getInfo/image/6154ee5a-4ac0-11f1-a297-00155d82e908")</f>
        <v>https://miland.ru/api/getInfo/image/6154ee5a-4ac0-11f1-a297-00155d82e908</v>
      </c>
      <c r="U5817" s="7"/>
      <c r="V5817" s="7" t="s">
        <v>9009</v>
      </c>
      <c r="W5817" s="7" t="s">
        <v>9010</v>
      </c>
      <c r="X5817" s="7"/>
      <c r="Y5817" s="7" t="s">
        <v>41</v>
      </c>
      <c r="Z5817" s="7"/>
      <c r="AA5817" s="7" t="str">
        <f>HYPERLINK("https://miland.ru/api/getInfo/item/6154ee5a-4ac0-11f1-a297-00155d82e908")</f>
        <v>https://miland.ru/api/getInfo/item/6154ee5a-4ac0-11f1-a297-00155d82e908</v>
      </c>
      <c r="AB5817" s="7" t="s">
        <v>50</v>
      </c>
      <c r="AC5817" s="7"/>
      <c r="AD5817" s="7"/>
      <c r="AE5817" s="54"/>
    </row>
    <row r="5818" spans="2:31" s="1" customFormat="1" ht="96.3" customHeight="1" outlineLevel="4">
      <c r="B5818" s="58">
        <v>4749</v>
      </c>
      <c r="C5818" s="7" t="s">
        <v>20726</v>
      </c>
      <c r="D5818" s="71" t="s">
        <v>20727</v>
      </c>
      <c r="E5818" s="71"/>
      <c r="F5818" s="71"/>
      <c r="G5818" s="71"/>
      <c r="H5818" s="8" t="s">
        <v>20728</v>
      </c>
      <c r="I5818" s="9" t="s">
        <v>36</v>
      </c>
      <c r="J5818" s="8"/>
      <c r="K5818" s="6">
        <v>30</v>
      </c>
      <c r="L5818" s="10">
        <v>14.08</v>
      </c>
      <c r="M5818" s="11"/>
      <c r="N5818" s="8">
        <f t="shared" si="331"/>
        <v>0</v>
      </c>
      <c r="O5818" s="12">
        <f>0.008*M5818</f>
        <v>0</v>
      </c>
      <c r="P5818" s="13">
        <f>0.00003*M5818</f>
        <v>0</v>
      </c>
      <c r="Q5818" s="17" t="s">
        <v>37</v>
      </c>
      <c r="R5818" s="8" t="s">
        <v>20729</v>
      </c>
      <c r="S5818" s="8"/>
      <c r="T5818" s="7" t="str">
        <f>HYPERLINK("https://miland.ru/api/getInfo/image/19d7bb55-4ac1-11f1-a297-00155d82e908")</f>
        <v>https://miland.ru/api/getInfo/image/19d7bb55-4ac1-11f1-a297-00155d82e908</v>
      </c>
      <c r="U5818" s="7"/>
      <c r="V5818" s="7" t="s">
        <v>9009</v>
      </c>
      <c r="W5818" s="7" t="s">
        <v>9010</v>
      </c>
      <c r="X5818" s="7"/>
      <c r="Y5818" s="7" t="s">
        <v>41</v>
      </c>
      <c r="Z5818" s="7"/>
      <c r="AA5818" s="7" t="str">
        <f>HYPERLINK("https://miland.ru/api/getInfo/item/19d7bb55-4ac1-11f1-a297-00155d82e908")</f>
        <v>https://miland.ru/api/getInfo/item/19d7bb55-4ac1-11f1-a297-00155d82e908</v>
      </c>
      <c r="AB5818" s="7" t="s">
        <v>50</v>
      </c>
      <c r="AC5818" s="7"/>
      <c r="AD5818" s="7"/>
      <c r="AE5818" s="54"/>
    </row>
    <row r="5819" spans="2:31" s="1" customFormat="1" ht="96.3" customHeight="1" outlineLevel="4">
      <c r="B5819" s="58">
        <v>4750</v>
      </c>
      <c r="C5819" s="7" t="s">
        <v>20730</v>
      </c>
      <c r="D5819" s="71" t="s">
        <v>20731</v>
      </c>
      <c r="E5819" s="71"/>
      <c r="F5819" s="71"/>
      <c r="G5819" s="71"/>
      <c r="H5819" s="8" t="s">
        <v>20732</v>
      </c>
      <c r="I5819" s="9" t="s">
        <v>36</v>
      </c>
      <c r="J5819" s="8"/>
      <c r="K5819" s="6">
        <v>30</v>
      </c>
      <c r="L5819" s="10">
        <v>14.08</v>
      </c>
      <c r="M5819" s="11"/>
      <c r="N5819" s="8">
        <f t="shared" si="331"/>
        <v>0</v>
      </c>
      <c r="O5819" s="12">
        <f>0.012*M5819</f>
        <v>0</v>
      </c>
      <c r="P5819" s="13">
        <f>0.00007*M5819</f>
        <v>0</v>
      </c>
      <c r="Q5819" s="17" t="s">
        <v>37</v>
      </c>
      <c r="R5819" s="8" t="s">
        <v>20733</v>
      </c>
      <c r="S5819" s="8"/>
      <c r="T5819" s="7" t="str">
        <f>HYPERLINK("https://miland.ru/api/getInfo/image/e41ee5af-4ac1-11f1-a297-00155d82e908")</f>
        <v>https://miland.ru/api/getInfo/image/e41ee5af-4ac1-11f1-a297-00155d82e908</v>
      </c>
      <c r="U5819" s="7"/>
      <c r="V5819" s="7" t="s">
        <v>9009</v>
      </c>
      <c r="W5819" s="7" t="s">
        <v>9010</v>
      </c>
      <c r="X5819" s="7"/>
      <c r="Y5819" s="7" t="s">
        <v>41</v>
      </c>
      <c r="Z5819" s="7"/>
      <c r="AA5819" s="7" t="str">
        <f>HYPERLINK("https://miland.ru/api/getInfo/item/e41ee5af-4ac1-11f1-a297-00155d82e908")</f>
        <v>https://miland.ru/api/getInfo/item/e41ee5af-4ac1-11f1-a297-00155d82e908</v>
      </c>
      <c r="AB5819" s="7" t="s">
        <v>50</v>
      </c>
      <c r="AC5819" s="7"/>
      <c r="AD5819" s="7"/>
      <c r="AE5819" s="54"/>
    </row>
    <row r="5820" spans="2:31" s="1" customFormat="1" ht="96.3" customHeight="1" outlineLevel="4">
      <c r="B5820" s="57">
        <v>4751</v>
      </c>
      <c r="C5820" s="21" t="s">
        <v>20734</v>
      </c>
      <c r="D5820" s="72" t="s">
        <v>20735</v>
      </c>
      <c r="E5820" s="72"/>
      <c r="F5820" s="72"/>
      <c r="G5820" s="72"/>
      <c r="H5820" s="22" t="s">
        <v>20736</v>
      </c>
      <c r="I5820" s="27">
        <v>30</v>
      </c>
      <c r="J5820" s="22"/>
      <c r="K5820" s="20">
        <v>30</v>
      </c>
      <c r="L5820" s="24">
        <v>14.08</v>
      </c>
      <c r="M5820" s="11"/>
      <c r="N5820" s="22">
        <f t="shared" si="331"/>
        <v>0</v>
      </c>
      <c r="O5820" s="25">
        <f>0.008*M5820</f>
        <v>0</v>
      </c>
      <c r="P5820" s="26">
        <f>0.00001*M5820</f>
        <v>0</v>
      </c>
      <c r="Q5820" s="30"/>
      <c r="R5820" s="22" t="s">
        <v>20737</v>
      </c>
      <c r="S5820" s="22"/>
      <c r="T5820" s="21" t="str">
        <f>HYPERLINK("https://miland.ru/api/getInfo/image/d9b899c2-3580-11f0-a27c-00155d82e908")</f>
        <v>https://miland.ru/api/getInfo/image/d9b899c2-3580-11f0-a27c-00155d82e908</v>
      </c>
      <c r="U5820" s="21"/>
      <c r="V5820" s="21" t="s">
        <v>9009</v>
      </c>
      <c r="W5820" s="21" t="s">
        <v>9010</v>
      </c>
      <c r="X5820" s="21"/>
      <c r="Y5820" s="21" t="s">
        <v>41</v>
      </c>
      <c r="Z5820" s="21"/>
      <c r="AA5820" s="21" t="str">
        <f>HYPERLINK("https://miland.ru/api/getInfo/item/d9b899c2-3580-11f0-a27c-00155d82e908")</f>
        <v>https://miland.ru/api/getInfo/item/d9b899c2-3580-11f0-a27c-00155d82e908</v>
      </c>
      <c r="AB5820" s="21" t="s">
        <v>50</v>
      </c>
      <c r="AC5820" s="21"/>
      <c r="AD5820" s="21"/>
    </row>
    <row r="5821" spans="2:31" s="1" customFormat="1" ht="96.3" customHeight="1" outlineLevel="4">
      <c r="B5821" s="58">
        <v>4752</v>
      </c>
      <c r="C5821" s="7" t="s">
        <v>20738</v>
      </c>
      <c r="D5821" s="71" t="s">
        <v>20739</v>
      </c>
      <c r="E5821" s="71"/>
      <c r="F5821" s="71"/>
      <c r="G5821" s="71"/>
      <c r="H5821" s="8" t="s">
        <v>20740</v>
      </c>
      <c r="I5821" s="9" t="s">
        <v>36</v>
      </c>
      <c r="J5821" s="8"/>
      <c r="K5821" s="6">
        <v>30</v>
      </c>
      <c r="L5821" s="10">
        <v>14.08</v>
      </c>
      <c r="M5821" s="11"/>
      <c r="N5821" s="8">
        <f t="shared" si="331"/>
        <v>0</v>
      </c>
      <c r="O5821" s="12">
        <f>0.008*M5821</f>
        <v>0</v>
      </c>
      <c r="P5821" s="13">
        <f>0.00003*M5821</f>
        <v>0</v>
      </c>
      <c r="Q5821" s="17" t="s">
        <v>37</v>
      </c>
      <c r="R5821" s="8" t="s">
        <v>20741</v>
      </c>
      <c r="S5821" s="8"/>
      <c r="T5821" s="7" t="str">
        <f>HYPERLINK("https://miland.ru/api/getInfo/image/07c256e0-4ac1-11f1-a297-00155d82e908")</f>
        <v>https://miland.ru/api/getInfo/image/07c256e0-4ac1-11f1-a297-00155d82e908</v>
      </c>
      <c r="U5821" s="7"/>
      <c r="V5821" s="7" t="s">
        <v>9009</v>
      </c>
      <c r="W5821" s="7" t="s">
        <v>9010</v>
      </c>
      <c r="X5821" s="7"/>
      <c r="Y5821" s="7" t="s">
        <v>41</v>
      </c>
      <c r="Z5821" s="7"/>
      <c r="AA5821" s="7" t="str">
        <f>HYPERLINK("https://miland.ru/api/getInfo/item/07c256e0-4ac1-11f1-a297-00155d82e908")</f>
        <v>https://miland.ru/api/getInfo/item/07c256e0-4ac1-11f1-a297-00155d82e908</v>
      </c>
      <c r="AB5821" s="7" t="s">
        <v>50</v>
      </c>
      <c r="AC5821" s="7"/>
      <c r="AD5821" s="7"/>
      <c r="AE5821" s="54"/>
    </row>
    <row r="5822" spans="2:31" s="1" customFormat="1" ht="96.3" customHeight="1" outlineLevel="4">
      <c r="B5822" s="57">
        <v>4753</v>
      </c>
      <c r="C5822" s="21" t="s">
        <v>20742</v>
      </c>
      <c r="D5822" s="72" t="s">
        <v>20743</v>
      </c>
      <c r="E5822" s="72"/>
      <c r="F5822" s="72"/>
      <c r="G5822" s="72"/>
      <c r="H5822" s="22" t="s">
        <v>20744</v>
      </c>
      <c r="I5822" s="23" t="s">
        <v>36</v>
      </c>
      <c r="J5822" s="22"/>
      <c r="K5822" s="20">
        <v>40</v>
      </c>
      <c r="L5822" s="24">
        <v>14.08</v>
      </c>
      <c r="M5822" s="11"/>
      <c r="N5822" s="22">
        <f t="shared" si="331"/>
        <v>0</v>
      </c>
      <c r="O5822" s="25">
        <f>0.007*M5822</f>
        <v>0</v>
      </c>
      <c r="P5822" s="26">
        <f>0.00003*M5822</f>
        <v>0</v>
      </c>
      <c r="Q5822" s="30"/>
      <c r="R5822" s="22" t="s">
        <v>20745</v>
      </c>
      <c r="S5822" s="22"/>
      <c r="T5822" s="21" t="str">
        <f>HYPERLINK("https://miland.ru/api/getInfo/image/3597b945-3582-11f0-a27c-00155d82e908")</f>
        <v>https://miland.ru/api/getInfo/image/3597b945-3582-11f0-a27c-00155d82e908</v>
      </c>
      <c r="U5822" s="21"/>
      <c r="V5822" s="21" t="s">
        <v>9009</v>
      </c>
      <c r="W5822" s="21" t="s">
        <v>9010</v>
      </c>
      <c r="X5822" s="21"/>
      <c r="Y5822" s="21" t="s">
        <v>41</v>
      </c>
      <c r="Z5822" s="21"/>
      <c r="AA5822" s="21" t="str">
        <f>HYPERLINK("https://miland.ru/api/getInfo/item/3597b945-3582-11f0-a27c-00155d82e908")</f>
        <v>https://miland.ru/api/getInfo/item/3597b945-3582-11f0-a27c-00155d82e908</v>
      </c>
      <c r="AB5822" s="21" t="s">
        <v>50</v>
      </c>
      <c r="AC5822" s="21"/>
      <c r="AD5822" s="21"/>
    </row>
    <row r="5823" spans="2:31" s="1" customFormat="1" ht="96.3" customHeight="1" outlineLevel="4">
      <c r="B5823" s="58">
        <v>4754</v>
      </c>
      <c r="C5823" s="7" t="s">
        <v>20746</v>
      </c>
      <c r="D5823" s="71" t="s">
        <v>20747</v>
      </c>
      <c r="E5823" s="71"/>
      <c r="F5823" s="71"/>
      <c r="G5823" s="71"/>
      <c r="H5823" s="8" t="s">
        <v>20748</v>
      </c>
      <c r="I5823" s="9" t="s">
        <v>36</v>
      </c>
      <c r="J5823" s="8"/>
      <c r="K5823" s="6">
        <v>30</v>
      </c>
      <c r="L5823" s="10">
        <v>14.08</v>
      </c>
      <c r="M5823" s="11"/>
      <c r="N5823" s="8">
        <f t="shared" si="331"/>
        <v>0</v>
      </c>
      <c r="O5823" s="12">
        <f>0.012*M5823</f>
        <v>0</v>
      </c>
      <c r="P5823" s="13">
        <f>0.00007*M5823</f>
        <v>0</v>
      </c>
      <c r="Q5823" s="17" t="s">
        <v>37</v>
      </c>
      <c r="R5823" s="8" t="s">
        <v>20749</v>
      </c>
      <c r="S5823" s="8"/>
      <c r="T5823" s="7" t="str">
        <f>HYPERLINK("https://miland.ru/api/getInfo/image/d5adab93-4ac0-11f1-a297-00155d82e908")</f>
        <v>https://miland.ru/api/getInfo/image/d5adab93-4ac0-11f1-a297-00155d82e908</v>
      </c>
      <c r="U5823" s="7"/>
      <c r="V5823" s="7" t="s">
        <v>9009</v>
      </c>
      <c r="W5823" s="7" t="s">
        <v>9010</v>
      </c>
      <c r="X5823" s="7"/>
      <c r="Y5823" s="7" t="s">
        <v>41</v>
      </c>
      <c r="Z5823" s="7"/>
      <c r="AA5823" s="7" t="str">
        <f>HYPERLINK("https://miland.ru/api/getInfo/item/d5adab93-4ac0-11f1-a297-00155d82e908")</f>
        <v>https://miland.ru/api/getInfo/item/d5adab93-4ac0-11f1-a297-00155d82e908</v>
      </c>
      <c r="AB5823" s="7" t="s">
        <v>50</v>
      </c>
      <c r="AC5823" s="7"/>
      <c r="AD5823" s="7"/>
      <c r="AE5823" s="54"/>
    </row>
    <row r="5824" spans="2:31" s="1" customFormat="1" ht="96.3" customHeight="1" outlineLevel="4">
      <c r="B5824" s="58">
        <v>4755</v>
      </c>
      <c r="C5824" s="7" t="s">
        <v>20750</v>
      </c>
      <c r="D5824" s="71" t="s">
        <v>20751</v>
      </c>
      <c r="E5824" s="71"/>
      <c r="F5824" s="71"/>
      <c r="G5824" s="71"/>
      <c r="H5824" s="8" t="s">
        <v>20752</v>
      </c>
      <c r="I5824" s="9" t="s">
        <v>36</v>
      </c>
      <c r="J5824" s="8"/>
      <c r="K5824" s="6">
        <v>30</v>
      </c>
      <c r="L5824" s="10">
        <v>14.08</v>
      </c>
      <c r="M5824" s="11"/>
      <c r="N5824" s="8">
        <f t="shared" si="331"/>
        <v>0</v>
      </c>
      <c r="O5824" s="12">
        <f>0.012*M5824</f>
        <v>0</v>
      </c>
      <c r="P5824" s="13">
        <f>0.00007*M5824</f>
        <v>0</v>
      </c>
      <c r="Q5824" s="17" t="s">
        <v>37</v>
      </c>
      <c r="R5824" s="8" t="s">
        <v>20753</v>
      </c>
      <c r="S5824" s="8"/>
      <c r="T5824" s="7" t="str">
        <f>HYPERLINK("https://miland.ru/api/getInfo/image/95e570b7-4ac1-11f1-a297-00155d82e908")</f>
        <v>https://miland.ru/api/getInfo/image/95e570b7-4ac1-11f1-a297-00155d82e908</v>
      </c>
      <c r="U5824" s="7"/>
      <c r="V5824" s="7" t="s">
        <v>9009</v>
      </c>
      <c r="W5824" s="7" t="s">
        <v>9010</v>
      </c>
      <c r="X5824" s="7"/>
      <c r="Y5824" s="7" t="s">
        <v>41</v>
      </c>
      <c r="Z5824" s="7"/>
      <c r="AA5824" s="7" t="str">
        <f>HYPERLINK("https://miland.ru/api/getInfo/item/95e570b7-4ac1-11f1-a297-00155d82e908")</f>
        <v>https://miland.ru/api/getInfo/item/95e570b7-4ac1-11f1-a297-00155d82e908</v>
      </c>
      <c r="AB5824" s="7" t="s">
        <v>50</v>
      </c>
      <c r="AC5824" s="7"/>
      <c r="AD5824" s="7"/>
      <c r="AE5824" s="54"/>
    </row>
    <row r="5825" spans="2:31" s="1" customFormat="1" ht="96.3" customHeight="1" outlineLevel="4">
      <c r="B5825" s="58">
        <v>4756</v>
      </c>
      <c r="C5825" s="7" t="s">
        <v>20754</v>
      </c>
      <c r="D5825" s="71" t="s">
        <v>20755</v>
      </c>
      <c r="E5825" s="71"/>
      <c r="F5825" s="71"/>
      <c r="G5825" s="71"/>
      <c r="H5825" s="8" t="s">
        <v>20756</v>
      </c>
      <c r="I5825" s="9" t="s">
        <v>36</v>
      </c>
      <c r="J5825" s="8"/>
      <c r="K5825" s="6">
        <v>30</v>
      </c>
      <c r="L5825" s="10">
        <v>14.08</v>
      </c>
      <c r="M5825" s="11"/>
      <c r="N5825" s="8">
        <f t="shared" si="331"/>
        <v>0</v>
      </c>
      <c r="O5825" s="12">
        <f>0.012*M5825</f>
        <v>0</v>
      </c>
      <c r="P5825" s="13">
        <f>0.00007*M5825</f>
        <v>0</v>
      </c>
      <c r="Q5825" s="17" t="s">
        <v>37</v>
      </c>
      <c r="R5825" s="8" t="s">
        <v>20757</v>
      </c>
      <c r="S5825" s="8"/>
      <c r="T5825" s="7" t="str">
        <f>HYPERLINK("https://miland.ru/api/getInfo/image/7a4c6c8a-4ac1-11f1-a297-00155d82e908")</f>
        <v>https://miland.ru/api/getInfo/image/7a4c6c8a-4ac1-11f1-a297-00155d82e908</v>
      </c>
      <c r="U5825" s="7"/>
      <c r="V5825" s="7" t="s">
        <v>9009</v>
      </c>
      <c r="W5825" s="7" t="s">
        <v>9010</v>
      </c>
      <c r="X5825" s="7"/>
      <c r="Y5825" s="7" t="s">
        <v>41</v>
      </c>
      <c r="Z5825" s="7"/>
      <c r="AA5825" s="7" t="str">
        <f>HYPERLINK("https://miland.ru/api/getInfo/item/7a4c6c8a-4ac1-11f1-a297-00155d82e908")</f>
        <v>https://miland.ru/api/getInfo/item/7a4c6c8a-4ac1-11f1-a297-00155d82e908</v>
      </c>
      <c r="AB5825" s="7" t="s">
        <v>50</v>
      </c>
      <c r="AC5825" s="7"/>
      <c r="AD5825" s="7"/>
      <c r="AE5825" s="54"/>
    </row>
    <row r="5826" spans="2:31" s="1" customFormat="1" ht="96.3" customHeight="1" outlineLevel="4">
      <c r="B5826" s="58">
        <v>4757</v>
      </c>
      <c r="C5826" s="7" t="s">
        <v>20758</v>
      </c>
      <c r="D5826" s="71" t="s">
        <v>20759</v>
      </c>
      <c r="E5826" s="71"/>
      <c r="F5826" s="71"/>
      <c r="G5826" s="71"/>
      <c r="H5826" s="8" t="s">
        <v>20760</v>
      </c>
      <c r="I5826" s="9" t="s">
        <v>36</v>
      </c>
      <c r="J5826" s="8"/>
      <c r="K5826" s="6">
        <v>30</v>
      </c>
      <c r="L5826" s="10">
        <v>14.08</v>
      </c>
      <c r="M5826" s="11"/>
      <c r="N5826" s="8">
        <f t="shared" si="331"/>
        <v>0</v>
      </c>
      <c r="O5826" s="12">
        <f>0.012*M5826</f>
        <v>0</v>
      </c>
      <c r="P5826" s="13">
        <f>0.00007*M5826</f>
        <v>0</v>
      </c>
      <c r="Q5826" s="17" t="s">
        <v>37</v>
      </c>
      <c r="R5826" s="8" t="s">
        <v>20761</v>
      </c>
      <c r="S5826" s="8"/>
      <c r="T5826" s="7" t="str">
        <f>HYPERLINK("https://miland.ru/api/getInfo/image/661d758e-4ac1-11f1-a297-00155d82e908")</f>
        <v>https://miland.ru/api/getInfo/image/661d758e-4ac1-11f1-a297-00155d82e908</v>
      </c>
      <c r="U5826" s="7"/>
      <c r="V5826" s="7" t="s">
        <v>9009</v>
      </c>
      <c r="W5826" s="7" t="s">
        <v>9010</v>
      </c>
      <c r="X5826" s="7"/>
      <c r="Y5826" s="7" t="s">
        <v>41</v>
      </c>
      <c r="Z5826" s="7"/>
      <c r="AA5826" s="7" t="str">
        <f>HYPERLINK("https://miland.ru/api/getInfo/item/661d758e-4ac1-11f1-a297-00155d82e908")</f>
        <v>https://miland.ru/api/getInfo/item/661d758e-4ac1-11f1-a297-00155d82e908</v>
      </c>
      <c r="AB5826" s="7" t="s">
        <v>50</v>
      </c>
      <c r="AC5826" s="7"/>
      <c r="AD5826" s="7"/>
      <c r="AE5826" s="54"/>
    </row>
    <row r="5827" spans="2:31" s="1" customFormat="1" ht="96.3" customHeight="1" outlineLevel="4">
      <c r="B5827" s="58">
        <v>4758</v>
      </c>
      <c r="C5827" s="7" t="s">
        <v>20762</v>
      </c>
      <c r="D5827" s="71" t="s">
        <v>20763</v>
      </c>
      <c r="E5827" s="71"/>
      <c r="F5827" s="71"/>
      <c r="G5827" s="71"/>
      <c r="H5827" s="8" t="s">
        <v>20764</v>
      </c>
      <c r="I5827" s="9" t="s">
        <v>36</v>
      </c>
      <c r="J5827" s="8"/>
      <c r="K5827" s="6">
        <v>30</v>
      </c>
      <c r="L5827" s="10">
        <v>14.08</v>
      </c>
      <c r="M5827" s="11"/>
      <c r="N5827" s="8">
        <f t="shared" si="331"/>
        <v>0</v>
      </c>
      <c r="O5827" s="12">
        <f>0.008*M5827</f>
        <v>0</v>
      </c>
      <c r="P5827" s="13">
        <f>0.00003*M5827</f>
        <v>0</v>
      </c>
      <c r="Q5827" s="17" t="s">
        <v>37</v>
      </c>
      <c r="R5827" s="8" t="s">
        <v>20765</v>
      </c>
      <c r="S5827" s="8"/>
      <c r="T5827" s="7" t="str">
        <f>HYPERLINK("https://miland.ru/api/getInfo/image/8cc91e75-4ac0-11f1-a297-00155d82e908")</f>
        <v>https://miland.ru/api/getInfo/image/8cc91e75-4ac0-11f1-a297-00155d82e908</v>
      </c>
      <c r="U5827" s="7"/>
      <c r="V5827" s="7" t="s">
        <v>9009</v>
      </c>
      <c r="W5827" s="7" t="s">
        <v>9010</v>
      </c>
      <c r="X5827" s="7"/>
      <c r="Y5827" s="7" t="s">
        <v>41</v>
      </c>
      <c r="Z5827" s="7"/>
      <c r="AA5827" s="7" t="str">
        <f>HYPERLINK("https://miland.ru/api/getInfo/item/8cc91e75-4ac0-11f1-a297-00155d82e908")</f>
        <v>https://miland.ru/api/getInfo/item/8cc91e75-4ac0-11f1-a297-00155d82e908</v>
      </c>
      <c r="AB5827" s="7" t="s">
        <v>50</v>
      </c>
      <c r="AC5827" s="7"/>
      <c r="AD5827" s="7"/>
      <c r="AE5827" s="54"/>
    </row>
    <row r="5828" spans="2:31" s="1" customFormat="1" ht="96.3" customHeight="1" outlineLevel="4">
      <c r="B5828" s="58">
        <v>4759</v>
      </c>
      <c r="C5828" s="7" t="s">
        <v>20766</v>
      </c>
      <c r="D5828" s="71" t="s">
        <v>20767</v>
      </c>
      <c r="E5828" s="71"/>
      <c r="F5828" s="71"/>
      <c r="G5828" s="71"/>
      <c r="H5828" s="8" t="s">
        <v>20768</v>
      </c>
      <c r="I5828" s="9" t="s">
        <v>36</v>
      </c>
      <c r="J5828" s="8"/>
      <c r="K5828" s="6">
        <v>30</v>
      </c>
      <c r="L5828" s="10">
        <v>14.08</v>
      </c>
      <c r="M5828" s="11"/>
      <c r="N5828" s="8">
        <f t="shared" si="331"/>
        <v>0</v>
      </c>
      <c r="O5828" s="12">
        <f>0.012*M5828</f>
        <v>0</v>
      </c>
      <c r="P5828" s="13">
        <f>0.00007*M5828</f>
        <v>0</v>
      </c>
      <c r="Q5828" s="17" t="s">
        <v>37</v>
      </c>
      <c r="R5828" s="8" t="s">
        <v>20769</v>
      </c>
      <c r="S5828" s="8"/>
      <c r="T5828" s="7" t="str">
        <f>HYPERLINK("https://miland.ru/api/getInfo/image/3476598f-4ac1-11f1-a297-00155d82e908")</f>
        <v>https://miland.ru/api/getInfo/image/3476598f-4ac1-11f1-a297-00155d82e908</v>
      </c>
      <c r="U5828" s="7"/>
      <c r="V5828" s="7" t="s">
        <v>9009</v>
      </c>
      <c r="W5828" s="7" t="s">
        <v>9010</v>
      </c>
      <c r="X5828" s="7"/>
      <c r="Y5828" s="7" t="s">
        <v>41</v>
      </c>
      <c r="Z5828" s="7"/>
      <c r="AA5828" s="7" t="str">
        <f>HYPERLINK("https://miland.ru/api/getInfo/item/3476598f-4ac1-11f1-a297-00155d82e908")</f>
        <v>https://miland.ru/api/getInfo/item/3476598f-4ac1-11f1-a297-00155d82e908</v>
      </c>
      <c r="AB5828" s="7" t="s">
        <v>50</v>
      </c>
      <c r="AC5828" s="7"/>
      <c r="AD5828" s="7"/>
      <c r="AE5828" s="54"/>
    </row>
    <row r="5829" spans="2:31" s="1" customFormat="1" ht="96.3" customHeight="1" outlineLevel="4">
      <c r="B5829" s="58">
        <v>4760</v>
      </c>
      <c r="C5829" s="7" t="s">
        <v>20770</v>
      </c>
      <c r="D5829" s="71" t="s">
        <v>20771</v>
      </c>
      <c r="E5829" s="71"/>
      <c r="F5829" s="71"/>
      <c r="G5829" s="71"/>
      <c r="H5829" s="8" t="s">
        <v>20772</v>
      </c>
      <c r="I5829" s="9" t="s">
        <v>36</v>
      </c>
      <c r="J5829" s="8"/>
      <c r="K5829" s="6">
        <v>30</v>
      </c>
      <c r="L5829" s="10">
        <v>14.08</v>
      </c>
      <c r="M5829" s="11"/>
      <c r="N5829" s="8">
        <f t="shared" si="331"/>
        <v>0</v>
      </c>
      <c r="O5829" s="12">
        <f>0.012*M5829</f>
        <v>0</v>
      </c>
      <c r="P5829" s="13">
        <f>0.00007*M5829</f>
        <v>0</v>
      </c>
      <c r="Q5829" s="17" t="s">
        <v>37</v>
      </c>
      <c r="R5829" s="8" t="s">
        <v>20773</v>
      </c>
      <c r="S5829" s="8"/>
      <c r="T5829" s="7" t="str">
        <f>HYPERLINK("https://miland.ru/api/getInfo/image/b7de65b0-4ac0-11f1-a297-00155d82e908")</f>
        <v>https://miland.ru/api/getInfo/image/b7de65b0-4ac0-11f1-a297-00155d82e908</v>
      </c>
      <c r="U5829" s="7"/>
      <c r="V5829" s="7" t="s">
        <v>9009</v>
      </c>
      <c r="W5829" s="7" t="s">
        <v>9010</v>
      </c>
      <c r="X5829" s="7"/>
      <c r="Y5829" s="7" t="s">
        <v>41</v>
      </c>
      <c r="Z5829" s="7"/>
      <c r="AA5829" s="7" t="str">
        <f>HYPERLINK("https://miland.ru/api/getInfo/item/b7de65b0-4ac0-11f1-a297-00155d82e908")</f>
        <v>https://miland.ru/api/getInfo/item/b7de65b0-4ac0-11f1-a297-00155d82e908</v>
      </c>
      <c r="AB5829" s="7" t="s">
        <v>50</v>
      </c>
      <c r="AC5829" s="7"/>
      <c r="AD5829" s="7"/>
      <c r="AE5829" s="54"/>
    </row>
    <row r="5830" spans="2:31" s="1" customFormat="1" ht="96.3" customHeight="1" outlineLevel="4">
      <c r="B5830" s="58">
        <v>4761</v>
      </c>
      <c r="C5830" s="7" t="s">
        <v>20774</v>
      </c>
      <c r="D5830" s="71" t="s">
        <v>20775</v>
      </c>
      <c r="E5830" s="71"/>
      <c r="F5830" s="71"/>
      <c r="G5830" s="71"/>
      <c r="H5830" s="8" t="s">
        <v>20776</v>
      </c>
      <c r="I5830" s="9" t="s">
        <v>36</v>
      </c>
      <c r="J5830" s="8"/>
      <c r="K5830" s="6">
        <v>30</v>
      </c>
      <c r="L5830" s="10">
        <v>14.08</v>
      </c>
      <c r="M5830" s="11"/>
      <c r="N5830" s="8">
        <f t="shared" si="331"/>
        <v>0</v>
      </c>
      <c r="O5830" s="12">
        <f>0.012*M5830</f>
        <v>0</v>
      </c>
      <c r="P5830" s="13">
        <f>0.00007*M5830</f>
        <v>0</v>
      </c>
      <c r="Q5830" s="17" t="s">
        <v>37</v>
      </c>
      <c r="R5830" s="8" t="s">
        <v>20777</v>
      </c>
      <c r="S5830" s="8"/>
      <c r="T5830" s="7" t="str">
        <f>HYPERLINK("https://miland.ru/api/getInfo/image/ece7e7e2-4ac0-11f1-a297-00155d82e908")</f>
        <v>https://miland.ru/api/getInfo/image/ece7e7e2-4ac0-11f1-a297-00155d82e908</v>
      </c>
      <c r="U5830" s="7"/>
      <c r="V5830" s="7" t="s">
        <v>9009</v>
      </c>
      <c r="W5830" s="7" t="s">
        <v>9010</v>
      </c>
      <c r="X5830" s="7"/>
      <c r="Y5830" s="7" t="s">
        <v>41</v>
      </c>
      <c r="Z5830" s="7"/>
      <c r="AA5830" s="7" t="str">
        <f>HYPERLINK("https://miland.ru/api/getInfo/item/ece7e7e2-4ac0-11f1-a297-00155d82e908")</f>
        <v>https://miland.ru/api/getInfo/item/ece7e7e2-4ac0-11f1-a297-00155d82e908</v>
      </c>
      <c r="AB5830" s="7" t="s">
        <v>50</v>
      </c>
      <c r="AC5830" s="7"/>
      <c r="AD5830" s="7"/>
      <c r="AE5830" s="54"/>
    </row>
    <row r="5831" spans="2:31" ht="12" customHeight="1" outlineLevel="3">
      <c r="B5831" s="70" t="s">
        <v>20778</v>
      </c>
      <c r="C5831" s="70"/>
      <c r="D5831" s="70"/>
      <c r="E5831" s="70"/>
      <c r="F5831" s="70"/>
      <c r="G5831" s="70"/>
    </row>
    <row r="5832" spans="2:31" s="1" customFormat="1" ht="96.3" customHeight="1" outlineLevel="4">
      <c r="B5832" s="57">
        <v>4762</v>
      </c>
      <c r="C5832" s="21" t="s">
        <v>20779</v>
      </c>
      <c r="D5832" s="72" t="s">
        <v>20780</v>
      </c>
      <c r="E5832" s="72"/>
      <c r="F5832" s="72"/>
      <c r="G5832" s="72"/>
      <c r="H5832" s="22" t="s">
        <v>20781</v>
      </c>
      <c r="I5832" s="23" t="s">
        <v>36</v>
      </c>
      <c r="J5832" s="22"/>
      <c r="K5832" s="20">
        <v>30</v>
      </c>
      <c r="L5832" s="24">
        <v>18.21</v>
      </c>
      <c r="M5832" s="11"/>
      <c r="N5832" s="22">
        <f t="shared" ref="N5832:N5847" si="332">L5832*M5832</f>
        <v>0</v>
      </c>
      <c r="O5832" s="25">
        <f>0.007*M5832</f>
        <v>0</v>
      </c>
      <c r="P5832" s="26">
        <f>0.00003*M5832</f>
        <v>0</v>
      </c>
      <c r="Q5832" s="30"/>
      <c r="R5832" s="22" t="s">
        <v>20782</v>
      </c>
      <c r="S5832" s="22"/>
      <c r="T5832" s="21" t="str">
        <f>HYPERLINK("https://miland.ru/api/getInfo/image/f71e8818-6ac7-11ef-a265-00155d82e908")</f>
        <v>https://miland.ru/api/getInfo/image/f71e8818-6ac7-11ef-a265-00155d82e908</v>
      </c>
      <c r="U5832" s="21"/>
      <c r="V5832" s="21" t="s">
        <v>9009</v>
      </c>
      <c r="W5832" s="21" t="s">
        <v>9010</v>
      </c>
      <c r="X5832" s="21"/>
      <c r="Y5832" s="21" t="s">
        <v>41</v>
      </c>
      <c r="Z5832" s="21"/>
      <c r="AA5832" s="21" t="str">
        <f>HYPERLINK("https://miland.ru/api/getInfo/item/f71e8818-6ac7-11ef-a265-00155d82e908")</f>
        <v>https://miland.ru/api/getInfo/item/f71e8818-6ac7-11ef-a265-00155d82e908</v>
      </c>
      <c r="AB5832" s="21" t="s">
        <v>50</v>
      </c>
      <c r="AC5832" s="21" t="s">
        <v>1698</v>
      </c>
      <c r="AD5832" s="21"/>
    </row>
    <row r="5833" spans="2:31" s="1" customFormat="1" ht="96.3" customHeight="1" outlineLevel="4">
      <c r="B5833" s="57">
        <v>4763</v>
      </c>
      <c r="C5833" s="21" t="s">
        <v>20783</v>
      </c>
      <c r="D5833" s="72" t="s">
        <v>20784</v>
      </c>
      <c r="E5833" s="72"/>
      <c r="F5833" s="72"/>
      <c r="G5833" s="72"/>
      <c r="H5833" s="22" t="s">
        <v>20785</v>
      </c>
      <c r="I5833" s="27">
        <v>30</v>
      </c>
      <c r="J5833" s="22"/>
      <c r="K5833" s="20">
        <v>30</v>
      </c>
      <c r="L5833" s="24">
        <v>18.21</v>
      </c>
      <c r="M5833" s="11"/>
      <c r="N5833" s="22">
        <f t="shared" si="332"/>
        <v>0</v>
      </c>
      <c r="O5833" s="25">
        <f>0.007*M5833</f>
        <v>0</v>
      </c>
      <c r="P5833" s="26">
        <f>0.00003*M5833</f>
        <v>0</v>
      </c>
      <c r="Q5833" s="30"/>
      <c r="R5833" s="22" t="s">
        <v>20786</v>
      </c>
      <c r="S5833" s="22" t="s">
        <v>435</v>
      </c>
      <c r="T5833" s="21" t="str">
        <f>HYPERLINK("https://miland.ru/api/getInfo/image/75cae546-8dc3-11ee-a250-00155d82e908")</f>
        <v>https://miland.ru/api/getInfo/image/75cae546-8dc3-11ee-a250-00155d82e908</v>
      </c>
      <c r="U5833" s="21"/>
      <c r="V5833" s="21" t="s">
        <v>9009</v>
      </c>
      <c r="W5833" s="21" t="s">
        <v>9010</v>
      </c>
      <c r="X5833" s="21"/>
      <c r="Y5833" s="21" t="s">
        <v>41</v>
      </c>
      <c r="Z5833" s="21"/>
      <c r="AA5833" s="21" t="str">
        <f>HYPERLINK("https://miland.ru/api/getInfo/item/75cae546-8dc3-11ee-a250-00155d82e908")</f>
        <v>https://miland.ru/api/getInfo/item/75cae546-8dc3-11ee-a250-00155d82e908</v>
      </c>
      <c r="AB5833" s="21" t="s">
        <v>50</v>
      </c>
      <c r="AC5833" s="21" t="s">
        <v>1698</v>
      </c>
      <c r="AD5833" s="21"/>
    </row>
    <row r="5834" spans="2:31" s="1" customFormat="1" ht="96.3" customHeight="1" outlineLevel="4">
      <c r="B5834" s="57">
        <v>4764</v>
      </c>
      <c r="C5834" s="21" t="s">
        <v>20787</v>
      </c>
      <c r="D5834" s="72" t="s">
        <v>20788</v>
      </c>
      <c r="E5834" s="72"/>
      <c r="F5834" s="72"/>
      <c r="G5834" s="72"/>
      <c r="H5834" s="22" t="s">
        <v>20789</v>
      </c>
      <c r="I5834" s="23" t="s">
        <v>36</v>
      </c>
      <c r="J5834" s="22"/>
      <c r="K5834" s="20">
        <v>30</v>
      </c>
      <c r="L5834" s="24">
        <v>18.21</v>
      </c>
      <c r="M5834" s="11"/>
      <c r="N5834" s="22">
        <f t="shared" si="332"/>
        <v>0</v>
      </c>
      <c r="O5834" s="25">
        <f>0.007*M5834</f>
        <v>0</v>
      </c>
      <c r="P5834" s="26">
        <f>0.00003*M5834</f>
        <v>0</v>
      </c>
      <c r="Q5834" s="30"/>
      <c r="R5834" s="22" t="s">
        <v>20790</v>
      </c>
      <c r="S5834" s="22"/>
      <c r="T5834" s="21" t="str">
        <f>HYPERLINK("https://miland.ru/api/getInfo/image/abc41842-6ac7-11ef-a265-00155d82e908")</f>
        <v>https://miland.ru/api/getInfo/image/abc41842-6ac7-11ef-a265-00155d82e908</v>
      </c>
      <c r="U5834" s="21"/>
      <c r="V5834" s="21" t="s">
        <v>9009</v>
      </c>
      <c r="W5834" s="21" t="s">
        <v>9010</v>
      </c>
      <c r="X5834" s="21"/>
      <c r="Y5834" s="21" t="s">
        <v>41</v>
      </c>
      <c r="Z5834" s="21"/>
      <c r="AA5834" s="21" t="str">
        <f>HYPERLINK("https://miland.ru/api/getInfo/item/abc41842-6ac7-11ef-a265-00155d82e908")</f>
        <v>https://miland.ru/api/getInfo/item/abc41842-6ac7-11ef-a265-00155d82e908</v>
      </c>
      <c r="AB5834" s="21" t="s">
        <v>50</v>
      </c>
      <c r="AC5834" s="21" t="s">
        <v>1698</v>
      </c>
      <c r="AD5834" s="21"/>
    </row>
    <row r="5835" spans="2:31" s="1" customFormat="1" ht="96.3" customHeight="1" outlineLevel="4">
      <c r="B5835" s="58">
        <v>4765</v>
      </c>
      <c r="C5835" s="7" t="s">
        <v>20791</v>
      </c>
      <c r="D5835" s="71" t="s">
        <v>20792</v>
      </c>
      <c r="E5835" s="71"/>
      <c r="F5835" s="71"/>
      <c r="G5835" s="71"/>
      <c r="H5835" s="8" t="s">
        <v>20793</v>
      </c>
      <c r="I5835" s="9" t="s">
        <v>36</v>
      </c>
      <c r="J5835" s="8"/>
      <c r="K5835" s="6">
        <v>30</v>
      </c>
      <c r="L5835" s="10">
        <v>18.21</v>
      </c>
      <c r="M5835" s="11"/>
      <c r="N5835" s="8">
        <f t="shared" si="332"/>
        <v>0</v>
      </c>
      <c r="O5835" s="12">
        <f>0.018*M5835</f>
        <v>0</v>
      </c>
      <c r="P5835" s="13">
        <f>0.00004*M5835</f>
        <v>0</v>
      </c>
      <c r="Q5835" s="17" t="s">
        <v>37</v>
      </c>
      <c r="R5835" s="8" t="s">
        <v>20794</v>
      </c>
      <c r="S5835" s="8"/>
      <c r="T5835" s="7" t="str">
        <f>HYPERLINK("https://miland.ru/api/getInfo/image/17eb75ec-0e32-11f1-a28f-00155d82e908")</f>
        <v>https://miland.ru/api/getInfo/image/17eb75ec-0e32-11f1-a28f-00155d82e908</v>
      </c>
      <c r="U5835" s="7"/>
      <c r="V5835" s="7" t="s">
        <v>9009</v>
      </c>
      <c r="W5835" s="7" t="s">
        <v>9010</v>
      </c>
      <c r="X5835" s="7"/>
      <c r="Y5835" s="7" t="s">
        <v>41</v>
      </c>
      <c r="Z5835" s="7"/>
      <c r="AA5835" s="7" t="str">
        <f>HYPERLINK("https://miland.ru/api/getInfo/item/17eb75ec-0e32-11f1-a28f-00155d82e908")</f>
        <v>https://miland.ru/api/getInfo/item/17eb75ec-0e32-11f1-a28f-00155d82e908</v>
      </c>
      <c r="AB5835" s="7" t="s">
        <v>50</v>
      </c>
      <c r="AC5835" s="7"/>
      <c r="AD5835" s="7"/>
      <c r="AE5835" s="54"/>
    </row>
    <row r="5836" spans="2:31" s="1" customFormat="1" ht="96.3" customHeight="1" outlineLevel="4">
      <c r="B5836" s="57">
        <v>4766</v>
      </c>
      <c r="C5836" s="21" t="s">
        <v>20795</v>
      </c>
      <c r="D5836" s="72" t="s">
        <v>20796</v>
      </c>
      <c r="E5836" s="72"/>
      <c r="F5836" s="72"/>
      <c r="G5836" s="72"/>
      <c r="H5836" s="22" t="s">
        <v>20797</v>
      </c>
      <c r="I5836" s="23" t="s">
        <v>36</v>
      </c>
      <c r="J5836" s="22"/>
      <c r="K5836" s="20">
        <v>30</v>
      </c>
      <c r="L5836" s="24">
        <v>18.21</v>
      </c>
      <c r="M5836" s="11"/>
      <c r="N5836" s="22">
        <f t="shared" si="332"/>
        <v>0</v>
      </c>
      <c r="O5836" s="25">
        <f>0.007*M5836</f>
        <v>0</v>
      </c>
      <c r="P5836" s="26">
        <f>0.00003*M5836</f>
        <v>0</v>
      </c>
      <c r="Q5836" s="30"/>
      <c r="R5836" s="22" t="s">
        <v>20798</v>
      </c>
      <c r="S5836" s="22"/>
      <c r="T5836" s="21" t="str">
        <f>HYPERLINK("https://miland.ru/api/getInfo/image/d3640bfe-6ac6-11ef-a265-00155d82e908")</f>
        <v>https://miland.ru/api/getInfo/image/d3640bfe-6ac6-11ef-a265-00155d82e908</v>
      </c>
      <c r="U5836" s="21"/>
      <c r="V5836" s="21" t="s">
        <v>9009</v>
      </c>
      <c r="W5836" s="21" t="s">
        <v>9010</v>
      </c>
      <c r="X5836" s="21"/>
      <c r="Y5836" s="21" t="s">
        <v>41</v>
      </c>
      <c r="Z5836" s="21"/>
      <c r="AA5836" s="21" t="str">
        <f>HYPERLINK("https://miland.ru/api/getInfo/item/d3640bfe-6ac6-11ef-a265-00155d82e908")</f>
        <v>https://miland.ru/api/getInfo/item/d3640bfe-6ac6-11ef-a265-00155d82e908</v>
      </c>
      <c r="AB5836" s="21" t="s">
        <v>50</v>
      </c>
      <c r="AC5836" s="21" t="s">
        <v>1698</v>
      </c>
      <c r="AD5836" s="21"/>
    </row>
    <row r="5837" spans="2:31" s="1" customFormat="1" ht="96.3" customHeight="1" outlineLevel="4">
      <c r="B5837" s="57">
        <v>4767</v>
      </c>
      <c r="C5837" s="21" t="s">
        <v>20799</v>
      </c>
      <c r="D5837" s="72" t="s">
        <v>20800</v>
      </c>
      <c r="E5837" s="72"/>
      <c r="F5837" s="72"/>
      <c r="G5837" s="72"/>
      <c r="H5837" s="22" t="s">
        <v>20801</v>
      </c>
      <c r="I5837" s="23" t="s">
        <v>36</v>
      </c>
      <c r="J5837" s="22"/>
      <c r="K5837" s="20">
        <v>30</v>
      </c>
      <c r="L5837" s="24">
        <v>18.21</v>
      </c>
      <c r="M5837" s="11"/>
      <c r="N5837" s="22">
        <f t="shared" si="332"/>
        <v>0</v>
      </c>
      <c r="O5837" s="25">
        <f>0.007*M5837</f>
        <v>0</v>
      </c>
      <c r="P5837" s="26">
        <f>0.00003*M5837</f>
        <v>0</v>
      </c>
      <c r="Q5837" s="30"/>
      <c r="R5837" s="22" t="s">
        <v>20802</v>
      </c>
      <c r="S5837" s="22"/>
      <c r="T5837" s="21" t="str">
        <f>HYPERLINK("https://miland.ru/api/getInfo/image/79caf293-6ac8-11ef-a265-00155d82e908")</f>
        <v>https://miland.ru/api/getInfo/image/79caf293-6ac8-11ef-a265-00155d82e908</v>
      </c>
      <c r="U5837" s="21"/>
      <c r="V5837" s="21" t="s">
        <v>9009</v>
      </c>
      <c r="W5837" s="21" t="s">
        <v>9010</v>
      </c>
      <c r="X5837" s="21"/>
      <c r="Y5837" s="21" t="s">
        <v>41</v>
      </c>
      <c r="Z5837" s="21"/>
      <c r="AA5837" s="21" t="str">
        <f>HYPERLINK("https://miland.ru/api/getInfo/item/79caf293-6ac8-11ef-a265-00155d82e908")</f>
        <v>https://miland.ru/api/getInfo/item/79caf293-6ac8-11ef-a265-00155d82e908</v>
      </c>
      <c r="AB5837" s="21" t="s">
        <v>50</v>
      </c>
      <c r="AC5837" s="21" t="s">
        <v>1698</v>
      </c>
      <c r="AD5837" s="21"/>
    </row>
    <row r="5838" spans="2:31" s="1" customFormat="1" ht="96.3" customHeight="1" outlineLevel="4">
      <c r="B5838" s="57">
        <v>4768</v>
      </c>
      <c r="C5838" s="21" t="s">
        <v>20803</v>
      </c>
      <c r="D5838" s="72" t="s">
        <v>20804</v>
      </c>
      <c r="E5838" s="72"/>
      <c r="F5838" s="72"/>
      <c r="G5838" s="72"/>
      <c r="H5838" s="22" t="s">
        <v>20805</v>
      </c>
      <c r="I5838" s="27">
        <v>50</v>
      </c>
      <c r="J5838" s="22"/>
      <c r="K5838" s="20">
        <v>30</v>
      </c>
      <c r="L5838" s="24">
        <v>18.21</v>
      </c>
      <c r="M5838" s="11"/>
      <c r="N5838" s="22">
        <f t="shared" si="332"/>
        <v>0</v>
      </c>
      <c r="O5838" s="25">
        <f>0.007*M5838</f>
        <v>0</v>
      </c>
      <c r="P5838" s="26">
        <f>0.00003*M5838</f>
        <v>0</v>
      </c>
      <c r="Q5838" s="30"/>
      <c r="R5838" s="22" t="s">
        <v>20806</v>
      </c>
      <c r="S5838" s="22"/>
      <c r="T5838" s="21" t="str">
        <f>HYPERLINK("https://miland.ru/api/getInfo/image/9401d95f-6ac8-11ef-a265-00155d82e908")</f>
        <v>https://miland.ru/api/getInfo/image/9401d95f-6ac8-11ef-a265-00155d82e908</v>
      </c>
      <c r="U5838" s="21"/>
      <c r="V5838" s="21" t="s">
        <v>9009</v>
      </c>
      <c r="W5838" s="21" t="s">
        <v>9010</v>
      </c>
      <c r="X5838" s="21"/>
      <c r="Y5838" s="21" t="s">
        <v>41</v>
      </c>
      <c r="Z5838" s="21"/>
      <c r="AA5838" s="21" t="str">
        <f>HYPERLINK("https://miland.ru/api/getInfo/item/9401d95f-6ac8-11ef-a265-00155d82e908")</f>
        <v>https://miland.ru/api/getInfo/item/9401d95f-6ac8-11ef-a265-00155d82e908</v>
      </c>
      <c r="AB5838" s="21" t="s">
        <v>50</v>
      </c>
      <c r="AC5838" s="21" t="s">
        <v>1698</v>
      </c>
      <c r="AD5838" s="21"/>
    </row>
    <row r="5839" spans="2:31" s="1" customFormat="1" ht="96.3" customHeight="1" outlineLevel="4">
      <c r="B5839" s="57">
        <v>4769</v>
      </c>
      <c r="C5839" s="21" t="s">
        <v>20807</v>
      </c>
      <c r="D5839" s="72" t="s">
        <v>20808</v>
      </c>
      <c r="E5839" s="72"/>
      <c r="F5839" s="72"/>
      <c r="G5839" s="72"/>
      <c r="H5839" s="22" t="s">
        <v>20809</v>
      </c>
      <c r="I5839" s="23" t="s">
        <v>36</v>
      </c>
      <c r="J5839" s="22"/>
      <c r="K5839" s="20">
        <v>30</v>
      </c>
      <c r="L5839" s="24">
        <v>18.21</v>
      </c>
      <c r="M5839" s="11"/>
      <c r="N5839" s="22">
        <f t="shared" si="332"/>
        <v>0</v>
      </c>
      <c r="O5839" s="25">
        <f>0.007*M5839</f>
        <v>0</v>
      </c>
      <c r="P5839" s="26">
        <f>0.00003*M5839</f>
        <v>0</v>
      </c>
      <c r="Q5839" s="30"/>
      <c r="R5839" s="22" t="s">
        <v>20810</v>
      </c>
      <c r="S5839" s="22"/>
      <c r="T5839" s="21" t="str">
        <f>HYPERLINK("https://miland.ru/api/getInfo/image/3415de59-86f9-11f0-a284-00155d82e908")</f>
        <v>https://miland.ru/api/getInfo/image/3415de59-86f9-11f0-a284-00155d82e908</v>
      </c>
      <c r="U5839" s="21"/>
      <c r="V5839" s="21" t="s">
        <v>9009</v>
      </c>
      <c r="W5839" s="21" t="s">
        <v>9010</v>
      </c>
      <c r="X5839" s="21"/>
      <c r="Y5839" s="21" t="s">
        <v>41</v>
      </c>
      <c r="Z5839" s="21"/>
      <c r="AA5839" s="21" t="str">
        <f>HYPERLINK("https://miland.ru/api/getInfo/item/3415de59-86f9-11f0-a284-00155d82e908")</f>
        <v>https://miland.ru/api/getInfo/item/3415de59-86f9-11f0-a284-00155d82e908</v>
      </c>
      <c r="AB5839" s="21" t="s">
        <v>50</v>
      </c>
      <c r="AC5839" s="21"/>
      <c r="AD5839" s="21"/>
    </row>
    <row r="5840" spans="2:31" s="1" customFormat="1" ht="96.3" customHeight="1" outlineLevel="4">
      <c r="B5840" s="58">
        <v>4770</v>
      </c>
      <c r="C5840" s="7" t="s">
        <v>20811</v>
      </c>
      <c r="D5840" s="71" t="s">
        <v>20812</v>
      </c>
      <c r="E5840" s="71"/>
      <c r="F5840" s="71"/>
      <c r="G5840" s="71"/>
      <c r="H5840" s="8" t="s">
        <v>20813</v>
      </c>
      <c r="I5840" s="9" t="s">
        <v>36</v>
      </c>
      <c r="J5840" s="8"/>
      <c r="K5840" s="6">
        <v>30</v>
      </c>
      <c r="L5840" s="10">
        <v>18.21</v>
      </c>
      <c r="M5840" s="11"/>
      <c r="N5840" s="8">
        <f t="shared" si="332"/>
        <v>0</v>
      </c>
      <c r="O5840" s="12">
        <f t="shared" ref="O5840:O5847" si="333">0.018*M5840</f>
        <v>0</v>
      </c>
      <c r="P5840" s="13">
        <f t="shared" ref="P5840:P5847" si="334">0.00004*M5840</f>
        <v>0</v>
      </c>
      <c r="Q5840" s="17" t="s">
        <v>37</v>
      </c>
      <c r="R5840" s="8" t="s">
        <v>20814</v>
      </c>
      <c r="S5840" s="8"/>
      <c r="T5840" s="7" t="str">
        <f>HYPERLINK("https://miland.ru/api/getInfo/image/2cdd20f3-0e32-11f1-a28f-00155d82e908")</f>
        <v>https://miland.ru/api/getInfo/image/2cdd20f3-0e32-11f1-a28f-00155d82e908</v>
      </c>
      <c r="U5840" s="7"/>
      <c r="V5840" s="7" t="s">
        <v>9009</v>
      </c>
      <c r="W5840" s="7" t="s">
        <v>9010</v>
      </c>
      <c r="X5840" s="7"/>
      <c r="Y5840" s="7" t="s">
        <v>41</v>
      </c>
      <c r="Z5840" s="7"/>
      <c r="AA5840" s="7" t="str">
        <f>HYPERLINK("https://miland.ru/api/getInfo/item/2cdd20f3-0e32-11f1-a28f-00155d82e908")</f>
        <v>https://miland.ru/api/getInfo/item/2cdd20f3-0e32-11f1-a28f-00155d82e908</v>
      </c>
      <c r="AB5840" s="7" t="s">
        <v>50</v>
      </c>
      <c r="AC5840" s="7"/>
      <c r="AD5840" s="7"/>
      <c r="AE5840" s="54"/>
    </row>
    <row r="5841" spans="2:31" s="1" customFormat="1" ht="96.3" customHeight="1" outlineLevel="4">
      <c r="B5841" s="58">
        <v>4771</v>
      </c>
      <c r="C5841" s="7" t="s">
        <v>20815</v>
      </c>
      <c r="D5841" s="71" t="s">
        <v>20816</v>
      </c>
      <c r="E5841" s="71"/>
      <c r="F5841" s="71"/>
      <c r="G5841" s="71"/>
      <c r="H5841" s="8" t="s">
        <v>20817</v>
      </c>
      <c r="I5841" s="9" t="s">
        <v>36</v>
      </c>
      <c r="J5841" s="8"/>
      <c r="K5841" s="6">
        <v>30</v>
      </c>
      <c r="L5841" s="10">
        <v>18.21</v>
      </c>
      <c r="M5841" s="11"/>
      <c r="N5841" s="8">
        <f t="shared" si="332"/>
        <v>0</v>
      </c>
      <c r="O5841" s="12">
        <f t="shared" si="333"/>
        <v>0</v>
      </c>
      <c r="P5841" s="13">
        <f t="shared" si="334"/>
        <v>0</v>
      </c>
      <c r="Q5841" s="17" t="s">
        <v>37</v>
      </c>
      <c r="R5841" s="8" t="s">
        <v>20818</v>
      </c>
      <c r="S5841" s="8"/>
      <c r="T5841" s="7" t="str">
        <f>HYPERLINK("https://miland.ru/api/getInfo/image/eea71fbb-0e31-11f1-a28f-00155d82e908")</f>
        <v>https://miland.ru/api/getInfo/image/eea71fbb-0e31-11f1-a28f-00155d82e908</v>
      </c>
      <c r="U5841" s="7"/>
      <c r="V5841" s="7" t="s">
        <v>9009</v>
      </c>
      <c r="W5841" s="7" t="s">
        <v>9010</v>
      </c>
      <c r="X5841" s="7"/>
      <c r="Y5841" s="7" t="s">
        <v>41</v>
      </c>
      <c r="Z5841" s="7"/>
      <c r="AA5841" s="7" t="str">
        <f>HYPERLINK("https://miland.ru/api/getInfo/item/eea71fbb-0e31-11f1-a28f-00155d82e908")</f>
        <v>https://miland.ru/api/getInfo/item/eea71fbb-0e31-11f1-a28f-00155d82e908</v>
      </c>
      <c r="AB5841" s="7" t="s">
        <v>50</v>
      </c>
      <c r="AC5841" s="7"/>
      <c r="AD5841" s="7"/>
      <c r="AE5841" s="54"/>
    </row>
    <row r="5842" spans="2:31" s="1" customFormat="1" ht="96.3" customHeight="1" outlineLevel="4">
      <c r="B5842" s="58">
        <v>4772</v>
      </c>
      <c r="C5842" s="7" t="s">
        <v>20819</v>
      </c>
      <c r="D5842" s="71" t="s">
        <v>20820</v>
      </c>
      <c r="E5842" s="71"/>
      <c r="F5842" s="71"/>
      <c r="G5842" s="71"/>
      <c r="H5842" s="8" t="s">
        <v>20821</v>
      </c>
      <c r="I5842" s="9" t="s">
        <v>36</v>
      </c>
      <c r="J5842" s="8"/>
      <c r="K5842" s="6">
        <v>30</v>
      </c>
      <c r="L5842" s="10">
        <v>18.21</v>
      </c>
      <c r="M5842" s="11"/>
      <c r="N5842" s="8">
        <f t="shared" si="332"/>
        <v>0</v>
      </c>
      <c r="O5842" s="12">
        <f t="shared" si="333"/>
        <v>0</v>
      </c>
      <c r="P5842" s="13">
        <f t="shared" si="334"/>
        <v>0</v>
      </c>
      <c r="Q5842" s="17" t="s">
        <v>37</v>
      </c>
      <c r="R5842" s="8" t="s">
        <v>20822</v>
      </c>
      <c r="S5842" s="8"/>
      <c r="T5842" s="7" t="str">
        <f>HYPERLINK("https://miland.ru/api/getInfo/image/775fa6f8-0e31-11f1-a28f-00155d82e908")</f>
        <v>https://miland.ru/api/getInfo/image/775fa6f8-0e31-11f1-a28f-00155d82e908</v>
      </c>
      <c r="U5842" s="7"/>
      <c r="V5842" s="7" t="s">
        <v>9009</v>
      </c>
      <c r="W5842" s="7" t="s">
        <v>9010</v>
      </c>
      <c r="X5842" s="7"/>
      <c r="Y5842" s="7" t="s">
        <v>41</v>
      </c>
      <c r="Z5842" s="7"/>
      <c r="AA5842" s="7" t="str">
        <f>HYPERLINK("https://miland.ru/api/getInfo/item/775fa6f8-0e31-11f1-a28f-00155d82e908")</f>
        <v>https://miland.ru/api/getInfo/item/775fa6f8-0e31-11f1-a28f-00155d82e908</v>
      </c>
      <c r="AB5842" s="7" t="s">
        <v>50</v>
      </c>
      <c r="AC5842" s="7"/>
      <c r="AD5842" s="7"/>
      <c r="AE5842" s="54"/>
    </row>
    <row r="5843" spans="2:31" s="1" customFormat="1" ht="96.3" customHeight="1" outlineLevel="4">
      <c r="B5843" s="58">
        <v>4773</v>
      </c>
      <c r="C5843" s="7" t="s">
        <v>20823</v>
      </c>
      <c r="D5843" s="71" t="s">
        <v>20824</v>
      </c>
      <c r="E5843" s="71"/>
      <c r="F5843" s="71"/>
      <c r="G5843" s="71"/>
      <c r="H5843" s="8" t="s">
        <v>20825</v>
      </c>
      <c r="I5843" s="9" t="s">
        <v>36</v>
      </c>
      <c r="J5843" s="8"/>
      <c r="K5843" s="6">
        <v>30</v>
      </c>
      <c r="L5843" s="10">
        <v>18.21</v>
      </c>
      <c r="M5843" s="11"/>
      <c r="N5843" s="8">
        <f t="shared" si="332"/>
        <v>0</v>
      </c>
      <c r="O5843" s="12">
        <f t="shared" si="333"/>
        <v>0</v>
      </c>
      <c r="P5843" s="13">
        <f t="shared" si="334"/>
        <v>0</v>
      </c>
      <c r="Q5843" s="17" t="s">
        <v>37</v>
      </c>
      <c r="R5843" s="8" t="s">
        <v>20826</v>
      </c>
      <c r="S5843" s="8"/>
      <c r="T5843" s="7" t="str">
        <f>HYPERLINK("https://miland.ru/api/getInfo/image/48d869cb-0e31-11f1-a28f-00155d82e908")</f>
        <v>https://miland.ru/api/getInfo/image/48d869cb-0e31-11f1-a28f-00155d82e908</v>
      </c>
      <c r="U5843" s="7"/>
      <c r="V5843" s="7" t="s">
        <v>9009</v>
      </c>
      <c r="W5843" s="7" t="s">
        <v>9010</v>
      </c>
      <c r="X5843" s="7"/>
      <c r="Y5843" s="7" t="s">
        <v>41</v>
      </c>
      <c r="Z5843" s="7"/>
      <c r="AA5843" s="7" t="str">
        <f>HYPERLINK("https://miland.ru/api/getInfo/item/48d869cb-0e31-11f1-a28f-00155d82e908")</f>
        <v>https://miland.ru/api/getInfo/item/48d869cb-0e31-11f1-a28f-00155d82e908</v>
      </c>
      <c r="AB5843" s="7" t="s">
        <v>50</v>
      </c>
      <c r="AC5843" s="7"/>
      <c r="AD5843" s="7"/>
      <c r="AE5843" s="54"/>
    </row>
    <row r="5844" spans="2:31" s="1" customFormat="1" ht="96.3" customHeight="1" outlineLevel="4">
      <c r="B5844" s="58">
        <v>4774</v>
      </c>
      <c r="C5844" s="7" t="s">
        <v>20827</v>
      </c>
      <c r="D5844" s="71" t="s">
        <v>20828</v>
      </c>
      <c r="E5844" s="71"/>
      <c r="F5844" s="71"/>
      <c r="G5844" s="71"/>
      <c r="H5844" s="8" t="s">
        <v>20829</v>
      </c>
      <c r="I5844" s="9" t="s">
        <v>36</v>
      </c>
      <c r="J5844" s="8"/>
      <c r="K5844" s="6">
        <v>30</v>
      </c>
      <c r="L5844" s="10">
        <v>18.21</v>
      </c>
      <c r="M5844" s="11"/>
      <c r="N5844" s="8">
        <f t="shared" si="332"/>
        <v>0</v>
      </c>
      <c r="O5844" s="12">
        <f t="shared" si="333"/>
        <v>0</v>
      </c>
      <c r="P5844" s="13">
        <f t="shared" si="334"/>
        <v>0</v>
      </c>
      <c r="Q5844" s="17" t="s">
        <v>37</v>
      </c>
      <c r="R5844" s="8" t="s">
        <v>20830</v>
      </c>
      <c r="S5844" s="8"/>
      <c r="T5844" s="7" t="str">
        <f>HYPERLINK("https://miland.ru/api/getInfo/image/db083422-0e31-11f1-a28f-00155d82e908")</f>
        <v>https://miland.ru/api/getInfo/image/db083422-0e31-11f1-a28f-00155d82e908</v>
      </c>
      <c r="U5844" s="7"/>
      <c r="V5844" s="7" t="s">
        <v>9009</v>
      </c>
      <c r="W5844" s="7" t="s">
        <v>9010</v>
      </c>
      <c r="X5844" s="7"/>
      <c r="Y5844" s="7" t="s">
        <v>41</v>
      </c>
      <c r="Z5844" s="7"/>
      <c r="AA5844" s="7" t="str">
        <f>HYPERLINK("https://miland.ru/api/getInfo/item/db083422-0e31-11f1-a28f-00155d82e908")</f>
        <v>https://miland.ru/api/getInfo/item/db083422-0e31-11f1-a28f-00155d82e908</v>
      </c>
      <c r="AB5844" s="7" t="s">
        <v>50</v>
      </c>
      <c r="AC5844" s="7"/>
      <c r="AD5844" s="7"/>
      <c r="AE5844" s="54"/>
    </row>
    <row r="5845" spans="2:31" s="1" customFormat="1" ht="96.3" customHeight="1" outlineLevel="4">
      <c r="B5845" s="58">
        <v>4775</v>
      </c>
      <c r="C5845" s="7" t="s">
        <v>20831</v>
      </c>
      <c r="D5845" s="71" t="s">
        <v>20832</v>
      </c>
      <c r="E5845" s="71"/>
      <c r="F5845" s="71"/>
      <c r="G5845" s="71"/>
      <c r="H5845" s="8" t="s">
        <v>20833</v>
      </c>
      <c r="I5845" s="9" t="s">
        <v>36</v>
      </c>
      <c r="J5845" s="8"/>
      <c r="K5845" s="6">
        <v>30</v>
      </c>
      <c r="L5845" s="10">
        <v>18.21</v>
      </c>
      <c r="M5845" s="11"/>
      <c r="N5845" s="8">
        <f t="shared" si="332"/>
        <v>0</v>
      </c>
      <c r="O5845" s="12">
        <f t="shared" si="333"/>
        <v>0</v>
      </c>
      <c r="P5845" s="13">
        <f t="shared" si="334"/>
        <v>0</v>
      </c>
      <c r="Q5845" s="17" t="s">
        <v>37</v>
      </c>
      <c r="R5845" s="8" t="s">
        <v>20834</v>
      </c>
      <c r="S5845" s="8"/>
      <c r="T5845" s="7" t="str">
        <f>HYPERLINK("https://miland.ru/api/getInfo/image/bf183605-0e31-11f1-a28f-00155d82e908")</f>
        <v>https://miland.ru/api/getInfo/image/bf183605-0e31-11f1-a28f-00155d82e908</v>
      </c>
      <c r="U5845" s="7"/>
      <c r="V5845" s="7" t="s">
        <v>9009</v>
      </c>
      <c r="W5845" s="7" t="s">
        <v>9010</v>
      </c>
      <c r="X5845" s="7"/>
      <c r="Y5845" s="7" t="s">
        <v>41</v>
      </c>
      <c r="Z5845" s="7"/>
      <c r="AA5845" s="7" t="str">
        <f>HYPERLINK("https://miland.ru/api/getInfo/item/bf183605-0e31-11f1-a28f-00155d82e908")</f>
        <v>https://miland.ru/api/getInfo/item/bf183605-0e31-11f1-a28f-00155d82e908</v>
      </c>
      <c r="AB5845" s="7" t="s">
        <v>50</v>
      </c>
      <c r="AC5845" s="7"/>
      <c r="AD5845" s="7"/>
      <c r="AE5845" s="54"/>
    </row>
    <row r="5846" spans="2:31" s="1" customFormat="1" ht="96.3" customHeight="1" outlineLevel="4">
      <c r="B5846" s="58">
        <v>4776</v>
      </c>
      <c r="C5846" s="7" t="s">
        <v>20835</v>
      </c>
      <c r="D5846" s="71" t="s">
        <v>20836</v>
      </c>
      <c r="E5846" s="71"/>
      <c r="F5846" s="71"/>
      <c r="G5846" s="71"/>
      <c r="H5846" s="8" t="s">
        <v>20837</v>
      </c>
      <c r="I5846" s="9" t="s">
        <v>36</v>
      </c>
      <c r="J5846" s="8"/>
      <c r="K5846" s="6">
        <v>30</v>
      </c>
      <c r="L5846" s="10">
        <v>18.21</v>
      </c>
      <c r="M5846" s="11"/>
      <c r="N5846" s="8">
        <f t="shared" si="332"/>
        <v>0</v>
      </c>
      <c r="O5846" s="12">
        <f t="shared" si="333"/>
        <v>0</v>
      </c>
      <c r="P5846" s="13">
        <f t="shared" si="334"/>
        <v>0</v>
      </c>
      <c r="Q5846" s="17" t="s">
        <v>37</v>
      </c>
      <c r="R5846" s="8" t="s">
        <v>20838</v>
      </c>
      <c r="S5846" s="8"/>
      <c r="T5846" s="7" t="str">
        <f>HYPERLINK("https://miland.ru/api/getInfo/image/7f2b5a38-0e30-11f1-a28f-00155d82e908")</f>
        <v>https://miland.ru/api/getInfo/image/7f2b5a38-0e30-11f1-a28f-00155d82e908</v>
      </c>
      <c r="U5846" s="7"/>
      <c r="V5846" s="7" t="s">
        <v>9009</v>
      </c>
      <c r="W5846" s="7" t="s">
        <v>9010</v>
      </c>
      <c r="X5846" s="7"/>
      <c r="Y5846" s="7" t="s">
        <v>41</v>
      </c>
      <c r="Z5846" s="7"/>
      <c r="AA5846" s="7" t="str">
        <f>HYPERLINK("https://miland.ru/api/getInfo/item/7f2b5a38-0e30-11f1-a28f-00155d82e908")</f>
        <v>https://miland.ru/api/getInfo/item/7f2b5a38-0e30-11f1-a28f-00155d82e908</v>
      </c>
      <c r="AB5846" s="7" t="s">
        <v>50</v>
      </c>
      <c r="AC5846" s="7"/>
      <c r="AD5846" s="7"/>
      <c r="AE5846" s="54"/>
    </row>
    <row r="5847" spans="2:31" s="1" customFormat="1" ht="96.3" customHeight="1" outlineLevel="4">
      <c r="B5847" s="58">
        <v>4777</v>
      </c>
      <c r="C5847" s="7" t="s">
        <v>20839</v>
      </c>
      <c r="D5847" s="71" t="s">
        <v>20840</v>
      </c>
      <c r="E5847" s="71"/>
      <c r="F5847" s="71"/>
      <c r="G5847" s="71"/>
      <c r="H5847" s="8" t="s">
        <v>20841</v>
      </c>
      <c r="I5847" s="14">
        <v>160</v>
      </c>
      <c r="J5847" s="8"/>
      <c r="K5847" s="6">
        <v>30</v>
      </c>
      <c r="L5847" s="10">
        <v>18.21</v>
      </c>
      <c r="M5847" s="11"/>
      <c r="N5847" s="8">
        <f t="shared" si="332"/>
        <v>0</v>
      </c>
      <c r="O5847" s="12">
        <f t="shared" si="333"/>
        <v>0</v>
      </c>
      <c r="P5847" s="13">
        <f t="shared" si="334"/>
        <v>0</v>
      </c>
      <c r="Q5847" s="17" t="s">
        <v>37</v>
      </c>
      <c r="R5847" s="8" t="s">
        <v>20842</v>
      </c>
      <c r="S5847" s="8"/>
      <c r="T5847" s="7" t="str">
        <f>HYPERLINK("https://miland.ru/api/getInfo/image/94432d25-0e31-11f1-a28f-00155d82e908")</f>
        <v>https://miland.ru/api/getInfo/image/94432d25-0e31-11f1-a28f-00155d82e908</v>
      </c>
      <c r="U5847" s="7"/>
      <c r="V5847" s="7" t="s">
        <v>9009</v>
      </c>
      <c r="W5847" s="7" t="s">
        <v>9010</v>
      </c>
      <c r="X5847" s="7"/>
      <c r="Y5847" s="7" t="s">
        <v>41</v>
      </c>
      <c r="Z5847" s="7"/>
      <c r="AA5847" s="7" t="str">
        <f>HYPERLINK("https://miland.ru/api/getInfo/item/94432d25-0e31-11f1-a28f-00155d82e908")</f>
        <v>https://miland.ru/api/getInfo/item/94432d25-0e31-11f1-a28f-00155d82e908</v>
      </c>
      <c r="AB5847" s="7" t="s">
        <v>50</v>
      </c>
      <c r="AC5847" s="7"/>
      <c r="AD5847" s="7"/>
      <c r="AE5847" s="54"/>
    </row>
    <row r="5848" spans="2:31" ht="12" customHeight="1" outlineLevel="3">
      <c r="B5848" s="70" t="s">
        <v>20843</v>
      </c>
      <c r="C5848" s="70"/>
      <c r="D5848" s="70"/>
      <c r="E5848" s="70"/>
      <c r="F5848" s="70"/>
      <c r="G5848" s="70"/>
    </row>
    <row r="5849" spans="2:31" s="1" customFormat="1" ht="96.3" customHeight="1" outlineLevel="4">
      <c r="B5849" s="59">
        <v>4778</v>
      </c>
      <c r="C5849" s="35" t="s">
        <v>20844</v>
      </c>
      <c r="D5849" s="73" t="s">
        <v>20845</v>
      </c>
      <c r="E5849" s="73"/>
      <c r="F5849" s="73"/>
      <c r="G5849" s="73"/>
      <c r="H5849" s="36" t="s">
        <v>20846</v>
      </c>
      <c r="I5849" s="56" t="s">
        <v>36</v>
      </c>
      <c r="J5849" s="36"/>
      <c r="K5849" s="34">
        <v>20</v>
      </c>
      <c r="L5849" s="41">
        <v>12.533333333333333</v>
      </c>
      <c r="M5849" s="11"/>
      <c r="N5849" s="36">
        <f t="shared" ref="N5849:N5864" si="335">L5849*M5849</f>
        <v>0</v>
      </c>
      <c r="O5849" s="42">
        <f t="shared" ref="O5849:O5855" si="336">0.007*M5849</f>
        <v>0</v>
      </c>
      <c r="P5849" s="43">
        <f t="shared" ref="P5849:P5855" si="337">0.00003*M5849</f>
        <v>0</v>
      </c>
      <c r="Q5849" s="50"/>
      <c r="R5849" s="36" t="s">
        <v>20847</v>
      </c>
      <c r="S5849" s="36" t="s">
        <v>435</v>
      </c>
      <c r="T5849" s="35" t="str">
        <f>HYPERLINK("https://miland.ru/api/getInfo/image/cca91482-b805-11ed-a230-00155d82e902")</f>
        <v>https://miland.ru/api/getInfo/image/cca91482-b805-11ed-a230-00155d82e902</v>
      </c>
      <c r="U5849" s="35"/>
      <c r="V5849" s="35" t="s">
        <v>9009</v>
      </c>
      <c r="W5849" s="35" t="s">
        <v>9010</v>
      </c>
      <c r="X5849" s="35"/>
      <c r="Y5849" s="35" t="s">
        <v>41</v>
      </c>
      <c r="Z5849" s="35"/>
      <c r="AA5849" s="35" t="str">
        <f>HYPERLINK("https://miland.ru/api/getInfo/item/cca91482-b805-11ed-a230-00155d82e902")</f>
        <v>https://miland.ru/api/getInfo/item/cca91482-b805-11ed-a230-00155d82e902</v>
      </c>
      <c r="AB5849" s="35" t="s">
        <v>50</v>
      </c>
      <c r="AC5849" s="35" t="s">
        <v>1698</v>
      </c>
      <c r="AD5849" s="35"/>
      <c r="AE5849" s="52" t="s">
        <v>1251</v>
      </c>
    </row>
    <row r="5850" spans="2:31" s="1" customFormat="1" ht="96.3" customHeight="1" outlineLevel="4">
      <c r="B5850" s="59">
        <v>4779</v>
      </c>
      <c r="C5850" s="35" t="s">
        <v>20848</v>
      </c>
      <c r="D5850" s="73" t="s">
        <v>20849</v>
      </c>
      <c r="E5850" s="73"/>
      <c r="F5850" s="73"/>
      <c r="G5850" s="73"/>
      <c r="H5850" s="36" t="s">
        <v>20850</v>
      </c>
      <c r="I5850" s="40">
        <v>220</v>
      </c>
      <c r="J5850" s="36"/>
      <c r="K5850" s="34">
        <v>20</v>
      </c>
      <c r="L5850" s="41">
        <v>16.546666666666667</v>
      </c>
      <c r="M5850" s="11"/>
      <c r="N5850" s="36">
        <f t="shared" si="335"/>
        <v>0</v>
      </c>
      <c r="O5850" s="42">
        <f t="shared" si="336"/>
        <v>0</v>
      </c>
      <c r="P5850" s="43">
        <f t="shared" si="337"/>
        <v>0</v>
      </c>
      <c r="Q5850" s="50"/>
      <c r="R5850" s="36" t="s">
        <v>20851</v>
      </c>
      <c r="S5850" s="36" t="s">
        <v>435</v>
      </c>
      <c r="T5850" s="35" t="str">
        <f>HYPERLINK("https://miland.ru/api/getInfo/image/0e1eabac-b805-11ed-a230-00155d82e902")</f>
        <v>https://miland.ru/api/getInfo/image/0e1eabac-b805-11ed-a230-00155d82e902</v>
      </c>
      <c r="U5850" s="35"/>
      <c r="V5850" s="35" t="s">
        <v>9009</v>
      </c>
      <c r="W5850" s="35" t="s">
        <v>9010</v>
      </c>
      <c r="X5850" s="35"/>
      <c r="Y5850" s="35" t="s">
        <v>41</v>
      </c>
      <c r="Z5850" s="35"/>
      <c r="AA5850" s="35" t="str">
        <f>HYPERLINK("https://miland.ru/api/getInfo/item/0e1eabac-b805-11ed-a230-00155d82e902")</f>
        <v>https://miland.ru/api/getInfo/item/0e1eabac-b805-11ed-a230-00155d82e902</v>
      </c>
      <c r="AB5850" s="35" t="s">
        <v>50</v>
      </c>
      <c r="AC5850" s="35" t="s">
        <v>1698</v>
      </c>
      <c r="AD5850" s="35"/>
      <c r="AE5850" s="52" t="s">
        <v>1251</v>
      </c>
    </row>
    <row r="5851" spans="2:31" s="1" customFormat="1" ht="96.3" customHeight="1" outlineLevel="4">
      <c r="B5851" s="59">
        <v>4780</v>
      </c>
      <c r="C5851" s="35" t="s">
        <v>20852</v>
      </c>
      <c r="D5851" s="73" t="s">
        <v>20853</v>
      </c>
      <c r="E5851" s="73"/>
      <c r="F5851" s="73"/>
      <c r="G5851" s="73"/>
      <c r="H5851" s="36" t="s">
        <v>20854</v>
      </c>
      <c r="I5851" s="56" t="s">
        <v>36</v>
      </c>
      <c r="J5851" s="36"/>
      <c r="K5851" s="34">
        <v>20</v>
      </c>
      <c r="L5851" s="41">
        <v>12.533333333333333</v>
      </c>
      <c r="M5851" s="11"/>
      <c r="N5851" s="36">
        <f t="shared" si="335"/>
        <v>0</v>
      </c>
      <c r="O5851" s="42">
        <f t="shared" si="336"/>
        <v>0</v>
      </c>
      <c r="P5851" s="43">
        <f t="shared" si="337"/>
        <v>0</v>
      </c>
      <c r="Q5851" s="50"/>
      <c r="R5851" s="36" t="s">
        <v>20855</v>
      </c>
      <c r="S5851" s="36" t="s">
        <v>435</v>
      </c>
      <c r="T5851" s="35" t="str">
        <f>HYPERLINK("https://miland.ru/api/getInfo/image/fbc10712-b806-11ed-a230-00155d82e902")</f>
        <v>https://miland.ru/api/getInfo/image/fbc10712-b806-11ed-a230-00155d82e902</v>
      </c>
      <c r="U5851" s="35"/>
      <c r="V5851" s="35" t="s">
        <v>9009</v>
      </c>
      <c r="W5851" s="35" t="s">
        <v>9010</v>
      </c>
      <c r="X5851" s="35"/>
      <c r="Y5851" s="35" t="s">
        <v>41</v>
      </c>
      <c r="Z5851" s="35"/>
      <c r="AA5851" s="35" t="str">
        <f>HYPERLINK("https://miland.ru/api/getInfo/item/fbc10712-b806-11ed-a230-00155d82e902")</f>
        <v>https://miland.ru/api/getInfo/item/fbc10712-b806-11ed-a230-00155d82e902</v>
      </c>
      <c r="AB5851" s="35" t="s">
        <v>50</v>
      </c>
      <c r="AC5851" s="35" t="s">
        <v>1698</v>
      </c>
      <c r="AD5851" s="35"/>
      <c r="AE5851" s="52" t="s">
        <v>1251</v>
      </c>
    </row>
    <row r="5852" spans="2:31" s="1" customFormat="1" ht="96.3" customHeight="1" outlineLevel="4">
      <c r="B5852" s="59">
        <v>4781</v>
      </c>
      <c r="C5852" s="35" t="s">
        <v>20856</v>
      </c>
      <c r="D5852" s="73" t="s">
        <v>20857</v>
      </c>
      <c r="E5852" s="73"/>
      <c r="F5852" s="73"/>
      <c r="G5852" s="73"/>
      <c r="H5852" s="36" t="s">
        <v>20858</v>
      </c>
      <c r="I5852" s="40">
        <v>40</v>
      </c>
      <c r="J5852" s="36"/>
      <c r="K5852" s="34">
        <v>20</v>
      </c>
      <c r="L5852" s="41">
        <v>12.253333333333332</v>
      </c>
      <c r="M5852" s="11"/>
      <c r="N5852" s="36">
        <f t="shared" si="335"/>
        <v>0</v>
      </c>
      <c r="O5852" s="42">
        <f t="shared" si="336"/>
        <v>0</v>
      </c>
      <c r="P5852" s="43">
        <f t="shared" si="337"/>
        <v>0</v>
      </c>
      <c r="Q5852" s="50"/>
      <c r="R5852" s="36" t="s">
        <v>20859</v>
      </c>
      <c r="S5852" s="36" t="s">
        <v>435</v>
      </c>
      <c r="T5852" s="35" t="str">
        <f>HYPERLINK("https://miland.ru/api/getInfo/image/48b34e01-b805-11ed-a230-00155d82e902")</f>
        <v>https://miland.ru/api/getInfo/image/48b34e01-b805-11ed-a230-00155d82e902</v>
      </c>
      <c r="U5852" s="35"/>
      <c r="V5852" s="35" t="s">
        <v>9009</v>
      </c>
      <c r="W5852" s="35" t="s">
        <v>9010</v>
      </c>
      <c r="X5852" s="35"/>
      <c r="Y5852" s="35" t="s">
        <v>41</v>
      </c>
      <c r="Z5852" s="35"/>
      <c r="AA5852" s="35" t="str">
        <f>HYPERLINK("https://miland.ru/api/getInfo/item/48b34e01-b805-11ed-a230-00155d82e902")</f>
        <v>https://miland.ru/api/getInfo/item/48b34e01-b805-11ed-a230-00155d82e902</v>
      </c>
      <c r="AB5852" s="35" t="s">
        <v>50</v>
      </c>
      <c r="AC5852" s="35" t="s">
        <v>1698</v>
      </c>
      <c r="AD5852" s="35"/>
      <c r="AE5852" s="52" t="s">
        <v>1251</v>
      </c>
    </row>
    <row r="5853" spans="2:31" s="1" customFormat="1" ht="96.3" customHeight="1" outlineLevel="4">
      <c r="B5853" s="59">
        <v>4782</v>
      </c>
      <c r="C5853" s="35" t="s">
        <v>20860</v>
      </c>
      <c r="D5853" s="73" t="s">
        <v>20861</v>
      </c>
      <c r="E5853" s="73"/>
      <c r="F5853" s="73"/>
      <c r="G5853" s="73"/>
      <c r="H5853" s="36" t="s">
        <v>20862</v>
      </c>
      <c r="I5853" s="56" t="s">
        <v>36</v>
      </c>
      <c r="J5853" s="36"/>
      <c r="K5853" s="34">
        <v>20</v>
      </c>
      <c r="L5853" s="41">
        <v>12.533333333333333</v>
      </c>
      <c r="M5853" s="11"/>
      <c r="N5853" s="36">
        <f t="shared" si="335"/>
        <v>0</v>
      </c>
      <c r="O5853" s="42">
        <f t="shared" si="336"/>
        <v>0</v>
      </c>
      <c r="P5853" s="43">
        <f t="shared" si="337"/>
        <v>0</v>
      </c>
      <c r="Q5853" s="50"/>
      <c r="R5853" s="36" t="s">
        <v>20863</v>
      </c>
      <c r="S5853" s="36" t="s">
        <v>435</v>
      </c>
      <c r="T5853" s="35" t="str">
        <f>HYPERLINK("https://miland.ru/api/getInfo/image/cc0600e5-b804-11ed-a230-00155d82e902")</f>
        <v>https://miland.ru/api/getInfo/image/cc0600e5-b804-11ed-a230-00155d82e902</v>
      </c>
      <c r="U5853" s="35"/>
      <c r="V5853" s="35" t="s">
        <v>9009</v>
      </c>
      <c r="W5853" s="35" t="s">
        <v>9010</v>
      </c>
      <c r="X5853" s="35"/>
      <c r="Y5853" s="35" t="s">
        <v>41</v>
      </c>
      <c r="Z5853" s="35"/>
      <c r="AA5853" s="35" t="str">
        <f>HYPERLINK("https://miland.ru/api/getInfo/item/cc0600e5-b804-11ed-a230-00155d82e902")</f>
        <v>https://miland.ru/api/getInfo/item/cc0600e5-b804-11ed-a230-00155d82e902</v>
      </c>
      <c r="AB5853" s="35" t="s">
        <v>50</v>
      </c>
      <c r="AC5853" s="35" t="s">
        <v>1698</v>
      </c>
      <c r="AD5853" s="35"/>
      <c r="AE5853" s="52" t="s">
        <v>1251</v>
      </c>
    </row>
    <row r="5854" spans="2:31" s="1" customFormat="1" ht="96.3" customHeight="1" outlineLevel="4">
      <c r="B5854" s="59">
        <v>4783</v>
      </c>
      <c r="C5854" s="35" t="s">
        <v>20864</v>
      </c>
      <c r="D5854" s="73" t="s">
        <v>20865</v>
      </c>
      <c r="E5854" s="73"/>
      <c r="F5854" s="73"/>
      <c r="G5854" s="73"/>
      <c r="H5854" s="36" t="s">
        <v>20866</v>
      </c>
      <c r="I5854" s="56" t="s">
        <v>36</v>
      </c>
      <c r="J5854" s="36"/>
      <c r="K5854" s="34">
        <v>20</v>
      </c>
      <c r="L5854" s="41">
        <v>12.533333333333333</v>
      </c>
      <c r="M5854" s="11"/>
      <c r="N5854" s="36">
        <f t="shared" si="335"/>
        <v>0</v>
      </c>
      <c r="O5854" s="42">
        <f t="shared" si="336"/>
        <v>0</v>
      </c>
      <c r="P5854" s="43">
        <f t="shared" si="337"/>
        <v>0</v>
      </c>
      <c r="Q5854" s="50"/>
      <c r="R5854" s="36" t="s">
        <v>20867</v>
      </c>
      <c r="S5854" s="36" t="s">
        <v>435</v>
      </c>
      <c r="T5854" s="35" t="str">
        <f>HYPERLINK("https://miland.ru/api/getInfo/image/8cf9df48-b805-11ed-a230-00155d82e902")</f>
        <v>https://miland.ru/api/getInfo/image/8cf9df48-b805-11ed-a230-00155d82e902</v>
      </c>
      <c r="U5854" s="35"/>
      <c r="V5854" s="35" t="s">
        <v>9009</v>
      </c>
      <c r="W5854" s="35" t="s">
        <v>9010</v>
      </c>
      <c r="X5854" s="35"/>
      <c r="Y5854" s="35" t="s">
        <v>41</v>
      </c>
      <c r="Z5854" s="35"/>
      <c r="AA5854" s="35" t="str">
        <f>HYPERLINK("https://miland.ru/api/getInfo/item/8cf9df48-b805-11ed-a230-00155d82e902")</f>
        <v>https://miland.ru/api/getInfo/item/8cf9df48-b805-11ed-a230-00155d82e902</v>
      </c>
      <c r="AB5854" s="35" t="s">
        <v>50</v>
      </c>
      <c r="AC5854" s="35" t="s">
        <v>1698</v>
      </c>
      <c r="AD5854" s="35"/>
      <c r="AE5854" s="52" t="s">
        <v>1251</v>
      </c>
    </row>
    <row r="5855" spans="2:31" s="1" customFormat="1" ht="96.3" customHeight="1" outlineLevel="4">
      <c r="B5855" s="59">
        <v>4784</v>
      </c>
      <c r="C5855" s="35" t="s">
        <v>20868</v>
      </c>
      <c r="D5855" s="73" t="s">
        <v>20869</v>
      </c>
      <c r="E5855" s="73"/>
      <c r="F5855" s="73"/>
      <c r="G5855" s="73"/>
      <c r="H5855" s="36" t="s">
        <v>20870</v>
      </c>
      <c r="I5855" s="56" t="s">
        <v>36</v>
      </c>
      <c r="J5855" s="36"/>
      <c r="K5855" s="34">
        <v>20</v>
      </c>
      <c r="L5855" s="41">
        <v>16.919999999999998</v>
      </c>
      <c r="M5855" s="11"/>
      <c r="N5855" s="36">
        <f t="shared" si="335"/>
        <v>0</v>
      </c>
      <c r="O5855" s="42">
        <f t="shared" si="336"/>
        <v>0</v>
      </c>
      <c r="P5855" s="43">
        <f t="shared" si="337"/>
        <v>0</v>
      </c>
      <c r="Q5855" s="50"/>
      <c r="R5855" s="36" t="s">
        <v>20871</v>
      </c>
      <c r="S5855" s="36" t="s">
        <v>435</v>
      </c>
      <c r="T5855" s="35" t="str">
        <f>HYPERLINK("https://miland.ru/api/getInfo/image/adc3c4ef-b803-11ed-a230-00155d82e902")</f>
        <v>https://miland.ru/api/getInfo/image/adc3c4ef-b803-11ed-a230-00155d82e902</v>
      </c>
      <c r="U5855" s="35"/>
      <c r="V5855" s="35" t="s">
        <v>9009</v>
      </c>
      <c r="W5855" s="35" t="s">
        <v>9010</v>
      </c>
      <c r="X5855" s="35"/>
      <c r="Y5855" s="35" t="s">
        <v>41</v>
      </c>
      <c r="Z5855" s="35"/>
      <c r="AA5855" s="35" t="str">
        <f>HYPERLINK("https://miland.ru/api/getInfo/item/adc3c4ef-b803-11ed-a230-00155d82e902")</f>
        <v>https://miland.ru/api/getInfo/item/adc3c4ef-b803-11ed-a230-00155d82e902</v>
      </c>
      <c r="AB5855" s="35" t="s">
        <v>50</v>
      </c>
      <c r="AC5855" s="35" t="s">
        <v>1698</v>
      </c>
      <c r="AD5855" s="35"/>
      <c r="AE5855" s="52" t="s">
        <v>1251</v>
      </c>
    </row>
    <row r="5856" spans="2:31" s="1" customFormat="1" ht="96.3" customHeight="1" outlineLevel="4">
      <c r="B5856" s="59">
        <v>4785</v>
      </c>
      <c r="C5856" s="35" t="s">
        <v>20872</v>
      </c>
      <c r="D5856" s="73" t="s">
        <v>20873</v>
      </c>
      <c r="E5856" s="73"/>
      <c r="F5856" s="73"/>
      <c r="G5856" s="73"/>
      <c r="H5856" s="36" t="s">
        <v>20874</v>
      </c>
      <c r="I5856" s="56" t="s">
        <v>36</v>
      </c>
      <c r="J5856" s="36"/>
      <c r="K5856" s="34">
        <v>20</v>
      </c>
      <c r="L5856" s="41">
        <v>12.253333333333332</v>
      </c>
      <c r="M5856" s="11"/>
      <c r="N5856" s="36">
        <f t="shared" si="335"/>
        <v>0</v>
      </c>
      <c r="O5856" s="42">
        <f>0.008*M5856</f>
        <v>0</v>
      </c>
      <c r="P5856" s="43">
        <f>0.00001*M5856</f>
        <v>0</v>
      </c>
      <c r="Q5856" s="50"/>
      <c r="R5856" s="36" t="s">
        <v>20875</v>
      </c>
      <c r="S5856" s="36" t="s">
        <v>435</v>
      </c>
      <c r="T5856" s="35" t="str">
        <f>HYPERLINK("https://miland.ru/api/getInfo/image/2cb72b10-05ea-11ee-a23b-00155d82e902")</f>
        <v>https://miland.ru/api/getInfo/image/2cb72b10-05ea-11ee-a23b-00155d82e902</v>
      </c>
      <c r="U5856" s="35"/>
      <c r="V5856" s="35" t="s">
        <v>9009</v>
      </c>
      <c r="W5856" s="35" t="s">
        <v>9010</v>
      </c>
      <c r="X5856" s="35"/>
      <c r="Y5856" s="35" t="s">
        <v>41</v>
      </c>
      <c r="Z5856" s="35"/>
      <c r="AA5856" s="35" t="str">
        <f>HYPERLINK("https://miland.ru/api/getInfo/item/2cb72b10-05ea-11ee-a23b-00155d82e902")</f>
        <v>https://miland.ru/api/getInfo/item/2cb72b10-05ea-11ee-a23b-00155d82e902</v>
      </c>
      <c r="AB5856" s="35" t="s">
        <v>50</v>
      </c>
      <c r="AC5856" s="35" t="s">
        <v>1698</v>
      </c>
      <c r="AD5856" s="35"/>
      <c r="AE5856" s="52" t="s">
        <v>1251</v>
      </c>
    </row>
    <row r="5857" spans="2:31" s="1" customFormat="1" ht="96.3" customHeight="1" outlineLevel="4">
      <c r="B5857" s="59">
        <v>4786</v>
      </c>
      <c r="C5857" s="35" t="s">
        <v>20876</v>
      </c>
      <c r="D5857" s="73" t="s">
        <v>20877</v>
      </c>
      <c r="E5857" s="73"/>
      <c r="F5857" s="73"/>
      <c r="G5857" s="73"/>
      <c r="H5857" s="36" t="s">
        <v>20878</v>
      </c>
      <c r="I5857" s="56" t="s">
        <v>36</v>
      </c>
      <c r="J5857" s="36"/>
      <c r="K5857" s="34">
        <v>20</v>
      </c>
      <c r="L5857" s="41">
        <v>12.533333333333333</v>
      </c>
      <c r="M5857" s="11"/>
      <c r="N5857" s="36">
        <f t="shared" si="335"/>
        <v>0</v>
      </c>
      <c r="O5857" s="42">
        <f>0.009*M5857</f>
        <v>0</v>
      </c>
      <c r="P5857" s="43">
        <f t="shared" ref="P5857:P5864" si="338">0.00003*M5857</f>
        <v>0</v>
      </c>
      <c r="Q5857" s="50"/>
      <c r="R5857" s="36" t="s">
        <v>20879</v>
      </c>
      <c r="S5857" s="36" t="s">
        <v>435</v>
      </c>
      <c r="T5857" s="35" t="str">
        <f>HYPERLINK("https://miland.ru/api/getInfo/image/5e3e048c-b806-11ed-a230-00155d82e902")</f>
        <v>https://miland.ru/api/getInfo/image/5e3e048c-b806-11ed-a230-00155d82e902</v>
      </c>
      <c r="U5857" s="35"/>
      <c r="V5857" s="35" t="s">
        <v>9009</v>
      </c>
      <c r="W5857" s="35" t="s">
        <v>9010</v>
      </c>
      <c r="X5857" s="35"/>
      <c r="Y5857" s="35" t="s">
        <v>41</v>
      </c>
      <c r="Z5857" s="35"/>
      <c r="AA5857" s="35" t="str">
        <f>HYPERLINK("https://miland.ru/api/getInfo/item/5e3e048c-b806-11ed-a230-00155d82e902")</f>
        <v>https://miland.ru/api/getInfo/item/5e3e048c-b806-11ed-a230-00155d82e902</v>
      </c>
      <c r="AB5857" s="35" t="s">
        <v>50</v>
      </c>
      <c r="AC5857" s="35" t="s">
        <v>1698</v>
      </c>
      <c r="AD5857" s="35"/>
      <c r="AE5857" s="52" t="s">
        <v>1251</v>
      </c>
    </row>
    <row r="5858" spans="2:31" s="1" customFormat="1" ht="96.3" customHeight="1" outlineLevel="4">
      <c r="B5858" s="59">
        <v>4787</v>
      </c>
      <c r="C5858" s="35" t="s">
        <v>20880</v>
      </c>
      <c r="D5858" s="73" t="s">
        <v>20881</v>
      </c>
      <c r="E5858" s="73"/>
      <c r="F5858" s="73"/>
      <c r="G5858" s="73"/>
      <c r="H5858" s="36" t="s">
        <v>20882</v>
      </c>
      <c r="I5858" s="56" t="s">
        <v>36</v>
      </c>
      <c r="J5858" s="36"/>
      <c r="K5858" s="34">
        <v>20</v>
      </c>
      <c r="L5858" s="41">
        <v>12.253333333333332</v>
      </c>
      <c r="M5858" s="11"/>
      <c r="N5858" s="36">
        <f t="shared" si="335"/>
        <v>0</v>
      </c>
      <c r="O5858" s="42">
        <f>0.009*M5858</f>
        <v>0</v>
      </c>
      <c r="P5858" s="43">
        <f t="shared" si="338"/>
        <v>0</v>
      </c>
      <c r="Q5858" s="50"/>
      <c r="R5858" s="36" t="s">
        <v>20883</v>
      </c>
      <c r="S5858" s="36" t="s">
        <v>435</v>
      </c>
      <c r="T5858" s="35" t="str">
        <f>HYPERLINK("https://miland.ru/api/getInfo/image/5450dafa-05ea-11ee-a23b-00155d82e902")</f>
        <v>https://miland.ru/api/getInfo/image/5450dafa-05ea-11ee-a23b-00155d82e902</v>
      </c>
      <c r="U5858" s="35"/>
      <c r="V5858" s="35" t="s">
        <v>9009</v>
      </c>
      <c r="W5858" s="35" t="s">
        <v>9010</v>
      </c>
      <c r="X5858" s="35"/>
      <c r="Y5858" s="35" t="s">
        <v>41</v>
      </c>
      <c r="Z5858" s="35"/>
      <c r="AA5858" s="35" t="str">
        <f>HYPERLINK("https://miland.ru/api/getInfo/item/5450dafa-05ea-11ee-a23b-00155d82e902")</f>
        <v>https://miland.ru/api/getInfo/item/5450dafa-05ea-11ee-a23b-00155d82e902</v>
      </c>
      <c r="AB5858" s="35" t="s">
        <v>50</v>
      </c>
      <c r="AC5858" s="35" t="s">
        <v>1698</v>
      </c>
      <c r="AD5858" s="35"/>
      <c r="AE5858" s="52" t="s">
        <v>1251</v>
      </c>
    </row>
    <row r="5859" spans="2:31" s="1" customFormat="1" ht="96.3" customHeight="1" outlineLevel="4">
      <c r="B5859" s="59">
        <v>4788</v>
      </c>
      <c r="C5859" s="35" t="s">
        <v>20884</v>
      </c>
      <c r="D5859" s="73" t="s">
        <v>20885</v>
      </c>
      <c r="E5859" s="73"/>
      <c r="F5859" s="73"/>
      <c r="G5859" s="73"/>
      <c r="H5859" s="36" t="s">
        <v>20886</v>
      </c>
      <c r="I5859" s="56" t="s">
        <v>36</v>
      </c>
      <c r="J5859" s="36"/>
      <c r="K5859" s="34">
        <v>20</v>
      </c>
      <c r="L5859" s="41">
        <v>12.533333333333333</v>
      </c>
      <c r="M5859" s="11"/>
      <c r="N5859" s="36">
        <f t="shared" si="335"/>
        <v>0</v>
      </c>
      <c r="O5859" s="42">
        <f t="shared" ref="O5859:O5864" si="339">0.011*M5859</f>
        <v>0</v>
      </c>
      <c r="P5859" s="43">
        <f t="shared" si="338"/>
        <v>0</v>
      </c>
      <c r="Q5859" s="50"/>
      <c r="R5859" s="36" t="s">
        <v>20887</v>
      </c>
      <c r="S5859" s="36" t="s">
        <v>435</v>
      </c>
      <c r="T5859" s="35" t="str">
        <f>HYPERLINK("https://miland.ru/api/getInfo/image/c27bbfaf-05e8-11ee-a23b-00155d82e902")</f>
        <v>https://miland.ru/api/getInfo/image/c27bbfaf-05e8-11ee-a23b-00155d82e902</v>
      </c>
      <c r="U5859" s="35"/>
      <c r="V5859" s="35" t="s">
        <v>9009</v>
      </c>
      <c r="W5859" s="35" t="s">
        <v>9010</v>
      </c>
      <c r="X5859" s="35"/>
      <c r="Y5859" s="35" t="s">
        <v>41</v>
      </c>
      <c r="Z5859" s="35"/>
      <c r="AA5859" s="35" t="str">
        <f>HYPERLINK("https://miland.ru/api/getInfo/item/c27bbfaf-05e8-11ee-a23b-00155d82e902")</f>
        <v>https://miland.ru/api/getInfo/item/c27bbfaf-05e8-11ee-a23b-00155d82e902</v>
      </c>
      <c r="AB5859" s="35" t="s">
        <v>50</v>
      </c>
      <c r="AC5859" s="35" t="s">
        <v>1698</v>
      </c>
      <c r="AD5859" s="35"/>
      <c r="AE5859" s="52" t="s">
        <v>1251</v>
      </c>
    </row>
    <row r="5860" spans="2:31" s="1" customFormat="1" ht="96.3" customHeight="1" outlineLevel="4">
      <c r="B5860" s="57">
        <v>4789</v>
      </c>
      <c r="C5860" s="21" t="s">
        <v>20888</v>
      </c>
      <c r="D5860" s="72" t="s">
        <v>20889</v>
      </c>
      <c r="E5860" s="72"/>
      <c r="F5860" s="72"/>
      <c r="G5860" s="72"/>
      <c r="H5860" s="22" t="s">
        <v>20890</v>
      </c>
      <c r="I5860" s="27">
        <v>130</v>
      </c>
      <c r="J5860" s="22"/>
      <c r="K5860" s="20">
        <v>20</v>
      </c>
      <c r="L5860" s="24">
        <v>20.64</v>
      </c>
      <c r="M5860" s="11"/>
      <c r="N5860" s="22">
        <f t="shared" si="335"/>
        <v>0</v>
      </c>
      <c r="O5860" s="25">
        <f t="shared" si="339"/>
        <v>0</v>
      </c>
      <c r="P5860" s="26">
        <f t="shared" si="338"/>
        <v>0</v>
      </c>
      <c r="Q5860" s="30"/>
      <c r="R5860" s="22" t="s">
        <v>20891</v>
      </c>
      <c r="S5860" s="22"/>
      <c r="T5860" s="21" t="str">
        <f>HYPERLINK("https://miland.ru/api/getInfo/image/1dccea2d-05e9-11ee-a23b-00155d82e902")</f>
        <v>https://miland.ru/api/getInfo/image/1dccea2d-05e9-11ee-a23b-00155d82e902</v>
      </c>
      <c r="U5860" s="21"/>
      <c r="V5860" s="21" t="s">
        <v>9009</v>
      </c>
      <c r="W5860" s="21" t="s">
        <v>9010</v>
      </c>
      <c r="X5860" s="21"/>
      <c r="Y5860" s="21" t="s">
        <v>41</v>
      </c>
      <c r="Z5860" s="21"/>
      <c r="AA5860" s="21" t="str">
        <f>HYPERLINK("https://miland.ru/api/getInfo/item/1dccea2d-05e9-11ee-a23b-00155d82e902")</f>
        <v>https://miland.ru/api/getInfo/item/1dccea2d-05e9-11ee-a23b-00155d82e902</v>
      </c>
      <c r="AB5860" s="21" t="s">
        <v>50</v>
      </c>
      <c r="AC5860" s="21" t="s">
        <v>1698</v>
      </c>
      <c r="AD5860" s="21"/>
    </row>
    <row r="5861" spans="2:31" s="1" customFormat="1" ht="96.3" customHeight="1" outlineLevel="4">
      <c r="B5861" s="59">
        <v>4790</v>
      </c>
      <c r="C5861" s="35" t="s">
        <v>20892</v>
      </c>
      <c r="D5861" s="73" t="s">
        <v>20893</v>
      </c>
      <c r="E5861" s="73"/>
      <c r="F5861" s="73"/>
      <c r="G5861" s="73"/>
      <c r="H5861" s="36" t="s">
        <v>20894</v>
      </c>
      <c r="I5861" s="56" t="s">
        <v>36</v>
      </c>
      <c r="J5861" s="36"/>
      <c r="K5861" s="34">
        <v>20</v>
      </c>
      <c r="L5861" s="41">
        <v>12.533333333333333</v>
      </c>
      <c r="M5861" s="11"/>
      <c r="N5861" s="36">
        <f t="shared" si="335"/>
        <v>0</v>
      </c>
      <c r="O5861" s="42">
        <f t="shared" si="339"/>
        <v>0</v>
      </c>
      <c r="P5861" s="43">
        <f t="shared" si="338"/>
        <v>0</v>
      </c>
      <c r="Q5861" s="50"/>
      <c r="R5861" s="36" t="s">
        <v>20895</v>
      </c>
      <c r="S5861" s="36" t="s">
        <v>435</v>
      </c>
      <c r="T5861" s="35" t="str">
        <f>HYPERLINK("https://miland.ru/api/getInfo/image/5fa8d973-05e8-11ee-a23b-00155d82e902")</f>
        <v>https://miland.ru/api/getInfo/image/5fa8d973-05e8-11ee-a23b-00155d82e902</v>
      </c>
      <c r="U5861" s="35"/>
      <c r="V5861" s="35" t="s">
        <v>9009</v>
      </c>
      <c r="W5861" s="35" t="s">
        <v>9010</v>
      </c>
      <c r="X5861" s="35"/>
      <c r="Y5861" s="35" t="s">
        <v>41</v>
      </c>
      <c r="Z5861" s="35"/>
      <c r="AA5861" s="35" t="str">
        <f>HYPERLINK("https://miland.ru/api/getInfo/item/5fa8d973-05e8-11ee-a23b-00155d82e902")</f>
        <v>https://miland.ru/api/getInfo/item/5fa8d973-05e8-11ee-a23b-00155d82e902</v>
      </c>
      <c r="AB5861" s="35" t="s">
        <v>50</v>
      </c>
      <c r="AC5861" s="35" t="s">
        <v>1698</v>
      </c>
      <c r="AD5861" s="35"/>
      <c r="AE5861" s="52" t="s">
        <v>1251</v>
      </c>
    </row>
    <row r="5862" spans="2:31" s="1" customFormat="1" ht="96.3" customHeight="1" outlineLevel="4">
      <c r="B5862" s="59">
        <v>4791</v>
      </c>
      <c r="C5862" s="35" t="s">
        <v>20896</v>
      </c>
      <c r="D5862" s="73" t="s">
        <v>20897</v>
      </c>
      <c r="E5862" s="73"/>
      <c r="F5862" s="73"/>
      <c r="G5862" s="73"/>
      <c r="H5862" s="36" t="s">
        <v>20898</v>
      </c>
      <c r="I5862" s="40">
        <v>260</v>
      </c>
      <c r="J5862" s="36"/>
      <c r="K5862" s="34">
        <v>20</v>
      </c>
      <c r="L5862" s="41">
        <v>16.546666666666667</v>
      </c>
      <c r="M5862" s="11"/>
      <c r="N5862" s="36">
        <f t="shared" si="335"/>
        <v>0</v>
      </c>
      <c r="O5862" s="42">
        <f t="shared" si="339"/>
        <v>0</v>
      </c>
      <c r="P5862" s="43">
        <f t="shared" si="338"/>
        <v>0</v>
      </c>
      <c r="Q5862" s="50"/>
      <c r="R5862" s="36" t="s">
        <v>20899</v>
      </c>
      <c r="S5862" s="36" t="s">
        <v>435</v>
      </c>
      <c r="T5862" s="35" t="str">
        <f>HYPERLINK("https://miland.ru/api/getInfo/image/966cc36f-05e7-11ee-a23b-00155d82e902")</f>
        <v>https://miland.ru/api/getInfo/image/966cc36f-05e7-11ee-a23b-00155d82e902</v>
      </c>
      <c r="U5862" s="35"/>
      <c r="V5862" s="35" t="s">
        <v>9009</v>
      </c>
      <c r="W5862" s="35" t="s">
        <v>9010</v>
      </c>
      <c r="X5862" s="35"/>
      <c r="Y5862" s="35" t="s">
        <v>41</v>
      </c>
      <c r="Z5862" s="35"/>
      <c r="AA5862" s="35" t="str">
        <f>HYPERLINK("https://miland.ru/api/getInfo/item/966cc36f-05e7-11ee-a23b-00155d82e902")</f>
        <v>https://miland.ru/api/getInfo/item/966cc36f-05e7-11ee-a23b-00155d82e902</v>
      </c>
      <c r="AB5862" s="35" t="s">
        <v>50</v>
      </c>
      <c r="AC5862" s="35" t="s">
        <v>1698</v>
      </c>
      <c r="AD5862" s="35"/>
      <c r="AE5862" s="52" t="s">
        <v>1251</v>
      </c>
    </row>
    <row r="5863" spans="2:31" s="1" customFormat="1" ht="96.3" customHeight="1" outlineLevel="4">
      <c r="B5863" s="59">
        <v>4792</v>
      </c>
      <c r="C5863" s="35" t="s">
        <v>20900</v>
      </c>
      <c r="D5863" s="73" t="s">
        <v>20901</v>
      </c>
      <c r="E5863" s="73"/>
      <c r="F5863" s="73"/>
      <c r="G5863" s="73"/>
      <c r="H5863" s="36" t="s">
        <v>20902</v>
      </c>
      <c r="I5863" s="40">
        <v>110</v>
      </c>
      <c r="J5863" s="36"/>
      <c r="K5863" s="34">
        <v>20</v>
      </c>
      <c r="L5863" s="41">
        <v>16.546666666666667</v>
      </c>
      <c r="M5863" s="11"/>
      <c r="N5863" s="36">
        <f t="shared" si="335"/>
        <v>0</v>
      </c>
      <c r="O5863" s="42">
        <f t="shared" si="339"/>
        <v>0</v>
      </c>
      <c r="P5863" s="43">
        <f t="shared" si="338"/>
        <v>0</v>
      </c>
      <c r="Q5863" s="50"/>
      <c r="R5863" s="36" t="s">
        <v>20903</v>
      </c>
      <c r="S5863" s="36" t="s">
        <v>435</v>
      </c>
      <c r="T5863" s="35" t="str">
        <f>HYPERLINK("https://miland.ru/api/getInfo/image/9223489a-05e8-11ee-a23b-00155d82e902")</f>
        <v>https://miland.ru/api/getInfo/image/9223489a-05e8-11ee-a23b-00155d82e902</v>
      </c>
      <c r="U5863" s="35"/>
      <c r="V5863" s="35" t="s">
        <v>9009</v>
      </c>
      <c r="W5863" s="35" t="s">
        <v>9010</v>
      </c>
      <c r="X5863" s="35"/>
      <c r="Y5863" s="35" t="s">
        <v>41</v>
      </c>
      <c r="Z5863" s="35"/>
      <c r="AA5863" s="35" t="str">
        <f>HYPERLINK("https://miland.ru/api/getInfo/item/9223489a-05e8-11ee-a23b-00155d82e902")</f>
        <v>https://miland.ru/api/getInfo/item/9223489a-05e8-11ee-a23b-00155d82e902</v>
      </c>
      <c r="AB5863" s="35" t="s">
        <v>50</v>
      </c>
      <c r="AC5863" s="35" t="s">
        <v>1698</v>
      </c>
      <c r="AD5863" s="35"/>
      <c r="AE5863" s="52" t="s">
        <v>1251</v>
      </c>
    </row>
    <row r="5864" spans="2:31" s="1" customFormat="1" ht="96.3" customHeight="1" outlineLevel="4">
      <c r="B5864" s="57">
        <v>4793</v>
      </c>
      <c r="C5864" s="21" t="s">
        <v>20904</v>
      </c>
      <c r="D5864" s="72" t="s">
        <v>20905</v>
      </c>
      <c r="E5864" s="72"/>
      <c r="F5864" s="72"/>
      <c r="G5864" s="72"/>
      <c r="H5864" s="22" t="s">
        <v>20906</v>
      </c>
      <c r="I5864" s="27">
        <v>180</v>
      </c>
      <c r="J5864" s="22"/>
      <c r="K5864" s="20">
        <v>20</v>
      </c>
      <c r="L5864" s="24">
        <v>20.64</v>
      </c>
      <c r="M5864" s="11"/>
      <c r="N5864" s="22">
        <f t="shared" si="335"/>
        <v>0</v>
      </c>
      <c r="O5864" s="25">
        <f t="shared" si="339"/>
        <v>0</v>
      </c>
      <c r="P5864" s="26">
        <f t="shared" si="338"/>
        <v>0</v>
      </c>
      <c r="Q5864" s="30"/>
      <c r="R5864" s="22" t="s">
        <v>20907</v>
      </c>
      <c r="S5864" s="22"/>
      <c r="T5864" s="21" t="str">
        <f>HYPERLINK("https://miland.ru/api/getInfo/image/8c785e52-05e9-11ee-a23b-00155d82e902")</f>
        <v>https://miland.ru/api/getInfo/image/8c785e52-05e9-11ee-a23b-00155d82e902</v>
      </c>
      <c r="U5864" s="21"/>
      <c r="V5864" s="21" t="s">
        <v>9009</v>
      </c>
      <c r="W5864" s="21" t="s">
        <v>9010</v>
      </c>
      <c r="X5864" s="21"/>
      <c r="Y5864" s="21" t="s">
        <v>41</v>
      </c>
      <c r="Z5864" s="21"/>
      <c r="AA5864" s="21" t="str">
        <f>HYPERLINK("https://miland.ru/api/getInfo/item/8c785e52-05e9-11ee-a23b-00155d82e902")</f>
        <v>https://miland.ru/api/getInfo/item/8c785e52-05e9-11ee-a23b-00155d82e902</v>
      </c>
      <c r="AB5864" s="21" t="s">
        <v>50</v>
      </c>
      <c r="AC5864" s="21" t="s">
        <v>1698</v>
      </c>
      <c r="AD5864" s="21"/>
    </row>
    <row r="5865" spans="2:31" ht="12" customHeight="1" outlineLevel="2">
      <c r="B5865" s="69" t="s">
        <v>20908</v>
      </c>
      <c r="C5865" s="69"/>
      <c r="D5865" s="69"/>
      <c r="E5865" s="69"/>
      <c r="F5865" s="69"/>
      <c r="G5865" s="69"/>
    </row>
    <row r="5866" spans="2:31" ht="12" customHeight="1" outlineLevel="3">
      <c r="B5866" s="70" t="s">
        <v>20909</v>
      </c>
      <c r="C5866" s="70"/>
      <c r="D5866" s="70"/>
      <c r="E5866" s="70"/>
      <c r="F5866" s="70"/>
      <c r="G5866" s="70"/>
    </row>
    <row r="5867" spans="2:31" s="1" customFormat="1" ht="96.3" customHeight="1" outlineLevel="4">
      <c r="B5867" s="59">
        <v>4794</v>
      </c>
      <c r="C5867" s="35" t="s">
        <v>20910</v>
      </c>
      <c r="D5867" s="73" t="s">
        <v>20911</v>
      </c>
      <c r="E5867" s="73"/>
      <c r="F5867" s="73"/>
      <c r="G5867" s="73"/>
      <c r="H5867" s="36" t="s">
        <v>20912</v>
      </c>
      <c r="I5867" s="40">
        <v>350</v>
      </c>
      <c r="J5867" s="36"/>
      <c r="K5867" s="34">
        <v>40</v>
      </c>
      <c r="L5867" s="41">
        <v>7.52</v>
      </c>
      <c r="M5867" s="11"/>
      <c r="N5867" s="36">
        <f t="shared" ref="N5867:N5873" si="340">L5867*M5867</f>
        <v>0</v>
      </c>
      <c r="O5867" s="47">
        <f>0.01*M5867</f>
        <v>0</v>
      </c>
      <c r="P5867" s="43">
        <f>0.00001*M5867</f>
        <v>0</v>
      </c>
      <c r="Q5867" s="50"/>
      <c r="R5867" s="36" t="s">
        <v>20913</v>
      </c>
      <c r="S5867" s="36" t="s">
        <v>435</v>
      </c>
      <c r="T5867" s="35" t="str">
        <f>HYPERLINK("https://miland.ru/api/getInfo/image/15247fba-7861-11ec-a210-ac1f6b442185")</f>
        <v>https://miland.ru/api/getInfo/image/15247fba-7861-11ec-a210-ac1f6b442185</v>
      </c>
      <c r="U5867" s="35"/>
      <c r="V5867" s="35" t="s">
        <v>9009</v>
      </c>
      <c r="W5867" s="35" t="s">
        <v>9010</v>
      </c>
      <c r="X5867" s="35"/>
      <c r="Y5867" s="35" t="s">
        <v>41</v>
      </c>
      <c r="Z5867" s="35"/>
      <c r="AA5867" s="35" t="str">
        <f>HYPERLINK("https://miland.ru/api/getInfo/item/15247fba-7861-11ec-a210-ac1f6b442185")</f>
        <v>https://miland.ru/api/getInfo/item/15247fba-7861-11ec-a210-ac1f6b442185</v>
      </c>
      <c r="AB5867" s="35" t="s">
        <v>50</v>
      </c>
      <c r="AC5867" s="35" t="s">
        <v>1698</v>
      </c>
      <c r="AD5867" s="35"/>
      <c r="AE5867" s="52" t="s">
        <v>1251</v>
      </c>
    </row>
    <row r="5868" spans="2:31" s="1" customFormat="1" ht="96.3" customHeight="1" outlineLevel="4">
      <c r="B5868" s="59">
        <v>4795</v>
      </c>
      <c r="C5868" s="35" t="s">
        <v>20914</v>
      </c>
      <c r="D5868" s="73" t="s">
        <v>20915</v>
      </c>
      <c r="E5868" s="73"/>
      <c r="F5868" s="73"/>
      <c r="G5868" s="73"/>
      <c r="H5868" s="36" t="s">
        <v>20916</v>
      </c>
      <c r="I5868" s="56" t="s">
        <v>36</v>
      </c>
      <c r="J5868" s="36"/>
      <c r="K5868" s="34">
        <v>40</v>
      </c>
      <c r="L5868" s="41">
        <v>7.52</v>
      </c>
      <c r="M5868" s="11"/>
      <c r="N5868" s="36">
        <f t="shared" si="340"/>
        <v>0</v>
      </c>
      <c r="O5868" s="42">
        <f>0.011*M5868</f>
        <v>0</v>
      </c>
      <c r="P5868" s="43">
        <f>0.00008*M5868</f>
        <v>0</v>
      </c>
      <c r="Q5868" s="50"/>
      <c r="R5868" s="36" t="s">
        <v>20917</v>
      </c>
      <c r="S5868" s="36" t="s">
        <v>435</v>
      </c>
      <c r="T5868" s="35" t="str">
        <f>HYPERLINK("https://miland.ru/api/getInfo/image/54a0ce61-7862-11ec-a210-ac1f6b442185")</f>
        <v>https://miland.ru/api/getInfo/image/54a0ce61-7862-11ec-a210-ac1f6b442185</v>
      </c>
      <c r="U5868" s="35"/>
      <c r="V5868" s="35" t="s">
        <v>9009</v>
      </c>
      <c r="W5868" s="35" t="s">
        <v>9010</v>
      </c>
      <c r="X5868" s="35"/>
      <c r="Y5868" s="35" t="s">
        <v>41</v>
      </c>
      <c r="Z5868" s="35"/>
      <c r="AA5868" s="35" t="str">
        <f>HYPERLINK("https://miland.ru/api/getInfo/item/54a0ce61-7862-11ec-a210-ac1f6b442185")</f>
        <v>https://miland.ru/api/getInfo/item/54a0ce61-7862-11ec-a210-ac1f6b442185</v>
      </c>
      <c r="AB5868" s="35" t="s">
        <v>50</v>
      </c>
      <c r="AC5868" s="35" t="s">
        <v>1698</v>
      </c>
      <c r="AD5868" s="35"/>
      <c r="AE5868" s="52" t="s">
        <v>1251</v>
      </c>
    </row>
    <row r="5869" spans="2:31" s="1" customFormat="1" ht="96.3" customHeight="1" outlineLevel="4">
      <c r="B5869" s="59">
        <v>4796</v>
      </c>
      <c r="C5869" s="35" t="s">
        <v>20918</v>
      </c>
      <c r="D5869" s="73" t="s">
        <v>20919</v>
      </c>
      <c r="E5869" s="73"/>
      <c r="F5869" s="73"/>
      <c r="G5869" s="73"/>
      <c r="H5869" s="36" t="s">
        <v>20920</v>
      </c>
      <c r="I5869" s="56" t="s">
        <v>36</v>
      </c>
      <c r="J5869" s="36"/>
      <c r="K5869" s="34">
        <v>40</v>
      </c>
      <c r="L5869" s="41">
        <v>7.52</v>
      </c>
      <c r="M5869" s="11"/>
      <c r="N5869" s="36">
        <f t="shared" si="340"/>
        <v>0</v>
      </c>
      <c r="O5869" s="47">
        <f>0.01*M5869</f>
        <v>0</v>
      </c>
      <c r="P5869" s="43">
        <f>0.00001*M5869</f>
        <v>0</v>
      </c>
      <c r="Q5869" s="50"/>
      <c r="R5869" s="36" t="s">
        <v>20921</v>
      </c>
      <c r="S5869" s="36" t="s">
        <v>435</v>
      </c>
      <c r="T5869" s="35" t="str">
        <f>HYPERLINK("https://miland.ru/api/getInfo/image/1ac2553b-7863-11ec-a210-ac1f6b442185")</f>
        <v>https://miland.ru/api/getInfo/image/1ac2553b-7863-11ec-a210-ac1f6b442185</v>
      </c>
      <c r="U5869" s="35"/>
      <c r="V5869" s="35" t="s">
        <v>9009</v>
      </c>
      <c r="W5869" s="35" t="s">
        <v>9010</v>
      </c>
      <c r="X5869" s="35"/>
      <c r="Y5869" s="35" t="s">
        <v>41</v>
      </c>
      <c r="Z5869" s="35"/>
      <c r="AA5869" s="35" t="str">
        <f>HYPERLINK("https://miland.ru/api/getInfo/item/1ac2553b-7863-11ec-a210-ac1f6b442185")</f>
        <v>https://miland.ru/api/getInfo/item/1ac2553b-7863-11ec-a210-ac1f6b442185</v>
      </c>
      <c r="AB5869" s="35" t="s">
        <v>50</v>
      </c>
      <c r="AC5869" s="35" t="s">
        <v>1698</v>
      </c>
      <c r="AD5869" s="35"/>
      <c r="AE5869" s="52" t="s">
        <v>1251</v>
      </c>
    </row>
    <row r="5870" spans="2:31" s="1" customFormat="1" ht="96.3" customHeight="1" outlineLevel="4">
      <c r="B5870" s="57">
        <v>4797</v>
      </c>
      <c r="C5870" s="21" t="s">
        <v>20922</v>
      </c>
      <c r="D5870" s="72" t="s">
        <v>20923</v>
      </c>
      <c r="E5870" s="72"/>
      <c r="F5870" s="72"/>
      <c r="G5870" s="72"/>
      <c r="H5870" s="22" t="s">
        <v>20924</v>
      </c>
      <c r="I5870" s="27">
        <v>150</v>
      </c>
      <c r="J5870" s="22"/>
      <c r="K5870" s="20">
        <v>40</v>
      </c>
      <c r="L5870" s="24">
        <v>15.67</v>
      </c>
      <c r="M5870" s="11"/>
      <c r="N5870" s="22">
        <f t="shared" si="340"/>
        <v>0</v>
      </c>
      <c r="O5870" s="63">
        <f>15*M5870</f>
        <v>0</v>
      </c>
      <c r="P5870" s="26">
        <f>0.00007*M5870</f>
        <v>0</v>
      </c>
      <c r="Q5870" s="30"/>
      <c r="R5870" s="22" t="s">
        <v>20925</v>
      </c>
      <c r="S5870" s="22" t="s">
        <v>435</v>
      </c>
      <c r="T5870" s="21" t="str">
        <f>HYPERLINK("https://miland.ru/api/getInfo/image/d4f5715b-7862-11ec-a210-ac1f6b442185")</f>
        <v>https://miland.ru/api/getInfo/image/d4f5715b-7862-11ec-a210-ac1f6b442185</v>
      </c>
      <c r="U5870" s="21"/>
      <c r="V5870" s="21" t="s">
        <v>9009</v>
      </c>
      <c r="W5870" s="21" t="s">
        <v>9010</v>
      </c>
      <c r="X5870" s="21"/>
      <c r="Y5870" s="21" t="s">
        <v>41</v>
      </c>
      <c r="Z5870" s="21"/>
      <c r="AA5870" s="21" t="str">
        <f>HYPERLINK("https://miland.ru/api/getInfo/item/d4f5715b-7862-11ec-a210-ac1f6b442185")</f>
        <v>https://miland.ru/api/getInfo/item/d4f5715b-7862-11ec-a210-ac1f6b442185</v>
      </c>
      <c r="AB5870" s="21" t="s">
        <v>50</v>
      </c>
      <c r="AC5870" s="21" t="s">
        <v>1698</v>
      </c>
      <c r="AD5870" s="21"/>
    </row>
    <row r="5871" spans="2:31" s="1" customFormat="1" ht="96.3" customHeight="1" outlineLevel="4">
      <c r="B5871" s="59">
        <v>4798</v>
      </c>
      <c r="C5871" s="35" t="s">
        <v>20926</v>
      </c>
      <c r="D5871" s="73" t="s">
        <v>20927</v>
      </c>
      <c r="E5871" s="73"/>
      <c r="F5871" s="73"/>
      <c r="G5871" s="73"/>
      <c r="H5871" s="36" t="s">
        <v>20928</v>
      </c>
      <c r="I5871" s="56" t="s">
        <v>36</v>
      </c>
      <c r="J5871" s="36"/>
      <c r="K5871" s="34">
        <v>40</v>
      </c>
      <c r="L5871" s="41">
        <v>7.52</v>
      </c>
      <c r="M5871" s="11"/>
      <c r="N5871" s="36">
        <f t="shared" si="340"/>
        <v>0</v>
      </c>
      <c r="O5871" s="47">
        <f>0.01*M5871</f>
        <v>0</v>
      </c>
      <c r="P5871" s="43">
        <f>0.00001*M5871</f>
        <v>0</v>
      </c>
      <c r="Q5871" s="50"/>
      <c r="R5871" s="36" t="s">
        <v>20929</v>
      </c>
      <c r="S5871" s="36" t="s">
        <v>435</v>
      </c>
      <c r="T5871" s="35" t="str">
        <f>HYPERLINK("https://miland.ru/api/getInfo/image/fbced101-7863-11ec-a210-ac1f6b442185")</f>
        <v>https://miland.ru/api/getInfo/image/fbced101-7863-11ec-a210-ac1f6b442185</v>
      </c>
      <c r="U5871" s="35"/>
      <c r="V5871" s="35" t="s">
        <v>9009</v>
      </c>
      <c r="W5871" s="35" t="s">
        <v>9010</v>
      </c>
      <c r="X5871" s="35"/>
      <c r="Y5871" s="35" t="s">
        <v>41</v>
      </c>
      <c r="Z5871" s="35"/>
      <c r="AA5871" s="35" t="str">
        <f>HYPERLINK("https://miland.ru/api/getInfo/item/fbced101-7863-11ec-a210-ac1f6b442185")</f>
        <v>https://miland.ru/api/getInfo/item/fbced101-7863-11ec-a210-ac1f6b442185</v>
      </c>
      <c r="AB5871" s="35" t="s">
        <v>50</v>
      </c>
      <c r="AC5871" s="35" t="s">
        <v>1698</v>
      </c>
      <c r="AD5871" s="35"/>
      <c r="AE5871" s="52" t="s">
        <v>1251</v>
      </c>
    </row>
    <row r="5872" spans="2:31" s="1" customFormat="1" ht="96.3" customHeight="1" outlineLevel="4">
      <c r="B5872" s="57">
        <v>4799</v>
      </c>
      <c r="C5872" s="21" t="s">
        <v>20930</v>
      </c>
      <c r="D5872" s="72" t="s">
        <v>20931</v>
      </c>
      <c r="E5872" s="72"/>
      <c r="F5872" s="72"/>
      <c r="G5872" s="72"/>
      <c r="H5872" s="22" t="s">
        <v>20932</v>
      </c>
      <c r="I5872" s="23" t="s">
        <v>36</v>
      </c>
      <c r="J5872" s="22"/>
      <c r="K5872" s="20">
        <v>40</v>
      </c>
      <c r="L5872" s="24">
        <v>15.67</v>
      </c>
      <c r="M5872" s="11"/>
      <c r="N5872" s="22">
        <f t="shared" si="340"/>
        <v>0</v>
      </c>
      <c r="O5872" s="28">
        <f>0.01*M5872</f>
        <v>0</v>
      </c>
      <c r="P5872" s="26">
        <f>0.00001*M5872</f>
        <v>0</v>
      </c>
      <c r="Q5872" s="30"/>
      <c r="R5872" s="22" t="s">
        <v>20933</v>
      </c>
      <c r="S5872" s="22" t="s">
        <v>435</v>
      </c>
      <c r="T5872" s="21" t="str">
        <f>HYPERLINK("https://miland.ru/api/getInfo/image/6b91a1ab-7864-11ec-a210-ac1f6b442185")</f>
        <v>https://miland.ru/api/getInfo/image/6b91a1ab-7864-11ec-a210-ac1f6b442185</v>
      </c>
      <c r="U5872" s="21"/>
      <c r="V5872" s="21" t="s">
        <v>9009</v>
      </c>
      <c r="W5872" s="21" t="s">
        <v>9010</v>
      </c>
      <c r="X5872" s="21"/>
      <c r="Y5872" s="21" t="s">
        <v>41</v>
      </c>
      <c r="Z5872" s="21"/>
      <c r="AA5872" s="21" t="str">
        <f>HYPERLINK("https://miland.ru/api/getInfo/item/6b91a1ab-7864-11ec-a210-ac1f6b442185")</f>
        <v>https://miland.ru/api/getInfo/item/6b91a1ab-7864-11ec-a210-ac1f6b442185</v>
      </c>
      <c r="AB5872" s="21" t="s">
        <v>50</v>
      </c>
      <c r="AC5872" s="21" t="s">
        <v>1698</v>
      </c>
      <c r="AD5872" s="21"/>
    </row>
    <row r="5873" spans="2:31" s="1" customFormat="1" ht="96.3" customHeight="1" outlineLevel="4">
      <c r="B5873" s="57">
        <v>4800</v>
      </c>
      <c r="C5873" s="21" t="s">
        <v>20934</v>
      </c>
      <c r="D5873" s="72" t="s">
        <v>20935</v>
      </c>
      <c r="E5873" s="72"/>
      <c r="F5873" s="72"/>
      <c r="G5873" s="72"/>
      <c r="H5873" s="22" t="s">
        <v>20936</v>
      </c>
      <c r="I5873" s="27">
        <v>340</v>
      </c>
      <c r="J5873" s="22"/>
      <c r="K5873" s="20">
        <v>40</v>
      </c>
      <c r="L5873" s="24">
        <v>15.67</v>
      </c>
      <c r="M5873" s="11"/>
      <c r="N5873" s="22">
        <f t="shared" si="340"/>
        <v>0</v>
      </c>
      <c r="O5873" s="25">
        <f>0.011*M5873</f>
        <v>0</v>
      </c>
      <c r="P5873" s="26">
        <f>0.00006*M5873</f>
        <v>0</v>
      </c>
      <c r="Q5873" s="30"/>
      <c r="R5873" s="22" t="s">
        <v>20937</v>
      </c>
      <c r="S5873" s="22" t="s">
        <v>435</v>
      </c>
      <c r="T5873" s="21" t="str">
        <f>HYPERLINK("https://miland.ru/api/getInfo/image/48259fde-7865-11ec-a210-ac1f6b442185")</f>
        <v>https://miland.ru/api/getInfo/image/48259fde-7865-11ec-a210-ac1f6b442185</v>
      </c>
      <c r="U5873" s="21"/>
      <c r="V5873" s="21" t="s">
        <v>9009</v>
      </c>
      <c r="W5873" s="21" t="s">
        <v>9010</v>
      </c>
      <c r="X5873" s="21"/>
      <c r="Y5873" s="21" t="s">
        <v>41</v>
      </c>
      <c r="Z5873" s="21"/>
      <c r="AA5873" s="21" t="str">
        <f>HYPERLINK("https://miland.ru/api/getInfo/item/48259fde-7865-11ec-a210-ac1f6b442185")</f>
        <v>https://miland.ru/api/getInfo/item/48259fde-7865-11ec-a210-ac1f6b442185</v>
      </c>
      <c r="AB5873" s="21" t="s">
        <v>50</v>
      </c>
      <c r="AC5873" s="21" t="s">
        <v>1698</v>
      </c>
      <c r="AD5873" s="21"/>
    </row>
    <row r="5874" spans="2:31" ht="12" customHeight="1" outlineLevel="3">
      <c r="B5874" s="70" t="s">
        <v>20938</v>
      </c>
      <c r="C5874" s="70"/>
      <c r="D5874" s="70"/>
      <c r="E5874" s="70"/>
      <c r="F5874" s="70"/>
      <c r="G5874" s="70"/>
    </row>
    <row r="5875" spans="2:31" s="1" customFormat="1" ht="96.3" customHeight="1" outlineLevel="4">
      <c r="B5875" s="57">
        <v>4801</v>
      </c>
      <c r="C5875" s="21" t="s">
        <v>20939</v>
      </c>
      <c r="D5875" s="72" t="s">
        <v>20940</v>
      </c>
      <c r="E5875" s="72"/>
      <c r="F5875" s="72"/>
      <c r="G5875" s="72"/>
      <c r="H5875" s="22" t="s">
        <v>20941</v>
      </c>
      <c r="I5875" s="23" t="s">
        <v>36</v>
      </c>
      <c r="J5875" s="22"/>
      <c r="K5875" s="20">
        <v>40</v>
      </c>
      <c r="L5875" s="24">
        <v>16.13</v>
      </c>
      <c r="M5875" s="11"/>
      <c r="N5875" s="22">
        <f t="shared" ref="N5875:N5884" si="341">L5875*M5875</f>
        <v>0</v>
      </c>
      <c r="O5875" s="25">
        <f>0.007*M5875</f>
        <v>0</v>
      </c>
      <c r="P5875" s="26">
        <f t="shared" ref="P5875:P5884" si="342">0.00003*M5875</f>
        <v>0</v>
      </c>
      <c r="Q5875" s="30"/>
      <c r="R5875" s="22" t="s">
        <v>20942</v>
      </c>
      <c r="S5875" s="22"/>
      <c r="T5875" s="21" t="str">
        <f>HYPERLINK("https://miland.ru/api/getInfo/image/1ecee19f-74eb-11ef-a265-00155d82e908")</f>
        <v>https://miland.ru/api/getInfo/image/1ecee19f-74eb-11ef-a265-00155d82e908</v>
      </c>
      <c r="U5875" s="21"/>
      <c r="V5875" s="21" t="s">
        <v>9009</v>
      </c>
      <c r="W5875" s="21" t="s">
        <v>9010</v>
      </c>
      <c r="X5875" s="21"/>
      <c r="Y5875" s="21" t="s">
        <v>41</v>
      </c>
      <c r="Z5875" s="21"/>
      <c r="AA5875" s="21" t="str">
        <f>HYPERLINK("https://miland.ru/api/getInfo/item/1ecee19f-74eb-11ef-a265-00155d82e908")</f>
        <v>https://miland.ru/api/getInfo/item/1ecee19f-74eb-11ef-a265-00155d82e908</v>
      </c>
      <c r="AB5875" s="21" t="s">
        <v>50</v>
      </c>
      <c r="AC5875" s="21" t="s">
        <v>1698</v>
      </c>
      <c r="AD5875" s="21"/>
    </row>
    <row r="5876" spans="2:31" s="1" customFormat="1" ht="96.3" customHeight="1" outlineLevel="4">
      <c r="B5876" s="58">
        <v>4802</v>
      </c>
      <c r="C5876" s="7" t="s">
        <v>20943</v>
      </c>
      <c r="D5876" s="71" t="s">
        <v>20944</v>
      </c>
      <c r="E5876" s="71"/>
      <c r="F5876" s="71"/>
      <c r="G5876" s="71"/>
      <c r="H5876" s="8" t="s">
        <v>20945</v>
      </c>
      <c r="I5876" s="9" t="s">
        <v>36</v>
      </c>
      <c r="J5876" s="8"/>
      <c r="K5876" s="6">
        <v>30</v>
      </c>
      <c r="L5876" s="10">
        <v>16.13</v>
      </c>
      <c r="M5876" s="11"/>
      <c r="N5876" s="8">
        <f t="shared" si="341"/>
        <v>0</v>
      </c>
      <c r="O5876" s="12">
        <f>0.008*M5876</f>
        <v>0</v>
      </c>
      <c r="P5876" s="13">
        <f t="shared" si="342"/>
        <v>0</v>
      </c>
      <c r="Q5876" s="17" t="s">
        <v>37</v>
      </c>
      <c r="R5876" s="8" t="s">
        <v>20946</v>
      </c>
      <c r="S5876" s="8"/>
      <c r="T5876" s="7" t="str">
        <f>HYPERLINK("https://miland.ru/api/getInfo/image/9ad898bc-4abb-11f1-a297-00155d82e908")</f>
        <v>https://miland.ru/api/getInfo/image/9ad898bc-4abb-11f1-a297-00155d82e908</v>
      </c>
      <c r="U5876" s="7"/>
      <c r="V5876" s="7" t="s">
        <v>9009</v>
      </c>
      <c r="W5876" s="7" t="s">
        <v>9010</v>
      </c>
      <c r="X5876" s="7"/>
      <c r="Y5876" s="7" t="s">
        <v>41</v>
      </c>
      <c r="Z5876" s="7"/>
      <c r="AA5876" s="7" t="str">
        <f>HYPERLINK("https://miland.ru/api/getInfo/item/9ad898bc-4abb-11f1-a297-00155d82e908")</f>
        <v>https://miland.ru/api/getInfo/item/9ad898bc-4abb-11f1-a297-00155d82e908</v>
      </c>
      <c r="AB5876" s="7" t="s">
        <v>50</v>
      </c>
      <c r="AC5876" s="7" t="s">
        <v>1698</v>
      </c>
      <c r="AD5876" s="7"/>
      <c r="AE5876" s="54"/>
    </row>
    <row r="5877" spans="2:31" s="1" customFormat="1" ht="96.3" customHeight="1" outlineLevel="4">
      <c r="B5877" s="58">
        <v>4803</v>
      </c>
      <c r="C5877" s="7" t="s">
        <v>20947</v>
      </c>
      <c r="D5877" s="71" t="s">
        <v>20948</v>
      </c>
      <c r="E5877" s="71"/>
      <c r="F5877" s="71"/>
      <c r="G5877" s="71"/>
      <c r="H5877" s="8" t="s">
        <v>20949</v>
      </c>
      <c r="I5877" s="9" t="s">
        <v>36</v>
      </c>
      <c r="J5877" s="8"/>
      <c r="K5877" s="6">
        <v>30</v>
      </c>
      <c r="L5877" s="10">
        <v>16.13</v>
      </c>
      <c r="M5877" s="11"/>
      <c r="N5877" s="8">
        <f t="shared" si="341"/>
        <v>0</v>
      </c>
      <c r="O5877" s="12">
        <f>0.008*M5877</f>
        <v>0</v>
      </c>
      <c r="P5877" s="13">
        <f t="shared" si="342"/>
        <v>0</v>
      </c>
      <c r="Q5877" s="17" t="s">
        <v>37</v>
      </c>
      <c r="R5877" s="8" t="s">
        <v>20950</v>
      </c>
      <c r="S5877" s="8"/>
      <c r="T5877" s="7" t="str">
        <f>HYPERLINK("https://miland.ru/api/getInfo/image/901d7821-4abc-11f1-a297-00155d82e908")</f>
        <v>https://miland.ru/api/getInfo/image/901d7821-4abc-11f1-a297-00155d82e908</v>
      </c>
      <c r="U5877" s="7"/>
      <c r="V5877" s="7" t="s">
        <v>9009</v>
      </c>
      <c r="W5877" s="7" t="s">
        <v>9010</v>
      </c>
      <c r="X5877" s="7"/>
      <c r="Y5877" s="7" t="s">
        <v>41</v>
      </c>
      <c r="Z5877" s="7"/>
      <c r="AA5877" s="7" t="str">
        <f>HYPERLINK("https://miland.ru/api/getInfo/item/901d7821-4abc-11f1-a297-00155d82e908")</f>
        <v>https://miland.ru/api/getInfo/item/901d7821-4abc-11f1-a297-00155d82e908</v>
      </c>
      <c r="AB5877" s="7" t="s">
        <v>50</v>
      </c>
      <c r="AC5877" s="7" t="s">
        <v>1698</v>
      </c>
      <c r="AD5877" s="7"/>
      <c r="AE5877" s="54"/>
    </row>
    <row r="5878" spans="2:31" s="1" customFormat="1" ht="96.3" customHeight="1" outlineLevel="4">
      <c r="B5878" s="58">
        <v>4804</v>
      </c>
      <c r="C5878" s="7" t="s">
        <v>20951</v>
      </c>
      <c r="D5878" s="71" t="s">
        <v>20952</v>
      </c>
      <c r="E5878" s="71"/>
      <c r="F5878" s="71"/>
      <c r="G5878" s="71"/>
      <c r="H5878" s="8" t="s">
        <v>20953</v>
      </c>
      <c r="I5878" s="9" t="s">
        <v>36</v>
      </c>
      <c r="J5878" s="8"/>
      <c r="K5878" s="6">
        <v>30</v>
      </c>
      <c r="L5878" s="10">
        <v>16.13</v>
      </c>
      <c r="M5878" s="11"/>
      <c r="N5878" s="8">
        <f t="shared" si="341"/>
        <v>0</v>
      </c>
      <c r="O5878" s="12">
        <f>0.008*M5878</f>
        <v>0</v>
      </c>
      <c r="P5878" s="13">
        <f t="shared" si="342"/>
        <v>0</v>
      </c>
      <c r="Q5878" s="17" t="s">
        <v>37</v>
      </c>
      <c r="R5878" s="8" t="s">
        <v>20954</v>
      </c>
      <c r="S5878" s="8"/>
      <c r="T5878" s="7" t="str">
        <f>HYPERLINK("https://miland.ru/api/getInfo/image/cdddfc0e-4abc-11f1-a297-00155d82e908")</f>
        <v>https://miland.ru/api/getInfo/image/cdddfc0e-4abc-11f1-a297-00155d82e908</v>
      </c>
      <c r="U5878" s="7"/>
      <c r="V5878" s="7" t="s">
        <v>9009</v>
      </c>
      <c r="W5878" s="7" t="s">
        <v>9010</v>
      </c>
      <c r="X5878" s="7"/>
      <c r="Y5878" s="7" t="s">
        <v>41</v>
      </c>
      <c r="Z5878" s="7"/>
      <c r="AA5878" s="7" t="str">
        <f>HYPERLINK("https://miland.ru/api/getInfo/item/cdddfc0e-4abc-11f1-a297-00155d82e908")</f>
        <v>https://miland.ru/api/getInfo/item/cdddfc0e-4abc-11f1-a297-00155d82e908</v>
      </c>
      <c r="AB5878" s="7" t="s">
        <v>50</v>
      </c>
      <c r="AC5878" s="7" t="s">
        <v>1698</v>
      </c>
      <c r="AD5878" s="7"/>
      <c r="AE5878" s="54"/>
    </row>
    <row r="5879" spans="2:31" s="1" customFormat="1" ht="96.3" customHeight="1" outlineLevel="4">
      <c r="B5879" s="58">
        <v>4805</v>
      </c>
      <c r="C5879" s="7" t="s">
        <v>20955</v>
      </c>
      <c r="D5879" s="71" t="s">
        <v>20956</v>
      </c>
      <c r="E5879" s="71"/>
      <c r="F5879" s="71"/>
      <c r="G5879" s="71"/>
      <c r="H5879" s="8" t="s">
        <v>20957</v>
      </c>
      <c r="I5879" s="9" t="s">
        <v>36</v>
      </c>
      <c r="J5879" s="8"/>
      <c r="K5879" s="6">
        <v>30</v>
      </c>
      <c r="L5879" s="10">
        <v>16.13</v>
      </c>
      <c r="M5879" s="11"/>
      <c r="N5879" s="8">
        <f t="shared" si="341"/>
        <v>0</v>
      </c>
      <c r="O5879" s="12">
        <f>0.008*M5879</f>
        <v>0</v>
      </c>
      <c r="P5879" s="13">
        <f t="shared" si="342"/>
        <v>0</v>
      </c>
      <c r="Q5879" s="17" t="s">
        <v>37</v>
      </c>
      <c r="R5879" s="8" t="s">
        <v>20958</v>
      </c>
      <c r="S5879" s="8"/>
      <c r="T5879" s="7" t="str">
        <f>HYPERLINK("https://miland.ru/api/getInfo/image/fb0deac3-4aba-11f1-a297-00155d82e908")</f>
        <v>https://miland.ru/api/getInfo/image/fb0deac3-4aba-11f1-a297-00155d82e908</v>
      </c>
      <c r="U5879" s="7"/>
      <c r="V5879" s="7" t="s">
        <v>9009</v>
      </c>
      <c r="W5879" s="7" t="s">
        <v>9010</v>
      </c>
      <c r="X5879" s="7"/>
      <c r="Y5879" s="7" t="s">
        <v>41</v>
      </c>
      <c r="Z5879" s="7"/>
      <c r="AA5879" s="7" t="str">
        <f>HYPERLINK("https://miland.ru/api/getInfo/item/fb0deac3-4aba-11f1-a297-00155d82e908")</f>
        <v>https://miland.ru/api/getInfo/item/fb0deac3-4aba-11f1-a297-00155d82e908</v>
      </c>
      <c r="AB5879" s="7" t="s">
        <v>50</v>
      </c>
      <c r="AC5879" s="7" t="s">
        <v>1698</v>
      </c>
      <c r="AD5879" s="7"/>
      <c r="AE5879" s="54"/>
    </row>
    <row r="5880" spans="2:31" s="1" customFormat="1" ht="96.3" customHeight="1" outlineLevel="4">
      <c r="B5880" s="57">
        <v>4806</v>
      </c>
      <c r="C5880" s="21" t="s">
        <v>20959</v>
      </c>
      <c r="D5880" s="72" t="s">
        <v>20960</v>
      </c>
      <c r="E5880" s="72"/>
      <c r="F5880" s="72"/>
      <c r="G5880" s="72"/>
      <c r="H5880" s="22" t="s">
        <v>20961</v>
      </c>
      <c r="I5880" s="23" t="s">
        <v>36</v>
      </c>
      <c r="J5880" s="22"/>
      <c r="K5880" s="20">
        <v>40</v>
      </c>
      <c r="L5880" s="24">
        <v>16.13</v>
      </c>
      <c r="M5880" s="11"/>
      <c r="N5880" s="22">
        <f t="shared" si="341"/>
        <v>0</v>
      </c>
      <c r="O5880" s="25">
        <f>0.007*M5880</f>
        <v>0</v>
      </c>
      <c r="P5880" s="26">
        <f t="shared" si="342"/>
        <v>0</v>
      </c>
      <c r="Q5880" s="30"/>
      <c r="R5880" s="22" t="s">
        <v>20962</v>
      </c>
      <c r="S5880" s="22"/>
      <c r="T5880" s="21" t="str">
        <f>HYPERLINK("https://miland.ru/api/getInfo/image/556d48a5-74ee-11ef-a265-00155d82e908")</f>
        <v>https://miland.ru/api/getInfo/image/556d48a5-74ee-11ef-a265-00155d82e908</v>
      </c>
      <c r="U5880" s="21"/>
      <c r="V5880" s="21" t="s">
        <v>9009</v>
      </c>
      <c r="W5880" s="21" t="s">
        <v>9010</v>
      </c>
      <c r="X5880" s="21"/>
      <c r="Y5880" s="21" t="s">
        <v>41</v>
      </c>
      <c r="Z5880" s="21"/>
      <c r="AA5880" s="21" t="str">
        <f>HYPERLINK("https://miland.ru/api/getInfo/item/556d48a5-74ee-11ef-a265-00155d82e908")</f>
        <v>https://miland.ru/api/getInfo/item/556d48a5-74ee-11ef-a265-00155d82e908</v>
      </c>
      <c r="AB5880" s="21" t="s">
        <v>50</v>
      </c>
      <c r="AC5880" s="21" t="s">
        <v>1698</v>
      </c>
      <c r="AD5880" s="21"/>
    </row>
    <row r="5881" spans="2:31" s="1" customFormat="1" ht="96.3" customHeight="1" outlineLevel="4">
      <c r="B5881" s="58">
        <v>4807</v>
      </c>
      <c r="C5881" s="7" t="s">
        <v>20963</v>
      </c>
      <c r="D5881" s="71" t="s">
        <v>20964</v>
      </c>
      <c r="E5881" s="71"/>
      <c r="F5881" s="71"/>
      <c r="G5881" s="71"/>
      <c r="H5881" s="8" t="s">
        <v>20965</v>
      </c>
      <c r="I5881" s="9" t="s">
        <v>36</v>
      </c>
      <c r="J5881" s="8"/>
      <c r="K5881" s="6">
        <v>30</v>
      </c>
      <c r="L5881" s="10">
        <v>16.13</v>
      </c>
      <c r="M5881" s="11"/>
      <c r="N5881" s="8">
        <f t="shared" si="341"/>
        <v>0</v>
      </c>
      <c r="O5881" s="12">
        <f>0.008*M5881</f>
        <v>0</v>
      </c>
      <c r="P5881" s="13">
        <f t="shared" si="342"/>
        <v>0</v>
      </c>
      <c r="Q5881" s="17" t="s">
        <v>37</v>
      </c>
      <c r="R5881" s="8" t="s">
        <v>20966</v>
      </c>
      <c r="S5881" s="8"/>
      <c r="T5881" s="7" t="str">
        <f>HYPERLINK("https://miland.ru/api/getInfo/image/e2b1fc67-4abd-11f1-a297-00155d82e908")</f>
        <v>https://miland.ru/api/getInfo/image/e2b1fc67-4abd-11f1-a297-00155d82e908</v>
      </c>
      <c r="U5881" s="7"/>
      <c r="V5881" s="7" t="s">
        <v>9009</v>
      </c>
      <c r="W5881" s="7" t="s">
        <v>9010</v>
      </c>
      <c r="X5881" s="7"/>
      <c r="Y5881" s="7" t="s">
        <v>41</v>
      </c>
      <c r="Z5881" s="7"/>
      <c r="AA5881" s="7" t="str">
        <f>HYPERLINK("https://miland.ru/api/getInfo/item/e2b1fc67-4abd-11f1-a297-00155d82e908")</f>
        <v>https://miland.ru/api/getInfo/item/e2b1fc67-4abd-11f1-a297-00155d82e908</v>
      </c>
      <c r="AB5881" s="7" t="s">
        <v>50</v>
      </c>
      <c r="AC5881" s="7" t="s">
        <v>1698</v>
      </c>
      <c r="AD5881" s="7"/>
      <c r="AE5881" s="54"/>
    </row>
    <row r="5882" spans="2:31" s="1" customFormat="1" ht="96.3" customHeight="1" outlineLevel="4">
      <c r="B5882" s="57">
        <v>4808</v>
      </c>
      <c r="C5882" s="21" t="s">
        <v>20967</v>
      </c>
      <c r="D5882" s="72" t="s">
        <v>20968</v>
      </c>
      <c r="E5882" s="72"/>
      <c r="F5882" s="72"/>
      <c r="G5882" s="72"/>
      <c r="H5882" s="22" t="s">
        <v>20969</v>
      </c>
      <c r="I5882" s="23" t="s">
        <v>36</v>
      </c>
      <c r="J5882" s="22"/>
      <c r="K5882" s="20">
        <v>40</v>
      </c>
      <c r="L5882" s="24">
        <v>16.13</v>
      </c>
      <c r="M5882" s="11"/>
      <c r="N5882" s="22">
        <f t="shared" si="341"/>
        <v>0</v>
      </c>
      <c r="O5882" s="25">
        <f>0.007*M5882</f>
        <v>0</v>
      </c>
      <c r="P5882" s="26">
        <f t="shared" si="342"/>
        <v>0</v>
      </c>
      <c r="Q5882" s="30"/>
      <c r="R5882" s="22" t="s">
        <v>20970</v>
      </c>
      <c r="S5882" s="22"/>
      <c r="T5882" s="21" t="str">
        <f>HYPERLINK("https://miland.ru/api/getInfo/image/07d27e4e-74ee-11ef-a265-00155d82e908")</f>
        <v>https://miland.ru/api/getInfo/image/07d27e4e-74ee-11ef-a265-00155d82e908</v>
      </c>
      <c r="U5882" s="21"/>
      <c r="V5882" s="21" t="s">
        <v>9009</v>
      </c>
      <c r="W5882" s="21" t="s">
        <v>9010</v>
      </c>
      <c r="X5882" s="21"/>
      <c r="Y5882" s="21" t="s">
        <v>41</v>
      </c>
      <c r="Z5882" s="21"/>
      <c r="AA5882" s="21" t="str">
        <f>HYPERLINK("https://miland.ru/api/getInfo/item/07d27e4e-74ee-11ef-a265-00155d82e908")</f>
        <v>https://miland.ru/api/getInfo/item/07d27e4e-74ee-11ef-a265-00155d82e908</v>
      </c>
      <c r="AB5882" s="21" t="s">
        <v>50</v>
      </c>
      <c r="AC5882" s="21" t="s">
        <v>1698</v>
      </c>
      <c r="AD5882" s="21"/>
    </row>
    <row r="5883" spans="2:31" s="1" customFormat="1" ht="96.3" customHeight="1" outlineLevel="4">
      <c r="B5883" s="57">
        <v>4809</v>
      </c>
      <c r="C5883" s="21" t="s">
        <v>20971</v>
      </c>
      <c r="D5883" s="72" t="s">
        <v>20972</v>
      </c>
      <c r="E5883" s="72"/>
      <c r="F5883" s="72"/>
      <c r="G5883" s="72"/>
      <c r="H5883" s="22" t="s">
        <v>20973</v>
      </c>
      <c r="I5883" s="27">
        <v>440</v>
      </c>
      <c r="J5883" s="22"/>
      <c r="K5883" s="20">
        <v>40</v>
      </c>
      <c r="L5883" s="24">
        <v>16.13</v>
      </c>
      <c r="M5883" s="11"/>
      <c r="N5883" s="22">
        <f t="shared" si="341"/>
        <v>0</v>
      </c>
      <c r="O5883" s="25">
        <f>0.007*M5883</f>
        <v>0</v>
      </c>
      <c r="P5883" s="26">
        <f t="shared" si="342"/>
        <v>0</v>
      </c>
      <c r="Q5883" s="30"/>
      <c r="R5883" s="22" t="s">
        <v>20974</v>
      </c>
      <c r="S5883" s="22"/>
      <c r="T5883" s="21" t="str">
        <f>HYPERLINK("https://miland.ru/api/getInfo/image/e191dc70-74ed-11ef-a265-00155d82e908")</f>
        <v>https://miland.ru/api/getInfo/image/e191dc70-74ed-11ef-a265-00155d82e908</v>
      </c>
      <c r="U5883" s="21"/>
      <c r="V5883" s="21" t="s">
        <v>9009</v>
      </c>
      <c r="W5883" s="21" t="s">
        <v>9010</v>
      </c>
      <c r="X5883" s="21"/>
      <c r="Y5883" s="21" t="s">
        <v>41</v>
      </c>
      <c r="Z5883" s="21"/>
      <c r="AA5883" s="21" t="str">
        <f>HYPERLINK("https://miland.ru/api/getInfo/item/e191dc70-74ed-11ef-a265-00155d82e908")</f>
        <v>https://miland.ru/api/getInfo/item/e191dc70-74ed-11ef-a265-00155d82e908</v>
      </c>
      <c r="AB5883" s="21" t="s">
        <v>50</v>
      </c>
      <c r="AC5883" s="21" t="s">
        <v>1698</v>
      </c>
      <c r="AD5883" s="21"/>
    </row>
    <row r="5884" spans="2:31" s="1" customFormat="1" ht="96.3" customHeight="1" outlineLevel="4">
      <c r="B5884" s="57">
        <v>4810</v>
      </c>
      <c r="C5884" s="21" t="s">
        <v>20975</v>
      </c>
      <c r="D5884" s="72" t="s">
        <v>20976</v>
      </c>
      <c r="E5884" s="72"/>
      <c r="F5884" s="72"/>
      <c r="G5884" s="72"/>
      <c r="H5884" s="22" t="s">
        <v>20977</v>
      </c>
      <c r="I5884" s="23" t="s">
        <v>36</v>
      </c>
      <c r="J5884" s="22"/>
      <c r="K5884" s="20">
        <v>40</v>
      </c>
      <c r="L5884" s="24">
        <v>16.13</v>
      </c>
      <c r="M5884" s="11"/>
      <c r="N5884" s="22">
        <f t="shared" si="341"/>
        <v>0</v>
      </c>
      <c r="O5884" s="25">
        <f>0.007*M5884</f>
        <v>0</v>
      </c>
      <c r="P5884" s="26">
        <f t="shared" si="342"/>
        <v>0</v>
      </c>
      <c r="Q5884" s="30"/>
      <c r="R5884" s="22" t="s">
        <v>20978</v>
      </c>
      <c r="S5884" s="22"/>
      <c r="T5884" s="21" t="str">
        <f>HYPERLINK("https://miland.ru/api/getInfo/image/474a1b3c-74eb-11ef-a265-00155d82e908")</f>
        <v>https://miland.ru/api/getInfo/image/474a1b3c-74eb-11ef-a265-00155d82e908</v>
      </c>
      <c r="U5884" s="21"/>
      <c r="V5884" s="21" t="s">
        <v>9009</v>
      </c>
      <c r="W5884" s="21" t="s">
        <v>9010</v>
      </c>
      <c r="X5884" s="21"/>
      <c r="Y5884" s="21" t="s">
        <v>41</v>
      </c>
      <c r="Z5884" s="21"/>
      <c r="AA5884" s="21" t="str">
        <f>HYPERLINK("https://miland.ru/api/getInfo/item/474a1b3c-74eb-11ef-a265-00155d82e908")</f>
        <v>https://miland.ru/api/getInfo/item/474a1b3c-74eb-11ef-a265-00155d82e908</v>
      </c>
      <c r="AB5884" s="21" t="s">
        <v>50</v>
      </c>
      <c r="AC5884" s="21" t="s">
        <v>1698</v>
      </c>
      <c r="AD5884" s="21"/>
    </row>
    <row r="5885" spans="2:31" ht="12" customHeight="1" outlineLevel="3">
      <c r="B5885" s="70" t="s">
        <v>20979</v>
      </c>
      <c r="C5885" s="70"/>
      <c r="D5885" s="70"/>
      <c r="E5885" s="70"/>
      <c r="F5885" s="70"/>
      <c r="G5885" s="70"/>
    </row>
    <row r="5886" spans="2:31" s="1" customFormat="1" ht="96.3" customHeight="1" outlineLevel="4">
      <c r="B5886" s="58">
        <v>4811</v>
      </c>
      <c r="C5886" s="7" t="s">
        <v>20980</v>
      </c>
      <c r="D5886" s="71" t="s">
        <v>20981</v>
      </c>
      <c r="E5886" s="71"/>
      <c r="F5886" s="71"/>
      <c r="G5886" s="71"/>
      <c r="H5886" s="8" t="s">
        <v>20982</v>
      </c>
      <c r="I5886" s="9" t="s">
        <v>36</v>
      </c>
      <c r="J5886" s="8"/>
      <c r="K5886" s="6">
        <v>30</v>
      </c>
      <c r="L5886" s="10">
        <v>18.21</v>
      </c>
      <c r="M5886" s="11"/>
      <c r="N5886" s="8">
        <f t="shared" ref="N5886:N5909" si="343">L5886*M5886</f>
        <v>0</v>
      </c>
      <c r="O5886" s="12">
        <f>0.009*M5886</f>
        <v>0</v>
      </c>
      <c r="P5886" s="13">
        <f>0.00003*M5886</f>
        <v>0</v>
      </c>
      <c r="Q5886" s="17" t="s">
        <v>37</v>
      </c>
      <c r="R5886" s="8" t="s">
        <v>20983</v>
      </c>
      <c r="S5886" s="8"/>
      <c r="T5886" s="7" t="str">
        <f>HYPERLINK("https://miland.ru/api/getInfo/image/79a58212-4acf-11f1-a297-00155d82e908")</f>
        <v>https://miland.ru/api/getInfo/image/79a58212-4acf-11f1-a297-00155d82e908</v>
      </c>
      <c r="U5886" s="7"/>
      <c r="V5886" s="7" t="s">
        <v>9009</v>
      </c>
      <c r="W5886" s="7" t="s">
        <v>9010</v>
      </c>
      <c r="X5886" s="7"/>
      <c r="Y5886" s="7" t="s">
        <v>41</v>
      </c>
      <c r="Z5886" s="7"/>
      <c r="AA5886" s="7" t="str">
        <f>HYPERLINK("https://miland.ru/api/getInfo/item/79a58212-4acf-11f1-a297-00155d82e908")</f>
        <v>https://miland.ru/api/getInfo/item/79a58212-4acf-11f1-a297-00155d82e908</v>
      </c>
      <c r="AB5886" s="7" t="s">
        <v>50</v>
      </c>
      <c r="AC5886" s="7"/>
      <c r="AD5886" s="7"/>
      <c r="AE5886" s="54"/>
    </row>
    <row r="5887" spans="2:31" s="1" customFormat="1" ht="96.3" customHeight="1" outlineLevel="4">
      <c r="B5887" s="58">
        <v>4812</v>
      </c>
      <c r="C5887" s="7" t="s">
        <v>20984</v>
      </c>
      <c r="D5887" s="71" t="s">
        <v>20985</v>
      </c>
      <c r="E5887" s="71"/>
      <c r="F5887" s="71"/>
      <c r="G5887" s="71"/>
      <c r="H5887" s="8" t="s">
        <v>20986</v>
      </c>
      <c r="I5887" s="9" t="s">
        <v>36</v>
      </c>
      <c r="J5887" s="8"/>
      <c r="K5887" s="6">
        <v>30</v>
      </c>
      <c r="L5887" s="10">
        <v>18.21</v>
      </c>
      <c r="M5887" s="11"/>
      <c r="N5887" s="8">
        <f t="shared" si="343"/>
        <v>0</v>
      </c>
      <c r="O5887" s="12">
        <f>0.008*M5887</f>
        <v>0</v>
      </c>
      <c r="P5887" s="13">
        <f>0.00003*M5887</f>
        <v>0</v>
      </c>
      <c r="Q5887" s="17" t="s">
        <v>37</v>
      </c>
      <c r="R5887" s="8" t="s">
        <v>20987</v>
      </c>
      <c r="S5887" s="8"/>
      <c r="T5887" s="7" t="str">
        <f>HYPERLINK("https://miland.ru/api/getInfo/image/2c273143-4ad0-11f1-a297-00155d82e908")</f>
        <v>https://miland.ru/api/getInfo/image/2c273143-4ad0-11f1-a297-00155d82e908</v>
      </c>
      <c r="U5887" s="7"/>
      <c r="V5887" s="7" t="s">
        <v>9009</v>
      </c>
      <c r="W5887" s="7" t="s">
        <v>9010</v>
      </c>
      <c r="X5887" s="7"/>
      <c r="Y5887" s="7" t="s">
        <v>41</v>
      </c>
      <c r="Z5887" s="7"/>
      <c r="AA5887" s="7" t="str">
        <f>HYPERLINK("https://miland.ru/api/getInfo/item/2c273143-4ad0-11f1-a297-00155d82e908")</f>
        <v>https://miland.ru/api/getInfo/item/2c273143-4ad0-11f1-a297-00155d82e908</v>
      </c>
      <c r="AB5887" s="7" t="s">
        <v>50</v>
      </c>
      <c r="AC5887" s="7"/>
      <c r="AD5887" s="7"/>
      <c r="AE5887" s="54"/>
    </row>
    <row r="5888" spans="2:31" s="1" customFormat="1" ht="96.3" customHeight="1" outlineLevel="4">
      <c r="B5888" s="57">
        <v>4813</v>
      </c>
      <c r="C5888" s="21" t="s">
        <v>20988</v>
      </c>
      <c r="D5888" s="72" t="s">
        <v>20989</v>
      </c>
      <c r="E5888" s="72"/>
      <c r="F5888" s="72"/>
      <c r="G5888" s="72"/>
      <c r="H5888" s="22" t="s">
        <v>20990</v>
      </c>
      <c r="I5888" s="23" t="s">
        <v>36</v>
      </c>
      <c r="J5888" s="22"/>
      <c r="K5888" s="20">
        <v>30</v>
      </c>
      <c r="L5888" s="24">
        <v>18.21</v>
      </c>
      <c r="M5888" s="11"/>
      <c r="N5888" s="22">
        <f t="shared" si="343"/>
        <v>0</v>
      </c>
      <c r="O5888" s="25">
        <f>0.009*M5888</f>
        <v>0</v>
      </c>
      <c r="P5888" s="26">
        <f>0.00003*M5888</f>
        <v>0</v>
      </c>
      <c r="Q5888" s="30"/>
      <c r="R5888" s="22" t="s">
        <v>20991</v>
      </c>
      <c r="S5888" s="22"/>
      <c r="T5888" s="21" t="str">
        <f>HYPERLINK("https://miland.ru/api/getInfo/image/70662e12-3259-11f0-a27c-00155d82e908")</f>
        <v>https://miland.ru/api/getInfo/image/70662e12-3259-11f0-a27c-00155d82e908</v>
      </c>
      <c r="U5888" s="21"/>
      <c r="V5888" s="21" t="s">
        <v>9009</v>
      </c>
      <c r="W5888" s="21" t="s">
        <v>9010</v>
      </c>
      <c r="X5888" s="21"/>
      <c r="Y5888" s="21" t="s">
        <v>41</v>
      </c>
      <c r="Z5888" s="21"/>
      <c r="AA5888" s="21" t="str">
        <f>HYPERLINK("https://miland.ru/api/getInfo/item/70662e12-3259-11f0-a27c-00155d82e908")</f>
        <v>https://miland.ru/api/getInfo/item/70662e12-3259-11f0-a27c-00155d82e908</v>
      </c>
      <c r="AB5888" s="21" t="s">
        <v>50</v>
      </c>
      <c r="AC5888" s="21"/>
      <c r="AD5888" s="21"/>
    </row>
    <row r="5889" spans="2:31" s="1" customFormat="1" ht="96.3" customHeight="1" outlineLevel="4">
      <c r="B5889" s="58">
        <v>4814</v>
      </c>
      <c r="C5889" s="7" t="s">
        <v>20992</v>
      </c>
      <c r="D5889" s="71" t="s">
        <v>20993</v>
      </c>
      <c r="E5889" s="71"/>
      <c r="F5889" s="71"/>
      <c r="G5889" s="71"/>
      <c r="H5889" s="8" t="s">
        <v>20994</v>
      </c>
      <c r="I5889" s="9" t="s">
        <v>36</v>
      </c>
      <c r="J5889" s="8"/>
      <c r="K5889" s="6">
        <v>30</v>
      </c>
      <c r="L5889" s="10">
        <v>18.21</v>
      </c>
      <c r="M5889" s="11"/>
      <c r="N5889" s="8">
        <f t="shared" si="343"/>
        <v>0</v>
      </c>
      <c r="O5889" s="12">
        <f>0.008*M5889</f>
        <v>0</v>
      </c>
      <c r="P5889" s="13">
        <f>0.00003*M5889</f>
        <v>0</v>
      </c>
      <c r="Q5889" s="17" t="s">
        <v>37</v>
      </c>
      <c r="R5889" s="8" t="s">
        <v>20995</v>
      </c>
      <c r="S5889" s="8"/>
      <c r="T5889" s="7" t="str">
        <f>HYPERLINK("https://miland.ru/api/getInfo/image/54a92199-4ad0-11f1-a297-00155d82e908")</f>
        <v>https://miland.ru/api/getInfo/image/54a92199-4ad0-11f1-a297-00155d82e908</v>
      </c>
      <c r="U5889" s="7"/>
      <c r="V5889" s="7" t="s">
        <v>9009</v>
      </c>
      <c r="W5889" s="7" t="s">
        <v>9010</v>
      </c>
      <c r="X5889" s="7"/>
      <c r="Y5889" s="7" t="s">
        <v>41</v>
      </c>
      <c r="Z5889" s="7"/>
      <c r="AA5889" s="7" t="str">
        <f>HYPERLINK("https://miland.ru/api/getInfo/item/54a92199-4ad0-11f1-a297-00155d82e908")</f>
        <v>https://miland.ru/api/getInfo/item/54a92199-4ad0-11f1-a297-00155d82e908</v>
      </c>
      <c r="AB5889" s="7" t="s">
        <v>50</v>
      </c>
      <c r="AC5889" s="7"/>
      <c r="AD5889" s="7"/>
      <c r="AE5889" s="54"/>
    </row>
    <row r="5890" spans="2:31" s="1" customFormat="1" ht="96.3" customHeight="1" outlineLevel="4">
      <c r="B5890" s="57">
        <v>4815</v>
      </c>
      <c r="C5890" s="21" t="s">
        <v>20996</v>
      </c>
      <c r="D5890" s="72" t="s">
        <v>20997</v>
      </c>
      <c r="E5890" s="72"/>
      <c r="F5890" s="72"/>
      <c r="G5890" s="72"/>
      <c r="H5890" s="22" t="s">
        <v>20998</v>
      </c>
      <c r="I5890" s="23" t="s">
        <v>36</v>
      </c>
      <c r="J5890" s="22"/>
      <c r="K5890" s="20">
        <v>30</v>
      </c>
      <c r="L5890" s="24">
        <v>18.21</v>
      </c>
      <c r="M5890" s="11"/>
      <c r="N5890" s="22">
        <f t="shared" si="343"/>
        <v>0</v>
      </c>
      <c r="O5890" s="25">
        <f>0.009*M5890</f>
        <v>0</v>
      </c>
      <c r="P5890" s="22">
        <v>0</v>
      </c>
      <c r="Q5890" s="30"/>
      <c r="R5890" s="22" t="s">
        <v>20999</v>
      </c>
      <c r="S5890" s="22"/>
      <c r="T5890" s="21" t="str">
        <f>HYPERLINK("https://miland.ru/api/getInfo/image/3e46d0d2-3259-11f0-a27c-00155d82e908")</f>
        <v>https://miland.ru/api/getInfo/image/3e46d0d2-3259-11f0-a27c-00155d82e908</v>
      </c>
      <c r="U5890" s="21"/>
      <c r="V5890" s="21" t="s">
        <v>9009</v>
      </c>
      <c r="W5890" s="21" t="s">
        <v>9010</v>
      </c>
      <c r="X5890" s="21"/>
      <c r="Y5890" s="21" t="s">
        <v>41</v>
      </c>
      <c r="Z5890" s="21"/>
      <c r="AA5890" s="21" t="str">
        <f>HYPERLINK("https://miland.ru/api/getInfo/item/3e46d0d2-3259-11f0-a27c-00155d82e908")</f>
        <v>https://miland.ru/api/getInfo/item/3e46d0d2-3259-11f0-a27c-00155d82e908</v>
      </c>
      <c r="AB5890" s="21" t="s">
        <v>50</v>
      </c>
      <c r="AC5890" s="21"/>
      <c r="AD5890" s="21"/>
    </row>
    <row r="5891" spans="2:31" s="1" customFormat="1" ht="96.3" customHeight="1" outlineLevel="4">
      <c r="B5891" s="57">
        <v>4816</v>
      </c>
      <c r="C5891" s="21" t="s">
        <v>21000</v>
      </c>
      <c r="D5891" s="72" t="s">
        <v>21001</v>
      </c>
      <c r="E5891" s="72"/>
      <c r="F5891" s="72"/>
      <c r="G5891" s="72"/>
      <c r="H5891" s="22" t="s">
        <v>21002</v>
      </c>
      <c r="I5891" s="27">
        <v>170</v>
      </c>
      <c r="J5891" s="22"/>
      <c r="K5891" s="20">
        <v>30</v>
      </c>
      <c r="L5891" s="24">
        <v>18.21</v>
      </c>
      <c r="M5891" s="11"/>
      <c r="N5891" s="22">
        <f t="shared" si="343"/>
        <v>0</v>
      </c>
      <c r="O5891" s="25">
        <f>0.009*M5891</f>
        <v>0</v>
      </c>
      <c r="P5891" s="26">
        <f>0.00001*M5891</f>
        <v>0</v>
      </c>
      <c r="Q5891" s="30"/>
      <c r="R5891" s="22" t="s">
        <v>21003</v>
      </c>
      <c r="S5891" s="22"/>
      <c r="T5891" s="21" t="str">
        <f>HYPERLINK("https://miland.ru/api/getInfo/image/5a6277cc-3259-11f0-a27c-00155d82e908")</f>
        <v>https://miland.ru/api/getInfo/image/5a6277cc-3259-11f0-a27c-00155d82e908</v>
      </c>
      <c r="U5891" s="21"/>
      <c r="V5891" s="21" t="s">
        <v>9009</v>
      </c>
      <c r="W5891" s="21" t="s">
        <v>9010</v>
      </c>
      <c r="X5891" s="21"/>
      <c r="Y5891" s="21" t="s">
        <v>41</v>
      </c>
      <c r="Z5891" s="21"/>
      <c r="AA5891" s="21" t="str">
        <f>HYPERLINK("https://miland.ru/api/getInfo/item/5a6277cc-3259-11f0-a27c-00155d82e908")</f>
        <v>https://miland.ru/api/getInfo/item/5a6277cc-3259-11f0-a27c-00155d82e908</v>
      </c>
      <c r="AB5891" s="21" t="s">
        <v>50</v>
      </c>
      <c r="AC5891" s="21"/>
      <c r="AD5891" s="21"/>
    </row>
    <row r="5892" spans="2:31" s="1" customFormat="1" ht="96.3" customHeight="1" outlineLevel="4">
      <c r="B5892" s="58">
        <v>4817</v>
      </c>
      <c r="C5892" s="7" t="s">
        <v>21004</v>
      </c>
      <c r="D5892" s="71" t="s">
        <v>21005</v>
      </c>
      <c r="E5892" s="71"/>
      <c r="F5892" s="71"/>
      <c r="G5892" s="71"/>
      <c r="H5892" s="8" t="s">
        <v>21006</v>
      </c>
      <c r="I5892" s="9" t="s">
        <v>36</v>
      </c>
      <c r="J5892" s="8"/>
      <c r="K5892" s="6">
        <v>30</v>
      </c>
      <c r="L5892" s="10">
        <v>18.21</v>
      </c>
      <c r="M5892" s="11"/>
      <c r="N5892" s="8">
        <f t="shared" si="343"/>
        <v>0</v>
      </c>
      <c r="O5892" s="12">
        <f>0.008*M5892</f>
        <v>0</v>
      </c>
      <c r="P5892" s="13">
        <f>0.00003*M5892</f>
        <v>0</v>
      </c>
      <c r="Q5892" s="17" t="s">
        <v>37</v>
      </c>
      <c r="R5892" s="8" t="s">
        <v>21007</v>
      </c>
      <c r="S5892" s="8"/>
      <c r="T5892" s="7" t="str">
        <f>HYPERLINK("https://miland.ru/api/getInfo/image/06aedc0b-4ad0-11f1-a297-00155d82e908")</f>
        <v>https://miland.ru/api/getInfo/image/06aedc0b-4ad0-11f1-a297-00155d82e908</v>
      </c>
      <c r="U5892" s="7"/>
      <c r="V5892" s="7" t="s">
        <v>9009</v>
      </c>
      <c r="W5892" s="7" t="s">
        <v>9010</v>
      </c>
      <c r="X5892" s="7"/>
      <c r="Y5892" s="7" t="s">
        <v>41</v>
      </c>
      <c r="Z5892" s="7"/>
      <c r="AA5892" s="7" t="str">
        <f>HYPERLINK("https://miland.ru/api/getInfo/item/06aedc0b-4ad0-11f1-a297-00155d82e908")</f>
        <v>https://miland.ru/api/getInfo/item/06aedc0b-4ad0-11f1-a297-00155d82e908</v>
      </c>
      <c r="AB5892" s="7" t="s">
        <v>50</v>
      </c>
      <c r="AC5892" s="7"/>
      <c r="AD5892" s="7"/>
      <c r="AE5892" s="54"/>
    </row>
    <row r="5893" spans="2:31" s="1" customFormat="1" ht="96.3" customHeight="1" outlineLevel="4">
      <c r="B5893" s="58">
        <v>4818</v>
      </c>
      <c r="C5893" s="7" t="s">
        <v>21008</v>
      </c>
      <c r="D5893" s="71" t="s">
        <v>21009</v>
      </c>
      <c r="E5893" s="71"/>
      <c r="F5893" s="71"/>
      <c r="G5893" s="71"/>
      <c r="H5893" s="8" t="s">
        <v>21010</v>
      </c>
      <c r="I5893" s="9" t="s">
        <v>36</v>
      </c>
      <c r="J5893" s="8"/>
      <c r="K5893" s="6">
        <v>30</v>
      </c>
      <c r="L5893" s="10">
        <v>18.21</v>
      </c>
      <c r="M5893" s="11"/>
      <c r="N5893" s="8">
        <f t="shared" si="343"/>
        <v>0</v>
      </c>
      <c r="O5893" s="12">
        <f>0.008*M5893</f>
        <v>0</v>
      </c>
      <c r="P5893" s="13">
        <f>0.00003*M5893</f>
        <v>0</v>
      </c>
      <c r="Q5893" s="17" t="s">
        <v>37</v>
      </c>
      <c r="R5893" s="8" t="s">
        <v>21011</v>
      </c>
      <c r="S5893" s="8"/>
      <c r="T5893" s="7" t="str">
        <f>HYPERLINK("https://miland.ru/api/getInfo/image/c2dfef06-4acf-11f1-a297-00155d82e908")</f>
        <v>https://miland.ru/api/getInfo/image/c2dfef06-4acf-11f1-a297-00155d82e908</v>
      </c>
      <c r="U5893" s="7"/>
      <c r="V5893" s="7" t="s">
        <v>9009</v>
      </c>
      <c r="W5893" s="7" t="s">
        <v>9010</v>
      </c>
      <c r="X5893" s="7"/>
      <c r="Y5893" s="7" t="s">
        <v>41</v>
      </c>
      <c r="Z5893" s="7"/>
      <c r="AA5893" s="7" t="str">
        <f>HYPERLINK("https://miland.ru/api/getInfo/item/c2dfef06-4acf-11f1-a297-00155d82e908")</f>
        <v>https://miland.ru/api/getInfo/item/c2dfef06-4acf-11f1-a297-00155d82e908</v>
      </c>
      <c r="AB5893" s="7" t="s">
        <v>50</v>
      </c>
      <c r="AC5893" s="7"/>
      <c r="AD5893" s="7"/>
      <c r="AE5893" s="54"/>
    </row>
    <row r="5894" spans="2:31" s="1" customFormat="1" ht="96.3" customHeight="1" outlineLevel="4">
      <c r="B5894" s="58">
        <v>4819</v>
      </c>
      <c r="C5894" s="7" t="s">
        <v>21012</v>
      </c>
      <c r="D5894" s="71" t="s">
        <v>21013</v>
      </c>
      <c r="E5894" s="71"/>
      <c r="F5894" s="71"/>
      <c r="G5894" s="71"/>
      <c r="H5894" s="8" t="s">
        <v>21014</v>
      </c>
      <c r="I5894" s="9" t="s">
        <v>36</v>
      </c>
      <c r="J5894" s="8"/>
      <c r="K5894" s="6">
        <v>30</v>
      </c>
      <c r="L5894" s="10">
        <v>18.21</v>
      </c>
      <c r="M5894" s="11"/>
      <c r="N5894" s="8">
        <f t="shared" si="343"/>
        <v>0</v>
      </c>
      <c r="O5894" s="12">
        <f>0.008*M5894</f>
        <v>0</v>
      </c>
      <c r="P5894" s="13">
        <f>0.00003*M5894</f>
        <v>0</v>
      </c>
      <c r="Q5894" s="17" t="s">
        <v>37</v>
      </c>
      <c r="R5894" s="8" t="s">
        <v>21015</v>
      </c>
      <c r="S5894" s="8"/>
      <c r="T5894" s="7" t="str">
        <f>HYPERLINK("https://miland.ru/api/getInfo/image/9e3c1540-4acf-11f1-a297-00155d82e908")</f>
        <v>https://miland.ru/api/getInfo/image/9e3c1540-4acf-11f1-a297-00155d82e908</v>
      </c>
      <c r="U5894" s="7"/>
      <c r="V5894" s="7" t="s">
        <v>9009</v>
      </c>
      <c r="W5894" s="7" t="s">
        <v>9010</v>
      </c>
      <c r="X5894" s="7"/>
      <c r="Y5894" s="7" t="s">
        <v>41</v>
      </c>
      <c r="Z5894" s="7"/>
      <c r="AA5894" s="7" t="str">
        <f>HYPERLINK("https://miland.ru/api/getInfo/item/9e3c1540-4acf-11f1-a297-00155d82e908")</f>
        <v>https://miland.ru/api/getInfo/item/9e3c1540-4acf-11f1-a297-00155d82e908</v>
      </c>
      <c r="AB5894" s="7" t="s">
        <v>50</v>
      </c>
      <c r="AC5894" s="7"/>
      <c r="AD5894" s="7"/>
      <c r="AE5894" s="54"/>
    </row>
    <row r="5895" spans="2:31" s="1" customFormat="1" ht="96.3" customHeight="1" outlineLevel="4">
      <c r="B5895" s="58">
        <v>4820</v>
      </c>
      <c r="C5895" s="7" t="s">
        <v>21016</v>
      </c>
      <c r="D5895" s="71" t="s">
        <v>21017</v>
      </c>
      <c r="E5895" s="71"/>
      <c r="F5895" s="71"/>
      <c r="G5895" s="71"/>
      <c r="H5895" s="8" t="s">
        <v>21018</v>
      </c>
      <c r="I5895" s="9" t="s">
        <v>36</v>
      </c>
      <c r="J5895" s="8"/>
      <c r="K5895" s="6">
        <v>30</v>
      </c>
      <c r="L5895" s="10">
        <v>18.21</v>
      </c>
      <c r="M5895" s="11"/>
      <c r="N5895" s="8">
        <f t="shared" si="343"/>
        <v>0</v>
      </c>
      <c r="O5895" s="12">
        <f>0.008*M5895</f>
        <v>0</v>
      </c>
      <c r="P5895" s="13">
        <f>0.00003*M5895</f>
        <v>0</v>
      </c>
      <c r="Q5895" s="17" t="s">
        <v>37</v>
      </c>
      <c r="R5895" s="8" t="s">
        <v>21019</v>
      </c>
      <c r="S5895" s="8"/>
      <c r="T5895" s="7" t="str">
        <f>HYPERLINK("https://miland.ru/api/getInfo/image/2f134336-4acf-11f1-a297-00155d82e908")</f>
        <v>https://miland.ru/api/getInfo/image/2f134336-4acf-11f1-a297-00155d82e908</v>
      </c>
      <c r="U5895" s="7"/>
      <c r="V5895" s="7" t="s">
        <v>9009</v>
      </c>
      <c r="W5895" s="7" t="s">
        <v>9010</v>
      </c>
      <c r="X5895" s="7"/>
      <c r="Y5895" s="7" t="s">
        <v>41</v>
      </c>
      <c r="Z5895" s="7"/>
      <c r="AA5895" s="7" t="str">
        <f>HYPERLINK("https://miland.ru/api/getInfo/item/2f134336-4acf-11f1-a297-00155d82e908")</f>
        <v>https://miland.ru/api/getInfo/item/2f134336-4acf-11f1-a297-00155d82e908</v>
      </c>
      <c r="AB5895" s="7" t="s">
        <v>50</v>
      </c>
      <c r="AC5895" s="7"/>
      <c r="AD5895" s="7"/>
      <c r="AE5895" s="54"/>
    </row>
    <row r="5896" spans="2:31" s="1" customFormat="1" ht="96.3" customHeight="1" outlineLevel="4">
      <c r="B5896" s="58">
        <v>4821</v>
      </c>
      <c r="C5896" s="7" t="s">
        <v>21020</v>
      </c>
      <c r="D5896" s="71" t="s">
        <v>21021</v>
      </c>
      <c r="E5896" s="71"/>
      <c r="F5896" s="71"/>
      <c r="G5896" s="71"/>
      <c r="H5896" s="8" t="s">
        <v>21022</v>
      </c>
      <c r="I5896" s="9" t="s">
        <v>36</v>
      </c>
      <c r="J5896" s="8"/>
      <c r="K5896" s="6">
        <v>30</v>
      </c>
      <c r="L5896" s="10">
        <v>18.21</v>
      </c>
      <c r="M5896" s="11"/>
      <c r="N5896" s="8">
        <f t="shared" si="343"/>
        <v>0</v>
      </c>
      <c r="O5896" s="12">
        <f>0.012*M5896</f>
        <v>0</v>
      </c>
      <c r="P5896" s="13">
        <f>0.00007*M5896</f>
        <v>0</v>
      </c>
      <c r="Q5896" s="17" t="s">
        <v>37</v>
      </c>
      <c r="R5896" s="8" t="s">
        <v>21023</v>
      </c>
      <c r="S5896" s="8"/>
      <c r="T5896" s="7" t="str">
        <f>HYPERLINK("https://miland.ru/api/getInfo/image/e47fc557-4ace-11f1-a297-00155d82e908")</f>
        <v>https://miland.ru/api/getInfo/image/e47fc557-4ace-11f1-a297-00155d82e908</v>
      </c>
      <c r="U5896" s="7"/>
      <c r="V5896" s="7" t="s">
        <v>9009</v>
      </c>
      <c r="W5896" s="7" t="s">
        <v>9010</v>
      </c>
      <c r="X5896" s="7"/>
      <c r="Y5896" s="7" t="s">
        <v>41</v>
      </c>
      <c r="Z5896" s="7"/>
      <c r="AA5896" s="7" t="str">
        <f>HYPERLINK("https://miland.ru/api/getInfo/item/e47fc557-4ace-11f1-a297-00155d82e908")</f>
        <v>https://miland.ru/api/getInfo/item/e47fc557-4ace-11f1-a297-00155d82e908</v>
      </c>
      <c r="AB5896" s="7" t="s">
        <v>50</v>
      </c>
      <c r="AC5896" s="7"/>
      <c r="AD5896" s="7"/>
      <c r="AE5896" s="54"/>
    </row>
    <row r="5897" spans="2:31" s="1" customFormat="1" ht="96.3" customHeight="1" outlineLevel="4">
      <c r="B5897" s="59">
        <v>4822</v>
      </c>
      <c r="C5897" s="35" t="s">
        <v>21024</v>
      </c>
      <c r="D5897" s="73" t="s">
        <v>21025</v>
      </c>
      <c r="E5897" s="73"/>
      <c r="F5897" s="73"/>
      <c r="G5897" s="73"/>
      <c r="H5897" s="36" t="s">
        <v>21026</v>
      </c>
      <c r="I5897" s="56" t="s">
        <v>36</v>
      </c>
      <c r="J5897" s="36"/>
      <c r="K5897" s="34">
        <v>30</v>
      </c>
      <c r="L5897" s="41">
        <v>6.3066666666666675</v>
      </c>
      <c r="M5897" s="11"/>
      <c r="N5897" s="36">
        <f t="shared" si="343"/>
        <v>0</v>
      </c>
      <c r="O5897" s="42">
        <f>0.011*M5897</f>
        <v>0</v>
      </c>
      <c r="P5897" s="43">
        <f>0.00003*M5897</f>
        <v>0</v>
      </c>
      <c r="Q5897" s="50"/>
      <c r="R5897" s="36" t="s">
        <v>21027</v>
      </c>
      <c r="S5897" s="36" t="s">
        <v>435</v>
      </c>
      <c r="T5897" s="35" t="str">
        <f>HYPERLINK("https://miland.ru/api/getInfo/image/8839fe6e-fe1b-11ed-a23a-00155d82e902")</f>
        <v>https://miland.ru/api/getInfo/image/8839fe6e-fe1b-11ed-a23a-00155d82e902</v>
      </c>
      <c r="U5897" s="35"/>
      <c r="V5897" s="35" t="s">
        <v>9009</v>
      </c>
      <c r="W5897" s="35" t="s">
        <v>9010</v>
      </c>
      <c r="X5897" s="35"/>
      <c r="Y5897" s="35" t="s">
        <v>41</v>
      </c>
      <c r="Z5897" s="35"/>
      <c r="AA5897" s="35" t="str">
        <f>HYPERLINK("https://miland.ru/api/getInfo/item/8839fe6e-fe1b-11ed-a23a-00155d82e902")</f>
        <v>https://miland.ru/api/getInfo/item/8839fe6e-fe1b-11ed-a23a-00155d82e902</v>
      </c>
      <c r="AB5897" s="35" t="s">
        <v>50</v>
      </c>
      <c r="AC5897" s="35" t="s">
        <v>1698</v>
      </c>
      <c r="AD5897" s="35"/>
      <c r="AE5897" s="52" t="s">
        <v>1251</v>
      </c>
    </row>
    <row r="5898" spans="2:31" s="1" customFormat="1" ht="96.3" customHeight="1" outlineLevel="4">
      <c r="B5898" s="57">
        <v>4823</v>
      </c>
      <c r="C5898" s="21" t="s">
        <v>21028</v>
      </c>
      <c r="D5898" s="72" t="s">
        <v>21029</v>
      </c>
      <c r="E5898" s="72"/>
      <c r="F5898" s="72"/>
      <c r="G5898" s="72"/>
      <c r="H5898" s="22" t="s">
        <v>21030</v>
      </c>
      <c r="I5898" s="23" t="s">
        <v>36</v>
      </c>
      <c r="J5898" s="22"/>
      <c r="K5898" s="20">
        <v>30</v>
      </c>
      <c r="L5898" s="24">
        <v>18.21</v>
      </c>
      <c r="M5898" s="11"/>
      <c r="N5898" s="22">
        <f t="shared" si="343"/>
        <v>0</v>
      </c>
      <c r="O5898" s="25">
        <f>0.008*M5898</f>
        <v>0</v>
      </c>
      <c r="P5898" s="26">
        <f>0.00003*M5898</f>
        <v>0</v>
      </c>
      <c r="Q5898" s="30"/>
      <c r="R5898" s="22" t="s">
        <v>21031</v>
      </c>
      <c r="S5898" s="22"/>
      <c r="T5898" s="21" t="str">
        <f>HYPERLINK("https://miland.ru/api/getInfo/image/20212f10-3259-11f0-a27c-00155d82e908")</f>
        <v>https://miland.ru/api/getInfo/image/20212f10-3259-11f0-a27c-00155d82e908</v>
      </c>
      <c r="U5898" s="21"/>
      <c r="V5898" s="21" t="s">
        <v>9009</v>
      </c>
      <c r="W5898" s="21" t="s">
        <v>9010</v>
      </c>
      <c r="X5898" s="21"/>
      <c r="Y5898" s="21" t="s">
        <v>41</v>
      </c>
      <c r="Z5898" s="21"/>
      <c r="AA5898" s="21" t="str">
        <f>HYPERLINK("https://miland.ru/api/getInfo/item/20212f10-3259-11f0-a27c-00155d82e908")</f>
        <v>https://miland.ru/api/getInfo/item/20212f10-3259-11f0-a27c-00155d82e908</v>
      </c>
      <c r="AB5898" s="21" t="s">
        <v>50</v>
      </c>
      <c r="AC5898" s="21"/>
      <c r="AD5898" s="21"/>
    </row>
    <row r="5899" spans="2:31" s="1" customFormat="1" ht="96.3" customHeight="1" outlineLevel="4">
      <c r="B5899" s="58">
        <v>4824</v>
      </c>
      <c r="C5899" s="7" t="s">
        <v>21032</v>
      </c>
      <c r="D5899" s="71" t="s">
        <v>21033</v>
      </c>
      <c r="E5899" s="71"/>
      <c r="F5899" s="71"/>
      <c r="G5899" s="71"/>
      <c r="H5899" s="8" t="s">
        <v>21034</v>
      </c>
      <c r="I5899" s="9" t="s">
        <v>36</v>
      </c>
      <c r="J5899" s="8"/>
      <c r="K5899" s="6">
        <v>30</v>
      </c>
      <c r="L5899" s="10">
        <v>18.21</v>
      </c>
      <c r="M5899" s="11"/>
      <c r="N5899" s="8">
        <f t="shared" si="343"/>
        <v>0</v>
      </c>
      <c r="O5899" s="12">
        <f>0.008*M5899</f>
        <v>0</v>
      </c>
      <c r="P5899" s="13">
        <f>0.00003*M5899</f>
        <v>0</v>
      </c>
      <c r="Q5899" s="17" t="s">
        <v>37</v>
      </c>
      <c r="R5899" s="8" t="s">
        <v>21035</v>
      </c>
      <c r="S5899" s="8"/>
      <c r="T5899" s="7" t="str">
        <f>HYPERLINK("https://miland.ru/api/getInfo/image/a13ed023-4ad0-11f1-a297-00155d82e908")</f>
        <v>https://miland.ru/api/getInfo/image/a13ed023-4ad0-11f1-a297-00155d82e908</v>
      </c>
      <c r="U5899" s="7"/>
      <c r="V5899" s="7" t="s">
        <v>9009</v>
      </c>
      <c r="W5899" s="7" t="s">
        <v>9010</v>
      </c>
      <c r="X5899" s="7"/>
      <c r="Y5899" s="7" t="s">
        <v>41</v>
      </c>
      <c r="Z5899" s="7"/>
      <c r="AA5899" s="7" t="str">
        <f>HYPERLINK("https://miland.ru/api/getInfo/item/a13ed023-4ad0-11f1-a297-00155d82e908")</f>
        <v>https://miland.ru/api/getInfo/item/a13ed023-4ad0-11f1-a297-00155d82e908</v>
      </c>
      <c r="AB5899" s="7" t="s">
        <v>50</v>
      </c>
      <c r="AC5899" s="7"/>
      <c r="AD5899" s="7"/>
      <c r="AE5899" s="54"/>
    </row>
    <row r="5900" spans="2:31" s="1" customFormat="1" ht="96.3" customHeight="1" outlineLevel="4">
      <c r="B5900" s="58">
        <v>4825</v>
      </c>
      <c r="C5900" s="7" t="s">
        <v>21036</v>
      </c>
      <c r="D5900" s="71" t="s">
        <v>21037</v>
      </c>
      <c r="E5900" s="71"/>
      <c r="F5900" s="71"/>
      <c r="G5900" s="71"/>
      <c r="H5900" s="8" t="s">
        <v>21038</v>
      </c>
      <c r="I5900" s="9" t="s">
        <v>36</v>
      </c>
      <c r="J5900" s="8"/>
      <c r="K5900" s="6">
        <v>30</v>
      </c>
      <c r="L5900" s="10">
        <v>18.21</v>
      </c>
      <c r="M5900" s="11"/>
      <c r="N5900" s="8">
        <f t="shared" si="343"/>
        <v>0</v>
      </c>
      <c r="O5900" s="12">
        <f>0.008*M5900</f>
        <v>0</v>
      </c>
      <c r="P5900" s="13">
        <f>0.00003*M5900</f>
        <v>0</v>
      </c>
      <c r="Q5900" s="17" t="s">
        <v>37</v>
      </c>
      <c r="R5900" s="8" t="s">
        <v>21039</v>
      </c>
      <c r="S5900" s="8"/>
      <c r="T5900" s="7" t="str">
        <f>HYPERLINK("https://miland.ru/api/getInfo/image/fe1f5bd4-4ad0-11f1-a297-00155d82e908")</f>
        <v>https://miland.ru/api/getInfo/image/fe1f5bd4-4ad0-11f1-a297-00155d82e908</v>
      </c>
      <c r="U5900" s="7"/>
      <c r="V5900" s="7" t="s">
        <v>9009</v>
      </c>
      <c r="W5900" s="7" t="s">
        <v>9010</v>
      </c>
      <c r="X5900" s="7"/>
      <c r="Y5900" s="7" t="s">
        <v>41</v>
      </c>
      <c r="Z5900" s="7"/>
      <c r="AA5900" s="7" t="str">
        <f>HYPERLINK("https://miland.ru/api/getInfo/item/fe1f5bd4-4ad0-11f1-a297-00155d82e908")</f>
        <v>https://miland.ru/api/getInfo/item/fe1f5bd4-4ad0-11f1-a297-00155d82e908</v>
      </c>
      <c r="AB5900" s="7" t="s">
        <v>50</v>
      </c>
      <c r="AC5900" s="7"/>
      <c r="AD5900" s="7"/>
      <c r="AE5900" s="54"/>
    </row>
    <row r="5901" spans="2:31" s="1" customFormat="1" ht="96.3" customHeight="1" outlineLevel="4">
      <c r="B5901" s="58">
        <v>4826</v>
      </c>
      <c r="C5901" s="7" t="s">
        <v>21040</v>
      </c>
      <c r="D5901" s="71" t="s">
        <v>21041</v>
      </c>
      <c r="E5901" s="71"/>
      <c r="F5901" s="71"/>
      <c r="G5901" s="71"/>
      <c r="H5901" s="8" t="s">
        <v>21042</v>
      </c>
      <c r="I5901" s="9" t="s">
        <v>36</v>
      </c>
      <c r="J5901" s="8"/>
      <c r="K5901" s="6">
        <v>30</v>
      </c>
      <c r="L5901" s="10">
        <v>18.21</v>
      </c>
      <c r="M5901" s="11"/>
      <c r="N5901" s="8">
        <f t="shared" si="343"/>
        <v>0</v>
      </c>
      <c r="O5901" s="12">
        <f>0.008*M5901</f>
        <v>0</v>
      </c>
      <c r="P5901" s="13">
        <f>0.00003*M5901</f>
        <v>0</v>
      </c>
      <c r="Q5901" s="17" t="s">
        <v>37</v>
      </c>
      <c r="R5901" s="8" t="s">
        <v>21043</v>
      </c>
      <c r="S5901" s="8"/>
      <c r="T5901" s="7" t="str">
        <f>HYPERLINK("https://miland.ru/api/getInfo/image/6432c503-4ace-11f1-a297-00155d82e908")</f>
        <v>https://miland.ru/api/getInfo/image/6432c503-4ace-11f1-a297-00155d82e908</v>
      </c>
      <c r="U5901" s="7"/>
      <c r="V5901" s="7" t="s">
        <v>9009</v>
      </c>
      <c r="W5901" s="7" t="s">
        <v>9010</v>
      </c>
      <c r="X5901" s="7"/>
      <c r="Y5901" s="7" t="s">
        <v>41</v>
      </c>
      <c r="Z5901" s="7"/>
      <c r="AA5901" s="7" t="str">
        <f>HYPERLINK("https://miland.ru/api/getInfo/item/6432c503-4ace-11f1-a297-00155d82e908")</f>
        <v>https://miland.ru/api/getInfo/item/6432c503-4ace-11f1-a297-00155d82e908</v>
      </c>
      <c r="AB5901" s="7" t="s">
        <v>50</v>
      </c>
      <c r="AC5901" s="7"/>
      <c r="AD5901" s="7"/>
      <c r="AE5901" s="54"/>
    </row>
    <row r="5902" spans="2:31" s="1" customFormat="1" ht="96.3" customHeight="1" outlineLevel="4">
      <c r="B5902" s="58">
        <v>4827</v>
      </c>
      <c r="C5902" s="7" t="s">
        <v>21044</v>
      </c>
      <c r="D5902" s="71" t="s">
        <v>21045</v>
      </c>
      <c r="E5902" s="71"/>
      <c r="F5902" s="71"/>
      <c r="G5902" s="71"/>
      <c r="H5902" s="8" t="s">
        <v>21046</v>
      </c>
      <c r="I5902" s="9" t="s">
        <v>36</v>
      </c>
      <c r="J5902" s="8"/>
      <c r="K5902" s="6">
        <v>30</v>
      </c>
      <c r="L5902" s="10">
        <v>18.21</v>
      </c>
      <c r="M5902" s="11"/>
      <c r="N5902" s="8">
        <f t="shared" si="343"/>
        <v>0</v>
      </c>
      <c r="O5902" s="12">
        <f>0.012*M5902</f>
        <v>0</v>
      </c>
      <c r="P5902" s="13">
        <f>0.00007*M5902</f>
        <v>0</v>
      </c>
      <c r="Q5902" s="17" t="s">
        <v>37</v>
      </c>
      <c r="R5902" s="8" t="s">
        <v>21047</v>
      </c>
      <c r="S5902" s="8"/>
      <c r="T5902" s="7" t="str">
        <f>HYPERLINK("https://miland.ru/api/getInfo/image/7befaae7-4ad0-11f1-a297-00155d82e908")</f>
        <v>https://miland.ru/api/getInfo/image/7befaae7-4ad0-11f1-a297-00155d82e908</v>
      </c>
      <c r="U5902" s="7"/>
      <c r="V5902" s="7" t="s">
        <v>9009</v>
      </c>
      <c r="W5902" s="7" t="s">
        <v>9010</v>
      </c>
      <c r="X5902" s="7"/>
      <c r="Y5902" s="7" t="s">
        <v>41</v>
      </c>
      <c r="Z5902" s="7"/>
      <c r="AA5902" s="7" t="str">
        <f>HYPERLINK("https://miland.ru/api/getInfo/item/7befaae7-4ad0-11f1-a297-00155d82e908")</f>
        <v>https://miland.ru/api/getInfo/item/7befaae7-4ad0-11f1-a297-00155d82e908</v>
      </c>
      <c r="AB5902" s="7" t="s">
        <v>50</v>
      </c>
      <c r="AC5902" s="7"/>
      <c r="AD5902" s="7"/>
      <c r="AE5902" s="54"/>
    </row>
    <row r="5903" spans="2:31" s="1" customFormat="1" ht="96.3" customHeight="1" outlineLevel="4">
      <c r="B5903" s="58">
        <v>4828</v>
      </c>
      <c r="C5903" s="7" t="s">
        <v>21048</v>
      </c>
      <c r="D5903" s="71" t="s">
        <v>21049</v>
      </c>
      <c r="E5903" s="71"/>
      <c r="F5903" s="71"/>
      <c r="G5903" s="71"/>
      <c r="H5903" s="8" t="s">
        <v>21050</v>
      </c>
      <c r="I5903" s="9" t="s">
        <v>36</v>
      </c>
      <c r="J5903" s="8"/>
      <c r="K5903" s="6">
        <v>30</v>
      </c>
      <c r="L5903" s="10">
        <v>18.21</v>
      </c>
      <c r="M5903" s="11"/>
      <c r="N5903" s="8">
        <f t="shared" si="343"/>
        <v>0</v>
      </c>
      <c r="O5903" s="12">
        <f>0.008*M5903</f>
        <v>0</v>
      </c>
      <c r="P5903" s="13">
        <f>0.00003*M5903</f>
        <v>0</v>
      </c>
      <c r="Q5903" s="17" t="s">
        <v>37</v>
      </c>
      <c r="R5903" s="8" t="s">
        <v>21051</v>
      </c>
      <c r="S5903" s="8"/>
      <c r="T5903" s="7" t="str">
        <f>HYPERLINK("https://miland.ru/api/getInfo/image/c7c823bf-4ad0-11f1-a297-00155d82e908")</f>
        <v>https://miland.ru/api/getInfo/image/c7c823bf-4ad0-11f1-a297-00155d82e908</v>
      </c>
      <c r="U5903" s="7"/>
      <c r="V5903" s="7" t="s">
        <v>9009</v>
      </c>
      <c r="W5903" s="7" t="s">
        <v>9010</v>
      </c>
      <c r="X5903" s="7"/>
      <c r="Y5903" s="7" t="s">
        <v>41</v>
      </c>
      <c r="Z5903" s="7"/>
      <c r="AA5903" s="7" t="str">
        <f>HYPERLINK("https://miland.ru/api/getInfo/item/c7c823bf-4ad0-11f1-a297-00155d82e908")</f>
        <v>https://miland.ru/api/getInfo/item/c7c823bf-4ad0-11f1-a297-00155d82e908</v>
      </c>
      <c r="AB5903" s="7" t="s">
        <v>50</v>
      </c>
      <c r="AC5903" s="7"/>
      <c r="AD5903" s="7"/>
      <c r="AE5903" s="54"/>
    </row>
    <row r="5904" spans="2:31" s="1" customFormat="1" ht="96.3" customHeight="1" outlineLevel="4">
      <c r="B5904" s="58">
        <v>4829</v>
      </c>
      <c r="C5904" s="7" t="s">
        <v>21052</v>
      </c>
      <c r="D5904" s="71" t="s">
        <v>21053</v>
      </c>
      <c r="E5904" s="71"/>
      <c r="F5904" s="71"/>
      <c r="G5904" s="71"/>
      <c r="H5904" s="8" t="s">
        <v>21054</v>
      </c>
      <c r="I5904" s="9" t="s">
        <v>36</v>
      </c>
      <c r="J5904" s="8"/>
      <c r="K5904" s="6">
        <v>30</v>
      </c>
      <c r="L5904" s="10">
        <v>18.21</v>
      </c>
      <c r="M5904" s="11"/>
      <c r="N5904" s="8">
        <f t="shared" si="343"/>
        <v>0</v>
      </c>
      <c r="O5904" s="12">
        <f>0.012*M5904</f>
        <v>0</v>
      </c>
      <c r="P5904" s="13">
        <f>0.00007*M5904</f>
        <v>0</v>
      </c>
      <c r="Q5904" s="17" t="s">
        <v>37</v>
      </c>
      <c r="R5904" s="8" t="s">
        <v>21055</v>
      </c>
      <c r="S5904" s="8"/>
      <c r="T5904" s="7" t="str">
        <f>HYPERLINK("https://miland.ru/api/getInfo/image/561c4520-4acf-11f1-a297-00155d82e908")</f>
        <v>https://miland.ru/api/getInfo/image/561c4520-4acf-11f1-a297-00155d82e908</v>
      </c>
      <c r="U5904" s="7"/>
      <c r="V5904" s="7" t="s">
        <v>9009</v>
      </c>
      <c r="W5904" s="7" t="s">
        <v>9010</v>
      </c>
      <c r="X5904" s="7"/>
      <c r="Y5904" s="7" t="s">
        <v>41</v>
      </c>
      <c r="Z5904" s="7"/>
      <c r="AA5904" s="7" t="str">
        <f>HYPERLINK("https://miland.ru/api/getInfo/item/561c4520-4acf-11f1-a297-00155d82e908")</f>
        <v>https://miland.ru/api/getInfo/item/561c4520-4acf-11f1-a297-00155d82e908</v>
      </c>
      <c r="AB5904" s="7" t="s">
        <v>50</v>
      </c>
      <c r="AC5904" s="7"/>
      <c r="AD5904" s="7"/>
      <c r="AE5904" s="54"/>
    </row>
    <row r="5905" spans="2:31" s="1" customFormat="1" ht="96.3" customHeight="1" outlineLevel="4">
      <c r="B5905" s="58">
        <v>4830</v>
      </c>
      <c r="C5905" s="7" t="s">
        <v>21056</v>
      </c>
      <c r="D5905" s="71" t="s">
        <v>21057</v>
      </c>
      <c r="E5905" s="71"/>
      <c r="F5905" s="71"/>
      <c r="G5905" s="71"/>
      <c r="H5905" s="8" t="s">
        <v>21058</v>
      </c>
      <c r="I5905" s="9" t="s">
        <v>36</v>
      </c>
      <c r="J5905" s="8"/>
      <c r="K5905" s="6">
        <v>30</v>
      </c>
      <c r="L5905" s="10">
        <v>18.21</v>
      </c>
      <c r="M5905" s="11"/>
      <c r="N5905" s="8">
        <f t="shared" si="343"/>
        <v>0</v>
      </c>
      <c r="O5905" s="12">
        <f>0.008*M5905</f>
        <v>0</v>
      </c>
      <c r="P5905" s="13">
        <f>0.00001*M5905</f>
        <v>0</v>
      </c>
      <c r="Q5905" s="17" t="s">
        <v>37</v>
      </c>
      <c r="R5905" s="8" t="s">
        <v>21059</v>
      </c>
      <c r="S5905" s="8"/>
      <c r="T5905" s="7" t="str">
        <f>HYPERLINK("https://miland.ru/api/getInfo/image/e437f656-4acf-11f1-a297-00155d82e908")</f>
        <v>https://miland.ru/api/getInfo/image/e437f656-4acf-11f1-a297-00155d82e908</v>
      </c>
      <c r="U5905" s="7"/>
      <c r="V5905" s="7" t="s">
        <v>9009</v>
      </c>
      <c r="W5905" s="7" t="s">
        <v>9010</v>
      </c>
      <c r="X5905" s="7"/>
      <c r="Y5905" s="7" t="s">
        <v>41</v>
      </c>
      <c r="Z5905" s="7"/>
      <c r="AA5905" s="7" t="str">
        <f>HYPERLINK("https://miland.ru/api/getInfo/item/e437f656-4acf-11f1-a297-00155d82e908")</f>
        <v>https://miland.ru/api/getInfo/item/e437f656-4acf-11f1-a297-00155d82e908</v>
      </c>
      <c r="AB5905" s="7" t="s">
        <v>50</v>
      </c>
      <c r="AC5905" s="7"/>
      <c r="AD5905" s="7"/>
      <c r="AE5905" s="54"/>
    </row>
    <row r="5906" spans="2:31" s="1" customFormat="1" ht="96.3" customHeight="1" outlineLevel="4">
      <c r="B5906" s="57">
        <v>4831</v>
      </c>
      <c r="C5906" s="21" t="s">
        <v>21060</v>
      </c>
      <c r="D5906" s="72" t="s">
        <v>21061</v>
      </c>
      <c r="E5906" s="72"/>
      <c r="F5906" s="72"/>
      <c r="G5906" s="72"/>
      <c r="H5906" s="22" t="s">
        <v>21062</v>
      </c>
      <c r="I5906" s="23" t="s">
        <v>36</v>
      </c>
      <c r="J5906" s="22"/>
      <c r="K5906" s="20">
        <v>30</v>
      </c>
      <c r="L5906" s="24">
        <v>18.21</v>
      </c>
      <c r="M5906" s="11"/>
      <c r="N5906" s="22">
        <f t="shared" si="343"/>
        <v>0</v>
      </c>
      <c r="O5906" s="25">
        <f>0.008*M5906</f>
        <v>0</v>
      </c>
      <c r="P5906" s="26">
        <f>0.00003*M5906</f>
        <v>0</v>
      </c>
      <c r="Q5906" s="30"/>
      <c r="R5906" s="22" t="s">
        <v>21063</v>
      </c>
      <c r="S5906" s="22"/>
      <c r="T5906" s="21" t="str">
        <f>HYPERLINK("https://miland.ru/api/getInfo/image/af29ec57-3258-11f0-a27c-00155d82e908")</f>
        <v>https://miland.ru/api/getInfo/image/af29ec57-3258-11f0-a27c-00155d82e908</v>
      </c>
      <c r="U5906" s="21"/>
      <c r="V5906" s="21" t="s">
        <v>9009</v>
      </c>
      <c r="W5906" s="21" t="s">
        <v>9010</v>
      </c>
      <c r="X5906" s="21"/>
      <c r="Y5906" s="21" t="s">
        <v>41</v>
      </c>
      <c r="Z5906" s="21"/>
      <c r="AA5906" s="21" t="str">
        <f>HYPERLINK("https://miland.ru/api/getInfo/item/af29ec57-3258-11f0-a27c-00155d82e908")</f>
        <v>https://miland.ru/api/getInfo/item/af29ec57-3258-11f0-a27c-00155d82e908</v>
      </c>
      <c r="AB5906" s="21" t="s">
        <v>50</v>
      </c>
      <c r="AC5906" s="21"/>
      <c r="AD5906" s="21"/>
    </row>
    <row r="5907" spans="2:31" s="1" customFormat="1" ht="96.3" customHeight="1" outlineLevel="4">
      <c r="B5907" s="59">
        <v>4832</v>
      </c>
      <c r="C5907" s="35" t="s">
        <v>21064</v>
      </c>
      <c r="D5907" s="73" t="s">
        <v>21065</v>
      </c>
      <c r="E5907" s="73"/>
      <c r="F5907" s="73"/>
      <c r="G5907" s="73"/>
      <c r="H5907" s="36" t="s">
        <v>21066</v>
      </c>
      <c r="I5907" s="56" t="s">
        <v>36</v>
      </c>
      <c r="J5907" s="36"/>
      <c r="K5907" s="34">
        <v>30</v>
      </c>
      <c r="L5907" s="41">
        <v>6.3066666666666675</v>
      </c>
      <c r="M5907" s="11"/>
      <c r="N5907" s="36">
        <f t="shared" si="343"/>
        <v>0</v>
      </c>
      <c r="O5907" s="42">
        <f>0.011*M5907</f>
        <v>0</v>
      </c>
      <c r="P5907" s="43">
        <f>0.00003*M5907</f>
        <v>0</v>
      </c>
      <c r="Q5907" s="50"/>
      <c r="R5907" s="36" t="s">
        <v>21067</v>
      </c>
      <c r="S5907" s="36" t="s">
        <v>435</v>
      </c>
      <c r="T5907" s="35" t="str">
        <f>HYPERLINK("https://miland.ru/api/getInfo/image/7f889ca4-fe1a-11ed-a23a-00155d82e902")</f>
        <v>https://miland.ru/api/getInfo/image/7f889ca4-fe1a-11ed-a23a-00155d82e902</v>
      </c>
      <c r="U5907" s="35"/>
      <c r="V5907" s="35" t="s">
        <v>9009</v>
      </c>
      <c r="W5907" s="35" t="s">
        <v>9010</v>
      </c>
      <c r="X5907" s="35"/>
      <c r="Y5907" s="35" t="s">
        <v>41</v>
      </c>
      <c r="Z5907" s="35"/>
      <c r="AA5907" s="35" t="str">
        <f>HYPERLINK("https://miland.ru/api/getInfo/item/7f889ca4-fe1a-11ed-a23a-00155d82e902")</f>
        <v>https://miland.ru/api/getInfo/item/7f889ca4-fe1a-11ed-a23a-00155d82e902</v>
      </c>
      <c r="AB5907" s="35" t="s">
        <v>50</v>
      </c>
      <c r="AC5907" s="35" t="s">
        <v>1698</v>
      </c>
      <c r="AD5907" s="35"/>
      <c r="AE5907" s="52" t="s">
        <v>1251</v>
      </c>
    </row>
    <row r="5908" spans="2:31" s="1" customFormat="1" ht="96.3" customHeight="1" outlineLevel="4">
      <c r="B5908" s="57">
        <v>4833</v>
      </c>
      <c r="C5908" s="21" t="s">
        <v>21068</v>
      </c>
      <c r="D5908" s="72" t="s">
        <v>21069</v>
      </c>
      <c r="E5908" s="72"/>
      <c r="F5908" s="72"/>
      <c r="G5908" s="72"/>
      <c r="H5908" s="22" t="s">
        <v>21070</v>
      </c>
      <c r="I5908" s="27">
        <v>10</v>
      </c>
      <c r="J5908" s="22"/>
      <c r="K5908" s="20">
        <v>10</v>
      </c>
      <c r="L5908" s="24">
        <v>18.21</v>
      </c>
      <c r="M5908" s="11"/>
      <c r="N5908" s="22">
        <f t="shared" si="343"/>
        <v>0</v>
      </c>
      <c r="O5908" s="25">
        <f>0.009*M5908</f>
        <v>0</v>
      </c>
      <c r="P5908" s="26">
        <f>0.00001*M5908</f>
        <v>0</v>
      </c>
      <c r="Q5908" s="30"/>
      <c r="R5908" s="22" t="s">
        <v>21071</v>
      </c>
      <c r="S5908" s="22" t="s">
        <v>435</v>
      </c>
      <c r="T5908" s="21" t="str">
        <f>HYPERLINK("https://miland.ru/api/getInfo/image/b09fafb3-fb79-11ec-a213-ac1f6b442185")</f>
        <v>https://miland.ru/api/getInfo/image/b09fafb3-fb79-11ec-a213-ac1f6b442185</v>
      </c>
      <c r="U5908" s="21"/>
      <c r="V5908" s="21" t="s">
        <v>9009</v>
      </c>
      <c r="W5908" s="21" t="s">
        <v>9010</v>
      </c>
      <c r="X5908" s="21"/>
      <c r="Y5908" s="21" t="s">
        <v>41</v>
      </c>
      <c r="Z5908" s="21"/>
      <c r="AA5908" s="21" t="str">
        <f>HYPERLINK("https://miland.ru/api/getInfo/item/b09fafb3-fb79-11ec-a213-ac1f6b442185")</f>
        <v>https://miland.ru/api/getInfo/item/b09fafb3-fb79-11ec-a213-ac1f6b442185</v>
      </c>
      <c r="AB5908" s="21" t="s">
        <v>50</v>
      </c>
      <c r="AC5908" s="21" t="s">
        <v>1698</v>
      </c>
      <c r="AD5908" s="21"/>
    </row>
    <row r="5909" spans="2:31" s="1" customFormat="1" ht="96.3" customHeight="1" outlineLevel="4">
      <c r="B5909" s="57">
        <v>4834</v>
      </c>
      <c r="C5909" s="21" t="s">
        <v>21072</v>
      </c>
      <c r="D5909" s="72" t="s">
        <v>21073</v>
      </c>
      <c r="E5909" s="72"/>
      <c r="F5909" s="72"/>
      <c r="G5909" s="72"/>
      <c r="H5909" s="22" t="s">
        <v>21074</v>
      </c>
      <c r="I5909" s="23" t="s">
        <v>36</v>
      </c>
      <c r="J5909" s="22"/>
      <c r="K5909" s="20">
        <v>30</v>
      </c>
      <c r="L5909" s="24">
        <v>18.21</v>
      </c>
      <c r="M5909" s="11"/>
      <c r="N5909" s="22">
        <f t="shared" si="343"/>
        <v>0</v>
      </c>
      <c r="O5909" s="25">
        <f>0.009*M5909</f>
        <v>0</v>
      </c>
      <c r="P5909" s="26">
        <f>0.00001*M5909</f>
        <v>0</v>
      </c>
      <c r="Q5909" s="30"/>
      <c r="R5909" s="22" t="s">
        <v>21075</v>
      </c>
      <c r="S5909" s="22" t="s">
        <v>435</v>
      </c>
      <c r="T5909" s="21" t="str">
        <f>HYPERLINK("https://miland.ru/api/getInfo/image/09c0a40f-fb79-11ec-a213-ac1f6b442185")</f>
        <v>https://miland.ru/api/getInfo/image/09c0a40f-fb79-11ec-a213-ac1f6b442185</v>
      </c>
      <c r="U5909" s="21"/>
      <c r="V5909" s="21" t="s">
        <v>9009</v>
      </c>
      <c r="W5909" s="21" t="s">
        <v>9010</v>
      </c>
      <c r="X5909" s="21"/>
      <c r="Y5909" s="21" t="s">
        <v>41</v>
      </c>
      <c r="Z5909" s="21"/>
      <c r="AA5909" s="21" t="str">
        <f>HYPERLINK("https://miland.ru/api/getInfo/item/09c0a40f-fb79-11ec-a213-ac1f6b442185")</f>
        <v>https://miland.ru/api/getInfo/item/09c0a40f-fb79-11ec-a213-ac1f6b442185</v>
      </c>
      <c r="AB5909" s="21" t="s">
        <v>50</v>
      </c>
      <c r="AC5909" s="21" t="s">
        <v>1698</v>
      </c>
      <c r="AD5909" s="21"/>
    </row>
    <row r="5910" spans="2:31" ht="12" customHeight="1" outlineLevel="3">
      <c r="B5910" s="70" t="s">
        <v>21076</v>
      </c>
      <c r="C5910" s="70"/>
      <c r="D5910" s="70"/>
      <c r="E5910" s="70"/>
      <c r="F5910" s="70"/>
      <c r="G5910" s="70"/>
    </row>
    <row r="5911" spans="2:31" s="1" customFormat="1" ht="96.3" customHeight="1" outlineLevel="4">
      <c r="B5911" s="57">
        <v>4835</v>
      </c>
      <c r="C5911" s="21" t="s">
        <v>21077</v>
      </c>
      <c r="D5911" s="72" t="s">
        <v>21078</v>
      </c>
      <c r="E5911" s="72"/>
      <c r="F5911" s="72"/>
      <c r="G5911" s="72"/>
      <c r="H5911" s="22" t="s">
        <v>21079</v>
      </c>
      <c r="I5911" s="23" t="s">
        <v>36</v>
      </c>
      <c r="J5911" s="22"/>
      <c r="K5911" s="20">
        <v>30</v>
      </c>
      <c r="L5911" s="24">
        <v>18.21</v>
      </c>
      <c r="M5911" s="11"/>
      <c r="N5911" s="22">
        <f t="shared" ref="N5911:N5937" si="344">L5911*M5911</f>
        <v>0</v>
      </c>
      <c r="O5911" s="25">
        <f>0.008*M5911</f>
        <v>0</v>
      </c>
      <c r="P5911" s="26">
        <f>0.00003*M5911</f>
        <v>0</v>
      </c>
      <c r="Q5911" s="30"/>
      <c r="R5911" s="22" t="s">
        <v>21080</v>
      </c>
      <c r="S5911" s="22"/>
      <c r="T5911" s="21" t="str">
        <f>HYPERLINK("https://miland.ru/api/getInfo/image/57d273db-3254-11f0-a27c-00155d82e908")</f>
        <v>https://miland.ru/api/getInfo/image/57d273db-3254-11f0-a27c-00155d82e908</v>
      </c>
      <c r="U5911" s="21"/>
      <c r="V5911" s="21" t="s">
        <v>9009</v>
      </c>
      <c r="W5911" s="21" t="s">
        <v>9010</v>
      </c>
      <c r="X5911" s="21"/>
      <c r="Y5911" s="21" t="s">
        <v>41</v>
      </c>
      <c r="Z5911" s="21"/>
      <c r="AA5911" s="21" t="str">
        <f>HYPERLINK("https://miland.ru/api/getInfo/item/57d273db-3254-11f0-a27c-00155d82e908")</f>
        <v>https://miland.ru/api/getInfo/item/57d273db-3254-11f0-a27c-00155d82e908</v>
      </c>
      <c r="AB5911" s="21" t="s">
        <v>50</v>
      </c>
      <c r="AC5911" s="21"/>
      <c r="AD5911" s="21"/>
    </row>
    <row r="5912" spans="2:31" s="1" customFormat="1" ht="96.3" customHeight="1" outlineLevel="4">
      <c r="B5912" s="57">
        <v>4836</v>
      </c>
      <c r="C5912" s="21" t="s">
        <v>21081</v>
      </c>
      <c r="D5912" s="72" t="s">
        <v>21082</v>
      </c>
      <c r="E5912" s="72"/>
      <c r="F5912" s="72"/>
      <c r="G5912" s="72"/>
      <c r="H5912" s="22" t="s">
        <v>21083</v>
      </c>
      <c r="I5912" s="23" t="s">
        <v>36</v>
      </c>
      <c r="J5912" s="22"/>
      <c r="K5912" s="20">
        <v>30</v>
      </c>
      <c r="L5912" s="24">
        <v>18.21</v>
      </c>
      <c r="M5912" s="11"/>
      <c r="N5912" s="22">
        <f t="shared" si="344"/>
        <v>0</v>
      </c>
      <c r="O5912" s="25">
        <f>0.008*M5912</f>
        <v>0</v>
      </c>
      <c r="P5912" s="26">
        <f>0.00003*M5912</f>
        <v>0</v>
      </c>
      <c r="Q5912" s="30"/>
      <c r="R5912" s="22" t="s">
        <v>21084</v>
      </c>
      <c r="S5912" s="22"/>
      <c r="T5912" s="21" t="str">
        <f>HYPERLINK("https://miland.ru/api/getInfo/image/46bbe21b-3253-11f0-a27c-00155d82e908")</f>
        <v>https://miland.ru/api/getInfo/image/46bbe21b-3253-11f0-a27c-00155d82e908</v>
      </c>
      <c r="U5912" s="21"/>
      <c r="V5912" s="21" t="s">
        <v>9009</v>
      </c>
      <c r="W5912" s="21" t="s">
        <v>9010</v>
      </c>
      <c r="X5912" s="21"/>
      <c r="Y5912" s="21" t="s">
        <v>41</v>
      </c>
      <c r="Z5912" s="21"/>
      <c r="AA5912" s="21" t="str">
        <f>HYPERLINK("https://miland.ru/api/getInfo/item/46bbe21b-3253-11f0-a27c-00155d82e908")</f>
        <v>https://miland.ru/api/getInfo/item/46bbe21b-3253-11f0-a27c-00155d82e908</v>
      </c>
      <c r="AB5912" s="21" t="s">
        <v>50</v>
      </c>
      <c r="AC5912" s="21"/>
      <c r="AD5912" s="21"/>
    </row>
    <row r="5913" spans="2:31" s="1" customFormat="1" ht="96.3" customHeight="1" outlineLevel="4">
      <c r="B5913" s="57">
        <v>4837</v>
      </c>
      <c r="C5913" s="21" t="s">
        <v>21085</v>
      </c>
      <c r="D5913" s="72" t="s">
        <v>21086</v>
      </c>
      <c r="E5913" s="72"/>
      <c r="F5913" s="72"/>
      <c r="G5913" s="72"/>
      <c r="H5913" s="22" t="s">
        <v>21087</v>
      </c>
      <c r="I5913" s="23" t="s">
        <v>36</v>
      </c>
      <c r="J5913" s="22"/>
      <c r="K5913" s="20">
        <v>30</v>
      </c>
      <c r="L5913" s="24">
        <v>18.21</v>
      </c>
      <c r="M5913" s="11"/>
      <c r="N5913" s="22">
        <f t="shared" si="344"/>
        <v>0</v>
      </c>
      <c r="O5913" s="25">
        <f>0.009*M5913</f>
        <v>0</v>
      </c>
      <c r="P5913" s="26">
        <f>0.00003*M5913</f>
        <v>0</v>
      </c>
      <c r="Q5913" s="30"/>
      <c r="R5913" s="22" t="s">
        <v>21088</v>
      </c>
      <c r="S5913" s="22" t="s">
        <v>435</v>
      </c>
      <c r="T5913" s="21" t="str">
        <f>HYPERLINK("https://miland.ru/api/getInfo/image/72ccc2ee-bab8-11ee-a25a-00155d82e908")</f>
        <v>https://miland.ru/api/getInfo/image/72ccc2ee-bab8-11ee-a25a-00155d82e908</v>
      </c>
      <c r="U5913" s="21"/>
      <c r="V5913" s="21" t="s">
        <v>9009</v>
      </c>
      <c r="W5913" s="21" t="s">
        <v>9010</v>
      </c>
      <c r="X5913" s="21"/>
      <c r="Y5913" s="21" t="s">
        <v>41</v>
      </c>
      <c r="Z5913" s="21"/>
      <c r="AA5913" s="21" t="str">
        <f>HYPERLINK("https://miland.ru/api/getInfo/item/72ccc2ee-bab8-11ee-a25a-00155d82e908")</f>
        <v>https://miland.ru/api/getInfo/item/72ccc2ee-bab8-11ee-a25a-00155d82e908</v>
      </c>
      <c r="AB5913" s="21" t="s">
        <v>50</v>
      </c>
      <c r="AC5913" s="21" t="s">
        <v>1698</v>
      </c>
      <c r="AD5913" s="21"/>
    </row>
    <row r="5914" spans="2:31" s="1" customFormat="1" ht="96.3" customHeight="1" outlineLevel="4">
      <c r="B5914" s="58">
        <v>4838</v>
      </c>
      <c r="C5914" s="7" t="s">
        <v>21089</v>
      </c>
      <c r="D5914" s="71" t="s">
        <v>21090</v>
      </c>
      <c r="E5914" s="71"/>
      <c r="F5914" s="71"/>
      <c r="G5914" s="71"/>
      <c r="H5914" s="8" t="s">
        <v>21091</v>
      </c>
      <c r="I5914" s="9" t="s">
        <v>36</v>
      </c>
      <c r="J5914" s="8"/>
      <c r="K5914" s="6">
        <v>30</v>
      </c>
      <c r="L5914" s="10">
        <v>18.21</v>
      </c>
      <c r="M5914" s="11"/>
      <c r="N5914" s="8">
        <f t="shared" si="344"/>
        <v>0</v>
      </c>
      <c r="O5914" s="12">
        <f>0.012*M5914</f>
        <v>0</v>
      </c>
      <c r="P5914" s="13">
        <f>0.00007*M5914</f>
        <v>0</v>
      </c>
      <c r="Q5914" s="17" t="s">
        <v>37</v>
      </c>
      <c r="R5914" s="8" t="s">
        <v>21092</v>
      </c>
      <c r="S5914" s="8"/>
      <c r="T5914" s="7" t="str">
        <f>HYPERLINK("https://miland.ru/api/getInfo/image/87fcfaac-4ab7-11f1-a297-00155d82e908")</f>
        <v>https://miland.ru/api/getInfo/image/87fcfaac-4ab7-11f1-a297-00155d82e908</v>
      </c>
      <c r="U5914" s="7"/>
      <c r="V5914" s="7" t="s">
        <v>9009</v>
      </c>
      <c r="W5914" s="7" t="s">
        <v>9010</v>
      </c>
      <c r="X5914" s="7"/>
      <c r="Y5914" s="7" t="s">
        <v>41</v>
      </c>
      <c r="Z5914" s="7"/>
      <c r="AA5914" s="7" t="str">
        <f>HYPERLINK("https://miland.ru/api/getInfo/item/87fcfaac-4ab7-11f1-a297-00155d82e908")</f>
        <v>https://miland.ru/api/getInfo/item/87fcfaac-4ab7-11f1-a297-00155d82e908</v>
      </c>
      <c r="AB5914" s="7" t="s">
        <v>50</v>
      </c>
      <c r="AC5914" s="7"/>
      <c r="AD5914" s="7"/>
      <c r="AE5914" s="54"/>
    </row>
    <row r="5915" spans="2:31" s="1" customFormat="1" ht="96.3" customHeight="1" outlineLevel="4">
      <c r="B5915" s="58">
        <v>4839</v>
      </c>
      <c r="C5915" s="7" t="s">
        <v>21093</v>
      </c>
      <c r="D5915" s="71" t="s">
        <v>21094</v>
      </c>
      <c r="E5915" s="71"/>
      <c r="F5915" s="71"/>
      <c r="G5915" s="71"/>
      <c r="H5915" s="8" t="s">
        <v>21095</v>
      </c>
      <c r="I5915" s="9" t="s">
        <v>36</v>
      </c>
      <c r="J5915" s="8"/>
      <c r="K5915" s="6">
        <v>30</v>
      </c>
      <c r="L5915" s="10">
        <v>18.21</v>
      </c>
      <c r="M5915" s="11"/>
      <c r="N5915" s="8">
        <f t="shared" si="344"/>
        <v>0</v>
      </c>
      <c r="O5915" s="12">
        <f>0.013*M5915</f>
        <v>0</v>
      </c>
      <c r="P5915" s="13">
        <f>0.00006*M5915</f>
        <v>0</v>
      </c>
      <c r="Q5915" s="17" t="s">
        <v>37</v>
      </c>
      <c r="R5915" s="8" t="s">
        <v>21096</v>
      </c>
      <c r="S5915" s="8"/>
      <c r="T5915" s="7" t="str">
        <f>HYPERLINK("https://miland.ru/api/getInfo/image/2a041d3b-4ab8-11f1-a297-00155d82e908")</f>
        <v>https://miland.ru/api/getInfo/image/2a041d3b-4ab8-11f1-a297-00155d82e908</v>
      </c>
      <c r="U5915" s="7"/>
      <c r="V5915" s="7" t="s">
        <v>9009</v>
      </c>
      <c r="W5915" s="7" t="s">
        <v>9010</v>
      </c>
      <c r="X5915" s="7"/>
      <c r="Y5915" s="7" t="s">
        <v>41</v>
      </c>
      <c r="Z5915" s="7"/>
      <c r="AA5915" s="7" t="str">
        <f>HYPERLINK("https://miland.ru/api/getInfo/item/2a041d3b-4ab8-11f1-a297-00155d82e908")</f>
        <v>https://miland.ru/api/getInfo/item/2a041d3b-4ab8-11f1-a297-00155d82e908</v>
      </c>
      <c r="AB5915" s="7" t="s">
        <v>50</v>
      </c>
      <c r="AC5915" s="7"/>
      <c r="AD5915" s="7"/>
      <c r="AE5915" s="54"/>
    </row>
    <row r="5916" spans="2:31" s="1" customFormat="1" ht="96.3" customHeight="1" outlineLevel="4">
      <c r="B5916" s="58">
        <v>4840</v>
      </c>
      <c r="C5916" s="7" t="s">
        <v>21097</v>
      </c>
      <c r="D5916" s="71" t="s">
        <v>21098</v>
      </c>
      <c r="E5916" s="71"/>
      <c r="F5916" s="71"/>
      <c r="G5916" s="71"/>
      <c r="H5916" s="8" t="s">
        <v>21099</v>
      </c>
      <c r="I5916" s="9" t="s">
        <v>36</v>
      </c>
      <c r="J5916" s="8"/>
      <c r="K5916" s="6">
        <v>30</v>
      </c>
      <c r="L5916" s="10">
        <v>18.21</v>
      </c>
      <c r="M5916" s="11"/>
      <c r="N5916" s="8">
        <f t="shared" si="344"/>
        <v>0</v>
      </c>
      <c r="O5916" s="12">
        <f t="shared" ref="O5916:O5921" si="345">0.008*M5916</f>
        <v>0</v>
      </c>
      <c r="P5916" s="13">
        <f>0.00001*M5916</f>
        <v>0</v>
      </c>
      <c r="Q5916" s="17" t="s">
        <v>37</v>
      </c>
      <c r="R5916" s="8" t="s">
        <v>21100</v>
      </c>
      <c r="S5916" s="8"/>
      <c r="T5916" s="7" t="str">
        <f>HYPERLINK("https://miland.ru/api/getInfo/image/cc56e648-4aa1-11f1-a297-00155d82e908")</f>
        <v>https://miland.ru/api/getInfo/image/cc56e648-4aa1-11f1-a297-00155d82e908</v>
      </c>
      <c r="U5916" s="7"/>
      <c r="V5916" s="7" t="s">
        <v>9009</v>
      </c>
      <c r="W5916" s="7" t="s">
        <v>9010</v>
      </c>
      <c r="X5916" s="7"/>
      <c r="Y5916" s="7" t="s">
        <v>41</v>
      </c>
      <c r="Z5916" s="7"/>
      <c r="AA5916" s="7" t="str">
        <f>HYPERLINK("https://miland.ru/api/getInfo/item/cc56e648-4aa1-11f1-a297-00155d82e908")</f>
        <v>https://miland.ru/api/getInfo/item/cc56e648-4aa1-11f1-a297-00155d82e908</v>
      </c>
      <c r="AB5916" s="7" t="s">
        <v>50</v>
      </c>
      <c r="AC5916" s="7"/>
      <c r="AD5916" s="7"/>
      <c r="AE5916" s="54"/>
    </row>
    <row r="5917" spans="2:31" s="1" customFormat="1" ht="96.3" customHeight="1" outlineLevel="4">
      <c r="B5917" s="57">
        <v>4841</v>
      </c>
      <c r="C5917" s="21" t="s">
        <v>21101</v>
      </c>
      <c r="D5917" s="72" t="s">
        <v>21102</v>
      </c>
      <c r="E5917" s="72"/>
      <c r="F5917" s="72"/>
      <c r="G5917" s="72"/>
      <c r="H5917" s="22" t="s">
        <v>21103</v>
      </c>
      <c r="I5917" s="23" t="s">
        <v>36</v>
      </c>
      <c r="J5917" s="22"/>
      <c r="K5917" s="20">
        <v>30</v>
      </c>
      <c r="L5917" s="24">
        <v>18.21</v>
      </c>
      <c r="M5917" s="11"/>
      <c r="N5917" s="22">
        <f t="shared" si="344"/>
        <v>0</v>
      </c>
      <c r="O5917" s="25">
        <f t="shared" si="345"/>
        <v>0</v>
      </c>
      <c r="P5917" s="26">
        <f>0.00003*M5917</f>
        <v>0</v>
      </c>
      <c r="Q5917" s="30"/>
      <c r="R5917" s="22" t="s">
        <v>21104</v>
      </c>
      <c r="S5917" s="22"/>
      <c r="T5917" s="21" t="str">
        <f>HYPERLINK("https://miland.ru/api/getInfo/image/8817b466-3251-11f0-a27c-00155d82e908")</f>
        <v>https://miland.ru/api/getInfo/image/8817b466-3251-11f0-a27c-00155d82e908</v>
      </c>
      <c r="U5917" s="21"/>
      <c r="V5917" s="21" t="s">
        <v>9009</v>
      </c>
      <c r="W5917" s="21" t="s">
        <v>9010</v>
      </c>
      <c r="X5917" s="21"/>
      <c r="Y5917" s="21" t="s">
        <v>41</v>
      </c>
      <c r="Z5917" s="21"/>
      <c r="AA5917" s="21" t="str">
        <f>HYPERLINK("https://miland.ru/api/getInfo/item/8817b466-3251-11f0-a27c-00155d82e908")</f>
        <v>https://miland.ru/api/getInfo/item/8817b466-3251-11f0-a27c-00155d82e908</v>
      </c>
      <c r="AB5917" s="21" t="s">
        <v>50</v>
      </c>
      <c r="AC5917" s="21"/>
      <c r="AD5917" s="21"/>
    </row>
    <row r="5918" spans="2:31" s="1" customFormat="1" ht="96.3" customHeight="1" outlineLevel="4">
      <c r="B5918" s="57">
        <v>4842</v>
      </c>
      <c r="C5918" s="21" t="s">
        <v>21105</v>
      </c>
      <c r="D5918" s="72" t="s">
        <v>21106</v>
      </c>
      <c r="E5918" s="72"/>
      <c r="F5918" s="72"/>
      <c r="G5918" s="72"/>
      <c r="H5918" s="22" t="s">
        <v>21107</v>
      </c>
      <c r="I5918" s="23" t="s">
        <v>36</v>
      </c>
      <c r="J5918" s="22"/>
      <c r="K5918" s="20">
        <v>30</v>
      </c>
      <c r="L5918" s="24">
        <v>18.21</v>
      </c>
      <c r="M5918" s="11"/>
      <c r="N5918" s="22">
        <f t="shared" si="344"/>
        <v>0</v>
      </c>
      <c r="O5918" s="25">
        <f t="shared" si="345"/>
        <v>0</v>
      </c>
      <c r="P5918" s="26">
        <f>0.00003*M5918</f>
        <v>0</v>
      </c>
      <c r="Q5918" s="30"/>
      <c r="R5918" s="22" t="s">
        <v>21108</v>
      </c>
      <c r="S5918" s="22"/>
      <c r="T5918" s="21" t="str">
        <f>HYPERLINK("https://miland.ru/api/getInfo/image/c79c2f88-3251-11f0-a27c-00155d82e908")</f>
        <v>https://miland.ru/api/getInfo/image/c79c2f88-3251-11f0-a27c-00155d82e908</v>
      </c>
      <c r="U5918" s="21"/>
      <c r="V5918" s="21" t="s">
        <v>9009</v>
      </c>
      <c r="W5918" s="21" t="s">
        <v>9010</v>
      </c>
      <c r="X5918" s="21"/>
      <c r="Y5918" s="21" t="s">
        <v>41</v>
      </c>
      <c r="Z5918" s="21"/>
      <c r="AA5918" s="21" t="str">
        <f>HYPERLINK("https://miland.ru/api/getInfo/item/c79c2f88-3251-11f0-a27c-00155d82e908")</f>
        <v>https://miland.ru/api/getInfo/item/c79c2f88-3251-11f0-a27c-00155d82e908</v>
      </c>
      <c r="AB5918" s="21" t="s">
        <v>50</v>
      </c>
      <c r="AC5918" s="21"/>
      <c r="AD5918" s="21"/>
    </row>
    <row r="5919" spans="2:31" s="1" customFormat="1" ht="96.3" customHeight="1" outlineLevel="4">
      <c r="B5919" s="58">
        <v>4843</v>
      </c>
      <c r="C5919" s="7" t="s">
        <v>21109</v>
      </c>
      <c r="D5919" s="71" t="s">
        <v>21110</v>
      </c>
      <c r="E5919" s="71"/>
      <c r="F5919" s="71"/>
      <c r="G5919" s="71"/>
      <c r="H5919" s="8" t="s">
        <v>21111</v>
      </c>
      <c r="I5919" s="9" t="s">
        <v>36</v>
      </c>
      <c r="J5919" s="8"/>
      <c r="K5919" s="6">
        <v>30</v>
      </c>
      <c r="L5919" s="10">
        <v>18.21</v>
      </c>
      <c r="M5919" s="11"/>
      <c r="N5919" s="8">
        <f t="shared" si="344"/>
        <v>0</v>
      </c>
      <c r="O5919" s="12">
        <f t="shared" si="345"/>
        <v>0</v>
      </c>
      <c r="P5919" s="13">
        <f>0.00003*M5919</f>
        <v>0</v>
      </c>
      <c r="Q5919" s="17" t="s">
        <v>37</v>
      </c>
      <c r="R5919" s="8" t="s">
        <v>21112</v>
      </c>
      <c r="S5919" s="8"/>
      <c r="T5919" s="7" t="str">
        <f>HYPERLINK("https://miland.ru/api/getInfo/image/b8cbf346-4aae-11f1-a297-00155d82e908")</f>
        <v>https://miland.ru/api/getInfo/image/b8cbf346-4aae-11f1-a297-00155d82e908</v>
      </c>
      <c r="U5919" s="7"/>
      <c r="V5919" s="7" t="s">
        <v>9009</v>
      </c>
      <c r="W5919" s="7" t="s">
        <v>9010</v>
      </c>
      <c r="X5919" s="7"/>
      <c r="Y5919" s="7" t="s">
        <v>41</v>
      </c>
      <c r="Z5919" s="7"/>
      <c r="AA5919" s="7" t="str">
        <f>HYPERLINK("https://miland.ru/api/getInfo/item/b8cbf346-4aae-11f1-a297-00155d82e908")</f>
        <v>https://miland.ru/api/getInfo/item/b8cbf346-4aae-11f1-a297-00155d82e908</v>
      </c>
      <c r="AB5919" s="7" t="s">
        <v>50</v>
      </c>
      <c r="AC5919" s="7"/>
      <c r="AD5919" s="7"/>
      <c r="AE5919" s="54"/>
    </row>
    <row r="5920" spans="2:31" s="1" customFormat="1" ht="96.3" customHeight="1" outlineLevel="4">
      <c r="B5920" s="57">
        <v>4844</v>
      </c>
      <c r="C5920" s="21" t="s">
        <v>21113</v>
      </c>
      <c r="D5920" s="72" t="s">
        <v>21114</v>
      </c>
      <c r="E5920" s="72"/>
      <c r="F5920" s="72"/>
      <c r="G5920" s="72"/>
      <c r="H5920" s="22" t="s">
        <v>21115</v>
      </c>
      <c r="I5920" s="23" t="s">
        <v>36</v>
      </c>
      <c r="J5920" s="22"/>
      <c r="K5920" s="20">
        <v>30</v>
      </c>
      <c r="L5920" s="24">
        <v>18.21</v>
      </c>
      <c r="M5920" s="11"/>
      <c r="N5920" s="22">
        <f t="shared" si="344"/>
        <v>0</v>
      </c>
      <c r="O5920" s="25">
        <f t="shared" si="345"/>
        <v>0</v>
      </c>
      <c r="P5920" s="26">
        <f>0.00001*M5920</f>
        <v>0</v>
      </c>
      <c r="Q5920" s="30"/>
      <c r="R5920" s="22" t="s">
        <v>21116</v>
      </c>
      <c r="S5920" s="22"/>
      <c r="T5920" s="21" t="str">
        <f>HYPERLINK("https://miland.ru/api/getInfo/image/f7b46eba-3252-11f0-a27c-00155d82e908")</f>
        <v>https://miland.ru/api/getInfo/image/f7b46eba-3252-11f0-a27c-00155d82e908</v>
      </c>
      <c r="U5920" s="21"/>
      <c r="V5920" s="21" t="s">
        <v>9009</v>
      </c>
      <c r="W5920" s="21" t="s">
        <v>9010</v>
      </c>
      <c r="X5920" s="21"/>
      <c r="Y5920" s="21" t="s">
        <v>41</v>
      </c>
      <c r="Z5920" s="21"/>
      <c r="AA5920" s="21" t="str">
        <f>HYPERLINK("https://miland.ru/api/getInfo/item/f7b46eba-3252-11f0-a27c-00155d82e908")</f>
        <v>https://miland.ru/api/getInfo/item/f7b46eba-3252-11f0-a27c-00155d82e908</v>
      </c>
      <c r="AB5920" s="21" t="s">
        <v>50</v>
      </c>
      <c r="AC5920" s="21"/>
      <c r="AD5920" s="21"/>
    </row>
    <row r="5921" spans="2:31" s="1" customFormat="1" ht="96.3" customHeight="1" outlineLevel="4">
      <c r="B5921" s="58">
        <v>4845</v>
      </c>
      <c r="C5921" s="7" t="s">
        <v>21117</v>
      </c>
      <c r="D5921" s="71" t="s">
        <v>21118</v>
      </c>
      <c r="E5921" s="71"/>
      <c r="F5921" s="71"/>
      <c r="G5921" s="71"/>
      <c r="H5921" s="8" t="s">
        <v>21119</v>
      </c>
      <c r="I5921" s="9" t="s">
        <v>36</v>
      </c>
      <c r="J5921" s="8"/>
      <c r="K5921" s="6">
        <v>30</v>
      </c>
      <c r="L5921" s="10">
        <v>18.21</v>
      </c>
      <c r="M5921" s="11"/>
      <c r="N5921" s="8">
        <f t="shared" si="344"/>
        <v>0</v>
      </c>
      <c r="O5921" s="12">
        <f t="shared" si="345"/>
        <v>0</v>
      </c>
      <c r="P5921" s="13">
        <f>0.00003*M5921</f>
        <v>0</v>
      </c>
      <c r="Q5921" s="17" t="s">
        <v>37</v>
      </c>
      <c r="R5921" s="8" t="s">
        <v>21120</v>
      </c>
      <c r="S5921" s="8"/>
      <c r="T5921" s="7" t="str">
        <f>HYPERLINK("https://miland.ru/api/getInfo/image/00060c66-4aba-11f1-a297-00155d82e908")</f>
        <v>https://miland.ru/api/getInfo/image/00060c66-4aba-11f1-a297-00155d82e908</v>
      </c>
      <c r="U5921" s="7"/>
      <c r="V5921" s="7" t="s">
        <v>9009</v>
      </c>
      <c r="W5921" s="7" t="s">
        <v>9010</v>
      </c>
      <c r="X5921" s="7"/>
      <c r="Y5921" s="7" t="s">
        <v>41</v>
      </c>
      <c r="Z5921" s="7"/>
      <c r="AA5921" s="7" t="str">
        <f>HYPERLINK("https://miland.ru/api/getInfo/item/00060c66-4aba-11f1-a297-00155d82e908")</f>
        <v>https://miland.ru/api/getInfo/item/00060c66-4aba-11f1-a297-00155d82e908</v>
      </c>
      <c r="AB5921" s="7" t="s">
        <v>50</v>
      </c>
      <c r="AC5921" s="7"/>
      <c r="AD5921" s="7"/>
      <c r="AE5921" s="54"/>
    </row>
    <row r="5922" spans="2:31" s="1" customFormat="1" ht="96.3" customHeight="1" outlineLevel="4">
      <c r="B5922" s="58">
        <v>4846</v>
      </c>
      <c r="C5922" s="7" t="s">
        <v>21121</v>
      </c>
      <c r="D5922" s="71" t="s">
        <v>21122</v>
      </c>
      <c r="E5922" s="71"/>
      <c r="F5922" s="71"/>
      <c r="G5922" s="71"/>
      <c r="H5922" s="8" t="s">
        <v>21123</v>
      </c>
      <c r="I5922" s="9" t="s">
        <v>36</v>
      </c>
      <c r="J5922" s="8"/>
      <c r="K5922" s="6">
        <v>30</v>
      </c>
      <c r="L5922" s="10">
        <v>18.21</v>
      </c>
      <c r="M5922" s="11"/>
      <c r="N5922" s="8">
        <f t="shared" si="344"/>
        <v>0</v>
      </c>
      <c r="O5922" s="12">
        <f>0.009*M5922</f>
        <v>0</v>
      </c>
      <c r="P5922" s="13">
        <f>0.00003*M5922</f>
        <v>0</v>
      </c>
      <c r="Q5922" s="17" t="s">
        <v>37</v>
      </c>
      <c r="R5922" s="8" t="s">
        <v>21124</v>
      </c>
      <c r="S5922" s="8"/>
      <c r="T5922" s="7" t="str">
        <f>HYPERLINK("https://miland.ru/api/getInfo/image/61fcca3c-4ab9-11f1-a297-00155d82e908")</f>
        <v>https://miland.ru/api/getInfo/image/61fcca3c-4ab9-11f1-a297-00155d82e908</v>
      </c>
      <c r="U5922" s="7"/>
      <c r="V5922" s="7" t="s">
        <v>9009</v>
      </c>
      <c r="W5922" s="7" t="s">
        <v>9010</v>
      </c>
      <c r="X5922" s="7"/>
      <c r="Y5922" s="7" t="s">
        <v>41</v>
      </c>
      <c r="Z5922" s="7"/>
      <c r="AA5922" s="7" t="str">
        <f>HYPERLINK("https://miland.ru/api/getInfo/item/61fcca3c-4ab9-11f1-a297-00155d82e908")</f>
        <v>https://miland.ru/api/getInfo/item/61fcca3c-4ab9-11f1-a297-00155d82e908</v>
      </c>
      <c r="AB5922" s="7" t="s">
        <v>50</v>
      </c>
      <c r="AC5922" s="7"/>
      <c r="AD5922" s="7"/>
      <c r="AE5922" s="54"/>
    </row>
    <row r="5923" spans="2:31" s="1" customFormat="1" ht="96.3" customHeight="1" outlineLevel="4">
      <c r="B5923" s="58">
        <v>4847</v>
      </c>
      <c r="C5923" s="7" t="s">
        <v>21125</v>
      </c>
      <c r="D5923" s="71" t="s">
        <v>21126</v>
      </c>
      <c r="E5923" s="71"/>
      <c r="F5923" s="71"/>
      <c r="G5923" s="71"/>
      <c r="H5923" s="8" t="s">
        <v>21127</v>
      </c>
      <c r="I5923" s="9" t="s">
        <v>36</v>
      </c>
      <c r="J5923" s="8"/>
      <c r="K5923" s="6">
        <v>30</v>
      </c>
      <c r="L5923" s="10">
        <v>18.21</v>
      </c>
      <c r="M5923" s="11"/>
      <c r="N5923" s="8">
        <f t="shared" si="344"/>
        <v>0</v>
      </c>
      <c r="O5923" s="12">
        <f>0.012*M5923</f>
        <v>0</v>
      </c>
      <c r="P5923" s="13">
        <f>0.00007*M5923</f>
        <v>0</v>
      </c>
      <c r="Q5923" s="17" t="s">
        <v>37</v>
      </c>
      <c r="R5923" s="8" t="s">
        <v>21128</v>
      </c>
      <c r="S5923" s="8"/>
      <c r="T5923" s="7" t="str">
        <f>HYPERLINK("https://miland.ru/api/getInfo/image/4ab9e27e-4aaf-11f1-a297-00155d82e908")</f>
        <v>https://miland.ru/api/getInfo/image/4ab9e27e-4aaf-11f1-a297-00155d82e908</v>
      </c>
      <c r="U5923" s="7"/>
      <c r="V5923" s="7" t="s">
        <v>9009</v>
      </c>
      <c r="W5923" s="7" t="s">
        <v>9010</v>
      </c>
      <c r="X5923" s="7"/>
      <c r="Y5923" s="7" t="s">
        <v>41</v>
      </c>
      <c r="Z5923" s="7"/>
      <c r="AA5923" s="7" t="str">
        <f>HYPERLINK("https://miland.ru/api/getInfo/item/4ab9e27e-4aaf-11f1-a297-00155d82e908")</f>
        <v>https://miland.ru/api/getInfo/item/4ab9e27e-4aaf-11f1-a297-00155d82e908</v>
      </c>
      <c r="AB5923" s="7" t="s">
        <v>50</v>
      </c>
      <c r="AC5923" s="7"/>
      <c r="AD5923" s="7"/>
      <c r="AE5923" s="54"/>
    </row>
    <row r="5924" spans="2:31" s="1" customFormat="1" ht="96.3" customHeight="1" outlineLevel="4">
      <c r="B5924" s="57">
        <v>4848</v>
      </c>
      <c r="C5924" s="21" t="s">
        <v>21129</v>
      </c>
      <c r="D5924" s="72" t="s">
        <v>21130</v>
      </c>
      <c r="E5924" s="72"/>
      <c r="F5924" s="72"/>
      <c r="G5924" s="72"/>
      <c r="H5924" s="22" t="s">
        <v>21131</v>
      </c>
      <c r="I5924" s="23" t="s">
        <v>36</v>
      </c>
      <c r="J5924" s="22"/>
      <c r="K5924" s="20">
        <v>30</v>
      </c>
      <c r="L5924" s="24">
        <v>18.21</v>
      </c>
      <c r="M5924" s="11"/>
      <c r="N5924" s="22">
        <f t="shared" si="344"/>
        <v>0</v>
      </c>
      <c r="O5924" s="25">
        <f>0.008*M5924</f>
        <v>0</v>
      </c>
      <c r="P5924" s="26">
        <f>0.00001*M5924</f>
        <v>0</v>
      </c>
      <c r="Q5924" s="30"/>
      <c r="R5924" s="22" t="s">
        <v>21132</v>
      </c>
      <c r="S5924" s="22"/>
      <c r="T5924" s="21" t="str">
        <f>HYPERLINK("https://miland.ru/api/getInfo/image/ce44d362-3254-11f0-a27c-00155d82e908")</f>
        <v>https://miland.ru/api/getInfo/image/ce44d362-3254-11f0-a27c-00155d82e908</v>
      </c>
      <c r="U5924" s="21"/>
      <c r="V5924" s="21" t="s">
        <v>9009</v>
      </c>
      <c r="W5924" s="21" t="s">
        <v>9010</v>
      </c>
      <c r="X5924" s="21"/>
      <c r="Y5924" s="21" t="s">
        <v>41</v>
      </c>
      <c r="Z5924" s="21"/>
      <c r="AA5924" s="21" t="str">
        <f>HYPERLINK("https://miland.ru/api/getInfo/item/ce44d362-3254-11f0-a27c-00155d82e908")</f>
        <v>https://miland.ru/api/getInfo/item/ce44d362-3254-11f0-a27c-00155d82e908</v>
      </c>
      <c r="AB5924" s="21" t="s">
        <v>50</v>
      </c>
      <c r="AC5924" s="21"/>
      <c r="AD5924" s="21"/>
    </row>
    <row r="5925" spans="2:31" s="1" customFormat="1" ht="96.3" customHeight="1" outlineLevel="4">
      <c r="B5925" s="58">
        <v>4849</v>
      </c>
      <c r="C5925" s="7" t="s">
        <v>21133</v>
      </c>
      <c r="D5925" s="71" t="s">
        <v>21134</v>
      </c>
      <c r="E5925" s="71"/>
      <c r="F5925" s="71"/>
      <c r="G5925" s="71"/>
      <c r="H5925" s="8" t="s">
        <v>21135</v>
      </c>
      <c r="I5925" s="9" t="s">
        <v>36</v>
      </c>
      <c r="J5925" s="8"/>
      <c r="K5925" s="6">
        <v>30</v>
      </c>
      <c r="L5925" s="10">
        <v>18.21</v>
      </c>
      <c r="M5925" s="11"/>
      <c r="N5925" s="8">
        <f t="shared" si="344"/>
        <v>0</v>
      </c>
      <c r="O5925" s="12">
        <f>0.008*M5925</f>
        <v>0</v>
      </c>
      <c r="P5925" s="13">
        <f>0.00003*M5925</f>
        <v>0</v>
      </c>
      <c r="Q5925" s="17" t="s">
        <v>37</v>
      </c>
      <c r="R5925" s="8" t="s">
        <v>21136</v>
      </c>
      <c r="S5925" s="8"/>
      <c r="T5925" s="7" t="str">
        <f>HYPERLINK("https://miland.ru/api/getInfo/image/3deef628-4a9f-11f1-a297-00155d82e908")</f>
        <v>https://miland.ru/api/getInfo/image/3deef628-4a9f-11f1-a297-00155d82e908</v>
      </c>
      <c r="U5925" s="7"/>
      <c r="V5925" s="7" t="s">
        <v>9009</v>
      </c>
      <c r="W5925" s="7" t="s">
        <v>9010</v>
      </c>
      <c r="X5925" s="7"/>
      <c r="Y5925" s="7" t="s">
        <v>41</v>
      </c>
      <c r="Z5925" s="7"/>
      <c r="AA5925" s="7" t="str">
        <f>HYPERLINK("https://miland.ru/api/getInfo/item/3deef628-4a9f-11f1-a297-00155d82e908")</f>
        <v>https://miland.ru/api/getInfo/item/3deef628-4a9f-11f1-a297-00155d82e908</v>
      </c>
      <c r="AB5925" s="7" t="s">
        <v>50</v>
      </c>
      <c r="AC5925" s="7"/>
      <c r="AD5925" s="7"/>
      <c r="AE5925" s="54"/>
    </row>
    <row r="5926" spans="2:31" s="1" customFormat="1" ht="96.3" customHeight="1" outlineLevel="4">
      <c r="B5926" s="58">
        <v>4850</v>
      </c>
      <c r="C5926" s="7" t="s">
        <v>21137</v>
      </c>
      <c r="D5926" s="71" t="s">
        <v>21138</v>
      </c>
      <c r="E5926" s="71"/>
      <c r="F5926" s="71"/>
      <c r="G5926" s="71"/>
      <c r="H5926" s="8" t="s">
        <v>21139</v>
      </c>
      <c r="I5926" s="9" t="s">
        <v>36</v>
      </c>
      <c r="J5926" s="8"/>
      <c r="K5926" s="6">
        <v>30</v>
      </c>
      <c r="L5926" s="10">
        <v>18.21</v>
      </c>
      <c r="M5926" s="11"/>
      <c r="N5926" s="8">
        <f t="shared" si="344"/>
        <v>0</v>
      </c>
      <c r="O5926" s="12">
        <f>0.012*M5926</f>
        <v>0</v>
      </c>
      <c r="P5926" s="13">
        <f>0.00007*M5926</f>
        <v>0</v>
      </c>
      <c r="Q5926" s="17" t="s">
        <v>37</v>
      </c>
      <c r="R5926" s="8" t="s">
        <v>21140</v>
      </c>
      <c r="S5926" s="8"/>
      <c r="T5926" s="7" t="str">
        <f>HYPERLINK("https://miland.ru/api/getInfo/image/24947216-4aa9-11f1-a297-00155d82e908")</f>
        <v>https://miland.ru/api/getInfo/image/24947216-4aa9-11f1-a297-00155d82e908</v>
      </c>
      <c r="U5926" s="7"/>
      <c r="V5926" s="7" t="s">
        <v>9009</v>
      </c>
      <c r="W5926" s="7" t="s">
        <v>9010</v>
      </c>
      <c r="X5926" s="7"/>
      <c r="Y5926" s="7" t="s">
        <v>41</v>
      </c>
      <c r="Z5926" s="7"/>
      <c r="AA5926" s="7" t="str">
        <f>HYPERLINK("https://miland.ru/api/getInfo/item/24947216-4aa9-11f1-a297-00155d82e908")</f>
        <v>https://miland.ru/api/getInfo/item/24947216-4aa9-11f1-a297-00155d82e908</v>
      </c>
      <c r="AB5926" s="7" t="s">
        <v>50</v>
      </c>
      <c r="AC5926" s="7"/>
      <c r="AD5926" s="7"/>
      <c r="AE5926" s="54"/>
    </row>
    <row r="5927" spans="2:31" s="1" customFormat="1" ht="96.3" customHeight="1" outlineLevel="4">
      <c r="B5927" s="58">
        <v>4851</v>
      </c>
      <c r="C5927" s="7" t="s">
        <v>21141</v>
      </c>
      <c r="D5927" s="71" t="s">
        <v>21142</v>
      </c>
      <c r="E5927" s="71"/>
      <c r="F5927" s="71"/>
      <c r="G5927" s="71"/>
      <c r="H5927" s="8" t="s">
        <v>21143</v>
      </c>
      <c r="I5927" s="9" t="s">
        <v>36</v>
      </c>
      <c r="J5927" s="8"/>
      <c r="K5927" s="6">
        <v>30</v>
      </c>
      <c r="L5927" s="10">
        <v>18.21</v>
      </c>
      <c r="M5927" s="11"/>
      <c r="N5927" s="8">
        <f t="shared" si="344"/>
        <v>0</v>
      </c>
      <c r="O5927" s="12">
        <f>0.008*M5927</f>
        <v>0</v>
      </c>
      <c r="P5927" s="13">
        <f>0.00001*M5927</f>
        <v>0</v>
      </c>
      <c r="Q5927" s="17" t="s">
        <v>37</v>
      </c>
      <c r="R5927" s="8" t="s">
        <v>21144</v>
      </c>
      <c r="S5927" s="8"/>
      <c r="T5927" s="7" t="str">
        <f>HYPERLINK("https://miland.ru/api/getInfo/image/3d53de1c-4aa7-11f1-a297-00155d82e908")</f>
        <v>https://miland.ru/api/getInfo/image/3d53de1c-4aa7-11f1-a297-00155d82e908</v>
      </c>
      <c r="U5927" s="7"/>
      <c r="V5927" s="7" t="s">
        <v>9009</v>
      </c>
      <c r="W5927" s="7" t="s">
        <v>9010</v>
      </c>
      <c r="X5927" s="7"/>
      <c r="Y5927" s="7" t="s">
        <v>41</v>
      </c>
      <c r="Z5927" s="7"/>
      <c r="AA5927" s="7" t="str">
        <f>HYPERLINK("https://miland.ru/api/getInfo/item/3d53de1c-4aa7-11f1-a297-00155d82e908")</f>
        <v>https://miland.ru/api/getInfo/item/3d53de1c-4aa7-11f1-a297-00155d82e908</v>
      </c>
      <c r="AB5927" s="7" t="s">
        <v>50</v>
      </c>
      <c r="AC5927" s="7"/>
      <c r="AD5927" s="7"/>
      <c r="AE5927" s="54"/>
    </row>
    <row r="5928" spans="2:31" s="1" customFormat="1" ht="96.3" customHeight="1" outlineLevel="4">
      <c r="B5928" s="57">
        <v>4852</v>
      </c>
      <c r="C5928" s="21" t="s">
        <v>21145</v>
      </c>
      <c r="D5928" s="72" t="s">
        <v>21146</v>
      </c>
      <c r="E5928" s="72"/>
      <c r="F5928" s="72"/>
      <c r="G5928" s="72"/>
      <c r="H5928" s="22" t="s">
        <v>21147</v>
      </c>
      <c r="I5928" s="27">
        <v>110</v>
      </c>
      <c r="J5928" s="22"/>
      <c r="K5928" s="20">
        <v>30</v>
      </c>
      <c r="L5928" s="24">
        <v>18.21</v>
      </c>
      <c r="M5928" s="11"/>
      <c r="N5928" s="22">
        <f t="shared" si="344"/>
        <v>0</v>
      </c>
      <c r="O5928" s="25">
        <f>0.009*M5928</f>
        <v>0</v>
      </c>
      <c r="P5928" s="26">
        <f>0.00003*M5928</f>
        <v>0</v>
      </c>
      <c r="Q5928" s="30"/>
      <c r="R5928" s="22" t="s">
        <v>21148</v>
      </c>
      <c r="S5928" s="22" t="s">
        <v>435</v>
      </c>
      <c r="T5928" s="21" t="str">
        <f>HYPERLINK("https://miland.ru/api/getInfo/image/c17841c1-bab8-11ee-a25a-00155d82e908")</f>
        <v>https://miland.ru/api/getInfo/image/c17841c1-bab8-11ee-a25a-00155d82e908</v>
      </c>
      <c r="U5928" s="21"/>
      <c r="V5928" s="21" t="s">
        <v>9009</v>
      </c>
      <c r="W5928" s="21" t="s">
        <v>9010</v>
      </c>
      <c r="X5928" s="21"/>
      <c r="Y5928" s="21" t="s">
        <v>41</v>
      </c>
      <c r="Z5928" s="21"/>
      <c r="AA5928" s="21" t="str">
        <f>HYPERLINK("https://miland.ru/api/getInfo/item/c17841c1-bab8-11ee-a25a-00155d82e908")</f>
        <v>https://miland.ru/api/getInfo/item/c17841c1-bab8-11ee-a25a-00155d82e908</v>
      </c>
      <c r="AB5928" s="21" t="s">
        <v>50</v>
      </c>
      <c r="AC5928" s="21" t="s">
        <v>1698</v>
      </c>
      <c r="AD5928" s="21"/>
    </row>
    <row r="5929" spans="2:31" s="1" customFormat="1" ht="96.3" customHeight="1" outlineLevel="4">
      <c r="B5929" s="57">
        <v>4853</v>
      </c>
      <c r="C5929" s="21" t="s">
        <v>21149</v>
      </c>
      <c r="D5929" s="72" t="s">
        <v>21150</v>
      </c>
      <c r="E5929" s="72"/>
      <c r="F5929" s="72"/>
      <c r="G5929" s="72"/>
      <c r="H5929" s="22" t="s">
        <v>21151</v>
      </c>
      <c r="I5929" s="23" t="s">
        <v>36</v>
      </c>
      <c r="J5929" s="22"/>
      <c r="K5929" s="20">
        <v>30</v>
      </c>
      <c r="L5929" s="24">
        <v>18.21</v>
      </c>
      <c r="M5929" s="11"/>
      <c r="N5929" s="22">
        <f t="shared" si="344"/>
        <v>0</v>
      </c>
      <c r="O5929" s="25">
        <f>0.008*M5929</f>
        <v>0</v>
      </c>
      <c r="P5929" s="26">
        <f>0.00003*M5929</f>
        <v>0</v>
      </c>
      <c r="Q5929" s="30"/>
      <c r="R5929" s="22" t="s">
        <v>21152</v>
      </c>
      <c r="S5929" s="22"/>
      <c r="T5929" s="21" t="str">
        <f>HYPERLINK("https://miland.ru/api/getInfo/image/92ae9a2b-3253-11f0-a27c-00155d82e908")</f>
        <v>https://miland.ru/api/getInfo/image/92ae9a2b-3253-11f0-a27c-00155d82e908</v>
      </c>
      <c r="U5929" s="21"/>
      <c r="V5929" s="21" t="s">
        <v>9009</v>
      </c>
      <c r="W5929" s="21" t="s">
        <v>9010</v>
      </c>
      <c r="X5929" s="21"/>
      <c r="Y5929" s="21" t="s">
        <v>41</v>
      </c>
      <c r="Z5929" s="21"/>
      <c r="AA5929" s="21" t="str">
        <f>HYPERLINK("https://miland.ru/api/getInfo/item/92ae9a2b-3253-11f0-a27c-00155d82e908")</f>
        <v>https://miland.ru/api/getInfo/item/92ae9a2b-3253-11f0-a27c-00155d82e908</v>
      </c>
      <c r="AB5929" s="21" t="s">
        <v>50</v>
      </c>
      <c r="AC5929" s="21"/>
      <c r="AD5929" s="21"/>
    </row>
    <row r="5930" spans="2:31" s="1" customFormat="1" ht="96.3" customHeight="1" outlineLevel="4">
      <c r="B5930" s="59">
        <v>4854</v>
      </c>
      <c r="C5930" s="35" t="s">
        <v>21153</v>
      </c>
      <c r="D5930" s="73" t="s">
        <v>21154</v>
      </c>
      <c r="E5930" s="73"/>
      <c r="F5930" s="73"/>
      <c r="G5930" s="73"/>
      <c r="H5930" s="36" t="s">
        <v>21155</v>
      </c>
      <c r="I5930" s="56" t="s">
        <v>36</v>
      </c>
      <c r="J5930" s="36"/>
      <c r="K5930" s="34">
        <v>30</v>
      </c>
      <c r="L5930" s="41">
        <v>5.96</v>
      </c>
      <c r="M5930" s="11"/>
      <c r="N5930" s="36">
        <f t="shared" si="344"/>
        <v>0</v>
      </c>
      <c r="O5930" s="42">
        <f>0.008*M5930</f>
        <v>0</v>
      </c>
      <c r="P5930" s="43">
        <f>0.00002*M5930</f>
        <v>0</v>
      </c>
      <c r="Q5930" s="50"/>
      <c r="R5930" s="36" t="s">
        <v>21156</v>
      </c>
      <c r="S5930" s="36" t="s">
        <v>435</v>
      </c>
      <c r="T5930" s="35" t="str">
        <f>HYPERLINK("https://miland.ru/api/getInfo/image/d3364e5c-bab8-11ee-a25a-00155d82e908")</f>
        <v>https://miland.ru/api/getInfo/image/d3364e5c-bab8-11ee-a25a-00155d82e908</v>
      </c>
      <c r="U5930" s="35"/>
      <c r="V5930" s="35" t="s">
        <v>9009</v>
      </c>
      <c r="W5930" s="35" t="s">
        <v>9010</v>
      </c>
      <c r="X5930" s="35"/>
      <c r="Y5930" s="35" t="s">
        <v>41</v>
      </c>
      <c r="Z5930" s="35"/>
      <c r="AA5930" s="35" t="str">
        <f>HYPERLINK("https://miland.ru/api/getInfo/item/d3364e5c-bab8-11ee-a25a-00155d82e908")</f>
        <v>https://miland.ru/api/getInfo/item/d3364e5c-bab8-11ee-a25a-00155d82e908</v>
      </c>
      <c r="AB5930" s="35" t="s">
        <v>50</v>
      </c>
      <c r="AC5930" s="35" t="s">
        <v>1698</v>
      </c>
      <c r="AD5930" s="35"/>
      <c r="AE5930" s="52" t="s">
        <v>1251</v>
      </c>
    </row>
    <row r="5931" spans="2:31" s="1" customFormat="1" ht="96.3" customHeight="1" outlineLevel="4">
      <c r="B5931" s="58">
        <v>4855</v>
      </c>
      <c r="C5931" s="7" t="s">
        <v>21157</v>
      </c>
      <c r="D5931" s="71" t="s">
        <v>21158</v>
      </c>
      <c r="E5931" s="71"/>
      <c r="F5931" s="71"/>
      <c r="G5931" s="71"/>
      <c r="H5931" s="8" t="s">
        <v>21159</v>
      </c>
      <c r="I5931" s="9" t="s">
        <v>36</v>
      </c>
      <c r="J5931" s="8"/>
      <c r="K5931" s="6">
        <v>30</v>
      </c>
      <c r="L5931" s="10">
        <v>18.21</v>
      </c>
      <c r="M5931" s="11"/>
      <c r="N5931" s="8">
        <f t="shared" si="344"/>
        <v>0</v>
      </c>
      <c r="O5931" s="12">
        <f>0.012*M5931</f>
        <v>0</v>
      </c>
      <c r="P5931" s="13">
        <f>0.00007*M5931</f>
        <v>0</v>
      </c>
      <c r="Q5931" s="17" t="s">
        <v>37</v>
      </c>
      <c r="R5931" s="8" t="s">
        <v>21160</v>
      </c>
      <c r="S5931" s="8"/>
      <c r="T5931" s="7" t="str">
        <f>HYPERLINK("https://miland.ru/api/getInfo/image/646596c9-4aad-11f1-a297-00155d82e908")</f>
        <v>https://miland.ru/api/getInfo/image/646596c9-4aad-11f1-a297-00155d82e908</v>
      </c>
      <c r="U5931" s="7"/>
      <c r="V5931" s="7" t="s">
        <v>9009</v>
      </c>
      <c r="W5931" s="7" t="s">
        <v>9010</v>
      </c>
      <c r="X5931" s="7"/>
      <c r="Y5931" s="7" t="s">
        <v>41</v>
      </c>
      <c r="Z5931" s="7"/>
      <c r="AA5931" s="7" t="str">
        <f>HYPERLINK("https://miland.ru/api/getInfo/item/646596c9-4aad-11f1-a297-00155d82e908")</f>
        <v>https://miland.ru/api/getInfo/item/646596c9-4aad-11f1-a297-00155d82e908</v>
      </c>
      <c r="AB5931" s="7" t="s">
        <v>50</v>
      </c>
      <c r="AC5931" s="7"/>
      <c r="AD5931" s="7"/>
      <c r="AE5931" s="54"/>
    </row>
    <row r="5932" spans="2:31" s="1" customFormat="1" ht="96.3" customHeight="1" outlineLevel="4">
      <c r="B5932" s="58">
        <v>4856</v>
      </c>
      <c r="C5932" s="7" t="s">
        <v>21161</v>
      </c>
      <c r="D5932" s="71" t="s">
        <v>21162</v>
      </c>
      <c r="E5932" s="71"/>
      <c r="F5932" s="71"/>
      <c r="G5932" s="71"/>
      <c r="H5932" s="8" t="s">
        <v>21163</v>
      </c>
      <c r="I5932" s="9" t="s">
        <v>36</v>
      </c>
      <c r="J5932" s="8"/>
      <c r="K5932" s="6">
        <v>30</v>
      </c>
      <c r="L5932" s="10">
        <v>18.21</v>
      </c>
      <c r="M5932" s="11"/>
      <c r="N5932" s="8">
        <f t="shared" si="344"/>
        <v>0</v>
      </c>
      <c r="O5932" s="12">
        <f>0.012*M5932</f>
        <v>0</v>
      </c>
      <c r="P5932" s="13">
        <f>0.00007*M5932</f>
        <v>0</v>
      </c>
      <c r="Q5932" s="17" t="s">
        <v>37</v>
      </c>
      <c r="R5932" s="8" t="s">
        <v>21164</v>
      </c>
      <c r="S5932" s="8"/>
      <c r="T5932" s="7" t="str">
        <f>HYPERLINK("https://miland.ru/api/getInfo/image/d1375ca8-4aab-11f1-a297-00155d82e908")</f>
        <v>https://miland.ru/api/getInfo/image/d1375ca8-4aab-11f1-a297-00155d82e908</v>
      </c>
      <c r="U5932" s="7"/>
      <c r="V5932" s="7" t="s">
        <v>9009</v>
      </c>
      <c r="W5932" s="7" t="s">
        <v>9010</v>
      </c>
      <c r="X5932" s="7"/>
      <c r="Y5932" s="7" t="s">
        <v>41</v>
      </c>
      <c r="Z5932" s="7"/>
      <c r="AA5932" s="7" t="str">
        <f>HYPERLINK("https://miland.ru/api/getInfo/item/d1375ca8-4aab-11f1-a297-00155d82e908")</f>
        <v>https://miland.ru/api/getInfo/item/d1375ca8-4aab-11f1-a297-00155d82e908</v>
      </c>
      <c r="AB5932" s="7" t="s">
        <v>50</v>
      </c>
      <c r="AC5932" s="7"/>
      <c r="AD5932" s="7"/>
      <c r="AE5932" s="54"/>
    </row>
    <row r="5933" spans="2:31" s="1" customFormat="1" ht="96.3" customHeight="1" outlineLevel="4">
      <c r="B5933" s="58">
        <v>4857</v>
      </c>
      <c r="C5933" s="7" t="s">
        <v>21165</v>
      </c>
      <c r="D5933" s="71" t="s">
        <v>21166</v>
      </c>
      <c r="E5933" s="71"/>
      <c r="F5933" s="71"/>
      <c r="G5933" s="71"/>
      <c r="H5933" s="8" t="s">
        <v>21167</v>
      </c>
      <c r="I5933" s="9" t="s">
        <v>36</v>
      </c>
      <c r="J5933" s="8"/>
      <c r="K5933" s="6">
        <v>30</v>
      </c>
      <c r="L5933" s="10">
        <v>18.21</v>
      </c>
      <c r="M5933" s="11"/>
      <c r="N5933" s="8">
        <f t="shared" si="344"/>
        <v>0</v>
      </c>
      <c r="O5933" s="12">
        <f>0.008*M5933</f>
        <v>0</v>
      </c>
      <c r="P5933" s="13">
        <f>0.00003*M5933</f>
        <v>0</v>
      </c>
      <c r="Q5933" s="17" t="s">
        <v>37</v>
      </c>
      <c r="R5933" s="8" t="s">
        <v>21168</v>
      </c>
      <c r="S5933" s="8"/>
      <c r="T5933" s="7" t="str">
        <f>HYPERLINK("https://miland.ru/api/getInfo/image/e763e516-4aad-11f1-a297-00155d82e908")</f>
        <v>https://miland.ru/api/getInfo/image/e763e516-4aad-11f1-a297-00155d82e908</v>
      </c>
      <c r="U5933" s="7"/>
      <c r="V5933" s="7" t="s">
        <v>9009</v>
      </c>
      <c r="W5933" s="7" t="s">
        <v>9010</v>
      </c>
      <c r="X5933" s="7"/>
      <c r="Y5933" s="7" t="s">
        <v>41</v>
      </c>
      <c r="Z5933" s="7"/>
      <c r="AA5933" s="7" t="str">
        <f>HYPERLINK("https://miland.ru/api/getInfo/item/e763e516-4aad-11f1-a297-00155d82e908")</f>
        <v>https://miland.ru/api/getInfo/item/e763e516-4aad-11f1-a297-00155d82e908</v>
      </c>
      <c r="AB5933" s="7" t="s">
        <v>50</v>
      </c>
      <c r="AC5933" s="7"/>
      <c r="AD5933" s="7"/>
      <c r="AE5933" s="54"/>
    </row>
    <row r="5934" spans="2:31" s="1" customFormat="1" ht="96.3" customHeight="1" outlineLevel="4">
      <c r="B5934" s="58">
        <v>4858</v>
      </c>
      <c r="C5934" s="7" t="s">
        <v>21169</v>
      </c>
      <c r="D5934" s="71" t="s">
        <v>21170</v>
      </c>
      <c r="E5934" s="71"/>
      <c r="F5934" s="71"/>
      <c r="G5934" s="71"/>
      <c r="H5934" s="8" t="s">
        <v>21171</v>
      </c>
      <c r="I5934" s="9" t="s">
        <v>36</v>
      </c>
      <c r="J5934" s="8"/>
      <c r="K5934" s="6">
        <v>30</v>
      </c>
      <c r="L5934" s="10">
        <v>18.21</v>
      </c>
      <c r="M5934" s="11"/>
      <c r="N5934" s="8">
        <f t="shared" si="344"/>
        <v>0</v>
      </c>
      <c r="O5934" s="12">
        <f>0.012*M5934</f>
        <v>0</v>
      </c>
      <c r="P5934" s="13">
        <f>0.00007*M5934</f>
        <v>0</v>
      </c>
      <c r="Q5934" s="17" t="s">
        <v>37</v>
      </c>
      <c r="R5934" s="8" t="s">
        <v>21172</v>
      </c>
      <c r="S5934" s="8"/>
      <c r="T5934" s="7" t="str">
        <f>HYPERLINK("https://miland.ru/api/getInfo/image/22f4fb71-4aa8-11f1-a297-00155d82e908")</f>
        <v>https://miland.ru/api/getInfo/image/22f4fb71-4aa8-11f1-a297-00155d82e908</v>
      </c>
      <c r="U5934" s="7"/>
      <c r="V5934" s="7" t="s">
        <v>9009</v>
      </c>
      <c r="W5934" s="7" t="s">
        <v>9010</v>
      </c>
      <c r="X5934" s="7"/>
      <c r="Y5934" s="7" t="s">
        <v>41</v>
      </c>
      <c r="Z5934" s="7"/>
      <c r="AA5934" s="7" t="str">
        <f>HYPERLINK("https://miland.ru/api/getInfo/item/22f4fb71-4aa8-11f1-a297-00155d82e908")</f>
        <v>https://miland.ru/api/getInfo/item/22f4fb71-4aa8-11f1-a297-00155d82e908</v>
      </c>
      <c r="AB5934" s="7" t="s">
        <v>50</v>
      </c>
      <c r="AC5934" s="7"/>
      <c r="AD5934" s="7"/>
      <c r="AE5934" s="54"/>
    </row>
    <row r="5935" spans="2:31" s="1" customFormat="1" ht="96.3" customHeight="1" outlineLevel="4">
      <c r="B5935" s="57">
        <v>4859</v>
      </c>
      <c r="C5935" s="21" t="s">
        <v>21173</v>
      </c>
      <c r="D5935" s="72" t="s">
        <v>21174</v>
      </c>
      <c r="E5935" s="72"/>
      <c r="F5935" s="72"/>
      <c r="G5935" s="72"/>
      <c r="H5935" s="22" t="s">
        <v>21175</v>
      </c>
      <c r="I5935" s="23" t="s">
        <v>36</v>
      </c>
      <c r="J5935" s="22"/>
      <c r="K5935" s="20">
        <v>30</v>
      </c>
      <c r="L5935" s="24">
        <v>18.21</v>
      </c>
      <c r="M5935" s="11"/>
      <c r="N5935" s="22">
        <f t="shared" si="344"/>
        <v>0</v>
      </c>
      <c r="O5935" s="25">
        <f>0.008*M5935</f>
        <v>0</v>
      </c>
      <c r="P5935" s="26">
        <f>0.00001*M5935</f>
        <v>0</v>
      </c>
      <c r="Q5935" s="30"/>
      <c r="R5935" s="22" t="s">
        <v>21176</v>
      </c>
      <c r="S5935" s="22"/>
      <c r="T5935" s="21" t="str">
        <f>HYPERLINK("https://miland.ru/api/getInfo/image/10e97d46-3255-11f0-a27c-00155d82e908")</f>
        <v>https://miland.ru/api/getInfo/image/10e97d46-3255-11f0-a27c-00155d82e908</v>
      </c>
      <c r="U5935" s="21"/>
      <c r="V5935" s="21" t="s">
        <v>9009</v>
      </c>
      <c r="W5935" s="21" t="s">
        <v>9010</v>
      </c>
      <c r="X5935" s="21"/>
      <c r="Y5935" s="21" t="s">
        <v>41</v>
      </c>
      <c r="Z5935" s="21"/>
      <c r="AA5935" s="21" t="str">
        <f>HYPERLINK("https://miland.ru/api/getInfo/item/10e97d46-3255-11f0-a27c-00155d82e908")</f>
        <v>https://miland.ru/api/getInfo/item/10e97d46-3255-11f0-a27c-00155d82e908</v>
      </c>
      <c r="AB5935" s="21" t="s">
        <v>50</v>
      </c>
      <c r="AC5935" s="21"/>
      <c r="AD5935" s="21"/>
    </row>
    <row r="5936" spans="2:31" s="1" customFormat="1" ht="96.3" customHeight="1" outlineLevel="4">
      <c r="B5936" s="58">
        <v>4860</v>
      </c>
      <c r="C5936" s="7" t="s">
        <v>21177</v>
      </c>
      <c r="D5936" s="71" t="s">
        <v>21178</v>
      </c>
      <c r="E5936" s="71"/>
      <c r="F5936" s="71"/>
      <c r="G5936" s="71"/>
      <c r="H5936" s="8" t="s">
        <v>21179</v>
      </c>
      <c r="I5936" s="9" t="s">
        <v>36</v>
      </c>
      <c r="J5936" s="8"/>
      <c r="K5936" s="6">
        <v>30</v>
      </c>
      <c r="L5936" s="10">
        <v>18.21</v>
      </c>
      <c r="M5936" s="11"/>
      <c r="N5936" s="8">
        <f t="shared" si="344"/>
        <v>0</v>
      </c>
      <c r="O5936" s="12">
        <f>0.012*M5936</f>
        <v>0</v>
      </c>
      <c r="P5936" s="13">
        <f>0.00007*M5936</f>
        <v>0</v>
      </c>
      <c r="Q5936" s="17" t="s">
        <v>37</v>
      </c>
      <c r="R5936" s="8" t="s">
        <v>21180</v>
      </c>
      <c r="S5936" s="8"/>
      <c r="T5936" s="7" t="str">
        <f>HYPERLINK("https://miland.ru/api/getInfo/image/9217eedb-4aba-11f1-a297-00155d82e908")</f>
        <v>https://miland.ru/api/getInfo/image/9217eedb-4aba-11f1-a297-00155d82e908</v>
      </c>
      <c r="U5936" s="7"/>
      <c r="V5936" s="7" t="s">
        <v>9009</v>
      </c>
      <c r="W5936" s="7" t="s">
        <v>9010</v>
      </c>
      <c r="X5936" s="7"/>
      <c r="Y5936" s="7" t="s">
        <v>41</v>
      </c>
      <c r="Z5936" s="7"/>
      <c r="AA5936" s="7" t="str">
        <f>HYPERLINK("https://miland.ru/api/getInfo/item/9217eedb-4aba-11f1-a297-00155d82e908")</f>
        <v>https://miland.ru/api/getInfo/item/9217eedb-4aba-11f1-a297-00155d82e908</v>
      </c>
      <c r="AB5936" s="7" t="s">
        <v>50</v>
      </c>
      <c r="AC5936" s="7"/>
      <c r="AD5936" s="7"/>
      <c r="AE5936" s="54"/>
    </row>
    <row r="5937" spans="2:31" s="1" customFormat="1" ht="96.3" customHeight="1" outlineLevel="4">
      <c r="B5937" s="57">
        <v>4861</v>
      </c>
      <c r="C5937" s="21" t="s">
        <v>21181</v>
      </c>
      <c r="D5937" s="72" t="s">
        <v>21182</v>
      </c>
      <c r="E5937" s="72"/>
      <c r="F5937" s="72"/>
      <c r="G5937" s="72"/>
      <c r="H5937" s="22" t="s">
        <v>21183</v>
      </c>
      <c r="I5937" s="23" t="s">
        <v>36</v>
      </c>
      <c r="J5937" s="22"/>
      <c r="K5937" s="20">
        <v>30</v>
      </c>
      <c r="L5937" s="24">
        <v>18.21</v>
      </c>
      <c r="M5937" s="11"/>
      <c r="N5937" s="22">
        <f t="shared" si="344"/>
        <v>0</v>
      </c>
      <c r="O5937" s="25">
        <f>0.008*M5937</f>
        <v>0</v>
      </c>
      <c r="P5937" s="26">
        <f>0.00003*M5937</f>
        <v>0</v>
      </c>
      <c r="Q5937" s="30"/>
      <c r="R5937" s="22" t="s">
        <v>21184</v>
      </c>
      <c r="S5937" s="22"/>
      <c r="T5937" s="21" t="str">
        <f>HYPERLINK("https://miland.ru/api/getInfo/image/4512003f-3251-11f0-a27c-00155d82e908")</f>
        <v>https://miland.ru/api/getInfo/image/4512003f-3251-11f0-a27c-00155d82e908</v>
      </c>
      <c r="U5937" s="21"/>
      <c r="V5937" s="21" t="s">
        <v>9009</v>
      </c>
      <c r="W5937" s="21" t="s">
        <v>9010</v>
      </c>
      <c r="X5937" s="21"/>
      <c r="Y5937" s="21" t="s">
        <v>41</v>
      </c>
      <c r="Z5937" s="21"/>
      <c r="AA5937" s="21" t="str">
        <f>HYPERLINK("https://miland.ru/api/getInfo/item/4512003f-3251-11f0-a27c-00155d82e908")</f>
        <v>https://miland.ru/api/getInfo/item/4512003f-3251-11f0-a27c-00155d82e908</v>
      </c>
      <c r="AB5937" s="21" t="s">
        <v>50</v>
      </c>
      <c r="AC5937" s="21"/>
      <c r="AD5937" s="21"/>
    </row>
    <row r="5938" spans="2:31" ht="12" customHeight="1" outlineLevel="3">
      <c r="B5938" s="70" t="s">
        <v>21185</v>
      </c>
      <c r="C5938" s="70"/>
      <c r="D5938" s="70"/>
      <c r="E5938" s="70"/>
      <c r="F5938" s="70"/>
      <c r="G5938" s="70"/>
    </row>
    <row r="5939" spans="2:31" s="1" customFormat="1" ht="96.3" customHeight="1" outlineLevel="4">
      <c r="B5939" s="58">
        <v>4862</v>
      </c>
      <c r="C5939" s="7" t="s">
        <v>21186</v>
      </c>
      <c r="D5939" s="71" t="s">
        <v>21187</v>
      </c>
      <c r="E5939" s="71"/>
      <c r="F5939" s="71"/>
      <c r="G5939" s="71"/>
      <c r="H5939" s="8" t="s">
        <v>21188</v>
      </c>
      <c r="I5939" s="14">
        <v>210</v>
      </c>
      <c r="J5939" s="8"/>
      <c r="K5939" s="6">
        <v>20</v>
      </c>
      <c r="L5939" s="10">
        <v>19.8</v>
      </c>
      <c r="M5939" s="11"/>
      <c r="N5939" s="8">
        <f t="shared" ref="N5939:N5960" si="346">L5939*M5939</f>
        <v>0</v>
      </c>
      <c r="O5939" s="12">
        <f>0.008*M5939</f>
        <v>0</v>
      </c>
      <c r="P5939" s="13">
        <f>0.00003*M5939</f>
        <v>0</v>
      </c>
      <c r="Q5939" s="17" t="s">
        <v>37</v>
      </c>
      <c r="R5939" s="8" t="s">
        <v>21189</v>
      </c>
      <c r="S5939" s="8"/>
      <c r="T5939" s="7" t="str">
        <f>HYPERLINK("https://miland.ru/api/getInfo/image/25ce1e9f-76ba-11f0-a284-00155d82e908")</f>
        <v>https://miland.ru/api/getInfo/image/25ce1e9f-76ba-11f0-a284-00155d82e908</v>
      </c>
      <c r="U5939" s="7"/>
      <c r="V5939" s="7" t="s">
        <v>9009</v>
      </c>
      <c r="W5939" s="7" t="s">
        <v>9010</v>
      </c>
      <c r="X5939" s="7"/>
      <c r="Y5939" s="7" t="s">
        <v>41</v>
      </c>
      <c r="Z5939" s="7"/>
      <c r="AA5939" s="7" t="str">
        <f>HYPERLINK("https://miland.ru/api/getInfo/item/25ce1e9f-76ba-11f0-a284-00155d82e908")</f>
        <v>https://miland.ru/api/getInfo/item/25ce1e9f-76ba-11f0-a284-00155d82e908</v>
      </c>
      <c r="AB5939" s="7" t="s">
        <v>42</v>
      </c>
      <c r="AC5939" s="7"/>
      <c r="AD5939" s="7"/>
      <c r="AE5939" s="54"/>
    </row>
    <row r="5940" spans="2:31" s="1" customFormat="1" ht="96.3" customHeight="1" outlineLevel="4">
      <c r="B5940" s="57">
        <v>4863</v>
      </c>
      <c r="C5940" s="21" t="s">
        <v>21190</v>
      </c>
      <c r="D5940" s="72" t="s">
        <v>21191</v>
      </c>
      <c r="E5940" s="72"/>
      <c r="F5940" s="72"/>
      <c r="G5940" s="72"/>
      <c r="H5940" s="22" t="s">
        <v>21192</v>
      </c>
      <c r="I5940" s="23" t="s">
        <v>36</v>
      </c>
      <c r="J5940" s="22"/>
      <c r="K5940" s="20">
        <v>20</v>
      </c>
      <c r="L5940" s="24">
        <v>19.8</v>
      </c>
      <c r="M5940" s="11"/>
      <c r="N5940" s="22">
        <f t="shared" si="346"/>
        <v>0</v>
      </c>
      <c r="O5940" s="25">
        <f>0.019*M5940</f>
        <v>0</v>
      </c>
      <c r="P5940" s="26">
        <f>0.00012*M5940</f>
        <v>0</v>
      </c>
      <c r="Q5940" s="30"/>
      <c r="R5940" s="22" t="s">
        <v>21193</v>
      </c>
      <c r="S5940" s="22"/>
      <c r="T5940" s="21" t="str">
        <f>HYPERLINK("https://miland.ru/api/getInfo/image/2467d94b-7742-11ef-a265-00155d82e908")</f>
        <v>https://miland.ru/api/getInfo/image/2467d94b-7742-11ef-a265-00155d82e908</v>
      </c>
      <c r="U5940" s="21"/>
      <c r="V5940" s="21" t="s">
        <v>9009</v>
      </c>
      <c r="W5940" s="21" t="s">
        <v>9010</v>
      </c>
      <c r="X5940" s="21"/>
      <c r="Y5940" s="21" t="s">
        <v>41</v>
      </c>
      <c r="Z5940" s="21"/>
      <c r="AA5940" s="21" t="str">
        <f>HYPERLINK("https://miland.ru/api/getInfo/item/2467d94b-7742-11ef-a265-00155d82e908")</f>
        <v>https://miland.ru/api/getInfo/item/2467d94b-7742-11ef-a265-00155d82e908</v>
      </c>
      <c r="AB5940" s="21" t="s">
        <v>42</v>
      </c>
      <c r="AC5940" s="21"/>
      <c r="AD5940" s="21"/>
    </row>
    <row r="5941" spans="2:31" s="1" customFormat="1" ht="96.3" customHeight="1" outlineLevel="4">
      <c r="B5941" s="57">
        <v>4864</v>
      </c>
      <c r="C5941" s="21" t="s">
        <v>21194</v>
      </c>
      <c r="D5941" s="72" t="s">
        <v>21195</v>
      </c>
      <c r="E5941" s="72"/>
      <c r="F5941" s="72"/>
      <c r="G5941" s="72"/>
      <c r="H5941" s="22" t="s">
        <v>21196</v>
      </c>
      <c r="I5941" s="23" t="s">
        <v>36</v>
      </c>
      <c r="J5941" s="22"/>
      <c r="K5941" s="20">
        <v>20</v>
      </c>
      <c r="L5941" s="24">
        <v>19.8</v>
      </c>
      <c r="M5941" s="11"/>
      <c r="N5941" s="22">
        <f t="shared" si="346"/>
        <v>0</v>
      </c>
      <c r="O5941" s="25">
        <f>0.019*M5941</f>
        <v>0</v>
      </c>
      <c r="P5941" s="26">
        <f>0.00012*M5941</f>
        <v>0</v>
      </c>
      <c r="Q5941" s="30"/>
      <c r="R5941" s="22" t="s">
        <v>21197</v>
      </c>
      <c r="S5941" s="22"/>
      <c r="T5941" s="21" t="str">
        <f>HYPERLINK("https://miland.ru/api/getInfo/image/6d0e62c6-7741-11ef-a265-00155d82e908")</f>
        <v>https://miland.ru/api/getInfo/image/6d0e62c6-7741-11ef-a265-00155d82e908</v>
      </c>
      <c r="U5941" s="21"/>
      <c r="V5941" s="21" t="s">
        <v>9009</v>
      </c>
      <c r="W5941" s="21" t="s">
        <v>9010</v>
      </c>
      <c r="X5941" s="21"/>
      <c r="Y5941" s="21" t="s">
        <v>41</v>
      </c>
      <c r="Z5941" s="21"/>
      <c r="AA5941" s="21" t="str">
        <f>HYPERLINK("https://miland.ru/api/getInfo/item/6d0e62c6-7741-11ef-a265-00155d82e908")</f>
        <v>https://miland.ru/api/getInfo/item/6d0e62c6-7741-11ef-a265-00155d82e908</v>
      </c>
      <c r="AB5941" s="21" t="s">
        <v>42</v>
      </c>
      <c r="AC5941" s="21"/>
      <c r="AD5941" s="21"/>
    </row>
    <row r="5942" spans="2:31" s="1" customFormat="1" ht="96.3" customHeight="1" outlineLevel="4">
      <c r="B5942" s="57">
        <v>4865</v>
      </c>
      <c r="C5942" s="21" t="s">
        <v>21198</v>
      </c>
      <c r="D5942" s="72" t="s">
        <v>21199</v>
      </c>
      <c r="E5942" s="72"/>
      <c r="F5942" s="72"/>
      <c r="G5942" s="72"/>
      <c r="H5942" s="22" t="s">
        <v>21200</v>
      </c>
      <c r="I5942" s="23" t="s">
        <v>36</v>
      </c>
      <c r="J5942" s="22"/>
      <c r="K5942" s="20">
        <v>20</v>
      </c>
      <c r="L5942" s="24">
        <v>19.8</v>
      </c>
      <c r="M5942" s="11"/>
      <c r="N5942" s="22">
        <f t="shared" si="346"/>
        <v>0</v>
      </c>
      <c r="O5942" s="22">
        <v>0</v>
      </c>
      <c r="P5942" s="22">
        <v>0</v>
      </c>
      <c r="Q5942" s="30"/>
      <c r="R5942" s="22" t="s">
        <v>21201</v>
      </c>
      <c r="S5942" s="22"/>
      <c r="T5942" s="21" t="str">
        <f>HYPERLINK("https://miland.ru/api/getInfo/image/cbf69389-773e-11ef-a265-00155d82e908")</f>
        <v>https://miland.ru/api/getInfo/image/cbf69389-773e-11ef-a265-00155d82e908</v>
      </c>
      <c r="U5942" s="21"/>
      <c r="V5942" s="21" t="s">
        <v>9009</v>
      </c>
      <c r="W5942" s="21" t="s">
        <v>9010</v>
      </c>
      <c r="X5942" s="21"/>
      <c r="Y5942" s="21" t="s">
        <v>41</v>
      </c>
      <c r="Z5942" s="21"/>
      <c r="AA5942" s="21" t="str">
        <f>HYPERLINK("https://miland.ru/api/getInfo/item/cbf69389-773e-11ef-a265-00155d82e908")</f>
        <v>https://miland.ru/api/getInfo/item/cbf69389-773e-11ef-a265-00155d82e908</v>
      </c>
      <c r="AB5942" s="21" t="s">
        <v>42</v>
      </c>
      <c r="AC5942" s="21"/>
      <c r="AD5942" s="21"/>
    </row>
    <row r="5943" spans="2:31" s="1" customFormat="1" ht="96.3" customHeight="1" outlineLevel="4">
      <c r="B5943" s="57">
        <v>4866</v>
      </c>
      <c r="C5943" s="21" t="s">
        <v>21202</v>
      </c>
      <c r="D5943" s="72" t="s">
        <v>21203</v>
      </c>
      <c r="E5943" s="72"/>
      <c r="F5943" s="72"/>
      <c r="G5943" s="72"/>
      <c r="H5943" s="22" t="s">
        <v>21204</v>
      </c>
      <c r="I5943" s="23" t="s">
        <v>36</v>
      </c>
      <c r="J5943" s="22"/>
      <c r="K5943" s="20">
        <v>20</v>
      </c>
      <c r="L5943" s="24">
        <v>19.8</v>
      </c>
      <c r="M5943" s="11"/>
      <c r="N5943" s="22">
        <f t="shared" si="346"/>
        <v>0</v>
      </c>
      <c r="O5943" s="25">
        <f>0.019*M5943</f>
        <v>0</v>
      </c>
      <c r="P5943" s="26">
        <f>0.00012*M5943</f>
        <v>0</v>
      </c>
      <c r="Q5943" s="30"/>
      <c r="R5943" s="22" t="s">
        <v>21205</v>
      </c>
      <c r="S5943" s="22"/>
      <c r="T5943" s="21" t="str">
        <f>HYPERLINK("https://miland.ru/api/getInfo/image/5701f897-7741-11ef-a265-00155d82e908")</f>
        <v>https://miland.ru/api/getInfo/image/5701f897-7741-11ef-a265-00155d82e908</v>
      </c>
      <c r="U5943" s="21"/>
      <c r="V5943" s="21" t="s">
        <v>9009</v>
      </c>
      <c r="W5943" s="21" t="s">
        <v>9010</v>
      </c>
      <c r="X5943" s="21"/>
      <c r="Y5943" s="21" t="s">
        <v>41</v>
      </c>
      <c r="Z5943" s="21"/>
      <c r="AA5943" s="21" t="str">
        <f>HYPERLINK("https://miland.ru/api/getInfo/item/5701f897-7741-11ef-a265-00155d82e908")</f>
        <v>https://miland.ru/api/getInfo/item/5701f897-7741-11ef-a265-00155d82e908</v>
      </c>
      <c r="AB5943" s="21" t="s">
        <v>42</v>
      </c>
      <c r="AC5943" s="21"/>
      <c r="AD5943" s="21"/>
    </row>
    <row r="5944" spans="2:31" s="1" customFormat="1" ht="96.3" customHeight="1" outlineLevel="4">
      <c r="B5944" s="57">
        <v>4867</v>
      </c>
      <c r="C5944" s="21" t="s">
        <v>21206</v>
      </c>
      <c r="D5944" s="72" t="s">
        <v>21207</v>
      </c>
      <c r="E5944" s="72"/>
      <c r="F5944" s="72"/>
      <c r="G5944" s="72"/>
      <c r="H5944" s="22" t="s">
        <v>21208</v>
      </c>
      <c r="I5944" s="23" t="s">
        <v>36</v>
      </c>
      <c r="J5944" s="22"/>
      <c r="K5944" s="20">
        <v>20</v>
      </c>
      <c r="L5944" s="24">
        <v>19.8</v>
      </c>
      <c r="M5944" s="11"/>
      <c r="N5944" s="22">
        <f t="shared" si="346"/>
        <v>0</v>
      </c>
      <c r="O5944" s="25">
        <f>0.019*M5944</f>
        <v>0</v>
      </c>
      <c r="P5944" s="26">
        <f>0.00012*M5944</f>
        <v>0</v>
      </c>
      <c r="Q5944" s="30"/>
      <c r="R5944" s="22" t="s">
        <v>21209</v>
      </c>
      <c r="S5944" s="22"/>
      <c r="T5944" s="21" t="str">
        <f>HYPERLINK("https://miland.ru/api/getInfo/image/b4ef60a4-773f-11ef-a265-00155d82e908")</f>
        <v>https://miland.ru/api/getInfo/image/b4ef60a4-773f-11ef-a265-00155d82e908</v>
      </c>
      <c r="U5944" s="21"/>
      <c r="V5944" s="21" t="s">
        <v>9009</v>
      </c>
      <c r="W5944" s="21" t="s">
        <v>9010</v>
      </c>
      <c r="X5944" s="21"/>
      <c r="Y5944" s="21" t="s">
        <v>41</v>
      </c>
      <c r="Z5944" s="21"/>
      <c r="AA5944" s="21" t="str">
        <f>HYPERLINK("https://miland.ru/api/getInfo/item/b4ef60a4-773f-11ef-a265-00155d82e908")</f>
        <v>https://miland.ru/api/getInfo/item/b4ef60a4-773f-11ef-a265-00155d82e908</v>
      </c>
      <c r="AB5944" s="21" t="s">
        <v>42</v>
      </c>
      <c r="AC5944" s="21"/>
      <c r="AD5944" s="21"/>
    </row>
    <row r="5945" spans="2:31" s="1" customFormat="1" ht="96.3" customHeight="1" outlineLevel="4">
      <c r="B5945" s="57">
        <v>4868</v>
      </c>
      <c r="C5945" s="21" t="s">
        <v>21210</v>
      </c>
      <c r="D5945" s="72" t="s">
        <v>21211</v>
      </c>
      <c r="E5945" s="72"/>
      <c r="F5945" s="72"/>
      <c r="G5945" s="72"/>
      <c r="H5945" s="22" t="s">
        <v>21212</v>
      </c>
      <c r="I5945" s="23" t="s">
        <v>36</v>
      </c>
      <c r="J5945" s="22"/>
      <c r="K5945" s="20">
        <v>20</v>
      </c>
      <c r="L5945" s="24">
        <v>19.8</v>
      </c>
      <c r="M5945" s="11"/>
      <c r="N5945" s="22">
        <f t="shared" si="346"/>
        <v>0</v>
      </c>
      <c r="O5945" s="25">
        <f>0.019*M5945</f>
        <v>0</v>
      </c>
      <c r="P5945" s="26">
        <f>0.00012*M5945</f>
        <v>0</v>
      </c>
      <c r="Q5945" s="30"/>
      <c r="R5945" s="22" t="s">
        <v>21213</v>
      </c>
      <c r="S5945" s="22"/>
      <c r="T5945" s="21" t="str">
        <f>HYPERLINK("https://miland.ru/api/getInfo/image/e386f233-7740-11ef-a265-00155d82e908")</f>
        <v>https://miland.ru/api/getInfo/image/e386f233-7740-11ef-a265-00155d82e908</v>
      </c>
      <c r="U5945" s="21"/>
      <c r="V5945" s="21" t="s">
        <v>9009</v>
      </c>
      <c r="W5945" s="21" t="s">
        <v>9010</v>
      </c>
      <c r="X5945" s="21"/>
      <c r="Y5945" s="21" t="s">
        <v>41</v>
      </c>
      <c r="Z5945" s="21"/>
      <c r="AA5945" s="21" t="str">
        <f>HYPERLINK("https://miland.ru/api/getInfo/item/e386f233-7740-11ef-a265-00155d82e908")</f>
        <v>https://miland.ru/api/getInfo/item/e386f233-7740-11ef-a265-00155d82e908</v>
      </c>
      <c r="AB5945" s="21" t="s">
        <v>42</v>
      </c>
      <c r="AC5945" s="21"/>
      <c r="AD5945" s="21"/>
    </row>
    <row r="5946" spans="2:31" s="1" customFormat="1" ht="96.3" customHeight="1" outlineLevel="4">
      <c r="B5946" s="57">
        <v>4869</v>
      </c>
      <c r="C5946" s="21" t="s">
        <v>21214</v>
      </c>
      <c r="D5946" s="72" t="s">
        <v>21215</v>
      </c>
      <c r="E5946" s="72"/>
      <c r="F5946" s="72"/>
      <c r="G5946" s="72"/>
      <c r="H5946" s="22" t="s">
        <v>21216</v>
      </c>
      <c r="I5946" s="27">
        <v>40</v>
      </c>
      <c r="J5946" s="22"/>
      <c r="K5946" s="20">
        <v>20</v>
      </c>
      <c r="L5946" s="24">
        <v>19.8</v>
      </c>
      <c r="M5946" s="11"/>
      <c r="N5946" s="22">
        <f t="shared" si="346"/>
        <v>0</v>
      </c>
      <c r="O5946" s="25">
        <f>0.019*M5946</f>
        <v>0</v>
      </c>
      <c r="P5946" s="26">
        <f>0.00007*M5946</f>
        <v>0</v>
      </c>
      <c r="Q5946" s="30"/>
      <c r="R5946" s="22" t="s">
        <v>21217</v>
      </c>
      <c r="S5946" s="22"/>
      <c r="T5946" s="21" t="str">
        <f>HYPERLINK("https://miland.ru/api/getInfo/image/f0ee6bfb-7741-11ef-a265-00155d82e908")</f>
        <v>https://miland.ru/api/getInfo/image/f0ee6bfb-7741-11ef-a265-00155d82e908</v>
      </c>
      <c r="U5946" s="21"/>
      <c r="V5946" s="21" t="s">
        <v>9009</v>
      </c>
      <c r="W5946" s="21" t="s">
        <v>9010</v>
      </c>
      <c r="X5946" s="21"/>
      <c r="Y5946" s="21" t="s">
        <v>41</v>
      </c>
      <c r="Z5946" s="21"/>
      <c r="AA5946" s="21" t="str">
        <f>HYPERLINK("https://miland.ru/api/getInfo/item/f0ee6bfb-7741-11ef-a265-00155d82e908")</f>
        <v>https://miland.ru/api/getInfo/item/f0ee6bfb-7741-11ef-a265-00155d82e908</v>
      </c>
      <c r="AB5946" s="21" t="s">
        <v>42</v>
      </c>
      <c r="AC5946" s="21"/>
      <c r="AD5946" s="21"/>
    </row>
    <row r="5947" spans="2:31" s="1" customFormat="1" ht="96.3" customHeight="1" outlineLevel="4">
      <c r="B5947" s="57">
        <v>4870</v>
      </c>
      <c r="C5947" s="21" t="s">
        <v>21218</v>
      </c>
      <c r="D5947" s="72" t="s">
        <v>21219</v>
      </c>
      <c r="E5947" s="72"/>
      <c r="F5947" s="72"/>
      <c r="G5947" s="72"/>
      <c r="H5947" s="22" t="s">
        <v>21220</v>
      </c>
      <c r="I5947" s="23" t="s">
        <v>36</v>
      </c>
      <c r="J5947" s="22"/>
      <c r="K5947" s="20">
        <v>20</v>
      </c>
      <c r="L5947" s="24">
        <v>19.8</v>
      </c>
      <c r="M5947" s="11"/>
      <c r="N5947" s="22">
        <f t="shared" si="346"/>
        <v>0</v>
      </c>
      <c r="O5947" s="25">
        <f>0.019*M5947</f>
        <v>0</v>
      </c>
      <c r="P5947" s="26">
        <f>0.00007*M5947</f>
        <v>0</v>
      </c>
      <c r="Q5947" s="30"/>
      <c r="R5947" s="22" t="s">
        <v>21221</v>
      </c>
      <c r="S5947" s="22"/>
      <c r="T5947" s="21" t="str">
        <f>HYPERLINK("https://miland.ru/api/getInfo/image/90555b33-7740-11ef-a265-00155d82e908")</f>
        <v>https://miland.ru/api/getInfo/image/90555b33-7740-11ef-a265-00155d82e908</v>
      </c>
      <c r="U5947" s="21"/>
      <c r="V5947" s="21" t="s">
        <v>9009</v>
      </c>
      <c r="W5947" s="21" t="s">
        <v>9010</v>
      </c>
      <c r="X5947" s="21"/>
      <c r="Y5947" s="21" t="s">
        <v>41</v>
      </c>
      <c r="Z5947" s="21"/>
      <c r="AA5947" s="21" t="str">
        <f>HYPERLINK("https://miland.ru/api/getInfo/item/90555b33-7740-11ef-a265-00155d82e908")</f>
        <v>https://miland.ru/api/getInfo/item/90555b33-7740-11ef-a265-00155d82e908</v>
      </c>
      <c r="AB5947" s="21" t="s">
        <v>42</v>
      </c>
      <c r="AC5947" s="21"/>
      <c r="AD5947" s="21"/>
    </row>
    <row r="5948" spans="2:31" s="1" customFormat="1" ht="96.3" customHeight="1" outlineLevel="4">
      <c r="B5948" s="57">
        <v>4871</v>
      </c>
      <c r="C5948" s="21" t="s">
        <v>21222</v>
      </c>
      <c r="D5948" s="72" t="s">
        <v>21223</v>
      </c>
      <c r="E5948" s="72"/>
      <c r="F5948" s="72"/>
      <c r="G5948" s="72"/>
      <c r="H5948" s="22" t="s">
        <v>21224</v>
      </c>
      <c r="I5948" s="27">
        <v>20</v>
      </c>
      <c r="J5948" s="22"/>
      <c r="K5948" s="20">
        <v>20</v>
      </c>
      <c r="L5948" s="24">
        <v>19.8</v>
      </c>
      <c r="M5948" s="11"/>
      <c r="N5948" s="22">
        <f t="shared" si="346"/>
        <v>0</v>
      </c>
      <c r="O5948" s="25">
        <f>0.088*M5948</f>
        <v>0</v>
      </c>
      <c r="P5948" s="26">
        <f>0.00033*M5948</f>
        <v>0</v>
      </c>
      <c r="Q5948" s="30"/>
      <c r="R5948" s="22" t="s">
        <v>21225</v>
      </c>
      <c r="S5948" s="22"/>
      <c r="T5948" s="21" t="str">
        <f>HYPERLINK("https://miland.ru/api/getInfo/image/a4547d8c-7741-11ef-a265-00155d82e908")</f>
        <v>https://miland.ru/api/getInfo/image/a4547d8c-7741-11ef-a265-00155d82e908</v>
      </c>
      <c r="U5948" s="21"/>
      <c r="V5948" s="21" t="s">
        <v>9009</v>
      </c>
      <c r="W5948" s="21" t="s">
        <v>9010</v>
      </c>
      <c r="X5948" s="21"/>
      <c r="Y5948" s="21" t="s">
        <v>41</v>
      </c>
      <c r="Z5948" s="21"/>
      <c r="AA5948" s="21" t="str">
        <f>HYPERLINK("https://miland.ru/api/getInfo/item/a4547d8c-7741-11ef-a265-00155d82e908")</f>
        <v>https://miland.ru/api/getInfo/item/a4547d8c-7741-11ef-a265-00155d82e908</v>
      </c>
      <c r="AB5948" s="21" t="s">
        <v>42</v>
      </c>
      <c r="AC5948" s="21"/>
      <c r="AD5948" s="21"/>
    </row>
    <row r="5949" spans="2:31" s="1" customFormat="1" ht="96.3" customHeight="1" outlineLevel="4">
      <c r="B5949" s="59">
        <v>4872</v>
      </c>
      <c r="C5949" s="35" t="s">
        <v>21226</v>
      </c>
      <c r="D5949" s="73" t="s">
        <v>21227</v>
      </c>
      <c r="E5949" s="73"/>
      <c r="F5949" s="73"/>
      <c r="G5949" s="73"/>
      <c r="H5949" s="36" t="s">
        <v>21228</v>
      </c>
      <c r="I5949" s="56" t="s">
        <v>36</v>
      </c>
      <c r="J5949" s="36"/>
      <c r="K5949" s="34">
        <v>20</v>
      </c>
      <c r="L5949" s="41">
        <v>15.840000000000002</v>
      </c>
      <c r="M5949" s="11"/>
      <c r="N5949" s="36">
        <f t="shared" si="346"/>
        <v>0</v>
      </c>
      <c r="O5949" s="47">
        <f>0.01*M5949</f>
        <v>0</v>
      </c>
      <c r="P5949" s="43">
        <f>0.00004*M5949</f>
        <v>0</v>
      </c>
      <c r="Q5949" s="50" t="s">
        <v>37</v>
      </c>
      <c r="R5949" s="36" t="s">
        <v>21229</v>
      </c>
      <c r="S5949" s="36"/>
      <c r="T5949" s="35" t="str">
        <f>HYPERLINK("https://miland.ru/api/getInfo/image/a580a3a6-76b9-11f0-a284-00155d82e908")</f>
        <v>https://miland.ru/api/getInfo/image/a580a3a6-76b9-11f0-a284-00155d82e908</v>
      </c>
      <c r="U5949" s="35"/>
      <c r="V5949" s="35" t="s">
        <v>9009</v>
      </c>
      <c r="W5949" s="35" t="s">
        <v>9010</v>
      </c>
      <c r="X5949" s="35"/>
      <c r="Y5949" s="35" t="s">
        <v>41</v>
      </c>
      <c r="Z5949" s="35"/>
      <c r="AA5949" s="35" t="str">
        <f>HYPERLINK("https://miland.ru/api/getInfo/item/a580a3a6-76b9-11f0-a284-00155d82e908")</f>
        <v>https://miland.ru/api/getInfo/item/a580a3a6-76b9-11f0-a284-00155d82e908</v>
      </c>
      <c r="AB5949" s="35" t="s">
        <v>42</v>
      </c>
      <c r="AC5949" s="35"/>
      <c r="AD5949" s="35"/>
      <c r="AE5949" s="52" t="s">
        <v>9152</v>
      </c>
    </row>
    <row r="5950" spans="2:31" s="1" customFormat="1" ht="96.3" customHeight="1" outlineLevel="4">
      <c r="B5950" s="59">
        <v>4873</v>
      </c>
      <c r="C5950" s="35" t="s">
        <v>21230</v>
      </c>
      <c r="D5950" s="73" t="s">
        <v>21231</v>
      </c>
      <c r="E5950" s="73"/>
      <c r="F5950" s="73"/>
      <c r="G5950" s="73"/>
      <c r="H5950" s="36" t="s">
        <v>21232</v>
      </c>
      <c r="I5950" s="56" t="s">
        <v>36</v>
      </c>
      <c r="J5950" s="36"/>
      <c r="K5950" s="34">
        <v>20</v>
      </c>
      <c r="L5950" s="41">
        <v>15.840000000000002</v>
      </c>
      <c r="M5950" s="11"/>
      <c r="N5950" s="36">
        <f t="shared" si="346"/>
        <v>0</v>
      </c>
      <c r="O5950" s="47">
        <f>0.01*M5950</f>
        <v>0</v>
      </c>
      <c r="P5950" s="43">
        <f>0.00004*M5950</f>
        <v>0</v>
      </c>
      <c r="Q5950" s="50" t="s">
        <v>37</v>
      </c>
      <c r="R5950" s="36" t="s">
        <v>21233</v>
      </c>
      <c r="S5950" s="36"/>
      <c r="T5950" s="35" t="str">
        <f>HYPERLINK("https://miland.ru/api/getInfo/image/8abe3544-7739-11f0-a284-00155d82e908")</f>
        <v>https://miland.ru/api/getInfo/image/8abe3544-7739-11f0-a284-00155d82e908</v>
      </c>
      <c r="U5950" s="35"/>
      <c r="V5950" s="35" t="s">
        <v>9009</v>
      </c>
      <c r="W5950" s="35" t="s">
        <v>9010</v>
      </c>
      <c r="X5950" s="35"/>
      <c r="Y5950" s="35" t="s">
        <v>41</v>
      </c>
      <c r="Z5950" s="35"/>
      <c r="AA5950" s="35" t="str">
        <f>HYPERLINK("https://miland.ru/api/getInfo/item/8abe3544-7739-11f0-a284-00155d82e908")</f>
        <v>https://miland.ru/api/getInfo/item/8abe3544-7739-11f0-a284-00155d82e908</v>
      </c>
      <c r="AB5950" s="35" t="s">
        <v>42</v>
      </c>
      <c r="AC5950" s="35"/>
      <c r="AD5950" s="35"/>
      <c r="AE5950" s="52" t="s">
        <v>9152</v>
      </c>
    </row>
    <row r="5951" spans="2:31" s="1" customFormat="1" ht="96.3" customHeight="1" outlineLevel="4">
      <c r="B5951" s="59">
        <v>4874</v>
      </c>
      <c r="C5951" s="35" t="s">
        <v>21234</v>
      </c>
      <c r="D5951" s="73" t="s">
        <v>21235</v>
      </c>
      <c r="E5951" s="73"/>
      <c r="F5951" s="73"/>
      <c r="G5951" s="73"/>
      <c r="H5951" s="36" t="s">
        <v>21236</v>
      </c>
      <c r="I5951" s="56" t="s">
        <v>36</v>
      </c>
      <c r="J5951" s="36"/>
      <c r="K5951" s="34">
        <v>20</v>
      </c>
      <c r="L5951" s="41">
        <v>15.840000000000002</v>
      </c>
      <c r="M5951" s="11"/>
      <c r="N5951" s="36">
        <f t="shared" si="346"/>
        <v>0</v>
      </c>
      <c r="O5951" s="47">
        <f>0.01*M5951</f>
        <v>0</v>
      </c>
      <c r="P5951" s="43">
        <f>0.00004*M5951</f>
        <v>0</v>
      </c>
      <c r="Q5951" s="50" t="s">
        <v>37</v>
      </c>
      <c r="R5951" s="36" t="s">
        <v>21237</v>
      </c>
      <c r="S5951" s="36"/>
      <c r="T5951" s="35" t="str">
        <f>HYPERLINK("https://miland.ru/api/getInfo/image/7be42d02-76b9-11f0-a284-00155d82e908")</f>
        <v>https://miland.ru/api/getInfo/image/7be42d02-76b9-11f0-a284-00155d82e908</v>
      </c>
      <c r="U5951" s="35"/>
      <c r="V5951" s="35" t="s">
        <v>9009</v>
      </c>
      <c r="W5951" s="35" t="s">
        <v>9010</v>
      </c>
      <c r="X5951" s="35"/>
      <c r="Y5951" s="35" t="s">
        <v>41</v>
      </c>
      <c r="Z5951" s="35"/>
      <c r="AA5951" s="35" t="str">
        <f>HYPERLINK("https://miland.ru/api/getInfo/item/7be42d02-76b9-11f0-a284-00155d82e908")</f>
        <v>https://miland.ru/api/getInfo/item/7be42d02-76b9-11f0-a284-00155d82e908</v>
      </c>
      <c r="AB5951" s="35" t="s">
        <v>42</v>
      </c>
      <c r="AC5951" s="35"/>
      <c r="AD5951" s="35"/>
      <c r="AE5951" s="52" t="s">
        <v>9152</v>
      </c>
    </row>
    <row r="5952" spans="2:31" s="1" customFormat="1" ht="96.3" customHeight="1" outlineLevel="4">
      <c r="B5952" s="59">
        <v>4875</v>
      </c>
      <c r="C5952" s="35" t="s">
        <v>21238</v>
      </c>
      <c r="D5952" s="73" t="s">
        <v>21239</v>
      </c>
      <c r="E5952" s="73"/>
      <c r="F5952" s="73"/>
      <c r="G5952" s="73"/>
      <c r="H5952" s="36" t="s">
        <v>21240</v>
      </c>
      <c r="I5952" s="56" t="s">
        <v>36</v>
      </c>
      <c r="J5952" s="36"/>
      <c r="K5952" s="34">
        <v>20</v>
      </c>
      <c r="L5952" s="41">
        <v>15.840000000000002</v>
      </c>
      <c r="M5952" s="11"/>
      <c r="N5952" s="36">
        <f t="shared" si="346"/>
        <v>0</v>
      </c>
      <c r="O5952" s="47">
        <f>0.01*M5952</f>
        <v>0</v>
      </c>
      <c r="P5952" s="43">
        <f>0.00004*M5952</f>
        <v>0</v>
      </c>
      <c r="Q5952" s="50" t="s">
        <v>37</v>
      </c>
      <c r="R5952" s="36" t="s">
        <v>21241</v>
      </c>
      <c r="S5952" s="36"/>
      <c r="T5952" s="35" t="str">
        <f>HYPERLINK("https://miland.ru/api/getInfo/image/9155109b-76b9-11f0-a284-00155d82e908")</f>
        <v>https://miland.ru/api/getInfo/image/9155109b-76b9-11f0-a284-00155d82e908</v>
      </c>
      <c r="U5952" s="35"/>
      <c r="V5952" s="35" t="s">
        <v>9009</v>
      </c>
      <c r="W5952" s="35" t="s">
        <v>9010</v>
      </c>
      <c r="X5952" s="35"/>
      <c r="Y5952" s="35" t="s">
        <v>41</v>
      </c>
      <c r="Z5952" s="35"/>
      <c r="AA5952" s="35" t="str">
        <f>HYPERLINK("https://miland.ru/api/getInfo/item/9155109b-76b9-11f0-a284-00155d82e908")</f>
        <v>https://miland.ru/api/getInfo/item/9155109b-76b9-11f0-a284-00155d82e908</v>
      </c>
      <c r="AB5952" s="35" t="s">
        <v>42</v>
      </c>
      <c r="AC5952" s="35"/>
      <c r="AD5952" s="35"/>
      <c r="AE5952" s="52" t="s">
        <v>9152</v>
      </c>
    </row>
    <row r="5953" spans="2:31" s="1" customFormat="1" ht="96.3" customHeight="1" outlineLevel="4">
      <c r="B5953" s="59">
        <v>4876</v>
      </c>
      <c r="C5953" s="35" t="s">
        <v>21242</v>
      </c>
      <c r="D5953" s="73" t="s">
        <v>21243</v>
      </c>
      <c r="E5953" s="73"/>
      <c r="F5953" s="73"/>
      <c r="G5953" s="73"/>
      <c r="H5953" s="36" t="s">
        <v>21244</v>
      </c>
      <c r="I5953" s="56" t="s">
        <v>36</v>
      </c>
      <c r="J5953" s="36"/>
      <c r="K5953" s="34">
        <v>20</v>
      </c>
      <c r="L5953" s="41">
        <v>15.840000000000002</v>
      </c>
      <c r="M5953" s="11"/>
      <c r="N5953" s="36">
        <f t="shared" si="346"/>
        <v>0</v>
      </c>
      <c r="O5953" s="42">
        <f>0.008*M5953</f>
        <v>0</v>
      </c>
      <c r="P5953" s="43">
        <f>0.00003*M5953</f>
        <v>0</v>
      </c>
      <c r="Q5953" s="50" t="s">
        <v>37</v>
      </c>
      <c r="R5953" s="36" t="s">
        <v>21245</v>
      </c>
      <c r="S5953" s="36"/>
      <c r="T5953" s="35" t="str">
        <f>HYPERLINK("https://miland.ru/api/getInfo/image/b53338f2-76ba-11f0-a284-00155d82e908")</f>
        <v>https://miland.ru/api/getInfo/image/b53338f2-76ba-11f0-a284-00155d82e908</v>
      </c>
      <c r="U5953" s="35"/>
      <c r="V5953" s="35" t="s">
        <v>9009</v>
      </c>
      <c r="W5953" s="35" t="s">
        <v>9010</v>
      </c>
      <c r="X5953" s="35"/>
      <c r="Y5953" s="35" t="s">
        <v>41</v>
      </c>
      <c r="Z5953" s="35"/>
      <c r="AA5953" s="35" t="str">
        <f>HYPERLINK("https://miland.ru/api/getInfo/item/b53338f2-76ba-11f0-a284-00155d82e908")</f>
        <v>https://miland.ru/api/getInfo/item/b53338f2-76ba-11f0-a284-00155d82e908</v>
      </c>
      <c r="AB5953" s="35" t="s">
        <v>42</v>
      </c>
      <c r="AC5953" s="35"/>
      <c r="AD5953" s="35"/>
      <c r="AE5953" s="52" t="s">
        <v>9152</v>
      </c>
    </row>
    <row r="5954" spans="2:31" s="1" customFormat="1" ht="96.3" customHeight="1" outlineLevel="4">
      <c r="B5954" s="59">
        <v>4877</v>
      </c>
      <c r="C5954" s="35" t="s">
        <v>21246</v>
      </c>
      <c r="D5954" s="73" t="s">
        <v>21247</v>
      </c>
      <c r="E5954" s="73"/>
      <c r="F5954" s="73"/>
      <c r="G5954" s="73"/>
      <c r="H5954" s="36" t="s">
        <v>21248</v>
      </c>
      <c r="I5954" s="56" t="s">
        <v>36</v>
      </c>
      <c r="J5954" s="36"/>
      <c r="K5954" s="34">
        <v>20</v>
      </c>
      <c r="L5954" s="41">
        <v>15.840000000000002</v>
      </c>
      <c r="M5954" s="11"/>
      <c r="N5954" s="36">
        <f t="shared" si="346"/>
        <v>0</v>
      </c>
      <c r="O5954" s="42">
        <f>0.008*M5954</f>
        <v>0</v>
      </c>
      <c r="P5954" s="43">
        <f>0.00003*M5954</f>
        <v>0</v>
      </c>
      <c r="Q5954" s="50" t="s">
        <v>37</v>
      </c>
      <c r="R5954" s="36" t="s">
        <v>21249</v>
      </c>
      <c r="S5954" s="36"/>
      <c r="T5954" s="35" t="str">
        <f>HYPERLINK("https://miland.ru/api/getInfo/image/2a2d00bf-7739-11f0-a284-00155d82e908")</f>
        <v>https://miland.ru/api/getInfo/image/2a2d00bf-7739-11f0-a284-00155d82e908</v>
      </c>
      <c r="U5954" s="35"/>
      <c r="V5954" s="35" t="s">
        <v>9009</v>
      </c>
      <c r="W5954" s="35" t="s">
        <v>9010</v>
      </c>
      <c r="X5954" s="35"/>
      <c r="Y5954" s="35" t="s">
        <v>41</v>
      </c>
      <c r="Z5954" s="35"/>
      <c r="AA5954" s="35" t="str">
        <f>HYPERLINK("https://miland.ru/api/getInfo/item/2a2d00bf-7739-11f0-a284-00155d82e908")</f>
        <v>https://miland.ru/api/getInfo/item/2a2d00bf-7739-11f0-a284-00155d82e908</v>
      </c>
      <c r="AB5954" s="35" t="s">
        <v>42</v>
      </c>
      <c r="AC5954" s="35"/>
      <c r="AD5954" s="35"/>
      <c r="AE5954" s="52" t="s">
        <v>9152</v>
      </c>
    </row>
    <row r="5955" spans="2:31" s="1" customFormat="1" ht="96.3" customHeight="1" outlineLevel="4">
      <c r="B5955" s="59">
        <v>4878</v>
      </c>
      <c r="C5955" s="35" t="s">
        <v>21250</v>
      </c>
      <c r="D5955" s="73" t="s">
        <v>21251</v>
      </c>
      <c r="E5955" s="73"/>
      <c r="F5955" s="73"/>
      <c r="G5955" s="73"/>
      <c r="H5955" s="36" t="s">
        <v>21252</v>
      </c>
      <c r="I5955" s="56" t="s">
        <v>36</v>
      </c>
      <c r="J5955" s="36"/>
      <c r="K5955" s="34">
        <v>20</v>
      </c>
      <c r="L5955" s="41">
        <v>15.840000000000002</v>
      </c>
      <c r="M5955" s="11"/>
      <c r="N5955" s="36">
        <f t="shared" si="346"/>
        <v>0</v>
      </c>
      <c r="O5955" s="47">
        <f>0.01*M5955</f>
        <v>0</v>
      </c>
      <c r="P5955" s="43">
        <f>0.00004*M5955</f>
        <v>0</v>
      </c>
      <c r="Q5955" s="50" t="s">
        <v>37</v>
      </c>
      <c r="R5955" s="36" t="s">
        <v>21253</v>
      </c>
      <c r="S5955" s="36"/>
      <c r="T5955" s="35" t="str">
        <f>HYPERLINK("https://miland.ru/api/getInfo/image/7939b3ac-76b8-11f0-a284-00155d82e908")</f>
        <v>https://miland.ru/api/getInfo/image/7939b3ac-76b8-11f0-a284-00155d82e908</v>
      </c>
      <c r="U5955" s="35"/>
      <c r="V5955" s="35" t="s">
        <v>9009</v>
      </c>
      <c r="W5955" s="35" t="s">
        <v>9010</v>
      </c>
      <c r="X5955" s="35"/>
      <c r="Y5955" s="35" t="s">
        <v>41</v>
      </c>
      <c r="Z5955" s="35"/>
      <c r="AA5955" s="35" t="str">
        <f>HYPERLINK("https://miland.ru/api/getInfo/item/7939b3ac-76b8-11f0-a284-00155d82e908")</f>
        <v>https://miland.ru/api/getInfo/item/7939b3ac-76b8-11f0-a284-00155d82e908</v>
      </c>
      <c r="AB5955" s="35" t="s">
        <v>42</v>
      </c>
      <c r="AC5955" s="35"/>
      <c r="AD5955" s="35"/>
      <c r="AE5955" s="52" t="s">
        <v>9152</v>
      </c>
    </row>
    <row r="5956" spans="2:31" s="1" customFormat="1" ht="96.3" customHeight="1" outlineLevel="4">
      <c r="B5956" s="59">
        <v>4879</v>
      </c>
      <c r="C5956" s="35" t="s">
        <v>21254</v>
      </c>
      <c r="D5956" s="73" t="s">
        <v>21255</v>
      </c>
      <c r="E5956" s="73"/>
      <c r="F5956" s="73"/>
      <c r="G5956" s="73"/>
      <c r="H5956" s="36" t="s">
        <v>21256</v>
      </c>
      <c r="I5956" s="56" t="s">
        <v>36</v>
      </c>
      <c r="J5956" s="36"/>
      <c r="K5956" s="34">
        <v>20</v>
      </c>
      <c r="L5956" s="41">
        <v>15.840000000000002</v>
      </c>
      <c r="M5956" s="11"/>
      <c r="N5956" s="36">
        <f t="shared" si="346"/>
        <v>0</v>
      </c>
      <c r="O5956" s="42">
        <f>0.008*M5956</f>
        <v>0</v>
      </c>
      <c r="P5956" s="43">
        <f>0.00003*M5956</f>
        <v>0</v>
      </c>
      <c r="Q5956" s="50" t="s">
        <v>37</v>
      </c>
      <c r="R5956" s="36" t="s">
        <v>21257</v>
      </c>
      <c r="S5956" s="36"/>
      <c r="T5956" s="35" t="str">
        <f>HYPERLINK("https://miland.ru/api/getInfo/image/689dbbaf-7739-11f0-a284-00155d82e908")</f>
        <v>https://miland.ru/api/getInfo/image/689dbbaf-7739-11f0-a284-00155d82e908</v>
      </c>
      <c r="U5956" s="35"/>
      <c r="V5956" s="35" t="s">
        <v>9009</v>
      </c>
      <c r="W5956" s="35" t="s">
        <v>9010</v>
      </c>
      <c r="X5956" s="35"/>
      <c r="Y5956" s="35" t="s">
        <v>41</v>
      </c>
      <c r="Z5956" s="35"/>
      <c r="AA5956" s="35" t="str">
        <f>HYPERLINK("https://miland.ru/api/getInfo/item/689dbbaf-7739-11f0-a284-00155d82e908")</f>
        <v>https://miland.ru/api/getInfo/item/689dbbaf-7739-11f0-a284-00155d82e908</v>
      </c>
      <c r="AB5956" s="35" t="s">
        <v>42</v>
      </c>
      <c r="AC5956" s="35"/>
      <c r="AD5956" s="35"/>
      <c r="AE5956" s="52" t="s">
        <v>9152</v>
      </c>
    </row>
    <row r="5957" spans="2:31" s="1" customFormat="1" ht="96.3" customHeight="1" outlineLevel="4">
      <c r="B5957" s="59">
        <v>4880</v>
      </c>
      <c r="C5957" s="35" t="s">
        <v>21258</v>
      </c>
      <c r="D5957" s="73" t="s">
        <v>21259</v>
      </c>
      <c r="E5957" s="73"/>
      <c r="F5957" s="73"/>
      <c r="G5957" s="73"/>
      <c r="H5957" s="36" t="s">
        <v>21260</v>
      </c>
      <c r="I5957" s="56" t="s">
        <v>36</v>
      </c>
      <c r="J5957" s="36"/>
      <c r="K5957" s="34">
        <v>20</v>
      </c>
      <c r="L5957" s="41">
        <v>15.840000000000002</v>
      </c>
      <c r="M5957" s="11"/>
      <c r="N5957" s="36">
        <f t="shared" si="346"/>
        <v>0</v>
      </c>
      <c r="O5957" s="47">
        <f>0.01*M5957</f>
        <v>0</v>
      </c>
      <c r="P5957" s="43">
        <f>0.00004*M5957</f>
        <v>0</v>
      </c>
      <c r="Q5957" s="50" t="s">
        <v>37</v>
      </c>
      <c r="R5957" s="36" t="s">
        <v>21261</v>
      </c>
      <c r="S5957" s="36"/>
      <c r="T5957" s="35" t="str">
        <f>HYPERLINK("https://miland.ru/api/getInfo/image/2ba441d8-76bb-11f0-a284-00155d82e908")</f>
        <v>https://miland.ru/api/getInfo/image/2ba441d8-76bb-11f0-a284-00155d82e908</v>
      </c>
      <c r="U5957" s="35"/>
      <c r="V5957" s="35" t="s">
        <v>9009</v>
      </c>
      <c r="W5957" s="35" t="s">
        <v>9010</v>
      </c>
      <c r="X5957" s="35"/>
      <c r="Y5957" s="35" t="s">
        <v>41</v>
      </c>
      <c r="Z5957" s="35"/>
      <c r="AA5957" s="35" t="str">
        <f>HYPERLINK("https://miland.ru/api/getInfo/item/2ba441d8-76bb-11f0-a284-00155d82e908")</f>
        <v>https://miland.ru/api/getInfo/item/2ba441d8-76bb-11f0-a284-00155d82e908</v>
      </c>
      <c r="AB5957" s="35" t="s">
        <v>42</v>
      </c>
      <c r="AC5957" s="35"/>
      <c r="AD5957" s="35"/>
      <c r="AE5957" s="52" t="s">
        <v>9152</v>
      </c>
    </row>
    <row r="5958" spans="2:31" s="1" customFormat="1" ht="96.3" customHeight="1" outlineLevel="4">
      <c r="B5958" s="58">
        <v>4881</v>
      </c>
      <c r="C5958" s="7" t="s">
        <v>21262</v>
      </c>
      <c r="D5958" s="71" t="s">
        <v>21263</v>
      </c>
      <c r="E5958" s="71"/>
      <c r="F5958" s="71"/>
      <c r="G5958" s="71"/>
      <c r="H5958" s="8" t="s">
        <v>21264</v>
      </c>
      <c r="I5958" s="14">
        <v>140</v>
      </c>
      <c r="J5958" s="8"/>
      <c r="K5958" s="6">
        <v>20</v>
      </c>
      <c r="L5958" s="10">
        <v>19.8</v>
      </c>
      <c r="M5958" s="11"/>
      <c r="N5958" s="8">
        <f t="shared" si="346"/>
        <v>0</v>
      </c>
      <c r="O5958" s="18">
        <f>0.01*M5958</f>
        <v>0</v>
      </c>
      <c r="P5958" s="13">
        <f>0.00004*M5958</f>
        <v>0</v>
      </c>
      <c r="Q5958" s="17" t="s">
        <v>37</v>
      </c>
      <c r="R5958" s="8" t="s">
        <v>21265</v>
      </c>
      <c r="S5958" s="8"/>
      <c r="T5958" s="7" t="str">
        <f>HYPERLINK("https://miland.ru/api/getInfo/image/4fe78d0c-7739-11f0-a284-00155d82e908")</f>
        <v>https://miland.ru/api/getInfo/image/4fe78d0c-7739-11f0-a284-00155d82e908</v>
      </c>
      <c r="U5958" s="7"/>
      <c r="V5958" s="7" t="s">
        <v>9009</v>
      </c>
      <c r="W5958" s="7" t="s">
        <v>9010</v>
      </c>
      <c r="X5958" s="7"/>
      <c r="Y5958" s="7" t="s">
        <v>41</v>
      </c>
      <c r="Z5958" s="7"/>
      <c r="AA5958" s="7" t="str">
        <f>HYPERLINK("https://miland.ru/api/getInfo/item/4fe78d0c-7739-11f0-a284-00155d82e908")</f>
        <v>https://miland.ru/api/getInfo/item/4fe78d0c-7739-11f0-a284-00155d82e908</v>
      </c>
      <c r="AB5958" s="7" t="s">
        <v>42</v>
      </c>
      <c r="AC5958" s="7"/>
      <c r="AD5958" s="7"/>
      <c r="AE5958" s="54"/>
    </row>
    <row r="5959" spans="2:31" s="1" customFormat="1" ht="96.3" customHeight="1" outlineLevel="4">
      <c r="B5959" s="59">
        <v>4882</v>
      </c>
      <c r="C5959" s="35" t="s">
        <v>21266</v>
      </c>
      <c r="D5959" s="73" t="s">
        <v>21267</v>
      </c>
      <c r="E5959" s="73"/>
      <c r="F5959" s="73"/>
      <c r="G5959" s="73"/>
      <c r="H5959" s="36" t="s">
        <v>21268</v>
      </c>
      <c r="I5959" s="56" t="s">
        <v>36</v>
      </c>
      <c r="J5959" s="36"/>
      <c r="K5959" s="34">
        <v>20</v>
      </c>
      <c r="L5959" s="41">
        <v>15.840000000000002</v>
      </c>
      <c r="M5959" s="11"/>
      <c r="N5959" s="36">
        <f t="shared" si="346"/>
        <v>0</v>
      </c>
      <c r="O5959" s="47">
        <f>0.01*M5959</f>
        <v>0</v>
      </c>
      <c r="P5959" s="43">
        <f>0.00004*M5959</f>
        <v>0</v>
      </c>
      <c r="Q5959" s="50" t="s">
        <v>37</v>
      </c>
      <c r="R5959" s="36" t="s">
        <v>21269</v>
      </c>
      <c r="S5959" s="36"/>
      <c r="T5959" s="35" t="str">
        <f>HYPERLINK("https://miland.ru/api/getInfo/image/aac85f49-7739-11f0-a284-00155d82e908")</f>
        <v>https://miland.ru/api/getInfo/image/aac85f49-7739-11f0-a284-00155d82e908</v>
      </c>
      <c r="U5959" s="35"/>
      <c r="V5959" s="35" t="s">
        <v>9009</v>
      </c>
      <c r="W5959" s="35" t="s">
        <v>9010</v>
      </c>
      <c r="X5959" s="35"/>
      <c r="Y5959" s="35" t="s">
        <v>41</v>
      </c>
      <c r="Z5959" s="35"/>
      <c r="AA5959" s="35" t="str">
        <f>HYPERLINK("https://miland.ru/api/getInfo/item/aac85f49-7739-11f0-a284-00155d82e908")</f>
        <v>https://miland.ru/api/getInfo/item/aac85f49-7739-11f0-a284-00155d82e908</v>
      </c>
      <c r="AB5959" s="35" t="s">
        <v>42</v>
      </c>
      <c r="AC5959" s="35"/>
      <c r="AD5959" s="35"/>
      <c r="AE5959" s="52" t="s">
        <v>9152</v>
      </c>
    </row>
    <row r="5960" spans="2:31" s="1" customFormat="1" ht="96.3" customHeight="1" outlineLevel="4">
      <c r="B5960" s="59">
        <v>4883</v>
      </c>
      <c r="C5960" s="35" t="s">
        <v>21270</v>
      </c>
      <c r="D5960" s="73" t="s">
        <v>21271</v>
      </c>
      <c r="E5960" s="73"/>
      <c r="F5960" s="73"/>
      <c r="G5960" s="73"/>
      <c r="H5960" s="36" t="s">
        <v>21272</v>
      </c>
      <c r="I5960" s="56" t="s">
        <v>36</v>
      </c>
      <c r="J5960" s="36"/>
      <c r="K5960" s="34">
        <v>20</v>
      </c>
      <c r="L5960" s="41">
        <v>15.840000000000002</v>
      </c>
      <c r="M5960" s="11"/>
      <c r="N5960" s="36">
        <f t="shared" si="346"/>
        <v>0</v>
      </c>
      <c r="O5960" s="42">
        <f>0.008*M5960</f>
        <v>0</v>
      </c>
      <c r="P5960" s="43">
        <f>0.00003*M5960</f>
        <v>0</v>
      </c>
      <c r="Q5960" s="50" t="s">
        <v>37</v>
      </c>
      <c r="R5960" s="36" t="s">
        <v>21273</v>
      </c>
      <c r="S5960" s="36"/>
      <c r="T5960" s="35" t="str">
        <f>HYPERLINK("https://miland.ru/api/getInfo/image/66d0d15c-76b9-11f0-a284-00155d82e908")</f>
        <v>https://miland.ru/api/getInfo/image/66d0d15c-76b9-11f0-a284-00155d82e908</v>
      </c>
      <c r="U5960" s="35"/>
      <c r="V5960" s="35" t="s">
        <v>9009</v>
      </c>
      <c r="W5960" s="35" t="s">
        <v>9010</v>
      </c>
      <c r="X5960" s="35"/>
      <c r="Y5960" s="35" t="s">
        <v>41</v>
      </c>
      <c r="Z5960" s="35"/>
      <c r="AA5960" s="35" t="str">
        <f>HYPERLINK("https://miland.ru/api/getInfo/item/66d0d15c-76b9-11f0-a284-00155d82e908")</f>
        <v>https://miland.ru/api/getInfo/item/66d0d15c-76b9-11f0-a284-00155d82e908</v>
      </c>
      <c r="AB5960" s="35" t="s">
        <v>42</v>
      </c>
      <c r="AC5960" s="35"/>
      <c r="AD5960" s="35"/>
      <c r="AE5960" s="52" t="s">
        <v>9152</v>
      </c>
    </row>
    <row r="5961" spans="2:31" ht="12" customHeight="1" outlineLevel="3">
      <c r="B5961" s="70" t="s">
        <v>21274</v>
      </c>
      <c r="C5961" s="70"/>
      <c r="D5961" s="70"/>
      <c r="E5961" s="70"/>
      <c r="F5961" s="70"/>
      <c r="G5961" s="70"/>
    </row>
    <row r="5962" spans="2:31" ht="12" customHeight="1" outlineLevel="4">
      <c r="B5962" s="70" t="s">
        <v>21275</v>
      </c>
      <c r="C5962" s="70"/>
      <c r="D5962" s="70"/>
      <c r="E5962" s="70"/>
      <c r="F5962" s="70"/>
      <c r="G5962" s="70"/>
    </row>
    <row r="5963" spans="2:31" s="1" customFormat="1" ht="96.3" customHeight="1" outlineLevel="5">
      <c r="B5963" s="57">
        <v>4884</v>
      </c>
      <c r="C5963" s="21" t="s">
        <v>21276</v>
      </c>
      <c r="D5963" s="72" t="s">
        <v>21277</v>
      </c>
      <c r="E5963" s="72"/>
      <c r="F5963" s="72"/>
      <c r="G5963" s="72"/>
      <c r="H5963" s="22" t="s">
        <v>21278</v>
      </c>
      <c r="I5963" s="27">
        <v>20</v>
      </c>
      <c r="J5963" s="22"/>
      <c r="K5963" s="20">
        <v>20</v>
      </c>
      <c r="L5963" s="24">
        <v>26.4</v>
      </c>
      <c r="M5963" s="11"/>
      <c r="N5963" s="22">
        <f t="shared" ref="N5963:N5978" si="347">L5963*M5963</f>
        <v>0</v>
      </c>
      <c r="O5963" s="25">
        <f>12.488*M5963</f>
        <v>0</v>
      </c>
      <c r="P5963" s="26">
        <f>0.04165*M5963</f>
        <v>0</v>
      </c>
      <c r="Q5963" s="30"/>
      <c r="R5963" s="22" t="s">
        <v>21279</v>
      </c>
      <c r="S5963" s="22" t="s">
        <v>435</v>
      </c>
      <c r="T5963" s="21" t="str">
        <f>HYPERLINK("https://miland.ru/api/getInfo/image/af11f83b-5a18-11ef-a262-00155d82e908")</f>
        <v>https://miland.ru/api/getInfo/image/af11f83b-5a18-11ef-a262-00155d82e908</v>
      </c>
      <c r="U5963" s="21"/>
      <c r="V5963" s="21" t="s">
        <v>9009</v>
      </c>
      <c r="W5963" s="21" t="s">
        <v>9010</v>
      </c>
      <c r="X5963" s="21"/>
      <c r="Y5963" s="21" t="s">
        <v>41</v>
      </c>
      <c r="Z5963" s="21"/>
      <c r="AA5963" s="21" t="str">
        <f>HYPERLINK("https://miland.ru/api/getInfo/item/af11f83b-5a18-11ef-a262-00155d82e908")</f>
        <v>https://miland.ru/api/getInfo/item/af11f83b-5a18-11ef-a262-00155d82e908</v>
      </c>
      <c r="AB5963" s="21" t="s">
        <v>42</v>
      </c>
      <c r="AC5963" s="21" t="s">
        <v>1698</v>
      </c>
      <c r="AD5963" s="21"/>
    </row>
    <row r="5964" spans="2:31" s="1" customFormat="1" ht="96.3" customHeight="1" outlineLevel="5">
      <c r="B5964" s="57">
        <v>4885</v>
      </c>
      <c r="C5964" s="21" t="s">
        <v>21280</v>
      </c>
      <c r="D5964" s="72" t="s">
        <v>21281</v>
      </c>
      <c r="E5964" s="72"/>
      <c r="F5964" s="72"/>
      <c r="G5964" s="72"/>
      <c r="H5964" s="22" t="s">
        <v>21282</v>
      </c>
      <c r="I5964" s="23" t="s">
        <v>36</v>
      </c>
      <c r="J5964" s="22"/>
      <c r="K5964" s="20">
        <v>20</v>
      </c>
      <c r="L5964" s="24">
        <v>26.4</v>
      </c>
      <c r="M5964" s="11"/>
      <c r="N5964" s="22">
        <f t="shared" si="347"/>
        <v>0</v>
      </c>
      <c r="O5964" s="25">
        <f>0.015*M5964</f>
        <v>0</v>
      </c>
      <c r="P5964" s="26">
        <f>0.00013*M5964</f>
        <v>0</v>
      </c>
      <c r="Q5964" s="30"/>
      <c r="R5964" s="22" t="s">
        <v>21283</v>
      </c>
      <c r="S5964" s="22" t="s">
        <v>435</v>
      </c>
      <c r="T5964" s="21" t="str">
        <f>HYPERLINK("https://miland.ru/api/getInfo/image/d26791ee-5a18-11ef-a262-00155d82e908")</f>
        <v>https://miland.ru/api/getInfo/image/d26791ee-5a18-11ef-a262-00155d82e908</v>
      </c>
      <c r="U5964" s="21"/>
      <c r="V5964" s="21" t="s">
        <v>9009</v>
      </c>
      <c r="W5964" s="21" t="s">
        <v>9010</v>
      </c>
      <c r="X5964" s="21"/>
      <c r="Y5964" s="21" t="s">
        <v>41</v>
      </c>
      <c r="Z5964" s="21"/>
      <c r="AA5964" s="21" t="str">
        <f>HYPERLINK("https://miland.ru/api/getInfo/item/d26791ee-5a18-11ef-a262-00155d82e908")</f>
        <v>https://miland.ru/api/getInfo/item/d26791ee-5a18-11ef-a262-00155d82e908</v>
      </c>
      <c r="AB5964" s="21" t="s">
        <v>42</v>
      </c>
      <c r="AC5964" s="21" t="s">
        <v>1698</v>
      </c>
      <c r="AD5964" s="21"/>
    </row>
    <row r="5965" spans="2:31" s="1" customFormat="1" ht="96.3" customHeight="1" outlineLevel="5">
      <c r="B5965" s="57">
        <v>4886</v>
      </c>
      <c r="C5965" s="21" t="s">
        <v>21284</v>
      </c>
      <c r="D5965" s="72" t="s">
        <v>21285</v>
      </c>
      <c r="E5965" s="72"/>
      <c r="F5965" s="72"/>
      <c r="G5965" s="72"/>
      <c r="H5965" s="22" t="s">
        <v>21286</v>
      </c>
      <c r="I5965" s="23" t="s">
        <v>36</v>
      </c>
      <c r="J5965" s="22"/>
      <c r="K5965" s="20">
        <v>20</v>
      </c>
      <c r="L5965" s="24">
        <v>26.4</v>
      </c>
      <c r="M5965" s="11"/>
      <c r="N5965" s="22">
        <f t="shared" si="347"/>
        <v>0</v>
      </c>
      <c r="O5965" s="25">
        <f>0.011*M5965</f>
        <v>0</v>
      </c>
      <c r="P5965" s="26">
        <f>0.00008*M5965</f>
        <v>0</v>
      </c>
      <c r="Q5965" s="30"/>
      <c r="R5965" s="22" t="s">
        <v>21287</v>
      </c>
      <c r="S5965" s="22" t="s">
        <v>435</v>
      </c>
      <c r="T5965" s="21" t="str">
        <f>HYPERLINK("https://miland.ru/api/getInfo/image/1acbd889-5a19-11ef-a262-00155d82e908")</f>
        <v>https://miland.ru/api/getInfo/image/1acbd889-5a19-11ef-a262-00155d82e908</v>
      </c>
      <c r="U5965" s="21"/>
      <c r="V5965" s="21" t="s">
        <v>9009</v>
      </c>
      <c r="W5965" s="21" t="s">
        <v>9010</v>
      </c>
      <c r="X5965" s="21"/>
      <c r="Y5965" s="21" t="s">
        <v>41</v>
      </c>
      <c r="Z5965" s="21"/>
      <c r="AA5965" s="21" t="str">
        <f>HYPERLINK("https://miland.ru/api/getInfo/item/1acbd889-5a19-11ef-a262-00155d82e908")</f>
        <v>https://miland.ru/api/getInfo/item/1acbd889-5a19-11ef-a262-00155d82e908</v>
      </c>
      <c r="AB5965" s="21" t="s">
        <v>42</v>
      </c>
      <c r="AC5965" s="21" t="s">
        <v>1698</v>
      </c>
      <c r="AD5965" s="21"/>
    </row>
    <row r="5966" spans="2:31" s="1" customFormat="1" ht="96.3" customHeight="1" outlineLevel="5">
      <c r="B5966" s="57">
        <v>4887</v>
      </c>
      <c r="C5966" s="21" t="s">
        <v>21288</v>
      </c>
      <c r="D5966" s="72" t="s">
        <v>21289</v>
      </c>
      <c r="E5966" s="72"/>
      <c r="F5966" s="72"/>
      <c r="G5966" s="72"/>
      <c r="H5966" s="22" t="s">
        <v>21290</v>
      </c>
      <c r="I5966" s="23" t="s">
        <v>36</v>
      </c>
      <c r="J5966" s="22"/>
      <c r="K5966" s="20">
        <v>20</v>
      </c>
      <c r="L5966" s="24">
        <v>26.4</v>
      </c>
      <c r="M5966" s="11"/>
      <c r="N5966" s="22">
        <f t="shared" si="347"/>
        <v>0</v>
      </c>
      <c r="O5966" s="25">
        <f>0.011*M5966</f>
        <v>0</v>
      </c>
      <c r="P5966" s="26">
        <f>0.00007*M5966</f>
        <v>0</v>
      </c>
      <c r="Q5966" s="30"/>
      <c r="R5966" s="22" t="s">
        <v>21291</v>
      </c>
      <c r="S5966" s="22" t="s">
        <v>435</v>
      </c>
      <c r="T5966" s="21" t="str">
        <f>HYPERLINK("https://miland.ru/api/getInfo/image/58cf9e68-5a18-11ef-a262-00155d82e908")</f>
        <v>https://miland.ru/api/getInfo/image/58cf9e68-5a18-11ef-a262-00155d82e908</v>
      </c>
      <c r="U5966" s="21"/>
      <c r="V5966" s="21" t="s">
        <v>9009</v>
      </c>
      <c r="W5966" s="21" t="s">
        <v>9010</v>
      </c>
      <c r="X5966" s="21"/>
      <c r="Y5966" s="21" t="s">
        <v>41</v>
      </c>
      <c r="Z5966" s="21"/>
      <c r="AA5966" s="21" t="str">
        <f>HYPERLINK("https://miland.ru/api/getInfo/item/58cf9e68-5a18-11ef-a262-00155d82e908")</f>
        <v>https://miland.ru/api/getInfo/item/58cf9e68-5a18-11ef-a262-00155d82e908</v>
      </c>
      <c r="AB5966" s="21" t="s">
        <v>42</v>
      </c>
      <c r="AC5966" s="21" t="s">
        <v>1698</v>
      </c>
      <c r="AD5966" s="21"/>
    </row>
    <row r="5967" spans="2:31" s="1" customFormat="1" ht="96.3" customHeight="1" outlineLevel="5">
      <c r="B5967" s="59">
        <v>4888</v>
      </c>
      <c r="C5967" s="35" t="s">
        <v>21292</v>
      </c>
      <c r="D5967" s="73" t="s">
        <v>21293</v>
      </c>
      <c r="E5967" s="73"/>
      <c r="F5967" s="73"/>
      <c r="G5967" s="73"/>
      <c r="H5967" s="36" t="s">
        <v>21294</v>
      </c>
      <c r="I5967" s="56" t="s">
        <v>36</v>
      </c>
      <c r="J5967" s="36"/>
      <c r="K5967" s="34">
        <v>20</v>
      </c>
      <c r="L5967" s="41">
        <v>21.12</v>
      </c>
      <c r="M5967" s="11"/>
      <c r="N5967" s="36">
        <f t="shared" si="347"/>
        <v>0</v>
      </c>
      <c r="O5967" s="47">
        <f>0.01*M5967</f>
        <v>0</v>
      </c>
      <c r="P5967" s="43">
        <f>0.00004*M5967</f>
        <v>0</v>
      </c>
      <c r="Q5967" s="50" t="s">
        <v>37</v>
      </c>
      <c r="R5967" s="36" t="s">
        <v>21295</v>
      </c>
      <c r="S5967" s="36"/>
      <c r="T5967" s="35" t="str">
        <f>HYPERLINK("https://miland.ru/api/getInfo/image/ff0a72a9-62d9-11f0-a281-00155d82e908")</f>
        <v>https://miland.ru/api/getInfo/image/ff0a72a9-62d9-11f0-a281-00155d82e908</v>
      </c>
      <c r="U5967" s="35"/>
      <c r="V5967" s="35" t="s">
        <v>9009</v>
      </c>
      <c r="W5967" s="35" t="s">
        <v>9010</v>
      </c>
      <c r="X5967" s="35"/>
      <c r="Y5967" s="35" t="s">
        <v>41</v>
      </c>
      <c r="Z5967" s="35"/>
      <c r="AA5967" s="35" t="str">
        <f>HYPERLINK("https://miland.ru/api/getInfo/item/ff0a72a9-62d9-11f0-a281-00155d82e908")</f>
        <v>https://miland.ru/api/getInfo/item/ff0a72a9-62d9-11f0-a281-00155d82e908</v>
      </c>
      <c r="AB5967" s="35" t="s">
        <v>42</v>
      </c>
      <c r="AC5967" s="35"/>
      <c r="AD5967" s="35"/>
      <c r="AE5967" s="52" t="s">
        <v>9152</v>
      </c>
    </row>
    <row r="5968" spans="2:31" s="1" customFormat="1" ht="96.3" customHeight="1" outlineLevel="5">
      <c r="B5968" s="59">
        <v>4889</v>
      </c>
      <c r="C5968" s="35" t="s">
        <v>21296</v>
      </c>
      <c r="D5968" s="73" t="s">
        <v>21297</v>
      </c>
      <c r="E5968" s="73"/>
      <c r="F5968" s="73"/>
      <c r="G5968" s="73"/>
      <c r="H5968" s="36" t="s">
        <v>21298</v>
      </c>
      <c r="I5968" s="56" t="s">
        <v>36</v>
      </c>
      <c r="J5968" s="36"/>
      <c r="K5968" s="34">
        <v>20</v>
      </c>
      <c r="L5968" s="41">
        <v>21.12</v>
      </c>
      <c r="M5968" s="11"/>
      <c r="N5968" s="36">
        <f t="shared" si="347"/>
        <v>0</v>
      </c>
      <c r="O5968" s="47">
        <f>0.01*M5968</f>
        <v>0</v>
      </c>
      <c r="P5968" s="43">
        <f>0.00004*M5968</f>
        <v>0</v>
      </c>
      <c r="Q5968" s="50" t="s">
        <v>37</v>
      </c>
      <c r="R5968" s="36" t="s">
        <v>21299</v>
      </c>
      <c r="S5968" s="36"/>
      <c r="T5968" s="35" t="str">
        <f>HYPERLINK("https://miland.ru/api/getInfo/image/ae398bb4-62d5-11f0-a281-00155d82e908")</f>
        <v>https://miland.ru/api/getInfo/image/ae398bb4-62d5-11f0-a281-00155d82e908</v>
      </c>
      <c r="U5968" s="35"/>
      <c r="V5968" s="35" t="s">
        <v>9009</v>
      </c>
      <c r="W5968" s="35" t="s">
        <v>9010</v>
      </c>
      <c r="X5968" s="35"/>
      <c r="Y5968" s="35" t="s">
        <v>41</v>
      </c>
      <c r="Z5968" s="35"/>
      <c r="AA5968" s="35" t="str">
        <f>HYPERLINK("https://miland.ru/api/getInfo/item/ae398bb4-62d5-11f0-a281-00155d82e908")</f>
        <v>https://miland.ru/api/getInfo/item/ae398bb4-62d5-11f0-a281-00155d82e908</v>
      </c>
      <c r="AB5968" s="35" t="s">
        <v>42</v>
      </c>
      <c r="AC5968" s="35"/>
      <c r="AD5968" s="35"/>
      <c r="AE5968" s="52" t="s">
        <v>9152</v>
      </c>
    </row>
    <row r="5969" spans="2:31" s="1" customFormat="1" ht="96.3" customHeight="1" outlineLevel="5">
      <c r="B5969" s="59">
        <v>4890</v>
      </c>
      <c r="C5969" s="35" t="s">
        <v>21300</v>
      </c>
      <c r="D5969" s="73" t="s">
        <v>21301</v>
      </c>
      <c r="E5969" s="73"/>
      <c r="F5969" s="73"/>
      <c r="G5969" s="73"/>
      <c r="H5969" s="36" t="s">
        <v>21302</v>
      </c>
      <c r="I5969" s="56" t="s">
        <v>36</v>
      </c>
      <c r="J5969" s="36"/>
      <c r="K5969" s="34">
        <v>20</v>
      </c>
      <c r="L5969" s="41">
        <v>21.12</v>
      </c>
      <c r="M5969" s="11"/>
      <c r="N5969" s="36">
        <f t="shared" si="347"/>
        <v>0</v>
      </c>
      <c r="O5969" s="42">
        <f>0.008*M5969</f>
        <v>0</v>
      </c>
      <c r="P5969" s="43">
        <f>0.00003*M5969</f>
        <v>0</v>
      </c>
      <c r="Q5969" s="50" t="s">
        <v>37</v>
      </c>
      <c r="R5969" s="36" t="s">
        <v>21303</v>
      </c>
      <c r="S5969" s="36"/>
      <c r="T5969" s="35" t="str">
        <f>HYPERLINK("https://miland.ru/api/getInfo/image/ec631200-62d7-11f0-a281-00155d82e908")</f>
        <v>https://miland.ru/api/getInfo/image/ec631200-62d7-11f0-a281-00155d82e908</v>
      </c>
      <c r="U5969" s="35"/>
      <c r="V5969" s="35" t="s">
        <v>9009</v>
      </c>
      <c r="W5969" s="35" t="s">
        <v>9010</v>
      </c>
      <c r="X5969" s="35"/>
      <c r="Y5969" s="35" t="s">
        <v>41</v>
      </c>
      <c r="Z5969" s="35"/>
      <c r="AA5969" s="35" t="str">
        <f>HYPERLINK("https://miland.ru/api/getInfo/item/ec631200-62d7-11f0-a281-00155d82e908")</f>
        <v>https://miland.ru/api/getInfo/item/ec631200-62d7-11f0-a281-00155d82e908</v>
      </c>
      <c r="AB5969" s="35" t="s">
        <v>42</v>
      </c>
      <c r="AC5969" s="35"/>
      <c r="AD5969" s="35"/>
      <c r="AE5969" s="52" t="s">
        <v>9152</v>
      </c>
    </row>
    <row r="5970" spans="2:31" s="1" customFormat="1" ht="96.3" customHeight="1" outlineLevel="5">
      <c r="B5970" s="59">
        <v>4891</v>
      </c>
      <c r="C5970" s="35" t="s">
        <v>21304</v>
      </c>
      <c r="D5970" s="73" t="s">
        <v>21305</v>
      </c>
      <c r="E5970" s="73"/>
      <c r="F5970" s="73"/>
      <c r="G5970" s="73"/>
      <c r="H5970" s="36" t="s">
        <v>21306</v>
      </c>
      <c r="I5970" s="56" t="s">
        <v>36</v>
      </c>
      <c r="J5970" s="36"/>
      <c r="K5970" s="34">
        <v>20</v>
      </c>
      <c r="L5970" s="41">
        <v>21.12</v>
      </c>
      <c r="M5970" s="11"/>
      <c r="N5970" s="36">
        <f t="shared" si="347"/>
        <v>0</v>
      </c>
      <c r="O5970" s="42">
        <f>0.008*M5970</f>
        <v>0</v>
      </c>
      <c r="P5970" s="43">
        <f>0.00003*M5970</f>
        <v>0</v>
      </c>
      <c r="Q5970" s="50" t="s">
        <v>37</v>
      </c>
      <c r="R5970" s="36" t="s">
        <v>21307</v>
      </c>
      <c r="S5970" s="36"/>
      <c r="T5970" s="35" t="str">
        <f>HYPERLINK("https://miland.ru/api/getInfo/image/1fa642a9-62d9-11f0-a281-00155d82e908")</f>
        <v>https://miland.ru/api/getInfo/image/1fa642a9-62d9-11f0-a281-00155d82e908</v>
      </c>
      <c r="U5970" s="35"/>
      <c r="V5970" s="35" t="s">
        <v>9009</v>
      </c>
      <c r="W5970" s="35" t="s">
        <v>9010</v>
      </c>
      <c r="X5970" s="35"/>
      <c r="Y5970" s="35" t="s">
        <v>41</v>
      </c>
      <c r="Z5970" s="35"/>
      <c r="AA5970" s="35" t="str">
        <f>HYPERLINK("https://miland.ru/api/getInfo/item/1fa642a9-62d9-11f0-a281-00155d82e908")</f>
        <v>https://miland.ru/api/getInfo/item/1fa642a9-62d9-11f0-a281-00155d82e908</v>
      </c>
      <c r="AB5970" s="35" t="s">
        <v>42</v>
      </c>
      <c r="AC5970" s="35"/>
      <c r="AD5970" s="35"/>
      <c r="AE5970" s="52" t="s">
        <v>9152</v>
      </c>
    </row>
    <row r="5971" spans="2:31" s="1" customFormat="1" ht="96.3" customHeight="1" outlineLevel="5">
      <c r="B5971" s="59">
        <v>4892</v>
      </c>
      <c r="C5971" s="35" t="s">
        <v>21308</v>
      </c>
      <c r="D5971" s="73" t="s">
        <v>21309</v>
      </c>
      <c r="E5971" s="73"/>
      <c r="F5971" s="73"/>
      <c r="G5971" s="73"/>
      <c r="H5971" s="36" t="s">
        <v>21310</v>
      </c>
      <c r="I5971" s="56" t="s">
        <v>36</v>
      </c>
      <c r="J5971" s="36"/>
      <c r="K5971" s="34">
        <v>20</v>
      </c>
      <c r="L5971" s="41">
        <v>21.12</v>
      </c>
      <c r="M5971" s="11"/>
      <c r="N5971" s="36">
        <f t="shared" si="347"/>
        <v>0</v>
      </c>
      <c r="O5971" s="47">
        <f>0.01*M5971</f>
        <v>0</v>
      </c>
      <c r="P5971" s="43">
        <f>0.00004*M5971</f>
        <v>0</v>
      </c>
      <c r="Q5971" s="50" t="s">
        <v>37</v>
      </c>
      <c r="R5971" s="36" t="s">
        <v>21311</v>
      </c>
      <c r="S5971" s="36"/>
      <c r="T5971" s="35" t="str">
        <f>HYPERLINK("https://miland.ru/api/getInfo/image/aaaa0e58-62d7-11f0-a281-00155d82e908")</f>
        <v>https://miland.ru/api/getInfo/image/aaaa0e58-62d7-11f0-a281-00155d82e908</v>
      </c>
      <c r="U5971" s="35"/>
      <c r="V5971" s="35" t="s">
        <v>9009</v>
      </c>
      <c r="W5971" s="35" t="s">
        <v>9010</v>
      </c>
      <c r="X5971" s="35"/>
      <c r="Y5971" s="35" t="s">
        <v>41</v>
      </c>
      <c r="Z5971" s="35"/>
      <c r="AA5971" s="35" t="str">
        <f>HYPERLINK("https://miland.ru/api/getInfo/item/aaaa0e58-62d7-11f0-a281-00155d82e908")</f>
        <v>https://miland.ru/api/getInfo/item/aaaa0e58-62d7-11f0-a281-00155d82e908</v>
      </c>
      <c r="AB5971" s="35" t="s">
        <v>42</v>
      </c>
      <c r="AC5971" s="35"/>
      <c r="AD5971" s="35"/>
      <c r="AE5971" s="52" t="s">
        <v>9152</v>
      </c>
    </row>
    <row r="5972" spans="2:31" s="1" customFormat="1" ht="96.3" customHeight="1" outlineLevel="5">
      <c r="B5972" s="59">
        <v>4893</v>
      </c>
      <c r="C5972" s="35" t="s">
        <v>21312</v>
      </c>
      <c r="D5972" s="73" t="s">
        <v>21313</v>
      </c>
      <c r="E5972" s="73"/>
      <c r="F5972" s="73"/>
      <c r="G5972" s="73"/>
      <c r="H5972" s="36" t="s">
        <v>21314</v>
      </c>
      <c r="I5972" s="56" t="s">
        <v>36</v>
      </c>
      <c r="J5972" s="36"/>
      <c r="K5972" s="34">
        <v>20</v>
      </c>
      <c r="L5972" s="41">
        <v>21.12</v>
      </c>
      <c r="M5972" s="11"/>
      <c r="N5972" s="36">
        <f t="shared" si="347"/>
        <v>0</v>
      </c>
      <c r="O5972" s="42">
        <f>0.008*M5972</f>
        <v>0</v>
      </c>
      <c r="P5972" s="43">
        <f>0.00003*M5972</f>
        <v>0</v>
      </c>
      <c r="Q5972" s="50" t="s">
        <v>37</v>
      </c>
      <c r="R5972" s="36" t="s">
        <v>21315</v>
      </c>
      <c r="S5972" s="36"/>
      <c r="T5972" s="35" t="str">
        <f>HYPERLINK("https://miland.ru/api/getInfo/image/0e56e92a-62db-11f0-a281-00155d82e908")</f>
        <v>https://miland.ru/api/getInfo/image/0e56e92a-62db-11f0-a281-00155d82e908</v>
      </c>
      <c r="U5972" s="35"/>
      <c r="V5972" s="35" t="s">
        <v>9009</v>
      </c>
      <c r="W5972" s="35" t="s">
        <v>9010</v>
      </c>
      <c r="X5972" s="35"/>
      <c r="Y5972" s="35" t="s">
        <v>41</v>
      </c>
      <c r="Z5972" s="35"/>
      <c r="AA5972" s="35" t="str">
        <f>HYPERLINK("https://miland.ru/api/getInfo/item/0e56e92a-62db-11f0-a281-00155d82e908")</f>
        <v>https://miland.ru/api/getInfo/item/0e56e92a-62db-11f0-a281-00155d82e908</v>
      </c>
      <c r="AB5972" s="35" t="s">
        <v>42</v>
      </c>
      <c r="AC5972" s="35"/>
      <c r="AD5972" s="35"/>
      <c r="AE5972" s="52" t="s">
        <v>9152</v>
      </c>
    </row>
    <row r="5973" spans="2:31" s="1" customFormat="1" ht="96.3" customHeight="1" outlineLevel="5">
      <c r="B5973" s="57">
        <v>4894</v>
      </c>
      <c r="C5973" s="21" t="s">
        <v>21316</v>
      </c>
      <c r="D5973" s="72" t="s">
        <v>21317</v>
      </c>
      <c r="E5973" s="72"/>
      <c r="F5973" s="72"/>
      <c r="G5973" s="72"/>
      <c r="H5973" s="22" t="s">
        <v>21318</v>
      </c>
      <c r="I5973" s="27">
        <v>470</v>
      </c>
      <c r="J5973" s="22"/>
      <c r="K5973" s="20">
        <v>20</v>
      </c>
      <c r="L5973" s="24">
        <v>26.4</v>
      </c>
      <c r="M5973" s="11"/>
      <c r="N5973" s="22">
        <f t="shared" si="347"/>
        <v>0</v>
      </c>
      <c r="O5973" s="25">
        <f>0.018*M5973</f>
        <v>0</v>
      </c>
      <c r="P5973" s="26">
        <f>0.00006*M5973</f>
        <v>0</v>
      </c>
      <c r="Q5973" s="30"/>
      <c r="R5973" s="22" t="s">
        <v>21319</v>
      </c>
      <c r="S5973" s="22" t="s">
        <v>435</v>
      </c>
      <c r="T5973" s="21" t="str">
        <f>HYPERLINK("https://miland.ru/api/getInfo/image/9a8b3966-5a18-11ef-a262-00155d82e908")</f>
        <v>https://miland.ru/api/getInfo/image/9a8b3966-5a18-11ef-a262-00155d82e908</v>
      </c>
      <c r="U5973" s="21"/>
      <c r="V5973" s="21" t="s">
        <v>9009</v>
      </c>
      <c r="W5973" s="21" t="s">
        <v>9010</v>
      </c>
      <c r="X5973" s="21"/>
      <c r="Y5973" s="21" t="s">
        <v>41</v>
      </c>
      <c r="Z5973" s="21"/>
      <c r="AA5973" s="21" t="str">
        <f>HYPERLINK("https://miland.ru/api/getInfo/item/9a8b3966-5a18-11ef-a262-00155d82e908")</f>
        <v>https://miland.ru/api/getInfo/item/9a8b3966-5a18-11ef-a262-00155d82e908</v>
      </c>
      <c r="AB5973" s="21" t="s">
        <v>42</v>
      </c>
      <c r="AC5973" s="21" t="s">
        <v>1698</v>
      </c>
      <c r="AD5973" s="21"/>
    </row>
    <row r="5974" spans="2:31" s="1" customFormat="1" ht="96.3" customHeight="1" outlineLevel="5">
      <c r="B5974" s="59">
        <v>4895</v>
      </c>
      <c r="C5974" s="35" t="s">
        <v>21320</v>
      </c>
      <c r="D5974" s="73" t="s">
        <v>21321</v>
      </c>
      <c r="E5974" s="73"/>
      <c r="F5974" s="73"/>
      <c r="G5974" s="73"/>
      <c r="H5974" s="36" t="s">
        <v>21322</v>
      </c>
      <c r="I5974" s="56" t="s">
        <v>36</v>
      </c>
      <c r="J5974" s="36"/>
      <c r="K5974" s="34">
        <v>20</v>
      </c>
      <c r="L5974" s="41">
        <v>21.12</v>
      </c>
      <c r="M5974" s="11"/>
      <c r="N5974" s="36">
        <f t="shared" si="347"/>
        <v>0</v>
      </c>
      <c r="O5974" s="47">
        <f>0.01*M5974</f>
        <v>0</v>
      </c>
      <c r="P5974" s="43">
        <f>0.00004*M5974</f>
        <v>0</v>
      </c>
      <c r="Q5974" s="50" t="s">
        <v>37</v>
      </c>
      <c r="R5974" s="36" t="s">
        <v>21323</v>
      </c>
      <c r="S5974" s="36"/>
      <c r="T5974" s="35" t="str">
        <f>HYPERLINK("https://miland.ru/api/getInfo/image/627f6cfd-62da-11f0-a281-00155d82e908")</f>
        <v>https://miland.ru/api/getInfo/image/627f6cfd-62da-11f0-a281-00155d82e908</v>
      </c>
      <c r="U5974" s="35"/>
      <c r="V5974" s="35" t="s">
        <v>9009</v>
      </c>
      <c r="W5974" s="35" t="s">
        <v>9010</v>
      </c>
      <c r="X5974" s="35"/>
      <c r="Y5974" s="35" t="s">
        <v>41</v>
      </c>
      <c r="Z5974" s="35"/>
      <c r="AA5974" s="35" t="str">
        <f>HYPERLINK("https://miland.ru/api/getInfo/item/627f6cfd-62da-11f0-a281-00155d82e908")</f>
        <v>https://miland.ru/api/getInfo/item/627f6cfd-62da-11f0-a281-00155d82e908</v>
      </c>
      <c r="AB5974" s="35" t="s">
        <v>42</v>
      </c>
      <c r="AC5974" s="35"/>
      <c r="AD5974" s="35"/>
      <c r="AE5974" s="52" t="s">
        <v>9152</v>
      </c>
    </row>
    <row r="5975" spans="2:31" s="1" customFormat="1" ht="96.3" customHeight="1" outlineLevel="5">
      <c r="B5975" s="59">
        <v>4896</v>
      </c>
      <c r="C5975" s="35" t="s">
        <v>21324</v>
      </c>
      <c r="D5975" s="73" t="s">
        <v>21325</v>
      </c>
      <c r="E5975" s="73"/>
      <c r="F5975" s="73"/>
      <c r="G5975" s="73"/>
      <c r="H5975" s="36" t="s">
        <v>21326</v>
      </c>
      <c r="I5975" s="56" t="s">
        <v>36</v>
      </c>
      <c r="J5975" s="36"/>
      <c r="K5975" s="34">
        <v>20</v>
      </c>
      <c r="L5975" s="41">
        <v>21.12</v>
      </c>
      <c r="M5975" s="11"/>
      <c r="N5975" s="36">
        <f t="shared" si="347"/>
        <v>0</v>
      </c>
      <c r="O5975" s="47">
        <f>0.01*M5975</f>
        <v>0</v>
      </c>
      <c r="P5975" s="43">
        <f>0.00004*M5975</f>
        <v>0</v>
      </c>
      <c r="Q5975" s="50" t="s">
        <v>37</v>
      </c>
      <c r="R5975" s="36" t="s">
        <v>21327</v>
      </c>
      <c r="S5975" s="36"/>
      <c r="T5975" s="35" t="str">
        <f>HYPERLINK("https://miland.ru/api/getInfo/image/5369bd3a-62db-11f0-a281-00155d82e908")</f>
        <v>https://miland.ru/api/getInfo/image/5369bd3a-62db-11f0-a281-00155d82e908</v>
      </c>
      <c r="U5975" s="35"/>
      <c r="V5975" s="35" t="s">
        <v>9009</v>
      </c>
      <c r="W5975" s="35" t="s">
        <v>9010</v>
      </c>
      <c r="X5975" s="35"/>
      <c r="Y5975" s="35" t="s">
        <v>41</v>
      </c>
      <c r="Z5975" s="35"/>
      <c r="AA5975" s="35" t="str">
        <f>HYPERLINK("https://miland.ru/api/getInfo/item/5369bd3a-62db-11f0-a281-00155d82e908")</f>
        <v>https://miland.ru/api/getInfo/item/5369bd3a-62db-11f0-a281-00155d82e908</v>
      </c>
      <c r="AB5975" s="35" t="s">
        <v>42</v>
      </c>
      <c r="AC5975" s="35"/>
      <c r="AD5975" s="35"/>
      <c r="AE5975" s="52" t="s">
        <v>9152</v>
      </c>
    </row>
    <row r="5976" spans="2:31" s="1" customFormat="1" ht="96.3" customHeight="1" outlineLevel="5">
      <c r="B5976" s="59">
        <v>4897</v>
      </c>
      <c r="C5976" s="35" t="s">
        <v>21328</v>
      </c>
      <c r="D5976" s="73" t="s">
        <v>21329</v>
      </c>
      <c r="E5976" s="73"/>
      <c r="F5976" s="73"/>
      <c r="G5976" s="73"/>
      <c r="H5976" s="36" t="s">
        <v>21330</v>
      </c>
      <c r="I5976" s="56" t="s">
        <v>36</v>
      </c>
      <c r="J5976" s="36"/>
      <c r="K5976" s="34">
        <v>20</v>
      </c>
      <c r="L5976" s="41">
        <v>21.12</v>
      </c>
      <c r="M5976" s="11"/>
      <c r="N5976" s="36">
        <f t="shared" si="347"/>
        <v>0</v>
      </c>
      <c r="O5976" s="42">
        <f>0.011*M5976</f>
        <v>0</v>
      </c>
      <c r="P5976" s="43">
        <f>0.00004*M5976</f>
        <v>0</v>
      </c>
      <c r="Q5976" s="50" t="s">
        <v>37</v>
      </c>
      <c r="R5976" s="36" t="s">
        <v>21331</v>
      </c>
      <c r="S5976" s="36"/>
      <c r="T5976" s="35" t="str">
        <f>HYPERLINK("https://miland.ru/api/getInfo/image/23a18dde-62d8-11f0-a281-00155d82e908")</f>
        <v>https://miland.ru/api/getInfo/image/23a18dde-62d8-11f0-a281-00155d82e908</v>
      </c>
      <c r="U5976" s="35"/>
      <c r="V5976" s="35" t="s">
        <v>9009</v>
      </c>
      <c r="W5976" s="35" t="s">
        <v>9010</v>
      </c>
      <c r="X5976" s="35"/>
      <c r="Y5976" s="35" t="s">
        <v>41</v>
      </c>
      <c r="Z5976" s="35"/>
      <c r="AA5976" s="35" t="str">
        <f>HYPERLINK("https://miland.ru/api/getInfo/item/23a18dde-62d8-11f0-a281-00155d82e908")</f>
        <v>https://miland.ru/api/getInfo/item/23a18dde-62d8-11f0-a281-00155d82e908</v>
      </c>
      <c r="AB5976" s="35" t="s">
        <v>42</v>
      </c>
      <c r="AC5976" s="35"/>
      <c r="AD5976" s="35"/>
      <c r="AE5976" s="52" t="s">
        <v>9152</v>
      </c>
    </row>
    <row r="5977" spans="2:31" s="1" customFormat="1" ht="96.3" customHeight="1" outlineLevel="5">
      <c r="B5977" s="59">
        <v>4898</v>
      </c>
      <c r="C5977" s="35" t="s">
        <v>21332</v>
      </c>
      <c r="D5977" s="73" t="s">
        <v>21333</v>
      </c>
      <c r="E5977" s="73"/>
      <c r="F5977" s="73"/>
      <c r="G5977" s="73"/>
      <c r="H5977" s="36" t="s">
        <v>21334</v>
      </c>
      <c r="I5977" s="56" t="s">
        <v>36</v>
      </c>
      <c r="J5977" s="36"/>
      <c r="K5977" s="34">
        <v>20</v>
      </c>
      <c r="L5977" s="41">
        <v>21.12</v>
      </c>
      <c r="M5977" s="11"/>
      <c r="N5977" s="36">
        <f t="shared" si="347"/>
        <v>0</v>
      </c>
      <c r="O5977" s="47">
        <f>0.01*M5977</f>
        <v>0</v>
      </c>
      <c r="P5977" s="43">
        <f>0.00004*M5977</f>
        <v>0</v>
      </c>
      <c r="Q5977" s="50" t="s">
        <v>37</v>
      </c>
      <c r="R5977" s="36" t="s">
        <v>21335</v>
      </c>
      <c r="S5977" s="36"/>
      <c r="T5977" s="35" t="str">
        <f>HYPERLINK("https://miland.ru/api/getInfo/image/cbef79d0-62db-11f0-a281-00155d82e908")</f>
        <v>https://miland.ru/api/getInfo/image/cbef79d0-62db-11f0-a281-00155d82e908</v>
      </c>
      <c r="U5977" s="35"/>
      <c r="V5977" s="35" t="s">
        <v>9009</v>
      </c>
      <c r="W5977" s="35" t="s">
        <v>9010</v>
      </c>
      <c r="X5977" s="35"/>
      <c r="Y5977" s="35" t="s">
        <v>41</v>
      </c>
      <c r="Z5977" s="35"/>
      <c r="AA5977" s="35" t="str">
        <f>HYPERLINK("https://miland.ru/api/getInfo/item/cbef79d0-62db-11f0-a281-00155d82e908")</f>
        <v>https://miland.ru/api/getInfo/item/cbef79d0-62db-11f0-a281-00155d82e908</v>
      </c>
      <c r="AB5977" s="35" t="s">
        <v>42</v>
      </c>
      <c r="AC5977" s="35"/>
      <c r="AD5977" s="35"/>
      <c r="AE5977" s="52" t="s">
        <v>9152</v>
      </c>
    </row>
    <row r="5978" spans="2:31" s="1" customFormat="1" ht="96.3" customHeight="1" outlineLevel="5">
      <c r="B5978" s="59">
        <v>4899</v>
      </c>
      <c r="C5978" s="35" t="s">
        <v>21336</v>
      </c>
      <c r="D5978" s="73" t="s">
        <v>21337</v>
      </c>
      <c r="E5978" s="73"/>
      <c r="F5978" s="73"/>
      <c r="G5978" s="73"/>
      <c r="H5978" s="36" t="s">
        <v>21338</v>
      </c>
      <c r="I5978" s="56" t="s">
        <v>36</v>
      </c>
      <c r="J5978" s="36"/>
      <c r="K5978" s="34">
        <v>20</v>
      </c>
      <c r="L5978" s="41">
        <v>21.12</v>
      </c>
      <c r="M5978" s="11"/>
      <c r="N5978" s="36">
        <f t="shared" si="347"/>
        <v>0</v>
      </c>
      <c r="O5978" s="47">
        <f>0.01*M5978</f>
        <v>0</v>
      </c>
      <c r="P5978" s="43">
        <f>0.00004*M5978</f>
        <v>0</v>
      </c>
      <c r="Q5978" s="50" t="s">
        <v>37</v>
      </c>
      <c r="R5978" s="36" t="s">
        <v>21339</v>
      </c>
      <c r="S5978" s="36"/>
      <c r="T5978" s="35" t="str">
        <f>HYPERLINK("https://miland.ru/api/getInfo/image/57f64330-62d8-11f0-a281-00155d82e908")</f>
        <v>https://miland.ru/api/getInfo/image/57f64330-62d8-11f0-a281-00155d82e908</v>
      </c>
      <c r="U5978" s="35"/>
      <c r="V5978" s="35" t="s">
        <v>9009</v>
      </c>
      <c r="W5978" s="35" t="s">
        <v>9010</v>
      </c>
      <c r="X5978" s="35"/>
      <c r="Y5978" s="35" t="s">
        <v>41</v>
      </c>
      <c r="Z5978" s="35"/>
      <c r="AA5978" s="35" t="str">
        <f>HYPERLINK("https://miland.ru/api/getInfo/item/57f64330-62d8-11f0-a281-00155d82e908")</f>
        <v>https://miland.ru/api/getInfo/item/57f64330-62d8-11f0-a281-00155d82e908</v>
      </c>
      <c r="AB5978" s="35" t="s">
        <v>42</v>
      </c>
      <c r="AC5978" s="35"/>
      <c r="AD5978" s="35"/>
      <c r="AE5978" s="52" t="s">
        <v>9152</v>
      </c>
    </row>
    <row r="5979" spans="2:31" ht="12" customHeight="1" outlineLevel="4">
      <c r="B5979" s="70" t="s">
        <v>21340</v>
      </c>
      <c r="C5979" s="70"/>
      <c r="D5979" s="70"/>
      <c r="E5979" s="70"/>
      <c r="F5979" s="70"/>
      <c r="G5979" s="70"/>
    </row>
    <row r="5980" spans="2:31" s="1" customFormat="1" ht="96.3" customHeight="1" outlineLevel="5">
      <c r="B5980" s="58">
        <v>4900</v>
      </c>
      <c r="C5980" s="7" t="s">
        <v>21341</v>
      </c>
      <c r="D5980" s="71" t="s">
        <v>21342</v>
      </c>
      <c r="E5980" s="71"/>
      <c r="F5980" s="71"/>
      <c r="G5980" s="71"/>
      <c r="H5980" s="8" t="s">
        <v>21343</v>
      </c>
      <c r="I5980" s="9" t="s">
        <v>36</v>
      </c>
      <c r="J5980" s="8"/>
      <c r="K5980" s="6">
        <v>20</v>
      </c>
      <c r="L5980" s="10">
        <v>27.5</v>
      </c>
      <c r="M5980" s="11"/>
      <c r="N5980" s="8">
        <f t="shared" ref="N5980:N5992" si="348">L5980*M5980</f>
        <v>0</v>
      </c>
      <c r="O5980" s="12">
        <f>0.008*M5980</f>
        <v>0</v>
      </c>
      <c r="P5980" s="13">
        <f>0.00003*M5980</f>
        <v>0</v>
      </c>
      <c r="Q5980" s="17" t="s">
        <v>37</v>
      </c>
      <c r="R5980" s="8" t="s">
        <v>21344</v>
      </c>
      <c r="S5980" s="8"/>
      <c r="T5980" s="7" t="str">
        <f>HYPERLINK("https://miland.ru/api/getInfo/image/78c1cb51-87f1-11f0-a284-00155d82e908")</f>
        <v>https://miland.ru/api/getInfo/image/78c1cb51-87f1-11f0-a284-00155d82e908</v>
      </c>
      <c r="U5980" s="7"/>
      <c r="V5980" s="7" t="s">
        <v>9009</v>
      </c>
      <c r="W5980" s="7" t="s">
        <v>9010</v>
      </c>
      <c r="X5980" s="7"/>
      <c r="Y5980" s="7" t="s">
        <v>41</v>
      </c>
      <c r="Z5980" s="7"/>
      <c r="AA5980" s="7" t="str">
        <f>HYPERLINK("https://miland.ru/api/getInfo/item/78c1cb51-87f1-11f0-a284-00155d82e908")</f>
        <v>https://miland.ru/api/getInfo/item/78c1cb51-87f1-11f0-a284-00155d82e908</v>
      </c>
      <c r="AB5980" s="7" t="s">
        <v>42</v>
      </c>
      <c r="AC5980" s="7"/>
      <c r="AD5980" s="7"/>
      <c r="AE5980" s="54"/>
    </row>
    <row r="5981" spans="2:31" s="1" customFormat="1" ht="96.3" customHeight="1" outlineLevel="5">
      <c r="B5981" s="58">
        <v>4901</v>
      </c>
      <c r="C5981" s="7" t="s">
        <v>21345</v>
      </c>
      <c r="D5981" s="71" t="s">
        <v>21346</v>
      </c>
      <c r="E5981" s="71"/>
      <c r="F5981" s="71"/>
      <c r="G5981" s="71"/>
      <c r="H5981" s="8" t="s">
        <v>21347</v>
      </c>
      <c r="I5981" s="14">
        <v>40</v>
      </c>
      <c r="J5981" s="8"/>
      <c r="K5981" s="6">
        <v>20</v>
      </c>
      <c r="L5981" s="10">
        <v>27.5</v>
      </c>
      <c r="M5981" s="11"/>
      <c r="N5981" s="8">
        <f t="shared" si="348"/>
        <v>0</v>
      </c>
      <c r="O5981" s="18">
        <f>0.01*M5981</f>
        <v>0</v>
      </c>
      <c r="P5981" s="13">
        <f>0.00004*M5981</f>
        <v>0</v>
      </c>
      <c r="Q5981" s="17" t="s">
        <v>37</v>
      </c>
      <c r="R5981" s="8" t="s">
        <v>21348</v>
      </c>
      <c r="S5981" s="8"/>
      <c r="T5981" s="7" t="str">
        <f>HYPERLINK("https://miland.ru/api/getInfo/image/0f95c6e1-87f2-11f0-a284-00155d82e908")</f>
        <v>https://miland.ru/api/getInfo/image/0f95c6e1-87f2-11f0-a284-00155d82e908</v>
      </c>
      <c r="U5981" s="7"/>
      <c r="V5981" s="7" t="s">
        <v>9009</v>
      </c>
      <c r="W5981" s="7" t="s">
        <v>9010</v>
      </c>
      <c r="X5981" s="7"/>
      <c r="Y5981" s="7" t="s">
        <v>41</v>
      </c>
      <c r="Z5981" s="7"/>
      <c r="AA5981" s="7" t="str">
        <f>HYPERLINK("https://miland.ru/api/getInfo/item/0f95c6e1-87f2-11f0-a284-00155d82e908")</f>
        <v>https://miland.ru/api/getInfo/item/0f95c6e1-87f2-11f0-a284-00155d82e908</v>
      </c>
      <c r="AB5981" s="7" t="s">
        <v>42</v>
      </c>
      <c r="AC5981" s="7"/>
      <c r="AD5981" s="7"/>
      <c r="AE5981" s="54"/>
    </row>
    <row r="5982" spans="2:31" s="1" customFormat="1" ht="96.3" customHeight="1" outlineLevel="5">
      <c r="B5982" s="58">
        <v>4902</v>
      </c>
      <c r="C5982" s="7" t="s">
        <v>21349</v>
      </c>
      <c r="D5982" s="71" t="s">
        <v>21350</v>
      </c>
      <c r="E5982" s="71"/>
      <c r="F5982" s="71"/>
      <c r="G5982" s="71"/>
      <c r="H5982" s="8" t="s">
        <v>21351</v>
      </c>
      <c r="I5982" s="9" t="s">
        <v>36</v>
      </c>
      <c r="J5982" s="8"/>
      <c r="K5982" s="6">
        <v>20</v>
      </c>
      <c r="L5982" s="10">
        <v>27.5</v>
      </c>
      <c r="M5982" s="11"/>
      <c r="N5982" s="8">
        <f t="shared" si="348"/>
        <v>0</v>
      </c>
      <c r="O5982" s="12">
        <f>0.008*M5982</f>
        <v>0</v>
      </c>
      <c r="P5982" s="13">
        <f>0.00003*M5982</f>
        <v>0</v>
      </c>
      <c r="Q5982" s="17" t="s">
        <v>37</v>
      </c>
      <c r="R5982" s="8" t="s">
        <v>21352</v>
      </c>
      <c r="S5982" s="8"/>
      <c r="T5982" s="7" t="str">
        <f>HYPERLINK("https://miland.ru/api/getInfo/image/5eae9808-87f1-11f0-a284-00155d82e908")</f>
        <v>https://miland.ru/api/getInfo/image/5eae9808-87f1-11f0-a284-00155d82e908</v>
      </c>
      <c r="U5982" s="7"/>
      <c r="V5982" s="7" t="s">
        <v>9009</v>
      </c>
      <c r="W5982" s="7" t="s">
        <v>9010</v>
      </c>
      <c r="X5982" s="7"/>
      <c r="Y5982" s="7" t="s">
        <v>41</v>
      </c>
      <c r="Z5982" s="7"/>
      <c r="AA5982" s="7" t="str">
        <f>HYPERLINK("https://miland.ru/api/getInfo/item/5eae9808-87f1-11f0-a284-00155d82e908")</f>
        <v>https://miland.ru/api/getInfo/item/5eae9808-87f1-11f0-a284-00155d82e908</v>
      </c>
      <c r="AB5982" s="7" t="s">
        <v>42</v>
      </c>
      <c r="AC5982" s="7"/>
      <c r="AD5982" s="7"/>
      <c r="AE5982" s="54"/>
    </row>
    <row r="5983" spans="2:31" s="1" customFormat="1" ht="96.3" customHeight="1" outlineLevel="5">
      <c r="B5983" s="59">
        <v>4903</v>
      </c>
      <c r="C5983" s="35" t="s">
        <v>21353</v>
      </c>
      <c r="D5983" s="73" t="s">
        <v>21354</v>
      </c>
      <c r="E5983" s="73"/>
      <c r="F5983" s="73"/>
      <c r="G5983" s="73"/>
      <c r="H5983" s="36" t="s">
        <v>21355</v>
      </c>
      <c r="I5983" s="56" t="s">
        <v>36</v>
      </c>
      <c r="J5983" s="36"/>
      <c r="K5983" s="34">
        <v>20</v>
      </c>
      <c r="L5983" s="41">
        <v>22</v>
      </c>
      <c r="M5983" s="11"/>
      <c r="N5983" s="36">
        <f t="shared" si="348"/>
        <v>0</v>
      </c>
      <c r="O5983" s="42">
        <f>0.008*M5983</f>
        <v>0</v>
      </c>
      <c r="P5983" s="43">
        <f>0.00003*M5983</f>
        <v>0</v>
      </c>
      <c r="Q5983" s="50" t="s">
        <v>37</v>
      </c>
      <c r="R5983" s="36" t="s">
        <v>21356</v>
      </c>
      <c r="S5983" s="36"/>
      <c r="T5983" s="35" t="str">
        <f>HYPERLINK("https://miland.ru/api/getInfo/image/76bbeca2-87f0-11f0-a284-00155d82e908")</f>
        <v>https://miland.ru/api/getInfo/image/76bbeca2-87f0-11f0-a284-00155d82e908</v>
      </c>
      <c r="U5983" s="35"/>
      <c r="V5983" s="35" t="s">
        <v>9009</v>
      </c>
      <c r="W5983" s="35" t="s">
        <v>9010</v>
      </c>
      <c r="X5983" s="35"/>
      <c r="Y5983" s="35" t="s">
        <v>41</v>
      </c>
      <c r="Z5983" s="35"/>
      <c r="AA5983" s="35" t="str">
        <f>HYPERLINK("https://miland.ru/api/getInfo/item/76bbeca2-87f0-11f0-a284-00155d82e908")</f>
        <v>https://miland.ru/api/getInfo/item/76bbeca2-87f0-11f0-a284-00155d82e908</v>
      </c>
      <c r="AB5983" s="35" t="s">
        <v>42</v>
      </c>
      <c r="AC5983" s="35"/>
      <c r="AD5983" s="35"/>
      <c r="AE5983" s="52" t="s">
        <v>9152</v>
      </c>
    </row>
    <row r="5984" spans="2:31" s="1" customFormat="1" ht="96.3" customHeight="1" outlineLevel="5">
      <c r="B5984" s="59">
        <v>4904</v>
      </c>
      <c r="C5984" s="35" t="s">
        <v>21357</v>
      </c>
      <c r="D5984" s="73" t="s">
        <v>21358</v>
      </c>
      <c r="E5984" s="73"/>
      <c r="F5984" s="73"/>
      <c r="G5984" s="73"/>
      <c r="H5984" s="36" t="s">
        <v>21359</v>
      </c>
      <c r="I5984" s="56" t="s">
        <v>36</v>
      </c>
      <c r="J5984" s="36"/>
      <c r="K5984" s="34">
        <v>20</v>
      </c>
      <c r="L5984" s="41">
        <v>22</v>
      </c>
      <c r="M5984" s="11"/>
      <c r="N5984" s="36">
        <f t="shared" si="348"/>
        <v>0</v>
      </c>
      <c r="O5984" s="47">
        <f>0.01*M5984</f>
        <v>0</v>
      </c>
      <c r="P5984" s="43">
        <f>0.00004*M5984</f>
        <v>0</v>
      </c>
      <c r="Q5984" s="50" t="s">
        <v>37</v>
      </c>
      <c r="R5984" s="36" t="s">
        <v>21360</v>
      </c>
      <c r="S5984" s="36"/>
      <c r="T5984" s="35" t="str">
        <f>HYPERLINK("https://miland.ru/api/getInfo/image/ae8df776-87f0-11f0-a284-00155d82e908")</f>
        <v>https://miland.ru/api/getInfo/image/ae8df776-87f0-11f0-a284-00155d82e908</v>
      </c>
      <c r="U5984" s="35"/>
      <c r="V5984" s="35" t="s">
        <v>9009</v>
      </c>
      <c r="W5984" s="35" t="s">
        <v>9010</v>
      </c>
      <c r="X5984" s="35"/>
      <c r="Y5984" s="35" t="s">
        <v>41</v>
      </c>
      <c r="Z5984" s="35"/>
      <c r="AA5984" s="35" t="str">
        <f>HYPERLINK("https://miland.ru/api/getInfo/item/ae8df776-87f0-11f0-a284-00155d82e908")</f>
        <v>https://miland.ru/api/getInfo/item/ae8df776-87f0-11f0-a284-00155d82e908</v>
      </c>
      <c r="AB5984" s="35" t="s">
        <v>42</v>
      </c>
      <c r="AC5984" s="35"/>
      <c r="AD5984" s="35"/>
      <c r="AE5984" s="52" t="s">
        <v>9152</v>
      </c>
    </row>
    <row r="5985" spans="2:31" s="1" customFormat="1" ht="96.3" customHeight="1" outlineLevel="5">
      <c r="B5985" s="58">
        <v>4905</v>
      </c>
      <c r="C5985" s="7" t="s">
        <v>21361</v>
      </c>
      <c r="D5985" s="71" t="s">
        <v>21362</v>
      </c>
      <c r="E5985" s="71"/>
      <c r="F5985" s="71"/>
      <c r="G5985" s="71"/>
      <c r="H5985" s="8" t="s">
        <v>21363</v>
      </c>
      <c r="I5985" s="14">
        <v>90</v>
      </c>
      <c r="J5985" s="8"/>
      <c r="K5985" s="6">
        <v>20</v>
      </c>
      <c r="L5985" s="10">
        <v>27.5</v>
      </c>
      <c r="M5985" s="11"/>
      <c r="N5985" s="8">
        <f t="shared" si="348"/>
        <v>0</v>
      </c>
      <c r="O5985" s="18">
        <f>0.01*M5985</f>
        <v>0</v>
      </c>
      <c r="P5985" s="13">
        <f>0.00004*M5985</f>
        <v>0</v>
      </c>
      <c r="Q5985" s="17" t="s">
        <v>37</v>
      </c>
      <c r="R5985" s="8" t="s">
        <v>21364</v>
      </c>
      <c r="S5985" s="8"/>
      <c r="T5985" s="7" t="str">
        <f>HYPERLINK("https://miland.ru/api/getInfo/image/2adf522d-87f1-11f0-a284-00155d82e908")</f>
        <v>https://miland.ru/api/getInfo/image/2adf522d-87f1-11f0-a284-00155d82e908</v>
      </c>
      <c r="U5985" s="7"/>
      <c r="V5985" s="7" t="s">
        <v>9009</v>
      </c>
      <c r="W5985" s="7" t="s">
        <v>9010</v>
      </c>
      <c r="X5985" s="7"/>
      <c r="Y5985" s="7" t="s">
        <v>41</v>
      </c>
      <c r="Z5985" s="7"/>
      <c r="AA5985" s="7" t="str">
        <f>HYPERLINK("https://miland.ru/api/getInfo/item/2adf522d-87f1-11f0-a284-00155d82e908")</f>
        <v>https://miland.ru/api/getInfo/item/2adf522d-87f1-11f0-a284-00155d82e908</v>
      </c>
      <c r="AB5985" s="7" t="s">
        <v>42</v>
      </c>
      <c r="AC5985" s="7"/>
      <c r="AD5985" s="7"/>
      <c r="AE5985" s="54"/>
    </row>
    <row r="5986" spans="2:31" s="1" customFormat="1" ht="96.3" customHeight="1" outlineLevel="5">
      <c r="B5986" s="59">
        <v>4906</v>
      </c>
      <c r="C5986" s="35" t="s">
        <v>21365</v>
      </c>
      <c r="D5986" s="73" t="s">
        <v>21366</v>
      </c>
      <c r="E5986" s="73"/>
      <c r="F5986" s="73"/>
      <c r="G5986" s="73"/>
      <c r="H5986" s="36" t="s">
        <v>21367</v>
      </c>
      <c r="I5986" s="56" t="s">
        <v>36</v>
      </c>
      <c r="J5986" s="36"/>
      <c r="K5986" s="34">
        <v>20</v>
      </c>
      <c r="L5986" s="41">
        <v>22</v>
      </c>
      <c r="M5986" s="11"/>
      <c r="N5986" s="36">
        <f t="shared" si="348"/>
        <v>0</v>
      </c>
      <c r="O5986" s="42">
        <f>0.008*M5986</f>
        <v>0</v>
      </c>
      <c r="P5986" s="43">
        <f>0.00003*M5986</f>
        <v>0</v>
      </c>
      <c r="Q5986" s="50" t="s">
        <v>37</v>
      </c>
      <c r="R5986" s="36" t="s">
        <v>21368</v>
      </c>
      <c r="S5986" s="36"/>
      <c r="T5986" s="35" t="str">
        <f>HYPERLINK("https://miland.ru/api/getInfo/image/0b221094-87f1-11f0-a284-00155d82e908")</f>
        <v>https://miland.ru/api/getInfo/image/0b221094-87f1-11f0-a284-00155d82e908</v>
      </c>
      <c r="U5986" s="35"/>
      <c r="V5986" s="35" t="s">
        <v>9009</v>
      </c>
      <c r="W5986" s="35" t="s">
        <v>9010</v>
      </c>
      <c r="X5986" s="35"/>
      <c r="Y5986" s="35" t="s">
        <v>41</v>
      </c>
      <c r="Z5986" s="35"/>
      <c r="AA5986" s="35" t="str">
        <f>HYPERLINK("https://miland.ru/api/getInfo/item/0b221094-87f1-11f0-a284-00155d82e908")</f>
        <v>https://miland.ru/api/getInfo/item/0b221094-87f1-11f0-a284-00155d82e908</v>
      </c>
      <c r="AB5986" s="35" t="s">
        <v>42</v>
      </c>
      <c r="AC5986" s="35"/>
      <c r="AD5986" s="35"/>
      <c r="AE5986" s="52" t="s">
        <v>9152</v>
      </c>
    </row>
    <row r="5987" spans="2:31" s="1" customFormat="1" ht="96.3" customHeight="1" outlineLevel="5">
      <c r="B5987" s="59">
        <v>4907</v>
      </c>
      <c r="C5987" s="35" t="s">
        <v>21369</v>
      </c>
      <c r="D5987" s="73" t="s">
        <v>21370</v>
      </c>
      <c r="E5987" s="73"/>
      <c r="F5987" s="73"/>
      <c r="G5987" s="73"/>
      <c r="H5987" s="36" t="s">
        <v>21371</v>
      </c>
      <c r="I5987" s="56" t="s">
        <v>36</v>
      </c>
      <c r="J5987" s="36"/>
      <c r="K5987" s="34">
        <v>20</v>
      </c>
      <c r="L5987" s="41">
        <v>22</v>
      </c>
      <c r="M5987" s="11"/>
      <c r="N5987" s="36">
        <f t="shared" si="348"/>
        <v>0</v>
      </c>
      <c r="O5987" s="47">
        <f>0.01*M5987</f>
        <v>0</v>
      </c>
      <c r="P5987" s="43">
        <f>0.00004*M5987</f>
        <v>0</v>
      </c>
      <c r="Q5987" s="50" t="s">
        <v>37</v>
      </c>
      <c r="R5987" s="36" t="s">
        <v>21372</v>
      </c>
      <c r="S5987" s="36"/>
      <c r="T5987" s="35" t="str">
        <f>HYPERLINK("https://miland.ru/api/getInfo/image/cdff3ab8-87f0-11f0-a284-00155d82e908")</f>
        <v>https://miland.ru/api/getInfo/image/cdff3ab8-87f0-11f0-a284-00155d82e908</v>
      </c>
      <c r="U5987" s="35"/>
      <c r="V5987" s="35" t="s">
        <v>9009</v>
      </c>
      <c r="W5987" s="35" t="s">
        <v>9010</v>
      </c>
      <c r="X5987" s="35"/>
      <c r="Y5987" s="35" t="s">
        <v>41</v>
      </c>
      <c r="Z5987" s="35"/>
      <c r="AA5987" s="35" t="str">
        <f>HYPERLINK("https://miland.ru/api/getInfo/item/cdff3ab8-87f0-11f0-a284-00155d82e908")</f>
        <v>https://miland.ru/api/getInfo/item/cdff3ab8-87f0-11f0-a284-00155d82e908</v>
      </c>
      <c r="AB5987" s="35" t="s">
        <v>42</v>
      </c>
      <c r="AC5987" s="35"/>
      <c r="AD5987" s="35"/>
      <c r="AE5987" s="52" t="s">
        <v>9152</v>
      </c>
    </row>
    <row r="5988" spans="2:31" s="1" customFormat="1" ht="96.3" customHeight="1" outlineLevel="5">
      <c r="B5988" s="59">
        <v>4908</v>
      </c>
      <c r="C5988" s="35" t="s">
        <v>21373</v>
      </c>
      <c r="D5988" s="73" t="s">
        <v>21374</v>
      </c>
      <c r="E5988" s="73"/>
      <c r="F5988" s="73"/>
      <c r="G5988" s="73"/>
      <c r="H5988" s="36" t="s">
        <v>21375</v>
      </c>
      <c r="I5988" s="56" t="s">
        <v>36</v>
      </c>
      <c r="J5988" s="36"/>
      <c r="K5988" s="34">
        <v>20</v>
      </c>
      <c r="L5988" s="41">
        <v>22</v>
      </c>
      <c r="M5988" s="11"/>
      <c r="N5988" s="36">
        <f t="shared" si="348"/>
        <v>0</v>
      </c>
      <c r="O5988" s="42">
        <f>0.008*M5988</f>
        <v>0</v>
      </c>
      <c r="P5988" s="43">
        <f>0.00003*M5988</f>
        <v>0</v>
      </c>
      <c r="Q5988" s="50" t="s">
        <v>37</v>
      </c>
      <c r="R5988" s="36" t="s">
        <v>21376</v>
      </c>
      <c r="S5988" s="36"/>
      <c r="T5988" s="35" t="str">
        <f>HYPERLINK("https://miland.ru/api/getInfo/image/94bbc557-87f0-11f0-a284-00155d82e908")</f>
        <v>https://miland.ru/api/getInfo/image/94bbc557-87f0-11f0-a284-00155d82e908</v>
      </c>
      <c r="U5988" s="35"/>
      <c r="V5988" s="35" t="s">
        <v>9009</v>
      </c>
      <c r="W5988" s="35" t="s">
        <v>9010</v>
      </c>
      <c r="X5988" s="35"/>
      <c r="Y5988" s="35" t="s">
        <v>41</v>
      </c>
      <c r="Z5988" s="35"/>
      <c r="AA5988" s="35" t="str">
        <f>HYPERLINK("https://miland.ru/api/getInfo/item/94bbc557-87f0-11f0-a284-00155d82e908")</f>
        <v>https://miland.ru/api/getInfo/item/94bbc557-87f0-11f0-a284-00155d82e908</v>
      </c>
      <c r="AB5988" s="35" t="s">
        <v>42</v>
      </c>
      <c r="AC5988" s="35"/>
      <c r="AD5988" s="35"/>
      <c r="AE5988" s="52" t="s">
        <v>9152</v>
      </c>
    </row>
    <row r="5989" spans="2:31" s="1" customFormat="1" ht="96.3" customHeight="1" outlineLevel="5">
      <c r="B5989" s="59">
        <v>4909</v>
      </c>
      <c r="C5989" s="35" t="s">
        <v>21377</v>
      </c>
      <c r="D5989" s="73" t="s">
        <v>21378</v>
      </c>
      <c r="E5989" s="73"/>
      <c r="F5989" s="73"/>
      <c r="G5989" s="73"/>
      <c r="H5989" s="36" t="s">
        <v>21379</v>
      </c>
      <c r="I5989" s="56" t="s">
        <v>36</v>
      </c>
      <c r="J5989" s="36"/>
      <c r="K5989" s="34">
        <v>20</v>
      </c>
      <c r="L5989" s="41">
        <v>22</v>
      </c>
      <c r="M5989" s="11"/>
      <c r="N5989" s="36">
        <f t="shared" si="348"/>
        <v>0</v>
      </c>
      <c r="O5989" s="47">
        <f>0.01*M5989</f>
        <v>0</v>
      </c>
      <c r="P5989" s="43">
        <f>0.00004*M5989</f>
        <v>0</v>
      </c>
      <c r="Q5989" s="50" t="s">
        <v>37</v>
      </c>
      <c r="R5989" s="36" t="s">
        <v>21380</v>
      </c>
      <c r="S5989" s="36"/>
      <c r="T5989" s="35" t="str">
        <f>HYPERLINK("https://miland.ru/api/getInfo/image/e59fbd05-87f0-11f0-a284-00155d82e908")</f>
        <v>https://miland.ru/api/getInfo/image/e59fbd05-87f0-11f0-a284-00155d82e908</v>
      </c>
      <c r="U5989" s="35"/>
      <c r="V5989" s="35" t="s">
        <v>9009</v>
      </c>
      <c r="W5989" s="35" t="s">
        <v>9010</v>
      </c>
      <c r="X5989" s="35"/>
      <c r="Y5989" s="35" t="s">
        <v>41</v>
      </c>
      <c r="Z5989" s="35"/>
      <c r="AA5989" s="35" t="str">
        <f>HYPERLINK("https://miland.ru/api/getInfo/item/e59fbd05-87f0-11f0-a284-00155d82e908")</f>
        <v>https://miland.ru/api/getInfo/item/e59fbd05-87f0-11f0-a284-00155d82e908</v>
      </c>
      <c r="AB5989" s="35" t="s">
        <v>42</v>
      </c>
      <c r="AC5989" s="35"/>
      <c r="AD5989" s="35"/>
      <c r="AE5989" s="52" t="s">
        <v>9152</v>
      </c>
    </row>
    <row r="5990" spans="2:31" s="1" customFormat="1" ht="96.3" customHeight="1" outlineLevel="5">
      <c r="B5990" s="59">
        <v>4910</v>
      </c>
      <c r="C5990" s="35" t="s">
        <v>21381</v>
      </c>
      <c r="D5990" s="73" t="s">
        <v>21382</v>
      </c>
      <c r="E5990" s="73"/>
      <c r="F5990" s="73"/>
      <c r="G5990" s="73"/>
      <c r="H5990" s="36" t="s">
        <v>21383</v>
      </c>
      <c r="I5990" s="56" t="s">
        <v>36</v>
      </c>
      <c r="J5990" s="36"/>
      <c r="K5990" s="34">
        <v>20</v>
      </c>
      <c r="L5990" s="41">
        <v>22</v>
      </c>
      <c r="M5990" s="11"/>
      <c r="N5990" s="36">
        <f t="shared" si="348"/>
        <v>0</v>
      </c>
      <c r="O5990" s="47">
        <f>0.01*M5990</f>
        <v>0</v>
      </c>
      <c r="P5990" s="43">
        <f>0.00004*M5990</f>
        <v>0</v>
      </c>
      <c r="Q5990" s="50" t="s">
        <v>37</v>
      </c>
      <c r="R5990" s="36" t="s">
        <v>21384</v>
      </c>
      <c r="S5990" s="36"/>
      <c r="T5990" s="35" t="str">
        <f>HYPERLINK("https://miland.ru/api/getInfo/image/4e46e373-87f0-11f0-a284-00155d82e908")</f>
        <v>https://miland.ru/api/getInfo/image/4e46e373-87f0-11f0-a284-00155d82e908</v>
      </c>
      <c r="U5990" s="35"/>
      <c r="V5990" s="35" t="s">
        <v>9009</v>
      </c>
      <c r="W5990" s="35" t="s">
        <v>9010</v>
      </c>
      <c r="X5990" s="35"/>
      <c r="Y5990" s="35" t="s">
        <v>41</v>
      </c>
      <c r="Z5990" s="35"/>
      <c r="AA5990" s="35" t="str">
        <f>HYPERLINK("https://miland.ru/api/getInfo/item/4e46e373-87f0-11f0-a284-00155d82e908")</f>
        <v>https://miland.ru/api/getInfo/item/4e46e373-87f0-11f0-a284-00155d82e908</v>
      </c>
      <c r="AB5990" s="35" t="s">
        <v>42</v>
      </c>
      <c r="AC5990" s="35"/>
      <c r="AD5990" s="35"/>
      <c r="AE5990" s="52" t="s">
        <v>9152</v>
      </c>
    </row>
    <row r="5991" spans="2:31" s="1" customFormat="1" ht="96.3" customHeight="1" outlineLevel="5">
      <c r="B5991" s="59">
        <v>4911</v>
      </c>
      <c r="C5991" s="35" t="s">
        <v>21385</v>
      </c>
      <c r="D5991" s="73" t="s">
        <v>21386</v>
      </c>
      <c r="E5991" s="73"/>
      <c r="F5991" s="73"/>
      <c r="G5991" s="73"/>
      <c r="H5991" s="36" t="s">
        <v>21387</v>
      </c>
      <c r="I5991" s="56" t="s">
        <v>36</v>
      </c>
      <c r="J5991" s="36"/>
      <c r="K5991" s="34">
        <v>20</v>
      </c>
      <c r="L5991" s="41">
        <v>26.013333333333335</v>
      </c>
      <c r="M5991" s="11"/>
      <c r="N5991" s="36">
        <f t="shared" si="348"/>
        <v>0</v>
      </c>
      <c r="O5991" s="42">
        <f>0.008*M5991</f>
        <v>0</v>
      </c>
      <c r="P5991" s="43">
        <f>0.00003*M5991</f>
        <v>0</v>
      </c>
      <c r="Q5991" s="50" t="s">
        <v>37</v>
      </c>
      <c r="R5991" s="36" t="s">
        <v>21388</v>
      </c>
      <c r="S5991" s="36"/>
      <c r="T5991" s="35" t="str">
        <f>HYPERLINK("https://miland.ru/api/getInfo/image/245e7f94-87f5-11f0-a284-00155d82e908")</f>
        <v>https://miland.ru/api/getInfo/image/245e7f94-87f5-11f0-a284-00155d82e908</v>
      </c>
      <c r="U5991" s="35"/>
      <c r="V5991" s="35" t="s">
        <v>9009</v>
      </c>
      <c r="W5991" s="35" t="s">
        <v>9010</v>
      </c>
      <c r="X5991" s="35"/>
      <c r="Y5991" s="35" t="s">
        <v>41</v>
      </c>
      <c r="Z5991" s="35"/>
      <c r="AA5991" s="35" t="str">
        <f>HYPERLINK("https://miland.ru/api/getInfo/item/245e7f94-87f5-11f0-a284-00155d82e908")</f>
        <v>https://miland.ru/api/getInfo/item/245e7f94-87f5-11f0-a284-00155d82e908</v>
      </c>
      <c r="AB5991" s="35" t="s">
        <v>42</v>
      </c>
      <c r="AC5991" s="35"/>
      <c r="AD5991" s="35"/>
      <c r="AE5991" s="52" t="s">
        <v>9152</v>
      </c>
    </row>
    <row r="5992" spans="2:31" s="1" customFormat="1" ht="96.3" customHeight="1" outlineLevel="5">
      <c r="B5992" s="59">
        <v>4912</v>
      </c>
      <c r="C5992" s="35" t="s">
        <v>21389</v>
      </c>
      <c r="D5992" s="73" t="s">
        <v>21390</v>
      </c>
      <c r="E5992" s="73"/>
      <c r="F5992" s="73"/>
      <c r="G5992" s="73"/>
      <c r="H5992" s="36" t="s">
        <v>21391</v>
      </c>
      <c r="I5992" s="56" t="s">
        <v>36</v>
      </c>
      <c r="J5992" s="36"/>
      <c r="K5992" s="34">
        <v>20</v>
      </c>
      <c r="L5992" s="41">
        <v>26.013333333333335</v>
      </c>
      <c r="M5992" s="11"/>
      <c r="N5992" s="36">
        <f t="shared" si="348"/>
        <v>0</v>
      </c>
      <c r="O5992" s="47">
        <f>0.01*M5992</f>
        <v>0</v>
      </c>
      <c r="P5992" s="43">
        <f>0.00004*M5992</f>
        <v>0</v>
      </c>
      <c r="Q5992" s="50" t="s">
        <v>37</v>
      </c>
      <c r="R5992" s="36" t="s">
        <v>21392</v>
      </c>
      <c r="S5992" s="36"/>
      <c r="T5992" s="35" t="str">
        <f>HYPERLINK("https://miland.ru/api/getInfo/image/812a977c-87f5-11f0-a284-00155d82e908")</f>
        <v>https://miland.ru/api/getInfo/image/812a977c-87f5-11f0-a284-00155d82e908</v>
      </c>
      <c r="U5992" s="35"/>
      <c r="V5992" s="35" t="s">
        <v>9009</v>
      </c>
      <c r="W5992" s="35" t="s">
        <v>9010</v>
      </c>
      <c r="X5992" s="35"/>
      <c r="Y5992" s="35" t="s">
        <v>41</v>
      </c>
      <c r="Z5992" s="35"/>
      <c r="AA5992" s="35" t="str">
        <f>HYPERLINK("https://miland.ru/api/getInfo/item/812a977c-87f5-11f0-a284-00155d82e908")</f>
        <v>https://miland.ru/api/getInfo/item/812a977c-87f5-11f0-a284-00155d82e908</v>
      </c>
      <c r="AB5992" s="35" t="s">
        <v>42</v>
      </c>
      <c r="AC5992" s="35"/>
      <c r="AD5992" s="35"/>
      <c r="AE5992" s="52" t="s">
        <v>9152</v>
      </c>
    </row>
    <row r="5993" spans="2:31" ht="12" customHeight="1" outlineLevel="3">
      <c r="B5993" s="70" t="s">
        <v>21393</v>
      </c>
      <c r="C5993" s="70"/>
      <c r="D5993" s="70"/>
      <c r="E5993" s="70"/>
      <c r="F5993" s="70"/>
      <c r="G5993" s="70"/>
    </row>
    <row r="5994" spans="2:31" s="1" customFormat="1" ht="96.3" customHeight="1" outlineLevel="4">
      <c r="B5994" s="57">
        <v>4913</v>
      </c>
      <c r="C5994" s="21" t="s">
        <v>21394</v>
      </c>
      <c r="D5994" s="72" t="s">
        <v>21395</v>
      </c>
      <c r="E5994" s="72"/>
      <c r="F5994" s="72"/>
      <c r="G5994" s="72"/>
      <c r="H5994" s="22" t="s">
        <v>21396</v>
      </c>
      <c r="I5994" s="27">
        <v>370</v>
      </c>
      <c r="J5994" s="22"/>
      <c r="K5994" s="20">
        <v>20</v>
      </c>
      <c r="L5994" s="24">
        <v>31.63</v>
      </c>
      <c r="M5994" s="11"/>
      <c r="N5994" s="22">
        <f t="shared" ref="N5994:N6022" si="349">L5994*M5994</f>
        <v>0</v>
      </c>
      <c r="O5994" s="25">
        <f>0.015*M5994</f>
        <v>0</v>
      </c>
      <c r="P5994" s="26">
        <f>0.00001*M5994</f>
        <v>0</v>
      </c>
      <c r="Q5994" s="30"/>
      <c r="R5994" s="22" t="s">
        <v>21397</v>
      </c>
      <c r="S5994" s="22" t="s">
        <v>435</v>
      </c>
      <c r="T5994" s="21" t="str">
        <f>HYPERLINK("https://miland.ru/api/getInfo/image/7df62761-b810-11ed-a230-00155d82e902")</f>
        <v>https://miland.ru/api/getInfo/image/7df62761-b810-11ed-a230-00155d82e902</v>
      </c>
      <c r="U5994" s="21"/>
      <c r="V5994" s="21" t="s">
        <v>9009</v>
      </c>
      <c r="W5994" s="21" t="s">
        <v>9010</v>
      </c>
      <c r="X5994" s="21"/>
      <c r="Y5994" s="21" t="s">
        <v>41</v>
      </c>
      <c r="Z5994" s="21"/>
      <c r="AA5994" s="21" t="str">
        <f>HYPERLINK("https://miland.ru/api/getInfo/item/7df62761-b810-11ed-a230-00155d82e902")</f>
        <v>https://miland.ru/api/getInfo/item/7df62761-b810-11ed-a230-00155d82e902</v>
      </c>
      <c r="AB5994" s="21" t="s">
        <v>42</v>
      </c>
      <c r="AC5994" s="21" t="s">
        <v>1698</v>
      </c>
      <c r="AD5994" s="21"/>
    </row>
    <row r="5995" spans="2:31" s="1" customFormat="1" ht="96.3" customHeight="1" outlineLevel="4">
      <c r="B5995" s="57">
        <v>4914</v>
      </c>
      <c r="C5995" s="21" t="s">
        <v>21398</v>
      </c>
      <c r="D5995" s="72" t="s">
        <v>21399</v>
      </c>
      <c r="E5995" s="72"/>
      <c r="F5995" s="72"/>
      <c r="G5995" s="72"/>
      <c r="H5995" s="22" t="s">
        <v>21400</v>
      </c>
      <c r="I5995" s="23" t="s">
        <v>36</v>
      </c>
      <c r="J5995" s="22"/>
      <c r="K5995" s="20">
        <v>20</v>
      </c>
      <c r="L5995" s="24">
        <v>31.63</v>
      </c>
      <c r="M5995" s="11"/>
      <c r="N5995" s="22">
        <f t="shared" si="349"/>
        <v>0</v>
      </c>
      <c r="O5995" s="25">
        <f>0.015*M5995</f>
        <v>0</v>
      </c>
      <c r="P5995" s="26">
        <f>0.00001*M5995</f>
        <v>0</v>
      </c>
      <c r="Q5995" s="30"/>
      <c r="R5995" s="22" t="s">
        <v>21401</v>
      </c>
      <c r="S5995" s="22" t="s">
        <v>435</v>
      </c>
      <c r="T5995" s="21" t="str">
        <f>HYPERLINK("https://miland.ru/api/getInfo/image/6e6680e3-b80f-11ed-a230-00155d82e902")</f>
        <v>https://miland.ru/api/getInfo/image/6e6680e3-b80f-11ed-a230-00155d82e902</v>
      </c>
      <c r="U5995" s="21"/>
      <c r="V5995" s="21" t="s">
        <v>9009</v>
      </c>
      <c r="W5995" s="21" t="s">
        <v>9010</v>
      </c>
      <c r="X5995" s="21"/>
      <c r="Y5995" s="21" t="s">
        <v>41</v>
      </c>
      <c r="Z5995" s="21"/>
      <c r="AA5995" s="21" t="str">
        <f>HYPERLINK("https://miland.ru/api/getInfo/item/6e6680e3-b80f-11ed-a230-00155d82e902")</f>
        <v>https://miland.ru/api/getInfo/item/6e6680e3-b80f-11ed-a230-00155d82e902</v>
      </c>
      <c r="AB5995" s="21" t="s">
        <v>42</v>
      </c>
      <c r="AC5995" s="21" t="s">
        <v>1698</v>
      </c>
      <c r="AD5995" s="21"/>
    </row>
    <row r="5996" spans="2:31" s="1" customFormat="1" ht="96.3" customHeight="1" outlineLevel="4">
      <c r="B5996" s="59">
        <v>4915</v>
      </c>
      <c r="C5996" s="35" t="s">
        <v>21402</v>
      </c>
      <c r="D5996" s="73" t="s">
        <v>21403</v>
      </c>
      <c r="E5996" s="73"/>
      <c r="F5996" s="73"/>
      <c r="G5996" s="73"/>
      <c r="H5996" s="36" t="s">
        <v>21404</v>
      </c>
      <c r="I5996" s="56" t="s">
        <v>36</v>
      </c>
      <c r="J5996" s="36"/>
      <c r="K5996" s="34">
        <v>20</v>
      </c>
      <c r="L5996" s="41">
        <v>13.333333333333334</v>
      </c>
      <c r="M5996" s="11"/>
      <c r="N5996" s="36">
        <f t="shared" si="349"/>
        <v>0</v>
      </c>
      <c r="O5996" s="42">
        <f>0.008*M5996</f>
        <v>0</v>
      </c>
      <c r="P5996" s="43">
        <f>0.00001*M5996</f>
        <v>0</v>
      </c>
      <c r="Q5996" s="50"/>
      <c r="R5996" s="36" t="s">
        <v>21405</v>
      </c>
      <c r="S5996" s="36" t="s">
        <v>435</v>
      </c>
      <c r="T5996" s="35" t="str">
        <f>HYPERLINK("https://miland.ru/api/getInfo/image/45ca9b87-b810-11ed-a230-00155d82e902")</f>
        <v>https://miland.ru/api/getInfo/image/45ca9b87-b810-11ed-a230-00155d82e902</v>
      </c>
      <c r="U5996" s="35"/>
      <c r="V5996" s="35" t="s">
        <v>9009</v>
      </c>
      <c r="W5996" s="35" t="s">
        <v>9010</v>
      </c>
      <c r="X5996" s="35"/>
      <c r="Y5996" s="35" t="s">
        <v>41</v>
      </c>
      <c r="Z5996" s="35"/>
      <c r="AA5996" s="35" t="str">
        <f>HYPERLINK("https://miland.ru/api/getInfo/item/45ca9b87-b810-11ed-a230-00155d82e902")</f>
        <v>https://miland.ru/api/getInfo/item/45ca9b87-b810-11ed-a230-00155d82e902</v>
      </c>
      <c r="AB5996" s="35" t="s">
        <v>50</v>
      </c>
      <c r="AC5996" s="35" t="s">
        <v>1698</v>
      </c>
      <c r="AD5996" s="35"/>
      <c r="AE5996" s="52" t="s">
        <v>1251</v>
      </c>
    </row>
    <row r="5997" spans="2:31" s="1" customFormat="1" ht="96.3" customHeight="1" outlineLevel="4">
      <c r="B5997" s="59">
        <v>4916</v>
      </c>
      <c r="C5997" s="35" t="s">
        <v>21406</v>
      </c>
      <c r="D5997" s="73" t="s">
        <v>21407</v>
      </c>
      <c r="E5997" s="73"/>
      <c r="F5997" s="73"/>
      <c r="G5997" s="73"/>
      <c r="H5997" s="36" t="s">
        <v>21408</v>
      </c>
      <c r="I5997" s="56" t="s">
        <v>36</v>
      </c>
      <c r="J5997" s="36"/>
      <c r="K5997" s="34">
        <v>20</v>
      </c>
      <c r="L5997" s="41">
        <v>13.333333333333334</v>
      </c>
      <c r="M5997" s="11"/>
      <c r="N5997" s="36">
        <f t="shared" si="349"/>
        <v>0</v>
      </c>
      <c r="O5997" s="42">
        <f>0.011*M5997</f>
        <v>0</v>
      </c>
      <c r="P5997" s="43">
        <f>0.00003*M5997</f>
        <v>0</v>
      </c>
      <c r="Q5997" s="50"/>
      <c r="R5997" s="36" t="s">
        <v>21409</v>
      </c>
      <c r="S5997" s="36" t="s">
        <v>435</v>
      </c>
      <c r="T5997" s="35" t="str">
        <f>HYPERLINK("https://miland.ru/api/getInfo/image/6517b28c-b80e-11ed-a230-00155d82e902")</f>
        <v>https://miland.ru/api/getInfo/image/6517b28c-b80e-11ed-a230-00155d82e902</v>
      </c>
      <c r="U5997" s="35"/>
      <c r="V5997" s="35" t="s">
        <v>9009</v>
      </c>
      <c r="W5997" s="35" t="s">
        <v>9010</v>
      </c>
      <c r="X5997" s="35"/>
      <c r="Y5997" s="35" t="s">
        <v>41</v>
      </c>
      <c r="Z5997" s="35"/>
      <c r="AA5997" s="35" t="str">
        <f>HYPERLINK("https://miland.ru/api/getInfo/item/6517b28c-b80e-11ed-a230-00155d82e902")</f>
        <v>https://miland.ru/api/getInfo/item/6517b28c-b80e-11ed-a230-00155d82e902</v>
      </c>
      <c r="AB5997" s="35" t="s">
        <v>50</v>
      </c>
      <c r="AC5997" s="35" t="s">
        <v>1698</v>
      </c>
      <c r="AD5997" s="35"/>
      <c r="AE5997" s="52" t="s">
        <v>1251</v>
      </c>
    </row>
    <row r="5998" spans="2:31" s="1" customFormat="1" ht="96.3" customHeight="1" outlineLevel="4">
      <c r="B5998" s="59">
        <v>4917</v>
      </c>
      <c r="C5998" s="35" t="s">
        <v>21410</v>
      </c>
      <c r="D5998" s="73" t="s">
        <v>21411</v>
      </c>
      <c r="E5998" s="73"/>
      <c r="F5998" s="73"/>
      <c r="G5998" s="73"/>
      <c r="H5998" s="36" t="s">
        <v>21412</v>
      </c>
      <c r="I5998" s="56" t="s">
        <v>36</v>
      </c>
      <c r="J5998" s="36"/>
      <c r="K5998" s="34">
        <v>20</v>
      </c>
      <c r="L5998" s="41">
        <v>13.333333333333334</v>
      </c>
      <c r="M5998" s="11"/>
      <c r="N5998" s="36">
        <f t="shared" si="349"/>
        <v>0</v>
      </c>
      <c r="O5998" s="42">
        <f>0.015*M5998</f>
        <v>0</v>
      </c>
      <c r="P5998" s="43">
        <f>0.00001*M5998</f>
        <v>0</v>
      </c>
      <c r="Q5998" s="50"/>
      <c r="R5998" s="36" t="s">
        <v>21413</v>
      </c>
      <c r="S5998" s="36" t="s">
        <v>435</v>
      </c>
      <c r="T5998" s="35" t="str">
        <f>HYPERLINK("https://miland.ru/api/getInfo/image/be7a1b7b-b80f-11ed-a230-00155d82e902")</f>
        <v>https://miland.ru/api/getInfo/image/be7a1b7b-b80f-11ed-a230-00155d82e902</v>
      </c>
      <c r="U5998" s="35"/>
      <c r="V5998" s="35" t="s">
        <v>9009</v>
      </c>
      <c r="W5998" s="35" t="s">
        <v>9010</v>
      </c>
      <c r="X5998" s="35"/>
      <c r="Y5998" s="35" t="s">
        <v>41</v>
      </c>
      <c r="Z5998" s="35"/>
      <c r="AA5998" s="35" t="str">
        <f>HYPERLINK("https://miland.ru/api/getInfo/item/be7a1b7b-b80f-11ed-a230-00155d82e902")</f>
        <v>https://miland.ru/api/getInfo/item/be7a1b7b-b80f-11ed-a230-00155d82e902</v>
      </c>
      <c r="AB5998" s="35" t="s">
        <v>50</v>
      </c>
      <c r="AC5998" s="35" t="s">
        <v>1698</v>
      </c>
      <c r="AD5998" s="35"/>
      <c r="AE5998" s="52" t="s">
        <v>1251</v>
      </c>
    </row>
    <row r="5999" spans="2:31" s="1" customFormat="1" ht="96.3" customHeight="1" outlineLevel="4">
      <c r="B5999" s="57">
        <v>4918</v>
      </c>
      <c r="C5999" s="21" t="s">
        <v>21414</v>
      </c>
      <c r="D5999" s="72" t="s">
        <v>21415</v>
      </c>
      <c r="E5999" s="72"/>
      <c r="F5999" s="72"/>
      <c r="G5999" s="72"/>
      <c r="H5999" s="22" t="s">
        <v>21416</v>
      </c>
      <c r="I5999" s="23" t="s">
        <v>36</v>
      </c>
      <c r="J5999" s="22"/>
      <c r="K5999" s="20">
        <v>20</v>
      </c>
      <c r="L5999" s="24">
        <v>31.63</v>
      </c>
      <c r="M5999" s="11"/>
      <c r="N5999" s="22">
        <f t="shared" si="349"/>
        <v>0</v>
      </c>
      <c r="O5999" s="28">
        <f>0.01*M5999</f>
        <v>0</v>
      </c>
      <c r="P5999" s="26">
        <f>0.00001*M5999</f>
        <v>0</v>
      </c>
      <c r="Q5999" s="30"/>
      <c r="R5999" s="22" t="s">
        <v>21417</v>
      </c>
      <c r="S5999" s="22" t="s">
        <v>435</v>
      </c>
      <c r="T5999" s="21" t="str">
        <f>HYPERLINK("https://miland.ru/api/getInfo/image/fcad4694-89a9-11ec-a211-ac1f6b442185")</f>
        <v>https://miland.ru/api/getInfo/image/fcad4694-89a9-11ec-a211-ac1f6b442185</v>
      </c>
      <c r="U5999" s="21"/>
      <c r="V5999" s="21" t="s">
        <v>9009</v>
      </c>
      <c r="W5999" s="21" t="s">
        <v>9010</v>
      </c>
      <c r="X5999" s="21"/>
      <c r="Y5999" s="21" t="s">
        <v>41</v>
      </c>
      <c r="Z5999" s="21"/>
      <c r="AA5999" s="21" t="str">
        <f>HYPERLINK("https://miland.ru/api/getInfo/item/fcad4694-89a9-11ec-a211-ac1f6b442185")</f>
        <v>https://miland.ru/api/getInfo/item/fcad4694-89a9-11ec-a211-ac1f6b442185</v>
      </c>
      <c r="AB5999" s="21" t="s">
        <v>42</v>
      </c>
      <c r="AC5999" s="21" t="s">
        <v>1698</v>
      </c>
      <c r="AD5999" s="21"/>
    </row>
    <row r="6000" spans="2:31" s="1" customFormat="1" ht="96.3" customHeight="1" outlineLevel="4">
      <c r="B6000" s="57">
        <v>4919</v>
      </c>
      <c r="C6000" s="21" t="s">
        <v>21418</v>
      </c>
      <c r="D6000" s="72" t="s">
        <v>21419</v>
      </c>
      <c r="E6000" s="72"/>
      <c r="F6000" s="72"/>
      <c r="G6000" s="72"/>
      <c r="H6000" s="22" t="s">
        <v>21420</v>
      </c>
      <c r="I6000" s="23" t="s">
        <v>36</v>
      </c>
      <c r="J6000" s="22"/>
      <c r="K6000" s="20">
        <v>20</v>
      </c>
      <c r="L6000" s="24">
        <v>31.63</v>
      </c>
      <c r="M6000" s="11"/>
      <c r="N6000" s="22">
        <f t="shared" si="349"/>
        <v>0</v>
      </c>
      <c r="O6000" s="28">
        <f>0.01*M6000</f>
        <v>0</v>
      </c>
      <c r="P6000" s="26">
        <f>0.00002*M6000</f>
        <v>0</v>
      </c>
      <c r="Q6000" s="30"/>
      <c r="R6000" s="22" t="s">
        <v>21421</v>
      </c>
      <c r="S6000" s="22" t="s">
        <v>435</v>
      </c>
      <c r="T6000" s="21" t="str">
        <f>HYPERLINK("https://miland.ru/api/getInfo/image/c4c4fd62-89ab-11ec-a211-ac1f6b442185")</f>
        <v>https://miland.ru/api/getInfo/image/c4c4fd62-89ab-11ec-a211-ac1f6b442185</v>
      </c>
      <c r="U6000" s="21"/>
      <c r="V6000" s="21" t="s">
        <v>9009</v>
      </c>
      <c r="W6000" s="21" t="s">
        <v>9010</v>
      </c>
      <c r="X6000" s="21"/>
      <c r="Y6000" s="21" t="s">
        <v>41</v>
      </c>
      <c r="Z6000" s="21"/>
      <c r="AA6000" s="21" t="str">
        <f>HYPERLINK("https://miland.ru/api/getInfo/item/c4c4fd62-89ab-11ec-a211-ac1f6b442185")</f>
        <v>https://miland.ru/api/getInfo/item/c4c4fd62-89ab-11ec-a211-ac1f6b442185</v>
      </c>
      <c r="AB6000" s="21" t="s">
        <v>42</v>
      </c>
      <c r="AC6000" s="21" t="s">
        <v>1698</v>
      </c>
      <c r="AD6000" s="21"/>
    </row>
    <row r="6001" spans="2:31" s="1" customFormat="1" ht="96.3" customHeight="1" outlineLevel="4">
      <c r="B6001" s="59">
        <v>4920</v>
      </c>
      <c r="C6001" s="35" t="s">
        <v>21422</v>
      </c>
      <c r="D6001" s="73" t="s">
        <v>21423</v>
      </c>
      <c r="E6001" s="73"/>
      <c r="F6001" s="73"/>
      <c r="G6001" s="73"/>
      <c r="H6001" s="36" t="s">
        <v>21424</v>
      </c>
      <c r="I6001" s="56" t="s">
        <v>36</v>
      </c>
      <c r="J6001" s="36"/>
      <c r="K6001" s="34">
        <v>20</v>
      </c>
      <c r="L6001" s="41">
        <v>13.333333333333334</v>
      </c>
      <c r="M6001" s="11"/>
      <c r="N6001" s="36">
        <f t="shared" si="349"/>
        <v>0</v>
      </c>
      <c r="O6001" s="47">
        <f>0.01*M6001</f>
        <v>0</v>
      </c>
      <c r="P6001" s="43">
        <f>0.00001*M6001</f>
        <v>0</v>
      </c>
      <c r="Q6001" s="50"/>
      <c r="R6001" s="36" t="s">
        <v>21425</v>
      </c>
      <c r="S6001" s="36" t="s">
        <v>435</v>
      </c>
      <c r="T6001" s="35" t="str">
        <f>HYPERLINK("https://miland.ru/api/getInfo/image/2fc51774-89ac-11ec-a211-ac1f6b442185")</f>
        <v>https://miland.ru/api/getInfo/image/2fc51774-89ac-11ec-a211-ac1f6b442185</v>
      </c>
      <c r="U6001" s="35"/>
      <c r="V6001" s="35" t="s">
        <v>9009</v>
      </c>
      <c r="W6001" s="35" t="s">
        <v>9010</v>
      </c>
      <c r="X6001" s="35"/>
      <c r="Y6001" s="35" t="s">
        <v>41</v>
      </c>
      <c r="Z6001" s="35"/>
      <c r="AA6001" s="35" t="str">
        <f>HYPERLINK("https://miland.ru/api/getInfo/item/2fc51774-89ac-11ec-a211-ac1f6b442185")</f>
        <v>https://miland.ru/api/getInfo/item/2fc51774-89ac-11ec-a211-ac1f6b442185</v>
      </c>
      <c r="AB6001" s="35" t="s">
        <v>50</v>
      </c>
      <c r="AC6001" s="35" t="s">
        <v>1698</v>
      </c>
      <c r="AD6001" s="35"/>
      <c r="AE6001" s="52" t="s">
        <v>1251</v>
      </c>
    </row>
    <row r="6002" spans="2:31" s="1" customFormat="1" ht="96.3" customHeight="1" outlineLevel="4">
      <c r="B6002" s="57">
        <v>4921</v>
      </c>
      <c r="C6002" s="21" t="s">
        <v>21426</v>
      </c>
      <c r="D6002" s="72" t="s">
        <v>21427</v>
      </c>
      <c r="E6002" s="72"/>
      <c r="F6002" s="72"/>
      <c r="G6002" s="72"/>
      <c r="H6002" s="22" t="s">
        <v>21428</v>
      </c>
      <c r="I6002" s="23" t="s">
        <v>36</v>
      </c>
      <c r="J6002" s="22"/>
      <c r="K6002" s="20">
        <v>20</v>
      </c>
      <c r="L6002" s="24">
        <v>31.63</v>
      </c>
      <c r="M6002" s="11"/>
      <c r="N6002" s="22">
        <f t="shared" si="349"/>
        <v>0</v>
      </c>
      <c r="O6002" s="25">
        <f>0.001*M6002</f>
        <v>0</v>
      </c>
      <c r="P6002" s="26">
        <f>0.00001*M6002</f>
        <v>0</v>
      </c>
      <c r="Q6002" s="30"/>
      <c r="R6002" s="22" t="s">
        <v>21429</v>
      </c>
      <c r="S6002" s="22" t="s">
        <v>435</v>
      </c>
      <c r="T6002" s="21" t="str">
        <f>HYPERLINK("https://miland.ru/api/getInfo/image/f55da2cb-89ae-11ec-a211-ac1f6b442185")</f>
        <v>https://miland.ru/api/getInfo/image/f55da2cb-89ae-11ec-a211-ac1f6b442185</v>
      </c>
      <c r="U6002" s="21"/>
      <c r="V6002" s="21" t="s">
        <v>9009</v>
      </c>
      <c r="W6002" s="21" t="s">
        <v>9010</v>
      </c>
      <c r="X6002" s="21"/>
      <c r="Y6002" s="21" t="s">
        <v>41</v>
      </c>
      <c r="Z6002" s="21"/>
      <c r="AA6002" s="21" t="str">
        <f>HYPERLINK("https://miland.ru/api/getInfo/item/f55da2cb-89ae-11ec-a211-ac1f6b442185")</f>
        <v>https://miland.ru/api/getInfo/item/f55da2cb-89ae-11ec-a211-ac1f6b442185</v>
      </c>
      <c r="AB6002" s="21" t="s">
        <v>42</v>
      </c>
      <c r="AC6002" s="21" t="s">
        <v>1698</v>
      </c>
      <c r="AD6002" s="21"/>
    </row>
    <row r="6003" spans="2:31" s="1" customFormat="1" ht="96.3" customHeight="1" outlineLevel="4">
      <c r="B6003" s="59">
        <v>4922</v>
      </c>
      <c r="C6003" s="35" t="s">
        <v>21430</v>
      </c>
      <c r="D6003" s="73" t="s">
        <v>21431</v>
      </c>
      <c r="E6003" s="73"/>
      <c r="F6003" s="73"/>
      <c r="G6003" s="73"/>
      <c r="H6003" s="36" t="s">
        <v>21432</v>
      </c>
      <c r="I6003" s="56" t="s">
        <v>36</v>
      </c>
      <c r="J6003" s="36"/>
      <c r="K6003" s="34">
        <v>20</v>
      </c>
      <c r="L6003" s="41">
        <v>13.333333333333334</v>
      </c>
      <c r="M6003" s="11"/>
      <c r="N6003" s="36">
        <f t="shared" si="349"/>
        <v>0</v>
      </c>
      <c r="O6003" s="47">
        <f>0.01*M6003</f>
        <v>0</v>
      </c>
      <c r="P6003" s="43">
        <f>0.00001*M6003</f>
        <v>0</v>
      </c>
      <c r="Q6003" s="50"/>
      <c r="R6003" s="36" t="s">
        <v>21433</v>
      </c>
      <c r="S6003" s="36" t="s">
        <v>435</v>
      </c>
      <c r="T6003" s="35" t="str">
        <f>HYPERLINK("https://miland.ru/api/getInfo/image/68625eca-89b0-11ec-a211-ac1f6b442185")</f>
        <v>https://miland.ru/api/getInfo/image/68625eca-89b0-11ec-a211-ac1f6b442185</v>
      </c>
      <c r="U6003" s="35"/>
      <c r="V6003" s="35" t="s">
        <v>9009</v>
      </c>
      <c r="W6003" s="35" t="s">
        <v>9010</v>
      </c>
      <c r="X6003" s="35"/>
      <c r="Y6003" s="35" t="s">
        <v>41</v>
      </c>
      <c r="Z6003" s="35"/>
      <c r="AA6003" s="35" t="str">
        <f>HYPERLINK("https://miland.ru/api/getInfo/item/68625eca-89b0-11ec-a211-ac1f6b442185")</f>
        <v>https://miland.ru/api/getInfo/item/68625eca-89b0-11ec-a211-ac1f6b442185</v>
      </c>
      <c r="AB6003" s="35" t="s">
        <v>50</v>
      </c>
      <c r="AC6003" s="35" t="s">
        <v>1698</v>
      </c>
      <c r="AD6003" s="35"/>
      <c r="AE6003" s="52" t="s">
        <v>1251</v>
      </c>
    </row>
    <row r="6004" spans="2:31" s="1" customFormat="1" ht="96.3" customHeight="1" outlineLevel="4">
      <c r="B6004" s="57">
        <v>4923</v>
      </c>
      <c r="C6004" s="21" t="s">
        <v>21434</v>
      </c>
      <c r="D6004" s="72" t="s">
        <v>21435</v>
      </c>
      <c r="E6004" s="72"/>
      <c r="F6004" s="72"/>
      <c r="G6004" s="72"/>
      <c r="H6004" s="22" t="s">
        <v>21436</v>
      </c>
      <c r="I6004" s="23" t="s">
        <v>36</v>
      </c>
      <c r="J6004" s="22"/>
      <c r="K6004" s="20">
        <v>20</v>
      </c>
      <c r="L6004" s="24">
        <v>31.63</v>
      </c>
      <c r="M6004" s="11"/>
      <c r="N6004" s="22">
        <f t="shared" si="349"/>
        <v>0</v>
      </c>
      <c r="O6004" s="25">
        <f>0.001*M6004</f>
        <v>0</v>
      </c>
      <c r="P6004" s="26">
        <f>0.00001*M6004</f>
        <v>0</v>
      </c>
      <c r="Q6004" s="30"/>
      <c r="R6004" s="22" t="s">
        <v>21437</v>
      </c>
      <c r="S6004" s="22" t="s">
        <v>435</v>
      </c>
      <c r="T6004" s="21" t="str">
        <f>HYPERLINK("https://miland.ru/api/getInfo/image/feb4d841-89af-11ec-a211-ac1f6b442185")</f>
        <v>https://miland.ru/api/getInfo/image/feb4d841-89af-11ec-a211-ac1f6b442185</v>
      </c>
      <c r="U6004" s="21"/>
      <c r="V6004" s="21" t="s">
        <v>9009</v>
      </c>
      <c r="W6004" s="21" t="s">
        <v>9010</v>
      </c>
      <c r="X6004" s="21"/>
      <c r="Y6004" s="21" t="s">
        <v>41</v>
      </c>
      <c r="Z6004" s="21"/>
      <c r="AA6004" s="21" t="str">
        <f>HYPERLINK("https://miland.ru/api/getInfo/item/feb4d841-89af-11ec-a211-ac1f6b442185")</f>
        <v>https://miland.ru/api/getInfo/item/feb4d841-89af-11ec-a211-ac1f6b442185</v>
      </c>
      <c r="AB6004" s="21" t="s">
        <v>42</v>
      </c>
      <c r="AC6004" s="21" t="s">
        <v>1698</v>
      </c>
      <c r="AD6004" s="21"/>
    </row>
    <row r="6005" spans="2:31" s="1" customFormat="1" ht="96.3" customHeight="1" outlineLevel="4">
      <c r="B6005" s="59">
        <v>4924</v>
      </c>
      <c r="C6005" s="35" t="s">
        <v>21438</v>
      </c>
      <c r="D6005" s="73" t="s">
        <v>21439</v>
      </c>
      <c r="E6005" s="73"/>
      <c r="F6005" s="73"/>
      <c r="G6005" s="73"/>
      <c r="H6005" s="36" t="s">
        <v>21440</v>
      </c>
      <c r="I6005" s="56" t="s">
        <v>36</v>
      </c>
      <c r="J6005" s="36"/>
      <c r="K6005" s="34">
        <v>20</v>
      </c>
      <c r="L6005" s="41">
        <v>13.333333333333334</v>
      </c>
      <c r="M6005" s="11"/>
      <c r="N6005" s="36">
        <f t="shared" si="349"/>
        <v>0</v>
      </c>
      <c r="O6005" s="47">
        <f>0.01*M6005</f>
        <v>0</v>
      </c>
      <c r="P6005" s="43">
        <f>0.00003*M6005</f>
        <v>0</v>
      </c>
      <c r="Q6005" s="50"/>
      <c r="R6005" s="36" t="s">
        <v>21441</v>
      </c>
      <c r="S6005" s="36" t="s">
        <v>435</v>
      </c>
      <c r="T6005" s="35" t="str">
        <f>HYPERLINK("https://miland.ru/api/getInfo/image/51526f4e-89ab-11ec-a211-ac1f6b442185")</f>
        <v>https://miland.ru/api/getInfo/image/51526f4e-89ab-11ec-a211-ac1f6b442185</v>
      </c>
      <c r="U6005" s="35"/>
      <c r="V6005" s="35" t="s">
        <v>9009</v>
      </c>
      <c r="W6005" s="35" t="s">
        <v>9010</v>
      </c>
      <c r="X6005" s="35"/>
      <c r="Y6005" s="35" t="s">
        <v>41</v>
      </c>
      <c r="Z6005" s="35"/>
      <c r="AA6005" s="35" t="str">
        <f>HYPERLINK("https://miland.ru/api/getInfo/item/51526f4e-89ab-11ec-a211-ac1f6b442185")</f>
        <v>https://miland.ru/api/getInfo/item/51526f4e-89ab-11ec-a211-ac1f6b442185</v>
      </c>
      <c r="AB6005" s="35" t="s">
        <v>50</v>
      </c>
      <c r="AC6005" s="35" t="s">
        <v>1698</v>
      </c>
      <c r="AD6005" s="35"/>
      <c r="AE6005" s="52" t="s">
        <v>1251</v>
      </c>
    </row>
    <row r="6006" spans="2:31" s="1" customFormat="1" ht="96.3" customHeight="1" outlineLevel="4">
      <c r="B6006" s="57">
        <v>4925</v>
      </c>
      <c r="C6006" s="21" t="s">
        <v>21442</v>
      </c>
      <c r="D6006" s="72" t="s">
        <v>21443</v>
      </c>
      <c r="E6006" s="72"/>
      <c r="F6006" s="72"/>
      <c r="G6006" s="72"/>
      <c r="H6006" s="22" t="s">
        <v>21444</v>
      </c>
      <c r="I6006" s="23" t="s">
        <v>36</v>
      </c>
      <c r="J6006" s="22"/>
      <c r="K6006" s="20">
        <v>20</v>
      </c>
      <c r="L6006" s="24">
        <v>31.63</v>
      </c>
      <c r="M6006" s="11"/>
      <c r="N6006" s="22">
        <f t="shared" si="349"/>
        <v>0</v>
      </c>
      <c r="O6006" s="25">
        <f>0.019*M6006</f>
        <v>0</v>
      </c>
      <c r="P6006" s="26">
        <f>0.00007*M6006</f>
        <v>0</v>
      </c>
      <c r="Q6006" s="30"/>
      <c r="R6006" s="22" t="s">
        <v>21445</v>
      </c>
      <c r="S6006" s="22"/>
      <c r="T6006" s="21" t="str">
        <f>HYPERLINK("https://miland.ru/api/getInfo/image/316cc0f9-84a0-11ef-a265-00155d82e908")</f>
        <v>https://miland.ru/api/getInfo/image/316cc0f9-84a0-11ef-a265-00155d82e908</v>
      </c>
      <c r="U6006" s="21"/>
      <c r="V6006" s="21" t="s">
        <v>9009</v>
      </c>
      <c r="W6006" s="21" t="s">
        <v>9010</v>
      </c>
      <c r="X6006" s="21"/>
      <c r="Y6006" s="21" t="s">
        <v>41</v>
      </c>
      <c r="Z6006" s="21"/>
      <c r="AA6006" s="21" t="str">
        <f>HYPERLINK("https://miland.ru/api/getInfo/item/316cc0f9-84a0-11ef-a265-00155d82e908")</f>
        <v>https://miland.ru/api/getInfo/item/316cc0f9-84a0-11ef-a265-00155d82e908</v>
      </c>
      <c r="AB6006" s="21" t="s">
        <v>42</v>
      </c>
      <c r="AC6006" s="21" t="s">
        <v>1698</v>
      </c>
      <c r="AD6006" s="21"/>
    </row>
    <row r="6007" spans="2:31" s="1" customFormat="1" ht="96.3" customHeight="1" outlineLevel="4">
      <c r="B6007" s="57">
        <v>4926</v>
      </c>
      <c r="C6007" s="21" t="s">
        <v>21446</v>
      </c>
      <c r="D6007" s="72" t="s">
        <v>21447</v>
      </c>
      <c r="E6007" s="72"/>
      <c r="F6007" s="72"/>
      <c r="G6007" s="72"/>
      <c r="H6007" s="22" t="s">
        <v>21448</v>
      </c>
      <c r="I6007" s="23" t="s">
        <v>36</v>
      </c>
      <c r="J6007" s="22"/>
      <c r="K6007" s="20">
        <v>20</v>
      </c>
      <c r="L6007" s="24">
        <v>31.63</v>
      </c>
      <c r="M6007" s="11"/>
      <c r="N6007" s="22">
        <f t="shared" si="349"/>
        <v>0</v>
      </c>
      <c r="O6007" s="25">
        <f>0.019*M6007</f>
        <v>0</v>
      </c>
      <c r="P6007" s="26">
        <f>0.00007*M6007</f>
        <v>0</v>
      </c>
      <c r="Q6007" s="30"/>
      <c r="R6007" s="22" t="s">
        <v>21449</v>
      </c>
      <c r="S6007" s="22"/>
      <c r="T6007" s="21" t="str">
        <f>HYPERLINK("https://miland.ru/api/getInfo/image/8228fc53-849e-11ef-a265-00155d82e908")</f>
        <v>https://miland.ru/api/getInfo/image/8228fc53-849e-11ef-a265-00155d82e908</v>
      </c>
      <c r="U6007" s="21"/>
      <c r="V6007" s="21" t="s">
        <v>9009</v>
      </c>
      <c r="W6007" s="21" t="s">
        <v>9010</v>
      </c>
      <c r="X6007" s="21"/>
      <c r="Y6007" s="21" t="s">
        <v>41</v>
      </c>
      <c r="Z6007" s="21"/>
      <c r="AA6007" s="21" t="str">
        <f>HYPERLINK("https://miland.ru/api/getInfo/item/8228fc53-849e-11ef-a265-00155d82e908")</f>
        <v>https://miland.ru/api/getInfo/item/8228fc53-849e-11ef-a265-00155d82e908</v>
      </c>
      <c r="AB6007" s="21" t="s">
        <v>42</v>
      </c>
      <c r="AC6007" s="21" t="s">
        <v>1698</v>
      </c>
      <c r="AD6007" s="21"/>
    </row>
    <row r="6008" spans="2:31" s="1" customFormat="1" ht="96.3" customHeight="1" outlineLevel="4">
      <c r="B6008" s="57">
        <v>4927</v>
      </c>
      <c r="C6008" s="21" t="s">
        <v>21450</v>
      </c>
      <c r="D6008" s="72" t="s">
        <v>21451</v>
      </c>
      <c r="E6008" s="72"/>
      <c r="F6008" s="72"/>
      <c r="G6008" s="72"/>
      <c r="H6008" s="22" t="s">
        <v>21452</v>
      </c>
      <c r="I6008" s="23" t="s">
        <v>36</v>
      </c>
      <c r="J6008" s="22"/>
      <c r="K6008" s="20">
        <v>20</v>
      </c>
      <c r="L6008" s="24">
        <v>31.63</v>
      </c>
      <c r="M6008" s="11"/>
      <c r="N6008" s="22">
        <f t="shared" si="349"/>
        <v>0</v>
      </c>
      <c r="O6008" s="25">
        <f>0.019*M6008</f>
        <v>0</v>
      </c>
      <c r="P6008" s="26">
        <f>0.00007*M6008</f>
        <v>0</v>
      </c>
      <c r="Q6008" s="30"/>
      <c r="R6008" s="22" t="s">
        <v>21453</v>
      </c>
      <c r="S6008" s="22"/>
      <c r="T6008" s="21" t="str">
        <f>HYPERLINK("https://miland.ru/api/getInfo/image/9bf62e0e-849f-11ef-a265-00155d82e908")</f>
        <v>https://miland.ru/api/getInfo/image/9bf62e0e-849f-11ef-a265-00155d82e908</v>
      </c>
      <c r="U6008" s="21"/>
      <c r="V6008" s="21" t="s">
        <v>9009</v>
      </c>
      <c r="W6008" s="21" t="s">
        <v>9010</v>
      </c>
      <c r="X6008" s="21"/>
      <c r="Y6008" s="21" t="s">
        <v>41</v>
      </c>
      <c r="Z6008" s="21"/>
      <c r="AA6008" s="21" t="str">
        <f>HYPERLINK("https://miland.ru/api/getInfo/item/9bf62e0e-849f-11ef-a265-00155d82e908")</f>
        <v>https://miland.ru/api/getInfo/item/9bf62e0e-849f-11ef-a265-00155d82e908</v>
      </c>
      <c r="AB6008" s="21" t="s">
        <v>42</v>
      </c>
      <c r="AC6008" s="21" t="s">
        <v>1698</v>
      </c>
      <c r="AD6008" s="21"/>
    </row>
    <row r="6009" spans="2:31" s="1" customFormat="1" ht="96.3" customHeight="1" outlineLevel="4">
      <c r="B6009" s="57">
        <v>4928</v>
      </c>
      <c r="C6009" s="21" t="s">
        <v>21454</v>
      </c>
      <c r="D6009" s="72" t="s">
        <v>21455</v>
      </c>
      <c r="E6009" s="72"/>
      <c r="F6009" s="72"/>
      <c r="G6009" s="72"/>
      <c r="H6009" s="22" t="s">
        <v>21456</v>
      </c>
      <c r="I6009" s="23" t="s">
        <v>36</v>
      </c>
      <c r="J6009" s="22"/>
      <c r="K6009" s="20">
        <v>20</v>
      </c>
      <c r="L6009" s="24">
        <v>31.63</v>
      </c>
      <c r="M6009" s="11"/>
      <c r="N6009" s="22">
        <f t="shared" si="349"/>
        <v>0</v>
      </c>
      <c r="O6009" s="25">
        <f>0.019*M6009</f>
        <v>0</v>
      </c>
      <c r="P6009" s="26">
        <f>0.00007*M6009</f>
        <v>0</v>
      </c>
      <c r="Q6009" s="30"/>
      <c r="R6009" s="22" t="s">
        <v>21457</v>
      </c>
      <c r="S6009" s="22"/>
      <c r="T6009" s="21" t="str">
        <f>HYPERLINK("https://miland.ru/api/getInfo/image/b8f8fc2f-849f-11ef-a265-00155d82e908")</f>
        <v>https://miland.ru/api/getInfo/image/b8f8fc2f-849f-11ef-a265-00155d82e908</v>
      </c>
      <c r="U6009" s="21"/>
      <c r="V6009" s="21" t="s">
        <v>9009</v>
      </c>
      <c r="W6009" s="21" t="s">
        <v>9010</v>
      </c>
      <c r="X6009" s="21"/>
      <c r="Y6009" s="21" t="s">
        <v>41</v>
      </c>
      <c r="Z6009" s="21"/>
      <c r="AA6009" s="21" t="str">
        <f>HYPERLINK("https://miland.ru/api/getInfo/item/b8f8fc2f-849f-11ef-a265-00155d82e908")</f>
        <v>https://miland.ru/api/getInfo/item/b8f8fc2f-849f-11ef-a265-00155d82e908</v>
      </c>
      <c r="AB6009" s="21" t="s">
        <v>42</v>
      </c>
      <c r="AC6009" s="21" t="s">
        <v>1698</v>
      </c>
      <c r="AD6009" s="21"/>
    </row>
    <row r="6010" spans="2:31" s="1" customFormat="1" ht="96.3" customHeight="1" outlineLevel="4">
      <c r="B6010" s="57">
        <v>4929</v>
      </c>
      <c r="C6010" s="21" t="s">
        <v>21458</v>
      </c>
      <c r="D6010" s="72" t="s">
        <v>21459</v>
      </c>
      <c r="E6010" s="72"/>
      <c r="F6010" s="72"/>
      <c r="G6010" s="72"/>
      <c r="H6010" s="22" t="s">
        <v>21460</v>
      </c>
      <c r="I6010" s="27">
        <v>10</v>
      </c>
      <c r="J6010" s="22"/>
      <c r="K6010" s="20">
        <v>10</v>
      </c>
      <c r="L6010" s="24">
        <v>31.63</v>
      </c>
      <c r="M6010" s="11"/>
      <c r="N6010" s="22">
        <f t="shared" si="349"/>
        <v>0</v>
      </c>
      <c r="O6010" s="25">
        <f>0.015*M6010</f>
        <v>0</v>
      </c>
      <c r="P6010" s="26">
        <f>0.00001*M6010</f>
        <v>0</v>
      </c>
      <c r="Q6010" s="30"/>
      <c r="R6010" s="22" t="s">
        <v>21461</v>
      </c>
      <c r="S6010" s="22" t="s">
        <v>435</v>
      </c>
      <c r="T6010" s="21" t="str">
        <f>HYPERLINK("https://miland.ru/api/getInfo/image/e0caa777-b80e-11ed-a230-00155d82e902")</f>
        <v>https://miland.ru/api/getInfo/image/e0caa777-b80e-11ed-a230-00155d82e902</v>
      </c>
      <c r="U6010" s="21"/>
      <c r="V6010" s="21" t="s">
        <v>9009</v>
      </c>
      <c r="W6010" s="21" t="s">
        <v>9010</v>
      </c>
      <c r="X6010" s="21"/>
      <c r="Y6010" s="21" t="s">
        <v>41</v>
      </c>
      <c r="Z6010" s="21"/>
      <c r="AA6010" s="21" t="str">
        <f>HYPERLINK("https://miland.ru/api/getInfo/item/e0caa777-b80e-11ed-a230-00155d82e902")</f>
        <v>https://miland.ru/api/getInfo/item/e0caa777-b80e-11ed-a230-00155d82e902</v>
      </c>
      <c r="AB6010" s="21" t="s">
        <v>42</v>
      </c>
      <c r="AC6010" s="21" t="s">
        <v>1698</v>
      </c>
      <c r="AD6010" s="21"/>
    </row>
    <row r="6011" spans="2:31" s="1" customFormat="1" ht="96.3" customHeight="1" outlineLevel="4">
      <c r="B6011" s="59">
        <v>4930</v>
      </c>
      <c r="C6011" s="35" t="s">
        <v>21462</v>
      </c>
      <c r="D6011" s="73" t="s">
        <v>21463</v>
      </c>
      <c r="E6011" s="73"/>
      <c r="F6011" s="73"/>
      <c r="G6011" s="73"/>
      <c r="H6011" s="36" t="s">
        <v>21464</v>
      </c>
      <c r="I6011" s="56" t="s">
        <v>36</v>
      </c>
      <c r="J6011" s="36"/>
      <c r="K6011" s="34">
        <v>20</v>
      </c>
      <c r="L6011" s="41">
        <v>13.333333333333334</v>
      </c>
      <c r="M6011" s="11"/>
      <c r="N6011" s="36">
        <f t="shared" si="349"/>
        <v>0</v>
      </c>
      <c r="O6011" s="47">
        <f>0.01*M6011</f>
        <v>0</v>
      </c>
      <c r="P6011" s="43">
        <f>0.00001*M6011</f>
        <v>0</v>
      </c>
      <c r="Q6011" s="50"/>
      <c r="R6011" s="36" t="s">
        <v>21465</v>
      </c>
      <c r="S6011" s="36" t="s">
        <v>435</v>
      </c>
      <c r="T6011" s="35" t="str">
        <f>HYPERLINK("https://miland.ru/api/getInfo/image/a1b598c3-89ac-11ec-a211-ac1f6b442185")</f>
        <v>https://miland.ru/api/getInfo/image/a1b598c3-89ac-11ec-a211-ac1f6b442185</v>
      </c>
      <c r="U6011" s="35"/>
      <c r="V6011" s="35" t="s">
        <v>9009</v>
      </c>
      <c r="W6011" s="35" t="s">
        <v>9010</v>
      </c>
      <c r="X6011" s="35"/>
      <c r="Y6011" s="35" t="s">
        <v>41</v>
      </c>
      <c r="Z6011" s="35"/>
      <c r="AA6011" s="35" t="str">
        <f>HYPERLINK("https://miland.ru/api/getInfo/item/a1b598c3-89ac-11ec-a211-ac1f6b442185")</f>
        <v>https://miland.ru/api/getInfo/item/a1b598c3-89ac-11ec-a211-ac1f6b442185</v>
      </c>
      <c r="AB6011" s="35" t="s">
        <v>50</v>
      </c>
      <c r="AC6011" s="35" t="s">
        <v>1698</v>
      </c>
      <c r="AD6011" s="35"/>
      <c r="AE6011" s="52" t="s">
        <v>1251</v>
      </c>
    </row>
    <row r="6012" spans="2:31" s="1" customFormat="1" ht="96.3" customHeight="1" outlineLevel="4">
      <c r="B6012" s="57">
        <v>4931</v>
      </c>
      <c r="C6012" s="21" t="s">
        <v>21466</v>
      </c>
      <c r="D6012" s="72" t="s">
        <v>21467</v>
      </c>
      <c r="E6012" s="72"/>
      <c r="F6012" s="72"/>
      <c r="G6012" s="72"/>
      <c r="H6012" s="22" t="s">
        <v>21468</v>
      </c>
      <c r="I6012" s="23" t="s">
        <v>36</v>
      </c>
      <c r="J6012" s="22"/>
      <c r="K6012" s="20">
        <v>20</v>
      </c>
      <c r="L6012" s="24">
        <v>31.63</v>
      </c>
      <c r="M6012" s="11"/>
      <c r="N6012" s="22">
        <f t="shared" si="349"/>
        <v>0</v>
      </c>
      <c r="O6012" s="25">
        <f>0.019*M6012</f>
        <v>0</v>
      </c>
      <c r="P6012" s="26">
        <f>0.00012*M6012</f>
        <v>0</v>
      </c>
      <c r="Q6012" s="30"/>
      <c r="R6012" s="22" t="s">
        <v>21469</v>
      </c>
      <c r="S6012" s="22"/>
      <c r="T6012" s="21" t="str">
        <f>HYPERLINK("https://miland.ru/api/getInfo/image/48249ebf-849f-11ef-a265-00155d82e908")</f>
        <v>https://miland.ru/api/getInfo/image/48249ebf-849f-11ef-a265-00155d82e908</v>
      </c>
      <c r="U6012" s="21"/>
      <c r="V6012" s="21" t="s">
        <v>9009</v>
      </c>
      <c r="W6012" s="21" t="s">
        <v>9010</v>
      </c>
      <c r="X6012" s="21"/>
      <c r="Y6012" s="21" t="s">
        <v>41</v>
      </c>
      <c r="Z6012" s="21"/>
      <c r="AA6012" s="21" t="str">
        <f>HYPERLINK("https://miland.ru/api/getInfo/item/48249ebf-849f-11ef-a265-00155d82e908")</f>
        <v>https://miland.ru/api/getInfo/item/48249ebf-849f-11ef-a265-00155d82e908</v>
      </c>
      <c r="AB6012" s="21" t="s">
        <v>42</v>
      </c>
      <c r="AC6012" s="21" t="s">
        <v>1698</v>
      </c>
      <c r="AD6012" s="21"/>
    </row>
    <row r="6013" spans="2:31" s="1" customFormat="1" ht="96.3" customHeight="1" outlineLevel="4">
      <c r="B6013" s="57">
        <v>4932</v>
      </c>
      <c r="C6013" s="21" t="s">
        <v>21470</v>
      </c>
      <c r="D6013" s="72" t="s">
        <v>21471</v>
      </c>
      <c r="E6013" s="72"/>
      <c r="F6013" s="72"/>
      <c r="G6013" s="72"/>
      <c r="H6013" s="22" t="s">
        <v>21472</v>
      </c>
      <c r="I6013" s="23" t="s">
        <v>36</v>
      </c>
      <c r="J6013" s="22"/>
      <c r="K6013" s="20">
        <v>20</v>
      </c>
      <c r="L6013" s="24">
        <v>31.63</v>
      </c>
      <c r="M6013" s="11"/>
      <c r="N6013" s="22">
        <f t="shared" si="349"/>
        <v>0</v>
      </c>
      <c r="O6013" s="25">
        <f>0.019*M6013</f>
        <v>0</v>
      </c>
      <c r="P6013" s="26">
        <f>0.00007*M6013</f>
        <v>0</v>
      </c>
      <c r="Q6013" s="30"/>
      <c r="R6013" s="22" t="s">
        <v>21473</v>
      </c>
      <c r="S6013" s="22"/>
      <c r="T6013" s="21" t="str">
        <f>HYPERLINK("https://miland.ru/api/getInfo/image/d5bb65fd-849f-11ef-a265-00155d82e908")</f>
        <v>https://miland.ru/api/getInfo/image/d5bb65fd-849f-11ef-a265-00155d82e908</v>
      </c>
      <c r="U6013" s="21"/>
      <c r="V6013" s="21" t="s">
        <v>9009</v>
      </c>
      <c r="W6013" s="21" t="s">
        <v>9010</v>
      </c>
      <c r="X6013" s="21"/>
      <c r="Y6013" s="21" t="s">
        <v>41</v>
      </c>
      <c r="Z6013" s="21"/>
      <c r="AA6013" s="21" t="str">
        <f>HYPERLINK("https://miland.ru/api/getInfo/item/d5bb65fd-849f-11ef-a265-00155d82e908")</f>
        <v>https://miland.ru/api/getInfo/item/d5bb65fd-849f-11ef-a265-00155d82e908</v>
      </c>
      <c r="AB6013" s="21" t="s">
        <v>42</v>
      </c>
      <c r="AC6013" s="21" t="s">
        <v>1698</v>
      </c>
      <c r="AD6013" s="21"/>
    </row>
    <row r="6014" spans="2:31" s="1" customFormat="1" ht="96.3" customHeight="1" outlineLevel="4">
      <c r="B6014" s="59">
        <v>4933</v>
      </c>
      <c r="C6014" s="35" t="s">
        <v>21474</v>
      </c>
      <c r="D6014" s="73" t="s">
        <v>21475</v>
      </c>
      <c r="E6014" s="73"/>
      <c r="F6014" s="73"/>
      <c r="G6014" s="73"/>
      <c r="H6014" s="36" t="s">
        <v>21476</v>
      </c>
      <c r="I6014" s="56" t="s">
        <v>36</v>
      </c>
      <c r="J6014" s="36"/>
      <c r="K6014" s="34">
        <v>20</v>
      </c>
      <c r="L6014" s="41">
        <v>13.333333333333334</v>
      </c>
      <c r="M6014" s="11"/>
      <c r="N6014" s="36">
        <f t="shared" si="349"/>
        <v>0</v>
      </c>
      <c r="O6014" s="42">
        <f>0.009*M6014</f>
        <v>0</v>
      </c>
      <c r="P6014" s="43">
        <f>0.00001*M6014</f>
        <v>0</v>
      </c>
      <c r="Q6014" s="50"/>
      <c r="R6014" s="36" t="s">
        <v>21477</v>
      </c>
      <c r="S6014" s="36" t="s">
        <v>435</v>
      </c>
      <c r="T6014" s="35" t="str">
        <f>HYPERLINK("https://miland.ru/api/getInfo/image/9f8dbf33-89af-11ec-a211-ac1f6b442185")</f>
        <v>https://miland.ru/api/getInfo/image/9f8dbf33-89af-11ec-a211-ac1f6b442185</v>
      </c>
      <c r="U6014" s="35"/>
      <c r="V6014" s="35" t="s">
        <v>9009</v>
      </c>
      <c r="W6014" s="35" t="s">
        <v>9010</v>
      </c>
      <c r="X6014" s="35"/>
      <c r="Y6014" s="35" t="s">
        <v>41</v>
      </c>
      <c r="Z6014" s="35"/>
      <c r="AA6014" s="35" t="str">
        <f>HYPERLINK("https://miland.ru/api/getInfo/item/9f8dbf33-89af-11ec-a211-ac1f6b442185")</f>
        <v>https://miland.ru/api/getInfo/item/9f8dbf33-89af-11ec-a211-ac1f6b442185</v>
      </c>
      <c r="AB6014" s="35" t="s">
        <v>50</v>
      </c>
      <c r="AC6014" s="35" t="s">
        <v>1698</v>
      </c>
      <c r="AD6014" s="35"/>
      <c r="AE6014" s="52" t="s">
        <v>1251</v>
      </c>
    </row>
    <row r="6015" spans="2:31" s="1" customFormat="1" ht="96.3" customHeight="1" outlineLevel="4">
      <c r="B6015" s="59">
        <v>4934</v>
      </c>
      <c r="C6015" s="35" t="s">
        <v>21478</v>
      </c>
      <c r="D6015" s="73" t="s">
        <v>21479</v>
      </c>
      <c r="E6015" s="73"/>
      <c r="F6015" s="73"/>
      <c r="G6015" s="73"/>
      <c r="H6015" s="36" t="s">
        <v>21480</v>
      </c>
      <c r="I6015" s="56" t="s">
        <v>36</v>
      </c>
      <c r="J6015" s="36"/>
      <c r="K6015" s="34">
        <v>20</v>
      </c>
      <c r="L6015" s="41">
        <v>13.333333333333334</v>
      </c>
      <c r="M6015" s="11"/>
      <c r="N6015" s="36">
        <f t="shared" si="349"/>
        <v>0</v>
      </c>
      <c r="O6015" s="47">
        <f>0.01*M6015</f>
        <v>0</v>
      </c>
      <c r="P6015" s="43">
        <f>0.00001*M6015</f>
        <v>0</v>
      </c>
      <c r="Q6015" s="50"/>
      <c r="R6015" s="36" t="s">
        <v>21481</v>
      </c>
      <c r="S6015" s="36" t="s">
        <v>435</v>
      </c>
      <c r="T6015" s="35" t="str">
        <f>HYPERLINK("https://miland.ru/api/getInfo/image/0b3a9409-89ad-11ec-a211-ac1f6b442185")</f>
        <v>https://miland.ru/api/getInfo/image/0b3a9409-89ad-11ec-a211-ac1f6b442185</v>
      </c>
      <c r="U6015" s="35"/>
      <c r="V6015" s="35" t="s">
        <v>9009</v>
      </c>
      <c r="W6015" s="35" t="s">
        <v>9010</v>
      </c>
      <c r="X6015" s="35"/>
      <c r="Y6015" s="35" t="s">
        <v>41</v>
      </c>
      <c r="Z6015" s="35"/>
      <c r="AA6015" s="35" t="str">
        <f>HYPERLINK("https://miland.ru/api/getInfo/item/0b3a9409-89ad-11ec-a211-ac1f6b442185")</f>
        <v>https://miland.ru/api/getInfo/item/0b3a9409-89ad-11ec-a211-ac1f6b442185</v>
      </c>
      <c r="AB6015" s="35" t="s">
        <v>50</v>
      </c>
      <c r="AC6015" s="35" t="s">
        <v>1698</v>
      </c>
      <c r="AD6015" s="35"/>
      <c r="AE6015" s="52" t="s">
        <v>1251</v>
      </c>
    </row>
    <row r="6016" spans="2:31" s="1" customFormat="1" ht="96.3" customHeight="1" outlineLevel="4">
      <c r="B6016" s="57">
        <v>4935</v>
      </c>
      <c r="C6016" s="21" t="s">
        <v>21482</v>
      </c>
      <c r="D6016" s="72" t="s">
        <v>21483</v>
      </c>
      <c r="E6016" s="72"/>
      <c r="F6016" s="72"/>
      <c r="G6016" s="72"/>
      <c r="H6016" s="22" t="s">
        <v>21484</v>
      </c>
      <c r="I6016" s="23" t="s">
        <v>36</v>
      </c>
      <c r="J6016" s="22"/>
      <c r="K6016" s="20">
        <v>20</v>
      </c>
      <c r="L6016" s="24">
        <v>31.63</v>
      </c>
      <c r="M6016" s="11"/>
      <c r="N6016" s="22">
        <f t="shared" si="349"/>
        <v>0</v>
      </c>
      <c r="O6016" s="25">
        <f t="shared" ref="O6016:O6022" si="350">0.019*M6016</f>
        <v>0</v>
      </c>
      <c r="P6016" s="26">
        <f t="shared" ref="P6016:P6022" si="351">0.00007*M6016</f>
        <v>0</v>
      </c>
      <c r="Q6016" s="30"/>
      <c r="R6016" s="22" t="s">
        <v>21485</v>
      </c>
      <c r="S6016" s="22"/>
      <c r="T6016" s="21" t="str">
        <f>HYPERLINK("https://miland.ru/api/getInfo/image/a412476d-849e-11ef-a265-00155d82e908")</f>
        <v>https://miland.ru/api/getInfo/image/a412476d-849e-11ef-a265-00155d82e908</v>
      </c>
      <c r="U6016" s="21"/>
      <c r="V6016" s="21" t="s">
        <v>9009</v>
      </c>
      <c r="W6016" s="21" t="s">
        <v>9010</v>
      </c>
      <c r="X6016" s="21"/>
      <c r="Y6016" s="21" t="s">
        <v>41</v>
      </c>
      <c r="Z6016" s="21"/>
      <c r="AA6016" s="21" t="str">
        <f>HYPERLINK("https://miland.ru/api/getInfo/item/a412476d-849e-11ef-a265-00155d82e908")</f>
        <v>https://miland.ru/api/getInfo/item/a412476d-849e-11ef-a265-00155d82e908</v>
      </c>
      <c r="AB6016" s="21" t="s">
        <v>42</v>
      </c>
      <c r="AC6016" s="21" t="s">
        <v>1698</v>
      </c>
      <c r="AD6016" s="21"/>
    </row>
    <row r="6017" spans="2:31" s="1" customFormat="1" ht="96.3" customHeight="1" outlineLevel="4">
      <c r="B6017" s="57">
        <v>4936</v>
      </c>
      <c r="C6017" s="21" t="s">
        <v>21486</v>
      </c>
      <c r="D6017" s="72" t="s">
        <v>21487</v>
      </c>
      <c r="E6017" s="72"/>
      <c r="F6017" s="72"/>
      <c r="G6017" s="72"/>
      <c r="H6017" s="22" t="s">
        <v>21488</v>
      </c>
      <c r="I6017" s="23" t="s">
        <v>36</v>
      </c>
      <c r="J6017" s="22"/>
      <c r="K6017" s="20">
        <v>20</v>
      </c>
      <c r="L6017" s="24">
        <v>31.63</v>
      </c>
      <c r="M6017" s="11"/>
      <c r="N6017" s="22">
        <f t="shared" si="349"/>
        <v>0</v>
      </c>
      <c r="O6017" s="25">
        <f t="shared" si="350"/>
        <v>0</v>
      </c>
      <c r="P6017" s="26">
        <f t="shared" si="351"/>
        <v>0</v>
      </c>
      <c r="Q6017" s="30"/>
      <c r="R6017" s="22" t="s">
        <v>21489</v>
      </c>
      <c r="S6017" s="22"/>
      <c r="T6017" s="21" t="str">
        <f>HYPERLINK("https://miland.ru/api/getInfo/image/651670c9-849f-11ef-a265-00155d82e908")</f>
        <v>https://miland.ru/api/getInfo/image/651670c9-849f-11ef-a265-00155d82e908</v>
      </c>
      <c r="U6017" s="21"/>
      <c r="V6017" s="21" t="s">
        <v>9009</v>
      </c>
      <c r="W6017" s="21" t="s">
        <v>9010</v>
      </c>
      <c r="X6017" s="21"/>
      <c r="Y6017" s="21" t="s">
        <v>41</v>
      </c>
      <c r="Z6017" s="21"/>
      <c r="AA6017" s="21" t="str">
        <f>HYPERLINK("https://miland.ru/api/getInfo/item/651670c9-849f-11ef-a265-00155d82e908")</f>
        <v>https://miland.ru/api/getInfo/item/651670c9-849f-11ef-a265-00155d82e908</v>
      </c>
      <c r="AB6017" s="21" t="s">
        <v>42</v>
      </c>
      <c r="AC6017" s="21" t="s">
        <v>1698</v>
      </c>
      <c r="AD6017" s="21"/>
    </row>
    <row r="6018" spans="2:31" s="1" customFormat="1" ht="96.3" customHeight="1" outlineLevel="4">
      <c r="B6018" s="57">
        <v>4937</v>
      </c>
      <c r="C6018" s="21" t="s">
        <v>21490</v>
      </c>
      <c r="D6018" s="72" t="s">
        <v>21491</v>
      </c>
      <c r="E6018" s="72"/>
      <c r="F6018" s="72"/>
      <c r="G6018" s="72"/>
      <c r="H6018" s="22" t="s">
        <v>21492</v>
      </c>
      <c r="I6018" s="23" t="s">
        <v>36</v>
      </c>
      <c r="J6018" s="22"/>
      <c r="K6018" s="20">
        <v>20</v>
      </c>
      <c r="L6018" s="24">
        <v>31.63</v>
      </c>
      <c r="M6018" s="11"/>
      <c r="N6018" s="22">
        <f t="shared" si="349"/>
        <v>0</v>
      </c>
      <c r="O6018" s="25">
        <f t="shared" si="350"/>
        <v>0</v>
      </c>
      <c r="P6018" s="26">
        <f t="shared" si="351"/>
        <v>0</v>
      </c>
      <c r="Q6018" s="30"/>
      <c r="R6018" s="22" t="s">
        <v>21493</v>
      </c>
      <c r="S6018" s="22"/>
      <c r="T6018" s="21" t="str">
        <f>HYPERLINK("https://miland.ru/api/getInfo/image/f56563b5-849e-11ef-a265-00155d82e908")</f>
        <v>https://miland.ru/api/getInfo/image/f56563b5-849e-11ef-a265-00155d82e908</v>
      </c>
      <c r="U6018" s="21"/>
      <c r="V6018" s="21" t="s">
        <v>9009</v>
      </c>
      <c r="W6018" s="21" t="s">
        <v>9010</v>
      </c>
      <c r="X6018" s="21"/>
      <c r="Y6018" s="21" t="s">
        <v>41</v>
      </c>
      <c r="Z6018" s="21"/>
      <c r="AA6018" s="21" t="str">
        <f>HYPERLINK("https://miland.ru/api/getInfo/item/f56563b5-849e-11ef-a265-00155d82e908")</f>
        <v>https://miland.ru/api/getInfo/item/f56563b5-849e-11ef-a265-00155d82e908</v>
      </c>
      <c r="AB6018" s="21" t="s">
        <v>42</v>
      </c>
      <c r="AC6018" s="21" t="s">
        <v>1698</v>
      </c>
      <c r="AD6018" s="21"/>
    </row>
    <row r="6019" spans="2:31" s="1" customFormat="1" ht="96.3" customHeight="1" outlineLevel="4">
      <c r="B6019" s="57">
        <v>4938</v>
      </c>
      <c r="C6019" s="21" t="s">
        <v>21494</v>
      </c>
      <c r="D6019" s="72" t="s">
        <v>21495</v>
      </c>
      <c r="E6019" s="72"/>
      <c r="F6019" s="72"/>
      <c r="G6019" s="72"/>
      <c r="H6019" s="22" t="s">
        <v>21496</v>
      </c>
      <c r="I6019" s="23" t="s">
        <v>36</v>
      </c>
      <c r="J6019" s="22"/>
      <c r="K6019" s="20">
        <v>20</v>
      </c>
      <c r="L6019" s="24">
        <v>31.63</v>
      </c>
      <c r="M6019" s="11"/>
      <c r="N6019" s="22">
        <f t="shared" si="349"/>
        <v>0</v>
      </c>
      <c r="O6019" s="25">
        <f t="shared" si="350"/>
        <v>0</v>
      </c>
      <c r="P6019" s="26">
        <f t="shared" si="351"/>
        <v>0</v>
      </c>
      <c r="Q6019" s="30"/>
      <c r="R6019" s="22" t="s">
        <v>21497</v>
      </c>
      <c r="S6019" s="22"/>
      <c r="T6019" s="21" t="str">
        <f>HYPERLINK("https://miland.ru/api/getInfo/image/f4f49d02-849f-11ef-a265-00155d82e908")</f>
        <v>https://miland.ru/api/getInfo/image/f4f49d02-849f-11ef-a265-00155d82e908</v>
      </c>
      <c r="U6019" s="21"/>
      <c r="V6019" s="21" t="s">
        <v>9009</v>
      </c>
      <c r="W6019" s="21" t="s">
        <v>9010</v>
      </c>
      <c r="X6019" s="21"/>
      <c r="Y6019" s="21" t="s">
        <v>41</v>
      </c>
      <c r="Z6019" s="21"/>
      <c r="AA6019" s="21" t="str">
        <f>HYPERLINK("https://miland.ru/api/getInfo/item/f4f49d02-849f-11ef-a265-00155d82e908")</f>
        <v>https://miland.ru/api/getInfo/item/f4f49d02-849f-11ef-a265-00155d82e908</v>
      </c>
      <c r="AB6019" s="21" t="s">
        <v>42</v>
      </c>
      <c r="AC6019" s="21" t="s">
        <v>1698</v>
      </c>
      <c r="AD6019" s="21"/>
    </row>
    <row r="6020" spans="2:31" s="1" customFormat="1" ht="96.3" customHeight="1" outlineLevel="4">
      <c r="B6020" s="57">
        <v>4939</v>
      </c>
      <c r="C6020" s="21" t="s">
        <v>21498</v>
      </c>
      <c r="D6020" s="72" t="s">
        <v>21499</v>
      </c>
      <c r="E6020" s="72"/>
      <c r="F6020" s="72"/>
      <c r="G6020" s="72"/>
      <c r="H6020" s="22" t="s">
        <v>21500</v>
      </c>
      <c r="I6020" s="23" t="s">
        <v>36</v>
      </c>
      <c r="J6020" s="22"/>
      <c r="K6020" s="20">
        <v>20</v>
      </c>
      <c r="L6020" s="24">
        <v>31.63</v>
      </c>
      <c r="M6020" s="11"/>
      <c r="N6020" s="22">
        <f t="shared" si="349"/>
        <v>0</v>
      </c>
      <c r="O6020" s="25">
        <f t="shared" si="350"/>
        <v>0</v>
      </c>
      <c r="P6020" s="26">
        <f t="shared" si="351"/>
        <v>0</v>
      </c>
      <c r="Q6020" s="30"/>
      <c r="R6020" s="22" t="s">
        <v>21501</v>
      </c>
      <c r="S6020" s="22"/>
      <c r="T6020" s="21" t="str">
        <f>HYPERLINK("https://miland.ru/api/getInfo/image/801e7439-849f-11ef-a265-00155d82e908")</f>
        <v>https://miland.ru/api/getInfo/image/801e7439-849f-11ef-a265-00155d82e908</v>
      </c>
      <c r="U6020" s="21"/>
      <c r="V6020" s="21" t="s">
        <v>9009</v>
      </c>
      <c r="W6020" s="21" t="s">
        <v>9010</v>
      </c>
      <c r="X6020" s="21"/>
      <c r="Y6020" s="21" t="s">
        <v>41</v>
      </c>
      <c r="Z6020" s="21"/>
      <c r="AA6020" s="21" t="str">
        <f>HYPERLINK("https://miland.ru/api/getInfo/item/801e7439-849f-11ef-a265-00155d82e908")</f>
        <v>https://miland.ru/api/getInfo/item/801e7439-849f-11ef-a265-00155d82e908</v>
      </c>
      <c r="AB6020" s="21" t="s">
        <v>42</v>
      </c>
      <c r="AC6020" s="21" t="s">
        <v>1698</v>
      </c>
      <c r="AD6020" s="21"/>
    </row>
    <row r="6021" spans="2:31" s="1" customFormat="1" ht="96.3" customHeight="1" outlineLevel="4">
      <c r="B6021" s="57">
        <v>4940</v>
      </c>
      <c r="C6021" s="21" t="s">
        <v>21502</v>
      </c>
      <c r="D6021" s="72" t="s">
        <v>21503</v>
      </c>
      <c r="E6021" s="72"/>
      <c r="F6021" s="72"/>
      <c r="G6021" s="72"/>
      <c r="H6021" s="22" t="s">
        <v>21504</v>
      </c>
      <c r="I6021" s="27">
        <v>300</v>
      </c>
      <c r="J6021" s="22"/>
      <c r="K6021" s="20">
        <v>20</v>
      </c>
      <c r="L6021" s="24">
        <v>31.63</v>
      </c>
      <c r="M6021" s="11"/>
      <c r="N6021" s="22">
        <f t="shared" si="349"/>
        <v>0</v>
      </c>
      <c r="O6021" s="25">
        <f t="shared" si="350"/>
        <v>0</v>
      </c>
      <c r="P6021" s="26">
        <f t="shared" si="351"/>
        <v>0</v>
      </c>
      <c r="Q6021" s="30"/>
      <c r="R6021" s="22" t="s">
        <v>21505</v>
      </c>
      <c r="S6021" s="22"/>
      <c r="T6021" s="21" t="str">
        <f>HYPERLINK("https://miland.ru/api/getInfo/image/1141d685-84a0-11ef-a265-00155d82e908")</f>
        <v>https://miland.ru/api/getInfo/image/1141d685-84a0-11ef-a265-00155d82e908</v>
      </c>
      <c r="U6021" s="21"/>
      <c r="V6021" s="21" t="s">
        <v>9009</v>
      </c>
      <c r="W6021" s="21" t="s">
        <v>9010</v>
      </c>
      <c r="X6021" s="21"/>
      <c r="Y6021" s="21" t="s">
        <v>41</v>
      </c>
      <c r="Z6021" s="21"/>
      <c r="AA6021" s="21" t="str">
        <f>HYPERLINK("https://miland.ru/api/getInfo/item/1141d685-84a0-11ef-a265-00155d82e908")</f>
        <v>https://miland.ru/api/getInfo/item/1141d685-84a0-11ef-a265-00155d82e908</v>
      </c>
      <c r="AB6021" s="21" t="s">
        <v>42</v>
      </c>
      <c r="AC6021" s="21" t="s">
        <v>1698</v>
      </c>
      <c r="AD6021" s="21"/>
    </row>
    <row r="6022" spans="2:31" s="1" customFormat="1" ht="96.3" customHeight="1" outlineLevel="4">
      <c r="B6022" s="57">
        <v>4941</v>
      </c>
      <c r="C6022" s="21" t="s">
        <v>21506</v>
      </c>
      <c r="D6022" s="72" t="s">
        <v>21507</v>
      </c>
      <c r="E6022" s="72"/>
      <c r="F6022" s="72"/>
      <c r="G6022" s="72"/>
      <c r="H6022" s="22" t="s">
        <v>21508</v>
      </c>
      <c r="I6022" s="23" t="s">
        <v>36</v>
      </c>
      <c r="J6022" s="22"/>
      <c r="K6022" s="20">
        <v>20</v>
      </c>
      <c r="L6022" s="24">
        <v>31.63</v>
      </c>
      <c r="M6022" s="11"/>
      <c r="N6022" s="22">
        <f t="shared" si="349"/>
        <v>0</v>
      </c>
      <c r="O6022" s="25">
        <f t="shared" si="350"/>
        <v>0</v>
      </c>
      <c r="P6022" s="26">
        <f t="shared" si="351"/>
        <v>0</v>
      </c>
      <c r="Q6022" s="30"/>
      <c r="R6022" s="22" t="s">
        <v>21509</v>
      </c>
      <c r="S6022" s="22"/>
      <c r="T6022" s="21" t="str">
        <f>HYPERLINK("https://miland.ru/api/getInfo/image/2cf64eb0-849f-11ef-a265-00155d82e908")</f>
        <v>https://miland.ru/api/getInfo/image/2cf64eb0-849f-11ef-a265-00155d82e908</v>
      </c>
      <c r="U6022" s="21"/>
      <c r="V6022" s="21" t="s">
        <v>9009</v>
      </c>
      <c r="W6022" s="21" t="s">
        <v>9010</v>
      </c>
      <c r="X6022" s="21"/>
      <c r="Y6022" s="21" t="s">
        <v>41</v>
      </c>
      <c r="Z6022" s="21"/>
      <c r="AA6022" s="21" t="str">
        <f>HYPERLINK("https://miland.ru/api/getInfo/item/2cf64eb0-849f-11ef-a265-00155d82e908")</f>
        <v>https://miland.ru/api/getInfo/item/2cf64eb0-849f-11ef-a265-00155d82e908</v>
      </c>
      <c r="AB6022" s="21" t="s">
        <v>42</v>
      </c>
      <c r="AC6022" s="21" t="s">
        <v>1698</v>
      </c>
      <c r="AD6022" s="21"/>
    </row>
    <row r="6023" spans="2:31" ht="12" customHeight="1" outlineLevel="3">
      <c r="B6023" s="70" t="s">
        <v>21510</v>
      </c>
      <c r="C6023" s="70"/>
      <c r="D6023" s="70"/>
      <c r="E6023" s="70"/>
      <c r="F6023" s="70"/>
      <c r="G6023" s="70"/>
    </row>
    <row r="6024" spans="2:31" s="1" customFormat="1" ht="96.3" customHeight="1" outlineLevel="4">
      <c r="B6024" s="58">
        <v>4942</v>
      </c>
      <c r="C6024" s="7" t="s">
        <v>21511</v>
      </c>
      <c r="D6024" s="71" t="s">
        <v>21512</v>
      </c>
      <c r="E6024" s="71"/>
      <c r="F6024" s="71"/>
      <c r="G6024" s="71"/>
      <c r="H6024" s="8" t="s">
        <v>21513</v>
      </c>
      <c r="I6024" s="9" t="s">
        <v>36</v>
      </c>
      <c r="J6024" s="8"/>
      <c r="K6024" s="6">
        <v>20</v>
      </c>
      <c r="L6024" s="10">
        <v>24.5</v>
      </c>
      <c r="M6024" s="11"/>
      <c r="N6024" s="8">
        <f t="shared" ref="N6024:N6044" si="352">L6024*M6024</f>
        <v>0</v>
      </c>
      <c r="O6024" s="12">
        <f t="shared" ref="O6024:O6031" si="353">0.008*M6024</f>
        <v>0</v>
      </c>
      <c r="P6024" s="13">
        <f>0.00001*M6024</f>
        <v>0</v>
      </c>
      <c r="Q6024" s="17" t="s">
        <v>37</v>
      </c>
      <c r="R6024" s="8" t="s">
        <v>21514</v>
      </c>
      <c r="S6024" s="8"/>
      <c r="T6024" s="7" t="str">
        <f>HYPERLINK("https://miland.ru/api/getInfo/image/45a9cae1-bb11-11f0-a288-00155d82e908")</f>
        <v>https://miland.ru/api/getInfo/image/45a9cae1-bb11-11f0-a288-00155d82e908</v>
      </c>
      <c r="U6024" s="7"/>
      <c r="V6024" s="7" t="s">
        <v>9009</v>
      </c>
      <c r="W6024" s="7" t="s">
        <v>9010</v>
      </c>
      <c r="X6024" s="7"/>
      <c r="Y6024" s="7" t="s">
        <v>41</v>
      </c>
      <c r="Z6024" s="7"/>
      <c r="AA6024" s="7" t="str">
        <f>HYPERLINK("https://miland.ru/api/getInfo/item/45a9cae1-bb11-11f0-a288-00155d82e908")</f>
        <v>https://miland.ru/api/getInfo/item/45a9cae1-bb11-11f0-a288-00155d82e908</v>
      </c>
      <c r="AB6024" s="7" t="s">
        <v>50</v>
      </c>
      <c r="AC6024" s="7"/>
      <c r="AD6024" s="7"/>
      <c r="AE6024" s="54"/>
    </row>
    <row r="6025" spans="2:31" s="1" customFormat="1" ht="96.3" customHeight="1" outlineLevel="4">
      <c r="B6025" s="59">
        <v>4943</v>
      </c>
      <c r="C6025" s="35" t="s">
        <v>21515</v>
      </c>
      <c r="D6025" s="73" t="s">
        <v>21516</v>
      </c>
      <c r="E6025" s="73"/>
      <c r="F6025" s="73"/>
      <c r="G6025" s="73"/>
      <c r="H6025" s="36" t="s">
        <v>21517</v>
      </c>
      <c r="I6025" s="56" t="s">
        <v>36</v>
      </c>
      <c r="J6025" s="36"/>
      <c r="K6025" s="34">
        <v>20</v>
      </c>
      <c r="L6025" s="41">
        <v>19.599999999999998</v>
      </c>
      <c r="M6025" s="11"/>
      <c r="N6025" s="36">
        <f t="shared" si="352"/>
        <v>0</v>
      </c>
      <c r="O6025" s="42">
        <f t="shared" si="353"/>
        <v>0</v>
      </c>
      <c r="P6025" s="43">
        <f>0.00003*M6025</f>
        <v>0</v>
      </c>
      <c r="Q6025" s="50" t="s">
        <v>37</v>
      </c>
      <c r="R6025" s="36" t="s">
        <v>21518</v>
      </c>
      <c r="S6025" s="36"/>
      <c r="T6025" s="35" t="str">
        <f>HYPERLINK("https://miland.ru/api/getInfo/image/5766ac3b-62d2-11f0-a281-00155d82e908")</f>
        <v>https://miland.ru/api/getInfo/image/5766ac3b-62d2-11f0-a281-00155d82e908</v>
      </c>
      <c r="U6025" s="35"/>
      <c r="V6025" s="35" t="s">
        <v>9009</v>
      </c>
      <c r="W6025" s="35" t="s">
        <v>9010</v>
      </c>
      <c r="X6025" s="35"/>
      <c r="Y6025" s="35" t="s">
        <v>41</v>
      </c>
      <c r="Z6025" s="35"/>
      <c r="AA6025" s="35" t="str">
        <f>HYPERLINK("https://miland.ru/api/getInfo/item/5766ac3b-62d2-11f0-a281-00155d82e908")</f>
        <v>https://miland.ru/api/getInfo/item/5766ac3b-62d2-11f0-a281-00155d82e908</v>
      </c>
      <c r="AB6025" s="35" t="s">
        <v>42</v>
      </c>
      <c r="AC6025" s="35"/>
      <c r="AD6025" s="35"/>
      <c r="AE6025" s="52" t="s">
        <v>9152</v>
      </c>
    </row>
    <row r="6026" spans="2:31" s="1" customFormat="1" ht="96.3" customHeight="1" outlineLevel="4">
      <c r="B6026" s="59">
        <v>4944</v>
      </c>
      <c r="C6026" s="35" t="s">
        <v>21519</v>
      </c>
      <c r="D6026" s="73" t="s">
        <v>21520</v>
      </c>
      <c r="E6026" s="73"/>
      <c r="F6026" s="73"/>
      <c r="G6026" s="73"/>
      <c r="H6026" s="36" t="s">
        <v>21521</v>
      </c>
      <c r="I6026" s="56" t="s">
        <v>36</v>
      </c>
      <c r="J6026" s="36"/>
      <c r="K6026" s="34">
        <v>20</v>
      </c>
      <c r="L6026" s="41">
        <v>19.599999999999998</v>
      </c>
      <c r="M6026" s="11"/>
      <c r="N6026" s="36">
        <f t="shared" si="352"/>
        <v>0</v>
      </c>
      <c r="O6026" s="42">
        <f t="shared" si="353"/>
        <v>0</v>
      </c>
      <c r="P6026" s="43">
        <f>0.00003*M6026</f>
        <v>0</v>
      </c>
      <c r="Q6026" s="50" t="s">
        <v>37</v>
      </c>
      <c r="R6026" s="36" t="s">
        <v>21522</v>
      </c>
      <c r="S6026" s="36"/>
      <c r="T6026" s="35" t="str">
        <f>HYPERLINK("https://miland.ru/api/getInfo/image/665e6af4-62d4-11f0-a281-00155d82e908")</f>
        <v>https://miland.ru/api/getInfo/image/665e6af4-62d4-11f0-a281-00155d82e908</v>
      </c>
      <c r="U6026" s="35"/>
      <c r="V6026" s="35" t="s">
        <v>9009</v>
      </c>
      <c r="W6026" s="35" t="s">
        <v>9010</v>
      </c>
      <c r="X6026" s="35"/>
      <c r="Y6026" s="35" t="s">
        <v>41</v>
      </c>
      <c r="Z6026" s="35"/>
      <c r="AA6026" s="35" t="str">
        <f>HYPERLINK("https://miland.ru/api/getInfo/item/665e6af4-62d4-11f0-a281-00155d82e908")</f>
        <v>https://miland.ru/api/getInfo/item/665e6af4-62d4-11f0-a281-00155d82e908</v>
      </c>
      <c r="AB6026" s="35" t="s">
        <v>42</v>
      </c>
      <c r="AC6026" s="35"/>
      <c r="AD6026" s="35"/>
      <c r="AE6026" s="52" t="s">
        <v>9152</v>
      </c>
    </row>
    <row r="6027" spans="2:31" s="1" customFormat="1" ht="96.3" customHeight="1" outlineLevel="4">
      <c r="B6027" s="58">
        <v>4945</v>
      </c>
      <c r="C6027" s="7" t="s">
        <v>21523</v>
      </c>
      <c r="D6027" s="71" t="s">
        <v>21524</v>
      </c>
      <c r="E6027" s="71"/>
      <c r="F6027" s="71"/>
      <c r="G6027" s="71"/>
      <c r="H6027" s="8" t="s">
        <v>21525</v>
      </c>
      <c r="I6027" s="9" t="s">
        <v>36</v>
      </c>
      <c r="J6027" s="8"/>
      <c r="K6027" s="6">
        <v>20</v>
      </c>
      <c r="L6027" s="10">
        <v>24.5</v>
      </c>
      <c r="M6027" s="11"/>
      <c r="N6027" s="8">
        <f t="shared" si="352"/>
        <v>0</v>
      </c>
      <c r="O6027" s="12">
        <f t="shared" si="353"/>
        <v>0</v>
      </c>
      <c r="P6027" s="13">
        <f>0.00001*M6027</f>
        <v>0</v>
      </c>
      <c r="Q6027" s="17" t="s">
        <v>37</v>
      </c>
      <c r="R6027" s="8" t="s">
        <v>21526</v>
      </c>
      <c r="S6027" s="8"/>
      <c r="T6027" s="7" t="str">
        <f>HYPERLINK("https://miland.ru/api/getInfo/image/6c492703-bb10-11f0-a288-00155d82e908")</f>
        <v>https://miland.ru/api/getInfo/image/6c492703-bb10-11f0-a288-00155d82e908</v>
      </c>
      <c r="U6027" s="7"/>
      <c r="V6027" s="7" t="s">
        <v>9009</v>
      </c>
      <c r="W6027" s="7" t="s">
        <v>9010</v>
      </c>
      <c r="X6027" s="7"/>
      <c r="Y6027" s="7" t="s">
        <v>41</v>
      </c>
      <c r="Z6027" s="7"/>
      <c r="AA6027" s="7" t="str">
        <f>HYPERLINK("https://miland.ru/api/getInfo/item/6c492703-bb10-11f0-a288-00155d82e908")</f>
        <v>https://miland.ru/api/getInfo/item/6c492703-bb10-11f0-a288-00155d82e908</v>
      </c>
      <c r="AB6027" s="7" t="s">
        <v>50</v>
      </c>
      <c r="AC6027" s="7"/>
      <c r="AD6027" s="7"/>
      <c r="AE6027" s="54"/>
    </row>
    <row r="6028" spans="2:31" s="1" customFormat="1" ht="96.3" customHeight="1" outlineLevel="4">
      <c r="B6028" s="58">
        <v>4946</v>
      </c>
      <c r="C6028" s="7" t="s">
        <v>21527</v>
      </c>
      <c r="D6028" s="71" t="s">
        <v>21528</v>
      </c>
      <c r="E6028" s="71"/>
      <c r="F6028" s="71"/>
      <c r="G6028" s="71"/>
      <c r="H6028" s="8" t="s">
        <v>21529</v>
      </c>
      <c r="I6028" s="9" t="s">
        <v>36</v>
      </c>
      <c r="J6028" s="8"/>
      <c r="K6028" s="6">
        <v>20</v>
      </c>
      <c r="L6028" s="10">
        <v>24.5</v>
      </c>
      <c r="M6028" s="11"/>
      <c r="N6028" s="8">
        <f t="shared" si="352"/>
        <v>0</v>
      </c>
      <c r="O6028" s="12">
        <f t="shared" si="353"/>
        <v>0</v>
      </c>
      <c r="P6028" s="13">
        <f>0.00001*M6028</f>
        <v>0</v>
      </c>
      <c r="Q6028" s="17" t="s">
        <v>37</v>
      </c>
      <c r="R6028" s="8" t="s">
        <v>21530</v>
      </c>
      <c r="S6028" s="8"/>
      <c r="T6028" s="7" t="str">
        <f>HYPERLINK("https://miland.ru/api/getInfo/image/e1c3cc10-bb11-11f0-a288-00155d82e908")</f>
        <v>https://miland.ru/api/getInfo/image/e1c3cc10-bb11-11f0-a288-00155d82e908</v>
      </c>
      <c r="U6028" s="7"/>
      <c r="V6028" s="7" t="s">
        <v>9009</v>
      </c>
      <c r="W6028" s="7" t="s">
        <v>9010</v>
      </c>
      <c r="X6028" s="7"/>
      <c r="Y6028" s="7" t="s">
        <v>41</v>
      </c>
      <c r="Z6028" s="7"/>
      <c r="AA6028" s="7" t="str">
        <f>HYPERLINK("https://miland.ru/api/getInfo/item/e1c3cc10-bb11-11f0-a288-00155d82e908")</f>
        <v>https://miland.ru/api/getInfo/item/e1c3cc10-bb11-11f0-a288-00155d82e908</v>
      </c>
      <c r="AB6028" s="7" t="s">
        <v>50</v>
      </c>
      <c r="AC6028" s="7"/>
      <c r="AD6028" s="7"/>
      <c r="AE6028" s="54"/>
    </row>
    <row r="6029" spans="2:31" s="1" customFormat="1" ht="96.3" customHeight="1" outlineLevel="4">
      <c r="B6029" s="58">
        <v>4947</v>
      </c>
      <c r="C6029" s="7" t="s">
        <v>21531</v>
      </c>
      <c r="D6029" s="71" t="s">
        <v>21532</v>
      </c>
      <c r="E6029" s="71"/>
      <c r="F6029" s="71"/>
      <c r="G6029" s="71"/>
      <c r="H6029" s="8" t="s">
        <v>21533</v>
      </c>
      <c r="I6029" s="9" t="s">
        <v>36</v>
      </c>
      <c r="J6029" s="8"/>
      <c r="K6029" s="6">
        <v>20</v>
      </c>
      <c r="L6029" s="10">
        <v>24.5</v>
      </c>
      <c r="M6029" s="11"/>
      <c r="N6029" s="8">
        <f t="shared" si="352"/>
        <v>0</v>
      </c>
      <c r="O6029" s="12">
        <f t="shared" si="353"/>
        <v>0</v>
      </c>
      <c r="P6029" s="13">
        <f>0.00001*M6029</f>
        <v>0</v>
      </c>
      <c r="Q6029" s="17" t="s">
        <v>37</v>
      </c>
      <c r="R6029" s="8" t="s">
        <v>21534</v>
      </c>
      <c r="S6029" s="8"/>
      <c r="T6029" s="7" t="str">
        <f>HYPERLINK("https://miland.ru/api/getInfo/image/02c612c8-bb11-11f0-a288-00155d82e908")</f>
        <v>https://miland.ru/api/getInfo/image/02c612c8-bb11-11f0-a288-00155d82e908</v>
      </c>
      <c r="U6029" s="7"/>
      <c r="V6029" s="7" t="s">
        <v>9009</v>
      </c>
      <c r="W6029" s="7" t="s">
        <v>9010</v>
      </c>
      <c r="X6029" s="7"/>
      <c r="Y6029" s="7" t="s">
        <v>41</v>
      </c>
      <c r="Z6029" s="7"/>
      <c r="AA6029" s="7" t="str">
        <f>HYPERLINK("https://miland.ru/api/getInfo/item/02c612c8-bb11-11f0-a288-00155d82e908")</f>
        <v>https://miland.ru/api/getInfo/item/02c612c8-bb11-11f0-a288-00155d82e908</v>
      </c>
      <c r="AB6029" s="7" t="s">
        <v>50</v>
      </c>
      <c r="AC6029" s="7"/>
      <c r="AD6029" s="7"/>
      <c r="AE6029" s="54"/>
    </row>
    <row r="6030" spans="2:31" s="1" customFormat="1" ht="96.3" customHeight="1" outlineLevel="4">
      <c r="B6030" s="58">
        <v>4948</v>
      </c>
      <c r="C6030" s="7" t="s">
        <v>21535</v>
      </c>
      <c r="D6030" s="71" t="s">
        <v>21536</v>
      </c>
      <c r="E6030" s="71"/>
      <c r="F6030" s="71"/>
      <c r="G6030" s="71"/>
      <c r="H6030" s="8" t="s">
        <v>21537</v>
      </c>
      <c r="I6030" s="9" t="s">
        <v>36</v>
      </c>
      <c r="J6030" s="8"/>
      <c r="K6030" s="6">
        <v>20</v>
      </c>
      <c r="L6030" s="10">
        <v>24.5</v>
      </c>
      <c r="M6030" s="11"/>
      <c r="N6030" s="8">
        <f t="shared" si="352"/>
        <v>0</v>
      </c>
      <c r="O6030" s="12">
        <f t="shared" si="353"/>
        <v>0</v>
      </c>
      <c r="P6030" s="13">
        <f>0.00001*M6030</f>
        <v>0</v>
      </c>
      <c r="Q6030" s="17" t="s">
        <v>37</v>
      </c>
      <c r="R6030" s="8" t="s">
        <v>21538</v>
      </c>
      <c r="S6030" s="8"/>
      <c r="T6030" s="7" t="str">
        <f>HYPERLINK("https://miland.ru/api/getInfo/image/da959cc4-bb12-11f0-a288-00155d82e908")</f>
        <v>https://miland.ru/api/getInfo/image/da959cc4-bb12-11f0-a288-00155d82e908</v>
      </c>
      <c r="U6030" s="7"/>
      <c r="V6030" s="7" t="s">
        <v>9009</v>
      </c>
      <c r="W6030" s="7" t="s">
        <v>9010</v>
      </c>
      <c r="X6030" s="7"/>
      <c r="Y6030" s="7" t="s">
        <v>41</v>
      </c>
      <c r="Z6030" s="7"/>
      <c r="AA6030" s="7" t="str">
        <f>HYPERLINK("https://miland.ru/api/getInfo/item/da959cc4-bb12-11f0-a288-00155d82e908")</f>
        <v>https://miland.ru/api/getInfo/item/da959cc4-bb12-11f0-a288-00155d82e908</v>
      </c>
      <c r="AB6030" s="7" t="s">
        <v>50</v>
      </c>
      <c r="AC6030" s="7"/>
      <c r="AD6030" s="7"/>
      <c r="AE6030" s="54"/>
    </row>
    <row r="6031" spans="2:31" s="1" customFormat="1" ht="96.3" customHeight="1" outlineLevel="4">
      <c r="B6031" s="58">
        <v>4949</v>
      </c>
      <c r="C6031" s="7" t="s">
        <v>21539</v>
      </c>
      <c r="D6031" s="71" t="s">
        <v>21540</v>
      </c>
      <c r="E6031" s="71"/>
      <c r="F6031" s="71"/>
      <c r="G6031" s="71"/>
      <c r="H6031" s="8" t="s">
        <v>21541</v>
      </c>
      <c r="I6031" s="9" t="s">
        <v>36</v>
      </c>
      <c r="J6031" s="8"/>
      <c r="K6031" s="6">
        <v>20</v>
      </c>
      <c r="L6031" s="10">
        <v>24.5</v>
      </c>
      <c r="M6031" s="11"/>
      <c r="N6031" s="8">
        <f t="shared" si="352"/>
        <v>0</v>
      </c>
      <c r="O6031" s="12">
        <f t="shared" si="353"/>
        <v>0</v>
      </c>
      <c r="P6031" s="13">
        <f>0.00001*M6031</f>
        <v>0</v>
      </c>
      <c r="Q6031" s="17" t="s">
        <v>37</v>
      </c>
      <c r="R6031" s="8" t="s">
        <v>21542</v>
      </c>
      <c r="S6031" s="8"/>
      <c r="T6031" s="7" t="str">
        <f>HYPERLINK("https://miland.ru/api/getInfo/image/6ce7df99-bb11-11f0-a288-00155d82e908")</f>
        <v>https://miland.ru/api/getInfo/image/6ce7df99-bb11-11f0-a288-00155d82e908</v>
      </c>
      <c r="U6031" s="7"/>
      <c r="V6031" s="7" t="s">
        <v>9009</v>
      </c>
      <c r="W6031" s="7" t="s">
        <v>9010</v>
      </c>
      <c r="X6031" s="7"/>
      <c r="Y6031" s="7" t="s">
        <v>41</v>
      </c>
      <c r="Z6031" s="7"/>
      <c r="AA6031" s="7" t="str">
        <f>HYPERLINK("https://miland.ru/api/getInfo/item/6ce7df99-bb11-11f0-a288-00155d82e908")</f>
        <v>https://miland.ru/api/getInfo/item/6ce7df99-bb11-11f0-a288-00155d82e908</v>
      </c>
      <c r="AB6031" s="7" t="s">
        <v>50</v>
      </c>
      <c r="AC6031" s="7"/>
      <c r="AD6031" s="7"/>
      <c r="AE6031" s="54"/>
    </row>
    <row r="6032" spans="2:31" s="1" customFormat="1" ht="96.3" customHeight="1" outlineLevel="4">
      <c r="B6032" s="59">
        <v>4950</v>
      </c>
      <c r="C6032" s="35" t="s">
        <v>21543</v>
      </c>
      <c r="D6032" s="73" t="s">
        <v>21544</v>
      </c>
      <c r="E6032" s="73"/>
      <c r="F6032" s="73"/>
      <c r="G6032" s="73"/>
      <c r="H6032" s="36" t="s">
        <v>21545</v>
      </c>
      <c r="I6032" s="56" t="s">
        <v>36</v>
      </c>
      <c r="J6032" s="36"/>
      <c r="K6032" s="34">
        <v>20</v>
      </c>
      <c r="L6032" s="41">
        <v>19.599999999999998</v>
      </c>
      <c r="M6032" s="11"/>
      <c r="N6032" s="36">
        <f t="shared" si="352"/>
        <v>0</v>
      </c>
      <c r="O6032" s="47">
        <f>0.01*M6032</f>
        <v>0</v>
      </c>
      <c r="P6032" s="43">
        <f>0.00004*M6032</f>
        <v>0</v>
      </c>
      <c r="Q6032" s="50" t="s">
        <v>37</v>
      </c>
      <c r="R6032" s="36" t="s">
        <v>21546</v>
      </c>
      <c r="S6032" s="36"/>
      <c r="T6032" s="35" t="str">
        <f>HYPERLINK("https://miland.ru/api/getInfo/image/e0ff9916-62d1-11f0-a281-00155d82e908")</f>
        <v>https://miland.ru/api/getInfo/image/e0ff9916-62d1-11f0-a281-00155d82e908</v>
      </c>
      <c r="U6032" s="35"/>
      <c r="V6032" s="35" t="s">
        <v>9009</v>
      </c>
      <c r="W6032" s="35" t="s">
        <v>9010</v>
      </c>
      <c r="X6032" s="35"/>
      <c r="Y6032" s="35" t="s">
        <v>41</v>
      </c>
      <c r="Z6032" s="35"/>
      <c r="AA6032" s="35" t="str">
        <f>HYPERLINK("https://miland.ru/api/getInfo/item/e0ff9916-62d1-11f0-a281-00155d82e908")</f>
        <v>https://miland.ru/api/getInfo/item/e0ff9916-62d1-11f0-a281-00155d82e908</v>
      </c>
      <c r="AB6032" s="35" t="s">
        <v>42</v>
      </c>
      <c r="AC6032" s="35"/>
      <c r="AD6032" s="35"/>
      <c r="AE6032" s="52" t="s">
        <v>9152</v>
      </c>
    </row>
    <row r="6033" spans="2:31" s="1" customFormat="1" ht="96.3" customHeight="1" outlineLevel="4">
      <c r="B6033" s="59">
        <v>4951</v>
      </c>
      <c r="C6033" s="35" t="s">
        <v>21547</v>
      </c>
      <c r="D6033" s="73" t="s">
        <v>21548</v>
      </c>
      <c r="E6033" s="73"/>
      <c r="F6033" s="73"/>
      <c r="G6033" s="73"/>
      <c r="H6033" s="36" t="s">
        <v>21549</v>
      </c>
      <c r="I6033" s="56" t="s">
        <v>36</v>
      </c>
      <c r="J6033" s="36"/>
      <c r="K6033" s="34">
        <v>20</v>
      </c>
      <c r="L6033" s="41">
        <v>19.599999999999998</v>
      </c>
      <c r="M6033" s="11"/>
      <c r="N6033" s="36">
        <f t="shared" si="352"/>
        <v>0</v>
      </c>
      <c r="O6033" s="42">
        <f>0.008*M6033</f>
        <v>0</v>
      </c>
      <c r="P6033" s="43">
        <f>0.00003*M6033</f>
        <v>0</v>
      </c>
      <c r="Q6033" s="50" t="s">
        <v>37</v>
      </c>
      <c r="R6033" s="36" t="s">
        <v>21550</v>
      </c>
      <c r="S6033" s="36"/>
      <c r="T6033" s="35" t="str">
        <f>HYPERLINK("https://miland.ru/api/getInfo/image/373a5b5c-62d5-11f0-a281-00155d82e908")</f>
        <v>https://miland.ru/api/getInfo/image/373a5b5c-62d5-11f0-a281-00155d82e908</v>
      </c>
      <c r="U6033" s="35"/>
      <c r="V6033" s="35" t="s">
        <v>9009</v>
      </c>
      <c r="W6033" s="35" t="s">
        <v>9010</v>
      </c>
      <c r="X6033" s="35"/>
      <c r="Y6033" s="35" t="s">
        <v>41</v>
      </c>
      <c r="Z6033" s="35"/>
      <c r="AA6033" s="35" t="str">
        <f>HYPERLINK("https://miland.ru/api/getInfo/item/373a5b5c-62d5-11f0-a281-00155d82e908")</f>
        <v>https://miland.ru/api/getInfo/item/373a5b5c-62d5-11f0-a281-00155d82e908</v>
      </c>
      <c r="AB6033" s="35" t="s">
        <v>42</v>
      </c>
      <c r="AC6033" s="35"/>
      <c r="AD6033" s="35"/>
      <c r="AE6033" s="52" t="s">
        <v>9152</v>
      </c>
    </row>
    <row r="6034" spans="2:31" s="1" customFormat="1" ht="96.3" customHeight="1" outlineLevel="4">
      <c r="B6034" s="59">
        <v>4952</v>
      </c>
      <c r="C6034" s="35" t="s">
        <v>21551</v>
      </c>
      <c r="D6034" s="73" t="s">
        <v>21552</v>
      </c>
      <c r="E6034" s="73"/>
      <c r="F6034" s="73"/>
      <c r="G6034" s="73"/>
      <c r="H6034" s="36" t="s">
        <v>21553</v>
      </c>
      <c r="I6034" s="56" t="s">
        <v>36</v>
      </c>
      <c r="J6034" s="36"/>
      <c r="K6034" s="34">
        <v>20</v>
      </c>
      <c r="L6034" s="41">
        <v>19.599999999999998</v>
      </c>
      <c r="M6034" s="11"/>
      <c r="N6034" s="36">
        <f t="shared" si="352"/>
        <v>0</v>
      </c>
      <c r="O6034" s="42">
        <f>0.008*M6034</f>
        <v>0</v>
      </c>
      <c r="P6034" s="43">
        <f>0.00003*M6034</f>
        <v>0</v>
      </c>
      <c r="Q6034" s="50" t="s">
        <v>37</v>
      </c>
      <c r="R6034" s="36" t="s">
        <v>21554</v>
      </c>
      <c r="S6034" s="36"/>
      <c r="T6034" s="35" t="str">
        <f>HYPERLINK("https://miland.ru/api/getInfo/image/b6edbbd3-62d3-11f0-a281-00155d82e908")</f>
        <v>https://miland.ru/api/getInfo/image/b6edbbd3-62d3-11f0-a281-00155d82e908</v>
      </c>
      <c r="U6034" s="35"/>
      <c r="V6034" s="35" t="s">
        <v>9009</v>
      </c>
      <c r="W6034" s="35" t="s">
        <v>9010</v>
      </c>
      <c r="X6034" s="35"/>
      <c r="Y6034" s="35" t="s">
        <v>41</v>
      </c>
      <c r="Z6034" s="35"/>
      <c r="AA6034" s="35" t="str">
        <f>HYPERLINK("https://miland.ru/api/getInfo/item/b6edbbd3-62d3-11f0-a281-00155d82e908")</f>
        <v>https://miland.ru/api/getInfo/item/b6edbbd3-62d3-11f0-a281-00155d82e908</v>
      </c>
      <c r="AB6034" s="35" t="s">
        <v>42</v>
      </c>
      <c r="AC6034" s="35"/>
      <c r="AD6034" s="35"/>
      <c r="AE6034" s="52" t="s">
        <v>9152</v>
      </c>
    </row>
    <row r="6035" spans="2:31" s="1" customFormat="1" ht="96.3" customHeight="1" outlineLevel="4">
      <c r="B6035" s="59">
        <v>4953</v>
      </c>
      <c r="C6035" s="35" t="s">
        <v>21555</v>
      </c>
      <c r="D6035" s="73" t="s">
        <v>21556</v>
      </c>
      <c r="E6035" s="73"/>
      <c r="F6035" s="73"/>
      <c r="G6035" s="73"/>
      <c r="H6035" s="36" t="s">
        <v>21557</v>
      </c>
      <c r="I6035" s="56" t="s">
        <v>36</v>
      </c>
      <c r="J6035" s="36"/>
      <c r="K6035" s="34">
        <v>20</v>
      </c>
      <c r="L6035" s="41">
        <v>19.599999999999998</v>
      </c>
      <c r="M6035" s="11"/>
      <c r="N6035" s="36">
        <f t="shared" si="352"/>
        <v>0</v>
      </c>
      <c r="O6035" s="47">
        <f>0.01*M6035</f>
        <v>0</v>
      </c>
      <c r="P6035" s="43">
        <f>0.00004*M6035</f>
        <v>0</v>
      </c>
      <c r="Q6035" s="50" t="s">
        <v>37</v>
      </c>
      <c r="R6035" s="36" t="s">
        <v>21558</v>
      </c>
      <c r="S6035" s="36"/>
      <c r="T6035" s="35" t="str">
        <f>HYPERLINK("https://miland.ru/api/getInfo/image/e193b16c-624d-11f0-a281-00155d82e908")</f>
        <v>https://miland.ru/api/getInfo/image/e193b16c-624d-11f0-a281-00155d82e908</v>
      </c>
      <c r="U6035" s="35"/>
      <c r="V6035" s="35" t="s">
        <v>9009</v>
      </c>
      <c r="W6035" s="35" t="s">
        <v>9010</v>
      </c>
      <c r="X6035" s="35"/>
      <c r="Y6035" s="35" t="s">
        <v>41</v>
      </c>
      <c r="Z6035" s="35"/>
      <c r="AA6035" s="35" t="str">
        <f>HYPERLINK("https://miland.ru/api/getInfo/item/e193b16c-624d-11f0-a281-00155d82e908")</f>
        <v>https://miland.ru/api/getInfo/item/e193b16c-624d-11f0-a281-00155d82e908</v>
      </c>
      <c r="AB6035" s="35" t="s">
        <v>42</v>
      </c>
      <c r="AC6035" s="35"/>
      <c r="AD6035" s="35"/>
      <c r="AE6035" s="52" t="s">
        <v>9152</v>
      </c>
    </row>
    <row r="6036" spans="2:31" s="1" customFormat="1" ht="96.3" customHeight="1" outlineLevel="4">
      <c r="B6036" s="58">
        <v>4954</v>
      </c>
      <c r="C6036" s="7" t="s">
        <v>21559</v>
      </c>
      <c r="D6036" s="71" t="s">
        <v>21560</v>
      </c>
      <c r="E6036" s="71"/>
      <c r="F6036" s="71"/>
      <c r="G6036" s="71"/>
      <c r="H6036" s="8" t="s">
        <v>21561</v>
      </c>
      <c r="I6036" s="9" t="s">
        <v>36</v>
      </c>
      <c r="J6036" s="8"/>
      <c r="K6036" s="6">
        <v>20</v>
      </c>
      <c r="L6036" s="10">
        <v>24.5</v>
      </c>
      <c r="M6036" s="11"/>
      <c r="N6036" s="8">
        <f t="shared" si="352"/>
        <v>0</v>
      </c>
      <c r="O6036" s="12">
        <f>0.008*M6036</f>
        <v>0</v>
      </c>
      <c r="P6036" s="13">
        <f>0.00001*M6036</f>
        <v>0</v>
      </c>
      <c r="Q6036" s="17" t="s">
        <v>37</v>
      </c>
      <c r="R6036" s="8" t="s">
        <v>21562</v>
      </c>
      <c r="S6036" s="8"/>
      <c r="T6036" s="7" t="str">
        <f>HYPERLINK("https://miland.ru/api/getInfo/image/93e8f5f9-bb12-11f0-a288-00155d82e908")</f>
        <v>https://miland.ru/api/getInfo/image/93e8f5f9-bb12-11f0-a288-00155d82e908</v>
      </c>
      <c r="U6036" s="7"/>
      <c r="V6036" s="7" t="s">
        <v>9009</v>
      </c>
      <c r="W6036" s="7" t="s">
        <v>9010</v>
      </c>
      <c r="X6036" s="7"/>
      <c r="Y6036" s="7" t="s">
        <v>41</v>
      </c>
      <c r="Z6036" s="7"/>
      <c r="AA6036" s="7" t="str">
        <f>HYPERLINK("https://miland.ru/api/getInfo/item/93e8f5f9-bb12-11f0-a288-00155d82e908")</f>
        <v>https://miland.ru/api/getInfo/item/93e8f5f9-bb12-11f0-a288-00155d82e908</v>
      </c>
      <c r="AB6036" s="7" t="s">
        <v>50</v>
      </c>
      <c r="AC6036" s="7"/>
      <c r="AD6036" s="7"/>
      <c r="AE6036" s="54"/>
    </row>
    <row r="6037" spans="2:31" s="1" customFormat="1" ht="96.3" customHeight="1" outlineLevel="4">
      <c r="B6037" s="59">
        <v>4955</v>
      </c>
      <c r="C6037" s="35" t="s">
        <v>21563</v>
      </c>
      <c r="D6037" s="73" t="s">
        <v>21564</v>
      </c>
      <c r="E6037" s="73"/>
      <c r="F6037" s="73"/>
      <c r="G6037" s="73"/>
      <c r="H6037" s="36" t="s">
        <v>21565</v>
      </c>
      <c r="I6037" s="56" t="s">
        <v>36</v>
      </c>
      <c r="J6037" s="36"/>
      <c r="K6037" s="34">
        <v>20</v>
      </c>
      <c r="L6037" s="41">
        <v>19.599999999999998</v>
      </c>
      <c r="M6037" s="11"/>
      <c r="N6037" s="36">
        <f t="shared" si="352"/>
        <v>0</v>
      </c>
      <c r="O6037" s="47">
        <f>0.01*M6037</f>
        <v>0</v>
      </c>
      <c r="P6037" s="43">
        <f>0.00004*M6037</f>
        <v>0</v>
      </c>
      <c r="Q6037" s="50" t="s">
        <v>37</v>
      </c>
      <c r="R6037" s="36" t="s">
        <v>21566</v>
      </c>
      <c r="S6037" s="36"/>
      <c r="T6037" s="35" t="str">
        <f>HYPERLINK("https://miland.ru/api/getInfo/image/37ee24b0-62d4-11f0-a281-00155d82e908")</f>
        <v>https://miland.ru/api/getInfo/image/37ee24b0-62d4-11f0-a281-00155d82e908</v>
      </c>
      <c r="U6037" s="35"/>
      <c r="V6037" s="35" t="s">
        <v>9009</v>
      </c>
      <c r="W6037" s="35" t="s">
        <v>9010</v>
      </c>
      <c r="X6037" s="35"/>
      <c r="Y6037" s="35" t="s">
        <v>41</v>
      </c>
      <c r="Z6037" s="35"/>
      <c r="AA6037" s="35" t="str">
        <f>HYPERLINK("https://miland.ru/api/getInfo/item/37ee24b0-62d4-11f0-a281-00155d82e908")</f>
        <v>https://miland.ru/api/getInfo/item/37ee24b0-62d4-11f0-a281-00155d82e908</v>
      </c>
      <c r="AB6037" s="35" t="s">
        <v>42</v>
      </c>
      <c r="AC6037" s="35"/>
      <c r="AD6037" s="35"/>
      <c r="AE6037" s="52" t="s">
        <v>9152</v>
      </c>
    </row>
    <row r="6038" spans="2:31" s="1" customFormat="1" ht="96.3" customHeight="1" outlineLevel="4">
      <c r="B6038" s="59">
        <v>4956</v>
      </c>
      <c r="C6038" s="35" t="s">
        <v>21567</v>
      </c>
      <c r="D6038" s="73" t="s">
        <v>21568</v>
      </c>
      <c r="E6038" s="73"/>
      <c r="F6038" s="73"/>
      <c r="G6038" s="73"/>
      <c r="H6038" s="36" t="s">
        <v>21569</v>
      </c>
      <c r="I6038" s="56" t="s">
        <v>36</v>
      </c>
      <c r="J6038" s="36"/>
      <c r="K6038" s="34">
        <v>20</v>
      </c>
      <c r="L6038" s="41">
        <v>19.599999999999998</v>
      </c>
      <c r="M6038" s="11"/>
      <c r="N6038" s="36">
        <f t="shared" si="352"/>
        <v>0</v>
      </c>
      <c r="O6038" s="47">
        <f>0.01*M6038</f>
        <v>0</v>
      </c>
      <c r="P6038" s="43">
        <f>0.00004*M6038</f>
        <v>0</v>
      </c>
      <c r="Q6038" s="50" t="s">
        <v>37</v>
      </c>
      <c r="R6038" s="36" t="s">
        <v>21570</v>
      </c>
      <c r="S6038" s="36"/>
      <c r="T6038" s="35" t="str">
        <f>HYPERLINK("https://miland.ru/api/getInfo/image/a897fbba-62d2-11f0-a281-00155d82e908")</f>
        <v>https://miland.ru/api/getInfo/image/a897fbba-62d2-11f0-a281-00155d82e908</v>
      </c>
      <c r="U6038" s="35"/>
      <c r="V6038" s="35" t="s">
        <v>9009</v>
      </c>
      <c r="W6038" s="35" t="s">
        <v>9010</v>
      </c>
      <c r="X6038" s="35"/>
      <c r="Y6038" s="35" t="s">
        <v>41</v>
      </c>
      <c r="Z6038" s="35"/>
      <c r="AA6038" s="35" t="str">
        <f>HYPERLINK("https://miland.ru/api/getInfo/item/a897fbba-62d2-11f0-a281-00155d82e908")</f>
        <v>https://miland.ru/api/getInfo/item/a897fbba-62d2-11f0-a281-00155d82e908</v>
      </c>
      <c r="AB6038" s="35" t="s">
        <v>42</v>
      </c>
      <c r="AC6038" s="35"/>
      <c r="AD6038" s="35"/>
      <c r="AE6038" s="52" t="s">
        <v>9152</v>
      </c>
    </row>
    <row r="6039" spans="2:31" s="1" customFormat="1" ht="96.3" customHeight="1" outlineLevel="4">
      <c r="B6039" s="59">
        <v>4957</v>
      </c>
      <c r="C6039" s="35" t="s">
        <v>21571</v>
      </c>
      <c r="D6039" s="73" t="s">
        <v>21572</v>
      </c>
      <c r="E6039" s="73"/>
      <c r="F6039" s="73"/>
      <c r="G6039" s="73"/>
      <c r="H6039" s="36" t="s">
        <v>21573</v>
      </c>
      <c r="I6039" s="56" t="s">
        <v>36</v>
      </c>
      <c r="J6039" s="36"/>
      <c r="K6039" s="34">
        <v>20</v>
      </c>
      <c r="L6039" s="41">
        <v>19.599999999999998</v>
      </c>
      <c r="M6039" s="11"/>
      <c r="N6039" s="36">
        <f t="shared" si="352"/>
        <v>0</v>
      </c>
      <c r="O6039" s="42">
        <f>0.011*M6039</f>
        <v>0</v>
      </c>
      <c r="P6039" s="43">
        <f>0.00004*M6039</f>
        <v>0</v>
      </c>
      <c r="Q6039" s="50" t="s">
        <v>37</v>
      </c>
      <c r="R6039" s="36" t="s">
        <v>21574</v>
      </c>
      <c r="S6039" s="36"/>
      <c r="T6039" s="35" t="str">
        <f>HYPERLINK("https://miland.ru/api/getInfo/image/9d07ab7a-62d4-11f0-a281-00155d82e908")</f>
        <v>https://miland.ru/api/getInfo/image/9d07ab7a-62d4-11f0-a281-00155d82e908</v>
      </c>
      <c r="U6039" s="35"/>
      <c r="V6039" s="35" t="s">
        <v>9009</v>
      </c>
      <c r="W6039" s="35" t="s">
        <v>9010</v>
      </c>
      <c r="X6039" s="35"/>
      <c r="Y6039" s="35" t="s">
        <v>41</v>
      </c>
      <c r="Z6039" s="35"/>
      <c r="AA6039" s="35" t="str">
        <f>HYPERLINK("https://miland.ru/api/getInfo/item/9d07ab7a-62d4-11f0-a281-00155d82e908")</f>
        <v>https://miland.ru/api/getInfo/item/9d07ab7a-62d4-11f0-a281-00155d82e908</v>
      </c>
      <c r="AB6039" s="35" t="s">
        <v>42</v>
      </c>
      <c r="AC6039" s="35"/>
      <c r="AD6039" s="35"/>
      <c r="AE6039" s="52" t="s">
        <v>9152</v>
      </c>
    </row>
    <row r="6040" spans="2:31" s="1" customFormat="1" ht="96.3" customHeight="1" outlineLevel="4">
      <c r="B6040" s="59">
        <v>4958</v>
      </c>
      <c r="C6040" s="35" t="s">
        <v>21575</v>
      </c>
      <c r="D6040" s="73" t="s">
        <v>21576</v>
      </c>
      <c r="E6040" s="73"/>
      <c r="F6040" s="73"/>
      <c r="G6040" s="73"/>
      <c r="H6040" s="36" t="s">
        <v>21577</v>
      </c>
      <c r="I6040" s="56" t="s">
        <v>36</v>
      </c>
      <c r="J6040" s="36"/>
      <c r="K6040" s="34">
        <v>20</v>
      </c>
      <c r="L6040" s="41">
        <v>19.599999999999998</v>
      </c>
      <c r="M6040" s="11"/>
      <c r="N6040" s="36">
        <f t="shared" si="352"/>
        <v>0</v>
      </c>
      <c r="O6040" s="47">
        <f>0.01*M6040</f>
        <v>0</v>
      </c>
      <c r="P6040" s="43">
        <f>0.00014*M6040</f>
        <v>0</v>
      </c>
      <c r="Q6040" s="50" t="s">
        <v>37</v>
      </c>
      <c r="R6040" s="36" t="s">
        <v>21578</v>
      </c>
      <c r="S6040" s="36"/>
      <c r="T6040" s="35" t="str">
        <f>HYPERLINK("https://miland.ru/api/getInfo/image/03050348-62d5-11f0-a281-00155d82e908")</f>
        <v>https://miland.ru/api/getInfo/image/03050348-62d5-11f0-a281-00155d82e908</v>
      </c>
      <c r="U6040" s="35"/>
      <c r="V6040" s="35" t="s">
        <v>9009</v>
      </c>
      <c r="W6040" s="35" t="s">
        <v>9010</v>
      </c>
      <c r="X6040" s="35"/>
      <c r="Y6040" s="35" t="s">
        <v>41</v>
      </c>
      <c r="Z6040" s="35"/>
      <c r="AA6040" s="35" t="str">
        <f>HYPERLINK("https://miland.ru/api/getInfo/item/03050348-62d5-11f0-a281-00155d82e908")</f>
        <v>https://miland.ru/api/getInfo/item/03050348-62d5-11f0-a281-00155d82e908</v>
      </c>
      <c r="AB6040" s="35" t="s">
        <v>42</v>
      </c>
      <c r="AC6040" s="35"/>
      <c r="AD6040" s="35"/>
      <c r="AE6040" s="52" t="s">
        <v>9152</v>
      </c>
    </row>
    <row r="6041" spans="2:31" s="1" customFormat="1" ht="96.3" customHeight="1" outlineLevel="4">
      <c r="B6041" s="59">
        <v>4959</v>
      </c>
      <c r="C6041" s="35" t="s">
        <v>21579</v>
      </c>
      <c r="D6041" s="73" t="s">
        <v>21580</v>
      </c>
      <c r="E6041" s="73"/>
      <c r="F6041" s="73"/>
      <c r="G6041" s="73"/>
      <c r="H6041" s="36" t="s">
        <v>21581</v>
      </c>
      <c r="I6041" s="56" t="s">
        <v>36</v>
      </c>
      <c r="J6041" s="36"/>
      <c r="K6041" s="34">
        <v>20</v>
      </c>
      <c r="L6041" s="41">
        <v>19.599999999999998</v>
      </c>
      <c r="M6041" s="11"/>
      <c r="N6041" s="36">
        <f t="shared" si="352"/>
        <v>0</v>
      </c>
      <c r="O6041" s="47">
        <f>0.01*M6041</f>
        <v>0</v>
      </c>
      <c r="P6041" s="43">
        <f>0.00004*M6041</f>
        <v>0</v>
      </c>
      <c r="Q6041" s="50" t="s">
        <v>37</v>
      </c>
      <c r="R6041" s="36" t="s">
        <v>21582</v>
      </c>
      <c r="S6041" s="36"/>
      <c r="T6041" s="35" t="str">
        <f>HYPERLINK("https://miland.ru/api/getInfo/image/36985461-62d0-11f0-a281-00155d82e908")</f>
        <v>https://miland.ru/api/getInfo/image/36985461-62d0-11f0-a281-00155d82e908</v>
      </c>
      <c r="U6041" s="35"/>
      <c r="V6041" s="35" t="s">
        <v>9009</v>
      </c>
      <c r="W6041" s="35" t="s">
        <v>9010</v>
      </c>
      <c r="X6041" s="35"/>
      <c r="Y6041" s="35" t="s">
        <v>41</v>
      </c>
      <c r="Z6041" s="35"/>
      <c r="AA6041" s="35" t="str">
        <f>HYPERLINK("https://miland.ru/api/getInfo/item/36985461-62d0-11f0-a281-00155d82e908")</f>
        <v>https://miland.ru/api/getInfo/item/36985461-62d0-11f0-a281-00155d82e908</v>
      </c>
      <c r="AB6041" s="35" t="s">
        <v>42</v>
      </c>
      <c r="AC6041" s="35"/>
      <c r="AD6041" s="35"/>
      <c r="AE6041" s="52" t="s">
        <v>9152</v>
      </c>
    </row>
    <row r="6042" spans="2:31" s="1" customFormat="1" ht="96.3" customHeight="1" outlineLevel="4">
      <c r="B6042" s="58">
        <v>4960</v>
      </c>
      <c r="C6042" s="7" t="s">
        <v>21583</v>
      </c>
      <c r="D6042" s="71" t="s">
        <v>21584</v>
      </c>
      <c r="E6042" s="71"/>
      <c r="F6042" s="71"/>
      <c r="G6042" s="71"/>
      <c r="H6042" s="8" t="s">
        <v>21585</v>
      </c>
      <c r="I6042" s="9" t="s">
        <v>36</v>
      </c>
      <c r="J6042" s="8"/>
      <c r="K6042" s="6">
        <v>20</v>
      </c>
      <c r="L6042" s="10">
        <v>24.5</v>
      </c>
      <c r="M6042" s="11"/>
      <c r="N6042" s="8">
        <f t="shared" si="352"/>
        <v>0</v>
      </c>
      <c r="O6042" s="12">
        <f>0.008*M6042</f>
        <v>0</v>
      </c>
      <c r="P6042" s="13">
        <f>0.00001*M6042</f>
        <v>0</v>
      </c>
      <c r="Q6042" s="17" t="s">
        <v>37</v>
      </c>
      <c r="R6042" s="8" t="s">
        <v>21586</v>
      </c>
      <c r="S6042" s="8"/>
      <c r="T6042" s="7" t="str">
        <f>HYPERLINK("https://miland.ru/api/getInfo/image/faf3b433-bb11-11f0-a288-00155d82e908")</f>
        <v>https://miland.ru/api/getInfo/image/faf3b433-bb11-11f0-a288-00155d82e908</v>
      </c>
      <c r="U6042" s="7"/>
      <c r="V6042" s="7" t="s">
        <v>9009</v>
      </c>
      <c r="W6042" s="7" t="s">
        <v>9010</v>
      </c>
      <c r="X6042" s="7"/>
      <c r="Y6042" s="7" t="s">
        <v>41</v>
      </c>
      <c r="Z6042" s="7"/>
      <c r="AA6042" s="7" t="str">
        <f>HYPERLINK("https://miland.ru/api/getInfo/item/faf3b433-bb11-11f0-a288-00155d82e908")</f>
        <v>https://miland.ru/api/getInfo/item/faf3b433-bb11-11f0-a288-00155d82e908</v>
      </c>
      <c r="AB6042" s="7" t="s">
        <v>50</v>
      </c>
      <c r="AC6042" s="7"/>
      <c r="AD6042" s="7"/>
      <c r="AE6042" s="54"/>
    </row>
    <row r="6043" spans="2:31" s="1" customFormat="1" ht="96.3" customHeight="1" outlineLevel="4">
      <c r="B6043" s="58">
        <v>4961</v>
      </c>
      <c r="C6043" s="7" t="s">
        <v>21587</v>
      </c>
      <c r="D6043" s="71" t="s">
        <v>21588</v>
      </c>
      <c r="E6043" s="71"/>
      <c r="F6043" s="71"/>
      <c r="G6043" s="71"/>
      <c r="H6043" s="8" t="s">
        <v>21589</v>
      </c>
      <c r="I6043" s="9" t="s">
        <v>36</v>
      </c>
      <c r="J6043" s="8"/>
      <c r="K6043" s="6">
        <v>20</v>
      </c>
      <c r="L6043" s="10">
        <v>24.5</v>
      </c>
      <c r="M6043" s="11"/>
      <c r="N6043" s="8">
        <f t="shared" si="352"/>
        <v>0</v>
      </c>
      <c r="O6043" s="12">
        <f>0.008*M6043</f>
        <v>0</v>
      </c>
      <c r="P6043" s="13">
        <f>0.00001*M6043</f>
        <v>0</v>
      </c>
      <c r="Q6043" s="17" t="s">
        <v>37</v>
      </c>
      <c r="R6043" s="8" t="s">
        <v>21590</v>
      </c>
      <c r="S6043" s="8"/>
      <c r="T6043" s="7" t="str">
        <f>HYPERLINK("https://miland.ru/api/getInfo/image/282b9712-bb11-11f0-a288-00155d82e908")</f>
        <v>https://miland.ru/api/getInfo/image/282b9712-bb11-11f0-a288-00155d82e908</v>
      </c>
      <c r="U6043" s="7"/>
      <c r="V6043" s="7" t="s">
        <v>9009</v>
      </c>
      <c r="W6043" s="7" t="s">
        <v>9010</v>
      </c>
      <c r="X6043" s="7"/>
      <c r="Y6043" s="7" t="s">
        <v>41</v>
      </c>
      <c r="Z6043" s="7"/>
      <c r="AA6043" s="7" t="str">
        <f>HYPERLINK("https://miland.ru/api/getInfo/item/282b9712-bb11-11f0-a288-00155d82e908")</f>
        <v>https://miland.ru/api/getInfo/item/282b9712-bb11-11f0-a288-00155d82e908</v>
      </c>
      <c r="AB6043" s="7" t="s">
        <v>50</v>
      </c>
      <c r="AC6043" s="7"/>
      <c r="AD6043" s="7"/>
      <c r="AE6043" s="54"/>
    </row>
    <row r="6044" spans="2:31" s="1" customFormat="1" ht="96.3" customHeight="1" outlineLevel="4">
      <c r="B6044" s="58">
        <v>4962</v>
      </c>
      <c r="C6044" s="7" t="s">
        <v>21591</v>
      </c>
      <c r="D6044" s="71" t="s">
        <v>21592</v>
      </c>
      <c r="E6044" s="71"/>
      <c r="F6044" s="71"/>
      <c r="G6044" s="71"/>
      <c r="H6044" s="8" t="s">
        <v>21593</v>
      </c>
      <c r="I6044" s="9" t="s">
        <v>36</v>
      </c>
      <c r="J6044" s="8"/>
      <c r="K6044" s="6">
        <v>20</v>
      </c>
      <c r="L6044" s="10">
        <v>24.5</v>
      </c>
      <c r="M6044" s="11"/>
      <c r="N6044" s="8">
        <f t="shared" si="352"/>
        <v>0</v>
      </c>
      <c r="O6044" s="12">
        <f>0.008*M6044</f>
        <v>0</v>
      </c>
      <c r="P6044" s="13">
        <f>0.00001*M6044</f>
        <v>0</v>
      </c>
      <c r="Q6044" s="17" t="s">
        <v>37</v>
      </c>
      <c r="R6044" s="8" t="s">
        <v>21594</v>
      </c>
      <c r="S6044" s="8"/>
      <c r="T6044" s="7" t="str">
        <f>HYPERLINK("https://miland.ru/api/getInfo/image/8e25c33f-bb0f-11f0-a288-00155d82e908")</f>
        <v>https://miland.ru/api/getInfo/image/8e25c33f-bb0f-11f0-a288-00155d82e908</v>
      </c>
      <c r="U6044" s="7"/>
      <c r="V6044" s="7" t="s">
        <v>9009</v>
      </c>
      <c r="W6044" s="7" t="s">
        <v>9010</v>
      </c>
      <c r="X6044" s="7"/>
      <c r="Y6044" s="7" t="s">
        <v>41</v>
      </c>
      <c r="Z6044" s="7"/>
      <c r="AA6044" s="7" t="str">
        <f>HYPERLINK("https://miland.ru/api/getInfo/item/8e25c33f-bb0f-11f0-a288-00155d82e908")</f>
        <v>https://miland.ru/api/getInfo/item/8e25c33f-bb0f-11f0-a288-00155d82e908</v>
      </c>
      <c r="AB6044" s="7" t="s">
        <v>50</v>
      </c>
      <c r="AC6044" s="7"/>
      <c r="AD6044" s="7"/>
      <c r="AE6044" s="54"/>
    </row>
    <row r="6045" spans="2:31" ht="16.05" customHeight="1" outlineLevel="1">
      <c r="B6045" s="68" t="s">
        <v>21595</v>
      </c>
      <c r="C6045" s="68"/>
      <c r="D6045" s="68"/>
      <c r="E6045" s="68"/>
      <c r="F6045" s="68"/>
      <c r="G6045" s="68"/>
    </row>
    <row r="6046" spans="2:31" ht="12" customHeight="1" outlineLevel="2">
      <c r="B6046" s="69" t="s">
        <v>21596</v>
      </c>
      <c r="C6046" s="69"/>
      <c r="D6046" s="69"/>
      <c r="E6046" s="69"/>
      <c r="F6046" s="69"/>
      <c r="G6046" s="69"/>
    </row>
    <row r="6047" spans="2:31" s="1" customFormat="1" ht="96.3" customHeight="1" outlineLevel="3">
      <c r="B6047" s="57">
        <v>4963</v>
      </c>
      <c r="C6047" s="21" t="s">
        <v>21597</v>
      </c>
      <c r="D6047" s="72" t="s">
        <v>21598</v>
      </c>
      <c r="E6047" s="72"/>
      <c r="F6047" s="72"/>
      <c r="G6047" s="72"/>
      <c r="H6047" s="22" t="s">
        <v>21599</v>
      </c>
      <c r="I6047" s="27">
        <v>368</v>
      </c>
      <c r="J6047" s="22"/>
      <c r="K6047" s="20">
        <v>10</v>
      </c>
      <c r="L6047" s="24">
        <v>73.510000000000005</v>
      </c>
      <c r="M6047" s="11"/>
      <c r="N6047" s="22">
        <f t="shared" ref="N6047:N6060" si="354">L6047*M6047</f>
        <v>0</v>
      </c>
      <c r="O6047" s="25">
        <f>0.058*M6047</f>
        <v>0</v>
      </c>
      <c r="P6047" s="26">
        <f>0.00019*M6047</f>
        <v>0</v>
      </c>
      <c r="Q6047" s="30"/>
      <c r="R6047" s="22" t="s">
        <v>21600</v>
      </c>
      <c r="S6047" s="22"/>
      <c r="T6047" s="21" t="str">
        <f>HYPERLINK("https://miland.ru/api/getInfo/image/c447ece9-b856-11e5-9e79-5cf3fc4a2490")</f>
        <v>https://miland.ru/api/getInfo/image/c447ece9-b856-11e5-9e79-5cf3fc4a2490</v>
      </c>
      <c r="U6047" s="21"/>
      <c r="V6047" s="21" t="s">
        <v>1682</v>
      </c>
      <c r="W6047" s="21" t="s">
        <v>1683</v>
      </c>
      <c r="X6047" s="21"/>
      <c r="Y6047" s="21" t="s">
        <v>41</v>
      </c>
      <c r="Z6047" s="21"/>
      <c r="AA6047" s="21" t="str">
        <f>HYPERLINK("https://miland.ru/api/getInfo/item/c447ece9-b856-11e5-9e79-5cf3fc4a2490")</f>
        <v>https://miland.ru/api/getInfo/item/c447ece9-b856-11e5-9e79-5cf3fc4a2490</v>
      </c>
      <c r="AB6047" s="21" t="s">
        <v>50</v>
      </c>
      <c r="AC6047" s="21" t="s">
        <v>21601</v>
      </c>
      <c r="AD6047" s="21" t="s">
        <v>21602</v>
      </c>
    </row>
    <row r="6048" spans="2:31" s="1" customFormat="1" ht="96.3" customHeight="1" outlineLevel="3">
      <c r="B6048" s="57">
        <v>4964</v>
      </c>
      <c r="C6048" s="21" t="s">
        <v>21603</v>
      </c>
      <c r="D6048" s="72" t="s">
        <v>21604</v>
      </c>
      <c r="E6048" s="72"/>
      <c r="F6048" s="72"/>
      <c r="G6048" s="72"/>
      <c r="H6048" s="22" t="s">
        <v>21605</v>
      </c>
      <c r="I6048" s="27">
        <v>340</v>
      </c>
      <c r="J6048" s="22"/>
      <c r="K6048" s="20">
        <v>10</v>
      </c>
      <c r="L6048" s="24">
        <v>73.510000000000005</v>
      </c>
      <c r="M6048" s="11"/>
      <c r="N6048" s="22">
        <f t="shared" si="354"/>
        <v>0</v>
      </c>
      <c r="O6048" s="25">
        <f>0.061*M6048</f>
        <v>0</v>
      </c>
      <c r="P6048" s="26">
        <f>0.00015*M6048</f>
        <v>0</v>
      </c>
      <c r="Q6048" s="30"/>
      <c r="R6048" s="22" t="s">
        <v>21606</v>
      </c>
      <c r="S6048" s="22"/>
      <c r="T6048" s="21" t="str">
        <f>HYPERLINK("https://miland.ru/api/getInfo/image/44ef9599-b857-11e5-9e79-5cf3fc4a2490")</f>
        <v>https://miland.ru/api/getInfo/image/44ef9599-b857-11e5-9e79-5cf3fc4a2490</v>
      </c>
      <c r="U6048" s="21"/>
      <c r="V6048" s="21" t="s">
        <v>1682</v>
      </c>
      <c r="W6048" s="21" t="s">
        <v>1683</v>
      </c>
      <c r="X6048" s="21"/>
      <c r="Y6048" s="21" t="s">
        <v>41</v>
      </c>
      <c r="Z6048" s="21"/>
      <c r="AA6048" s="21" t="str">
        <f>HYPERLINK("https://miland.ru/api/getInfo/item/44ef9599-b857-11e5-9e79-5cf3fc4a2490")</f>
        <v>https://miland.ru/api/getInfo/item/44ef9599-b857-11e5-9e79-5cf3fc4a2490</v>
      </c>
      <c r="AB6048" s="21" t="s">
        <v>50</v>
      </c>
      <c r="AC6048" s="21" t="s">
        <v>21601</v>
      </c>
      <c r="AD6048" s="21" t="s">
        <v>21607</v>
      </c>
    </row>
    <row r="6049" spans="2:31" s="1" customFormat="1" ht="96.3" customHeight="1" outlineLevel="3">
      <c r="B6049" s="57">
        <v>4965</v>
      </c>
      <c r="C6049" s="21" t="s">
        <v>21608</v>
      </c>
      <c r="D6049" s="72" t="s">
        <v>21609</v>
      </c>
      <c r="E6049" s="72"/>
      <c r="F6049" s="72"/>
      <c r="G6049" s="72"/>
      <c r="H6049" s="22" t="s">
        <v>21610</v>
      </c>
      <c r="I6049" s="27">
        <v>220</v>
      </c>
      <c r="J6049" s="22"/>
      <c r="K6049" s="20">
        <v>10</v>
      </c>
      <c r="L6049" s="24">
        <v>73.510000000000005</v>
      </c>
      <c r="M6049" s="11"/>
      <c r="N6049" s="22">
        <f t="shared" si="354"/>
        <v>0</v>
      </c>
      <c r="O6049" s="25">
        <f>0.069*M6049</f>
        <v>0</v>
      </c>
      <c r="P6049" s="26">
        <f>0.00016*M6049</f>
        <v>0</v>
      </c>
      <c r="Q6049" s="30"/>
      <c r="R6049" s="22" t="s">
        <v>21611</v>
      </c>
      <c r="S6049" s="22"/>
      <c r="T6049" s="21" t="str">
        <f>HYPERLINK("https://miland.ru/api/getInfo/image/dab0c451-b856-11e5-9e79-5cf3fc4a2490")</f>
        <v>https://miland.ru/api/getInfo/image/dab0c451-b856-11e5-9e79-5cf3fc4a2490</v>
      </c>
      <c r="U6049" s="21"/>
      <c r="V6049" s="21" t="s">
        <v>1682</v>
      </c>
      <c r="W6049" s="21" t="s">
        <v>1683</v>
      </c>
      <c r="X6049" s="21"/>
      <c r="Y6049" s="21" t="s">
        <v>41</v>
      </c>
      <c r="Z6049" s="21"/>
      <c r="AA6049" s="21" t="str">
        <f>HYPERLINK("https://miland.ru/api/getInfo/item/dab0c451-b856-11e5-9e79-5cf3fc4a2490")</f>
        <v>https://miland.ru/api/getInfo/item/dab0c451-b856-11e5-9e79-5cf3fc4a2490</v>
      </c>
      <c r="AB6049" s="21" t="s">
        <v>50</v>
      </c>
      <c r="AC6049" s="21" t="s">
        <v>21601</v>
      </c>
      <c r="AD6049" s="21" t="s">
        <v>21612</v>
      </c>
    </row>
    <row r="6050" spans="2:31" s="1" customFormat="1" ht="96.3" customHeight="1" outlineLevel="3">
      <c r="B6050" s="57">
        <v>4966</v>
      </c>
      <c r="C6050" s="21" t="s">
        <v>21613</v>
      </c>
      <c r="D6050" s="72" t="s">
        <v>21614</v>
      </c>
      <c r="E6050" s="72"/>
      <c r="F6050" s="72"/>
      <c r="G6050" s="72"/>
      <c r="H6050" s="22" t="s">
        <v>21615</v>
      </c>
      <c r="I6050" s="27">
        <v>304</v>
      </c>
      <c r="J6050" s="22"/>
      <c r="K6050" s="20">
        <v>10</v>
      </c>
      <c r="L6050" s="24">
        <v>73.510000000000005</v>
      </c>
      <c r="M6050" s="11"/>
      <c r="N6050" s="22">
        <f t="shared" si="354"/>
        <v>0</v>
      </c>
      <c r="O6050" s="25">
        <f>0.057*M6050</f>
        <v>0</v>
      </c>
      <c r="P6050" s="26">
        <f>0.00019*M6050</f>
        <v>0</v>
      </c>
      <c r="Q6050" s="30"/>
      <c r="R6050" s="22" t="s">
        <v>21616</v>
      </c>
      <c r="S6050" s="22"/>
      <c r="T6050" s="21" t="str">
        <f>HYPERLINK("https://miland.ru/api/getInfo/image/f9f0c187-b858-11e5-9e79-5cf3fc4a2490")</f>
        <v>https://miland.ru/api/getInfo/image/f9f0c187-b858-11e5-9e79-5cf3fc4a2490</v>
      </c>
      <c r="U6050" s="21"/>
      <c r="V6050" s="21" t="s">
        <v>1682</v>
      </c>
      <c r="W6050" s="21" t="s">
        <v>1683</v>
      </c>
      <c r="X6050" s="21"/>
      <c r="Y6050" s="21" t="s">
        <v>41</v>
      </c>
      <c r="Z6050" s="21"/>
      <c r="AA6050" s="21" t="str">
        <f>HYPERLINK("https://miland.ru/api/getInfo/item/f9f0c187-b858-11e5-9e79-5cf3fc4a2490")</f>
        <v>https://miland.ru/api/getInfo/item/f9f0c187-b858-11e5-9e79-5cf3fc4a2490</v>
      </c>
      <c r="AB6050" s="21" t="s">
        <v>50</v>
      </c>
      <c r="AC6050" s="21" t="s">
        <v>21601</v>
      </c>
      <c r="AD6050" s="21" t="s">
        <v>21617</v>
      </c>
    </row>
    <row r="6051" spans="2:31" s="1" customFormat="1" ht="96.3" customHeight="1" outlineLevel="3">
      <c r="B6051" s="57">
        <v>4967</v>
      </c>
      <c r="C6051" s="21" t="s">
        <v>21618</v>
      </c>
      <c r="D6051" s="72" t="s">
        <v>21619</v>
      </c>
      <c r="E6051" s="72"/>
      <c r="F6051" s="72"/>
      <c r="G6051" s="72"/>
      <c r="H6051" s="22" t="s">
        <v>21620</v>
      </c>
      <c r="I6051" s="27">
        <v>200</v>
      </c>
      <c r="J6051" s="22"/>
      <c r="K6051" s="20">
        <v>10</v>
      </c>
      <c r="L6051" s="24">
        <v>73.510000000000005</v>
      </c>
      <c r="M6051" s="11"/>
      <c r="N6051" s="22">
        <f t="shared" si="354"/>
        <v>0</v>
      </c>
      <c r="O6051" s="25">
        <f>0.062*M6051</f>
        <v>0</v>
      </c>
      <c r="P6051" s="29">
        <f>0.0001*M6051</f>
        <v>0</v>
      </c>
      <c r="Q6051" s="30"/>
      <c r="R6051" s="22" t="s">
        <v>21621</v>
      </c>
      <c r="S6051" s="22"/>
      <c r="T6051" s="21" t="str">
        <f>HYPERLINK("https://miland.ru/api/getInfo/image/1262e977-b859-11e5-9e79-5cf3fc4a2490")</f>
        <v>https://miland.ru/api/getInfo/image/1262e977-b859-11e5-9e79-5cf3fc4a2490</v>
      </c>
      <c r="U6051" s="21"/>
      <c r="V6051" s="21" t="s">
        <v>1682</v>
      </c>
      <c r="W6051" s="21" t="s">
        <v>1683</v>
      </c>
      <c r="X6051" s="21"/>
      <c r="Y6051" s="21" t="s">
        <v>41</v>
      </c>
      <c r="Z6051" s="21"/>
      <c r="AA6051" s="21" t="str">
        <f>HYPERLINK("https://miland.ru/api/getInfo/item/1262e977-b859-11e5-9e79-5cf3fc4a2490")</f>
        <v>https://miland.ru/api/getInfo/item/1262e977-b859-11e5-9e79-5cf3fc4a2490</v>
      </c>
      <c r="AB6051" s="21" t="s">
        <v>50</v>
      </c>
      <c r="AC6051" s="21" t="s">
        <v>21601</v>
      </c>
      <c r="AD6051" s="21" t="s">
        <v>21622</v>
      </c>
    </row>
    <row r="6052" spans="2:31" s="1" customFormat="1" ht="96.3" customHeight="1" outlineLevel="3">
      <c r="B6052" s="57">
        <v>4968</v>
      </c>
      <c r="C6052" s="21" t="s">
        <v>21623</v>
      </c>
      <c r="D6052" s="72" t="s">
        <v>21624</v>
      </c>
      <c r="E6052" s="72"/>
      <c r="F6052" s="72"/>
      <c r="G6052" s="72"/>
      <c r="H6052" s="22" t="s">
        <v>21625</v>
      </c>
      <c r="I6052" s="27">
        <v>301</v>
      </c>
      <c r="J6052" s="22"/>
      <c r="K6052" s="20">
        <v>10</v>
      </c>
      <c r="L6052" s="24">
        <v>73.510000000000005</v>
      </c>
      <c r="M6052" s="11"/>
      <c r="N6052" s="22">
        <f t="shared" si="354"/>
        <v>0</v>
      </c>
      <c r="O6052" s="25">
        <f>0.075*M6052</f>
        <v>0</v>
      </c>
      <c r="P6052" s="26">
        <f>0.00009*M6052</f>
        <v>0</v>
      </c>
      <c r="Q6052" s="30"/>
      <c r="R6052" s="22" t="s">
        <v>21626</v>
      </c>
      <c r="S6052" s="22"/>
      <c r="T6052" s="21" t="str">
        <f>HYPERLINK("https://miland.ru/api/getInfo/image/ebc852fe-b855-11e5-9e79-5cf3fc4a2490")</f>
        <v>https://miland.ru/api/getInfo/image/ebc852fe-b855-11e5-9e79-5cf3fc4a2490</v>
      </c>
      <c r="U6052" s="21"/>
      <c r="V6052" s="21" t="s">
        <v>1682</v>
      </c>
      <c r="W6052" s="21" t="s">
        <v>1683</v>
      </c>
      <c r="X6052" s="21"/>
      <c r="Y6052" s="21" t="s">
        <v>41</v>
      </c>
      <c r="Z6052" s="21"/>
      <c r="AA6052" s="21" t="str">
        <f>HYPERLINK("https://miland.ru/api/getInfo/item/ebc852fe-b855-11e5-9e79-5cf3fc4a2490")</f>
        <v>https://miland.ru/api/getInfo/item/ebc852fe-b855-11e5-9e79-5cf3fc4a2490</v>
      </c>
      <c r="AB6052" s="21" t="s">
        <v>50</v>
      </c>
      <c r="AC6052" s="21" t="s">
        <v>21601</v>
      </c>
      <c r="AD6052" s="21"/>
    </row>
    <row r="6053" spans="2:31" s="1" customFormat="1" ht="96.3" customHeight="1" outlineLevel="3">
      <c r="B6053" s="57">
        <v>4969</v>
      </c>
      <c r="C6053" s="21" t="s">
        <v>21627</v>
      </c>
      <c r="D6053" s="72" t="s">
        <v>21628</v>
      </c>
      <c r="E6053" s="72"/>
      <c r="F6053" s="72"/>
      <c r="G6053" s="72"/>
      <c r="H6053" s="22" t="s">
        <v>21629</v>
      </c>
      <c r="I6053" s="27">
        <v>300</v>
      </c>
      <c r="J6053" s="22"/>
      <c r="K6053" s="20">
        <v>10</v>
      </c>
      <c r="L6053" s="24">
        <v>73.510000000000005</v>
      </c>
      <c r="M6053" s="11"/>
      <c r="N6053" s="22">
        <f t="shared" si="354"/>
        <v>0</v>
      </c>
      <c r="O6053" s="28">
        <f>0.07*M6053</f>
        <v>0</v>
      </c>
      <c r="P6053" s="26">
        <f>0.00018*M6053</f>
        <v>0</v>
      </c>
      <c r="Q6053" s="30"/>
      <c r="R6053" s="22" t="s">
        <v>21630</v>
      </c>
      <c r="S6053" s="22"/>
      <c r="T6053" s="21" t="str">
        <f>HYPERLINK("https://miland.ru/api/getInfo/image/c708aa14-f53b-11e7-8117-5cf3fc4a2490")</f>
        <v>https://miland.ru/api/getInfo/image/c708aa14-f53b-11e7-8117-5cf3fc4a2490</v>
      </c>
      <c r="U6053" s="21"/>
      <c r="V6053" s="21" t="s">
        <v>1682</v>
      </c>
      <c r="W6053" s="21" t="s">
        <v>1683</v>
      </c>
      <c r="X6053" s="21"/>
      <c r="Y6053" s="21" t="s">
        <v>41</v>
      </c>
      <c r="Z6053" s="21"/>
      <c r="AA6053" s="21" t="str">
        <f>HYPERLINK("https://miland.ru/api/getInfo/item/c708aa14-f53b-11e7-8117-5cf3fc4a2490")</f>
        <v>https://miland.ru/api/getInfo/item/c708aa14-f53b-11e7-8117-5cf3fc4a2490</v>
      </c>
      <c r="AB6053" s="21" t="s">
        <v>50</v>
      </c>
      <c r="AC6053" s="21" t="s">
        <v>21601</v>
      </c>
      <c r="AD6053" s="21"/>
    </row>
    <row r="6054" spans="2:31" s="1" customFormat="1" ht="96.3" customHeight="1" outlineLevel="3">
      <c r="B6054" s="57">
        <v>4970</v>
      </c>
      <c r="C6054" s="21" t="s">
        <v>21631</v>
      </c>
      <c r="D6054" s="72" t="s">
        <v>21632</v>
      </c>
      <c r="E6054" s="72"/>
      <c r="F6054" s="72"/>
      <c r="G6054" s="72"/>
      <c r="H6054" s="22" t="s">
        <v>21633</v>
      </c>
      <c r="I6054" s="27">
        <v>274</v>
      </c>
      <c r="J6054" s="22"/>
      <c r="K6054" s="20">
        <v>10</v>
      </c>
      <c r="L6054" s="24">
        <v>73.510000000000005</v>
      </c>
      <c r="M6054" s="11"/>
      <c r="N6054" s="22">
        <f t="shared" si="354"/>
        <v>0</v>
      </c>
      <c r="O6054" s="28">
        <f>0.07*M6054</f>
        <v>0</v>
      </c>
      <c r="P6054" s="29">
        <f>0.0002*M6054</f>
        <v>0</v>
      </c>
      <c r="Q6054" s="30"/>
      <c r="R6054" s="22" t="s">
        <v>21634</v>
      </c>
      <c r="S6054" s="22"/>
      <c r="T6054" s="21" t="str">
        <f>HYPERLINK("https://miland.ru/api/getInfo/image/951434b2-b858-11e5-9e79-5cf3fc4a2490")</f>
        <v>https://miland.ru/api/getInfo/image/951434b2-b858-11e5-9e79-5cf3fc4a2490</v>
      </c>
      <c r="U6054" s="21"/>
      <c r="V6054" s="21" t="s">
        <v>1682</v>
      </c>
      <c r="W6054" s="21" t="s">
        <v>1683</v>
      </c>
      <c r="X6054" s="21"/>
      <c r="Y6054" s="21" t="s">
        <v>41</v>
      </c>
      <c r="Z6054" s="21"/>
      <c r="AA6054" s="21" t="str">
        <f>HYPERLINK("https://miland.ru/api/getInfo/item/951434b2-b858-11e5-9e79-5cf3fc4a2490")</f>
        <v>https://miland.ru/api/getInfo/item/951434b2-b858-11e5-9e79-5cf3fc4a2490</v>
      </c>
      <c r="AB6054" s="21" t="s">
        <v>50</v>
      </c>
      <c r="AC6054" s="21" t="s">
        <v>21601</v>
      </c>
      <c r="AD6054" s="21" t="s">
        <v>21635</v>
      </c>
    </row>
    <row r="6055" spans="2:31" s="1" customFormat="1" ht="96.3" customHeight="1" outlineLevel="3">
      <c r="B6055" s="57">
        <v>4971</v>
      </c>
      <c r="C6055" s="21" t="s">
        <v>21636</v>
      </c>
      <c r="D6055" s="72" t="s">
        <v>21637</v>
      </c>
      <c r="E6055" s="72"/>
      <c r="F6055" s="72"/>
      <c r="G6055" s="72"/>
      <c r="H6055" s="22" t="s">
        <v>21638</v>
      </c>
      <c r="I6055" s="27">
        <v>200</v>
      </c>
      <c r="J6055" s="22"/>
      <c r="K6055" s="20">
        <v>10</v>
      </c>
      <c r="L6055" s="24">
        <v>73.510000000000005</v>
      </c>
      <c r="M6055" s="11"/>
      <c r="N6055" s="22">
        <f t="shared" si="354"/>
        <v>0</v>
      </c>
      <c r="O6055" s="25">
        <f>0.062*M6055</f>
        <v>0</v>
      </c>
      <c r="P6055" s="29">
        <f>0.0001*M6055</f>
        <v>0</v>
      </c>
      <c r="Q6055" s="30"/>
      <c r="R6055" s="22" t="s">
        <v>21639</v>
      </c>
      <c r="S6055" s="22"/>
      <c r="T6055" s="21" t="str">
        <f>HYPERLINK("https://miland.ru/api/getInfo/image/276935f5-f53c-11e7-8117-5cf3fc4a2490")</f>
        <v>https://miland.ru/api/getInfo/image/276935f5-f53c-11e7-8117-5cf3fc4a2490</v>
      </c>
      <c r="U6055" s="21"/>
      <c r="V6055" s="21" t="s">
        <v>1682</v>
      </c>
      <c r="W6055" s="21" t="s">
        <v>1683</v>
      </c>
      <c r="X6055" s="21"/>
      <c r="Y6055" s="21" t="s">
        <v>41</v>
      </c>
      <c r="Z6055" s="21"/>
      <c r="AA6055" s="21" t="str">
        <f>HYPERLINK("https://miland.ru/api/getInfo/item/276935f5-f53c-11e7-8117-5cf3fc4a2490")</f>
        <v>https://miland.ru/api/getInfo/item/276935f5-f53c-11e7-8117-5cf3fc4a2490</v>
      </c>
      <c r="AB6055" s="21" t="s">
        <v>50</v>
      </c>
      <c r="AC6055" s="21" t="s">
        <v>21601</v>
      </c>
      <c r="AD6055" s="21"/>
    </row>
    <row r="6056" spans="2:31" s="1" customFormat="1" ht="96.3" customHeight="1" outlineLevel="3">
      <c r="B6056" s="57">
        <v>4972</v>
      </c>
      <c r="C6056" s="21" t="s">
        <v>21640</v>
      </c>
      <c r="D6056" s="72" t="s">
        <v>21641</v>
      </c>
      <c r="E6056" s="72"/>
      <c r="F6056" s="72"/>
      <c r="G6056" s="72"/>
      <c r="H6056" s="22" t="s">
        <v>21642</v>
      </c>
      <c r="I6056" s="27">
        <v>150</v>
      </c>
      <c r="J6056" s="22"/>
      <c r="K6056" s="20">
        <v>10</v>
      </c>
      <c r="L6056" s="24">
        <v>73.510000000000005</v>
      </c>
      <c r="M6056" s="11"/>
      <c r="N6056" s="22">
        <f t="shared" si="354"/>
        <v>0</v>
      </c>
      <c r="O6056" s="25">
        <f>0.059*M6056</f>
        <v>0</v>
      </c>
      <c r="P6056" s="26">
        <f>0.00014*M6056</f>
        <v>0</v>
      </c>
      <c r="Q6056" s="30"/>
      <c r="R6056" s="22" t="s">
        <v>21643</v>
      </c>
      <c r="S6056" s="22"/>
      <c r="T6056" s="21" t="str">
        <f>HYPERLINK("https://miland.ru/api/getInfo/image/fe802251-b855-11e5-9e79-5cf3fc4a2490")</f>
        <v>https://miland.ru/api/getInfo/image/fe802251-b855-11e5-9e79-5cf3fc4a2490</v>
      </c>
      <c r="U6056" s="21"/>
      <c r="V6056" s="21" t="s">
        <v>1682</v>
      </c>
      <c r="W6056" s="21" t="s">
        <v>1683</v>
      </c>
      <c r="X6056" s="21"/>
      <c r="Y6056" s="21" t="s">
        <v>41</v>
      </c>
      <c r="Z6056" s="21"/>
      <c r="AA6056" s="21" t="str">
        <f>HYPERLINK("https://miland.ru/api/getInfo/item/fe802251-b855-11e5-9e79-5cf3fc4a2490")</f>
        <v>https://miland.ru/api/getInfo/item/fe802251-b855-11e5-9e79-5cf3fc4a2490</v>
      </c>
      <c r="AB6056" s="21" t="s">
        <v>50</v>
      </c>
      <c r="AC6056" s="21" t="s">
        <v>21601</v>
      </c>
      <c r="AD6056" s="21"/>
    </row>
    <row r="6057" spans="2:31" s="1" customFormat="1" ht="96.3" customHeight="1" outlineLevel="3">
      <c r="B6057" s="57">
        <v>4973</v>
      </c>
      <c r="C6057" s="21" t="s">
        <v>21644</v>
      </c>
      <c r="D6057" s="72" t="s">
        <v>21645</v>
      </c>
      <c r="E6057" s="72"/>
      <c r="F6057" s="72"/>
      <c r="G6057" s="72"/>
      <c r="H6057" s="22" t="s">
        <v>21646</v>
      </c>
      <c r="I6057" s="27">
        <v>310</v>
      </c>
      <c r="J6057" s="22"/>
      <c r="K6057" s="20">
        <v>10</v>
      </c>
      <c r="L6057" s="24">
        <v>73.510000000000005</v>
      </c>
      <c r="M6057" s="11"/>
      <c r="N6057" s="22">
        <f t="shared" si="354"/>
        <v>0</v>
      </c>
      <c r="O6057" s="28">
        <f>0.06*M6057</f>
        <v>0</v>
      </c>
      <c r="P6057" s="26">
        <f>0.00016*M6057</f>
        <v>0</v>
      </c>
      <c r="Q6057" s="30"/>
      <c r="R6057" s="22" t="s">
        <v>21647</v>
      </c>
      <c r="S6057" s="22"/>
      <c r="T6057" s="21" t="str">
        <f>HYPERLINK("https://miland.ru/api/getInfo/image/a422c585-b856-11e5-9e79-5cf3fc4a2490")</f>
        <v>https://miland.ru/api/getInfo/image/a422c585-b856-11e5-9e79-5cf3fc4a2490</v>
      </c>
      <c r="U6057" s="21"/>
      <c r="V6057" s="21" t="s">
        <v>1682</v>
      </c>
      <c r="W6057" s="21" t="s">
        <v>1683</v>
      </c>
      <c r="X6057" s="21"/>
      <c r="Y6057" s="21" t="s">
        <v>41</v>
      </c>
      <c r="Z6057" s="21"/>
      <c r="AA6057" s="21" t="str">
        <f>HYPERLINK("https://miland.ru/api/getInfo/item/a422c585-b856-11e5-9e79-5cf3fc4a2490")</f>
        <v>https://miland.ru/api/getInfo/item/a422c585-b856-11e5-9e79-5cf3fc4a2490</v>
      </c>
      <c r="AB6057" s="21" t="s">
        <v>50</v>
      </c>
      <c r="AC6057" s="21" t="s">
        <v>21601</v>
      </c>
      <c r="AD6057" s="21" t="s">
        <v>21648</v>
      </c>
    </row>
    <row r="6058" spans="2:31" s="1" customFormat="1" ht="96.3" customHeight="1" outlineLevel="3">
      <c r="B6058" s="57">
        <v>4974</v>
      </c>
      <c r="C6058" s="21" t="s">
        <v>21649</v>
      </c>
      <c r="D6058" s="72" t="s">
        <v>21650</v>
      </c>
      <c r="E6058" s="72"/>
      <c r="F6058" s="72"/>
      <c r="G6058" s="72"/>
      <c r="H6058" s="22" t="s">
        <v>21651</v>
      </c>
      <c r="I6058" s="27">
        <v>200</v>
      </c>
      <c r="J6058" s="22"/>
      <c r="K6058" s="20">
        <v>10</v>
      </c>
      <c r="L6058" s="24">
        <v>73.510000000000005</v>
      </c>
      <c r="M6058" s="11"/>
      <c r="N6058" s="22">
        <f t="shared" si="354"/>
        <v>0</v>
      </c>
      <c r="O6058" s="25">
        <f>0.061*M6058</f>
        <v>0</v>
      </c>
      <c r="P6058" s="29">
        <f>0.0001*M6058</f>
        <v>0</v>
      </c>
      <c r="Q6058" s="30"/>
      <c r="R6058" s="22" t="s">
        <v>21652</v>
      </c>
      <c r="S6058" s="22"/>
      <c r="T6058" s="21" t="str">
        <f>HYPERLINK("https://miland.ru/api/getInfo/image/e179d72d-b858-11e5-9e79-5cf3fc4a2490")</f>
        <v>https://miland.ru/api/getInfo/image/e179d72d-b858-11e5-9e79-5cf3fc4a2490</v>
      </c>
      <c r="U6058" s="21"/>
      <c r="V6058" s="21" t="s">
        <v>1682</v>
      </c>
      <c r="W6058" s="21" t="s">
        <v>1683</v>
      </c>
      <c r="X6058" s="21"/>
      <c r="Y6058" s="21" t="s">
        <v>41</v>
      </c>
      <c r="Z6058" s="21"/>
      <c r="AA6058" s="21" t="str">
        <f>HYPERLINK("https://miland.ru/api/getInfo/item/e179d72d-b858-11e5-9e79-5cf3fc4a2490")</f>
        <v>https://miland.ru/api/getInfo/item/e179d72d-b858-11e5-9e79-5cf3fc4a2490</v>
      </c>
      <c r="AB6058" s="21" t="s">
        <v>50</v>
      </c>
      <c r="AC6058" s="21" t="s">
        <v>21601</v>
      </c>
      <c r="AD6058" s="21" t="s">
        <v>21653</v>
      </c>
    </row>
    <row r="6059" spans="2:31" s="1" customFormat="1" ht="96.3" customHeight="1" outlineLevel="3">
      <c r="B6059" s="57">
        <v>4975</v>
      </c>
      <c r="C6059" s="21" t="s">
        <v>21654</v>
      </c>
      <c r="D6059" s="72" t="s">
        <v>21655</v>
      </c>
      <c r="E6059" s="72"/>
      <c r="F6059" s="72"/>
      <c r="G6059" s="72"/>
      <c r="H6059" s="22" t="s">
        <v>21656</v>
      </c>
      <c r="I6059" s="27">
        <v>348</v>
      </c>
      <c r="J6059" s="22"/>
      <c r="K6059" s="20">
        <v>10</v>
      </c>
      <c r="L6059" s="24">
        <v>73.510000000000005</v>
      </c>
      <c r="M6059" s="11"/>
      <c r="N6059" s="22">
        <f t="shared" si="354"/>
        <v>0</v>
      </c>
      <c r="O6059" s="25">
        <f>0.065*M6059</f>
        <v>0</v>
      </c>
      <c r="P6059" s="26">
        <f>0.00012*M6059</f>
        <v>0</v>
      </c>
      <c r="Q6059" s="30"/>
      <c r="R6059" s="22" t="s">
        <v>21657</v>
      </c>
      <c r="S6059" s="22"/>
      <c r="T6059" s="21" t="str">
        <f>HYPERLINK("https://miland.ru/api/getInfo/image/d4d47338-b858-11e5-9e79-5cf3fc4a2490")</f>
        <v>https://miland.ru/api/getInfo/image/d4d47338-b858-11e5-9e79-5cf3fc4a2490</v>
      </c>
      <c r="U6059" s="21"/>
      <c r="V6059" s="21" t="s">
        <v>1682</v>
      </c>
      <c r="W6059" s="21" t="s">
        <v>1683</v>
      </c>
      <c r="X6059" s="21"/>
      <c r="Y6059" s="21" t="s">
        <v>41</v>
      </c>
      <c r="Z6059" s="21"/>
      <c r="AA6059" s="21" t="str">
        <f>HYPERLINK("https://miland.ru/api/getInfo/item/d4d47338-b858-11e5-9e79-5cf3fc4a2490")</f>
        <v>https://miland.ru/api/getInfo/item/d4d47338-b858-11e5-9e79-5cf3fc4a2490</v>
      </c>
      <c r="AB6059" s="21" t="s">
        <v>50</v>
      </c>
      <c r="AC6059" s="21" t="s">
        <v>21601</v>
      </c>
      <c r="AD6059" s="21" t="s">
        <v>21658</v>
      </c>
    </row>
    <row r="6060" spans="2:31" s="1" customFormat="1" ht="96.3" customHeight="1" outlineLevel="3">
      <c r="B6060" s="57">
        <v>4976</v>
      </c>
      <c r="C6060" s="21" t="s">
        <v>21659</v>
      </c>
      <c r="D6060" s="72" t="s">
        <v>21660</v>
      </c>
      <c r="E6060" s="72"/>
      <c r="F6060" s="72"/>
      <c r="G6060" s="72"/>
      <c r="H6060" s="22" t="s">
        <v>21661</v>
      </c>
      <c r="I6060" s="27">
        <v>200</v>
      </c>
      <c r="J6060" s="22"/>
      <c r="K6060" s="20">
        <v>10</v>
      </c>
      <c r="L6060" s="24">
        <v>73.510000000000005</v>
      </c>
      <c r="M6060" s="11"/>
      <c r="N6060" s="22">
        <f t="shared" si="354"/>
        <v>0</v>
      </c>
      <c r="O6060" s="25">
        <f>0.065*M6060</f>
        <v>0</v>
      </c>
      <c r="P6060" s="29">
        <f>0.0001*M6060</f>
        <v>0</v>
      </c>
      <c r="Q6060" s="30"/>
      <c r="R6060" s="22" t="s">
        <v>21662</v>
      </c>
      <c r="S6060" s="22"/>
      <c r="T6060" s="21" t="str">
        <f>HYPERLINK("https://miland.ru/api/getInfo/image/249a2d7c-b859-11e5-9e79-5cf3fc4a2490")</f>
        <v>https://miland.ru/api/getInfo/image/249a2d7c-b859-11e5-9e79-5cf3fc4a2490</v>
      </c>
      <c r="U6060" s="21"/>
      <c r="V6060" s="21" t="s">
        <v>1682</v>
      </c>
      <c r="W6060" s="21" t="s">
        <v>1683</v>
      </c>
      <c r="X6060" s="21"/>
      <c r="Y6060" s="21" t="s">
        <v>41</v>
      </c>
      <c r="Z6060" s="21"/>
      <c r="AA6060" s="21" t="str">
        <f>HYPERLINK("https://miland.ru/api/getInfo/item/249a2d7c-b859-11e5-9e79-5cf3fc4a2490")</f>
        <v>https://miland.ru/api/getInfo/item/249a2d7c-b859-11e5-9e79-5cf3fc4a2490</v>
      </c>
      <c r="AB6060" s="21" t="s">
        <v>50</v>
      </c>
      <c r="AC6060" s="21" t="s">
        <v>21601</v>
      </c>
      <c r="AD6060" s="21" t="s">
        <v>21663</v>
      </c>
    </row>
    <row r="6061" spans="2:31" ht="12" customHeight="1" outlineLevel="2">
      <c r="B6061" s="69" t="s">
        <v>21664</v>
      </c>
      <c r="C6061" s="69"/>
      <c r="D6061" s="69"/>
      <c r="E6061" s="69"/>
      <c r="F6061" s="69"/>
      <c r="G6061" s="69"/>
    </row>
    <row r="6062" spans="2:31" s="1" customFormat="1" ht="96.3" customHeight="1" outlineLevel="3">
      <c r="B6062" s="58">
        <v>4977</v>
      </c>
      <c r="C6062" s="7" t="s">
        <v>21665</v>
      </c>
      <c r="D6062" s="71" t="s">
        <v>21666</v>
      </c>
      <c r="E6062" s="71"/>
      <c r="F6062" s="71"/>
      <c r="G6062" s="71"/>
      <c r="H6062" s="8" t="s">
        <v>21667</v>
      </c>
      <c r="I6062" s="14">
        <v>89</v>
      </c>
      <c r="J6062" s="8"/>
      <c r="K6062" s="6">
        <v>10</v>
      </c>
      <c r="L6062" s="10">
        <v>66.97</v>
      </c>
      <c r="M6062" s="11"/>
      <c r="N6062" s="8">
        <f>L6062*M6062</f>
        <v>0</v>
      </c>
      <c r="O6062" s="8">
        <v>0</v>
      </c>
      <c r="P6062" s="8">
        <v>0</v>
      </c>
      <c r="Q6062" s="17" t="s">
        <v>37</v>
      </c>
      <c r="R6062" s="8" t="s">
        <v>21668</v>
      </c>
      <c r="S6062" s="8"/>
      <c r="T6062" s="7" t="str">
        <f>HYPERLINK("https://miland.ru/api/getInfo/image/159249d8-a8c5-11f0-a286-00155d82e908")</f>
        <v>https://miland.ru/api/getInfo/image/159249d8-a8c5-11f0-a286-00155d82e908</v>
      </c>
      <c r="U6062" s="7"/>
      <c r="V6062" s="7" t="s">
        <v>1682</v>
      </c>
      <c r="W6062" s="7" t="s">
        <v>1683</v>
      </c>
      <c r="X6062" s="7"/>
      <c r="Y6062" s="7" t="s">
        <v>41</v>
      </c>
      <c r="Z6062" s="7"/>
      <c r="AA6062" s="7" t="str">
        <f>HYPERLINK("https://miland.ru/api/getInfo/item/159249d8-a8c5-11f0-a286-00155d82e908")</f>
        <v>https://miland.ru/api/getInfo/item/159249d8-a8c5-11f0-a286-00155d82e908</v>
      </c>
      <c r="AB6062" s="7" t="s">
        <v>50</v>
      </c>
      <c r="AC6062" s="7"/>
      <c r="AD6062" s="7"/>
      <c r="AE6062" s="54"/>
    </row>
    <row r="6063" spans="2:31" ht="12" customHeight="1" outlineLevel="3">
      <c r="B6063" s="70" t="s">
        <v>21669</v>
      </c>
      <c r="C6063" s="70"/>
      <c r="D6063" s="70"/>
      <c r="E6063" s="70"/>
      <c r="F6063" s="70"/>
      <c r="G6063" s="70"/>
    </row>
    <row r="6064" spans="2:31" s="1" customFormat="1" ht="96.3" customHeight="1" outlineLevel="4">
      <c r="B6064" s="57">
        <v>4978</v>
      </c>
      <c r="C6064" s="21" t="s">
        <v>21670</v>
      </c>
      <c r="D6064" s="72" t="s">
        <v>21671</v>
      </c>
      <c r="E6064" s="72"/>
      <c r="F6064" s="72"/>
      <c r="G6064" s="72"/>
      <c r="H6064" s="22" t="s">
        <v>21672</v>
      </c>
      <c r="I6064" s="27">
        <v>465</v>
      </c>
      <c r="J6064" s="22"/>
      <c r="K6064" s="20">
        <v>10</v>
      </c>
      <c r="L6064" s="24">
        <v>66.97</v>
      </c>
      <c r="M6064" s="11"/>
      <c r="N6064" s="22">
        <f t="shared" ref="N6064:N6078" si="355">L6064*M6064</f>
        <v>0</v>
      </c>
      <c r="O6064" s="25">
        <f>0.061*M6064</f>
        <v>0</v>
      </c>
      <c r="P6064" s="26">
        <f>0.00013*M6064</f>
        <v>0</v>
      </c>
      <c r="Q6064" s="30"/>
      <c r="R6064" s="22" t="s">
        <v>21673</v>
      </c>
      <c r="S6064" s="22"/>
      <c r="T6064" s="21" t="str">
        <f>HYPERLINK("https://miland.ru/api/getInfo/image/e211e855-a7e9-11e5-9e78-5cf3fc4a2490")</f>
        <v>https://miland.ru/api/getInfo/image/e211e855-a7e9-11e5-9e78-5cf3fc4a2490</v>
      </c>
      <c r="U6064" s="21"/>
      <c r="V6064" s="21" t="s">
        <v>1682</v>
      </c>
      <c r="W6064" s="21" t="s">
        <v>1683</v>
      </c>
      <c r="X6064" s="21"/>
      <c r="Y6064" s="21" t="s">
        <v>41</v>
      </c>
      <c r="Z6064" s="21"/>
      <c r="AA6064" s="21" t="str">
        <f>HYPERLINK("https://miland.ru/api/getInfo/item/e211e855-a7e9-11e5-9e78-5cf3fc4a2490")</f>
        <v>https://miland.ru/api/getInfo/item/e211e855-a7e9-11e5-9e78-5cf3fc4a2490</v>
      </c>
      <c r="AB6064" s="21" t="s">
        <v>50</v>
      </c>
      <c r="AC6064" s="21" t="s">
        <v>21601</v>
      </c>
      <c r="AD6064" s="21"/>
    </row>
    <row r="6065" spans="2:30" s="1" customFormat="1" ht="96.3" customHeight="1" outlineLevel="4">
      <c r="B6065" s="57">
        <v>4979</v>
      </c>
      <c r="C6065" s="21" t="s">
        <v>21674</v>
      </c>
      <c r="D6065" s="72" t="s">
        <v>21675</v>
      </c>
      <c r="E6065" s="72"/>
      <c r="F6065" s="72"/>
      <c r="G6065" s="72"/>
      <c r="H6065" s="22" t="s">
        <v>21676</v>
      </c>
      <c r="I6065" s="27">
        <v>187</v>
      </c>
      <c r="J6065" s="22"/>
      <c r="K6065" s="20">
        <v>10</v>
      </c>
      <c r="L6065" s="24">
        <v>66.97</v>
      </c>
      <c r="M6065" s="11"/>
      <c r="N6065" s="22">
        <f t="shared" si="355"/>
        <v>0</v>
      </c>
      <c r="O6065" s="25">
        <f>0.061*M6065</f>
        <v>0</v>
      </c>
      <c r="P6065" s="29">
        <f>0.0001*M6065</f>
        <v>0</v>
      </c>
      <c r="Q6065" s="30"/>
      <c r="R6065" s="22" t="s">
        <v>21677</v>
      </c>
      <c r="S6065" s="22"/>
      <c r="T6065" s="21" t="str">
        <f>HYPERLINK("https://miland.ru/api/getInfo/image/9f1b297f-a7ea-11e5-9e78-5cf3fc4a2490")</f>
        <v>https://miland.ru/api/getInfo/image/9f1b297f-a7ea-11e5-9e78-5cf3fc4a2490</v>
      </c>
      <c r="U6065" s="21"/>
      <c r="V6065" s="21" t="s">
        <v>1682</v>
      </c>
      <c r="W6065" s="21" t="s">
        <v>1683</v>
      </c>
      <c r="X6065" s="21"/>
      <c r="Y6065" s="21" t="s">
        <v>41</v>
      </c>
      <c r="Z6065" s="21"/>
      <c r="AA6065" s="21" t="str">
        <f>HYPERLINK("https://miland.ru/api/getInfo/item/9f1b297f-a7ea-11e5-9e78-5cf3fc4a2490")</f>
        <v>https://miland.ru/api/getInfo/item/9f1b297f-a7ea-11e5-9e78-5cf3fc4a2490</v>
      </c>
      <c r="AB6065" s="21" t="s">
        <v>50</v>
      </c>
      <c r="AC6065" s="21" t="s">
        <v>21601</v>
      </c>
      <c r="AD6065" s="21"/>
    </row>
    <row r="6066" spans="2:30" s="1" customFormat="1" ht="96.3" customHeight="1" outlineLevel="4">
      <c r="B6066" s="57">
        <v>4980</v>
      </c>
      <c r="C6066" s="21" t="s">
        <v>21678</v>
      </c>
      <c r="D6066" s="72" t="s">
        <v>21679</v>
      </c>
      <c r="E6066" s="72"/>
      <c r="F6066" s="72"/>
      <c r="G6066" s="72"/>
      <c r="H6066" s="22" t="s">
        <v>21680</v>
      </c>
      <c r="I6066" s="27">
        <v>248</v>
      </c>
      <c r="J6066" s="22"/>
      <c r="K6066" s="20">
        <v>10</v>
      </c>
      <c r="L6066" s="24">
        <v>66.97</v>
      </c>
      <c r="M6066" s="11"/>
      <c r="N6066" s="22">
        <f t="shared" si="355"/>
        <v>0</v>
      </c>
      <c r="O6066" s="25">
        <f>0.062*M6066</f>
        <v>0</v>
      </c>
      <c r="P6066" s="26">
        <f>0.00019*M6066</f>
        <v>0</v>
      </c>
      <c r="Q6066" s="30"/>
      <c r="R6066" s="22" t="s">
        <v>21681</v>
      </c>
      <c r="S6066" s="22"/>
      <c r="T6066" s="21" t="str">
        <f>HYPERLINK("https://miland.ru/api/getInfo/image/090ae75f-a7eb-11e5-9e78-5cf3fc4a2490")</f>
        <v>https://miland.ru/api/getInfo/image/090ae75f-a7eb-11e5-9e78-5cf3fc4a2490</v>
      </c>
      <c r="U6066" s="21"/>
      <c r="V6066" s="21" t="s">
        <v>1682</v>
      </c>
      <c r="W6066" s="21" t="s">
        <v>1683</v>
      </c>
      <c r="X6066" s="21"/>
      <c r="Y6066" s="21" t="s">
        <v>41</v>
      </c>
      <c r="Z6066" s="21"/>
      <c r="AA6066" s="21" t="str">
        <f>HYPERLINK("https://miland.ru/api/getInfo/item/090ae75f-a7eb-11e5-9e78-5cf3fc4a2490")</f>
        <v>https://miland.ru/api/getInfo/item/090ae75f-a7eb-11e5-9e78-5cf3fc4a2490</v>
      </c>
      <c r="AB6066" s="21" t="s">
        <v>50</v>
      </c>
      <c r="AC6066" s="21" t="s">
        <v>21601</v>
      </c>
      <c r="AD6066" s="21"/>
    </row>
    <row r="6067" spans="2:30" s="1" customFormat="1" ht="96.3" customHeight="1" outlineLevel="4">
      <c r="B6067" s="57">
        <v>4981</v>
      </c>
      <c r="C6067" s="21" t="s">
        <v>21682</v>
      </c>
      <c r="D6067" s="72" t="s">
        <v>21683</v>
      </c>
      <c r="E6067" s="72"/>
      <c r="F6067" s="72"/>
      <c r="G6067" s="72"/>
      <c r="H6067" s="22" t="s">
        <v>21684</v>
      </c>
      <c r="I6067" s="27">
        <v>266</v>
      </c>
      <c r="J6067" s="22"/>
      <c r="K6067" s="20">
        <v>10</v>
      </c>
      <c r="L6067" s="24">
        <v>66.97</v>
      </c>
      <c r="M6067" s="11"/>
      <c r="N6067" s="22">
        <f t="shared" si="355"/>
        <v>0</v>
      </c>
      <c r="O6067" s="28">
        <f>0.06*M6067</f>
        <v>0</v>
      </c>
      <c r="P6067" s="29">
        <f>0.0001*M6067</f>
        <v>0</v>
      </c>
      <c r="Q6067" s="30"/>
      <c r="R6067" s="22" t="s">
        <v>21685</v>
      </c>
      <c r="S6067" s="22"/>
      <c r="T6067" s="21" t="str">
        <f>HYPERLINK("https://miland.ru/api/getInfo/image/2a2775a8-a7eb-11e5-9e78-5cf3fc4a2490")</f>
        <v>https://miland.ru/api/getInfo/image/2a2775a8-a7eb-11e5-9e78-5cf3fc4a2490</v>
      </c>
      <c r="U6067" s="21"/>
      <c r="V6067" s="21" t="s">
        <v>1682</v>
      </c>
      <c r="W6067" s="21" t="s">
        <v>1683</v>
      </c>
      <c r="X6067" s="21"/>
      <c r="Y6067" s="21" t="s">
        <v>41</v>
      </c>
      <c r="Z6067" s="21"/>
      <c r="AA6067" s="21" t="str">
        <f>HYPERLINK("https://miland.ru/api/getInfo/item/2a2775a8-a7eb-11e5-9e78-5cf3fc4a2490")</f>
        <v>https://miland.ru/api/getInfo/item/2a2775a8-a7eb-11e5-9e78-5cf3fc4a2490</v>
      </c>
      <c r="AB6067" s="21" t="s">
        <v>50</v>
      </c>
      <c r="AC6067" s="21" t="s">
        <v>21601</v>
      </c>
      <c r="AD6067" s="21"/>
    </row>
    <row r="6068" spans="2:30" s="1" customFormat="1" ht="96.3" customHeight="1" outlineLevel="4">
      <c r="B6068" s="57">
        <v>4982</v>
      </c>
      <c r="C6068" s="21" t="s">
        <v>21686</v>
      </c>
      <c r="D6068" s="72" t="s">
        <v>21687</v>
      </c>
      <c r="E6068" s="72"/>
      <c r="F6068" s="72"/>
      <c r="G6068" s="72"/>
      <c r="H6068" s="22" t="s">
        <v>21688</v>
      </c>
      <c r="I6068" s="27">
        <v>491</v>
      </c>
      <c r="J6068" s="22"/>
      <c r="K6068" s="20">
        <v>10</v>
      </c>
      <c r="L6068" s="24">
        <v>66.97</v>
      </c>
      <c r="M6068" s="11"/>
      <c r="N6068" s="22">
        <f t="shared" si="355"/>
        <v>0</v>
      </c>
      <c r="O6068" s="25">
        <f>0.054*M6068</f>
        <v>0</v>
      </c>
      <c r="P6068" s="29">
        <f>0.0001*M6068</f>
        <v>0</v>
      </c>
      <c r="Q6068" s="30"/>
      <c r="R6068" s="22" t="s">
        <v>21689</v>
      </c>
      <c r="S6068" s="22"/>
      <c r="T6068" s="21" t="str">
        <f>HYPERLINK("https://miland.ru/api/getInfo/image/ce538fa0-a7eb-11e5-9e78-5cf3fc4a2490")</f>
        <v>https://miland.ru/api/getInfo/image/ce538fa0-a7eb-11e5-9e78-5cf3fc4a2490</v>
      </c>
      <c r="U6068" s="21"/>
      <c r="V6068" s="21" t="s">
        <v>1682</v>
      </c>
      <c r="W6068" s="21" t="s">
        <v>1683</v>
      </c>
      <c r="X6068" s="21"/>
      <c r="Y6068" s="21" t="s">
        <v>41</v>
      </c>
      <c r="Z6068" s="21"/>
      <c r="AA6068" s="21" t="str">
        <f>HYPERLINK("https://miland.ru/api/getInfo/item/ce538fa0-a7eb-11e5-9e78-5cf3fc4a2490")</f>
        <v>https://miland.ru/api/getInfo/item/ce538fa0-a7eb-11e5-9e78-5cf3fc4a2490</v>
      </c>
      <c r="AB6068" s="21" t="s">
        <v>50</v>
      </c>
      <c r="AC6068" s="21" t="s">
        <v>21601</v>
      </c>
      <c r="AD6068" s="21"/>
    </row>
    <row r="6069" spans="2:30" s="1" customFormat="1" ht="96.3" customHeight="1" outlineLevel="4">
      <c r="B6069" s="57">
        <v>4983</v>
      </c>
      <c r="C6069" s="21" t="s">
        <v>21690</v>
      </c>
      <c r="D6069" s="72" t="s">
        <v>21691</v>
      </c>
      <c r="E6069" s="72"/>
      <c r="F6069" s="72"/>
      <c r="G6069" s="72"/>
      <c r="H6069" s="22" t="s">
        <v>21692</v>
      </c>
      <c r="I6069" s="27">
        <v>257</v>
      </c>
      <c r="J6069" s="22"/>
      <c r="K6069" s="20">
        <v>10</v>
      </c>
      <c r="L6069" s="24">
        <v>66.97</v>
      </c>
      <c r="M6069" s="11"/>
      <c r="N6069" s="22">
        <f t="shared" si="355"/>
        <v>0</v>
      </c>
      <c r="O6069" s="25">
        <f>0.069*M6069</f>
        <v>0</v>
      </c>
      <c r="P6069" s="26">
        <f>0.00011*M6069</f>
        <v>0</v>
      </c>
      <c r="Q6069" s="30"/>
      <c r="R6069" s="22" t="s">
        <v>21693</v>
      </c>
      <c r="S6069" s="22"/>
      <c r="T6069" s="21" t="str">
        <f>HYPERLINK("https://miland.ru/api/getInfo/image/e8f29b6f-a7eb-11e5-9e78-5cf3fc4a2490")</f>
        <v>https://miland.ru/api/getInfo/image/e8f29b6f-a7eb-11e5-9e78-5cf3fc4a2490</v>
      </c>
      <c r="U6069" s="21"/>
      <c r="V6069" s="21" t="s">
        <v>1682</v>
      </c>
      <c r="W6069" s="21" t="s">
        <v>1683</v>
      </c>
      <c r="X6069" s="21"/>
      <c r="Y6069" s="21" t="s">
        <v>41</v>
      </c>
      <c r="Z6069" s="21"/>
      <c r="AA6069" s="21" t="str">
        <f>HYPERLINK("https://miland.ru/api/getInfo/item/e8f29b6f-a7eb-11e5-9e78-5cf3fc4a2490")</f>
        <v>https://miland.ru/api/getInfo/item/e8f29b6f-a7eb-11e5-9e78-5cf3fc4a2490</v>
      </c>
      <c r="AB6069" s="21" t="s">
        <v>50</v>
      </c>
      <c r="AC6069" s="21" t="s">
        <v>21601</v>
      </c>
      <c r="AD6069" s="21"/>
    </row>
    <row r="6070" spans="2:30" s="1" customFormat="1" ht="96.3" customHeight="1" outlineLevel="4">
      <c r="B6070" s="57">
        <v>4984</v>
      </c>
      <c r="C6070" s="21" t="s">
        <v>21694</v>
      </c>
      <c r="D6070" s="72" t="s">
        <v>21695</v>
      </c>
      <c r="E6070" s="72"/>
      <c r="F6070" s="72"/>
      <c r="G6070" s="72"/>
      <c r="H6070" s="22" t="s">
        <v>21696</v>
      </c>
      <c r="I6070" s="23" t="s">
        <v>36</v>
      </c>
      <c r="J6070" s="22"/>
      <c r="K6070" s="20">
        <v>10</v>
      </c>
      <c r="L6070" s="24">
        <v>66.97</v>
      </c>
      <c r="M6070" s="11"/>
      <c r="N6070" s="22">
        <f t="shared" si="355"/>
        <v>0</v>
      </c>
      <c r="O6070" s="25">
        <f>0.065*M6070</f>
        <v>0</v>
      </c>
      <c r="P6070" s="26">
        <f>0.00174*M6070</f>
        <v>0</v>
      </c>
      <c r="Q6070" s="30"/>
      <c r="R6070" s="22" t="s">
        <v>21697</v>
      </c>
      <c r="S6070" s="22"/>
      <c r="T6070" s="21" t="str">
        <f>HYPERLINK("https://miland.ru/api/getInfo/image/f8c0e2b4-f53c-11e7-8117-5cf3fc4a2490")</f>
        <v>https://miland.ru/api/getInfo/image/f8c0e2b4-f53c-11e7-8117-5cf3fc4a2490</v>
      </c>
      <c r="U6070" s="21"/>
      <c r="V6070" s="21" t="s">
        <v>1682</v>
      </c>
      <c r="W6070" s="21" t="s">
        <v>1683</v>
      </c>
      <c r="X6070" s="21"/>
      <c r="Y6070" s="21" t="s">
        <v>41</v>
      </c>
      <c r="Z6070" s="21"/>
      <c r="AA6070" s="21" t="str">
        <f>HYPERLINK("https://miland.ru/api/getInfo/item/f8c0e2b4-f53c-11e7-8117-5cf3fc4a2490")</f>
        <v>https://miland.ru/api/getInfo/item/f8c0e2b4-f53c-11e7-8117-5cf3fc4a2490</v>
      </c>
      <c r="AB6070" s="21" t="s">
        <v>50</v>
      </c>
      <c r="AC6070" s="21" t="s">
        <v>21601</v>
      </c>
      <c r="AD6070" s="21"/>
    </row>
    <row r="6071" spans="2:30" s="1" customFormat="1" ht="96.3" customHeight="1" outlineLevel="4">
      <c r="B6071" s="57">
        <v>4985</v>
      </c>
      <c r="C6071" s="21" t="s">
        <v>21698</v>
      </c>
      <c r="D6071" s="72" t="s">
        <v>21699</v>
      </c>
      <c r="E6071" s="72"/>
      <c r="F6071" s="72"/>
      <c r="G6071" s="72"/>
      <c r="H6071" s="22" t="s">
        <v>21700</v>
      </c>
      <c r="I6071" s="27">
        <v>291</v>
      </c>
      <c r="J6071" s="22"/>
      <c r="K6071" s="20">
        <v>10</v>
      </c>
      <c r="L6071" s="24">
        <v>66.97</v>
      </c>
      <c r="M6071" s="11"/>
      <c r="N6071" s="22">
        <f t="shared" si="355"/>
        <v>0</v>
      </c>
      <c r="O6071" s="25">
        <f>0.068*M6071</f>
        <v>0</v>
      </c>
      <c r="P6071" s="26">
        <f>0.00013*M6071</f>
        <v>0</v>
      </c>
      <c r="Q6071" s="30"/>
      <c r="R6071" s="22" t="s">
        <v>21701</v>
      </c>
      <c r="S6071" s="22"/>
      <c r="T6071" s="21" t="str">
        <f>HYPERLINK("https://miland.ru/api/getInfo/image/33bda350-a7eb-11e5-9e78-5cf3fc4a2490")</f>
        <v>https://miland.ru/api/getInfo/image/33bda350-a7eb-11e5-9e78-5cf3fc4a2490</v>
      </c>
      <c r="U6071" s="21"/>
      <c r="V6071" s="21" t="s">
        <v>1682</v>
      </c>
      <c r="W6071" s="21" t="s">
        <v>1683</v>
      </c>
      <c r="X6071" s="21"/>
      <c r="Y6071" s="21" t="s">
        <v>41</v>
      </c>
      <c r="Z6071" s="21"/>
      <c r="AA6071" s="21" t="str">
        <f>HYPERLINK("https://miland.ru/api/getInfo/item/33bda350-a7eb-11e5-9e78-5cf3fc4a2490")</f>
        <v>https://miland.ru/api/getInfo/item/33bda350-a7eb-11e5-9e78-5cf3fc4a2490</v>
      </c>
      <c r="AB6071" s="21" t="s">
        <v>50</v>
      </c>
      <c r="AC6071" s="21" t="s">
        <v>21601</v>
      </c>
      <c r="AD6071" s="21"/>
    </row>
    <row r="6072" spans="2:30" s="1" customFormat="1" ht="96.3" customHeight="1" outlineLevel="4">
      <c r="B6072" s="57">
        <v>4986</v>
      </c>
      <c r="C6072" s="21" t="s">
        <v>21702</v>
      </c>
      <c r="D6072" s="72" t="s">
        <v>21703</v>
      </c>
      <c r="E6072" s="72"/>
      <c r="F6072" s="72"/>
      <c r="G6072" s="72"/>
      <c r="H6072" s="22" t="s">
        <v>21704</v>
      </c>
      <c r="I6072" s="27">
        <v>490</v>
      </c>
      <c r="J6072" s="22"/>
      <c r="K6072" s="20">
        <v>10</v>
      </c>
      <c r="L6072" s="24">
        <v>66.97</v>
      </c>
      <c r="M6072" s="11"/>
      <c r="N6072" s="22">
        <f t="shared" si="355"/>
        <v>0</v>
      </c>
      <c r="O6072" s="25">
        <f>0.053*M6072</f>
        <v>0</v>
      </c>
      <c r="P6072" s="26">
        <f>0.00012*M6072</f>
        <v>0</v>
      </c>
      <c r="Q6072" s="30"/>
      <c r="R6072" s="22" t="s">
        <v>21705</v>
      </c>
      <c r="S6072" s="22"/>
      <c r="T6072" s="21" t="str">
        <f>HYPERLINK("https://miland.ru/api/getInfo/image/da1b2eb5-f53c-11e7-8117-5cf3fc4a2490")</f>
        <v>https://miland.ru/api/getInfo/image/da1b2eb5-f53c-11e7-8117-5cf3fc4a2490</v>
      </c>
      <c r="U6072" s="21"/>
      <c r="V6072" s="21" t="s">
        <v>1682</v>
      </c>
      <c r="W6072" s="21" t="s">
        <v>1683</v>
      </c>
      <c r="X6072" s="21"/>
      <c r="Y6072" s="21" t="s">
        <v>41</v>
      </c>
      <c r="Z6072" s="21"/>
      <c r="AA6072" s="21" t="str">
        <f>HYPERLINK("https://miland.ru/api/getInfo/item/da1b2eb5-f53c-11e7-8117-5cf3fc4a2490")</f>
        <v>https://miland.ru/api/getInfo/item/da1b2eb5-f53c-11e7-8117-5cf3fc4a2490</v>
      </c>
      <c r="AB6072" s="21" t="s">
        <v>50</v>
      </c>
      <c r="AC6072" s="21" t="s">
        <v>21601</v>
      </c>
      <c r="AD6072" s="21"/>
    </row>
    <row r="6073" spans="2:30" s="1" customFormat="1" ht="96.3" customHeight="1" outlineLevel="4">
      <c r="B6073" s="57">
        <v>4987</v>
      </c>
      <c r="C6073" s="21" t="s">
        <v>21706</v>
      </c>
      <c r="D6073" s="72" t="s">
        <v>21707</v>
      </c>
      <c r="E6073" s="72"/>
      <c r="F6073" s="72"/>
      <c r="G6073" s="72"/>
      <c r="H6073" s="22" t="s">
        <v>21708</v>
      </c>
      <c r="I6073" s="27">
        <v>234</v>
      </c>
      <c r="J6073" s="22"/>
      <c r="K6073" s="20">
        <v>10</v>
      </c>
      <c r="L6073" s="24">
        <v>66.97</v>
      </c>
      <c r="M6073" s="11"/>
      <c r="N6073" s="22">
        <f t="shared" si="355"/>
        <v>0</v>
      </c>
      <c r="O6073" s="25">
        <f>0.059*M6073</f>
        <v>0</v>
      </c>
      <c r="P6073" s="26">
        <f>0.00011*M6073</f>
        <v>0</v>
      </c>
      <c r="Q6073" s="30"/>
      <c r="R6073" s="22" t="s">
        <v>21709</v>
      </c>
      <c r="S6073" s="22"/>
      <c r="T6073" s="21" t="str">
        <f>HYPERLINK("https://miland.ru/api/getInfo/image/bcab3516-a7eb-11e5-9e78-5cf3fc4a2490")</f>
        <v>https://miland.ru/api/getInfo/image/bcab3516-a7eb-11e5-9e78-5cf3fc4a2490</v>
      </c>
      <c r="U6073" s="21"/>
      <c r="V6073" s="21" t="s">
        <v>1682</v>
      </c>
      <c r="W6073" s="21" t="s">
        <v>1683</v>
      </c>
      <c r="X6073" s="21"/>
      <c r="Y6073" s="21" t="s">
        <v>41</v>
      </c>
      <c r="Z6073" s="21"/>
      <c r="AA6073" s="21" t="str">
        <f>HYPERLINK("https://miland.ru/api/getInfo/item/bcab3516-a7eb-11e5-9e78-5cf3fc4a2490")</f>
        <v>https://miland.ru/api/getInfo/item/bcab3516-a7eb-11e5-9e78-5cf3fc4a2490</v>
      </c>
      <c r="AB6073" s="21" t="s">
        <v>50</v>
      </c>
      <c r="AC6073" s="21" t="s">
        <v>21601</v>
      </c>
      <c r="AD6073" s="21"/>
    </row>
    <row r="6074" spans="2:30" s="1" customFormat="1" ht="96.3" customHeight="1" outlineLevel="4">
      <c r="B6074" s="57">
        <v>4988</v>
      </c>
      <c r="C6074" s="21" t="s">
        <v>21710</v>
      </c>
      <c r="D6074" s="72" t="s">
        <v>21711</v>
      </c>
      <c r="E6074" s="72"/>
      <c r="F6074" s="72"/>
      <c r="G6074" s="72"/>
      <c r="H6074" s="22" t="s">
        <v>21712</v>
      </c>
      <c r="I6074" s="27">
        <v>190</v>
      </c>
      <c r="J6074" s="22"/>
      <c r="K6074" s="20">
        <v>10</v>
      </c>
      <c r="L6074" s="24">
        <v>66.97</v>
      </c>
      <c r="M6074" s="11"/>
      <c r="N6074" s="22">
        <f t="shared" si="355"/>
        <v>0</v>
      </c>
      <c r="O6074" s="25">
        <f>0.062*M6074</f>
        <v>0</v>
      </c>
      <c r="P6074" s="26">
        <f>0.00011*M6074</f>
        <v>0</v>
      </c>
      <c r="Q6074" s="30"/>
      <c r="R6074" s="22" t="s">
        <v>21713</v>
      </c>
      <c r="S6074" s="22"/>
      <c r="T6074" s="21" t="str">
        <f>HYPERLINK("https://miland.ru/api/getInfo/image/b75ff870-a7ea-11e5-9e78-5cf3fc4a2490")</f>
        <v>https://miland.ru/api/getInfo/image/b75ff870-a7ea-11e5-9e78-5cf3fc4a2490</v>
      </c>
      <c r="U6074" s="21"/>
      <c r="V6074" s="21" t="s">
        <v>1682</v>
      </c>
      <c r="W6074" s="21" t="s">
        <v>1683</v>
      </c>
      <c r="X6074" s="21"/>
      <c r="Y6074" s="21" t="s">
        <v>41</v>
      </c>
      <c r="Z6074" s="21"/>
      <c r="AA6074" s="21" t="str">
        <f>HYPERLINK("https://miland.ru/api/getInfo/item/b75ff870-a7ea-11e5-9e78-5cf3fc4a2490")</f>
        <v>https://miland.ru/api/getInfo/item/b75ff870-a7ea-11e5-9e78-5cf3fc4a2490</v>
      </c>
      <c r="AB6074" s="21" t="s">
        <v>50</v>
      </c>
      <c r="AC6074" s="21" t="s">
        <v>21601</v>
      </c>
      <c r="AD6074" s="21"/>
    </row>
    <row r="6075" spans="2:30" s="1" customFormat="1" ht="96.3" customHeight="1" outlineLevel="4">
      <c r="B6075" s="57">
        <v>4989</v>
      </c>
      <c r="C6075" s="21" t="s">
        <v>21714</v>
      </c>
      <c r="D6075" s="72" t="s">
        <v>21715</v>
      </c>
      <c r="E6075" s="72"/>
      <c r="F6075" s="72"/>
      <c r="G6075" s="72"/>
      <c r="H6075" s="22" t="s">
        <v>21716</v>
      </c>
      <c r="I6075" s="27">
        <v>216</v>
      </c>
      <c r="J6075" s="22"/>
      <c r="K6075" s="20">
        <v>10</v>
      </c>
      <c r="L6075" s="24">
        <v>66.97</v>
      </c>
      <c r="M6075" s="11"/>
      <c r="N6075" s="22">
        <f t="shared" si="355"/>
        <v>0</v>
      </c>
      <c r="O6075" s="25">
        <f>0.067*M6075</f>
        <v>0</v>
      </c>
      <c r="P6075" s="26">
        <f>0.00011*M6075</f>
        <v>0</v>
      </c>
      <c r="Q6075" s="30"/>
      <c r="R6075" s="22" t="s">
        <v>21717</v>
      </c>
      <c r="S6075" s="22"/>
      <c r="T6075" s="21" t="str">
        <f>HYPERLINK("https://miland.ru/api/getInfo/image/5f71742b-a7eb-11e5-9e78-5cf3fc4a2490")</f>
        <v>https://miland.ru/api/getInfo/image/5f71742b-a7eb-11e5-9e78-5cf3fc4a2490</v>
      </c>
      <c r="U6075" s="21"/>
      <c r="V6075" s="21" t="s">
        <v>1682</v>
      </c>
      <c r="W6075" s="21" t="s">
        <v>1683</v>
      </c>
      <c r="X6075" s="21"/>
      <c r="Y6075" s="21" t="s">
        <v>41</v>
      </c>
      <c r="Z6075" s="21"/>
      <c r="AA6075" s="21" t="str">
        <f>HYPERLINK("https://miland.ru/api/getInfo/item/5f71742b-a7eb-11e5-9e78-5cf3fc4a2490")</f>
        <v>https://miland.ru/api/getInfo/item/5f71742b-a7eb-11e5-9e78-5cf3fc4a2490</v>
      </c>
      <c r="AB6075" s="21" t="s">
        <v>50</v>
      </c>
      <c r="AC6075" s="21" t="s">
        <v>21601</v>
      </c>
      <c r="AD6075" s="21"/>
    </row>
    <row r="6076" spans="2:30" s="1" customFormat="1" ht="96.3" customHeight="1" outlineLevel="4">
      <c r="B6076" s="57">
        <v>4990</v>
      </c>
      <c r="C6076" s="21" t="s">
        <v>21718</v>
      </c>
      <c r="D6076" s="72" t="s">
        <v>21719</v>
      </c>
      <c r="E6076" s="72"/>
      <c r="F6076" s="72"/>
      <c r="G6076" s="72"/>
      <c r="H6076" s="22" t="s">
        <v>21720</v>
      </c>
      <c r="I6076" s="27">
        <v>203</v>
      </c>
      <c r="J6076" s="22"/>
      <c r="K6076" s="20">
        <v>10</v>
      </c>
      <c r="L6076" s="24">
        <v>66.97</v>
      </c>
      <c r="M6076" s="11"/>
      <c r="N6076" s="22">
        <f t="shared" si="355"/>
        <v>0</v>
      </c>
      <c r="O6076" s="25">
        <f>0.075*M6076</f>
        <v>0</v>
      </c>
      <c r="P6076" s="26">
        <f>0.00014*M6076</f>
        <v>0</v>
      </c>
      <c r="Q6076" s="30"/>
      <c r="R6076" s="22" t="s">
        <v>21721</v>
      </c>
      <c r="S6076" s="22"/>
      <c r="T6076" s="21" t="str">
        <f>HYPERLINK("https://miland.ru/api/getInfo/image/1b25841a-a7eb-11e5-9e78-5cf3fc4a2490")</f>
        <v>https://miland.ru/api/getInfo/image/1b25841a-a7eb-11e5-9e78-5cf3fc4a2490</v>
      </c>
      <c r="U6076" s="21"/>
      <c r="V6076" s="21" t="s">
        <v>1682</v>
      </c>
      <c r="W6076" s="21" t="s">
        <v>1683</v>
      </c>
      <c r="X6076" s="21"/>
      <c r="Y6076" s="21" t="s">
        <v>41</v>
      </c>
      <c r="Z6076" s="21"/>
      <c r="AA6076" s="21" t="str">
        <f>HYPERLINK("https://miland.ru/api/getInfo/item/1b25841a-a7eb-11e5-9e78-5cf3fc4a2490")</f>
        <v>https://miland.ru/api/getInfo/item/1b25841a-a7eb-11e5-9e78-5cf3fc4a2490</v>
      </c>
      <c r="AB6076" s="21" t="s">
        <v>50</v>
      </c>
      <c r="AC6076" s="21" t="s">
        <v>21601</v>
      </c>
      <c r="AD6076" s="21"/>
    </row>
    <row r="6077" spans="2:30" s="1" customFormat="1" ht="96.3" customHeight="1" outlineLevel="4">
      <c r="B6077" s="57">
        <v>4991</v>
      </c>
      <c r="C6077" s="21" t="s">
        <v>21722</v>
      </c>
      <c r="D6077" s="72" t="s">
        <v>21723</v>
      </c>
      <c r="E6077" s="72"/>
      <c r="F6077" s="72"/>
      <c r="G6077" s="72"/>
      <c r="H6077" s="22" t="s">
        <v>21724</v>
      </c>
      <c r="I6077" s="27">
        <v>495</v>
      </c>
      <c r="J6077" s="22"/>
      <c r="K6077" s="20">
        <v>10</v>
      </c>
      <c r="L6077" s="24">
        <v>66.97</v>
      </c>
      <c r="M6077" s="11"/>
      <c r="N6077" s="22">
        <f t="shared" si="355"/>
        <v>0</v>
      </c>
      <c r="O6077" s="25">
        <f>0.051*M6077</f>
        <v>0</v>
      </c>
      <c r="P6077" s="29">
        <f>0.0001*M6077</f>
        <v>0</v>
      </c>
      <c r="Q6077" s="30"/>
      <c r="R6077" s="22" t="s">
        <v>21725</v>
      </c>
      <c r="S6077" s="22"/>
      <c r="T6077" s="21" t="str">
        <f>HYPERLINK("https://miland.ru/api/getInfo/image/9f33c354-a7eb-11e5-9e78-5cf3fc4a2490")</f>
        <v>https://miland.ru/api/getInfo/image/9f33c354-a7eb-11e5-9e78-5cf3fc4a2490</v>
      </c>
      <c r="U6077" s="21"/>
      <c r="V6077" s="21" t="s">
        <v>1682</v>
      </c>
      <c r="W6077" s="21" t="s">
        <v>1683</v>
      </c>
      <c r="X6077" s="21"/>
      <c r="Y6077" s="21" t="s">
        <v>41</v>
      </c>
      <c r="Z6077" s="21"/>
      <c r="AA6077" s="21" t="str">
        <f>HYPERLINK("https://miland.ru/api/getInfo/item/9f33c354-a7eb-11e5-9e78-5cf3fc4a2490")</f>
        <v>https://miland.ru/api/getInfo/item/9f33c354-a7eb-11e5-9e78-5cf3fc4a2490</v>
      </c>
      <c r="AB6077" s="21" t="s">
        <v>50</v>
      </c>
      <c r="AC6077" s="21" t="s">
        <v>21601</v>
      </c>
      <c r="AD6077" s="21"/>
    </row>
    <row r="6078" spans="2:30" s="1" customFormat="1" ht="96.3" customHeight="1" outlineLevel="4">
      <c r="B6078" s="57">
        <v>4992</v>
      </c>
      <c r="C6078" s="21" t="s">
        <v>21726</v>
      </c>
      <c r="D6078" s="72" t="s">
        <v>21727</v>
      </c>
      <c r="E6078" s="72"/>
      <c r="F6078" s="72"/>
      <c r="G6078" s="72"/>
      <c r="H6078" s="22" t="s">
        <v>21728</v>
      </c>
      <c r="I6078" s="23" t="s">
        <v>36</v>
      </c>
      <c r="J6078" s="22"/>
      <c r="K6078" s="20">
        <v>10</v>
      </c>
      <c r="L6078" s="24">
        <v>66.97</v>
      </c>
      <c r="M6078" s="11"/>
      <c r="N6078" s="22">
        <f t="shared" si="355"/>
        <v>0</v>
      </c>
      <c r="O6078" s="25">
        <f>0.064*M6078</f>
        <v>0</v>
      </c>
      <c r="P6078" s="26">
        <f>0.00013*M6078</f>
        <v>0</v>
      </c>
      <c r="Q6078" s="30"/>
      <c r="R6078" s="22" t="s">
        <v>21729</v>
      </c>
      <c r="S6078" s="22"/>
      <c r="T6078" s="21" t="str">
        <f>HYPERLINK("https://miland.ru/api/getInfo/image/bf624449-0ef5-11f0-a279-00155d82e908")</f>
        <v>https://miland.ru/api/getInfo/image/bf624449-0ef5-11f0-a279-00155d82e908</v>
      </c>
      <c r="U6078" s="21"/>
      <c r="V6078" s="21" t="s">
        <v>1682</v>
      </c>
      <c r="W6078" s="21" t="s">
        <v>1683</v>
      </c>
      <c r="X6078" s="21"/>
      <c r="Y6078" s="21" t="s">
        <v>41</v>
      </c>
      <c r="Z6078" s="21"/>
      <c r="AA6078" s="21" t="str">
        <f>HYPERLINK("https://miland.ru/api/getInfo/item/bf624449-0ef5-11f0-a279-00155d82e908")</f>
        <v>https://miland.ru/api/getInfo/item/bf624449-0ef5-11f0-a279-00155d82e908</v>
      </c>
      <c r="AB6078" s="21" t="s">
        <v>50</v>
      </c>
      <c r="AC6078" s="21"/>
      <c r="AD6078" s="21"/>
    </row>
    <row r="6079" spans="2:30" ht="16.05" customHeight="1" outlineLevel="1">
      <c r="B6079" s="68" t="s">
        <v>21730</v>
      </c>
      <c r="C6079" s="68"/>
      <c r="D6079" s="68"/>
      <c r="E6079" s="68"/>
      <c r="F6079" s="68"/>
      <c r="G6079" s="68"/>
    </row>
    <row r="6080" spans="2:30" ht="12" customHeight="1" outlineLevel="2">
      <c r="B6080" s="69" t="s">
        <v>21731</v>
      </c>
      <c r="C6080" s="69"/>
      <c r="D6080" s="69"/>
      <c r="E6080" s="69"/>
      <c r="F6080" s="69"/>
      <c r="G6080" s="69"/>
    </row>
    <row r="6081" spans="2:30" ht="12" customHeight="1" outlineLevel="3">
      <c r="B6081" s="70" t="s">
        <v>21732</v>
      </c>
      <c r="C6081" s="70"/>
      <c r="D6081" s="70"/>
      <c r="E6081" s="70"/>
      <c r="F6081" s="70"/>
      <c r="G6081" s="70"/>
    </row>
    <row r="6082" spans="2:30" ht="12" customHeight="1" outlineLevel="4">
      <c r="B6082" s="70" t="s">
        <v>21733</v>
      </c>
      <c r="C6082" s="70"/>
      <c r="D6082" s="70"/>
      <c r="E6082" s="70"/>
      <c r="F6082" s="70"/>
      <c r="G6082" s="70"/>
    </row>
    <row r="6083" spans="2:30" s="1" customFormat="1" ht="96.3" customHeight="1" outlineLevel="5">
      <c r="B6083" s="57">
        <v>4993</v>
      </c>
      <c r="C6083" s="21" t="s">
        <v>21734</v>
      </c>
      <c r="D6083" s="72" t="s">
        <v>21735</v>
      </c>
      <c r="E6083" s="72"/>
      <c r="F6083" s="72"/>
      <c r="G6083" s="72"/>
      <c r="H6083" s="22" t="s">
        <v>21736</v>
      </c>
      <c r="I6083" s="23" t="s">
        <v>36</v>
      </c>
      <c r="J6083" s="22"/>
      <c r="K6083" s="20">
        <v>25</v>
      </c>
      <c r="L6083" s="24">
        <v>24.68</v>
      </c>
      <c r="M6083" s="11"/>
      <c r="N6083" s="22">
        <f>L6083*M6083</f>
        <v>0</v>
      </c>
      <c r="O6083" s="25">
        <f>0.057*M6083</f>
        <v>0</v>
      </c>
      <c r="P6083" s="26">
        <f>0.00009*M6083</f>
        <v>0</v>
      </c>
      <c r="Q6083" s="30"/>
      <c r="R6083" s="22" t="s">
        <v>21737</v>
      </c>
      <c r="S6083" s="22"/>
      <c r="T6083" s="21" t="str">
        <f>HYPERLINK("https://miland.ru/api/getInfo/image/137c7b9e-9c52-11e7-b8ef-5cf3fc4a2490")</f>
        <v>https://miland.ru/api/getInfo/image/137c7b9e-9c52-11e7-b8ef-5cf3fc4a2490</v>
      </c>
      <c r="U6083" s="21"/>
      <c r="V6083" s="21" t="s">
        <v>12338</v>
      </c>
      <c r="W6083" s="21" t="s">
        <v>12339</v>
      </c>
      <c r="X6083" s="21"/>
      <c r="Y6083" s="21" t="s">
        <v>41</v>
      </c>
      <c r="Z6083" s="21"/>
      <c r="AA6083" s="21" t="str">
        <f>HYPERLINK("https://miland.ru/api/getInfo/item/137c7b9e-9c52-11e7-b8ef-5cf3fc4a2490")</f>
        <v>https://miland.ru/api/getInfo/item/137c7b9e-9c52-11e7-b8ef-5cf3fc4a2490</v>
      </c>
      <c r="AB6083" s="21" t="s">
        <v>42</v>
      </c>
      <c r="AC6083" s="21" t="s">
        <v>21738</v>
      </c>
      <c r="AD6083" s="21"/>
    </row>
    <row r="6084" spans="2:30" ht="12" customHeight="1" outlineLevel="4">
      <c r="B6084" s="70" t="s">
        <v>21739</v>
      </c>
      <c r="C6084" s="70"/>
      <c r="D6084" s="70"/>
      <c r="E6084" s="70"/>
      <c r="F6084" s="70"/>
      <c r="G6084" s="70"/>
    </row>
    <row r="6085" spans="2:30" s="1" customFormat="1" ht="96.3" customHeight="1" outlineLevel="5">
      <c r="B6085" s="57">
        <v>4994</v>
      </c>
      <c r="C6085" s="21" t="s">
        <v>21740</v>
      </c>
      <c r="D6085" s="72" t="s">
        <v>21741</v>
      </c>
      <c r="E6085" s="72"/>
      <c r="F6085" s="72"/>
      <c r="G6085" s="72"/>
      <c r="H6085" s="22" t="s">
        <v>21742</v>
      </c>
      <c r="I6085" s="23" t="s">
        <v>36</v>
      </c>
      <c r="J6085" s="22"/>
      <c r="K6085" s="20">
        <v>10</v>
      </c>
      <c r="L6085" s="24">
        <v>217.41</v>
      </c>
      <c r="M6085" s="11"/>
      <c r="N6085" s="22">
        <f>L6085*M6085</f>
        <v>0</v>
      </c>
      <c r="O6085" s="25">
        <f>0.094*M6085</f>
        <v>0</v>
      </c>
      <c r="P6085" s="26">
        <f>0.00011*M6085</f>
        <v>0</v>
      </c>
      <c r="Q6085" s="30"/>
      <c r="R6085" s="22" t="s">
        <v>21743</v>
      </c>
      <c r="S6085" s="22" t="s">
        <v>435</v>
      </c>
      <c r="T6085" s="21" t="str">
        <f>HYPERLINK("https://miland.ru/api/getInfo/image/a7bdf115-a4bf-11ee-a258-00155d82e908")</f>
        <v>https://miland.ru/api/getInfo/image/a7bdf115-a4bf-11ee-a258-00155d82e908</v>
      </c>
      <c r="U6085" s="21"/>
      <c r="V6085" s="21" t="s">
        <v>12338</v>
      </c>
      <c r="W6085" s="21" t="s">
        <v>12339</v>
      </c>
      <c r="X6085" s="21"/>
      <c r="Y6085" s="21" t="s">
        <v>41</v>
      </c>
      <c r="Z6085" s="21"/>
      <c r="AA6085" s="21" t="str">
        <f>HYPERLINK("https://miland.ru/api/getInfo/item/a7bdf115-a4bf-11ee-a258-00155d82e908")</f>
        <v>https://miland.ru/api/getInfo/item/a7bdf115-a4bf-11ee-a258-00155d82e908</v>
      </c>
      <c r="AB6085" s="21" t="s">
        <v>50</v>
      </c>
      <c r="AC6085" s="21"/>
      <c r="AD6085" s="21"/>
    </row>
    <row r="6086" spans="2:30" s="1" customFormat="1" ht="96.3" customHeight="1" outlineLevel="5">
      <c r="B6086" s="57">
        <v>4995</v>
      </c>
      <c r="C6086" s="21" t="s">
        <v>21744</v>
      </c>
      <c r="D6086" s="72" t="s">
        <v>21745</v>
      </c>
      <c r="E6086" s="72"/>
      <c r="F6086" s="72"/>
      <c r="G6086" s="72"/>
      <c r="H6086" s="22" t="s">
        <v>21746</v>
      </c>
      <c r="I6086" s="27">
        <v>241</v>
      </c>
      <c r="J6086" s="22"/>
      <c r="K6086" s="20">
        <v>4</v>
      </c>
      <c r="L6086" s="24">
        <v>172.69</v>
      </c>
      <c r="M6086" s="11"/>
      <c r="N6086" s="22">
        <f>L6086*M6086</f>
        <v>0</v>
      </c>
      <c r="O6086" s="28">
        <f>0.06*M6086</f>
        <v>0</v>
      </c>
      <c r="P6086" s="26">
        <f>0.00007*M6086</f>
        <v>0</v>
      </c>
      <c r="Q6086" s="30"/>
      <c r="R6086" s="22" t="s">
        <v>21747</v>
      </c>
      <c r="S6086" s="22"/>
      <c r="T6086" s="21" t="str">
        <f>HYPERLINK("https://miland.ru/api/getInfo/image/01cf5bd3-e64b-11e8-a214-ac1f6b442184")</f>
        <v>https://miland.ru/api/getInfo/image/01cf5bd3-e64b-11e8-a214-ac1f6b442184</v>
      </c>
      <c r="U6086" s="21"/>
      <c r="V6086" s="21" t="s">
        <v>12338</v>
      </c>
      <c r="W6086" s="21" t="s">
        <v>12339</v>
      </c>
      <c r="X6086" s="21"/>
      <c r="Y6086" s="21" t="s">
        <v>41</v>
      </c>
      <c r="Z6086" s="21"/>
      <c r="AA6086" s="21" t="str">
        <f>HYPERLINK("https://miland.ru/api/getInfo/item/01cf5bd3-e64b-11e8-a214-ac1f6b442184")</f>
        <v>https://miland.ru/api/getInfo/item/01cf5bd3-e64b-11e8-a214-ac1f6b442184</v>
      </c>
      <c r="AB6086" s="21" t="s">
        <v>42</v>
      </c>
      <c r="AC6086" s="21"/>
      <c r="AD6086" s="21" t="s">
        <v>21747</v>
      </c>
    </row>
    <row r="6087" spans="2:30" s="1" customFormat="1" ht="96.3" customHeight="1" outlineLevel="5">
      <c r="B6087" s="57">
        <v>4996</v>
      </c>
      <c r="C6087" s="21" t="s">
        <v>21748</v>
      </c>
      <c r="D6087" s="72" t="s">
        <v>21749</v>
      </c>
      <c r="E6087" s="72"/>
      <c r="F6087" s="72"/>
      <c r="G6087" s="72"/>
      <c r="H6087" s="22" t="s">
        <v>21750</v>
      </c>
      <c r="I6087" s="27">
        <v>259</v>
      </c>
      <c r="J6087" s="22"/>
      <c r="K6087" s="20">
        <v>10</v>
      </c>
      <c r="L6087" s="24">
        <v>217.41</v>
      </c>
      <c r="M6087" s="11"/>
      <c r="N6087" s="22">
        <f>L6087*M6087</f>
        <v>0</v>
      </c>
      <c r="O6087" s="25">
        <f>0.094*M6087</f>
        <v>0</v>
      </c>
      <c r="P6087" s="26">
        <f>0.00011*M6087</f>
        <v>0</v>
      </c>
      <c r="Q6087" s="30"/>
      <c r="R6087" s="22" t="s">
        <v>21751</v>
      </c>
      <c r="S6087" s="22" t="s">
        <v>435</v>
      </c>
      <c r="T6087" s="21" t="str">
        <f>HYPERLINK("https://miland.ru/api/getInfo/image/6c2a8f14-a4c0-11ee-a258-00155d82e908")</f>
        <v>https://miland.ru/api/getInfo/image/6c2a8f14-a4c0-11ee-a258-00155d82e908</v>
      </c>
      <c r="U6087" s="21"/>
      <c r="V6087" s="21" t="s">
        <v>12338</v>
      </c>
      <c r="W6087" s="21" t="s">
        <v>12339</v>
      </c>
      <c r="X6087" s="21"/>
      <c r="Y6087" s="21" t="s">
        <v>41</v>
      </c>
      <c r="Z6087" s="21"/>
      <c r="AA6087" s="21" t="str">
        <f>HYPERLINK("https://miland.ru/api/getInfo/item/6c2a8f14-a4c0-11ee-a258-00155d82e908")</f>
        <v>https://miland.ru/api/getInfo/item/6c2a8f14-a4c0-11ee-a258-00155d82e908</v>
      </c>
      <c r="AB6087" s="21" t="s">
        <v>50</v>
      </c>
      <c r="AC6087" s="21"/>
      <c r="AD6087" s="21"/>
    </row>
    <row r="6088" spans="2:30" ht="12" customHeight="1" outlineLevel="3">
      <c r="B6088" s="70" t="s">
        <v>21752</v>
      </c>
      <c r="C6088" s="70"/>
      <c r="D6088" s="70"/>
      <c r="E6088" s="70"/>
      <c r="F6088" s="70"/>
      <c r="G6088" s="70"/>
    </row>
    <row r="6089" spans="2:30" ht="12" customHeight="1" outlineLevel="4">
      <c r="B6089" s="70" t="s">
        <v>21753</v>
      </c>
      <c r="C6089" s="70"/>
      <c r="D6089" s="70"/>
      <c r="E6089" s="70"/>
      <c r="F6089" s="70"/>
      <c r="G6089" s="70"/>
    </row>
    <row r="6090" spans="2:30" s="1" customFormat="1" ht="96.3" customHeight="1" outlineLevel="5">
      <c r="B6090" s="57">
        <v>4997</v>
      </c>
      <c r="C6090" s="21" t="s">
        <v>21754</v>
      </c>
      <c r="D6090" s="72" t="s">
        <v>21755</v>
      </c>
      <c r="E6090" s="72"/>
      <c r="F6090" s="72"/>
      <c r="G6090" s="72"/>
      <c r="H6090" s="22" t="s">
        <v>21756</v>
      </c>
      <c r="I6090" s="27">
        <v>6</v>
      </c>
      <c r="J6090" s="22"/>
      <c r="K6090" s="20">
        <v>2</v>
      </c>
      <c r="L6090" s="24">
        <v>281.98</v>
      </c>
      <c r="M6090" s="11"/>
      <c r="N6090" s="22">
        <f t="shared" ref="N6090:N6097" si="356">L6090*M6090</f>
        <v>0</v>
      </c>
      <c r="O6090" s="28">
        <f>0.12*M6090</f>
        <v>0</v>
      </c>
      <c r="P6090" s="26">
        <f>0.00011*M6090</f>
        <v>0</v>
      </c>
      <c r="Q6090" s="30"/>
      <c r="R6090" s="22" t="s">
        <v>21757</v>
      </c>
      <c r="S6090" s="22" t="s">
        <v>435</v>
      </c>
      <c r="T6090" s="21" t="str">
        <f>HYPERLINK("https://miland.ru/api/getInfo/image/1446552d-181f-11ea-a237-ac1f6b442184")</f>
        <v>https://miland.ru/api/getInfo/image/1446552d-181f-11ea-a237-ac1f6b442184</v>
      </c>
      <c r="U6090" s="21"/>
      <c r="V6090" s="21" t="s">
        <v>12338</v>
      </c>
      <c r="W6090" s="21" t="s">
        <v>12339</v>
      </c>
      <c r="X6090" s="21"/>
      <c r="Y6090" s="21" t="s">
        <v>41</v>
      </c>
      <c r="Z6090" s="21"/>
      <c r="AA6090" s="21" t="str">
        <f>HYPERLINK("https://miland.ru/api/getInfo/item/1446552d-181f-11ea-a237-ac1f6b442184")</f>
        <v>https://miland.ru/api/getInfo/item/1446552d-181f-11ea-a237-ac1f6b442184</v>
      </c>
      <c r="AB6090" s="21" t="s">
        <v>42</v>
      </c>
      <c r="AC6090" s="21"/>
      <c r="AD6090" s="21"/>
    </row>
    <row r="6091" spans="2:30" s="1" customFormat="1" ht="96.3" customHeight="1" outlineLevel="5">
      <c r="B6091" s="57">
        <v>4998</v>
      </c>
      <c r="C6091" s="21" t="s">
        <v>21754</v>
      </c>
      <c r="D6091" s="72" t="s">
        <v>21755</v>
      </c>
      <c r="E6091" s="72"/>
      <c r="F6091" s="72"/>
      <c r="G6091" s="72"/>
      <c r="H6091" s="22" t="s">
        <v>21756</v>
      </c>
      <c r="I6091" s="27">
        <v>6</v>
      </c>
      <c r="J6091" s="22"/>
      <c r="K6091" s="20">
        <v>2</v>
      </c>
      <c r="L6091" s="24">
        <v>281.98</v>
      </c>
      <c r="M6091" s="11"/>
      <c r="N6091" s="22">
        <f t="shared" si="356"/>
        <v>0</v>
      </c>
      <c r="O6091" s="28">
        <f>0.12*M6091</f>
        <v>0</v>
      </c>
      <c r="P6091" s="26">
        <f>0.00011*M6091</f>
        <v>0</v>
      </c>
      <c r="Q6091" s="30"/>
      <c r="R6091" s="22" t="s">
        <v>21757</v>
      </c>
      <c r="S6091" s="22" t="s">
        <v>435</v>
      </c>
      <c r="T6091" s="21" t="str">
        <f>HYPERLINK("https://miland.ru/api/getInfo/image/1446552d-181f-11ea-a237-ac1f6b442184")</f>
        <v>https://miland.ru/api/getInfo/image/1446552d-181f-11ea-a237-ac1f6b442184</v>
      </c>
      <c r="U6091" s="21"/>
      <c r="V6091" s="21" t="s">
        <v>12338</v>
      </c>
      <c r="W6091" s="21" t="s">
        <v>12339</v>
      </c>
      <c r="X6091" s="21"/>
      <c r="Y6091" s="21" t="s">
        <v>41</v>
      </c>
      <c r="Z6091" s="21"/>
      <c r="AA6091" s="21" t="str">
        <f>HYPERLINK("https://miland.ru/api/getInfo/item/1446552d-181f-11ea-a237-ac1f6b442184")</f>
        <v>https://miland.ru/api/getInfo/item/1446552d-181f-11ea-a237-ac1f6b442184</v>
      </c>
      <c r="AB6091" s="21" t="s">
        <v>42</v>
      </c>
      <c r="AC6091" s="21"/>
      <c r="AD6091" s="21"/>
    </row>
    <row r="6092" spans="2:30" s="1" customFormat="1" ht="96.3" customHeight="1" outlineLevel="5">
      <c r="B6092" s="57">
        <v>4999</v>
      </c>
      <c r="C6092" s="21" t="s">
        <v>21758</v>
      </c>
      <c r="D6092" s="72" t="s">
        <v>21759</v>
      </c>
      <c r="E6092" s="72"/>
      <c r="F6092" s="72"/>
      <c r="G6092" s="72"/>
      <c r="H6092" s="22" t="s">
        <v>21760</v>
      </c>
      <c r="I6092" s="23" t="s">
        <v>36</v>
      </c>
      <c r="J6092" s="22"/>
      <c r="K6092" s="20">
        <v>2</v>
      </c>
      <c r="L6092" s="24">
        <v>325.37</v>
      </c>
      <c r="M6092" s="11"/>
      <c r="N6092" s="22">
        <f t="shared" si="356"/>
        <v>0</v>
      </c>
      <c r="O6092" s="25">
        <f>0.131*M6092</f>
        <v>0</v>
      </c>
      <c r="P6092" s="26">
        <f>0.00015*M6092</f>
        <v>0</v>
      </c>
      <c r="Q6092" s="30"/>
      <c r="R6092" s="22" t="s">
        <v>21761</v>
      </c>
      <c r="S6092" s="22" t="s">
        <v>435</v>
      </c>
      <c r="T6092" s="21" t="str">
        <f>HYPERLINK("https://miland.ru/api/getInfo/image/03521384-de81-11ed-a233-00155d82e902")</f>
        <v>https://miland.ru/api/getInfo/image/03521384-de81-11ed-a233-00155d82e902</v>
      </c>
      <c r="U6092" s="21"/>
      <c r="V6092" s="21" t="s">
        <v>12338</v>
      </c>
      <c r="W6092" s="21" t="s">
        <v>12339</v>
      </c>
      <c r="X6092" s="21"/>
      <c r="Y6092" s="21" t="s">
        <v>41</v>
      </c>
      <c r="Z6092" s="21"/>
      <c r="AA6092" s="21" t="str">
        <f>HYPERLINK("https://miland.ru/api/getInfo/item/03521384-de81-11ed-a233-00155d82e902")</f>
        <v>https://miland.ru/api/getInfo/item/03521384-de81-11ed-a233-00155d82e902</v>
      </c>
      <c r="AB6092" s="21" t="s">
        <v>42</v>
      </c>
      <c r="AC6092" s="21"/>
      <c r="AD6092" s="21"/>
    </row>
    <row r="6093" spans="2:30" s="1" customFormat="1" ht="96.3" customHeight="1" outlineLevel="5">
      <c r="B6093" s="57">
        <v>5000</v>
      </c>
      <c r="C6093" s="21" t="s">
        <v>21762</v>
      </c>
      <c r="D6093" s="72" t="s">
        <v>21763</v>
      </c>
      <c r="E6093" s="72"/>
      <c r="F6093" s="72"/>
      <c r="G6093" s="72"/>
      <c r="H6093" s="22" t="s">
        <v>21764</v>
      </c>
      <c r="I6093" s="27">
        <v>418</v>
      </c>
      <c r="J6093" s="22"/>
      <c r="K6093" s="20">
        <v>2</v>
      </c>
      <c r="L6093" s="24">
        <v>325.37</v>
      </c>
      <c r="M6093" s="11"/>
      <c r="N6093" s="22">
        <f t="shared" si="356"/>
        <v>0</v>
      </c>
      <c r="O6093" s="25">
        <f>0.124*M6093</f>
        <v>0</v>
      </c>
      <c r="P6093" s="26">
        <f>0.00014*M6093</f>
        <v>0</v>
      </c>
      <c r="Q6093" s="30"/>
      <c r="R6093" s="22" t="s">
        <v>21765</v>
      </c>
      <c r="S6093" s="22" t="s">
        <v>435</v>
      </c>
      <c r="T6093" s="21" t="str">
        <f>HYPERLINK("https://miland.ru/api/getInfo/image/c444ed66-de80-11ed-a233-00155d82e902")</f>
        <v>https://miland.ru/api/getInfo/image/c444ed66-de80-11ed-a233-00155d82e902</v>
      </c>
      <c r="U6093" s="21"/>
      <c r="V6093" s="21" t="s">
        <v>12338</v>
      </c>
      <c r="W6093" s="21" t="s">
        <v>12339</v>
      </c>
      <c r="X6093" s="21"/>
      <c r="Y6093" s="21" t="s">
        <v>41</v>
      </c>
      <c r="Z6093" s="21"/>
      <c r="AA6093" s="21" t="str">
        <f>HYPERLINK("https://miland.ru/api/getInfo/item/c444ed66-de80-11ed-a233-00155d82e902")</f>
        <v>https://miland.ru/api/getInfo/item/c444ed66-de80-11ed-a233-00155d82e902</v>
      </c>
      <c r="AB6093" s="21" t="s">
        <v>42</v>
      </c>
      <c r="AC6093" s="21"/>
      <c r="AD6093" s="21"/>
    </row>
    <row r="6094" spans="2:30" s="1" customFormat="1" ht="96.3" customHeight="1" outlineLevel="5">
      <c r="B6094" s="57">
        <v>5001</v>
      </c>
      <c r="C6094" s="21" t="s">
        <v>21766</v>
      </c>
      <c r="D6094" s="72" t="s">
        <v>21767</v>
      </c>
      <c r="E6094" s="72"/>
      <c r="F6094" s="72"/>
      <c r="G6094" s="72"/>
      <c r="H6094" s="22" t="s">
        <v>21768</v>
      </c>
      <c r="I6094" s="27">
        <v>24</v>
      </c>
      <c r="J6094" s="22"/>
      <c r="K6094" s="20">
        <v>2</v>
      </c>
      <c r="L6094" s="24">
        <v>273.94</v>
      </c>
      <c r="M6094" s="11"/>
      <c r="N6094" s="22">
        <f t="shared" si="356"/>
        <v>0</v>
      </c>
      <c r="O6094" s="25">
        <f>0.127*M6094</f>
        <v>0</v>
      </c>
      <c r="P6094" s="26">
        <f>0.00009*M6094</f>
        <v>0</v>
      </c>
      <c r="Q6094" s="30"/>
      <c r="R6094" s="22" t="s">
        <v>21769</v>
      </c>
      <c r="S6094" s="22" t="s">
        <v>435</v>
      </c>
      <c r="T6094" s="21" t="str">
        <f>HYPERLINK("https://miland.ru/api/getInfo/image/6179f431-e513-11ee-a25a-00155d82e908")</f>
        <v>https://miland.ru/api/getInfo/image/6179f431-e513-11ee-a25a-00155d82e908</v>
      </c>
      <c r="U6094" s="21"/>
      <c r="V6094" s="21" t="s">
        <v>12338</v>
      </c>
      <c r="W6094" s="21" t="s">
        <v>12339</v>
      </c>
      <c r="X6094" s="21"/>
      <c r="Y6094" s="21" t="s">
        <v>41</v>
      </c>
      <c r="Z6094" s="21"/>
      <c r="AA6094" s="21" t="str">
        <f>HYPERLINK("https://miland.ru/api/getInfo/item/6179f431-e513-11ee-a25a-00155d82e908")</f>
        <v>https://miland.ru/api/getInfo/item/6179f431-e513-11ee-a25a-00155d82e908</v>
      </c>
      <c r="AB6094" s="21" t="s">
        <v>42</v>
      </c>
      <c r="AC6094" s="21" t="s">
        <v>21770</v>
      </c>
      <c r="AD6094" s="21"/>
    </row>
    <row r="6095" spans="2:30" s="1" customFormat="1" ht="96.3" customHeight="1" outlineLevel="5">
      <c r="B6095" s="57">
        <v>5002</v>
      </c>
      <c r="C6095" s="21" t="s">
        <v>21771</v>
      </c>
      <c r="D6095" s="72" t="s">
        <v>21772</v>
      </c>
      <c r="E6095" s="72"/>
      <c r="F6095" s="72"/>
      <c r="G6095" s="72"/>
      <c r="H6095" s="22" t="s">
        <v>21773</v>
      </c>
      <c r="I6095" s="27">
        <v>5</v>
      </c>
      <c r="J6095" s="22"/>
      <c r="K6095" s="20">
        <v>2</v>
      </c>
      <c r="L6095" s="24">
        <v>321.83999999999997</v>
      </c>
      <c r="M6095" s="11"/>
      <c r="N6095" s="22">
        <f t="shared" si="356"/>
        <v>0</v>
      </c>
      <c r="O6095" s="28">
        <f>0.12*M6095</f>
        <v>0</v>
      </c>
      <c r="P6095" s="26">
        <f>0.00011*M6095</f>
        <v>0</v>
      </c>
      <c r="Q6095" s="30"/>
      <c r="R6095" s="22" t="s">
        <v>21774</v>
      </c>
      <c r="S6095" s="22" t="s">
        <v>435</v>
      </c>
      <c r="T6095" s="21" t="str">
        <f>HYPERLINK("https://miland.ru/api/getInfo/image/eebe3dc1-b482-11eb-a202-ac1f6b442185")</f>
        <v>https://miland.ru/api/getInfo/image/eebe3dc1-b482-11eb-a202-ac1f6b442185</v>
      </c>
      <c r="U6095" s="21"/>
      <c r="V6095" s="21" t="s">
        <v>12338</v>
      </c>
      <c r="W6095" s="21" t="s">
        <v>12339</v>
      </c>
      <c r="X6095" s="21"/>
      <c r="Y6095" s="21" t="s">
        <v>41</v>
      </c>
      <c r="Z6095" s="21"/>
      <c r="AA6095" s="21" t="str">
        <f>HYPERLINK("https://miland.ru/api/getInfo/item/eebe3dc1-b482-11eb-a202-ac1f6b442185")</f>
        <v>https://miland.ru/api/getInfo/item/eebe3dc1-b482-11eb-a202-ac1f6b442185</v>
      </c>
      <c r="AB6095" s="21" t="s">
        <v>42</v>
      </c>
      <c r="AC6095" s="21" t="s">
        <v>21775</v>
      </c>
      <c r="AD6095" s="21"/>
    </row>
    <row r="6096" spans="2:30" s="1" customFormat="1" ht="96.3" customHeight="1" outlineLevel="5">
      <c r="B6096" s="57">
        <v>5003</v>
      </c>
      <c r="C6096" s="21" t="s">
        <v>21776</v>
      </c>
      <c r="D6096" s="72" t="s">
        <v>21777</v>
      </c>
      <c r="E6096" s="72"/>
      <c r="F6096" s="72"/>
      <c r="G6096" s="72"/>
      <c r="H6096" s="22" t="s">
        <v>21778</v>
      </c>
      <c r="I6096" s="27">
        <v>14</v>
      </c>
      <c r="J6096" s="22"/>
      <c r="K6096" s="20">
        <v>2</v>
      </c>
      <c r="L6096" s="24">
        <v>273.37</v>
      </c>
      <c r="M6096" s="11"/>
      <c r="N6096" s="22">
        <f t="shared" si="356"/>
        <v>0</v>
      </c>
      <c r="O6096" s="28">
        <f>0.12*M6096</f>
        <v>0</v>
      </c>
      <c r="P6096" s="26">
        <f>0.00011*M6096</f>
        <v>0</v>
      </c>
      <c r="Q6096" s="30"/>
      <c r="R6096" s="22" t="s">
        <v>21779</v>
      </c>
      <c r="S6096" s="22" t="s">
        <v>435</v>
      </c>
      <c r="T6096" s="21" t="str">
        <f>HYPERLINK("https://miland.ru/api/getInfo/image/682e301c-b483-11eb-a202-ac1f6b442185")</f>
        <v>https://miland.ru/api/getInfo/image/682e301c-b483-11eb-a202-ac1f6b442185</v>
      </c>
      <c r="U6096" s="21"/>
      <c r="V6096" s="21" t="s">
        <v>12338</v>
      </c>
      <c r="W6096" s="21" t="s">
        <v>12339</v>
      </c>
      <c r="X6096" s="21"/>
      <c r="Y6096" s="21" t="s">
        <v>12356</v>
      </c>
      <c r="Z6096" s="21"/>
      <c r="AA6096" s="21" t="str">
        <f>HYPERLINK("https://miland.ru/api/getInfo/item/682e301c-b483-11eb-a202-ac1f6b442185")</f>
        <v>https://miland.ru/api/getInfo/item/682e301c-b483-11eb-a202-ac1f6b442185</v>
      </c>
      <c r="AB6096" s="21" t="s">
        <v>42</v>
      </c>
      <c r="AC6096" s="21" t="s">
        <v>21775</v>
      </c>
      <c r="AD6096" s="21"/>
    </row>
    <row r="6097" spans="2:30" s="1" customFormat="1" ht="96.3" customHeight="1" outlineLevel="5">
      <c r="B6097" s="57">
        <v>5004</v>
      </c>
      <c r="C6097" s="21" t="s">
        <v>21780</v>
      </c>
      <c r="D6097" s="72" t="s">
        <v>21781</v>
      </c>
      <c r="E6097" s="72"/>
      <c r="F6097" s="72"/>
      <c r="G6097" s="72"/>
      <c r="H6097" s="22" t="s">
        <v>21782</v>
      </c>
      <c r="I6097" s="23" t="s">
        <v>36</v>
      </c>
      <c r="J6097" s="22"/>
      <c r="K6097" s="20">
        <v>1</v>
      </c>
      <c r="L6097" s="24">
        <v>420.73</v>
      </c>
      <c r="M6097" s="11"/>
      <c r="N6097" s="22">
        <f t="shared" si="356"/>
        <v>0</v>
      </c>
      <c r="O6097" s="25">
        <f>0.305*M6097</f>
        <v>0</v>
      </c>
      <c r="P6097" s="29">
        <f>0.0003*M6097</f>
        <v>0</v>
      </c>
      <c r="Q6097" s="30"/>
      <c r="R6097" s="22" t="s">
        <v>21783</v>
      </c>
      <c r="S6097" s="22" t="s">
        <v>435</v>
      </c>
      <c r="T6097" s="21" t="str">
        <f>HYPERLINK("https://miland.ru/api/getInfo/image/da19025b-181d-11ea-a237-ac1f6b442184")</f>
        <v>https://miland.ru/api/getInfo/image/da19025b-181d-11ea-a237-ac1f6b442184</v>
      </c>
      <c r="U6097" s="21"/>
      <c r="V6097" s="21" t="s">
        <v>12338</v>
      </c>
      <c r="W6097" s="21" t="s">
        <v>12339</v>
      </c>
      <c r="X6097" s="21"/>
      <c r="Y6097" s="21" t="s">
        <v>41</v>
      </c>
      <c r="Z6097" s="21"/>
      <c r="AA6097" s="21" t="str">
        <f>HYPERLINK("https://miland.ru/api/getInfo/item/da19025b-181d-11ea-a237-ac1f6b442184")</f>
        <v>https://miland.ru/api/getInfo/item/da19025b-181d-11ea-a237-ac1f6b442184</v>
      </c>
      <c r="AB6097" s="21" t="s">
        <v>42</v>
      </c>
      <c r="AC6097" s="21"/>
      <c r="AD6097" s="21"/>
    </row>
    <row r="6098" spans="2:30" ht="12" customHeight="1" outlineLevel="4">
      <c r="B6098" s="70" t="s">
        <v>21784</v>
      </c>
      <c r="C6098" s="70"/>
      <c r="D6098" s="70"/>
      <c r="E6098" s="70"/>
      <c r="F6098" s="70"/>
      <c r="G6098" s="70"/>
    </row>
    <row r="6099" spans="2:30" ht="12" customHeight="1" outlineLevel="5">
      <c r="B6099" s="70" t="s">
        <v>21785</v>
      </c>
      <c r="C6099" s="70"/>
      <c r="D6099" s="70"/>
      <c r="E6099" s="70"/>
      <c r="F6099" s="70"/>
      <c r="G6099" s="70"/>
    </row>
    <row r="6100" spans="2:30" s="1" customFormat="1" ht="96.3" customHeight="1" outlineLevel="6">
      <c r="B6100" s="57">
        <v>5005</v>
      </c>
      <c r="C6100" s="21" t="s">
        <v>21786</v>
      </c>
      <c r="D6100" s="72" t="s">
        <v>21787</v>
      </c>
      <c r="E6100" s="72"/>
      <c r="F6100" s="72"/>
      <c r="G6100" s="72"/>
      <c r="H6100" s="22" t="s">
        <v>21788</v>
      </c>
      <c r="I6100" s="23" t="s">
        <v>36</v>
      </c>
      <c r="J6100" s="22"/>
      <c r="K6100" s="20">
        <v>12</v>
      </c>
      <c r="L6100" s="24">
        <v>203.87</v>
      </c>
      <c r="M6100" s="11"/>
      <c r="N6100" s="22">
        <f t="shared" ref="N6100:N6106" si="357">L6100*M6100</f>
        <v>0</v>
      </c>
      <c r="O6100" s="25">
        <f>0.099*M6100</f>
        <v>0</v>
      </c>
      <c r="P6100" s="29">
        <f>0.0001*M6100</f>
        <v>0</v>
      </c>
      <c r="Q6100" s="30"/>
      <c r="R6100" s="22" t="s">
        <v>21789</v>
      </c>
      <c r="S6100" s="22"/>
      <c r="T6100" s="21" t="str">
        <f>HYPERLINK("https://miland.ru/api/getInfo/image/9eda3de9-f6d4-11e7-951c-5cf3fc4a2490")</f>
        <v>https://miland.ru/api/getInfo/image/9eda3de9-f6d4-11e7-951c-5cf3fc4a2490</v>
      </c>
      <c r="U6100" s="21"/>
      <c r="V6100" s="21" t="s">
        <v>12338</v>
      </c>
      <c r="W6100" s="21" t="s">
        <v>12339</v>
      </c>
      <c r="X6100" s="21"/>
      <c r="Y6100" s="21" t="s">
        <v>41</v>
      </c>
      <c r="Z6100" s="21"/>
      <c r="AA6100" s="21" t="str">
        <f>HYPERLINK("https://miland.ru/api/getInfo/item/9eda3de9-f6d4-11e7-951c-5cf3fc4a2490")</f>
        <v>https://miland.ru/api/getInfo/item/9eda3de9-f6d4-11e7-951c-5cf3fc4a2490</v>
      </c>
      <c r="AB6100" s="21" t="s">
        <v>50</v>
      </c>
      <c r="AC6100" s="21" t="s">
        <v>21790</v>
      </c>
      <c r="AD6100" s="21"/>
    </row>
    <row r="6101" spans="2:30" s="1" customFormat="1" ht="96.3" customHeight="1" outlineLevel="6">
      <c r="B6101" s="57">
        <v>5006</v>
      </c>
      <c r="C6101" s="21" t="s">
        <v>21791</v>
      </c>
      <c r="D6101" s="72" t="s">
        <v>21792</v>
      </c>
      <c r="E6101" s="72"/>
      <c r="F6101" s="72"/>
      <c r="G6101" s="72"/>
      <c r="H6101" s="22" t="s">
        <v>21793</v>
      </c>
      <c r="I6101" s="23" t="s">
        <v>36</v>
      </c>
      <c r="J6101" s="22"/>
      <c r="K6101" s="20">
        <v>12</v>
      </c>
      <c r="L6101" s="24">
        <v>203.87</v>
      </c>
      <c r="M6101" s="11"/>
      <c r="N6101" s="22">
        <f t="shared" si="357"/>
        <v>0</v>
      </c>
      <c r="O6101" s="25">
        <f>0.098*M6101</f>
        <v>0</v>
      </c>
      <c r="P6101" s="29">
        <f>0.0001*M6101</f>
        <v>0</v>
      </c>
      <c r="Q6101" s="30"/>
      <c r="R6101" s="22" t="s">
        <v>21794</v>
      </c>
      <c r="S6101" s="22"/>
      <c r="T6101" s="21" t="str">
        <f>HYPERLINK("https://miland.ru/api/getInfo/image/f47e0590-f6d4-11e7-951c-5cf3fc4a2490")</f>
        <v>https://miland.ru/api/getInfo/image/f47e0590-f6d4-11e7-951c-5cf3fc4a2490</v>
      </c>
      <c r="U6101" s="21"/>
      <c r="V6101" s="21" t="s">
        <v>12338</v>
      </c>
      <c r="W6101" s="21" t="s">
        <v>12339</v>
      </c>
      <c r="X6101" s="21"/>
      <c r="Y6101" s="21" t="s">
        <v>41</v>
      </c>
      <c r="Z6101" s="21"/>
      <c r="AA6101" s="21" t="str">
        <f>HYPERLINK("https://miland.ru/api/getInfo/item/f47e0590-f6d4-11e7-951c-5cf3fc4a2490")</f>
        <v>https://miland.ru/api/getInfo/item/f47e0590-f6d4-11e7-951c-5cf3fc4a2490</v>
      </c>
      <c r="AB6101" s="21" t="s">
        <v>50</v>
      </c>
      <c r="AC6101" s="21" t="s">
        <v>21790</v>
      </c>
      <c r="AD6101" s="21"/>
    </row>
    <row r="6102" spans="2:30" s="1" customFormat="1" ht="96.3" customHeight="1" outlineLevel="6">
      <c r="B6102" s="57">
        <v>5007</v>
      </c>
      <c r="C6102" s="21" t="s">
        <v>21795</v>
      </c>
      <c r="D6102" s="72" t="s">
        <v>21796</v>
      </c>
      <c r="E6102" s="72"/>
      <c r="F6102" s="72"/>
      <c r="G6102" s="72"/>
      <c r="H6102" s="22" t="s">
        <v>21797</v>
      </c>
      <c r="I6102" s="23" t="s">
        <v>36</v>
      </c>
      <c r="J6102" s="22"/>
      <c r="K6102" s="20">
        <v>12</v>
      </c>
      <c r="L6102" s="24">
        <v>237.05</v>
      </c>
      <c r="M6102" s="11"/>
      <c r="N6102" s="22">
        <f t="shared" si="357"/>
        <v>0</v>
      </c>
      <c r="O6102" s="25">
        <f>0.097*M6102</f>
        <v>0</v>
      </c>
      <c r="P6102" s="26">
        <f>0.00011*M6102</f>
        <v>0</v>
      </c>
      <c r="Q6102" s="30"/>
      <c r="R6102" s="22" t="s">
        <v>21798</v>
      </c>
      <c r="S6102" s="22"/>
      <c r="T6102" s="21" t="str">
        <f>HYPERLINK("https://miland.ru/api/getInfo/image/76f63020-f6d4-11e7-951c-5cf3fc4a2490")</f>
        <v>https://miland.ru/api/getInfo/image/76f63020-f6d4-11e7-951c-5cf3fc4a2490</v>
      </c>
      <c r="U6102" s="21"/>
      <c r="V6102" s="21" t="s">
        <v>12338</v>
      </c>
      <c r="W6102" s="21" t="s">
        <v>12339</v>
      </c>
      <c r="X6102" s="21"/>
      <c r="Y6102" s="21" t="s">
        <v>41</v>
      </c>
      <c r="Z6102" s="21"/>
      <c r="AA6102" s="21" t="str">
        <f>HYPERLINK("https://miland.ru/api/getInfo/item/76f63020-f6d4-11e7-951c-5cf3fc4a2490")</f>
        <v>https://miland.ru/api/getInfo/item/76f63020-f6d4-11e7-951c-5cf3fc4a2490</v>
      </c>
      <c r="AB6102" s="21" t="s">
        <v>50</v>
      </c>
      <c r="AC6102" s="21" t="s">
        <v>21790</v>
      </c>
      <c r="AD6102" s="21" t="s">
        <v>21798</v>
      </c>
    </row>
    <row r="6103" spans="2:30" s="1" customFormat="1" ht="96.3" customHeight="1" outlineLevel="6">
      <c r="B6103" s="57">
        <v>5008</v>
      </c>
      <c r="C6103" s="21" t="s">
        <v>21799</v>
      </c>
      <c r="D6103" s="72" t="s">
        <v>21800</v>
      </c>
      <c r="E6103" s="72"/>
      <c r="F6103" s="72"/>
      <c r="G6103" s="72"/>
      <c r="H6103" s="22" t="s">
        <v>21801</v>
      </c>
      <c r="I6103" s="23" t="s">
        <v>36</v>
      </c>
      <c r="J6103" s="22"/>
      <c r="K6103" s="20">
        <v>12</v>
      </c>
      <c r="L6103" s="24">
        <v>203.87</v>
      </c>
      <c r="M6103" s="11"/>
      <c r="N6103" s="22">
        <f t="shared" si="357"/>
        <v>0</v>
      </c>
      <c r="O6103" s="25">
        <f>0.099*M6103</f>
        <v>0</v>
      </c>
      <c r="P6103" s="26">
        <f>0.00015*M6103</f>
        <v>0</v>
      </c>
      <c r="Q6103" s="30"/>
      <c r="R6103" s="22" t="s">
        <v>21802</v>
      </c>
      <c r="S6103" s="22"/>
      <c r="T6103" s="21" t="str">
        <f>HYPERLINK("https://miland.ru/api/getInfo/image/77e8ab44-f6d5-11e7-951c-5cf3fc4a2490")</f>
        <v>https://miland.ru/api/getInfo/image/77e8ab44-f6d5-11e7-951c-5cf3fc4a2490</v>
      </c>
      <c r="U6103" s="21"/>
      <c r="V6103" s="21" t="s">
        <v>12338</v>
      </c>
      <c r="W6103" s="21" t="s">
        <v>12339</v>
      </c>
      <c r="X6103" s="21"/>
      <c r="Y6103" s="21" t="s">
        <v>41</v>
      </c>
      <c r="Z6103" s="21"/>
      <c r="AA6103" s="21" t="str">
        <f>HYPERLINK("https://miland.ru/api/getInfo/item/77e8ab44-f6d5-11e7-951c-5cf3fc4a2490")</f>
        <v>https://miland.ru/api/getInfo/item/77e8ab44-f6d5-11e7-951c-5cf3fc4a2490</v>
      </c>
      <c r="AB6103" s="21" t="s">
        <v>50</v>
      </c>
      <c r="AC6103" s="21" t="s">
        <v>21790</v>
      </c>
      <c r="AD6103" s="21"/>
    </row>
    <row r="6104" spans="2:30" s="1" customFormat="1" ht="96.3" customHeight="1" outlineLevel="6">
      <c r="B6104" s="57">
        <v>5009</v>
      </c>
      <c r="C6104" s="21" t="s">
        <v>21803</v>
      </c>
      <c r="D6104" s="72" t="s">
        <v>21804</v>
      </c>
      <c r="E6104" s="72"/>
      <c r="F6104" s="72"/>
      <c r="G6104" s="72"/>
      <c r="H6104" s="22" t="s">
        <v>21805</v>
      </c>
      <c r="I6104" s="23" t="s">
        <v>36</v>
      </c>
      <c r="J6104" s="22"/>
      <c r="K6104" s="20">
        <v>12</v>
      </c>
      <c r="L6104" s="24">
        <v>237.05</v>
      </c>
      <c r="M6104" s="11"/>
      <c r="N6104" s="22">
        <f t="shared" si="357"/>
        <v>0</v>
      </c>
      <c r="O6104" s="25">
        <f>0.098*M6104</f>
        <v>0</v>
      </c>
      <c r="P6104" s="26">
        <f>0.00011*M6104</f>
        <v>0</v>
      </c>
      <c r="Q6104" s="30"/>
      <c r="R6104" s="22" t="s">
        <v>21806</v>
      </c>
      <c r="S6104" s="22"/>
      <c r="T6104" s="21" t="str">
        <f>HYPERLINK("https://miland.ru/api/getInfo/image/1cb0f3f1-f6d4-11e7-951c-5cf3fc4a2490")</f>
        <v>https://miland.ru/api/getInfo/image/1cb0f3f1-f6d4-11e7-951c-5cf3fc4a2490</v>
      </c>
      <c r="U6104" s="21"/>
      <c r="V6104" s="21" t="s">
        <v>12338</v>
      </c>
      <c r="W6104" s="21" t="s">
        <v>12339</v>
      </c>
      <c r="X6104" s="21"/>
      <c r="Y6104" s="21" t="s">
        <v>41</v>
      </c>
      <c r="Z6104" s="21"/>
      <c r="AA6104" s="21" t="str">
        <f>HYPERLINK("https://miland.ru/api/getInfo/item/1cb0f3f1-f6d4-11e7-951c-5cf3fc4a2490")</f>
        <v>https://miland.ru/api/getInfo/item/1cb0f3f1-f6d4-11e7-951c-5cf3fc4a2490</v>
      </c>
      <c r="AB6104" s="21" t="s">
        <v>50</v>
      </c>
      <c r="AC6104" s="21" t="s">
        <v>21790</v>
      </c>
      <c r="AD6104" s="21" t="s">
        <v>21806</v>
      </c>
    </row>
    <row r="6105" spans="2:30" s="1" customFormat="1" ht="96.3" customHeight="1" outlineLevel="6">
      <c r="B6105" s="57">
        <v>5010</v>
      </c>
      <c r="C6105" s="21" t="s">
        <v>21807</v>
      </c>
      <c r="D6105" s="72" t="s">
        <v>21808</v>
      </c>
      <c r="E6105" s="72"/>
      <c r="F6105" s="72"/>
      <c r="G6105" s="72"/>
      <c r="H6105" s="22" t="s">
        <v>21809</v>
      </c>
      <c r="I6105" s="23" t="s">
        <v>36</v>
      </c>
      <c r="J6105" s="22"/>
      <c r="K6105" s="20">
        <v>12</v>
      </c>
      <c r="L6105" s="24">
        <v>203.87</v>
      </c>
      <c r="M6105" s="11"/>
      <c r="N6105" s="22">
        <f t="shared" si="357"/>
        <v>0</v>
      </c>
      <c r="O6105" s="25">
        <f>0.066*M6105</f>
        <v>0</v>
      </c>
      <c r="P6105" s="26">
        <f>0.00011*M6105</f>
        <v>0</v>
      </c>
      <c r="Q6105" s="30"/>
      <c r="R6105" s="22" t="s">
        <v>21810</v>
      </c>
      <c r="S6105" s="22"/>
      <c r="T6105" s="21" t="str">
        <f>HYPERLINK("https://miland.ru/api/getInfo/image/4c1603f4-f6d4-11e7-951c-5cf3fc4a2490")</f>
        <v>https://miland.ru/api/getInfo/image/4c1603f4-f6d4-11e7-951c-5cf3fc4a2490</v>
      </c>
      <c r="U6105" s="21"/>
      <c r="V6105" s="21" t="s">
        <v>12338</v>
      </c>
      <c r="W6105" s="21" t="s">
        <v>12339</v>
      </c>
      <c r="X6105" s="21"/>
      <c r="Y6105" s="21" t="s">
        <v>41</v>
      </c>
      <c r="Z6105" s="21"/>
      <c r="AA6105" s="21" t="str">
        <f>HYPERLINK("https://miland.ru/api/getInfo/item/4c1603f4-f6d4-11e7-951c-5cf3fc4a2490")</f>
        <v>https://miland.ru/api/getInfo/item/4c1603f4-f6d4-11e7-951c-5cf3fc4a2490</v>
      </c>
      <c r="AB6105" s="21" t="s">
        <v>50</v>
      </c>
      <c r="AC6105" s="21" t="s">
        <v>21790</v>
      </c>
      <c r="AD6105" s="21"/>
    </row>
    <row r="6106" spans="2:30" s="1" customFormat="1" ht="96.3" customHeight="1" outlineLevel="6">
      <c r="B6106" s="57">
        <v>5011</v>
      </c>
      <c r="C6106" s="21" t="s">
        <v>21811</v>
      </c>
      <c r="D6106" s="72" t="s">
        <v>21812</v>
      </c>
      <c r="E6106" s="72"/>
      <c r="F6106" s="72"/>
      <c r="G6106" s="72"/>
      <c r="H6106" s="22" t="s">
        <v>21813</v>
      </c>
      <c r="I6106" s="23" t="s">
        <v>36</v>
      </c>
      <c r="J6106" s="22"/>
      <c r="K6106" s="20">
        <v>12</v>
      </c>
      <c r="L6106" s="24">
        <v>203.87</v>
      </c>
      <c r="M6106" s="11"/>
      <c r="N6106" s="22">
        <f t="shared" si="357"/>
        <v>0</v>
      </c>
      <c r="O6106" s="25">
        <f>0.101*M6106</f>
        <v>0</v>
      </c>
      <c r="P6106" s="26">
        <f>0.00012*M6106</f>
        <v>0</v>
      </c>
      <c r="Q6106" s="30"/>
      <c r="R6106" s="22" t="s">
        <v>21814</v>
      </c>
      <c r="S6106" s="22"/>
      <c r="T6106" s="21" t="str">
        <f>HYPERLINK("https://miland.ru/api/getInfo/image/cfcf378c-f6d4-11e7-951c-5cf3fc4a2490")</f>
        <v>https://miland.ru/api/getInfo/image/cfcf378c-f6d4-11e7-951c-5cf3fc4a2490</v>
      </c>
      <c r="U6106" s="21"/>
      <c r="V6106" s="21" t="s">
        <v>12338</v>
      </c>
      <c r="W6106" s="21" t="s">
        <v>12339</v>
      </c>
      <c r="X6106" s="21"/>
      <c r="Y6106" s="21" t="s">
        <v>41</v>
      </c>
      <c r="Z6106" s="21"/>
      <c r="AA6106" s="21" t="str">
        <f>HYPERLINK("https://miland.ru/api/getInfo/item/cfcf378c-f6d4-11e7-951c-5cf3fc4a2490")</f>
        <v>https://miland.ru/api/getInfo/item/cfcf378c-f6d4-11e7-951c-5cf3fc4a2490</v>
      </c>
      <c r="AB6106" s="21" t="s">
        <v>50</v>
      </c>
      <c r="AC6106" s="21" t="s">
        <v>21790</v>
      </c>
      <c r="AD6106" s="21"/>
    </row>
    <row r="6107" spans="2:30" ht="12" customHeight="1" outlineLevel="5">
      <c r="B6107" s="70" t="s">
        <v>21815</v>
      </c>
      <c r="C6107" s="70"/>
      <c r="D6107" s="70"/>
      <c r="E6107" s="70"/>
      <c r="F6107" s="70"/>
      <c r="G6107" s="70"/>
    </row>
    <row r="6108" spans="2:30" s="1" customFormat="1" ht="96.3" customHeight="1" outlineLevel="6">
      <c r="B6108" s="57">
        <v>5012</v>
      </c>
      <c r="C6108" s="21" t="s">
        <v>21816</v>
      </c>
      <c r="D6108" s="72" t="s">
        <v>21817</v>
      </c>
      <c r="E6108" s="72"/>
      <c r="F6108" s="72"/>
      <c r="G6108" s="72"/>
      <c r="H6108" s="22" t="s">
        <v>21818</v>
      </c>
      <c r="I6108" s="23" t="s">
        <v>36</v>
      </c>
      <c r="J6108" s="22"/>
      <c r="K6108" s="20">
        <v>12</v>
      </c>
      <c r="L6108" s="24">
        <v>203.87</v>
      </c>
      <c r="M6108" s="11"/>
      <c r="N6108" s="22">
        <f>L6108*M6108</f>
        <v>0</v>
      </c>
      <c r="O6108" s="25">
        <f>0.089*M6108</f>
        <v>0</v>
      </c>
      <c r="P6108" s="26">
        <f>0.00012*M6108</f>
        <v>0</v>
      </c>
      <c r="Q6108" s="30"/>
      <c r="R6108" s="22" t="s">
        <v>21819</v>
      </c>
      <c r="S6108" s="22"/>
      <c r="T6108" s="21" t="str">
        <f>HYPERLINK("https://miland.ru/api/getInfo/image/ef711fc0-f6d5-11e7-951c-5cf3fc4a2490")</f>
        <v>https://miland.ru/api/getInfo/image/ef711fc0-f6d5-11e7-951c-5cf3fc4a2490</v>
      </c>
      <c r="U6108" s="21"/>
      <c r="V6108" s="21" t="s">
        <v>12338</v>
      </c>
      <c r="W6108" s="21" t="s">
        <v>12339</v>
      </c>
      <c r="X6108" s="21"/>
      <c r="Y6108" s="21" t="s">
        <v>41</v>
      </c>
      <c r="Z6108" s="21"/>
      <c r="AA6108" s="21" t="str">
        <f>HYPERLINK("https://miland.ru/api/getInfo/item/ef711fc0-f6d5-11e7-951c-5cf3fc4a2490")</f>
        <v>https://miland.ru/api/getInfo/item/ef711fc0-f6d5-11e7-951c-5cf3fc4a2490</v>
      </c>
      <c r="AB6108" s="21" t="s">
        <v>50</v>
      </c>
      <c r="AC6108" s="21" t="s">
        <v>21790</v>
      </c>
      <c r="AD6108" s="21"/>
    </row>
    <row r="6109" spans="2:30" s="1" customFormat="1" ht="96.3" customHeight="1" outlineLevel="6">
      <c r="B6109" s="57">
        <v>5013</v>
      </c>
      <c r="C6109" s="21" t="s">
        <v>21820</v>
      </c>
      <c r="D6109" s="72" t="s">
        <v>21821</v>
      </c>
      <c r="E6109" s="72"/>
      <c r="F6109" s="72"/>
      <c r="G6109" s="72"/>
      <c r="H6109" s="22" t="s">
        <v>21822</v>
      </c>
      <c r="I6109" s="23" t="s">
        <v>36</v>
      </c>
      <c r="J6109" s="22"/>
      <c r="K6109" s="20">
        <v>3</v>
      </c>
      <c r="L6109" s="24">
        <v>203.87</v>
      </c>
      <c r="M6109" s="11"/>
      <c r="N6109" s="22">
        <f>L6109*M6109</f>
        <v>0</v>
      </c>
      <c r="O6109" s="25">
        <f>0.099*M6109</f>
        <v>0</v>
      </c>
      <c r="P6109" s="26">
        <f>0.00129*M6109</f>
        <v>0</v>
      </c>
      <c r="Q6109" s="30"/>
      <c r="R6109" s="22" t="s">
        <v>21823</v>
      </c>
      <c r="S6109" s="22"/>
      <c r="T6109" s="21" t="str">
        <f>HYPERLINK("https://miland.ru/api/getInfo/image/d4d1f264-f6d5-11e7-951c-5cf3fc4a2490")</f>
        <v>https://miland.ru/api/getInfo/image/d4d1f264-f6d5-11e7-951c-5cf3fc4a2490</v>
      </c>
      <c r="U6109" s="21"/>
      <c r="V6109" s="21" t="s">
        <v>12338</v>
      </c>
      <c r="W6109" s="21" t="s">
        <v>12339</v>
      </c>
      <c r="X6109" s="21"/>
      <c r="Y6109" s="21" t="s">
        <v>41</v>
      </c>
      <c r="Z6109" s="21"/>
      <c r="AA6109" s="21" t="str">
        <f>HYPERLINK("https://miland.ru/api/getInfo/item/d4d1f264-f6d5-11e7-951c-5cf3fc4a2490")</f>
        <v>https://miland.ru/api/getInfo/item/d4d1f264-f6d5-11e7-951c-5cf3fc4a2490</v>
      </c>
      <c r="AB6109" s="21" t="s">
        <v>50</v>
      </c>
      <c r="AC6109" s="21" t="s">
        <v>21790</v>
      </c>
      <c r="AD6109" s="21"/>
    </row>
    <row r="6110" spans="2:30" ht="12" customHeight="1" outlineLevel="5">
      <c r="B6110" s="70" t="s">
        <v>21824</v>
      </c>
      <c r="C6110" s="70"/>
      <c r="D6110" s="70"/>
      <c r="E6110" s="70"/>
      <c r="F6110" s="70"/>
      <c r="G6110" s="70"/>
    </row>
    <row r="6111" spans="2:30" s="1" customFormat="1" ht="96.3" customHeight="1" outlineLevel="6">
      <c r="B6111" s="57">
        <v>5014</v>
      </c>
      <c r="C6111" s="21" t="s">
        <v>21825</v>
      </c>
      <c r="D6111" s="72" t="s">
        <v>21826</v>
      </c>
      <c r="E6111" s="72"/>
      <c r="F6111" s="72"/>
      <c r="G6111" s="72"/>
      <c r="H6111" s="22" t="s">
        <v>21827</v>
      </c>
      <c r="I6111" s="23" t="s">
        <v>36</v>
      </c>
      <c r="J6111" s="22"/>
      <c r="K6111" s="20">
        <v>12</v>
      </c>
      <c r="L6111" s="24">
        <v>203.87</v>
      </c>
      <c r="M6111" s="11"/>
      <c r="N6111" s="22">
        <f>L6111*M6111</f>
        <v>0</v>
      </c>
      <c r="O6111" s="25">
        <f>0.097*M6111</f>
        <v>0</v>
      </c>
      <c r="P6111" s="26">
        <f>0.00011*M6111</f>
        <v>0</v>
      </c>
      <c r="Q6111" s="30"/>
      <c r="R6111" s="22" t="s">
        <v>21828</v>
      </c>
      <c r="S6111" s="22"/>
      <c r="T6111" s="21" t="str">
        <f>HYPERLINK("https://miland.ru/api/getInfo/image/0a052a0d-5821-11e8-b825-5cf3fc4a2490")</f>
        <v>https://miland.ru/api/getInfo/image/0a052a0d-5821-11e8-b825-5cf3fc4a2490</v>
      </c>
      <c r="U6111" s="21"/>
      <c r="V6111" s="21" t="s">
        <v>12338</v>
      </c>
      <c r="W6111" s="21" t="s">
        <v>12339</v>
      </c>
      <c r="X6111" s="21"/>
      <c r="Y6111" s="21" t="s">
        <v>41</v>
      </c>
      <c r="Z6111" s="21"/>
      <c r="AA6111" s="21" t="str">
        <f>HYPERLINK("https://miland.ru/api/getInfo/item/0a052a0d-5821-11e8-b825-5cf3fc4a2490")</f>
        <v>https://miland.ru/api/getInfo/item/0a052a0d-5821-11e8-b825-5cf3fc4a2490</v>
      </c>
      <c r="AB6111" s="21" t="s">
        <v>50</v>
      </c>
      <c r="AC6111" s="21" t="s">
        <v>21790</v>
      </c>
      <c r="AD6111" s="21"/>
    </row>
    <row r="6112" spans="2:30" s="1" customFormat="1" ht="96.3" customHeight="1" outlineLevel="6">
      <c r="B6112" s="57">
        <v>5015</v>
      </c>
      <c r="C6112" s="21" t="s">
        <v>21829</v>
      </c>
      <c r="D6112" s="72" t="s">
        <v>21830</v>
      </c>
      <c r="E6112" s="72"/>
      <c r="F6112" s="72"/>
      <c r="G6112" s="72"/>
      <c r="H6112" s="22" t="s">
        <v>21831</v>
      </c>
      <c r="I6112" s="23" t="s">
        <v>36</v>
      </c>
      <c r="J6112" s="22"/>
      <c r="K6112" s="20">
        <v>12</v>
      </c>
      <c r="L6112" s="24">
        <v>203.87</v>
      </c>
      <c r="M6112" s="11"/>
      <c r="N6112" s="22">
        <f>L6112*M6112</f>
        <v>0</v>
      </c>
      <c r="O6112" s="33">
        <f>0.1*M6112</f>
        <v>0</v>
      </c>
      <c r="P6112" s="26">
        <f>0.00012*M6112</f>
        <v>0</v>
      </c>
      <c r="Q6112" s="30"/>
      <c r="R6112" s="22" t="s">
        <v>21832</v>
      </c>
      <c r="S6112" s="22"/>
      <c r="T6112" s="21" t="str">
        <f>HYPERLINK("https://miland.ru/api/getInfo/image/f554ab38-5820-11e8-b825-5cf3fc4a2490")</f>
        <v>https://miland.ru/api/getInfo/image/f554ab38-5820-11e8-b825-5cf3fc4a2490</v>
      </c>
      <c r="U6112" s="21"/>
      <c r="V6112" s="21" t="s">
        <v>12338</v>
      </c>
      <c r="W6112" s="21" t="s">
        <v>12339</v>
      </c>
      <c r="X6112" s="21"/>
      <c r="Y6112" s="21" t="s">
        <v>41</v>
      </c>
      <c r="Z6112" s="21"/>
      <c r="AA6112" s="21" t="str">
        <f>HYPERLINK("https://miland.ru/api/getInfo/item/f554ab38-5820-11e8-b825-5cf3fc4a2490")</f>
        <v>https://miland.ru/api/getInfo/item/f554ab38-5820-11e8-b825-5cf3fc4a2490</v>
      </c>
      <c r="AB6112" s="21" t="s">
        <v>50</v>
      </c>
      <c r="AC6112" s="21" t="s">
        <v>21790</v>
      </c>
      <c r="AD6112" s="21"/>
    </row>
    <row r="6113" spans="2:30" ht="12" customHeight="1" outlineLevel="2">
      <c r="B6113" s="69" t="s">
        <v>21833</v>
      </c>
      <c r="C6113" s="69"/>
      <c r="D6113" s="69"/>
      <c r="E6113" s="69"/>
      <c r="F6113" s="69"/>
      <c r="G6113" s="69"/>
    </row>
    <row r="6114" spans="2:30" ht="12" customHeight="1" outlineLevel="3">
      <c r="B6114" s="70" t="s">
        <v>21834</v>
      </c>
      <c r="C6114" s="70"/>
      <c r="D6114" s="70"/>
      <c r="E6114" s="70"/>
      <c r="F6114" s="70"/>
      <c r="G6114" s="70"/>
    </row>
    <row r="6115" spans="2:30" ht="12" customHeight="1" outlineLevel="4">
      <c r="B6115" s="70" t="s">
        <v>21835</v>
      </c>
      <c r="C6115" s="70"/>
      <c r="D6115" s="70"/>
      <c r="E6115" s="70"/>
      <c r="F6115" s="70"/>
      <c r="G6115" s="70"/>
    </row>
    <row r="6116" spans="2:30" s="1" customFormat="1" ht="96.3" customHeight="1" outlineLevel="5">
      <c r="B6116" s="57">
        <v>5016</v>
      </c>
      <c r="C6116" s="21" t="s">
        <v>21836</v>
      </c>
      <c r="D6116" s="72" t="s">
        <v>21837</v>
      </c>
      <c r="E6116" s="72"/>
      <c r="F6116" s="72"/>
      <c r="G6116" s="72"/>
      <c r="H6116" s="22" t="s">
        <v>21838</v>
      </c>
      <c r="I6116" s="23" t="s">
        <v>36</v>
      </c>
      <c r="J6116" s="22"/>
      <c r="K6116" s="20">
        <v>7</v>
      </c>
      <c r="L6116" s="24">
        <v>89.89</v>
      </c>
      <c r="M6116" s="11"/>
      <c r="N6116" s="22">
        <f t="shared" ref="N6116:N6127" si="358">L6116*M6116</f>
        <v>0</v>
      </c>
      <c r="O6116" s="25">
        <f>0.054*M6116</f>
        <v>0</v>
      </c>
      <c r="P6116" s="26">
        <f>0.00003*M6116</f>
        <v>0</v>
      </c>
      <c r="Q6116" s="30"/>
      <c r="R6116" s="22" t="s">
        <v>21839</v>
      </c>
      <c r="S6116" s="22"/>
      <c r="T6116" s="21" t="str">
        <f>HYPERLINK("https://miland.ru/api/getInfo/image/fdeb5178-d369-11e8-a20d-ac1f6b442184")</f>
        <v>https://miland.ru/api/getInfo/image/fdeb5178-d369-11e8-a20d-ac1f6b442184</v>
      </c>
      <c r="U6116" s="21"/>
      <c r="V6116" s="21" t="s">
        <v>1818</v>
      </c>
      <c r="W6116" s="21" t="s">
        <v>1819</v>
      </c>
      <c r="X6116" s="21" t="s">
        <v>172</v>
      </c>
      <c r="Y6116" s="21" t="s">
        <v>477</v>
      </c>
      <c r="Z6116" s="21" t="s">
        <v>21840</v>
      </c>
      <c r="AA6116" s="21" t="str">
        <f>HYPERLINK("https://miland.ru/api/getInfo/item/fdeb5178-d369-11e8-a20d-ac1f6b442184")</f>
        <v>https://miland.ru/api/getInfo/item/fdeb5178-d369-11e8-a20d-ac1f6b442184</v>
      </c>
      <c r="AB6116" s="21" t="s">
        <v>50</v>
      </c>
      <c r="AC6116" s="21"/>
      <c r="AD6116" s="21"/>
    </row>
    <row r="6117" spans="2:30" s="1" customFormat="1" ht="96.3" customHeight="1" outlineLevel="5">
      <c r="B6117" s="57">
        <v>5017</v>
      </c>
      <c r="C6117" s="21" t="s">
        <v>21841</v>
      </c>
      <c r="D6117" s="72" t="s">
        <v>21842</v>
      </c>
      <c r="E6117" s="72"/>
      <c r="F6117" s="72"/>
      <c r="G6117" s="72"/>
      <c r="H6117" s="22" t="s">
        <v>21843</v>
      </c>
      <c r="I6117" s="23" t="s">
        <v>36</v>
      </c>
      <c r="J6117" s="22"/>
      <c r="K6117" s="20">
        <v>7</v>
      </c>
      <c r="L6117" s="24">
        <v>89.89</v>
      </c>
      <c r="M6117" s="11"/>
      <c r="N6117" s="22">
        <f t="shared" si="358"/>
        <v>0</v>
      </c>
      <c r="O6117" s="25">
        <f>0.045*M6117</f>
        <v>0</v>
      </c>
      <c r="P6117" s="26">
        <f>0.00006*M6117</f>
        <v>0</v>
      </c>
      <c r="Q6117" s="30"/>
      <c r="R6117" s="22" t="s">
        <v>21844</v>
      </c>
      <c r="S6117" s="22" t="s">
        <v>435</v>
      </c>
      <c r="T6117" s="21" t="str">
        <f>HYPERLINK("https://miland.ru/api/getInfo/image/5edc7a5f-d369-11e8-a20d-ac1f6b442184")</f>
        <v>https://miland.ru/api/getInfo/image/5edc7a5f-d369-11e8-a20d-ac1f6b442184</v>
      </c>
      <c r="U6117" s="21"/>
      <c r="V6117" s="21" t="s">
        <v>1818</v>
      </c>
      <c r="W6117" s="21" t="s">
        <v>1819</v>
      </c>
      <c r="X6117" s="21" t="s">
        <v>172</v>
      </c>
      <c r="Y6117" s="21" t="s">
        <v>477</v>
      </c>
      <c r="Z6117" s="21" t="s">
        <v>21845</v>
      </c>
      <c r="AA6117" s="21" t="str">
        <f>HYPERLINK("https://miland.ru/api/getInfo/item/5edc7a5f-d369-11e8-a20d-ac1f6b442184")</f>
        <v>https://miland.ru/api/getInfo/item/5edc7a5f-d369-11e8-a20d-ac1f6b442184</v>
      </c>
      <c r="AB6117" s="21" t="s">
        <v>50</v>
      </c>
      <c r="AC6117" s="21"/>
      <c r="AD6117" s="21"/>
    </row>
    <row r="6118" spans="2:30" s="1" customFormat="1" ht="96.3" customHeight="1" outlineLevel="5">
      <c r="B6118" s="57">
        <v>5018</v>
      </c>
      <c r="C6118" s="21" t="s">
        <v>21846</v>
      </c>
      <c r="D6118" s="72" t="s">
        <v>21847</v>
      </c>
      <c r="E6118" s="72"/>
      <c r="F6118" s="72"/>
      <c r="G6118" s="72"/>
      <c r="H6118" s="22" t="s">
        <v>21848</v>
      </c>
      <c r="I6118" s="23" t="s">
        <v>36</v>
      </c>
      <c r="J6118" s="22"/>
      <c r="K6118" s="20">
        <v>7</v>
      </c>
      <c r="L6118" s="24">
        <v>89.89</v>
      </c>
      <c r="M6118" s="11"/>
      <c r="N6118" s="22">
        <f t="shared" si="358"/>
        <v>0</v>
      </c>
      <c r="O6118" s="25">
        <f>0.065*M6118</f>
        <v>0</v>
      </c>
      <c r="P6118" s="26">
        <f>0.00014*M6118</f>
        <v>0</v>
      </c>
      <c r="Q6118" s="30"/>
      <c r="R6118" s="22" t="s">
        <v>21849</v>
      </c>
      <c r="S6118" s="22"/>
      <c r="T6118" s="21" t="str">
        <f>HYPERLINK("https://miland.ru/api/getInfo/image/a6aa38b5-d369-11e8-a20d-ac1f6b442184")</f>
        <v>https://miland.ru/api/getInfo/image/a6aa38b5-d369-11e8-a20d-ac1f6b442184</v>
      </c>
      <c r="U6118" s="21"/>
      <c r="V6118" s="21" t="s">
        <v>1818</v>
      </c>
      <c r="W6118" s="21" t="s">
        <v>1819</v>
      </c>
      <c r="X6118" s="21" t="s">
        <v>172</v>
      </c>
      <c r="Y6118" s="21" t="s">
        <v>477</v>
      </c>
      <c r="Z6118" s="21" t="s">
        <v>21850</v>
      </c>
      <c r="AA6118" s="21" t="str">
        <f>HYPERLINK("https://miland.ru/api/getInfo/item/a6aa38b5-d369-11e8-a20d-ac1f6b442184")</f>
        <v>https://miland.ru/api/getInfo/item/a6aa38b5-d369-11e8-a20d-ac1f6b442184</v>
      </c>
      <c r="AB6118" s="21" t="s">
        <v>50</v>
      </c>
      <c r="AC6118" s="21"/>
      <c r="AD6118" s="21"/>
    </row>
    <row r="6119" spans="2:30" s="1" customFormat="1" ht="96.3" customHeight="1" outlineLevel="5">
      <c r="B6119" s="57">
        <v>5019</v>
      </c>
      <c r="C6119" s="21" t="s">
        <v>21851</v>
      </c>
      <c r="D6119" s="72" t="s">
        <v>21852</v>
      </c>
      <c r="E6119" s="72"/>
      <c r="F6119" s="72"/>
      <c r="G6119" s="72"/>
      <c r="H6119" s="22" t="s">
        <v>21853</v>
      </c>
      <c r="I6119" s="23" t="s">
        <v>36</v>
      </c>
      <c r="J6119" s="22"/>
      <c r="K6119" s="20">
        <v>7</v>
      </c>
      <c r="L6119" s="24">
        <v>89.89</v>
      </c>
      <c r="M6119" s="11"/>
      <c r="N6119" s="22">
        <f t="shared" si="358"/>
        <v>0</v>
      </c>
      <c r="O6119" s="25">
        <f>0.038*M6119</f>
        <v>0</v>
      </c>
      <c r="P6119" s="26">
        <f>0.00008*M6119</f>
        <v>0</v>
      </c>
      <c r="Q6119" s="30"/>
      <c r="R6119" s="22" t="s">
        <v>21854</v>
      </c>
      <c r="S6119" s="22"/>
      <c r="T6119" s="21" t="str">
        <f>HYPERLINK("https://miland.ru/api/getInfo/image/6d2d3b29-be6c-11e9-a22f-ac1f6b442184")</f>
        <v>https://miland.ru/api/getInfo/image/6d2d3b29-be6c-11e9-a22f-ac1f6b442184</v>
      </c>
      <c r="U6119" s="21"/>
      <c r="V6119" s="21" t="s">
        <v>1818</v>
      </c>
      <c r="W6119" s="21" t="s">
        <v>1819</v>
      </c>
      <c r="X6119" s="21" t="s">
        <v>172</v>
      </c>
      <c r="Y6119" s="21" t="s">
        <v>477</v>
      </c>
      <c r="Z6119" s="21" t="s">
        <v>21855</v>
      </c>
      <c r="AA6119" s="21" t="str">
        <f>HYPERLINK("https://miland.ru/api/getInfo/item/6d2d3b29-be6c-11e9-a22f-ac1f6b442184")</f>
        <v>https://miland.ru/api/getInfo/item/6d2d3b29-be6c-11e9-a22f-ac1f6b442184</v>
      </c>
      <c r="AB6119" s="21" t="s">
        <v>50</v>
      </c>
      <c r="AC6119" s="21"/>
      <c r="AD6119" s="21"/>
    </row>
    <row r="6120" spans="2:30" s="1" customFormat="1" ht="96.3" customHeight="1" outlineLevel="5">
      <c r="B6120" s="57">
        <v>5020</v>
      </c>
      <c r="C6120" s="21" t="s">
        <v>21856</v>
      </c>
      <c r="D6120" s="72" t="s">
        <v>21857</v>
      </c>
      <c r="E6120" s="72"/>
      <c r="F6120" s="72"/>
      <c r="G6120" s="72"/>
      <c r="H6120" s="22" t="s">
        <v>21858</v>
      </c>
      <c r="I6120" s="23" t="s">
        <v>36</v>
      </c>
      <c r="J6120" s="22"/>
      <c r="K6120" s="20">
        <v>7</v>
      </c>
      <c r="L6120" s="24">
        <v>89.89</v>
      </c>
      <c r="M6120" s="11"/>
      <c r="N6120" s="22">
        <f t="shared" si="358"/>
        <v>0</v>
      </c>
      <c r="O6120" s="28">
        <f>0.04*M6120</f>
        <v>0</v>
      </c>
      <c r="P6120" s="26">
        <f>0.00008*M6120</f>
        <v>0</v>
      </c>
      <c r="Q6120" s="30"/>
      <c r="R6120" s="22" t="s">
        <v>21859</v>
      </c>
      <c r="S6120" s="22"/>
      <c r="T6120" s="21" t="str">
        <f>HYPERLINK("https://miland.ru/api/getInfo/image/0da2d5e2-be6c-11e9-a22f-ac1f6b442184")</f>
        <v>https://miland.ru/api/getInfo/image/0da2d5e2-be6c-11e9-a22f-ac1f6b442184</v>
      </c>
      <c r="U6120" s="21"/>
      <c r="V6120" s="21" t="s">
        <v>1818</v>
      </c>
      <c r="W6120" s="21" t="s">
        <v>1819</v>
      </c>
      <c r="X6120" s="21" t="s">
        <v>172</v>
      </c>
      <c r="Y6120" s="21" t="s">
        <v>477</v>
      </c>
      <c r="Z6120" s="21" t="s">
        <v>21860</v>
      </c>
      <c r="AA6120" s="21" t="str">
        <f>HYPERLINK("https://miland.ru/api/getInfo/item/0da2d5e2-be6c-11e9-a22f-ac1f6b442184")</f>
        <v>https://miland.ru/api/getInfo/item/0da2d5e2-be6c-11e9-a22f-ac1f6b442184</v>
      </c>
      <c r="AB6120" s="21" t="s">
        <v>50</v>
      </c>
      <c r="AC6120" s="21"/>
      <c r="AD6120" s="21"/>
    </row>
    <row r="6121" spans="2:30" s="1" customFormat="1" ht="96.3" customHeight="1" outlineLevel="5">
      <c r="B6121" s="57">
        <v>5021</v>
      </c>
      <c r="C6121" s="21" t="s">
        <v>21861</v>
      </c>
      <c r="D6121" s="72" t="s">
        <v>21862</v>
      </c>
      <c r="E6121" s="72"/>
      <c r="F6121" s="72"/>
      <c r="G6121" s="72"/>
      <c r="H6121" s="22" t="s">
        <v>21863</v>
      </c>
      <c r="I6121" s="23" t="s">
        <v>36</v>
      </c>
      <c r="J6121" s="22"/>
      <c r="K6121" s="20">
        <v>7</v>
      </c>
      <c r="L6121" s="24">
        <v>89.89</v>
      </c>
      <c r="M6121" s="11"/>
      <c r="N6121" s="22">
        <f t="shared" si="358"/>
        <v>0</v>
      </c>
      <c r="O6121" s="28">
        <f>0.04*M6121</f>
        <v>0</v>
      </c>
      <c r="P6121" s="26">
        <f>0.00008*M6121</f>
        <v>0</v>
      </c>
      <c r="Q6121" s="30"/>
      <c r="R6121" s="22" t="s">
        <v>21864</v>
      </c>
      <c r="S6121" s="22" t="s">
        <v>435</v>
      </c>
      <c r="T6121" s="21" t="str">
        <f>HYPERLINK("https://miland.ru/api/getInfo/image/893fcc12-be6c-11e9-a22f-ac1f6b442184")</f>
        <v>https://miland.ru/api/getInfo/image/893fcc12-be6c-11e9-a22f-ac1f6b442184</v>
      </c>
      <c r="U6121" s="21"/>
      <c r="V6121" s="21" t="s">
        <v>1818</v>
      </c>
      <c r="W6121" s="21" t="s">
        <v>1819</v>
      </c>
      <c r="X6121" s="21" t="s">
        <v>172</v>
      </c>
      <c r="Y6121" s="21" t="s">
        <v>477</v>
      </c>
      <c r="Z6121" s="21" t="s">
        <v>21865</v>
      </c>
      <c r="AA6121" s="21" t="str">
        <f>HYPERLINK("https://miland.ru/api/getInfo/item/893fcc12-be6c-11e9-a22f-ac1f6b442184")</f>
        <v>https://miland.ru/api/getInfo/item/893fcc12-be6c-11e9-a22f-ac1f6b442184</v>
      </c>
      <c r="AB6121" s="21" t="s">
        <v>50</v>
      </c>
      <c r="AC6121" s="21"/>
      <c r="AD6121" s="21"/>
    </row>
    <row r="6122" spans="2:30" s="1" customFormat="1" ht="96.3" customHeight="1" outlineLevel="5">
      <c r="B6122" s="57">
        <v>5022</v>
      </c>
      <c r="C6122" s="21" t="s">
        <v>21866</v>
      </c>
      <c r="D6122" s="72" t="s">
        <v>21867</v>
      </c>
      <c r="E6122" s="72"/>
      <c r="F6122" s="72"/>
      <c r="G6122" s="72"/>
      <c r="H6122" s="22" t="s">
        <v>21868</v>
      </c>
      <c r="I6122" s="23" t="s">
        <v>36</v>
      </c>
      <c r="J6122" s="22"/>
      <c r="K6122" s="20">
        <v>7</v>
      </c>
      <c r="L6122" s="24">
        <v>89.89</v>
      </c>
      <c r="M6122" s="11"/>
      <c r="N6122" s="22">
        <f t="shared" si="358"/>
        <v>0</v>
      </c>
      <c r="O6122" s="25">
        <f>0.046*M6122</f>
        <v>0</v>
      </c>
      <c r="P6122" s="26">
        <f>0.00013*M6122</f>
        <v>0</v>
      </c>
      <c r="Q6122" s="30"/>
      <c r="R6122" s="22" t="s">
        <v>21869</v>
      </c>
      <c r="S6122" s="22"/>
      <c r="T6122" s="21" t="str">
        <f>HYPERLINK("https://miland.ru/api/getInfo/image/9f2f0b10-be6c-11e9-a22f-ac1f6b442184")</f>
        <v>https://miland.ru/api/getInfo/image/9f2f0b10-be6c-11e9-a22f-ac1f6b442184</v>
      </c>
      <c r="U6122" s="21"/>
      <c r="V6122" s="21" t="s">
        <v>1818</v>
      </c>
      <c r="W6122" s="21" t="s">
        <v>1819</v>
      </c>
      <c r="X6122" s="21" t="s">
        <v>172</v>
      </c>
      <c r="Y6122" s="21" t="s">
        <v>477</v>
      </c>
      <c r="Z6122" s="21" t="s">
        <v>21870</v>
      </c>
      <c r="AA6122" s="21" t="str">
        <f>HYPERLINK("https://miland.ru/api/getInfo/item/9f2f0b10-be6c-11e9-a22f-ac1f6b442184")</f>
        <v>https://miland.ru/api/getInfo/item/9f2f0b10-be6c-11e9-a22f-ac1f6b442184</v>
      </c>
      <c r="AB6122" s="21" t="s">
        <v>50</v>
      </c>
      <c r="AC6122" s="21"/>
      <c r="AD6122" s="21"/>
    </row>
    <row r="6123" spans="2:30" s="1" customFormat="1" ht="96.3" customHeight="1" outlineLevel="5">
      <c r="B6123" s="57">
        <v>5023</v>
      </c>
      <c r="C6123" s="21" t="s">
        <v>21871</v>
      </c>
      <c r="D6123" s="72" t="s">
        <v>21872</v>
      </c>
      <c r="E6123" s="72"/>
      <c r="F6123" s="72"/>
      <c r="G6123" s="72"/>
      <c r="H6123" s="22" t="s">
        <v>21873</v>
      </c>
      <c r="I6123" s="23" t="s">
        <v>36</v>
      </c>
      <c r="J6123" s="22"/>
      <c r="K6123" s="20">
        <v>7</v>
      </c>
      <c r="L6123" s="24">
        <v>89.89</v>
      </c>
      <c r="M6123" s="11"/>
      <c r="N6123" s="22">
        <f t="shared" si="358"/>
        <v>0</v>
      </c>
      <c r="O6123" s="25">
        <f>0.049*M6123</f>
        <v>0</v>
      </c>
      <c r="P6123" s="26">
        <f>0.00013*M6123</f>
        <v>0</v>
      </c>
      <c r="Q6123" s="30"/>
      <c r="R6123" s="22" t="s">
        <v>21874</v>
      </c>
      <c r="S6123" s="22"/>
      <c r="T6123" s="21" t="str">
        <f>HYPERLINK("https://miland.ru/api/getInfo/image/fd430b3e-d366-11e8-a20d-ac1f6b442184")</f>
        <v>https://miland.ru/api/getInfo/image/fd430b3e-d366-11e8-a20d-ac1f6b442184</v>
      </c>
      <c r="U6123" s="21"/>
      <c r="V6123" s="21" t="s">
        <v>1818</v>
      </c>
      <c r="W6123" s="21" t="s">
        <v>1819</v>
      </c>
      <c r="X6123" s="21" t="s">
        <v>172</v>
      </c>
      <c r="Y6123" s="21" t="s">
        <v>477</v>
      </c>
      <c r="Z6123" s="21" t="s">
        <v>21875</v>
      </c>
      <c r="AA6123" s="21" t="str">
        <f>HYPERLINK("https://miland.ru/api/getInfo/item/fd430b3e-d366-11e8-a20d-ac1f6b442184")</f>
        <v>https://miland.ru/api/getInfo/item/fd430b3e-d366-11e8-a20d-ac1f6b442184</v>
      </c>
      <c r="AB6123" s="21" t="s">
        <v>50</v>
      </c>
      <c r="AC6123" s="21"/>
      <c r="AD6123" s="21"/>
    </row>
    <row r="6124" spans="2:30" s="1" customFormat="1" ht="96.3" customHeight="1" outlineLevel="5">
      <c r="B6124" s="57">
        <v>5024</v>
      </c>
      <c r="C6124" s="21" t="s">
        <v>21876</v>
      </c>
      <c r="D6124" s="72" t="s">
        <v>21877</v>
      </c>
      <c r="E6124" s="72"/>
      <c r="F6124" s="72"/>
      <c r="G6124" s="72"/>
      <c r="H6124" s="22" t="s">
        <v>21878</v>
      </c>
      <c r="I6124" s="23" t="s">
        <v>36</v>
      </c>
      <c r="J6124" s="22"/>
      <c r="K6124" s="20">
        <v>7</v>
      </c>
      <c r="L6124" s="24">
        <v>89.89</v>
      </c>
      <c r="M6124" s="11"/>
      <c r="N6124" s="22">
        <f t="shared" si="358"/>
        <v>0</v>
      </c>
      <c r="O6124" s="28">
        <f>0.04*M6124</f>
        <v>0</v>
      </c>
      <c r="P6124" s="26">
        <f>0.00008*M6124</f>
        <v>0</v>
      </c>
      <c r="Q6124" s="30"/>
      <c r="R6124" s="22" t="s">
        <v>21879</v>
      </c>
      <c r="S6124" s="22" t="s">
        <v>435</v>
      </c>
      <c r="T6124" s="21" t="str">
        <f>HYPERLINK("https://miland.ru/api/getInfo/image/4890933a-d368-11e8-a20d-ac1f6b442184")</f>
        <v>https://miland.ru/api/getInfo/image/4890933a-d368-11e8-a20d-ac1f6b442184</v>
      </c>
      <c r="U6124" s="21"/>
      <c r="V6124" s="21" t="s">
        <v>1818</v>
      </c>
      <c r="W6124" s="21" t="s">
        <v>1819</v>
      </c>
      <c r="X6124" s="21" t="s">
        <v>172</v>
      </c>
      <c r="Y6124" s="21" t="s">
        <v>477</v>
      </c>
      <c r="Z6124" s="21" t="s">
        <v>21880</v>
      </c>
      <c r="AA6124" s="21" t="str">
        <f>HYPERLINK("https://miland.ru/api/getInfo/item/4890933a-d368-11e8-a20d-ac1f6b442184")</f>
        <v>https://miland.ru/api/getInfo/item/4890933a-d368-11e8-a20d-ac1f6b442184</v>
      </c>
      <c r="AB6124" s="21" t="s">
        <v>50</v>
      </c>
      <c r="AC6124" s="21"/>
      <c r="AD6124" s="21"/>
    </row>
    <row r="6125" spans="2:30" s="1" customFormat="1" ht="96.3" customHeight="1" outlineLevel="5">
      <c r="B6125" s="57">
        <v>5025</v>
      </c>
      <c r="C6125" s="21" t="s">
        <v>21881</v>
      </c>
      <c r="D6125" s="72" t="s">
        <v>21882</v>
      </c>
      <c r="E6125" s="72"/>
      <c r="F6125" s="72"/>
      <c r="G6125" s="72"/>
      <c r="H6125" s="22" t="s">
        <v>21883</v>
      </c>
      <c r="I6125" s="23" t="s">
        <v>36</v>
      </c>
      <c r="J6125" s="22"/>
      <c r="K6125" s="20">
        <v>7</v>
      </c>
      <c r="L6125" s="24">
        <v>89.89</v>
      </c>
      <c r="M6125" s="11"/>
      <c r="N6125" s="22">
        <f t="shared" si="358"/>
        <v>0</v>
      </c>
      <c r="O6125" s="25">
        <f>0.045*M6125</f>
        <v>0</v>
      </c>
      <c r="P6125" s="26">
        <f>0.00006*M6125</f>
        <v>0</v>
      </c>
      <c r="Q6125" s="30"/>
      <c r="R6125" s="22" t="s">
        <v>21884</v>
      </c>
      <c r="S6125" s="22" t="s">
        <v>435</v>
      </c>
      <c r="T6125" s="21" t="str">
        <f>HYPERLINK("https://miland.ru/api/getInfo/image/a4295da8-d368-11e8-a20d-ac1f6b442184")</f>
        <v>https://miland.ru/api/getInfo/image/a4295da8-d368-11e8-a20d-ac1f6b442184</v>
      </c>
      <c r="U6125" s="21"/>
      <c r="V6125" s="21" t="s">
        <v>1818</v>
      </c>
      <c r="W6125" s="21" t="s">
        <v>1819</v>
      </c>
      <c r="X6125" s="21" t="s">
        <v>172</v>
      </c>
      <c r="Y6125" s="21" t="s">
        <v>477</v>
      </c>
      <c r="Z6125" s="21" t="s">
        <v>21885</v>
      </c>
      <c r="AA6125" s="21" t="str">
        <f>HYPERLINK("https://miland.ru/api/getInfo/item/a4295da8-d368-11e8-a20d-ac1f6b442184")</f>
        <v>https://miland.ru/api/getInfo/item/a4295da8-d368-11e8-a20d-ac1f6b442184</v>
      </c>
      <c r="AB6125" s="21" t="s">
        <v>50</v>
      </c>
      <c r="AC6125" s="21"/>
      <c r="AD6125" s="21"/>
    </row>
    <row r="6126" spans="2:30" s="1" customFormat="1" ht="96.3" customHeight="1" outlineLevel="5">
      <c r="B6126" s="57">
        <v>5026</v>
      </c>
      <c r="C6126" s="21" t="s">
        <v>21886</v>
      </c>
      <c r="D6126" s="72" t="s">
        <v>21887</v>
      </c>
      <c r="E6126" s="72"/>
      <c r="F6126" s="72"/>
      <c r="G6126" s="72"/>
      <c r="H6126" s="22" t="s">
        <v>21888</v>
      </c>
      <c r="I6126" s="23" t="s">
        <v>36</v>
      </c>
      <c r="J6126" s="22"/>
      <c r="K6126" s="20">
        <v>7</v>
      </c>
      <c r="L6126" s="24">
        <v>89.89</v>
      </c>
      <c r="M6126" s="11"/>
      <c r="N6126" s="22">
        <f t="shared" si="358"/>
        <v>0</v>
      </c>
      <c r="O6126" s="25">
        <f>0.045*M6126</f>
        <v>0</v>
      </c>
      <c r="P6126" s="26">
        <f>0.00006*M6126</f>
        <v>0</v>
      </c>
      <c r="Q6126" s="30"/>
      <c r="R6126" s="22" t="s">
        <v>21889</v>
      </c>
      <c r="S6126" s="22"/>
      <c r="T6126" s="21" t="str">
        <f>HYPERLINK("https://miland.ru/api/getInfo/image/87d41ee6-d365-11e8-a20d-ac1f6b442184")</f>
        <v>https://miland.ru/api/getInfo/image/87d41ee6-d365-11e8-a20d-ac1f6b442184</v>
      </c>
      <c r="U6126" s="21"/>
      <c r="V6126" s="21" t="s">
        <v>1818</v>
      </c>
      <c r="W6126" s="21" t="s">
        <v>1819</v>
      </c>
      <c r="X6126" s="21" t="s">
        <v>172</v>
      </c>
      <c r="Y6126" s="21" t="s">
        <v>477</v>
      </c>
      <c r="Z6126" s="21" t="s">
        <v>21890</v>
      </c>
      <c r="AA6126" s="21" t="str">
        <f>HYPERLINK("https://miland.ru/api/getInfo/item/87d41ee6-d365-11e8-a20d-ac1f6b442184")</f>
        <v>https://miland.ru/api/getInfo/item/87d41ee6-d365-11e8-a20d-ac1f6b442184</v>
      </c>
      <c r="AB6126" s="21" t="s">
        <v>50</v>
      </c>
      <c r="AC6126" s="21"/>
      <c r="AD6126" s="21"/>
    </row>
    <row r="6127" spans="2:30" s="1" customFormat="1" ht="96.3" customHeight="1" outlineLevel="5">
      <c r="B6127" s="57">
        <v>5027</v>
      </c>
      <c r="C6127" s="21" t="s">
        <v>21891</v>
      </c>
      <c r="D6127" s="72" t="s">
        <v>21892</v>
      </c>
      <c r="E6127" s="72"/>
      <c r="F6127" s="72"/>
      <c r="G6127" s="72"/>
      <c r="H6127" s="22" t="s">
        <v>21893</v>
      </c>
      <c r="I6127" s="23" t="s">
        <v>36</v>
      </c>
      <c r="J6127" s="22"/>
      <c r="K6127" s="20">
        <v>7</v>
      </c>
      <c r="L6127" s="24">
        <v>89.89</v>
      </c>
      <c r="M6127" s="11"/>
      <c r="N6127" s="22">
        <f t="shared" si="358"/>
        <v>0</v>
      </c>
      <c r="O6127" s="25">
        <f>0.045*M6127</f>
        <v>0</v>
      </c>
      <c r="P6127" s="26">
        <f>0.00006*M6127</f>
        <v>0</v>
      </c>
      <c r="Q6127" s="30"/>
      <c r="R6127" s="22" t="s">
        <v>21894</v>
      </c>
      <c r="S6127" s="22"/>
      <c r="T6127" s="21" t="str">
        <f>HYPERLINK("https://miland.ru/api/getInfo/image/14e86846-d369-11e8-a20d-ac1f6b442184")</f>
        <v>https://miland.ru/api/getInfo/image/14e86846-d369-11e8-a20d-ac1f6b442184</v>
      </c>
      <c r="U6127" s="21"/>
      <c r="V6127" s="21" t="s">
        <v>1818</v>
      </c>
      <c r="W6127" s="21" t="s">
        <v>1819</v>
      </c>
      <c r="X6127" s="21" t="s">
        <v>172</v>
      </c>
      <c r="Y6127" s="21" t="s">
        <v>477</v>
      </c>
      <c r="Z6127" s="21" t="s">
        <v>21895</v>
      </c>
      <c r="AA6127" s="21" t="str">
        <f>HYPERLINK("https://miland.ru/api/getInfo/item/14e86846-d369-11e8-a20d-ac1f6b442184")</f>
        <v>https://miland.ru/api/getInfo/item/14e86846-d369-11e8-a20d-ac1f6b442184</v>
      </c>
      <c r="AB6127" s="21" t="s">
        <v>50</v>
      </c>
      <c r="AC6127" s="21"/>
      <c r="AD6127" s="21"/>
    </row>
    <row r="6128" spans="2:30" ht="12" customHeight="1" outlineLevel="4">
      <c r="B6128" s="70" t="s">
        <v>21896</v>
      </c>
      <c r="C6128" s="70"/>
      <c r="D6128" s="70"/>
      <c r="E6128" s="70"/>
      <c r="F6128" s="70"/>
      <c r="G6128" s="70"/>
    </row>
    <row r="6129" spans="2:30" s="1" customFormat="1" ht="96.3" customHeight="1" outlineLevel="5">
      <c r="B6129" s="57">
        <v>5028</v>
      </c>
      <c r="C6129" s="21" t="s">
        <v>21897</v>
      </c>
      <c r="D6129" s="72" t="s">
        <v>21898</v>
      </c>
      <c r="E6129" s="72"/>
      <c r="F6129" s="72"/>
      <c r="G6129" s="72"/>
      <c r="H6129" s="22" t="s">
        <v>21899</v>
      </c>
      <c r="I6129" s="23" t="s">
        <v>36</v>
      </c>
      <c r="J6129" s="22"/>
      <c r="K6129" s="20">
        <v>6</v>
      </c>
      <c r="L6129" s="24">
        <v>108.71</v>
      </c>
      <c r="M6129" s="11"/>
      <c r="N6129" s="22">
        <f t="shared" ref="N6129:N6163" si="359">L6129*M6129</f>
        <v>0</v>
      </c>
      <c r="O6129" s="25">
        <f>0.065*M6129</f>
        <v>0</v>
      </c>
      <c r="P6129" s="26">
        <f>0.00012*M6129</f>
        <v>0</v>
      </c>
      <c r="Q6129" s="30"/>
      <c r="R6129" s="22" t="s">
        <v>21900</v>
      </c>
      <c r="S6129" s="22"/>
      <c r="T6129" s="21" t="str">
        <f>HYPERLINK("https://miland.ru/api/getInfo/image/608dad14-bd43-11e7-9a2b-5cf3fc4a2490")</f>
        <v>https://miland.ru/api/getInfo/image/608dad14-bd43-11e7-9a2b-5cf3fc4a2490</v>
      </c>
      <c r="U6129" s="21"/>
      <c r="V6129" s="21" t="s">
        <v>1818</v>
      </c>
      <c r="W6129" s="21" t="s">
        <v>1819</v>
      </c>
      <c r="X6129" s="21" t="s">
        <v>172</v>
      </c>
      <c r="Y6129" s="21" t="s">
        <v>477</v>
      </c>
      <c r="Z6129" s="21" t="s">
        <v>21901</v>
      </c>
      <c r="AA6129" s="21" t="str">
        <f>HYPERLINK("https://miland.ru/api/getInfo/item/608dad14-bd43-11e7-9a2b-5cf3fc4a2490")</f>
        <v>https://miland.ru/api/getInfo/item/608dad14-bd43-11e7-9a2b-5cf3fc4a2490</v>
      </c>
      <c r="AB6129" s="21" t="s">
        <v>50</v>
      </c>
      <c r="AC6129" s="21" t="s">
        <v>21902</v>
      </c>
      <c r="AD6129" s="21"/>
    </row>
    <row r="6130" spans="2:30" s="1" customFormat="1" ht="96.3" customHeight="1" outlineLevel="5">
      <c r="B6130" s="57">
        <v>5029</v>
      </c>
      <c r="C6130" s="21" t="s">
        <v>21903</v>
      </c>
      <c r="D6130" s="72" t="s">
        <v>21904</v>
      </c>
      <c r="E6130" s="72"/>
      <c r="F6130" s="72"/>
      <c r="G6130" s="72"/>
      <c r="H6130" s="22" t="s">
        <v>21899</v>
      </c>
      <c r="I6130" s="23" t="s">
        <v>36</v>
      </c>
      <c r="J6130" s="22"/>
      <c r="K6130" s="20">
        <v>12</v>
      </c>
      <c r="L6130" s="24">
        <v>89.89</v>
      </c>
      <c r="M6130" s="11"/>
      <c r="N6130" s="22">
        <f t="shared" si="359"/>
        <v>0</v>
      </c>
      <c r="O6130" s="25">
        <f>0.006*M6130</f>
        <v>0</v>
      </c>
      <c r="P6130" s="26">
        <f>0.00011*M6130</f>
        <v>0</v>
      </c>
      <c r="Q6130" s="30"/>
      <c r="R6130" s="22"/>
      <c r="S6130" s="22"/>
      <c r="T6130" s="21" t="str">
        <f>HYPERLINK("https://miland.ru/api/getInfo/image/608dad14-bd43-11e7-9a2b-5cf3fc4a2490")</f>
        <v>https://miland.ru/api/getInfo/image/608dad14-bd43-11e7-9a2b-5cf3fc4a2490</v>
      </c>
      <c r="U6130" s="21"/>
      <c r="V6130" s="21"/>
      <c r="W6130" s="21"/>
      <c r="X6130" s="21" t="s">
        <v>172</v>
      </c>
      <c r="Y6130" s="21" t="s">
        <v>477</v>
      </c>
      <c r="Z6130" s="21" t="s">
        <v>21901</v>
      </c>
      <c r="AA6130" s="21" t="str">
        <f>HYPERLINK("https://miland.ru/api/getInfo/item/608dad14-bd43-11e7-9a2b-5cf3fc4a2490")</f>
        <v>https://miland.ru/api/getInfo/item/608dad14-bd43-11e7-9a2b-5cf3fc4a2490</v>
      </c>
      <c r="AB6130" s="21" t="s">
        <v>50</v>
      </c>
      <c r="AC6130" s="21" t="s">
        <v>21902</v>
      </c>
      <c r="AD6130" s="21" t="s">
        <v>21900</v>
      </c>
    </row>
    <row r="6131" spans="2:30" s="1" customFormat="1" ht="96.3" customHeight="1" outlineLevel="5">
      <c r="B6131" s="57">
        <v>5030</v>
      </c>
      <c r="C6131" s="21" t="s">
        <v>21905</v>
      </c>
      <c r="D6131" s="72" t="s">
        <v>21906</v>
      </c>
      <c r="E6131" s="72"/>
      <c r="F6131" s="72"/>
      <c r="G6131" s="72"/>
      <c r="H6131" s="22" t="s">
        <v>21907</v>
      </c>
      <c r="I6131" s="23" t="s">
        <v>36</v>
      </c>
      <c r="J6131" s="22"/>
      <c r="K6131" s="20">
        <v>6</v>
      </c>
      <c r="L6131" s="24">
        <v>108.71</v>
      </c>
      <c r="M6131" s="11"/>
      <c r="N6131" s="22">
        <f t="shared" si="359"/>
        <v>0</v>
      </c>
      <c r="O6131" s="25">
        <f>0.022*M6131</f>
        <v>0</v>
      </c>
      <c r="P6131" s="26">
        <f>0.00011*M6131</f>
        <v>0</v>
      </c>
      <c r="Q6131" s="30"/>
      <c r="R6131" s="22" t="s">
        <v>21908</v>
      </c>
      <c r="S6131" s="22" t="s">
        <v>435</v>
      </c>
      <c r="T6131" s="21" t="str">
        <f>HYPERLINK("https://miland.ru/api/getInfo/image/8d501ead-6888-11e7-977d-5cf3fc4a2490")</f>
        <v>https://miland.ru/api/getInfo/image/8d501ead-6888-11e7-977d-5cf3fc4a2490</v>
      </c>
      <c r="U6131" s="21"/>
      <c r="V6131" s="21" t="s">
        <v>1818</v>
      </c>
      <c r="W6131" s="21" t="s">
        <v>1819</v>
      </c>
      <c r="X6131" s="21" t="s">
        <v>172</v>
      </c>
      <c r="Y6131" s="21" t="s">
        <v>477</v>
      </c>
      <c r="Z6131" s="21" t="s">
        <v>21909</v>
      </c>
      <c r="AA6131" s="21" t="str">
        <f>HYPERLINK("https://miland.ru/api/getInfo/item/8d501ead-6888-11e7-977d-5cf3fc4a2490")</f>
        <v>https://miland.ru/api/getInfo/item/8d501ead-6888-11e7-977d-5cf3fc4a2490</v>
      </c>
      <c r="AB6131" s="21" t="s">
        <v>50</v>
      </c>
      <c r="AC6131" s="21" t="s">
        <v>21910</v>
      </c>
      <c r="AD6131" s="21"/>
    </row>
    <row r="6132" spans="2:30" s="1" customFormat="1" ht="96.3" customHeight="1" outlineLevel="5">
      <c r="B6132" s="57">
        <v>5031</v>
      </c>
      <c r="C6132" s="21" t="s">
        <v>21911</v>
      </c>
      <c r="D6132" s="72" t="s">
        <v>21912</v>
      </c>
      <c r="E6132" s="72"/>
      <c r="F6132" s="72"/>
      <c r="G6132" s="72"/>
      <c r="H6132" s="22" t="s">
        <v>21913</v>
      </c>
      <c r="I6132" s="23" t="s">
        <v>36</v>
      </c>
      <c r="J6132" s="22"/>
      <c r="K6132" s="20">
        <v>6</v>
      </c>
      <c r="L6132" s="24">
        <v>108.71</v>
      </c>
      <c r="M6132" s="11"/>
      <c r="N6132" s="22">
        <f t="shared" si="359"/>
        <v>0</v>
      </c>
      <c r="O6132" s="28">
        <f>0.04*M6132</f>
        <v>0</v>
      </c>
      <c r="P6132" s="26">
        <f>0.00011*M6132</f>
        <v>0</v>
      </c>
      <c r="Q6132" s="30"/>
      <c r="R6132" s="22" t="s">
        <v>21914</v>
      </c>
      <c r="S6132" s="22"/>
      <c r="T6132" s="21" t="str">
        <f>HYPERLINK("https://miland.ru/api/getInfo/image/f4a488e1-3fb2-11e7-977d-5cf3fc4a2490")</f>
        <v>https://miland.ru/api/getInfo/image/f4a488e1-3fb2-11e7-977d-5cf3fc4a2490</v>
      </c>
      <c r="U6132" s="21"/>
      <c r="V6132" s="21" t="s">
        <v>1818</v>
      </c>
      <c r="W6132" s="21" t="s">
        <v>1819</v>
      </c>
      <c r="X6132" s="21" t="s">
        <v>172</v>
      </c>
      <c r="Y6132" s="21" t="s">
        <v>477</v>
      </c>
      <c r="Z6132" s="21" t="s">
        <v>21915</v>
      </c>
      <c r="AA6132" s="21" t="str">
        <f>HYPERLINK("https://miland.ru/api/getInfo/item/f4a488e1-3fb2-11e7-977d-5cf3fc4a2490")</f>
        <v>https://miland.ru/api/getInfo/item/f4a488e1-3fb2-11e7-977d-5cf3fc4a2490</v>
      </c>
      <c r="AB6132" s="21" t="s">
        <v>50</v>
      </c>
      <c r="AC6132" s="21" t="s">
        <v>21910</v>
      </c>
      <c r="AD6132" s="21"/>
    </row>
    <row r="6133" spans="2:30" s="1" customFormat="1" ht="96.3" customHeight="1" outlineLevel="5">
      <c r="B6133" s="57">
        <v>5032</v>
      </c>
      <c r="C6133" s="21" t="s">
        <v>21916</v>
      </c>
      <c r="D6133" s="72" t="s">
        <v>21917</v>
      </c>
      <c r="E6133" s="72"/>
      <c r="F6133" s="72"/>
      <c r="G6133" s="72"/>
      <c r="H6133" s="22" t="s">
        <v>21918</v>
      </c>
      <c r="I6133" s="23" t="s">
        <v>36</v>
      </c>
      <c r="J6133" s="22"/>
      <c r="K6133" s="20">
        <v>6</v>
      </c>
      <c r="L6133" s="24">
        <v>108.71</v>
      </c>
      <c r="M6133" s="11"/>
      <c r="N6133" s="22">
        <f t="shared" si="359"/>
        <v>0</v>
      </c>
      <c r="O6133" s="28">
        <f>0.04*M6133</f>
        <v>0</v>
      </c>
      <c r="P6133" s="26">
        <f>0.00011*M6133</f>
        <v>0</v>
      </c>
      <c r="Q6133" s="30"/>
      <c r="R6133" s="22" t="s">
        <v>21919</v>
      </c>
      <c r="S6133" s="22" t="s">
        <v>435</v>
      </c>
      <c r="T6133" s="21" t="str">
        <f>HYPERLINK("https://miland.ru/api/getInfo/image/ed6638eb-3fb2-11e7-977d-5cf3fc4a2490")</f>
        <v>https://miland.ru/api/getInfo/image/ed6638eb-3fb2-11e7-977d-5cf3fc4a2490</v>
      </c>
      <c r="U6133" s="21"/>
      <c r="V6133" s="21" t="s">
        <v>1818</v>
      </c>
      <c r="W6133" s="21" t="s">
        <v>1819</v>
      </c>
      <c r="X6133" s="21" t="s">
        <v>172</v>
      </c>
      <c r="Y6133" s="21" t="s">
        <v>477</v>
      </c>
      <c r="Z6133" s="21" t="s">
        <v>21920</v>
      </c>
      <c r="AA6133" s="21" t="str">
        <f>HYPERLINK("https://miland.ru/api/getInfo/item/ed6638eb-3fb2-11e7-977d-5cf3fc4a2490")</f>
        <v>https://miland.ru/api/getInfo/item/ed6638eb-3fb2-11e7-977d-5cf3fc4a2490</v>
      </c>
      <c r="AB6133" s="21" t="s">
        <v>50</v>
      </c>
      <c r="AC6133" s="21" t="s">
        <v>21910</v>
      </c>
      <c r="AD6133" s="21"/>
    </row>
    <row r="6134" spans="2:30" s="1" customFormat="1" ht="96.3" customHeight="1" outlineLevel="5">
      <c r="B6134" s="57">
        <v>5033</v>
      </c>
      <c r="C6134" s="21" t="s">
        <v>21921</v>
      </c>
      <c r="D6134" s="72" t="s">
        <v>21922</v>
      </c>
      <c r="E6134" s="72"/>
      <c r="F6134" s="72"/>
      <c r="G6134" s="72"/>
      <c r="H6134" s="22" t="s">
        <v>21923</v>
      </c>
      <c r="I6134" s="23" t="s">
        <v>36</v>
      </c>
      <c r="J6134" s="22"/>
      <c r="K6134" s="20">
        <v>6</v>
      </c>
      <c r="L6134" s="24">
        <v>108.71</v>
      </c>
      <c r="M6134" s="11"/>
      <c r="N6134" s="22">
        <f t="shared" si="359"/>
        <v>0</v>
      </c>
      <c r="O6134" s="28">
        <f>0.06*M6134</f>
        <v>0</v>
      </c>
      <c r="P6134" s="26">
        <f>0.00011*M6134</f>
        <v>0</v>
      </c>
      <c r="Q6134" s="30"/>
      <c r="R6134" s="22" t="s">
        <v>21924</v>
      </c>
      <c r="S6134" s="22" t="s">
        <v>435</v>
      </c>
      <c r="T6134" s="21" t="str">
        <f>HYPERLINK("https://miland.ru/api/getInfo/image/b142a691-6888-11e7-977d-5cf3fc4a2490")</f>
        <v>https://miland.ru/api/getInfo/image/b142a691-6888-11e7-977d-5cf3fc4a2490</v>
      </c>
      <c r="U6134" s="21"/>
      <c r="V6134" s="21" t="s">
        <v>1818</v>
      </c>
      <c r="W6134" s="21" t="s">
        <v>1819</v>
      </c>
      <c r="X6134" s="21" t="s">
        <v>172</v>
      </c>
      <c r="Y6134" s="21" t="s">
        <v>477</v>
      </c>
      <c r="Z6134" s="21" t="s">
        <v>21925</v>
      </c>
      <c r="AA6134" s="21" t="str">
        <f>HYPERLINK("https://miland.ru/api/getInfo/item/b142a691-6888-11e7-977d-5cf3fc4a2490")</f>
        <v>https://miland.ru/api/getInfo/item/b142a691-6888-11e7-977d-5cf3fc4a2490</v>
      </c>
      <c r="AB6134" s="21" t="s">
        <v>50</v>
      </c>
      <c r="AC6134" s="21" t="s">
        <v>21910</v>
      </c>
      <c r="AD6134" s="21"/>
    </row>
    <row r="6135" spans="2:30" s="1" customFormat="1" ht="96.3" customHeight="1" outlineLevel="5">
      <c r="B6135" s="57">
        <v>5034</v>
      </c>
      <c r="C6135" s="21" t="s">
        <v>21926</v>
      </c>
      <c r="D6135" s="72" t="s">
        <v>21927</v>
      </c>
      <c r="E6135" s="72"/>
      <c r="F6135" s="72"/>
      <c r="G6135" s="72"/>
      <c r="H6135" s="22" t="s">
        <v>21928</v>
      </c>
      <c r="I6135" s="23" t="s">
        <v>36</v>
      </c>
      <c r="J6135" s="22"/>
      <c r="K6135" s="20">
        <v>6</v>
      </c>
      <c r="L6135" s="24">
        <v>108.71</v>
      </c>
      <c r="M6135" s="11"/>
      <c r="N6135" s="22">
        <f t="shared" si="359"/>
        <v>0</v>
      </c>
      <c r="O6135" s="25">
        <f>0.068*M6135</f>
        <v>0</v>
      </c>
      <c r="P6135" s="26">
        <f>0.00012*M6135</f>
        <v>0</v>
      </c>
      <c r="Q6135" s="30"/>
      <c r="R6135" s="22" t="s">
        <v>21929</v>
      </c>
      <c r="S6135" s="22"/>
      <c r="T6135" s="21" t="str">
        <f>HYPERLINK("https://miland.ru/api/getInfo/image/eb109151-7137-11f0-a284-00155d82e908")</f>
        <v>https://miland.ru/api/getInfo/image/eb109151-7137-11f0-a284-00155d82e908</v>
      </c>
      <c r="U6135" s="21"/>
      <c r="V6135" s="21" t="s">
        <v>1818</v>
      </c>
      <c r="W6135" s="21" t="s">
        <v>1819</v>
      </c>
      <c r="X6135" s="21" t="s">
        <v>172</v>
      </c>
      <c r="Y6135" s="21" t="s">
        <v>477</v>
      </c>
      <c r="Z6135" s="21" t="s">
        <v>21930</v>
      </c>
      <c r="AA6135" s="21" t="str">
        <f>HYPERLINK("https://miland.ru/api/getInfo/item/eb109151-7137-11f0-a284-00155d82e908")</f>
        <v>https://miland.ru/api/getInfo/item/eb109151-7137-11f0-a284-00155d82e908</v>
      </c>
      <c r="AB6135" s="21" t="s">
        <v>50</v>
      </c>
      <c r="AC6135" s="21"/>
      <c r="AD6135" s="21"/>
    </row>
    <row r="6136" spans="2:30" s="1" customFormat="1" ht="96.3" customHeight="1" outlineLevel="5">
      <c r="B6136" s="57">
        <v>5035</v>
      </c>
      <c r="C6136" s="21" t="s">
        <v>21931</v>
      </c>
      <c r="D6136" s="72" t="s">
        <v>21932</v>
      </c>
      <c r="E6136" s="72"/>
      <c r="F6136" s="72"/>
      <c r="G6136" s="72"/>
      <c r="H6136" s="22" t="s">
        <v>21933</v>
      </c>
      <c r="I6136" s="23" t="s">
        <v>36</v>
      </c>
      <c r="J6136" s="22"/>
      <c r="K6136" s="20">
        <v>3</v>
      </c>
      <c r="L6136" s="24">
        <v>212.79</v>
      </c>
      <c r="M6136" s="11"/>
      <c r="N6136" s="22">
        <f t="shared" si="359"/>
        <v>0</v>
      </c>
      <c r="O6136" s="33">
        <f>0.1*M6136</f>
        <v>0</v>
      </c>
      <c r="P6136" s="26">
        <f>0.00013*M6136</f>
        <v>0</v>
      </c>
      <c r="Q6136" s="30"/>
      <c r="R6136" s="22" t="s">
        <v>21934</v>
      </c>
      <c r="S6136" s="22"/>
      <c r="T6136" s="21" t="str">
        <f>HYPERLINK("https://miland.ru/api/getInfo/image/2a6debd0-56dd-11ee-a245-00155d82e902")</f>
        <v>https://miland.ru/api/getInfo/image/2a6debd0-56dd-11ee-a245-00155d82e902</v>
      </c>
      <c r="U6136" s="21"/>
      <c r="V6136" s="21" t="s">
        <v>1818</v>
      </c>
      <c r="W6136" s="21" t="s">
        <v>1819</v>
      </c>
      <c r="X6136" s="21" t="s">
        <v>172</v>
      </c>
      <c r="Y6136" s="21" t="s">
        <v>477</v>
      </c>
      <c r="Z6136" s="21" t="s">
        <v>21935</v>
      </c>
      <c r="AA6136" s="21" t="str">
        <f>HYPERLINK("https://miland.ru/api/getInfo/item/2a6debd0-56dd-11ee-a245-00155d82e902")</f>
        <v>https://miland.ru/api/getInfo/item/2a6debd0-56dd-11ee-a245-00155d82e902</v>
      </c>
      <c r="AB6136" s="21" t="s">
        <v>50</v>
      </c>
      <c r="AC6136" s="21"/>
      <c r="AD6136" s="21"/>
    </row>
    <row r="6137" spans="2:30" s="1" customFormat="1" ht="96.3" customHeight="1" outlineLevel="5">
      <c r="B6137" s="57">
        <v>5036</v>
      </c>
      <c r="C6137" s="21" t="s">
        <v>21936</v>
      </c>
      <c r="D6137" s="72" t="s">
        <v>21937</v>
      </c>
      <c r="E6137" s="72"/>
      <c r="F6137" s="72"/>
      <c r="G6137" s="72"/>
      <c r="H6137" s="22" t="s">
        <v>21938</v>
      </c>
      <c r="I6137" s="23" t="s">
        <v>36</v>
      </c>
      <c r="J6137" s="22"/>
      <c r="K6137" s="20">
        <v>6</v>
      </c>
      <c r="L6137" s="24">
        <v>108.71</v>
      </c>
      <c r="M6137" s="11"/>
      <c r="N6137" s="22">
        <f t="shared" si="359"/>
        <v>0</v>
      </c>
      <c r="O6137" s="25">
        <f>0.022*M6137</f>
        <v>0</v>
      </c>
      <c r="P6137" s="26">
        <f t="shared" ref="P6137:P6142" si="360">0.00011*M6137</f>
        <v>0</v>
      </c>
      <c r="Q6137" s="30"/>
      <c r="R6137" s="22" t="s">
        <v>21939</v>
      </c>
      <c r="S6137" s="22"/>
      <c r="T6137" s="21" t="str">
        <f>HYPERLINK("https://miland.ru/api/getInfo/image/a147a394-9a00-11ec-a211-ac1f6b442185")</f>
        <v>https://miland.ru/api/getInfo/image/a147a394-9a00-11ec-a211-ac1f6b442185</v>
      </c>
      <c r="U6137" s="21"/>
      <c r="V6137" s="21" t="s">
        <v>1818</v>
      </c>
      <c r="W6137" s="21" t="s">
        <v>1819</v>
      </c>
      <c r="X6137" s="21" t="s">
        <v>172</v>
      </c>
      <c r="Y6137" s="21" t="s">
        <v>477</v>
      </c>
      <c r="Z6137" s="21" t="s">
        <v>21940</v>
      </c>
      <c r="AA6137" s="21" t="str">
        <f>HYPERLINK("https://miland.ru/api/getInfo/item/a147a394-9a00-11ec-a211-ac1f6b442185")</f>
        <v>https://miland.ru/api/getInfo/item/a147a394-9a00-11ec-a211-ac1f6b442185</v>
      </c>
      <c r="AB6137" s="21" t="s">
        <v>50</v>
      </c>
      <c r="AC6137" s="21"/>
      <c r="AD6137" s="21"/>
    </row>
    <row r="6138" spans="2:30" s="1" customFormat="1" ht="96.3" customHeight="1" outlineLevel="5">
      <c r="B6138" s="57">
        <v>5037</v>
      </c>
      <c r="C6138" s="21" t="s">
        <v>21941</v>
      </c>
      <c r="D6138" s="72" t="s">
        <v>21942</v>
      </c>
      <c r="E6138" s="72"/>
      <c r="F6138" s="72"/>
      <c r="G6138" s="72"/>
      <c r="H6138" s="22" t="s">
        <v>21943</v>
      </c>
      <c r="I6138" s="23" t="s">
        <v>36</v>
      </c>
      <c r="J6138" s="22"/>
      <c r="K6138" s="20">
        <v>6</v>
      </c>
      <c r="L6138" s="24">
        <v>108.71</v>
      </c>
      <c r="M6138" s="11"/>
      <c r="N6138" s="22">
        <f t="shared" si="359"/>
        <v>0</v>
      </c>
      <c r="O6138" s="28">
        <f>0.06*M6138</f>
        <v>0</v>
      </c>
      <c r="P6138" s="26">
        <f t="shared" si="360"/>
        <v>0</v>
      </c>
      <c r="Q6138" s="30"/>
      <c r="R6138" s="22" t="s">
        <v>21944</v>
      </c>
      <c r="S6138" s="22" t="s">
        <v>435</v>
      </c>
      <c r="T6138" s="21" t="str">
        <f>HYPERLINK("https://miland.ru/api/getInfo/image/367b13f4-0f1a-11ec-a20f-ac1f6b442185")</f>
        <v>https://miland.ru/api/getInfo/image/367b13f4-0f1a-11ec-a20f-ac1f6b442185</v>
      </c>
      <c r="U6138" s="21"/>
      <c r="V6138" s="21" t="s">
        <v>1818</v>
      </c>
      <c r="W6138" s="21" t="s">
        <v>1819</v>
      </c>
      <c r="X6138" s="21" t="s">
        <v>172</v>
      </c>
      <c r="Y6138" s="21" t="s">
        <v>477</v>
      </c>
      <c r="Z6138" s="21" t="s">
        <v>21945</v>
      </c>
      <c r="AA6138" s="21" t="str">
        <f>HYPERLINK("https://miland.ru/api/getInfo/item/367b13f4-0f1a-11ec-a20f-ac1f6b442185")</f>
        <v>https://miland.ru/api/getInfo/item/367b13f4-0f1a-11ec-a20f-ac1f6b442185</v>
      </c>
      <c r="AB6138" s="21" t="s">
        <v>50</v>
      </c>
      <c r="AC6138" s="21"/>
      <c r="AD6138" s="21"/>
    </row>
    <row r="6139" spans="2:30" s="1" customFormat="1" ht="96.3" customHeight="1" outlineLevel="5">
      <c r="B6139" s="57">
        <v>5038</v>
      </c>
      <c r="C6139" s="21" t="s">
        <v>21946</v>
      </c>
      <c r="D6139" s="72" t="s">
        <v>21947</v>
      </c>
      <c r="E6139" s="72"/>
      <c r="F6139" s="72"/>
      <c r="G6139" s="72"/>
      <c r="H6139" s="22" t="s">
        <v>21948</v>
      </c>
      <c r="I6139" s="23" t="s">
        <v>36</v>
      </c>
      <c r="J6139" s="22"/>
      <c r="K6139" s="20">
        <v>6</v>
      </c>
      <c r="L6139" s="24">
        <v>108.71</v>
      </c>
      <c r="M6139" s="11"/>
      <c r="N6139" s="22">
        <f t="shared" si="359"/>
        <v>0</v>
      </c>
      <c r="O6139" s="25">
        <f>0.022*M6139</f>
        <v>0</v>
      </c>
      <c r="P6139" s="26">
        <f t="shared" si="360"/>
        <v>0</v>
      </c>
      <c r="Q6139" s="30"/>
      <c r="R6139" s="22" t="s">
        <v>21949</v>
      </c>
      <c r="S6139" s="22"/>
      <c r="T6139" s="21" t="str">
        <f>HYPERLINK("https://miland.ru/api/getInfo/image/da0f27eb-9a00-11ec-a211-ac1f6b442185")</f>
        <v>https://miland.ru/api/getInfo/image/da0f27eb-9a00-11ec-a211-ac1f6b442185</v>
      </c>
      <c r="U6139" s="21"/>
      <c r="V6139" s="21" t="s">
        <v>1818</v>
      </c>
      <c r="W6139" s="21" t="s">
        <v>1819</v>
      </c>
      <c r="X6139" s="21" t="s">
        <v>172</v>
      </c>
      <c r="Y6139" s="21" t="s">
        <v>477</v>
      </c>
      <c r="Z6139" s="21" t="s">
        <v>21950</v>
      </c>
      <c r="AA6139" s="21" t="str">
        <f>HYPERLINK("https://miland.ru/api/getInfo/item/da0f27eb-9a00-11ec-a211-ac1f6b442185")</f>
        <v>https://miland.ru/api/getInfo/item/da0f27eb-9a00-11ec-a211-ac1f6b442185</v>
      </c>
      <c r="AB6139" s="21" t="s">
        <v>50</v>
      </c>
      <c r="AC6139" s="21"/>
      <c r="AD6139" s="21"/>
    </row>
    <row r="6140" spans="2:30" s="1" customFormat="1" ht="96.3" customHeight="1" outlineLevel="5">
      <c r="B6140" s="57">
        <v>5039</v>
      </c>
      <c r="C6140" s="21" t="s">
        <v>21951</v>
      </c>
      <c r="D6140" s="72" t="s">
        <v>21952</v>
      </c>
      <c r="E6140" s="72"/>
      <c r="F6140" s="72"/>
      <c r="G6140" s="72"/>
      <c r="H6140" s="22" t="s">
        <v>21953</v>
      </c>
      <c r="I6140" s="23" t="s">
        <v>36</v>
      </c>
      <c r="J6140" s="22"/>
      <c r="K6140" s="20">
        <v>6</v>
      </c>
      <c r="L6140" s="24">
        <v>108.71</v>
      </c>
      <c r="M6140" s="11"/>
      <c r="N6140" s="22">
        <f t="shared" si="359"/>
        <v>0</v>
      </c>
      <c r="O6140" s="28">
        <f>0.06*M6140</f>
        <v>0</v>
      </c>
      <c r="P6140" s="26">
        <f t="shared" si="360"/>
        <v>0</v>
      </c>
      <c r="Q6140" s="30"/>
      <c r="R6140" s="22" t="s">
        <v>21954</v>
      </c>
      <c r="S6140" s="22"/>
      <c r="T6140" s="21" t="str">
        <f>HYPERLINK("https://miland.ru/api/getInfo/image/bc25cee8-0f1c-11ec-a20f-ac1f6b442185")</f>
        <v>https://miland.ru/api/getInfo/image/bc25cee8-0f1c-11ec-a20f-ac1f6b442185</v>
      </c>
      <c r="U6140" s="21"/>
      <c r="V6140" s="21" t="s">
        <v>1818</v>
      </c>
      <c r="W6140" s="21" t="s">
        <v>1819</v>
      </c>
      <c r="X6140" s="21" t="s">
        <v>172</v>
      </c>
      <c r="Y6140" s="21" t="s">
        <v>477</v>
      </c>
      <c r="Z6140" s="21" t="s">
        <v>21955</v>
      </c>
      <c r="AA6140" s="21" t="str">
        <f>HYPERLINK("https://miland.ru/api/getInfo/item/bc25cee8-0f1c-11ec-a20f-ac1f6b442185")</f>
        <v>https://miland.ru/api/getInfo/item/bc25cee8-0f1c-11ec-a20f-ac1f6b442185</v>
      </c>
      <c r="AB6140" s="21" t="s">
        <v>50</v>
      </c>
      <c r="AC6140" s="21"/>
      <c r="AD6140" s="21"/>
    </row>
    <row r="6141" spans="2:30" s="1" customFormat="1" ht="96.3" customHeight="1" outlineLevel="5">
      <c r="B6141" s="57">
        <v>5040</v>
      </c>
      <c r="C6141" s="21" t="s">
        <v>21956</v>
      </c>
      <c r="D6141" s="72" t="s">
        <v>21957</v>
      </c>
      <c r="E6141" s="72"/>
      <c r="F6141" s="72"/>
      <c r="G6141" s="72"/>
      <c r="H6141" s="22" t="s">
        <v>21958</v>
      </c>
      <c r="I6141" s="23" t="s">
        <v>36</v>
      </c>
      <c r="J6141" s="22"/>
      <c r="K6141" s="20">
        <v>6</v>
      </c>
      <c r="L6141" s="24">
        <v>108.71</v>
      </c>
      <c r="M6141" s="11"/>
      <c r="N6141" s="22">
        <f t="shared" si="359"/>
        <v>0</v>
      </c>
      <c r="O6141" s="28">
        <f>0.06*M6141</f>
        <v>0</v>
      </c>
      <c r="P6141" s="26">
        <f t="shared" si="360"/>
        <v>0</v>
      </c>
      <c r="Q6141" s="30"/>
      <c r="R6141" s="22" t="s">
        <v>21959</v>
      </c>
      <c r="S6141" s="22"/>
      <c r="T6141" s="21" t="str">
        <f>HYPERLINK("https://miland.ru/api/getInfo/image/57a357bb-0f1c-11ec-a20f-ac1f6b442185")</f>
        <v>https://miland.ru/api/getInfo/image/57a357bb-0f1c-11ec-a20f-ac1f6b442185</v>
      </c>
      <c r="U6141" s="21"/>
      <c r="V6141" s="21" t="s">
        <v>1818</v>
      </c>
      <c r="W6141" s="21" t="s">
        <v>1819</v>
      </c>
      <c r="X6141" s="21" t="s">
        <v>172</v>
      </c>
      <c r="Y6141" s="21" t="s">
        <v>477</v>
      </c>
      <c r="Z6141" s="21" t="s">
        <v>21960</v>
      </c>
      <c r="AA6141" s="21" t="str">
        <f>HYPERLINK("https://miland.ru/api/getInfo/item/57a357bb-0f1c-11ec-a20f-ac1f6b442185")</f>
        <v>https://miland.ru/api/getInfo/item/57a357bb-0f1c-11ec-a20f-ac1f6b442185</v>
      </c>
      <c r="AB6141" s="21" t="s">
        <v>50</v>
      </c>
      <c r="AC6141" s="21"/>
      <c r="AD6141" s="21"/>
    </row>
    <row r="6142" spans="2:30" s="1" customFormat="1" ht="96.3" customHeight="1" outlineLevel="5">
      <c r="B6142" s="57">
        <v>5041</v>
      </c>
      <c r="C6142" s="21" t="s">
        <v>21961</v>
      </c>
      <c r="D6142" s="72" t="s">
        <v>21962</v>
      </c>
      <c r="E6142" s="72"/>
      <c r="F6142" s="72"/>
      <c r="G6142" s="72"/>
      <c r="H6142" s="22" t="s">
        <v>21958</v>
      </c>
      <c r="I6142" s="27">
        <v>12</v>
      </c>
      <c r="J6142" s="22"/>
      <c r="K6142" s="20">
        <v>12</v>
      </c>
      <c r="L6142" s="24">
        <v>108.71</v>
      </c>
      <c r="M6142" s="11"/>
      <c r="N6142" s="22">
        <f t="shared" si="359"/>
        <v>0</v>
      </c>
      <c r="O6142" s="28">
        <f>0.06*M6142</f>
        <v>0</v>
      </c>
      <c r="P6142" s="26">
        <f t="shared" si="360"/>
        <v>0</v>
      </c>
      <c r="Q6142" s="30"/>
      <c r="R6142" s="22"/>
      <c r="S6142" s="22"/>
      <c r="T6142" s="21" t="str">
        <f>HYPERLINK("https://miland.ru/api/getInfo/image/57a357bb-0f1c-11ec-a20f-ac1f6b442185")</f>
        <v>https://miland.ru/api/getInfo/image/57a357bb-0f1c-11ec-a20f-ac1f6b442185</v>
      </c>
      <c r="U6142" s="21"/>
      <c r="V6142" s="21" t="s">
        <v>1818</v>
      </c>
      <c r="W6142" s="21" t="s">
        <v>1819</v>
      </c>
      <c r="X6142" s="21" t="s">
        <v>172</v>
      </c>
      <c r="Y6142" s="21" t="s">
        <v>477</v>
      </c>
      <c r="Z6142" s="21" t="s">
        <v>21960</v>
      </c>
      <c r="AA6142" s="21" t="str">
        <f>HYPERLINK("https://miland.ru/api/getInfo/item/57a357bb-0f1c-11ec-a20f-ac1f6b442185")</f>
        <v>https://miland.ru/api/getInfo/item/57a357bb-0f1c-11ec-a20f-ac1f6b442185</v>
      </c>
      <c r="AB6142" s="21" t="s">
        <v>50</v>
      </c>
      <c r="AC6142" s="21"/>
      <c r="AD6142" s="21" t="s">
        <v>21959</v>
      </c>
    </row>
    <row r="6143" spans="2:30" s="1" customFormat="1" ht="96.3" customHeight="1" outlineLevel="5">
      <c r="B6143" s="57">
        <v>5042</v>
      </c>
      <c r="C6143" s="21" t="s">
        <v>21963</v>
      </c>
      <c r="D6143" s="72" t="s">
        <v>21964</v>
      </c>
      <c r="E6143" s="72"/>
      <c r="F6143" s="72"/>
      <c r="G6143" s="72"/>
      <c r="H6143" s="22" t="s">
        <v>21965</v>
      </c>
      <c r="I6143" s="23" t="s">
        <v>36</v>
      </c>
      <c r="J6143" s="22"/>
      <c r="K6143" s="20">
        <v>6</v>
      </c>
      <c r="L6143" s="24">
        <v>108.71</v>
      </c>
      <c r="M6143" s="11"/>
      <c r="N6143" s="22">
        <f t="shared" si="359"/>
        <v>0</v>
      </c>
      <c r="O6143" s="28">
        <f>0.06*M6143</f>
        <v>0</v>
      </c>
      <c r="P6143" s="26">
        <f>0.00012*M6143</f>
        <v>0</v>
      </c>
      <c r="Q6143" s="30"/>
      <c r="R6143" s="22" t="s">
        <v>21966</v>
      </c>
      <c r="S6143" s="22"/>
      <c r="T6143" s="21" t="str">
        <f>HYPERLINK("https://miland.ru/api/getInfo/image/d6e5471c-0f1c-11ec-a20f-ac1f6b442185")</f>
        <v>https://miland.ru/api/getInfo/image/d6e5471c-0f1c-11ec-a20f-ac1f6b442185</v>
      </c>
      <c r="U6143" s="21"/>
      <c r="V6143" s="21" t="s">
        <v>1818</v>
      </c>
      <c r="W6143" s="21" t="s">
        <v>1819</v>
      </c>
      <c r="X6143" s="21" t="s">
        <v>172</v>
      </c>
      <c r="Y6143" s="21" t="s">
        <v>477</v>
      </c>
      <c r="Z6143" s="21" t="s">
        <v>21967</v>
      </c>
      <c r="AA6143" s="21" t="str">
        <f>HYPERLINK("https://miland.ru/api/getInfo/item/d6e5471c-0f1c-11ec-a20f-ac1f6b442185")</f>
        <v>https://miland.ru/api/getInfo/item/d6e5471c-0f1c-11ec-a20f-ac1f6b442185</v>
      </c>
      <c r="AB6143" s="21" t="s">
        <v>50</v>
      </c>
      <c r="AC6143" s="21"/>
      <c r="AD6143" s="21"/>
    </row>
    <row r="6144" spans="2:30" s="1" customFormat="1" ht="96.3" customHeight="1" outlineLevel="5">
      <c r="B6144" s="57">
        <v>5043</v>
      </c>
      <c r="C6144" s="21" t="s">
        <v>21968</v>
      </c>
      <c r="D6144" s="72" t="s">
        <v>21969</v>
      </c>
      <c r="E6144" s="72"/>
      <c r="F6144" s="72"/>
      <c r="G6144" s="72"/>
      <c r="H6144" s="22" t="s">
        <v>21970</v>
      </c>
      <c r="I6144" s="23" t="s">
        <v>36</v>
      </c>
      <c r="J6144" s="22"/>
      <c r="K6144" s="20">
        <v>6</v>
      </c>
      <c r="L6144" s="24">
        <v>108.71</v>
      </c>
      <c r="M6144" s="11"/>
      <c r="N6144" s="22">
        <f t="shared" si="359"/>
        <v>0</v>
      </c>
      <c r="O6144" s="25">
        <f>0.062*M6144</f>
        <v>0</v>
      </c>
      <c r="P6144" s="26">
        <f>0.00012*M6144</f>
        <v>0</v>
      </c>
      <c r="Q6144" s="30"/>
      <c r="R6144" s="22" t="s">
        <v>21971</v>
      </c>
      <c r="S6144" s="22"/>
      <c r="T6144" s="21" t="str">
        <f>HYPERLINK("https://miland.ru/api/getInfo/image/f34bf5e8-d12d-11ec-a212-ac1f6b442185")</f>
        <v>https://miland.ru/api/getInfo/image/f34bf5e8-d12d-11ec-a212-ac1f6b442185</v>
      </c>
      <c r="U6144" s="21"/>
      <c r="V6144" s="21" t="s">
        <v>1818</v>
      </c>
      <c r="W6144" s="21" t="s">
        <v>1819</v>
      </c>
      <c r="X6144" s="21" t="s">
        <v>172</v>
      </c>
      <c r="Y6144" s="21" t="s">
        <v>477</v>
      </c>
      <c r="Z6144" s="21" t="s">
        <v>21972</v>
      </c>
      <c r="AA6144" s="21" t="str">
        <f>HYPERLINK("https://miland.ru/api/getInfo/item/f34bf5e8-d12d-11ec-a212-ac1f6b442185")</f>
        <v>https://miland.ru/api/getInfo/item/f34bf5e8-d12d-11ec-a212-ac1f6b442185</v>
      </c>
      <c r="AB6144" s="21" t="s">
        <v>50</v>
      </c>
      <c r="AC6144" s="21"/>
      <c r="AD6144" s="21"/>
    </row>
    <row r="6145" spans="2:30" s="1" customFormat="1" ht="96.3" customHeight="1" outlineLevel="5">
      <c r="B6145" s="57">
        <v>5044</v>
      </c>
      <c r="C6145" s="21" t="s">
        <v>21973</v>
      </c>
      <c r="D6145" s="72" t="s">
        <v>21974</v>
      </c>
      <c r="E6145" s="72"/>
      <c r="F6145" s="72"/>
      <c r="G6145" s="72"/>
      <c r="H6145" s="22" t="s">
        <v>21975</v>
      </c>
      <c r="I6145" s="23" t="s">
        <v>36</v>
      </c>
      <c r="J6145" s="22"/>
      <c r="K6145" s="20">
        <v>6</v>
      </c>
      <c r="L6145" s="24">
        <v>108.71</v>
      </c>
      <c r="M6145" s="11"/>
      <c r="N6145" s="22">
        <f t="shared" si="359"/>
        <v>0</v>
      </c>
      <c r="O6145" s="25">
        <f>0.057*M6145</f>
        <v>0</v>
      </c>
      <c r="P6145" s="26">
        <f>0.00013*M6145</f>
        <v>0</v>
      </c>
      <c r="Q6145" s="30"/>
      <c r="R6145" s="22" t="s">
        <v>21976</v>
      </c>
      <c r="S6145" s="22"/>
      <c r="T6145" s="21" t="str">
        <f>HYPERLINK("https://miland.ru/api/getInfo/image/b65f2663-0f1a-11ec-a20f-ac1f6b442185")</f>
        <v>https://miland.ru/api/getInfo/image/b65f2663-0f1a-11ec-a20f-ac1f6b442185</v>
      </c>
      <c r="U6145" s="21"/>
      <c r="V6145" s="21" t="s">
        <v>1818</v>
      </c>
      <c r="W6145" s="21" t="s">
        <v>1819</v>
      </c>
      <c r="X6145" s="21" t="s">
        <v>172</v>
      </c>
      <c r="Y6145" s="21" t="s">
        <v>477</v>
      </c>
      <c r="Z6145" s="21" t="s">
        <v>21977</v>
      </c>
      <c r="AA6145" s="21" t="str">
        <f>HYPERLINK("https://miland.ru/api/getInfo/item/b65f2663-0f1a-11ec-a20f-ac1f6b442185")</f>
        <v>https://miland.ru/api/getInfo/item/b65f2663-0f1a-11ec-a20f-ac1f6b442185</v>
      </c>
      <c r="AB6145" s="21" t="s">
        <v>50</v>
      </c>
      <c r="AC6145" s="21"/>
      <c r="AD6145" s="21"/>
    </row>
    <row r="6146" spans="2:30" s="1" customFormat="1" ht="96.3" customHeight="1" outlineLevel="5">
      <c r="B6146" s="57">
        <v>5045</v>
      </c>
      <c r="C6146" s="21" t="s">
        <v>21978</v>
      </c>
      <c r="D6146" s="72" t="s">
        <v>21979</v>
      </c>
      <c r="E6146" s="72"/>
      <c r="F6146" s="72"/>
      <c r="G6146" s="72"/>
      <c r="H6146" s="22" t="s">
        <v>21980</v>
      </c>
      <c r="I6146" s="23" t="s">
        <v>36</v>
      </c>
      <c r="J6146" s="22"/>
      <c r="K6146" s="20">
        <v>6</v>
      </c>
      <c r="L6146" s="24">
        <v>108.71</v>
      </c>
      <c r="M6146" s="11"/>
      <c r="N6146" s="22">
        <f t="shared" si="359"/>
        <v>0</v>
      </c>
      <c r="O6146" s="28">
        <f>0.06*M6146</f>
        <v>0</v>
      </c>
      <c r="P6146" s="26">
        <f>0.00013*M6146</f>
        <v>0</v>
      </c>
      <c r="Q6146" s="30"/>
      <c r="R6146" s="22" t="s">
        <v>21981</v>
      </c>
      <c r="S6146" s="22"/>
      <c r="T6146" s="21" t="str">
        <f>HYPERLINK("https://miland.ru/api/getInfo/image/4d9cc7cd-d12d-11ec-a212-ac1f6b442185")</f>
        <v>https://miland.ru/api/getInfo/image/4d9cc7cd-d12d-11ec-a212-ac1f6b442185</v>
      </c>
      <c r="U6146" s="21"/>
      <c r="V6146" s="21" t="s">
        <v>1818</v>
      </c>
      <c r="W6146" s="21" t="s">
        <v>1819</v>
      </c>
      <c r="X6146" s="21" t="s">
        <v>172</v>
      </c>
      <c r="Y6146" s="21" t="s">
        <v>477</v>
      </c>
      <c r="Z6146" s="21" t="s">
        <v>21982</v>
      </c>
      <c r="AA6146" s="21" t="str">
        <f>HYPERLINK("https://miland.ru/api/getInfo/item/4d9cc7cd-d12d-11ec-a212-ac1f6b442185")</f>
        <v>https://miland.ru/api/getInfo/item/4d9cc7cd-d12d-11ec-a212-ac1f6b442185</v>
      </c>
      <c r="AB6146" s="21" t="s">
        <v>50</v>
      </c>
      <c r="AC6146" s="21"/>
      <c r="AD6146" s="21"/>
    </row>
    <row r="6147" spans="2:30" s="1" customFormat="1" ht="96.3" customHeight="1" outlineLevel="5">
      <c r="B6147" s="57">
        <v>5046</v>
      </c>
      <c r="C6147" s="21" t="s">
        <v>21983</v>
      </c>
      <c r="D6147" s="72" t="s">
        <v>21984</v>
      </c>
      <c r="E6147" s="72"/>
      <c r="F6147" s="72"/>
      <c r="G6147" s="72"/>
      <c r="H6147" s="22" t="s">
        <v>21985</v>
      </c>
      <c r="I6147" s="23" t="s">
        <v>36</v>
      </c>
      <c r="J6147" s="22"/>
      <c r="K6147" s="20">
        <v>6</v>
      </c>
      <c r="L6147" s="24">
        <v>108.71</v>
      </c>
      <c r="M6147" s="11"/>
      <c r="N6147" s="22">
        <f t="shared" si="359"/>
        <v>0</v>
      </c>
      <c r="O6147" s="28">
        <f>0.06*M6147</f>
        <v>0</v>
      </c>
      <c r="P6147" s="26">
        <f>0.00011*M6147</f>
        <v>0</v>
      </c>
      <c r="Q6147" s="30"/>
      <c r="R6147" s="22" t="s">
        <v>21986</v>
      </c>
      <c r="S6147" s="22"/>
      <c r="T6147" s="21" t="str">
        <f>HYPERLINK("https://miland.ru/api/getInfo/image/2bb07347-9a00-11ec-a211-ac1f6b442185")</f>
        <v>https://miland.ru/api/getInfo/image/2bb07347-9a00-11ec-a211-ac1f6b442185</v>
      </c>
      <c r="U6147" s="21"/>
      <c r="V6147" s="21" t="s">
        <v>1818</v>
      </c>
      <c r="W6147" s="21" t="s">
        <v>1819</v>
      </c>
      <c r="X6147" s="21" t="s">
        <v>172</v>
      </c>
      <c r="Y6147" s="21" t="s">
        <v>477</v>
      </c>
      <c r="Z6147" s="21" t="s">
        <v>21987</v>
      </c>
      <c r="AA6147" s="21" t="str">
        <f>HYPERLINK("https://miland.ru/api/getInfo/item/2bb07347-9a00-11ec-a211-ac1f6b442185")</f>
        <v>https://miland.ru/api/getInfo/item/2bb07347-9a00-11ec-a211-ac1f6b442185</v>
      </c>
      <c r="AB6147" s="21" t="s">
        <v>50</v>
      </c>
      <c r="AC6147" s="21"/>
      <c r="AD6147" s="21"/>
    </row>
    <row r="6148" spans="2:30" s="1" customFormat="1" ht="96.3" customHeight="1" outlineLevel="5">
      <c r="B6148" s="57">
        <v>5047</v>
      </c>
      <c r="C6148" s="21" t="s">
        <v>21988</v>
      </c>
      <c r="D6148" s="72" t="s">
        <v>21989</v>
      </c>
      <c r="E6148" s="72"/>
      <c r="F6148" s="72"/>
      <c r="G6148" s="72"/>
      <c r="H6148" s="22" t="s">
        <v>21990</v>
      </c>
      <c r="I6148" s="23" t="s">
        <v>36</v>
      </c>
      <c r="J6148" s="22"/>
      <c r="K6148" s="20">
        <v>6</v>
      </c>
      <c r="L6148" s="24">
        <v>108.71</v>
      </c>
      <c r="M6148" s="11"/>
      <c r="N6148" s="22">
        <f t="shared" si="359"/>
        <v>0</v>
      </c>
      <c r="O6148" s="25">
        <f>0.062*M6148</f>
        <v>0</v>
      </c>
      <c r="P6148" s="26">
        <f>0.00013*M6148</f>
        <v>0</v>
      </c>
      <c r="Q6148" s="30"/>
      <c r="R6148" s="22" t="s">
        <v>21991</v>
      </c>
      <c r="S6148" s="22"/>
      <c r="T6148" s="21" t="str">
        <f>HYPERLINK("https://miland.ru/api/getInfo/image/fc095fb3-d12c-11ec-a212-ac1f6b442185")</f>
        <v>https://miland.ru/api/getInfo/image/fc095fb3-d12c-11ec-a212-ac1f6b442185</v>
      </c>
      <c r="U6148" s="21"/>
      <c r="V6148" s="21" t="s">
        <v>1818</v>
      </c>
      <c r="W6148" s="21" t="s">
        <v>1819</v>
      </c>
      <c r="X6148" s="21" t="s">
        <v>172</v>
      </c>
      <c r="Y6148" s="21" t="s">
        <v>477</v>
      </c>
      <c r="Z6148" s="21" t="s">
        <v>21992</v>
      </c>
      <c r="AA6148" s="21" t="str">
        <f>HYPERLINK("https://miland.ru/api/getInfo/item/fc095fb3-d12c-11ec-a212-ac1f6b442185")</f>
        <v>https://miland.ru/api/getInfo/item/fc095fb3-d12c-11ec-a212-ac1f6b442185</v>
      </c>
      <c r="AB6148" s="21" t="s">
        <v>50</v>
      </c>
      <c r="AC6148" s="21"/>
      <c r="AD6148" s="21"/>
    </row>
    <row r="6149" spans="2:30" s="1" customFormat="1" ht="96.3" customHeight="1" outlineLevel="5">
      <c r="B6149" s="57">
        <v>5048</v>
      </c>
      <c r="C6149" s="21" t="s">
        <v>21993</v>
      </c>
      <c r="D6149" s="72" t="s">
        <v>21994</v>
      </c>
      <c r="E6149" s="72"/>
      <c r="F6149" s="72"/>
      <c r="G6149" s="72"/>
      <c r="H6149" s="22" t="s">
        <v>21990</v>
      </c>
      <c r="I6149" s="23" t="s">
        <v>36</v>
      </c>
      <c r="J6149" s="22"/>
      <c r="K6149" s="20">
        <v>12</v>
      </c>
      <c r="L6149" s="24">
        <v>108.71</v>
      </c>
      <c r="M6149" s="11"/>
      <c r="N6149" s="22">
        <f t="shared" si="359"/>
        <v>0</v>
      </c>
      <c r="O6149" s="25">
        <f>0.059*M6149</f>
        <v>0</v>
      </c>
      <c r="P6149" s="26">
        <f>0.00009*M6149</f>
        <v>0</v>
      </c>
      <c r="Q6149" s="30"/>
      <c r="R6149" s="22"/>
      <c r="S6149" s="22"/>
      <c r="T6149" s="21" t="str">
        <f>HYPERLINK("https://miland.ru/api/getInfo/image/fc095fb3-d12c-11ec-a212-ac1f6b442185")</f>
        <v>https://miland.ru/api/getInfo/image/fc095fb3-d12c-11ec-a212-ac1f6b442185</v>
      </c>
      <c r="U6149" s="21"/>
      <c r="V6149" s="21" t="s">
        <v>1818</v>
      </c>
      <c r="W6149" s="21" t="s">
        <v>1819</v>
      </c>
      <c r="X6149" s="21" t="s">
        <v>172</v>
      </c>
      <c r="Y6149" s="21" t="s">
        <v>477</v>
      </c>
      <c r="Z6149" s="21"/>
      <c r="AA6149" s="21" t="str">
        <f>HYPERLINK("https://miland.ru/api/getInfo/item/fc095fb3-d12c-11ec-a212-ac1f6b442185")</f>
        <v>https://miland.ru/api/getInfo/item/fc095fb3-d12c-11ec-a212-ac1f6b442185</v>
      </c>
      <c r="AB6149" s="21" t="s">
        <v>50</v>
      </c>
      <c r="AC6149" s="21"/>
      <c r="AD6149" s="21" t="s">
        <v>21991</v>
      </c>
    </row>
    <row r="6150" spans="2:30" s="1" customFormat="1" ht="96.3" customHeight="1" outlineLevel="5">
      <c r="B6150" s="57">
        <v>5049</v>
      </c>
      <c r="C6150" s="21" t="s">
        <v>21995</v>
      </c>
      <c r="D6150" s="72" t="s">
        <v>21996</v>
      </c>
      <c r="E6150" s="72"/>
      <c r="F6150" s="72"/>
      <c r="G6150" s="72"/>
      <c r="H6150" s="22" t="s">
        <v>21997</v>
      </c>
      <c r="I6150" s="23" t="s">
        <v>36</v>
      </c>
      <c r="J6150" s="22"/>
      <c r="K6150" s="20">
        <v>6</v>
      </c>
      <c r="L6150" s="24">
        <v>108.71</v>
      </c>
      <c r="M6150" s="11"/>
      <c r="N6150" s="22">
        <f t="shared" si="359"/>
        <v>0</v>
      </c>
      <c r="O6150" s="28">
        <f>0.06*M6150</f>
        <v>0</v>
      </c>
      <c r="P6150" s="26">
        <f>0.00011*M6150</f>
        <v>0</v>
      </c>
      <c r="Q6150" s="30"/>
      <c r="R6150" s="22" t="s">
        <v>21998</v>
      </c>
      <c r="S6150" s="22" t="s">
        <v>435</v>
      </c>
      <c r="T6150" s="21" t="str">
        <f>HYPERLINK("https://miland.ru/api/getInfo/image/67ac0ea7-9a00-11ec-a211-ac1f6b442185")</f>
        <v>https://miland.ru/api/getInfo/image/67ac0ea7-9a00-11ec-a211-ac1f6b442185</v>
      </c>
      <c r="U6150" s="21"/>
      <c r="V6150" s="21" t="s">
        <v>1818</v>
      </c>
      <c r="W6150" s="21" t="s">
        <v>1819</v>
      </c>
      <c r="X6150" s="21" t="s">
        <v>172</v>
      </c>
      <c r="Y6150" s="21" t="s">
        <v>477</v>
      </c>
      <c r="Z6150" s="21" t="s">
        <v>21999</v>
      </c>
      <c r="AA6150" s="21" t="str">
        <f>HYPERLINK("https://miland.ru/api/getInfo/item/67ac0ea7-9a00-11ec-a211-ac1f6b442185")</f>
        <v>https://miland.ru/api/getInfo/item/67ac0ea7-9a00-11ec-a211-ac1f6b442185</v>
      </c>
      <c r="AB6150" s="21" t="s">
        <v>50</v>
      </c>
      <c r="AC6150" s="21"/>
      <c r="AD6150" s="21"/>
    </row>
    <row r="6151" spans="2:30" s="1" customFormat="1" ht="96.3" customHeight="1" outlineLevel="5">
      <c r="B6151" s="57">
        <v>5050</v>
      </c>
      <c r="C6151" s="21" t="s">
        <v>22000</v>
      </c>
      <c r="D6151" s="72" t="s">
        <v>22001</v>
      </c>
      <c r="E6151" s="72"/>
      <c r="F6151" s="72"/>
      <c r="G6151" s="72"/>
      <c r="H6151" s="22" t="s">
        <v>22002</v>
      </c>
      <c r="I6151" s="23" t="s">
        <v>36</v>
      </c>
      <c r="J6151" s="22"/>
      <c r="K6151" s="20">
        <v>6</v>
      </c>
      <c r="L6151" s="24">
        <v>108.71</v>
      </c>
      <c r="M6151" s="11"/>
      <c r="N6151" s="22">
        <f t="shared" si="359"/>
        <v>0</v>
      </c>
      <c r="O6151" s="28">
        <f>0.06*M6151</f>
        <v>0</v>
      </c>
      <c r="P6151" s="26">
        <f>0.00011*M6151</f>
        <v>0</v>
      </c>
      <c r="Q6151" s="30"/>
      <c r="R6151" s="22" t="s">
        <v>22003</v>
      </c>
      <c r="S6151" s="22" t="s">
        <v>435</v>
      </c>
      <c r="T6151" s="21" t="str">
        <f>HYPERLINK("https://miland.ru/api/getInfo/image/b76e0cfe-0f1b-11ec-a20f-ac1f6b442185")</f>
        <v>https://miland.ru/api/getInfo/image/b76e0cfe-0f1b-11ec-a20f-ac1f6b442185</v>
      </c>
      <c r="U6151" s="21"/>
      <c r="V6151" s="21" t="s">
        <v>1818</v>
      </c>
      <c r="W6151" s="21" t="s">
        <v>1819</v>
      </c>
      <c r="X6151" s="21" t="s">
        <v>172</v>
      </c>
      <c r="Y6151" s="21" t="s">
        <v>477</v>
      </c>
      <c r="Z6151" s="21" t="s">
        <v>22004</v>
      </c>
      <c r="AA6151" s="21" t="str">
        <f>HYPERLINK("https://miland.ru/api/getInfo/item/b76e0cfe-0f1b-11ec-a20f-ac1f6b442185")</f>
        <v>https://miland.ru/api/getInfo/item/b76e0cfe-0f1b-11ec-a20f-ac1f6b442185</v>
      </c>
      <c r="AB6151" s="21" t="s">
        <v>50</v>
      </c>
      <c r="AC6151" s="21"/>
      <c r="AD6151" s="21"/>
    </row>
    <row r="6152" spans="2:30" s="1" customFormat="1" ht="96.3" customHeight="1" outlineLevel="5">
      <c r="B6152" s="57">
        <v>5051</v>
      </c>
      <c r="C6152" s="21" t="s">
        <v>22005</v>
      </c>
      <c r="D6152" s="72" t="s">
        <v>22006</v>
      </c>
      <c r="E6152" s="72"/>
      <c r="F6152" s="72"/>
      <c r="G6152" s="72"/>
      <c r="H6152" s="22" t="s">
        <v>22007</v>
      </c>
      <c r="I6152" s="23" t="s">
        <v>36</v>
      </c>
      <c r="J6152" s="22"/>
      <c r="K6152" s="20">
        <v>6</v>
      </c>
      <c r="L6152" s="24">
        <v>108.71</v>
      </c>
      <c r="M6152" s="11"/>
      <c r="N6152" s="22">
        <f t="shared" si="359"/>
        <v>0</v>
      </c>
      <c r="O6152" s="25">
        <f>0.064*M6152</f>
        <v>0</v>
      </c>
      <c r="P6152" s="26">
        <f>0.00015*M6152</f>
        <v>0</v>
      </c>
      <c r="Q6152" s="30"/>
      <c r="R6152" s="22" t="s">
        <v>22008</v>
      </c>
      <c r="S6152" s="22"/>
      <c r="T6152" s="21" t="str">
        <f>HYPERLINK("https://miland.ru/api/getInfo/image/a0cefe79-d12d-11ec-a212-ac1f6b442185")</f>
        <v>https://miland.ru/api/getInfo/image/a0cefe79-d12d-11ec-a212-ac1f6b442185</v>
      </c>
      <c r="U6152" s="21"/>
      <c r="V6152" s="21" t="s">
        <v>1818</v>
      </c>
      <c r="W6152" s="21" t="s">
        <v>1819</v>
      </c>
      <c r="X6152" s="21" t="s">
        <v>172</v>
      </c>
      <c r="Y6152" s="21" t="s">
        <v>477</v>
      </c>
      <c r="Z6152" s="21" t="s">
        <v>22009</v>
      </c>
      <c r="AA6152" s="21" t="str">
        <f>HYPERLINK("https://miland.ru/api/getInfo/item/a0cefe79-d12d-11ec-a212-ac1f6b442185")</f>
        <v>https://miland.ru/api/getInfo/item/a0cefe79-d12d-11ec-a212-ac1f6b442185</v>
      </c>
      <c r="AB6152" s="21" t="s">
        <v>50</v>
      </c>
      <c r="AC6152" s="21"/>
      <c r="AD6152" s="21"/>
    </row>
    <row r="6153" spans="2:30" s="1" customFormat="1" ht="96.3" customHeight="1" outlineLevel="5">
      <c r="B6153" s="57">
        <v>5052</v>
      </c>
      <c r="C6153" s="21" t="s">
        <v>22010</v>
      </c>
      <c r="D6153" s="72" t="s">
        <v>22011</v>
      </c>
      <c r="E6153" s="72"/>
      <c r="F6153" s="72"/>
      <c r="G6153" s="72"/>
      <c r="H6153" s="22" t="s">
        <v>22012</v>
      </c>
      <c r="I6153" s="23" t="s">
        <v>36</v>
      </c>
      <c r="J6153" s="22"/>
      <c r="K6153" s="20">
        <v>6</v>
      </c>
      <c r="L6153" s="24">
        <v>108.71</v>
      </c>
      <c r="M6153" s="11"/>
      <c r="N6153" s="22">
        <f t="shared" si="359"/>
        <v>0</v>
      </c>
      <c r="O6153" s="25">
        <f>0.064*M6153</f>
        <v>0</v>
      </c>
      <c r="P6153" s="26">
        <f>0.00012*M6153</f>
        <v>0</v>
      </c>
      <c r="Q6153" s="30"/>
      <c r="R6153" s="22" t="s">
        <v>22013</v>
      </c>
      <c r="S6153" s="22"/>
      <c r="T6153" s="21" t="str">
        <f>HYPERLINK("https://miland.ru/api/getInfo/image/a3605a83-6bd7-11ed-a22a-00155d82e902")</f>
        <v>https://miland.ru/api/getInfo/image/a3605a83-6bd7-11ed-a22a-00155d82e902</v>
      </c>
      <c r="U6153" s="21"/>
      <c r="V6153" s="21" t="s">
        <v>1818</v>
      </c>
      <c r="W6153" s="21" t="s">
        <v>1819</v>
      </c>
      <c r="X6153" s="21" t="s">
        <v>172</v>
      </c>
      <c r="Y6153" s="21" t="s">
        <v>477</v>
      </c>
      <c r="Z6153" s="21" t="s">
        <v>22014</v>
      </c>
      <c r="AA6153" s="21" t="str">
        <f>HYPERLINK("https://miland.ru/api/getInfo/item/a3605a83-6bd7-11ed-a22a-00155d82e902")</f>
        <v>https://miland.ru/api/getInfo/item/a3605a83-6bd7-11ed-a22a-00155d82e902</v>
      </c>
      <c r="AB6153" s="21" t="s">
        <v>50</v>
      </c>
      <c r="AC6153" s="21"/>
      <c r="AD6153" s="21"/>
    </row>
    <row r="6154" spans="2:30" s="1" customFormat="1" ht="96.3" customHeight="1" outlineLevel="5">
      <c r="B6154" s="57">
        <v>5053</v>
      </c>
      <c r="C6154" s="21" t="s">
        <v>22015</v>
      </c>
      <c r="D6154" s="72" t="s">
        <v>22016</v>
      </c>
      <c r="E6154" s="72"/>
      <c r="F6154" s="72"/>
      <c r="G6154" s="72"/>
      <c r="H6154" s="22" t="s">
        <v>22017</v>
      </c>
      <c r="I6154" s="27">
        <v>223</v>
      </c>
      <c r="J6154" s="22"/>
      <c r="K6154" s="20">
        <v>6</v>
      </c>
      <c r="L6154" s="24">
        <v>108.71</v>
      </c>
      <c r="M6154" s="11"/>
      <c r="N6154" s="22">
        <f t="shared" si="359"/>
        <v>0</v>
      </c>
      <c r="O6154" s="25">
        <f>0.065*M6154</f>
        <v>0</v>
      </c>
      <c r="P6154" s="26">
        <f>0.00012*M6154</f>
        <v>0</v>
      </c>
      <c r="Q6154" s="30"/>
      <c r="R6154" s="22" t="s">
        <v>22018</v>
      </c>
      <c r="S6154" s="22"/>
      <c r="T6154" s="21" t="str">
        <f>HYPERLINK("https://miland.ru/api/getInfo/image/3e37163e-6bd7-11ed-a22a-00155d82e902")</f>
        <v>https://miland.ru/api/getInfo/image/3e37163e-6bd7-11ed-a22a-00155d82e902</v>
      </c>
      <c r="U6154" s="21"/>
      <c r="V6154" s="21" t="s">
        <v>1818</v>
      </c>
      <c r="W6154" s="21" t="s">
        <v>1819</v>
      </c>
      <c r="X6154" s="21" t="s">
        <v>172</v>
      </c>
      <c r="Y6154" s="21" t="s">
        <v>477</v>
      </c>
      <c r="Z6154" s="21" t="s">
        <v>22019</v>
      </c>
      <c r="AA6154" s="21" t="str">
        <f>HYPERLINK("https://miland.ru/api/getInfo/item/3e37163e-6bd7-11ed-a22a-00155d82e902")</f>
        <v>https://miland.ru/api/getInfo/item/3e37163e-6bd7-11ed-a22a-00155d82e902</v>
      </c>
      <c r="AB6154" s="21" t="s">
        <v>50</v>
      </c>
      <c r="AC6154" s="21"/>
      <c r="AD6154" s="21"/>
    </row>
    <row r="6155" spans="2:30" s="1" customFormat="1" ht="96.3" customHeight="1" outlineLevel="5">
      <c r="B6155" s="57">
        <v>5054</v>
      </c>
      <c r="C6155" s="21" t="s">
        <v>22020</v>
      </c>
      <c r="D6155" s="72" t="s">
        <v>22021</v>
      </c>
      <c r="E6155" s="72"/>
      <c r="F6155" s="72"/>
      <c r="G6155" s="72"/>
      <c r="H6155" s="22" t="s">
        <v>22022</v>
      </c>
      <c r="I6155" s="23" t="s">
        <v>36</v>
      </c>
      <c r="J6155" s="22"/>
      <c r="K6155" s="20">
        <v>6</v>
      </c>
      <c r="L6155" s="24">
        <v>108.71</v>
      </c>
      <c r="M6155" s="11"/>
      <c r="N6155" s="22">
        <f t="shared" si="359"/>
        <v>0</v>
      </c>
      <c r="O6155" s="25">
        <f>0.062*M6155</f>
        <v>0</v>
      </c>
      <c r="P6155" s="26">
        <f>0.00013*M6155</f>
        <v>0</v>
      </c>
      <c r="Q6155" s="30"/>
      <c r="R6155" s="22" t="s">
        <v>22023</v>
      </c>
      <c r="S6155" s="22"/>
      <c r="T6155" s="21" t="str">
        <f>HYPERLINK("https://miland.ru/api/getInfo/image/41a18f1f-fc55-11ec-a213-ac1f6b442185")</f>
        <v>https://miland.ru/api/getInfo/image/41a18f1f-fc55-11ec-a213-ac1f6b442185</v>
      </c>
      <c r="U6155" s="21"/>
      <c r="V6155" s="21" t="s">
        <v>1818</v>
      </c>
      <c r="W6155" s="21" t="s">
        <v>1819</v>
      </c>
      <c r="X6155" s="21" t="s">
        <v>172</v>
      </c>
      <c r="Y6155" s="21" t="s">
        <v>477</v>
      </c>
      <c r="Z6155" s="21" t="s">
        <v>22024</v>
      </c>
      <c r="AA6155" s="21" t="str">
        <f>HYPERLINK("https://miland.ru/api/getInfo/item/41a18f1f-fc55-11ec-a213-ac1f6b442185")</f>
        <v>https://miland.ru/api/getInfo/item/41a18f1f-fc55-11ec-a213-ac1f6b442185</v>
      </c>
      <c r="AB6155" s="21" t="s">
        <v>50</v>
      </c>
      <c r="AC6155" s="21"/>
      <c r="AD6155" s="21"/>
    </row>
    <row r="6156" spans="2:30" s="1" customFormat="1" ht="96.3" customHeight="1" outlineLevel="5">
      <c r="B6156" s="57">
        <v>5055</v>
      </c>
      <c r="C6156" s="21" t="s">
        <v>22025</v>
      </c>
      <c r="D6156" s="72" t="s">
        <v>22026</v>
      </c>
      <c r="E6156" s="72"/>
      <c r="F6156" s="72"/>
      <c r="G6156" s="72"/>
      <c r="H6156" s="22" t="s">
        <v>22027</v>
      </c>
      <c r="I6156" s="23" t="s">
        <v>36</v>
      </c>
      <c r="J6156" s="22"/>
      <c r="K6156" s="20">
        <v>6</v>
      </c>
      <c r="L6156" s="24">
        <v>108.71</v>
      </c>
      <c r="M6156" s="11"/>
      <c r="N6156" s="22">
        <f t="shared" si="359"/>
        <v>0</v>
      </c>
      <c r="O6156" s="25">
        <f>0.063*M6156</f>
        <v>0</v>
      </c>
      <c r="P6156" s="26">
        <f>0.00013*M6156</f>
        <v>0</v>
      </c>
      <c r="Q6156" s="30"/>
      <c r="R6156" s="22" t="s">
        <v>22028</v>
      </c>
      <c r="S6156" s="22"/>
      <c r="T6156" s="21" t="str">
        <f>HYPERLINK("https://miland.ru/api/getInfo/image/0fad5537-7139-11f0-a284-00155d82e908")</f>
        <v>https://miland.ru/api/getInfo/image/0fad5537-7139-11f0-a284-00155d82e908</v>
      </c>
      <c r="U6156" s="21"/>
      <c r="V6156" s="21" t="s">
        <v>1818</v>
      </c>
      <c r="W6156" s="21" t="s">
        <v>1819</v>
      </c>
      <c r="X6156" s="21" t="s">
        <v>172</v>
      </c>
      <c r="Y6156" s="21" t="s">
        <v>477</v>
      </c>
      <c r="Z6156" s="21" t="s">
        <v>22029</v>
      </c>
      <c r="AA6156" s="21" t="str">
        <f>HYPERLINK("https://miland.ru/api/getInfo/item/0fad5537-7139-11f0-a284-00155d82e908")</f>
        <v>https://miland.ru/api/getInfo/item/0fad5537-7139-11f0-a284-00155d82e908</v>
      </c>
      <c r="AB6156" s="21" t="s">
        <v>50</v>
      </c>
      <c r="AC6156" s="21"/>
      <c r="AD6156" s="21"/>
    </row>
    <row r="6157" spans="2:30" s="1" customFormat="1" ht="96.3" customHeight="1" outlineLevel="5">
      <c r="B6157" s="57">
        <v>5056</v>
      </c>
      <c r="C6157" s="21" t="s">
        <v>22030</v>
      </c>
      <c r="D6157" s="72" t="s">
        <v>22031</v>
      </c>
      <c r="E6157" s="72"/>
      <c r="F6157" s="72"/>
      <c r="G6157" s="72"/>
      <c r="H6157" s="22" t="s">
        <v>21873</v>
      </c>
      <c r="I6157" s="23" t="s">
        <v>36</v>
      </c>
      <c r="J6157" s="22"/>
      <c r="K6157" s="20">
        <v>12</v>
      </c>
      <c r="L6157" s="24">
        <v>108.71</v>
      </c>
      <c r="M6157" s="11"/>
      <c r="N6157" s="22">
        <f t="shared" si="359"/>
        <v>0</v>
      </c>
      <c r="O6157" s="25">
        <f>0.042*M6157</f>
        <v>0</v>
      </c>
      <c r="P6157" s="26">
        <f>0.00008*M6157</f>
        <v>0</v>
      </c>
      <c r="Q6157" s="30"/>
      <c r="R6157" s="22"/>
      <c r="S6157" s="22"/>
      <c r="T6157" s="21" t="str">
        <f>HYPERLINK("https://miland.ru/api/getInfo/image/fd430b3e-d366-11e8-a20d-ac1f6b442184")</f>
        <v>https://miland.ru/api/getInfo/image/fd430b3e-d366-11e8-a20d-ac1f6b442184</v>
      </c>
      <c r="U6157" s="21"/>
      <c r="V6157" s="21"/>
      <c r="W6157" s="21"/>
      <c r="X6157" s="21" t="s">
        <v>172</v>
      </c>
      <c r="Y6157" s="21" t="s">
        <v>477</v>
      </c>
      <c r="Z6157" s="21"/>
      <c r="AA6157" s="21" t="str">
        <f>HYPERLINK("https://miland.ru/api/getInfo/item/fd430b3e-d366-11e8-a20d-ac1f6b442184")</f>
        <v>https://miland.ru/api/getInfo/item/fd430b3e-d366-11e8-a20d-ac1f6b442184</v>
      </c>
      <c r="AB6157" s="21" t="s">
        <v>50</v>
      </c>
      <c r="AC6157" s="21"/>
      <c r="AD6157" s="21" t="s">
        <v>21874</v>
      </c>
    </row>
    <row r="6158" spans="2:30" s="1" customFormat="1" ht="96.3" customHeight="1" outlineLevel="5">
      <c r="B6158" s="57">
        <v>5057</v>
      </c>
      <c r="C6158" s="21" t="s">
        <v>22032</v>
      </c>
      <c r="D6158" s="72" t="s">
        <v>22033</v>
      </c>
      <c r="E6158" s="72"/>
      <c r="F6158" s="72"/>
      <c r="G6158" s="72"/>
      <c r="H6158" s="22" t="s">
        <v>22034</v>
      </c>
      <c r="I6158" s="23" t="s">
        <v>36</v>
      </c>
      <c r="J6158" s="22"/>
      <c r="K6158" s="20">
        <v>6</v>
      </c>
      <c r="L6158" s="24">
        <v>108.71</v>
      </c>
      <c r="M6158" s="11"/>
      <c r="N6158" s="22">
        <f t="shared" si="359"/>
        <v>0</v>
      </c>
      <c r="O6158" s="25">
        <f>0.063*M6158</f>
        <v>0</v>
      </c>
      <c r="P6158" s="26">
        <f>0.00013*M6158</f>
        <v>0</v>
      </c>
      <c r="Q6158" s="30"/>
      <c r="R6158" s="22" t="s">
        <v>22035</v>
      </c>
      <c r="S6158" s="22"/>
      <c r="T6158" s="21" t="str">
        <f>HYPERLINK("https://miland.ru/api/getInfo/image/2a0eeab1-7139-11f0-a284-00155d82e908")</f>
        <v>https://miland.ru/api/getInfo/image/2a0eeab1-7139-11f0-a284-00155d82e908</v>
      </c>
      <c r="U6158" s="21"/>
      <c r="V6158" s="21" t="s">
        <v>1818</v>
      </c>
      <c r="W6158" s="21" t="s">
        <v>1819</v>
      </c>
      <c r="X6158" s="21" t="s">
        <v>172</v>
      </c>
      <c r="Y6158" s="21" t="s">
        <v>477</v>
      </c>
      <c r="Z6158" s="21" t="s">
        <v>22036</v>
      </c>
      <c r="AA6158" s="21" t="str">
        <f>HYPERLINK("https://miland.ru/api/getInfo/item/2a0eeab1-7139-11f0-a284-00155d82e908")</f>
        <v>https://miland.ru/api/getInfo/item/2a0eeab1-7139-11f0-a284-00155d82e908</v>
      </c>
      <c r="AB6158" s="21" t="s">
        <v>50</v>
      </c>
      <c r="AC6158" s="21"/>
      <c r="AD6158" s="21"/>
    </row>
    <row r="6159" spans="2:30" s="1" customFormat="1" ht="96.3" customHeight="1" outlineLevel="5">
      <c r="B6159" s="57">
        <v>5058</v>
      </c>
      <c r="C6159" s="21" t="s">
        <v>22037</v>
      </c>
      <c r="D6159" s="72" t="s">
        <v>22038</v>
      </c>
      <c r="E6159" s="72"/>
      <c r="F6159" s="72"/>
      <c r="G6159" s="72"/>
      <c r="H6159" s="22" t="s">
        <v>22039</v>
      </c>
      <c r="I6159" s="23" t="s">
        <v>36</v>
      </c>
      <c r="J6159" s="22"/>
      <c r="K6159" s="20">
        <v>6</v>
      </c>
      <c r="L6159" s="24">
        <v>108.71</v>
      </c>
      <c r="M6159" s="11"/>
      <c r="N6159" s="22">
        <f t="shared" si="359"/>
        <v>0</v>
      </c>
      <c r="O6159" s="28">
        <f>0.06*M6159</f>
        <v>0</v>
      </c>
      <c r="P6159" s="26">
        <f>0.00012*M6159</f>
        <v>0</v>
      </c>
      <c r="Q6159" s="30"/>
      <c r="R6159" s="22" t="s">
        <v>22040</v>
      </c>
      <c r="S6159" s="22"/>
      <c r="T6159" s="21" t="str">
        <f>HYPERLINK("https://miland.ru/api/getInfo/image/60d6bfbd-7139-11f0-a284-00155d82e908")</f>
        <v>https://miland.ru/api/getInfo/image/60d6bfbd-7139-11f0-a284-00155d82e908</v>
      </c>
      <c r="U6159" s="21"/>
      <c r="V6159" s="21" t="s">
        <v>1818</v>
      </c>
      <c r="W6159" s="21" t="s">
        <v>1819</v>
      </c>
      <c r="X6159" s="21" t="s">
        <v>172</v>
      </c>
      <c r="Y6159" s="21" t="s">
        <v>477</v>
      </c>
      <c r="Z6159" s="21" t="s">
        <v>22041</v>
      </c>
      <c r="AA6159" s="21" t="str">
        <f>HYPERLINK("https://miland.ru/api/getInfo/item/60d6bfbd-7139-11f0-a284-00155d82e908")</f>
        <v>https://miland.ru/api/getInfo/item/60d6bfbd-7139-11f0-a284-00155d82e908</v>
      </c>
      <c r="AB6159" s="21" t="s">
        <v>50</v>
      </c>
      <c r="AC6159" s="21"/>
      <c r="AD6159" s="21"/>
    </row>
    <row r="6160" spans="2:30" s="1" customFormat="1" ht="96.3" customHeight="1" outlineLevel="5">
      <c r="B6160" s="57">
        <v>5059</v>
      </c>
      <c r="C6160" s="21" t="s">
        <v>22042</v>
      </c>
      <c r="D6160" s="72" t="s">
        <v>22043</v>
      </c>
      <c r="E6160" s="72"/>
      <c r="F6160" s="72"/>
      <c r="G6160" s="72"/>
      <c r="H6160" s="22" t="s">
        <v>22044</v>
      </c>
      <c r="I6160" s="23" t="s">
        <v>36</v>
      </c>
      <c r="J6160" s="22"/>
      <c r="K6160" s="20">
        <v>6</v>
      </c>
      <c r="L6160" s="24">
        <v>108.71</v>
      </c>
      <c r="M6160" s="11"/>
      <c r="N6160" s="22">
        <f t="shared" si="359"/>
        <v>0</v>
      </c>
      <c r="O6160" s="25">
        <f>0.064*M6160</f>
        <v>0</v>
      </c>
      <c r="P6160" s="26">
        <f>0.00013*M6160</f>
        <v>0</v>
      </c>
      <c r="Q6160" s="30"/>
      <c r="R6160" s="22" t="s">
        <v>22045</v>
      </c>
      <c r="S6160" s="22"/>
      <c r="T6160" s="21" t="str">
        <f>HYPERLINK("https://miland.ru/api/getInfo/image/46d7e439-7139-11f0-a284-00155d82e908")</f>
        <v>https://miland.ru/api/getInfo/image/46d7e439-7139-11f0-a284-00155d82e908</v>
      </c>
      <c r="U6160" s="21"/>
      <c r="V6160" s="21" t="s">
        <v>1818</v>
      </c>
      <c r="W6160" s="21" t="s">
        <v>1819</v>
      </c>
      <c r="X6160" s="21" t="s">
        <v>172</v>
      </c>
      <c r="Y6160" s="21" t="s">
        <v>477</v>
      </c>
      <c r="Z6160" s="21" t="s">
        <v>22046</v>
      </c>
      <c r="AA6160" s="21" t="str">
        <f>HYPERLINK("https://miland.ru/api/getInfo/item/46d7e439-7139-11f0-a284-00155d82e908")</f>
        <v>https://miland.ru/api/getInfo/item/46d7e439-7139-11f0-a284-00155d82e908</v>
      </c>
      <c r="AB6160" s="21" t="s">
        <v>50</v>
      </c>
      <c r="AC6160" s="21"/>
      <c r="AD6160" s="21"/>
    </row>
    <row r="6161" spans="2:30" s="1" customFormat="1" ht="96.3" customHeight="1" outlineLevel="5">
      <c r="B6161" s="57">
        <v>5060</v>
      </c>
      <c r="C6161" s="21" t="s">
        <v>22047</v>
      </c>
      <c r="D6161" s="72" t="s">
        <v>22048</v>
      </c>
      <c r="E6161" s="72"/>
      <c r="F6161" s="72"/>
      <c r="G6161" s="72"/>
      <c r="H6161" s="22" t="s">
        <v>22049</v>
      </c>
      <c r="I6161" s="23" t="s">
        <v>36</v>
      </c>
      <c r="J6161" s="22"/>
      <c r="K6161" s="20">
        <v>6</v>
      </c>
      <c r="L6161" s="24">
        <v>108.71</v>
      </c>
      <c r="M6161" s="11"/>
      <c r="N6161" s="22">
        <f t="shared" si="359"/>
        <v>0</v>
      </c>
      <c r="O6161" s="25">
        <f>0.064*M6161</f>
        <v>0</v>
      </c>
      <c r="P6161" s="26">
        <f>0.00013*M6161</f>
        <v>0</v>
      </c>
      <c r="Q6161" s="30"/>
      <c r="R6161" s="22" t="s">
        <v>22050</v>
      </c>
      <c r="S6161" s="22"/>
      <c r="T6161" s="21" t="str">
        <f>HYPERLINK("https://miland.ru/api/getInfo/image/750e42e6-7139-11f0-a284-00155d82e908")</f>
        <v>https://miland.ru/api/getInfo/image/750e42e6-7139-11f0-a284-00155d82e908</v>
      </c>
      <c r="U6161" s="21"/>
      <c r="V6161" s="21" t="s">
        <v>1818</v>
      </c>
      <c r="W6161" s="21" t="s">
        <v>1819</v>
      </c>
      <c r="X6161" s="21" t="s">
        <v>172</v>
      </c>
      <c r="Y6161" s="21" t="s">
        <v>477</v>
      </c>
      <c r="Z6161" s="21" t="s">
        <v>22051</v>
      </c>
      <c r="AA6161" s="21" t="str">
        <f>HYPERLINK("https://miland.ru/api/getInfo/item/750e42e6-7139-11f0-a284-00155d82e908")</f>
        <v>https://miland.ru/api/getInfo/item/750e42e6-7139-11f0-a284-00155d82e908</v>
      </c>
      <c r="AB6161" s="21" t="s">
        <v>50</v>
      </c>
      <c r="AC6161" s="21"/>
      <c r="AD6161" s="21"/>
    </row>
    <row r="6162" spans="2:30" s="1" customFormat="1" ht="96.3" customHeight="1" outlineLevel="5">
      <c r="B6162" s="57">
        <v>5061</v>
      </c>
      <c r="C6162" s="21" t="s">
        <v>22052</v>
      </c>
      <c r="D6162" s="72" t="s">
        <v>22053</v>
      </c>
      <c r="E6162" s="72"/>
      <c r="F6162" s="72"/>
      <c r="G6162" s="72"/>
      <c r="H6162" s="22" t="s">
        <v>22054</v>
      </c>
      <c r="I6162" s="23" t="s">
        <v>36</v>
      </c>
      <c r="J6162" s="22"/>
      <c r="K6162" s="20">
        <v>6</v>
      </c>
      <c r="L6162" s="24">
        <v>108.71</v>
      </c>
      <c r="M6162" s="11"/>
      <c r="N6162" s="22">
        <f t="shared" si="359"/>
        <v>0</v>
      </c>
      <c r="O6162" s="25">
        <f>0.068*M6162</f>
        <v>0</v>
      </c>
      <c r="P6162" s="26">
        <f>0.00012*M6162</f>
        <v>0</v>
      </c>
      <c r="Q6162" s="30"/>
      <c r="R6162" s="22" t="s">
        <v>22055</v>
      </c>
      <c r="S6162" s="22"/>
      <c r="T6162" s="21" t="str">
        <f>HYPERLINK("https://miland.ru/api/getInfo/image/963bcfcf-7138-11f0-a284-00155d82e908")</f>
        <v>https://miland.ru/api/getInfo/image/963bcfcf-7138-11f0-a284-00155d82e908</v>
      </c>
      <c r="U6162" s="21"/>
      <c r="V6162" s="21" t="s">
        <v>1818</v>
      </c>
      <c r="W6162" s="21" t="s">
        <v>1819</v>
      </c>
      <c r="X6162" s="21" t="s">
        <v>172</v>
      </c>
      <c r="Y6162" s="21" t="s">
        <v>477</v>
      </c>
      <c r="Z6162" s="21" t="s">
        <v>22056</v>
      </c>
      <c r="AA6162" s="21" t="str">
        <f>HYPERLINK("https://miland.ru/api/getInfo/item/963bcfcf-7138-11f0-a284-00155d82e908")</f>
        <v>https://miland.ru/api/getInfo/item/963bcfcf-7138-11f0-a284-00155d82e908</v>
      </c>
      <c r="AB6162" s="21" t="s">
        <v>50</v>
      </c>
      <c r="AC6162" s="21"/>
      <c r="AD6162" s="21"/>
    </row>
    <row r="6163" spans="2:30" s="1" customFormat="1" ht="96.3" customHeight="1" outlineLevel="5">
      <c r="B6163" s="57">
        <v>5062</v>
      </c>
      <c r="C6163" s="21" t="s">
        <v>22057</v>
      </c>
      <c r="D6163" s="72" t="s">
        <v>22058</v>
      </c>
      <c r="E6163" s="72"/>
      <c r="F6163" s="72"/>
      <c r="G6163" s="72"/>
      <c r="H6163" s="22" t="s">
        <v>22059</v>
      </c>
      <c r="I6163" s="23" t="s">
        <v>36</v>
      </c>
      <c r="J6163" s="22"/>
      <c r="K6163" s="20">
        <v>6</v>
      </c>
      <c r="L6163" s="24">
        <v>108.71</v>
      </c>
      <c r="M6163" s="11"/>
      <c r="N6163" s="22">
        <f t="shared" si="359"/>
        <v>0</v>
      </c>
      <c r="O6163" s="28">
        <f>0.06*M6163</f>
        <v>0</v>
      </c>
      <c r="P6163" s="26">
        <f>0.00011*M6163</f>
        <v>0</v>
      </c>
      <c r="Q6163" s="30"/>
      <c r="R6163" s="22" t="s">
        <v>22060</v>
      </c>
      <c r="S6163" s="22"/>
      <c r="T6163" s="21" t="str">
        <f>HYPERLINK("https://miland.ru/api/getInfo/image/2ed5fca1-63cf-11e8-84c9-5cf3fc4a2490")</f>
        <v>https://miland.ru/api/getInfo/image/2ed5fca1-63cf-11e8-84c9-5cf3fc4a2490</v>
      </c>
      <c r="U6163" s="21"/>
      <c r="V6163" s="21" t="s">
        <v>1818</v>
      </c>
      <c r="W6163" s="21" t="s">
        <v>1819</v>
      </c>
      <c r="X6163" s="21" t="s">
        <v>172</v>
      </c>
      <c r="Y6163" s="21" t="s">
        <v>477</v>
      </c>
      <c r="Z6163" s="21" t="s">
        <v>22061</v>
      </c>
      <c r="AA6163" s="21" t="str">
        <f>HYPERLINK("https://miland.ru/api/getInfo/item/2ed5fca1-63cf-11e8-84c9-5cf3fc4a2490")</f>
        <v>https://miland.ru/api/getInfo/item/2ed5fca1-63cf-11e8-84c9-5cf3fc4a2490</v>
      </c>
      <c r="AB6163" s="21" t="s">
        <v>50</v>
      </c>
      <c r="AC6163" s="21"/>
      <c r="AD6163" s="21"/>
    </row>
    <row r="6164" spans="2:30" ht="12" customHeight="1" outlineLevel="4">
      <c r="B6164" s="70" t="s">
        <v>22062</v>
      </c>
      <c r="C6164" s="70"/>
      <c r="D6164" s="70"/>
      <c r="E6164" s="70"/>
      <c r="F6164" s="70"/>
      <c r="G6164" s="70"/>
    </row>
    <row r="6165" spans="2:30" s="1" customFormat="1" ht="96.3" customHeight="1" outlineLevel="5">
      <c r="B6165" s="57">
        <v>5063</v>
      </c>
      <c r="C6165" s="21" t="s">
        <v>22063</v>
      </c>
      <c r="D6165" s="72" t="s">
        <v>22064</v>
      </c>
      <c r="E6165" s="72"/>
      <c r="F6165" s="72"/>
      <c r="G6165" s="72"/>
      <c r="H6165" s="22" t="s">
        <v>22065</v>
      </c>
      <c r="I6165" s="27">
        <v>374</v>
      </c>
      <c r="J6165" s="22"/>
      <c r="K6165" s="20">
        <v>3</v>
      </c>
      <c r="L6165" s="24">
        <v>199.85</v>
      </c>
      <c r="M6165" s="11"/>
      <c r="N6165" s="22">
        <f>L6165*M6165</f>
        <v>0</v>
      </c>
      <c r="O6165" s="28">
        <f>0.13*M6165</f>
        <v>0</v>
      </c>
      <c r="P6165" s="26">
        <f>0.00034*M6165</f>
        <v>0</v>
      </c>
      <c r="Q6165" s="30"/>
      <c r="R6165" s="22" t="s">
        <v>22066</v>
      </c>
      <c r="S6165" s="22" t="s">
        <v>435</v>
      </c>
      <c r="T6165" s="21" t="str">
        <f>HYPERLINK("https://miland.ru/api/getInfo/image/007bc427-fd90-11e5-b4aa-5cf3fc4a2490")</f>
        <v>https://miland.ru/api/getInfo/image/007bc427-fd90-11e5-b4aa-5cf3fc4a2490</v>
      </c>
      <c r="U6165" s="21"/>
      <c r="V6165" s="21" t="s">
        <v>1818</v>
      </c>
      <c r="W6165" s="21" t="s">
        <v>1819</v>
      </c>
      <c r="X6165" s="21" t="s">
        <v>172</v>
      </c>
      <c r="Y6165" s="21" t="s">
        <v>477</v>
      </c>
      <c r="Z6165" s="21" t="s">
        <v>22067</v>
      </c>
      <c r="AA6165" s="21" t="str">
        <f>HYPERLINK("https://miland.ru/api/getInfo/item/007bc427-fd90-11e5-b4aa-5cf3fc4a2490")</f>
        <v>https://miland.ru/api/getInfo/item/007bc427-fd90-11e5-b4aa-5cf3fc4a2490</v>
      </c>
      <c r="AB6165" s="21" t="s">
        <v>50</v>
      </c>
      <c r="AC6165" s="21" t="s">
        <v>22068</v>
      </c>
      <c r="AD6165" s="21"/>
    </row>
    <row r="6166" spans="2:30" ht="12" customHeight="1" outlineLevel="4">
      <c r="B6166" s="70" t="s">
        <v>22069</v>
      </c>
      <c r="C6166" s="70"/>
      <c r="D6166" s="70"/>
      <c r="E6166" s="70"/>
      <c r="F6166" s="70"/>
      <c r="G6166" s="70"/>
    </row>
    <row r="6167" spans="2:30" s="1" customFormat="1" ht="96.3" customHeight="1" outlineLevel="5">
      <c r="B6167" s="57">
        <v>5064</v>
      </c>
      <c r="C6167" s="21" t="s">
        <v>22070</v>
      </c>
      <c r="D6167" s="72" t="s">
        <v>22071</v>
      </c>
      <c r="E6167" s="72"/>
      <c r="F6167" s="72"/>
      <c r="G6167" s="72"/>
      <c r="H6167" s="22" t="s">
        <v>22072</v>
      </c>
      <c r="I6167" s="23" t="s">
        <v>36</v>
      </c>
      <c r="J6167" s="22"/>
      <c r="K6167" s="20">
        <v>3</v>
      </c>
      <c r="L6167" s="24">
        <v>184.68</v>
      </c>
      <c r="M6167" s="11"/>
      <c r="N6167" s="22">
        <f>L6167*M6167</f>
        <v>0</v>
      </c>
      <c r="O6167" s="25">
        <f>0.073*M6167</f>
        <v>0</v>
      </c>
      <c r="P6167" s="26">
        <f>0.00038*M6167</f>
        <v>0</v>
      </c>
      <c r="Q6167" s="30"/>
      <c r="R6167" s="22" t="s">
        <v>22073</v>
      </c>
      <c r="S6167" s="22" t="s">
        <v>435</v>
      </c>
      <c r="T6167" s="21" t="str">
        <f>HYPERLINK("https://miland.ru/api/getInfo/image/5cec89ed-9a0a-11ec-a211-ac1f6b442185")</f>
        <v>https://miland.ru/api/getInfo/image/5cec89ed-9a0a-11ec-a211-ac1f6b442185</v>
      </c>
      <c r="U6167" s="21"/>
      <c r="V6167" s="21" t="s">
        <v>1818</v>
      </c>
      <c r="W6167" s="21" t="s">
        <v>1819</v>
      </c>
      <c r="X6167" s="21" t="s">
        <v>172</v>
      </c>
      <c r="Y6167" s="21" t="s">
        <v>477</v>
      </c>
      <c r="Z6167" s="21" t="s">
        <v>22074</v>
      </c>
      <c r="AA6167" s="21" t="str">
        <f>HYPERLINK("https://miland.ru/api/getInfo/item/5cec89ed-9a0a-11ec-a211-ac1f6b442185")</f>
        <v>https://miland.ru/api/getInfo/item/5cec89ed-9a0a-11ec-a211-ac1f6b442185</v>
      </c>
      <c r="AB6167" s="21" t="s">
        <v>50</v>
      </c>
      <c r="AC6167" s="21"/>
      <c r="AD6167" s="21"/>
    </row>
    <row r="6168" spans="2:30" s="1" customFormat="1" ht="96.3" customHeight="1" outlineLevel="5">
      <c r="B6168" s="57">
        <v>5065</v>
      </c>
      <c r="C6168" s="21" t="s">
        <v>22075</v>
      </c>
      <c r="D6168" s="72" t="s">
        <v>22076</v>
      </c>
      <c r="E6168" s="72"/>
      <c r="F6168" s="72"/>
      <c r="G6168" s="72"/>
      <c r="H6168" s="22" t="s">
        <v>22077</v>
      </c>
      <c r="I6168" s="27">
        <v>284</v>
      </c>
      <c r="J6168" s="22"/>
      <c r="K6168" s="20">
        <v>3</v>
      </c>
      <c r="L6168" s="24">
        <v>184.68</v>
      </c>
      <c r="M6168" s="11"/>
      <c r="N6168" s="22">
        <f>L6168*M6168</f>
        <v>0</v>
      </c>
      <c r="O6168" s="25">
        <f>0.089*M6168</f>
        <v>0</v>
      </c>
      <c r="P6168" s="26">
        <f>0.00038*M6168</f>
        <v>0</v>
      </c>
      <c r="Q6168" s="30"/>
      <c r="R6168" s="22" t="s">
        <v>22078</v>
      </c>
      <c r="S6168" s="22" t="s">
        <v>435</v>
      </c>
      <c r="T6168" s="21" t="str">
        <f>HYPERLINK("https://miland.ru/api/getInfo/image/5069d765-9a0b-11ec-a211-ac1f6b442185")</f>
        <v>https://miland.ru/api/getInfo/image/5069d765-9a0b-11ec-a211-ac1f6b442185</v>
      </c>
      <c r="U6168" s="21"/>
      <c r="V6168" s="21" t="s">
        <v>1818</v>
      </c>
      <c r="W6168" s="21" t="s">
        <v>1819</v>
      </c>
      <c r="X6168" s="21" t="s">
        <v>172</v>
      </c>
      <c r="Y6168" s="21" t="s">
        <v>477</v>
      </c>
      <c r="Z6168" s="21" t="s">
        <v>22079</v>
      </c>
      <c r="AA6168" s="21" t="str">
        <f>HYPERLINK("https://miland.ru/api/getInfo/item/5069d765-9a0b-11ec-a211-ac1f6b442185")</f>
        <v>https://miland.ru/api/getInfo/item/5069d765-9a0b-11ec-a211-ac1f6b442185</v>
      </c>
      <c r="AB6168" s="21" t="s">
        <v>50</v>
      </c>
      <c r="AC6168" s="21"/>
      <c r="AD6168" s="21"/>
    </row>
    <row r="6169" spans="2:30" s="1" customFormat="1" ht="96.3" customHeight="1" outlineLevel="5">
      <c r="B6169" s="57">
        <v>5066</v>
      </c>
      <c r="C6169" s="21" t="s">
        <v>22080</v>
      </c>
      <c r="D6169" s="72" t="s">
        <v>22081</v>
      </c>
      <c r="E6169" s="72"/>
      <c r="F6169" s="72"/>
      <c r="G6169" s="72"/>
      <c r="H6169" s="22" t="s">
        <v>22082</v>
      </c>
      <c r="I6169" s="23" t="s">
        <v>36</v>
      </c>
      <c r="J6169" s="22"/>
      <c r="K6169" s="20">
        <v>3</v>
      </c>
      <c r="L6169" s="24">
        <v>184.68</v>
      </c>
      <c r="M6169" s="11"/>
      <c r="N6169" s="22">
        <f>L6169*M6169</f>
        <v>0</v>
      </c>
      <c r="O6169" s="25">
        <f>0.077*M6169</f>
        <v>0</v>
      </c>
      <c r="P6169" s="26">
        <f>0.00038*M6169</f>
        <v>0</v>
      </c>
      <c r="Q6169" s="30"/>
      <c r="R6169" s="22" t="s">
        <v>22083</v>
      </c>
      <c r="S6169" s="22" t="s">
        <v>435</v>
      </c>
      <c r="T6169" s="21" t="str">
        <f>HYPERLINK("https://miland.ru/api/getInfo/image/c8fee5e9-9a0a-11ec-a211-ac1f6b442185")</f>
        <v>https://miland.ru/api/getInfo/image/c8fee5e9-9a0a-11ec-a211-ac1f6b442185</v>
      </c>
      <c r="U6169" s="21"/>
      <c r="V6169" s="21" t="s">
        <v>1818</v>
      </c>
      <c r="W6169" s="21" t="s">
        <v>1819</v>
      </c>
      <c r="X6169" s="21" t="s">
        <v>172</v>
      </c>
      <c r="Y6169" s="21" t="s">
        <v>477</v>
      </c>
      <c r="Z6169" s="21" t="s">
        <v>22084</v>
      </c>
      <c r="AA6169" s="21" t="str">
        <f>HYPERLINK("https://miland.ru/api/getInfo/item/c8fee5e9-9a0a-11ec-a211-ac1f6b442185")</f>
        <v>https://miland.ru/api/getInfo/item/c8fee5e9-9a0a-11ec-a211-ac1f6b442185</v>
      </c>
      <c r="AB6169" s="21" t="s">
        <v>50</v>
      </c>
      <c r="AC6169" s="21"/>
      <c r="AD6169" s="21"/>
    </row>
    <row r="6170" spans="2:30" ht="12" customHeight="1" outlineLevel="4">
      <c r="B6170" s="70" t="s">
        <v>22085</v>
      </c>
      <c r="C6170" s="70"/>
      <c r="D6170" s="70"/>
      <c r="E6170" s="70"/>
      <c r="F6170" s="70"/>
      <c r="G6170" s="70"/>
    </row>
    <row r="6171" spans="2:30" s="1" customFormat="1" ht="96.3" customHeight="1" outlineLevel="5">
      <c r="B6171" s="57">
        <v>5067</v>
      </c>
      <c r="C6171" s="21" t="s">
        <v>22086</v>
      </c>
      <c r="D6171" s="72" t="s">
        <v>22087</v>
      </c>
      <c r="E6171" s="72"/>
      <c r="F6171" s="72"/>
      <c r="G6171" s="72"/>
      <c r="H6171" s="22" t="s">
        <v>22088</v>
      </c>
      <c r="I6171" s="23" t="s">
        <v>36</v>
      </c>
      <c r="J6171" s="22"/>
      <c r="K6171" s="20">
        <v>1</v>
      </c>
      <c r="L6171" s="24">
        <v>598.59</v>
      </c>
      <c r="M6171" s="11"/>
      <c r="N6171" s="22">
        <f>L6171*M6171</f>
        <v>0</v>
      </c>
      <c r="O6171" s="28">
        <f>0.51*M6171</f>
        <v>0</v>
      </c>
      <c r="P6171" s="26">
        <f>0.00503*M6171</f>
        <v>0</v>
      </c>
      <c r="Q6171" s="30"/>
      <c r="R6171" s="22" t="s">
        <v>22089</v>
      </c>
      <c r="S6171" s="22"/>
      <c r="T6171" s="21" t="str">
        <f>HYPERLINK("https://miland.ru/api/getInfo/image/5de54d47-488a-11ed-a216-ac1f6b442185")</f>
        <v>https://miland.ru/api/getInfo/image/5de54d47-488a-11ed-a216-ac1f6b442185</v>
      </c>
      <c r="U6171" s="21"/>
      <c r="V6171" s="21"/>
      <c r="W6171" s="21"/>
      <c r="X6171" s="21"/>
      <c r="Y6171" s="21" t="s">
        <v>41</v>
      </c>
      <c r="Z6171" s="21"/>
      <c r="AA6171" s="21" t="str">
        <f>HYPERLINK("https://miland.ru/api/getInfo/item/5de54d47-488a-11ed-a216-ac1f6b442185")</f>
        <v>https://miland.ru/api/getInfo/item/5de54d47-488a-11ed-a216-ac1f6b442185</v>
      </c>
      <c r="AB6171" s="21" t="s">
        <v>50</v>
      </c>
      <c r="AC6171" s="21"/>
      <c r="AD6171" s="21"/>
    </row>
    <row r="6172" spans="2:30" ht="12" customHeight="1" outlineLevel="3">
      <c r="B6172" s="70" t="s">
        <v>22090</v>
      </c>
      <c r="C6172" s="70"/>
      <c r="D6172" s="70"/>
      <c r="E6172" s="70"/>
      <c r="F6172" s="70"/>
      <c r="G6172" s="70"/>
    </row>
    <row r="6173" spans="2:30" ht="12" customHeight="1" outlineLevel="4">
      <c r="B6173" s="70" t="s">
        <v>21835</v>
      </c>
      <c r="C6173" s="70"/>
      <c r="D6173" s="70"/>
      <c r="E6173" s="70"/>
      <c r="F6173" s="70"/>
      <c r="G6173" s="70"/>
    </row>
    <row r="6174" spans="2:30" s="1" customFormat="1" ht="96.3" customHeight="1" outlineLevel="5">
      <c r="B6174" s="57">
        <v>5068</v>
      </c>
      <c r="C6174" s="21" t="s">
        <v>22091</v>
      </c>
      <c r="D6174" s="72" t="s">
        <v>22092</v>
      </c>
      <c r="E6174" s="72"/>
      <c r="F6174" s="72"/>
      <c r="G6174" s="72"/>
      <c r="H6174" s="22" t="s">
        <v>22093</v>
      </c>
      <c r="I6174" s="23" t="s">
        <v>36</v>
      </c>
      <c r="J6174" s="22"/>
      <c r="K6174" s="20">
        <v>7</v>
      </c>
      <c r="L6174" s="24">
        <v>92.14</v>
      </c>
      <c r="M6174" s="11"/>
      <c r="N6174" s="22">
        <f>L6174*M6174</f>
        <v>0</v>
      </c>
      <c r="O6174" s="28">
        <f>0.04*M6174</f>
        <v>0</v>
      </c>
      <c r="P6174" s="26">
        <f>0.00008*M6174</f>
        <v>0</v>
      </c>
      <c r="Q6174" s="30"/>
      <c r="R6174" s="22" t="s">
        <v>22094</v>
      </c>
      <c r="S6174" s="22" t="s">
        <v>435</v>
      </c>
      <c r="T6174" s="21" t="str">
        <f>HYPERLINK("https://miland.ru/api/getInfo/image/58c2aede-fbb2-11e9-a236-ac1f6b442184")</f>
        <v>https://miland.ru/api/getInfo/image/58c2aede-fbb2-11e9-a236-ac1f6b442184</v>
      </c>
      <c r="U6174" s="21"/>
      <c r="V6174" s="21"/>
      <c r="W6174" s="21"/>
      <c r="X6174" s="21"/>
      <c r="Y6174" s="21" t="s">
        <v>41</v>
      </c>
      <c r="Z6174" s="21"/>
      <c r="AA6174" s="21" t="str">
        <f>HYPERLINK("https://miland.ru/api/getInfo/item/58c2aede-fbb2-11e9-a236-ac1f6b442184")</f>
        <v>https://miland.ru/api/getInfo/item/58c2aede-fbb2-11e9-a236-ac1f6b442184</v>
      </c>
      <c r="AB6174" s="21" t="s">
        <v>50</v>
      </c>
      <c r="AC6174" s="21"/>
      <c r="AD6174" s="21"/>
    </row>
    <row r="6175" spans="2:30" s="1" customFormat="1" ht="96.3" customHeight="1" outlineLevel="5">
      <c r="B6175" s="57">
        <v>5069</v>
      </c>
      <c r="C6175" s="21" t="s">
        <v>22095</v>
      </c>
      <c r="D6175" s="72" t="s">
        <v>22096</v>
      </c>
      <c r="E6175" s="72"/>
      <c r="F6175" s="72"/>
      <c r="G6175" s="72"/>
      <c r="H6175" s="22" t="s">
        <v>22097</v>
      </c>
      <c r="I6175" s="23" t="s">
        <v>36</v>
      </c>
      <c r="J6175" s="22"/>
      <c r="K6175" s="20">
        <v>7</v>
      </c>
      <c r="L6175" s="24">
        <v>92.14</v>
      </c>
      <c r="M6175" s="11"/>
      <c r="N6175" s="22">
        <f>L6175*M6175</f>
        <v>0</v>
      </c>
      <c r="O6175" s="25">
        <f>0.045*M6175</f>
        <v>0</v>
      </c>
      <c r="P6175" s="26">
        <f>0.00006*M6175</f>
        <v>0</v>
      </c>
      <c r="Q6175" s="30"/>
      <c r="R6175" s="22" t="s">
        <v>22098</v>
      </c>
      <c r="S6175" s="22"/>
      <c r="T6175" s="21" t="str">
        <f>HYPERLINK("https://miland.ru/api/getInfo/image/88088d88-be6b-11e9-a22f-ac1f6b442184")</f>
        <v>https://miland.ru/api/getInfo/image/88088d88-be6b-11e9-a22f-ac1f6b442184</v>
      </c>
      <c r="U6175" s="21"/>
      <c r="V6175" s="21"/>
      <c r="W6175" s="21"/>
      <c r="X6175" s="21"/>
      <c r="Y6175" s="21" t="s">
        <v>41</v>
      </c>
      <c r="Z6175" s="21"/>
      <c r="AA6175" s="21" t="str">
        <f>HYPERLINK("https://miland.ru/api/getInfo/item/88088d88-be6b-11e9-a22f-ac1f6b442184")</f>
        <v>https://miland.ru/api/getInfo/item/88088d88-be6b-11e9-a22f-ac1f6b442184</v>
      </c>
      <c r="AB6175" s="21" t="s">
        <v>50</v>
      </c>
      <c r="AC6175" s="21"/>
      <c r="AD6175" s="21"/>
    </row>
    <row r="6176" spans="2:30" s="1" customFormat="1" ht="96.3" customHeight="1" outlineLevel="5">
      <c r="B6176" s="57">
        <v>5070</v>
      </c>
      <c r="C6176" s="21" t="s">
        <v>22099</v>
      </c>
      <c r="D6176" s="72" t="s">
        <v>22100</v>
      </c>
      <c r="E6176" s="72"/>
      <c r="F6176" s="72"/>
      <c r="G6176" s="72"/>
      <c r="H6176" s="22" t="s">
        <v>22101</v>
      </c>
      <c r="I6176" s="23" t="s">
        <v>36</v>
      </c>
      <c r="J6176" s="22"/>
      <c r="K6176" s="20">
        <v>7</v>
      </c>
      <c r="L6176" s="24">
        <v>92.14</v>
      </c>
      <c r="M6176" s="11"/>
      <c r="N6176" s="22">
        <f>L6176*M6176</f>
        <v>0</v>
      </c>
      <c r="O6176" s="25">
        <f>0.035*M6176</f>
        <v>0</v>
      </c>
      <c r="P6176" s="26">
        <f>0.00011*M6176</f>
        <v>0</v>
      </c>
      <c r="Q6176" s="30"/>
      <c r="R6176" s="22" t="s">
        <v>22102</v>
      </c>
      <c r="S6176" s="22"/>
      <c r="T6176" s="21" t="str">
        <f>HYPERLINK("https://miland.ru/api/getInfo/image/da41f031-d368-11e8-a20d-ac1f6b442184")</f>
        <v>https://miland.ru/api/getInfo/image/da41f031-d368-11e8-a20d-ac1f6b442184</v>
      </c>
      <c r="U6176" s="21"/>
      <c r="V6176" s="21" t="s">
        <v>1818</v>
      </c>
      <c r="W6176" s="21" t="s">
        <v>1819</v>
      </c>
      <c r="X6176" s="21"/>
      <c r="Y6176" s="21" t="s">
        <v>41</v>
      </c>
      <c r="Z6176" s="21"/>
      <c r="AA6176" s="21" t="str">
        <f>HYPERLINK("https://miland.ru/api/getInfo/item/da41f031-d368-11e8-a20d-ac1f6b442184")</f>
        <v>https://miland.ru/api/getInfo/item/da41f031-d368-11e8-a20d-ac1f6b442184</v>
      </c>
      <c r="AB6176" s="21" t="s">
        <v>50</v>
      </c>
      <c r="AC6176" s="21"/>
      <c r="AD6176" s="21"/>
    </row>
    <row r="6177" spans="2:30" s="1" customFormat="1" ht="96.3" customHeight="1" outlineLevel="5">
      <c r="B6177" s="57">
        <v>5071</v>
      </c>
      <c r="C6177" s="21" t="s">
        <v>22103</v>
      </c>
      <c r="D6177" s="72" t="s">
        <v>22104</v>
      </c>
      <c r="E6177" s="72"/>
      <c r="F6177" s="72"/>
      <c r="G6177" s="72"/>
      <c r="H6177" s="22" t="s">
        <v>22105</v>
      </c>
      <c r="I6177" s="23" t="s">
        <v>36</v>
      </c>
      <c r="J6177" s="22"/>
      <c r="K6177" s="20">
        <v>7</v>
      </c>
      <c r="L6177" s="24">
        <v>92.14</v>
      </c>
      <c r="M6177" s="11"/>
      <c r="N6177" s="22">
        <f>L6177*M6177</f>
        <v>0</v>
      </c>
      <c r="O6177" s="25">
        <f>0.039*M6177</f>
        <v>0</v>
      </c>
      <c r="P6177" s="29">
        <f>0.0001*M6177</f>
        <v>0</v>
      </c>
      <c r="Q6177" s="30"/>
      <c r="R6177" s="22" t="s">
        <v>22106</v>
      </c>
      <c r="S6177" s="22"/>
      <c r="T6177" s="21" t="str">
        <f>HYPERLINK("https://miland.ru/api/getInfo/image/99360a6e-fbb2-11e9-a236-ac1f6b442184")</f>
        <v>https://miland.ru/api/getInfo/image/99360a6e-fbb2-11e9-a236-ac1f6b442184</v>
      </c>
      <c r="U6177" s="21"/>
      <c r="V6177" s="21"/>
      <c r="W6177" s="21"/>
      <c r="X6177" s="21"/>
      <c r="Y6177" s="21" t="s">
        <v>41</v>
      </c>
      <c r="Z6177" s="21"/>
      <c r="AA6177" s="21" t="str">
        <f>HYPERLINK("https://miland.ru/api/getInfo/item/99360a6e-fbb2-11e9-a236-ac1f6b442184")</f>
        <v>https://miland.ru/api/getInfo/item/99360a6e-fbb2-11e9-a236-ac1f6b442184</v>
      </c>
      <c r="AB6177" s="21" t="s">
        <v>50</v>
      </c>
      <c r="AC6177" s="21"/>
      <c r="AD6177" s="21"/>
    </row>
    <row r="6178" spans="2:30" ht="12" customHeight="1" outlineLevel="4">
      <c r="B6178" s="70" t="s">
        <v>21896</v>
      </c>
      <c r="C6178" s="70"/>
      <c r="D6178" s="70"/>
      <c r="E6178" s="70"/>
      <c r="F6178" s="70"/>
      <c r="G6178" s="70"/>
    </row>
    <row r="6179" spans="2:30" s="1" customFormat="1" ht="96.3" customHeight="1" outlineLevel="5">
      <c r="B6179" s="57">
        <v>5072</v>
      </c>
      <c r="C6179" s="21" t="s">
        <v>22107</v>
      </c>
      <c r="D6179" s="72" t="s">
        <v>22108</v>
      </c>
      <c r="E6179" s="72"/>
      <c r="F6179" s="72"/>
      <c r="G6179" s="72"/>
      <c r="H6179" s="22" t="s">
        <v>22109</v>
      </c>
      <c r="I6179" s="23" t="s">
        <v>36</v>
      </c>
      <c r="J6179" s="22"/>
      <c r="K6179" s="20">
        <v>6</v>
      </c>
      <c r="L6179" s="24">
        <v>111.43</v>
      </c>
      <c r="M6179" s="11"/>
      <c r="N6179" s="22">
        <f t="shared" ref="N6179:N6214" si="361">L6179*M6179</f>
        <v>0</v>
      </c>
      <c r="O6179" s="28">
        <f>0.06*M6179</f>
        <v>0</v>
      </c>
      <c r="P6179" s="26">
        <f>0.00011*M6179</f>
        <v>0</v>
      </c>
      <c r="Q6179" s="30"/>
      <c r="R6179" s="22" t="s">
        <v>22110</v>
      </c>
      <c r="S6179" s="22" t="s">
        <v>435</v>
      </c>
      <c r="T6179" s="21" t="str">
        <f>HYPERLINK("https://miland.ru/api/getInfo/image/f0ab95e6-fbb2-11e9-a236-ac1f6b442184")</f>
        <v>https://miland.ru/api/getInfo/image/f0ab95e6-fbb2-11e9-a236-ac1f6b442184</v>
      </c>
      <c r="U6179" s="21"/>
      <c r="V6179" s="21"/>
      <c r="W6179" s="21"/>
      <c r="X6179" s="21"/>
      <c r="Y6179" s="21" t="s">
        <v>41</v>
      </c>
      <c r="Z6179" s="21"/>
      <c r="AA6179" s="21" t="str">
        <f>HYPERLINK("https://miland.ru/api/getInfo/item/f0ab95e6-fbb2-11e9-a236-ac1f6b442184")</f>
        <v>https://miland.ru/api/getInfo/item/f0ab95e6-fbb2-11e9-a236-ac1f6b442184</v>
      </c>
      <c r="AB6179" s="21" t="s">
        <v>50</v>
      </c>
      <c r="AC6179" s="21"/>
      <c r="AD6179" s="21"/>
    </row>
    <row r="6180" spans="2:30" s="1" customFormat="1" ht="96.3" customHeight="1" outlineLevel="5">
      <c r="B6180" s="57">
        <v>5073</v>
      </c>
      <c r="C6180" s="21" t="s">
        <v>22111</v>
      </c>
      <c r="D6180" s="72" t="s">
        <v>22112</v>
      </c>
      <c r="E6180" s="72"/>
      <c r="F6180" s="72"/>
      <c r="G6180" s="72"/>
      <c r="H6180" s="22" t="s">
        <v>22113</v>
      </c>
      <c r="I6180" s="23" t="s">
        <v>36</v>
      </c>
      <c r="J6180" s="22"/>
      <c r="K6180" s="20">
        <v>6</v>
      </c>
      <c r="L6180" s="24">
        <v>111.43</v>
      </c>
      <c r="M6180" s="11"/>
      <c r="N6180" s="22">
        <f t="shared" si="361"/>
        <v>0</v>
      </c>
      <c r="O6180" s="28">
        <f>0.06*M6180</f>
        <v>0</v>
      </c>
      <c r="P6180" s="26">
        <f>0.00011*M6180</f>
        <v>0</v>
      </c>
      <c r="Q6180" s="30"/>
      <c r="R6180" s="22" t="s">
        <v>22114</v>
      </c>
      <c r="S6180" s="22"/>
      <c r="T6180" s="21" t="str">
        <f>HYPERLINK("https://miland.ru/api/getInfo/image/78eca0bf-fbb3-11e9-a236-ac1f6b442184")</f>
        <v>https://miland.ru/api/getInfo/image/78eca0bf-fbb3-11e9-a236-ac1f6b442184</v>
      </c>
      <c r="U6180" s="21"/>
      <c r="V6180" s="21"/>
      <c r="W6180" s="21"/>
      <c r="X6180" s="21"/>
      <c r="Y6180" s="21" t="s">
        <v>41</v>
      </c>
      <c r="Z6180" s="21"/>
      <c r="AA6180" s="21" t="str">
        <f>HYPERLINK("https://miland.ru/api/getInfo/item/78eca0bf-fbb3-11e9-a236-ac1f6b442184")</f>
        <v>https://miland.ru/api/getInfo/item/78eca0bf-fbb3-11e9-a236-ac1f6b442184</v>
      </c>
      <c r="AB6180" s="21" t="s">
        <v>50</v>
      </c>
      <c r="AC6180" s="21"/>
      <c r="AD6180" s="21"/>
    </row>
    <row r="6181" spans="2:30" s="1" customFormat="1" ht="96.3" customHeight="1" outlineLevel="5">
      <c r="B6181" s="57">
        <v>5074</v>
      </c>
      <c r="C6181" s="21" t="s">
        <v>22115</v>
      </c>
      <c r="D6181" s="72" t="s">
        <v>22116</v>
      </c>
      <c r="E6181" s="72"/>
      <c r="F6181" s="72"/>
      <c r="G6181" s="72"/>
      <c r="H6181" s="22" t="s">
        <v>22117</v>
      </c>
      <c r="I6181" s="23" t="s">
        <v>36</v>
      </c>
      <c r="J6181" s="22"/>
      <c r="K6181" s="20">
        <v>6</v>
      </c>
      <c r="L6181" s="24">
        <v>111.43</v>
      </c>
      <c r="M6181" s="11"/>
      <c r="N6181" s="22">
        <f t="shared" si="361"/>
        <v>0</v>
      </c>
      <c r="O6181" s="28">
        <f>0.06*M6181</f>
        <v>0</v>
      </c>
      <c r="P6181" s="26">
        <f>0.00011*M6181</f>
        <v>0</v>
      </c>
      <c r="Q6181" s="30"/>
      <c r="R6181" s="22" t="s">
        <v>22118</v>
      </c>
      <c r="S6181" s="22"/>
      <c r="T6181" s="21" t="str">
        <f>HYPERLINK("https://miland.ru/api/getInfo/image/69ad1417-bd4a-11e7-9a2b-5cf3fc4a2490")</f>
        <v>https://miland.ru/api/getInfo/image/69ad1417-bd4a-11e7-9a2b-5cf3fc4a2490</v>
      </c>
      <c r="U6181" s="21"/>
      <c r="V6181" s="21" t="s">
        <v>1818</v>
      </c>
      <c r="W6181" s="21" t="s">
        <v>1819</v>
      </c>
      <c r="X6181" s="21"/>
      <c r="Y6181" s="21" t="s">
        <v>41</v>
      </c>
      <c r="Z6181" s="21"/>
      <c r="AA6181" s="21" t="str">
        <f>HYPERLINK("https://miland.ru/api/getInfo/item/69ad1417-bd4a-11e7-9a2b-5cf3fc4a2490")</f>
        <v>https://miland.ru/api/getInfo/item/69ad1417-bd4a-11e7-9a2b-5cf3fc4a2490</v>
      </c>
      <c r="AB6181" s="21" t="s">
        <v>50</v>
      </c>
      <c r="AC6181" s="21"/>
      <c r="AD6181" s="21"/>
    </row>
    <row r="6182" spans="2:30" s="1" customFormat="1" ht="96.3" customHeight="1" outlineLevel="5">
      <c r="B6182" s="57">
        <v>5075</v>
      </c>
      <c r="C6182" s="21" t="s">
        <v>22119</v>
      </c>
      <c r="D6182" s="72" t="s">
        <v>22120</v>
      </c>
      <c r="E6182" s="72"/>
      <c r="F6182" s="72"/>
      <c r="G6182" s="72"/>
      <c r="H6182" s="22" t="s">
        <v>22121</v>
      </c>
      <c r="I6182" s="23" t="s">
        <v>36</v>
      </c>
      <c r="J6182" s="22"/>
      <c r="K6182" s="20">
        <v>6</v>
      </c>
      <c r="L6182" s="24">
        <v>111.43</v>
      </c>
      <c r="M6182" s="11"/>
      <c r="N6182" s="22">
        <f t="shared" si="361"/>
        <v>0</v>
      </c>
      <c r="O6182" s="28">
        <f>0.06*M6182</f>
        <v>0</v>
      </c>
      <c r="P6182" s="26">
        <f>0.00011*M6182</f>
        <v>0</v>
      </c>
      <c r="Q6182" s="30"/>
      <c r="R6182" s="22" t="s">
        <v>22122</v>
      </c>
      <c r="S6182" s="22" t="s">
        <v>435</v>
      </c>
      <c r="T6182" s="21" t="str">
        <f>HYPERLINK("https://miland.ru/api/getInfo/image/db19a4d0-3fb2-11e7-977d-5cf3fc4a2490")</f>
        <v>https://miland.ru/api/getInfo/image/db19a4d0-3fb2-11e7-977d-5cf3fc4a2490</v>
      </c>
      <c r="U6182" s="21"/>
      <c r="V6182" s="21" t="s">
        <v>1818</v>
      </c>
      <c r="W6182" s="21" t="s">
        <v>1819</v>
      </c>
      <c r="X6182" s="21"/>
      <c r="Y6182" s="21" t="s">
        <v>12356</v>
      </c>
      <c r="Z6182" s="21"/>
      <c r="AA6182" s="21" t="str">
        <f>HYPERLINK("https://miland.ru/api/getInfo/item/db19a4d0-3fb2-11e7-977d-5cf3fc4a2490")</f>
        <v>https://miland.ru/api/getInfo/item/db19a4d0-3fb2-11e7-977d-5cf3fc4a2490</v>
      </c>
      <c r="AB6182" s="21" t="s">
        <v>50</v>
      </c>
      <c r="AC6182" s="21" t="s">
        <v>21910</v>
      </c>
      <c r="AD6182" s="21"/>
    </row>
    <row r="6183" spans="2:30" s="1" customFormat="1" ht="96.3" customHeight="1" outlineLevel="5">
      <c r="B6183" s="57">
        <v>5076</v>
      </c>
      <c r="C6183" s="21" t="s">
        <v>22123</v>
      </c>
      <c r="D6183" s="72" t="s">
        <v>22124</v>
      </c>
      <c r="E6183" s="72"/>
      <c r="F6183" s="72"/>
      <c r="G6183" s="72"/>
      <c r="H6183" s="22" t="s">
        <v>22125</v>
      </c>
      <c r="I6183" s="23" t="s">
        <v>36</v>
      </c>
      <c r="J6183" s="22"/>
      <c r="K6183" s="20">
        <v>3</v>
      </c>
      <c r="L6183" s="24">
        <v>212.79</v>
      </c>
      <c r="M6183" s="11"/>
      <c r="N6183" s="22">
        <f t="shared" si="361"/>
        <v>0</v>
      </c>
      <c r="O6183" s="25">
        <f>0.099*M6183</f>
        <v>0</v>
      </c>
      <c r="P6183" s="26">
        <f>0.00013*M6183</f>
        <v>0</v>
      </c>
      <c r="Q6183" s="30"/>
      <c r="R6183" s="22" t="s">
        <v>22126</v>
      </c>
      <c r="S6183" s="22"/>
      <c r="T6183" s="21" t="str">
        <f>HYPERLINK("https://miland.ru/api/getInfo/image/9b2aacfb-56dd-11ee-a245-00155d82e902")</f>
        <v>https://miland.ru/api/getInfo/image/9b2aacfb-56dd-11ee-a245-00155d82e902</v>
      </c>
      <c r="U6183" s="21"/>
      <c r="V6183" s="21"/>
      <c r="W6183" s="21"/>
      <c r="X6183" s="21"/>
      <c r="Y6183" s="21" t="s">
        <v>41</v>
      </c>
      <c r="Z6183" s="21"/>
      <c r="AA6183" s="21" t="str">
        <f>HYPERLINK("https://miland.ru/api/getInfo/item/9b2aacfb-56dd-11ee-a245-00155d82e902")</f>
        <v>https://miland.ru/api/getInfo/item/9b2aacfb-56dd-11ee-a245-00155d82e902</v>
      </c>
      <c r="AB6183" s="21" t="s">
        <v>50</v>
      </c>
      <c r="AC6183" s="21"/>
      <c r="AD6183" s="21"/>
    </row>
    <row r="6184" spans="2:30" s="1" customFormat="1" ht="96.3" customHeight="1" outlineLevel="5">
      <c r="B6184" s="57">
        <v>5077</v>
      </c>
      <c r="C6184" s="21" t="s">
        <v>22127</v>
      </c>
      <c r="D6184" s="72" t="s">
        <v>22128</v>
      </c>
      <c r="E6184" s="72"/>
      <c r="F6184" s="72"/>
      <c r="G6184" s="72"/>
      <c r="H6184" s="22" t="s">
        <v>22129</v>
      </c>
      <c r="I6184" s="23" t="s">
        <v>36</v>
      </c>
      <c r="J6184" s="22"/>
      <c r="K6184" s="20">
        <v>6</v>
      </c>
      <c r="L6184" s="24">
        <v>111.43</v>
      </c>
      <c r="M6184" s="11"/>
      <c r="N6184" s="22">
        <f t="shared" si="361"/>
        <v>0</v>
      </c>
      <c r="O6184" s="25">
        <f>0.022*M6184</f>
        <v>0</v>
      </c>
      <c r="P6184" s="26">
        <f>0.00011*M6184</f>
        <v>0</v>
      </c>
      <c r="Q6184" s="30"/>
      <c r="R6184" s="22" t="s">
        <v>22130</v>
      </c>
      <c r="S6184" s="22" t="s">
        <v>435</v>
      </c>
      <c r="T6184" s="21" t="str">
        <f>HYPERLINK("https://miland.ru/api/getInfo/image/ad2cff16-99ff-11ec-a211-ac1f6b442185")</f>
        <v>https://miland.ru/api/getInfo/image/ad2cff16-99ff-11ec-a211-ac1f6b442185</v>
      </c>
      <c r="U6184" s="21"/>
      <c r="V6184" s="21"/>
      <c r="W6184" s="21"/>
      <c r="X6184" s="21"/>
      <c r="Y6184" s="21" t="s">
        <v>41</v>
      </c>
      <c r="Z6184" s="21"/>
      <c r="AA6184" s="21" t="str">
        <f>HYPERLINK("https://miland.ru/api/getInfo/item/ad2cff16-99ff-11ec-a211-ac1f6b442185")</f>
        <v>https://miland.ru/api/getInfo/item/ad2cff16-99ff-11ec-a211-ac1f6b442185</v>
      </c>
      <c r="AB6184" s="21" t="s">
        <v>50</v>
      </c>
      <c r="AC6184" s="21"/>
      <c r="AD6184" s="21"/>
    </row>
    <row r="6185" spans="2:30" s="1" customFormat="1" ht="96.3" customHeight="1" outlineLevel="5">
      <c r="B6185" s="57">
        <v>5078</v>
      </c>
      <c r="C6185" s="21" t="s">
        <v>22131</v>
      </c>
      <c r="D6185" s="72" t="s">
        <v>22132</v>
      </c>
      <c r="E6185" s="72"/>
      <c r="F6185" s="72"/>
      <c r="G6185" s="72"/>
      <c r="H6185" s="22" t="s">
        <v>22133</v>
      </c>
      <c r="I6185" s="23" t="s">
        <v>36</v>
      </c>
      <c r="J6185" s="22"/>
      <c r="K6185" s="20">
        <v>6</v>
      </c>
      <c r="L6185" s="24">
        <v>111.43</v>
      </c>
      <c r="M6185" s="11"/>
      <c r="N6185" s="22">
        <f t="shared" si="361"/>
        <v>0</v>
      </c>
      <c r="O6185" s="25">
        <f>0.063*M6185</f>
        <v>0</v>
      </c>
      <c r="P6185" s="26">
        <f>0.00024*M6185</f>
        <v>0</v>
      </c>
      <c r="Q6185" s="30"/>
      <c r="R6185" s="22" t="s">
        <v>22134</v>
      </c>
      <c r="S6185" s="22"/>
      <c r="T6185" s="21" t="str">
        <f>HYPERLINK("https://miland.ru/api/getInfo/image/1425c701-d12b-11ec-a212-ac1f6b442185")</f>
        <v>https://miland.ru/api/getInfo/image/1425c701-d12b-11ec-a212-ac1f6b442185</v>
      </c>
      <c r="U6185" s="21"/>
      <c r="V6185" s="21" t="s">
        <v>1818</v>
      </c>
      <c r="W6185" s="21" t="s">
        <v>1819</v>
      </c>
      <c r="X6185" s="21"/>
      <c r="Y6185" s="21" t="s">
        <v>12356</v>
      </c>
      <c r="Z6185" s="21"/>
      <c r="AA6185" s="21" t="str">
        <f>HYPERLINK("https://miland.ru/api/getInfo/item/1425c701-d12b-11ec-a212-ac1f6b442185")</f>
        <v>https://miland.ru/api/getInfo/item/1425c701-d12b-11ec-a212-ac1f6b442185</v>
      </c>
      <c r="AB6185" s="21" t="s">
        <v>50</v>
      </c>
      <c r="AC6185" s="21"/>
      <c r="AD6185" s="21"/>
    </row>
    <row r="6186" spans="2:30" s="1" customFormat="1" ht="96.3" customHeight="1" outlineLevel="5">
      <c r="B6186" s="57">
        <v>5079</v>
      </c>
      <c r="C6186" s="21" t="s">
        <v>22135</v>
      </c>
      <c r="D6186" s="72" t="s">
        <v>22136</v>
      </c>
      <c r="E6186" s="72"/>
      <c r="F6186" s="72"/>
      <c r="G6186" s="72"/>
      <c r="H6186" s="22" t="s">
        <v>22137</v>
      </c>
      <c r="I6186" s="23" t="s">
        <v>36</v>
      </c>
      <c r="J6186" s="22"/>
      <c r="K6186" s="20">
        <v>6</v>
      </c>
      <c r="L6186" s="24">
        <v>111.43</v>
      </c>
      <c r="M6186" s="11"/>
      <c r="N6186" s="22">
        <f t="shared" si="361"/>
        <v>0</v>
      </c>
      <c r="O6186" s="28">
        <f>0.06*M6186</f>
        <v>0</v>
      </c>
      <c r="P6186" s="26">
        <f>0.00011*M6186</f>
        <v>0</v>
      </c>
      <c r="Q6186" s="30"/>
      <c r="R6186" s="22" t="s">
        <v>22138</v>
      </c>
      <c r="S6186" s="22" t="s">
        <v>435</v>
      </c>
      <c r="T6186" s="21" t="str">
        <f>HYPERLINK("https://miland.ru/api/getInfo/image/de5febb9-99fe-11ec-a211-ac1f6b442185")</f>
        <v>https://miland.ru/api/getInfo/image/de5febb9-99fe-11ec-a211-ac1f6b442185</v>
      </c>
      <c r="U6186" s="21"/>
      <c r="V6186" s="21"/>
      <c r="W6186" s="21"/>
      <c r="X6186" s="21"/>
      <c r="Y6186" s="21" t="s">
        <v>41</v>
      </c>
      <c r="Z6186" s="21"/>
      <c r="AA6186" s="21" t="str">
        <f>HYPERLINK("https://miland.ru/api/getInfo/item/de5febb9-99fe-11ec-a211-ac1f6b442185")</f>
        <v>https://miland.ru/api/getInfo/item/de5febb9-99fe-11ec-a211-ac1f6b442185</v>
      </c>
      <c r="AB6186" s="21" t="s">
        <v>50</v>
      </c>
      <c r="AC6186" s="21"/>
      <c r="AD6186" s="21"/>
    </row>
    <row r="6187" spans="2:30" s="1" customFormat="1" ht="96.3" customHeight="1" outlineLevel="5">
      <c r="B6187" s="57">
        <v>5080</v>
      </c>
      <c r="C6187" s="21" t="s">
        <v>22139</v>
      </c>
      <c r="D6187" s="72" t="s">
        <v>22140</v>
      </c>
      <c r="E6187" s="72"/>
      <c r="F6187" s="72"/>
      <c r="G6187" s="72"/>
      <c r="H6187" s="22" t="s">
        <v>22141</v>
      </c>
      <c r="I6187" s="23" t="s">
        <v>36</v>
      </c>
      <c r="J6187" s="22"/>
      <c r="K6187" s="20">
        <v>6</v>
      </c>
      <c r="L6187" s="24">
        <v>111.43</v>
      </c>
      <c r="M6187" s="11"/>
      <c r="N6187" s="22">
        <f t="shared" si="361"/>
        <v>0</v>
      </c>
      <c r="O6187" s="25">
        <f>0.022*M6187</f>
        <v>0</v>
      </c>
      <c r="P6187" s="26">
        <f>0.00011*M6187</f>
        <v>0</v>
      </c>
      <c r="Q6187" s="30"/>
      <c r="R6187" s="22" t="s">
        <v>22142</v>
      </c>
      <c r="S6187" s="22"/>
      <c r="T6187" s="21" t="str">
        <f>HYPERLINK("https://miland.ru/api/getInfo/image/77fba043-99ff-11ec-a211-ac1f6b442185")</f>
        <v>https://miland.ru/api/getInfo/image/77fba043-99ff-11ec-a211-ac1f6b442185</v>
      </c>
      <c r="U6187" s="21"/>
      <c r="V6187" s="21"/>
      <c r="W6187" s="21"/>
      <c r="X6187" s="21"/>
      <c r="Y6187" s="21" t="s">
        <v>41</v>
      </c>
      <c r="Z6187" s="21"/>
      <c r="AA6187" s="21" t="str">
        <f>HYPERLINK("https://miland.ru/api/getInfo/item/77fba043-99ff-11ec-a211-ac1f6b442185")</f>
        <v>https://miland.ru/api/getInfo/item/77fba043-99ff-11ec-a211-ac1f6b442185</v>
      </c>
      <c r="AB6187" s="21" t="s">
        <v>50</v>
      </c>
      <c r="AC6187" s="21"/>
      <c r="AD6187" s="21"/>
    </row>
    <row r="6188" spans="2:30" s="1" customFormat="1" ht="96.3" customHeight="1" outlineLevel="5">
      <c r="B6188" s="57">
        <v>5081</v>
      </c>
      <c r="C6188" s="21" t="s">
        <v>22143</v>
      </c>
      <c r="D6188" s="72" t="s">
        <v>22144</v>
      </c>
      <c r="E6188" s="72"/>
      <c r="F6188" s="72"/>
      <c r="G6188" s="72"/>
      <c r="H6188" s="22" t="s">
        <v>22145</v>
      </c>
      <c r="I6188" s="23" t="s">
        <v>36</v>
      </c>
      <c r="J6188" s="22"/>
      <c r="K6188" s="20">
        <v>6</v>
      </c>
      <c r="L6188" s="24">
        <v>111.43</v>
      </c>
      <c r="M6188" s="11"/>
      <c r="N6188" s="22">
        <f t="shared" si="361"/>
        <v>0</v>
      </c>
      <c r="O6188" s="25">
        <f>0.064*M6188</f>
        <v>0</v>
      </c>
      <c r="P6188" s="26">
        <f>0.00013*M6188</f>
        <v>0</v>
      </c>
      <c r="Q6188" s="30"/>
      <c r="R6188" s="22" t="s">
        <v>22146</v>
      </c>
      <c r="S6188" s="22"/>
      <c r="T6188" s="21" t="str">
        <f>HYPERLINK("https://miland.ru/api/getInfo/image/69b46f68-d12c-11ec-a212-ac1f6b442185")</f>
        <v>https://miland.ru/api/getInfo/image/69b46f68-d12c-11ec-a212-ac1f6b442185</v>
      </c>
      <c r="U6188" s="21"/>
      <c r="V6188" s="21"/>
      <c r="W6188" s="21"/>
      <c r="X6188" s="21"/>
      <c r="Y6188" s="21" t="s">
        <v>41</v>
      </c>
      <c r="Z6188" s="21"/>
      <c r="AA6188" s="21" t="str">
        <f>HYPERLINK("https://miland.ru/api/getInfo/item/69b46f68-d12c-11ec-a212-ac1f6b442185")</f>
        <v>https://miland.ru/api/getInfo/item/69b46f68-d12c-11ec-a212-ac1f6b442185</v>
      </c>
      <c r="AB6188" s="21" t="s">
        <v>50</v>
      </c>
      <c r="AC6188" s="21"/>
      <c r="AD6188" s="21"/>
    </row>
    <row r="6189" spans="2:30" s="1" customFormat="1" ht="96.3" customHeight="1" outlineLevel="5">
      <c r="B6189" s="57">
        <v>5082</v>
      </c>
      <c r="C6189" s="21" t="s">
        <v>22147</v>
      </c>
      <c r="D6189" s="72" t="s">
        <v>22148</v>
      </c>
      <c r="E6189" s="72"/>
      <c r="F6189" s="72"/>
      <c r="G6189" s="72"/>
      <c r="H6189" s="22" t="s">
        <v>22149</v>
      </c>
      <c r="I6189" s="23" t="s">
        <v>36</v>
      </c>
      <c r="J6189" s="22"/>
      <c r="K6189" s="20">
        <v>6</v>
      </c>
      <c r="L6189" s="24">
        <v>111.43</v>
      </c>
      <c r="M6189" s="11"/>
      <c r="N6189" s="22">
        <f t="shared" si="361"/>
        <v>0</v>
      </c>
      <c r="O6189" s="28">
        <f>0.06*M6189</f>
        <v>0</v>
      </c>
      <c r="P6189" s="26">
        <f>0.00011*M6189</f>
        <v>0</v>
      </c>
      <c r="Q6189" s="30"/>
      <c r="R6189" s="22" t="s">
        <v>22150</v>
      </c>
      <c r="S6189" s="22" t="s">
        <v>435</v>
      </c>
      <c r="T6189" s="21" t="str">
        <f>HYPERLINK("https://miland.ru/api/getInfo/image/3720f90a-99ff-11ec-a211-ac1f6b442185")</f>
        <v>https://miland.ru/api/getInfo/image/3720f90a-99ff-11ec-a211-ac1f6b442185</v>
      </c>
      <c r="U6189" s="21"/>
      <c r="V6189" s="21"/>
      <c r="W6189" s="21"/>
      <c r="X6189" s="21"/>
      <c r="Y6189" s="21" t="s">
        <v>41</v>
      </c>
      <c r="Z6189" s="21"/>
      <c r="AA6189" s="21" t="str">
        <f>HYPERLINK("https://miland.ru/api/getInfo/item/3720f90a-99ff-11ec-a211-ac1f6b442185")</f>
        <v>https://miland.ru/api/getInfo/item/3720f90a-99ff-11ec-a211-ac1f6b442185</v>
      </c>
      <c r="AB6189" s="21" t="s">
        <v>50</v>
      </c>
      <c r="AC6189" s="21"/>
      <c r="AD6189" s="21"/>
    </row>
    <row r="6190" spans="2:30" s="1" customFormat="1" ht="96.3" customHeight="1" outlineLevel="5">
      <c r="B6190" s="57">
        <v>5083</v>
      </c>
      <c r="C6190" s="21" t="s">
        <v>22151</v>
      </c>
      <c r="D6190" s="72" t="s">
        <v>22152</v>
      </c>
      <c r="E6190" s="72"/>
      <c r="F6190" s="72"/>
      <c r="G6190" s="72"/>
      <c r="H6190" s="22" t="s">
        <v>22153</v>
      </c>
      <c r="I6190" s="27">
        <v>181</v>
      </c>
      <c r="J6190" s="22"/>
      <c r="K6190" s="20">
        <v>6</v>
      </c>
      <c r="L6190" s="24">
        <v>111.43</v>
      </c>
      <c r="M6190" s="11"/>
      <c r="N6190" s="22">
        <f t="shared" si="361"/>
        <v>0</v>
      </c>
      <c r="O6190" s="25">
        <f>0.063*M6190</f>
        <v>0</v>
      </c>
      <c r="P6190" s="26">
        <f>0.00013*M6190</f>
        <v>0</v>
      </c>
      <c r="Q6190" s="30"/>
      <c r="R6190" s="22" t="s">
        <v>22154</v>
      </c>
      <c r="S6190" s="22"/>
      <c r="T6190" s="21" t="str">
        <f>HYPERLINK("https://miland.ru/api/getInfo/image/71d956d0-d12b-11ec-a212-ac1f6b442185")</f>
        <v>https://miland.ru/api/getInfo/image/71d956d0-d12b-11ec-a212-ac1f6b442185</v>
      </c>
      <c r="U6190" s="21"/>
      <c r="V6190" s="21" t="s">
        <v>1818</v>
      </c>
      <c r="W6190" s="21" t="s">
        <v>1819</v>
      </c>
      <c r="X6190" s="21"/>
      <c r="Y6190" s="21" t="s">
        <v>41</v>
      </c>
      <c r="Z6190" s="21"/>
      <c r="AA6190" s="21" t="str">
        <f>HYPERLINK("https://miland.ru/api/getInfo/item/71d956d0-d12b-11ec-a212-ac1f6b442185")</f>
        <v>https://miland.ru/api/getInfo/item/71d956d0-d12b-11ec-a212-ac1f6b442185</v>
      </c>
      <c r="AB6190" s="21" t="s">
        <v>50</v>
      </c>
      <c r="AC6190" s="21"/>
      <c r="AD6190" s="21"/>
    </row>
    <row r="6191" spans="2:30" s="1" customFormat="1" ht="96.3" customHeight="1" outlineLevel="5">
      <c r="B6191" s="57">
        <v>5084</v>
      </c>
      <c r="C6191" s="21" t="s">
        <v>22155</v>
      </c>
      <c r="D6191" s="72" t="s">
        <v>22156</v>
      </c>
      <c r="E6191" s="72"/>
      <c r="F6191" s="72"/>
      <c r="G6191" s="72"/>
      <c r="H6191" s="22" t="s">
        <v>22157</v>
      </c>
      <c r="I6191" s="23" t="s">
        <v>36</v>
      </c>
      <c r="J6191" s="22"/>
      <c r="K6191" s="20">
        <v>6</v>
      </c>
      <c r="L6191" s="24">
        <v>111.43</v>
      </c>
      <c r="M6191" s="11"/>
      <c r="N6191" s="22">
        <f t="shared" si="361"/>
        <v>0</v>
      </c>
      <c r="O6191" s="25">
        <f>0.059*M6191</f>
        <v>0</v>
      </c>
      <c r="P6191" s="26">
        <f>0.00013*M6191</f>
        <v>0</v>
      </c>
      <c r="Q6191" s="30"/>
      <c r="R6191" s="22" t="s">
        <v>22158</v>
      </c>
      <c r="S6191" s="22"/>
      <c r="T6191" s="21" t="str">
        <f>HYPERLINK("https://miland.ru/api/getInfo/image/371ddb7f-cd3c-11ed-a230-00155d82e902")</f>
        <v>https://miland.ru/api/getInfo/image/371ddb7f-cd3c-11ed-a230-00155d82e902</v>
      </c>
      <c r="U6191" s="21"/>
      <c r="V6191" s="21"/>
      <c r="W6191" s="21"/>
      <c r="X6191" s="21"/>
      <c r="Y6191" s="21" t="s">
        <v>41</v>
      </c>
      <c r="Z6191" s="21"/>
      <c r="AA6191" s="21" t="str">
        <f>HYPERLINK("https://miland.ru/api/getInfo/item/371ddb7f-cd3c-11ed-a230-00155d82e902")</f>
        <v>https://miland.ru/api/getInfo/item/371ddb7f-cd3c-11ed-a230-00155d82e902</v>
      </c>
      <c r="AB6191" s="21" t="s">
        <v>50</v>
      </c>
      <c r="AC6191" s="21"/>
      <c r="AD6191" s="21"/>
    </row>
    <row r="6192" spans="2:30" s="1" customFormat="1" ht="96.3" customHeight="1" outlineLevel="5">
      <c r="B6192" s="57">
        <v>5085</v>
      </c>
      <c r="C6192" s="21" t="s">
        <v>22159</v>
      </c>
      <c r="D6192" s="72" t="s">
        <v>22160</v>
      </c>
      <c r="E6192" s="72"/>
      <c r="F6192" s="72"/>
      <c r="G6192" s="72"/>
      <c r="H6192" s="22" t="s">
        <v>22161</v>
      </c>
      <c r="I6192" s="23" t="s">
        <v>36</v>
      </c>
      <c r="J6192" s="22"/>
      <c r="K6192" s="20">
        <v>6</v>
      </c>
      <c r="L6192" s="24">
        <v>111.43</v>
      </c>
      <c r="M6192" s="11"/>
      <c r="N6192" s="22">
        <f t="shared" si="361"/>
        <v>0</v>
      </c>
      <c r="O6192" s="25">
        <f>0.059*M6192</f>
        <v>0</v>
      </c>
      <c r="P6192" s="26">
        <f>0.00026*M6192</f>
        <v>0</v>
      </c>
      <c r="Q6192" s="30"/>
      <c r="R6192" s="22" t="s">
        <v>22162</v>
      </c>
      <c r="S6192" s="22"/>
      <c r="T6192" s="21" t="str">
        <f>HYPERLINK("https://miland.ru/api/getInfo/image/ca287121-d12b-11ec-a212-ac1f6b442185")</f>
        <v>https://miland.ru/api/getInfo/image/ca287121-d12b-11ec-a212-ac1f6b442185</v>
      </c>
      <c r="U6192" s="21"/>
      <c r="V6192" s="21" t="s">
        <v>1818</v>
      </c>
      <c r="W6192" s="21" t="s">
        <v>1819</v>
      </c>
      <c r="X6192" s="21"/>
      <c r="Y6192" s="21" t="s">
        <v>12356</v>
      </c>
      <c r="Z6192" s="21"/>
      <c r="AA6192" s="21" t="str">
        <f>HYPERLINK("https://miland.ru/api/getInfo/item/ca287121-d12b-11ec-a212-ac1f6b442185")</f>
        <v>https://miland.ru/api/getInfo/item/ca287121-d12b-11ec-a212-ac1f6b442185</v>
      </c>
      <c r="AB6192" s="21" t="s">
        <v>50</v>
      </c>
      <c r="AC6192" s="21"/>
      <c r="AD6192" s="21"/>
    </row>
    <row r="6193" spans="2:31" s="1" customFormat="1" ht="96.3" customHeight="1" outlineLevel="5">
      <c r="B6193" s="57">
        <v>5086</v>
      </c>
      <c r="C6193" s="21" t="s">
        <v>22163</v>
      </c>
      <c r="D6193" s="72" t="s">
        <v>22164</v>
      </c>
      <c r="E6193" s="72"/>
      <c r="F6193" s="72"/>
      <c r="G6193" s="72"/>
      <c r="H6193" s="22" t="s">
        <v>22165</v>
      </c>
      <c r="I6193" s="23" t="s">
        <v>36</v>
      </c>
      <c r="J6193" s="22"/>
      <c r="K6193" s="20">
        <v>6</v>
      </c>
      <c r="L6193" s="24">
        <v>111.43</v>
      </c>
      <c r="M6193" s="11"/>
      <c r="N6193" s="22">
        <f t="shared" si="361"/>
        <v>0</v>
      </c>
      <c r="O6193" s="25">
        <f>0.066*M6193</f>
        <v>0</v>
      </c>
      <c r="P6193" s="26">
        <f>0.00014*M6193</f>
        <v>0</v>
      </c>
      <c r="Q6193" s="30"/>
      <c r="R6193" s="22" t="s">
        <v>22166</v>
      </c>
      <c r="S6193" s="22"/>
      <c r="T6193" s="21" t="str">
        <f>HYPERLINK("https://miland.ru/api/getInfo/image/6dc3ca51-0f1a-11ec-a20f-ac1f6b442185")</f>
        <v>https://miland.ru/api/getInfo/image/6dc3ca51-0f1a-11ec-a20f-ac1f6b442185</v>
      </c>
      <c r="U6193" s="21"/>
      <c r="V6193" s="21"/>
      <c r="W6193" s="21"/>
      <c r="X6193" s="21"/>
      <c r="Y6193" s="21" t="s">
        <v>41</v>
      </c>
      <c r="Z6193" s="21"/>
      <c r="AA6193" s="21" t="str">
        <f>HYPERLINK("https://miland.ru/api/getInfo/item/6dc3ca51-0f1a-11ec-a20f-ac1f6b442185")</f>
        <v>https://miland.ru/api/getInfo/item/6dc3ca51-0f1a-11ec-a20f-ac1f6b442185</v>
      </c>
      <c r="AB6193" s="21" t="s">
        <v>50</v>
      </c>
      <c r="AC6193" s="21"/>
      <c r="AD6193" s="21"/>
    </row>
    <row r="6194" spans="2:31" s="1" customFormat="1" ht="96.3" customHeight="1" outlineLevel="5">
      <c r="B6194" s="57">
        <v>5087</v>
      </c>
      <c r="C6194" s="21" t="s">
        <v>22167</v>
      </c>
      <c r="D6194" s="72" t="s">
        <v>22168</v>
      </c>
      <c r="E6194" s="72"/>
      <c r="F6194" s="72"/>
      <c r="G6194" s="72"/>
      <c r="H6194" s="22" t="s">
        <v>22165</v>
      </c>
      <c r="I6194" s="23" t="s">
        <v>36</v>
      </c>
      <c r="J6194" s="22"/>
      <c r="K6194" s="20">
        <v>12</v>
      </c>
      <c r="L6194" s="24">
        <v>111.43</v>
      </c>
      <c r="M6194" s="11"/>
      <c r="N6194" s="22">
        <f t="shared" si="361"/>
        <v>0</v>
      </c>
      <c r="O6194" s="28">
        <f>0.06*M6194</f>
        <v>0</v>
      </c>
      <c r="P6194" s="26">
        <f>0.00011*M6194</f>
        <v>0</v>
      </c>
      <c r="Q6194" s="30"/>
      <c r="R6194" s="22"/>
      <c r="S6194" s="22"/>
      <c r="T6194" s="21" t="str">
        <f>HYPERLINK("https://miland.ru/api/getInfo/image/6dc3ca51-0f1a-11ec-a20f-ac1f6b442185")</f>
        <v>https://miland.ru/api/getInfo/image/6dc3ca51-0f1a-11ec-a20f-ac1f6b442185</v>
      </c>
      <c r="U6194" s="21"/>
      <c r="V6194" s="21"/>
      <c r="W6194" s="21" t="s">
        <v>1819</v>
      </c>
      <c r="X6194" s="21"/>
      <c r="Y6194" s="21" t="s">
        <v>41</v>
      </c>
      <c r="Z6194" s="21"/>
      <c r="AA6194" s="21" t="str">
        <f>HYPERLINK("https://miland.ru/api/getInfo/item/6dc3ca51-0f1a-11ec-a20f-ac1f6b442185")</f>
        <v>https://miland.ru/api/getInfo/item/6dc3ca51-0f1a-11ec-a20f-ac1f6b442185</v>
      </c>
      <c r="AB6194" s="21" t="s">
        <v>50</v>
      </c>
      <c r="AC6194" s="21"/>
      <c r="AD6194" s="21" t="s">
        <v>22166</v>
      </c>
    </row>
    <row r="6195" spans="2:31" s="1" customFormat="1" ht="96.3" customHeight="1" outlineLevel="5">
      <c r="B6195" s="57">
        <v>5088</v>
      </c>
      <c r="C6195" s="21" t="s">
        <v>22169</v>
      </c>
      <c r="D6195" s="72" t="s">
        <v>22170</v>
      </c>
      <c r="E6195" s="72"/>
      <c r="F6195" s="72"/>
      <c r="G6195" s="72"/>
      <c r="H6195" s="22" t="s">
        <v>22171</v>
      </c>
      <c r="I6195" s="23" t="s">
        <v>36</v>
      </c>
      <c r="J6195" s="22"/>
      <c r="K6195" s="20">
        <v>6</v>
      </c>
      <c r="L6195" s="24">
        <v>111.43</v>
      </c>
      <c r="M6195" s="11"/>
      <c r="N6195" s="22">
        <f t="shared" si="361"/>
        <v>0</v>
      </c>
      <c r="O6195" s="28">
        <f>0.06*M6195</f>
        <v>0</v>
      </c>
      <c r="P6195" s="26">
        <f>0.00011*M6195</f>
        <v>0</v>
      </c>
      <c r="Q6195" s="30"/>
      <c r="R6195" s="22" t="s">
        <v>22172</v>
      </c>
      <c r="S6195" s="22" t="s">
        <v>435</v>
      </c>
      <c r="T6195" s="21" t="str">
        <f>HYPERLINK("https://miland.ru/api/getInfo/image/eb69a17a-99ff-11ec-a211-ac1f6b442185")</f>
        <v>https://miland.ru/api/getInfo/image/eb69a17a-99ff-11ec-a211-ac1f6b442185</v>
      </c>
      <c r="U6195" s="21"/>
      <c r="V6195" s="21"/>
      <c r="W6195" s="21"/>
      <c r="X6195" s="21"/>
      <c r="Y6195" s="21" t="s">
        <v>41</v>
      </c>
      <c r="Z6195" s="21"/>
      <c r="AA6195" s="21" t="str">
        <f>HYPERLINK("https://miland.ru/api/getInfo/item/eb69a17a-99ff-11ec-a211-ac1f6b442185")</f>
        <v>https://miland.ru/api/getInfo/item/eb69a17a-99ff-11ec-a211-ac1f6b442185</v>
      </c>
      <c r="AB6195" s="21" t="s">
        <v>50</v>
      </c>
      <c r="AC6195" s="21"/>
      <c r="AD6195" s="21"/>
    </row>
    <row r="6196" spans="2:31" s="1" customFormat="1" ht="96.3" customHeight="1" outlineLevel="5">
      <c r="B6196" s="57">
        <v>5089</v>
      </c>
      <c r="C6196" s="21" t="s">
        <v>22173</v>
      </c>
      <c r="D6196" s="72" t="s">
        <v>22174</v>
      </c>
      <c r="E6196" s="72"/>
      <c r="F6196" s="72"/>
      <c r="G6196" s="72"/>
      <c r="H6196" s="22" t="s">
        <v>22175</v>
      </c>
      <c r="I6196" s="23" t="s">
        <v>36</v>
      </c>
      <c r="J6196" s="22"/>
      <c r="K6196" s="20">
        <v>6</v>
      </c>
      <c r="L6196" s="24">
        <v>111.43</v>
      </c>
      <c r="M6196" s="11"/>
      <c r="N6196" s="22">
        <f t="shared" si="361"/>
        <v>0</v>
      </c>
      <c r="O6196" s="25">
        <f>0.069*M6196</f>
        <v>0</v>
      </c>
      <c r="P6196" s="26">
        <f>0.00013*M6196</f>
        <v>0</v>
      </c>
      <c r="Q6196" s="30"/>
      <c r="R6196" s="22" t="s">
        <v>22176</v>
      </c>
      <c r="S6196" s="22" t="s">
        <v>435</v>
      </c>
      <c r="T6196" s="21" t="str">
        <f>HYPERLINK("https://miland.ru/api/getInfo/image/1d10b3a3-d12c-11ec-a212-ac1f6b442185")</f>
        <v>https://miland.ru/api/getInfo/image/1d10b3a3-d12c-11ec-a212-ac1f6b442185</v>
      </c>
      <c r="U6196" s="21"/>
      <c r="V6196" s="21"/>
      <c r="W6196" s="21"/>
      <c r="X6196" s="21"/>
      <c r="Y6196" s="21" t="s">
        <v>41</v>
      </c>
      <c r="Z6196" s="21"/>
      <c r="AA6196" s="21" t="str">
        <f>HYPERLINK("https://miland.ru/api/getInfo/item/1d10b3a3-d12c-11ec-a212-ac1f6b442185")</f>
        <v>https://miland.ru/api/getInfo/item/1d10b3a3-d12c-11ec-a212-ac1f6b442185</v>
      </c>
      <c r="AB6196" s="21" t="s">
        <v>50</v>
      </c>
      <c r="AC6196" s="21"/>
      <c r="AD6196" s="21"/>
    </row>
    <row r="6197" spans="2:31" s="1" customFormat="1" ht="96.3" customHeight="1" outlineLevel="5">
      <c r="B6197" s="57">
        <v>5090</v>
      </c>
      <c r="C6197" s="21" t="s">
        <v>22177</v>
      </c>
      <c r="D6197" s="72" t="s">
        <v>22178</v>
      </c>
      <c r="E6197" s="72"/>
      <c r="F6197" s="72"/>
      <c r="G6197" s="72"/>
      <c r="H6197" s="22" t="s">
        <v>22179</v>
      </c>
      <c r="I6197" s="23" t="s">
        <v>36</v>
      </c>
      <c r="J6197" s="22"/>
      <c r="K6197" s="20">
        <v>6</v>
      </c>
      <c r="L6197" s="24">
        <v>111.43</v>
      </c>
      <c r="M6197" s="11"/>
      <c r="N6197" s="22">
        <f t="shared" si="361"/>
        <v>0</v>
      </c>
      <c r="O6197" s="25">
        <f>0.065*M6197</f>
        <v>0</v>
      </c>
      <c r="P6197" s="26">
        <f>0.00013*M6197</f>
        <v>0</v>
      </c>
      <c r="Q6197" s="30"/>
      <c r="R6197" s="22" t="s">
        <v>22180</v>
      </c>
      <c r="S6197" s="22" t="s">
        <v>435</v>
      </c>
      <c r="T6197" s="21" t="str">
        <f>HYPERLINK("https://miland.ru/api/getInfo/image/44a328b0-6bd6-11ed-a22a-00155d82e902")</f>
        <v>https://miland.ru/api/getInfo/image/44a328b0-6bd6-11ed-a22a-00155d82e902</v>
      </c>
      <c r="U6197" s="21"/>
      <c r="V6197" s="21"/>
      <c r="W6197" s="21"/>
      <c r="X6197" s="21"/>
      <c r="Y6197" s="21" t="s">
        <v>41</v>
      </c>
      <c r="Z6197" s="21"/>
      <c r="AA6197" s="21" t="str">
        <f>HYPERLINK("https://miland.ru/api/getInfo/item/44a328b0-6bd6-11ed-a22a-00155d82e902")</f>
        <v>https://miland.ru/api/getInfo/item/44a328b0-6bd6-11ed-a22a-00155d82e902</v>
      </c>
      <c r="AB6197" s="21" t="s">
        <v>50</v>
      </c>
      <c r="AC6197" s="21"/>
      <c r="AD6197" s="21"/>
    </row>
    <row r="6198" spans="2:31" s="1" customFormat="1" ht="96.3" customHeight="1" outlineLevel="5">
      <c r="B6198" s="57">
        <v>5091</v>
      </c>
      <c r="C6198" s="21" t="s">
        <v>22181</v>
      </c>
      <c r="D6198" s="72" t="s">
        <v>22182</v>
      </c>
      <c r="E6198" s="72"/>
      <c r="F6198" s="72"/>
      <c r="G6198" s="72"/>
      <c r="H6198" s="22" t="s">
        <v>22183</v>
      </c>
      <c r="I6198" s="23" t="s">
        <v>36</v>
      </c>
      <c r="J6198" s="22"/>
      <c r="K6198" s="20">
        <v>6</v>
      </c>
      <c r="L6198" s="24">
        <v>111.43</v>
      </c>
      <c r="M6198" s="11"/>
      <c r="N6198" s="22">
        <f t="shared" si="361"/>
        <v>0</v>
      </c>
      <c r="O6198" s="25">
        <f>0.064*M6198</f>
        <v>0</v>
      </c>
      <c r="P6198" s="26">
        <f>0.00013*M6198</f>
        <v>0</v>
      </c>
      <c r="Q6198" s="30"/>
      <c r="R6198" s="22" t="s">
        <v>22184</v>
      </c>
      <c r="S6198" s="22"/>
      <c r="T6198" s="21" t="str">
        <f>HYPERLINK("https://miland.ru/api/getInfo/image/1d4fc058-6bd5-11ed-a22a-00155d82e902")</f>
        <v>https://miland.ru/api/getInfo/image/1d4fc058-6bd5-11ed-a22a-00155d82e902</v>
      </c>
      <c r="U6198" s="21"/>
      <c r="V6198" s="21"/>
      <c r="W6198" s="21"/>
      <c r="X6198" s="21"/>
      <c r="Y6198" s="21" t="s">
        <v>41</v>
      </c>
      <c r="Z6198" s="21"/>
      <c r="AA6198" s="21" t="str">
        <f>HYPERLINK("https://miland.ru/api/getInfo/item/1d4fc058-6bd5-11ed-a22a-00155d82e902")</f>
        <v>https://miland.ru/api/getInfo/item/1d4fc058-6bd5-11ed-a22a-00155d82e902</v>
      </c>
      <c r="AB6198" s="21" t="s">
        <v>50</v>
      </c>
      <c r="AC6198" s="21"/>
      <c r="AD6198" s="21"/>
    </row>
    <row r="6199" spans="2:31" s="1" customFormat="1" ht="96.3" customHeight="1" outlineLevel="5">
      <c r="B6199" s="57">
        <v>5092</v>
      </c>
      <c r="C6199" s="21" t="s">
        <v>22185</v>
      </c>
      <c r="D6199" s="72" t="s">
        <v>22186</v>
      </c>
      <c r="E6199" s="72"/>
      <c r="F6199" s="72"/>
      <c r="G6199" s="72"/>
      <c r="H6199" s="22" t="s">
        <v>22187</v>
      </c>
      <c r="I6199" s="23" t="s">
        <v>36</v>
      </c>
      <c r="J6199" s="22"/>
      <c r="K6199" s="20">
        <v>6</v>
      </c>
      <c r="L6199" s="24">
        <v>111.43</v>
      </c>
      <c r="M6199" s="11"/>
      <c r="N6199" s="22">
        <f t="shared" si="361"/>
        <v>0</v>
      </c>
      <c r="O6199" s="25">
        <f>0.064*M6199</f>
        <v>0</v>
      </c>
      <c r="P6199" s="26">
        <f>0.00013*M6199</f>
        <v>0</v>
      </c>
      <c r="Q6199" s="30"/>
      <c r="R6199" s="22" t="s">
        <v>22188</v>
      </c>
      <c r="S6199" s="22"/>
      <c r="T6199" s="21" t="str">
        <f>HYPERLINK("https://miland.ru/api/getInfo/image/b45e7771-6bd6-11ed-a22a-00155d82e902")</f>
        <v>https://miland.ru/api/getInfo/image/b45e7771-6bd6-11ed-a22a-00155d82e902</v>
      </c>
      <c r="U6199" s="21"/>
      <c r="V6199" s="21"/>
      <c r="W6199" s="21"/>
      <c r="X6199" s="21"/>
      <c r="Y6199" s="21" t="s">
        <v>41</v>
      </c>
      <c r="Z6199" s="21"/>
      <c r="AA6199" s="21" t="str">
        <f>HYPERLINK("https://miland.ru/api/getInfo/item/b45e7771-6bd6-11ed-a22a-00155d82e902")</f>
        <v>https://miland.ru/api/getInfo/item/b45e7771-6bd6-11ed-a22a-00155d82e902</v>
      </c>
      <c r="AB6199" s="21" t="s">
        <v>50</v>
      </c>
      <c r="AC6199" s="21"/>
      <c r="AD6199" s="21"/>
    </row>
    <row r="6200" spans="2:31" s="1" customFormat="1" ht="96.3" customHeight="1" outlineLevel="5">
      <c r="B6200" s="57">
        <v>5093</v>
      </c>
      <c r="C6200" s="21" t="s">
        <v>22189</v>
      </c>
      <c r="D6200" s="72" t="s">
        <v>22190</v>
      </c>
      <c r="E6200" s="72"/>
      <c r="F6200" s="72"/>
      <c r="G6200" s="72"/>
      <c r="H6200" s="22" t="s">
        <v>22191</v>
      </c>
      <c r="I6200" s="23" t="s">
        <v>36</v>
      </c>
      <c r="J6200" s="22"/>
      <c r="K6200" s="20">
        <v>6</v>
      </c>
      <c r="L6200" s="24">
        <v>111.43</v>
      </c>
      <c r="M6200" s="11"/>
      <c r="N6200" s="22">
        <f t="shared" si="361"/>
        <v>0</v>
      </c>
      <c r="O6200" s="28">
        <f>0.07*M6200</f>
        <v>0</v>
      </c>
      <c r="P6200" s="26">
        <f>0.00014*M6200</f>
        <v>0</v>
      </c>
      <c r="Q6200" s="30"/>
      <c r="R6200" s="22" t="s">
        <v>22192</v>
      </c>
      <c r="S6200" s="22"/>
      <c r="T6200" s="21" t="str">
        <f>HYPERLINK("https://miland.ru/api/getInfo/image/38c81baf-6bd8-11ed-a22a-00155d82e902")</f>
        <v>https://miland.ru/api/getInfo/image/38c81baf-6bd8-11ed-a22a-00155d82e902</v>
      </c>
      <c r="U6200" s="21"/>
      <c r="V6200" s="21"/>
      <c r="W6200" s="21"/>
      <c r="X6200" s="21"/>
      <c r="Y6200" s="21" t="s">
        <v>41</v>
      </c>
      <c r="Z6200" s="21"/>
      <c r="AA6200" s="21" t="str">
        <f>HYPERLINK("https://miland.ru/api/getInfo/item/38c81baf-6bd8-11ed-a22a-00155d82e902")</f>
        <v>https://miland.ru/api/getInfo/item/38c81baf-6bd8-11ed-a22a-00155d82e902</v>
      </c>
      <c r="AB6200" s="21" t="s">
        <v>50</v>
      </c>
      <c r="AC6200" s="21"/>
      <c r="AD6200" s="21"/>
    </row>
    <row r="6201" spans="2:31" s="1" customFormat="1" ht="96.3" customHeight="1" outlineLevel="5">
      <c r="B6201" s="57">
        <v>5094</v>
      </c>
      <c r="C6201" s="21" t="s">
        <v>22193</v>
      </c>
      <c r="D6201" s="72" t="s">
        <v>22194</v>
      </c>
      <c r="E6201" s="72"/>
      <c r="F6201" s="72"/>
      <c r="G6201" s="72"/>
      <c r="H6201" s="22" t="s">
        <v>22195</v>
      </c>
      <c r="I6201" s="23" t="s">
        <v>36</v>
      </c>
      <c r="J6201" s="22"/>
      <c r="K6201" s="20">
        <v>6</v>
      </c>
      <c r="L6201" s="24">
        <v>111.43</v>
      </c>
      <c r="M6201" s="11"/>
      <c r="N6201" s="22">
        <f t="shared" si="361"/>
        <v>0</v>
      </c>
      <c r="O6201" s="25">
        <f>0.066*M6201</f>
        <v>0</v>
      </c>
      <c r="P6201" s="26">
        <f>0.00014*M6201</f>
        <v>0</v>
      </c>
      <c r="Q6201" s="30"/>
      <c r="R6201" s="22" t="s">
        <v>22196</v>
      </c>
      <c r="S6201" s="22"/>
      <c r="T6201" s="21" t="str">
        <f>HYPERLINK("https://miland.ru/api/getInfo/image/cd531711-6bd5-11ed-a22a-00155d82e902")</f>
        <v>https://miland.ru/api/getInfo/image/cd531711-6bd5-11ed-a22a-00155d82e902</v>
      </c>
      <c r="U6201" s="21"/>
      <c r="V6201" s="21"/>
      <c r="W6201" s="21"/>
      <c r="X6201" s="21"/>
      <c r="Y6201" s="21" t="s">
        <v>41</v>
      </c>
      <c r="Z6201" s="21"/>
      <c r="AA6201" s="21" t="str">
        <f>HYPERLINK("https://miland.ru/api/getInfo/item/cd531711-6bd5-11ed-a22a-00155d82e902")</f>
        <v>https://miland.ru/api/getInfo/item/cd531711-6bd5-11ed-a22a-00155d82e902</v>
      </c>
      <c r="AB6201" s="21" t="s">
        <v>50</v>
      </c>
      <c r="AC6201" s="21"/>
      <c r="AD6201" s="21"/>
    </row>
    <row r="6202" spans="2:31" s="1" customFormat="1" ht="96.3" customHeight="1" outlineLevel="5">
      <c r="B6202" s="57">
        <v>5095</v>
      </c>
      <c r="C6202" s="21" t="s">
        <v>22197</v>
      </c>
      <c r="D6202" s="72" t="s">
        <v>22198</v>
      </c>
      <c r="E6202" s="72"/>
      <c r="F6202" s="72"/>
      <c r="G6202" s="72"/>
      <c r="H6202" s="22" t="s">
        <v>22199</v>
      </c>
      <c r="I6202" s="27">
        <v>300</v>
      </c>
      <c r="J6202" s="22"/>
      <c r="K6202" s="20">
        <v>6</v>
      </c>
      <c r="L6202" s="24">
        <v>111.43</v>
      </c>
      <c r="M6202" s="11"/>
      <c r="N6202" s="22">
        <f t="shared" si="361"/>
        <v>0</v>
      </c>
      <c r="O6202" s="25">
        <f>0.061*M6202</f>
        <v>0</v>
      </c>
      <c r="P6202" s="26">
        <f>0.00013*M6202</f>
        <v>0</v>
      </c>
      <c r="Q6202" s="30"/>
      <c r="R6202" s="22" t="s">
        <v>22200</v>
      </c>
      <c r="S6202" s="22" t="s">
        <v>435</v>
      </c>
      <c r="T6202" s="21" t="str">
        <f>HYPERLINK("https://miland.ru/api/getInfo/image/900dc471-fc56-11ec-a213-ac1f6b442185")</f>
        <v>https://miland.ru/api/getInfo/image/900dc471-fc56-11ec-a213-ac1f6b442185</v>
      </c>
      <c r="U6202" s="21"/>
      <c r="V6202" s="21"/>
      <c r="W6202" s="21"/>
      <c r="X6202" s="21"/>
      <c r="Y6202" s="21" t="s">
        <v>41</v>
      </c>
      <c r="Z6202" s="21"/>
      <c r="AA6202" s="21" t="str">
        <f>HYPERLINK("https://miland.ru/api/getInfo/item/900dc471-fc56-11ec-a213-ac1f6b442185")</f>
        <v>https://miland.ru/api/getInfo/item/900dc471-fc56-11ec-a213-ac1f6b442185</v>
      </c>
      <c r="AB6202" s="21" t="s">
        <v>50</v>
      </c>
      <c r="AC6202" s="21"/>
      <c r="AD6202" s="21"/>
    </row>
    <row r="6203" spans="2:31" s="1" customFormat="1" ht="96.3" customHeight="1" outlineLevel="5">
      <c r="B6203" s="57">
        <v>5096</v>
      </c>
      <c r="C6203" s="21" t="s">
        <v>22201</v>
      </c>
      <c r="D6203" s="72" t="s">
        <v>22202</v>
      </c>
      <c r="E6203" s="72"/>
      <c r="F6203" s="72"/>
      <c r="G6203" s="72"/>
      <c r="H6203" s="22" t="s">
        <v>22203</v>
      </c>
      <c r="I6203" s="23" t="s">
        <v>36</v>
      </c>
      <c r="J6203" s="22"/>
      <c r="K6203" s="20">
        <v>5</v>
      </c>
      <c r="L6203" s="24">
        <v>111.43</v>
      </c>
      <c r="M6203" s="11"/>
      <c r="N6203" s="22">
        <f t="shared" si="361"/>
        <v>0</v>
      </c>
      <c r="O6203" s="25">
        <f>0.063*M6203</f>
        <v>0</v>
      </c>
      <c r="P6203" s="26">
        <f>0.00011*M6203</f>
        <v>0</v>
      </c>
      <c r="Q6203" s="30"/>
      <c r="R6203" s="22" t="s">
        <v>22204</v>
      </c>
      <c r="S6203" s="22"/>
      <c r="T6203" s="21" t="str">
        <f>HYPERLINK("https://miland.ru/api/getInfo/image/9f761c91-7139-11f0-a284-00155d82e908")</f>
        <v>https://miland.ru/api/getInfo/image/9f761c91-7139-11f0-a284-00155d82e908</v>
      </c>
      <c r="U6203" s="21"/>
      <c r="V6203" s="21"/>
      <c r="W6203" s="21"/>
      <c r="X6203" s="21"/>
      <c r="Y6203" s="21" t="s">
        <v>41</v>
      </c>
      <c r="Z6203" s="21"/>
      <c r="AA6203" s="21" t="str">
        <f>HYPERLINK("https://miland.ru/api/getInfo/item/9f761c91-7139-11f0-a284-00155d82e908")</f>
        <v>https://miland.ru/api/getInfo/item/9f761c91-7139-11f0-a284-00155d82e908</v>
      </c>
      <c r="AB6203" s="21" t="s">
        <v>50</v>
      </c>
      <c r="AC6203" s="21"/>
      <c r="AD6203" s="21"/>
    </row>
    <row r="6204" spans="2:31" s="1" customFormat="1" ht="96.3" customHeight="1" outlineLevel="5">
      <c r="B6204" s="57">
        <v>5097</v>
      </c>
      <c r="C6204" s="21" t="s">
        <v>22205</v>
      </c>
      <c r="D6204" s="72" t="s">
        <v>22206</v>
      </c>
      <c r="E6204" s="72"/>
      <c r="F6204" s="72"/>
      <c r="G6204" s="72"/>
      <c r="H6204" s="22" t="s">
        <v>22207</v>
      </c>
      <c r="I6204" s="27">
        <v>220</v>
      </c>
      <c r="J6204" s="22"/>
      <c r="K6204" s="20">
        <v>6</v>
      </c>
      <c r="L6204" s="24">
        <v>111.43</v>
      </c>
      <c r="M6204" s="11"/>
      <c r="N6204" s="22">
        <f t="shared" si="361"/>
        <v>0</v>
      </c>
      <c r="O6204" s="28">
        <f>0.06*M6204</f>
        <v>0</v>
      </c>
      <c r="P6204" s="26">
        <f>0.00011*M6204</f>
        <v>0</v>
      </c>
      <c r="Q6204" s="30"/>
      <c r="R6204" s="22" t="s">
        <v>22208</v>
      </c>
      <c r="S6204" s="22" t="s">
        <v>435</v>
      </c>
      <c r="T6204" s="21" t="str">
        <f>HYPERLINK("https://miland.ru/api/getInfo/image/5f8080be-6889-11e7-977d-5cf3fc4a2490")</f>
        <v>https://miland.ru/api/getInfo/image/5f8080be-6889-11e7-977d-5cf3fc4a2490</v>
      </c>
      <c r="U6204" s="21"/>
      <c r="V6204" s="21"/>
      <c r="W6204" s="21"/>
      <c r="X6204" s="21"/>
      <c r="Y6204" s="21" t="s">
        <v>41</v>
      </c>
      <c r="Z6204" s="21"/>
      <c r="AA6204" s="21" t="str">
        <f>HYPERLINK("https://miland.ru/api/getInfo/item/5f8080be-6889-11e7-977d-5cf3fc4a2490")</f>
        <v>https://miland.ru/api/getInfo/item/5f8080be-6889-11e7-977d-5cf3fc4a2490</v>
      </c>
      <c r="AB6204" s="21" t="s">
        <v>50</v>
      </c>
      <c r="AC6204" s="21"/>
      <c r="AD6204" s="21"/>
    </row>
    <row r="6205" spans="2:31" s="1" customFormat="1" ht="96.3" customHeight="1" outlineLevel="5">
      <c r="B6205" s="58">
        <v>5098</v>
      </c>
      <c r="C6205" s="7" t="s">
        <v>22209</v>
      </c>
      <c r="D6205" s="71" t="s">
        <v>22210</v>
      </c>
      <c r="E6205" s="71"/>
      <c r="F6205" s="71"/>
      <c r="G6205" s="71"/>
      <c r="H6205" s="8" t="s">
        <v>22207</v>
      </c>
      <c r="I6205" s="9" t="s">
        <v>36</v>
      </c>
      <c r="J6205" s="8"/>
      <c r="K6205" s="6">
        <v>5</v>
      </c>
      <c r="L6205" s="10">
        <v>111.43</v>
      </c>
      <c r="M6205" s="11"/>
      <c r="N6205" s="8">
        <f t="shared" si="361"/>
        <v>0</v>
      </c>
      <c r="O6205" s="12">
        <f>0.066*M6205</f>
        <v>0</v>
      </c>
      <c r="P6205" s="13">
        <f>0.00014*M6205</f>
        <v>0</v>
      </c>
      <c r="Q6205" s="17" t="s">
        <v>37</v>
      </c>
      <c r="R6205" s="8"/>
      <c r="S6205" s="8"/>
      <c r="T6205" s="7"/>
      <c r="U6205" s="7"/>
      <c r="V6205" s="7"/>
      <c r="W6205" s="7" t="s">
        <v>1819</v>
      </c>
      <c r="X6205" s="7"/>
      <c r="Y6205" s="7" t="s">
        <v>41</v>
      </c>
      <c r="Z6205" s="7"/>
      <c r="AA6205" s="7"/>
      <c r="AB6205" s="7" t="s">
        <v>50</v>
      </c>
      <c r="AC6205" s="7"/>
      <c r="AD6205" s="7" t="s">
        <v>22211</v>
      </c>
      <c r="AE6205" s="54"/>
    </row>
    <row r="6206" spans="2:31" s="1" customFormat="1" ht="96.3" customHeight="1" outlineLevel="5">
      <c r="B6206" s="57">
        <v>5099</v>
      </c>
      <c r="C6206" s="21" t="s">
        <v>22212</v>
      </c>
      <c r="D6206" s="72" t="s">
        <v>22213</v>
      </c>
      <c r="E6206" s="72"/>
      <c r="F6206" s="72"/>
      <c r="G6206" s="72"/>
      <c r="H6206" s="22" t="s">
        <v>22214</v>
      </c>
      <c r="I6206" s="23" t="s">
        <v>36</v>
      </c>
      <c r="J6206" s="22"/>
      <c r="K6206" s="20">
        <v>6</v>
      </c>
      <c r="L6206" s="24">
        <v>111.43</v>
      </c>
      <c r="M6206" s="11"/>
      <c r="N6206" s="22">
        <f t="shared" si="361"/>
        <v>0</v>
      </c>
      <c r="O6206" s="28">
        <f>0.06*M6206</f>
        <v>0</v>
      </c>
      <c r="P6206" s="26">
        <f>0.00011*M6206</f>
        <v>0</v>
      </c>
      <c r="Q6206" s="30"/>
      <c r="R6206" s="22" t="s">
        <v>22215</v>
      </c>
      <c r="S6206" s="22"/>
      <c r="T6206" s="21" t="str">
        <f>HYPERLINK("https://miland.ru/api/getInfo/image/d45a506a-fbb2-11e9-a236-ac1f6b442184")</f>
        <v>https://miland.ru/api/getInfo/image/d45a506a-fbb2-11e9-a236-ac1f6b442184</v>
      </c>
      <c r="U6206" s="21"/>
      <c r="V6206" s="21"/>
      <c r="W6206" s="21"/>
      <c r="X6206" s="21"/>
      <c r="Y6206" s="21" t="s">
        <v>41</v>
      </c>
      <c r="Z6206" s="21"/>
      <c r="AA6206" s="21" t="str">
        <f>HYPERLINK("https://miland.ru/api/getInfo/item/d45a506a-fbb2-11e9-a236-ac1f6b442184")</f>
        <v>https://miland.ru/api/getInfo/item/d45a506a-fbb2-11e9-a236-ac1f6b442184</v>
      </c>
      <c r="AB6206" s="21" t="s">
        <v>50</v>
      </c>
      <c r="AC6206" s="21"/>
      <c r="AD6206" s="21"/>
    </row>
    <row r="6207" spans="2:31" s="1" customFormat="1" ht="96.3" customHeight="1" outlineLevel="5">
      <c r="B6207" s="57">
        <v>5100</v>
      </c>
      <c r="C6207" s="21" t="s">
        <v>22216</v>
      </c>
      <c r="D6207" s="72" t="s">
        <v>22217</v>
      </c>
      <c r="E6207" s="72"/>
      <c r="F6207" s="72"/>
      <c r="G6207" s="72"/>
      <c r="H6207" s="22" t="s">
        <v>22218</v>
      </c>
      <c r="I6207" s="23" t="s">
        <v>36</v>
      </c>
      <c r="J6207" s="22"/>
      <c r="K6207" s="20">
        <v>5</v>
      </c>
      <c r="L6207" s="24">
        <v>111.43</v>
      </c>
      <c r="M6207" s="11"/>
      <c r="N6207" s="22">
        <f t="shared" si="361"/>
        <v>0</v>
      </c>
      <c r="O6207" s="25">
        <f>0.064*M6207</f>
        <v>0</v>
      </c>
      <c r="P6207" s="26">
        <f>0.00013*M6207</f>
        <v>0</v>
      </c>
      <c r="Q6207" s="30"/>
      <c r="R6207" s="22" t="s">
        <v>22219</v>
      </c>
      <c r="S6207" s="22"/>
      <c r="T6207" s="21" t="str">
        <f>HYPERLINK("https://miland.ru/api/getInfo/image/af1eed9e-7139-11f0-a284-00155d82e908")</f>
        <v>https://miland.ru/api/getInfo/image/af1eed9e-7139-11f0-a284-00155d82e908</v>
      </c>
      <c r="U6207" s="21"/>
      <c r="V6207" s="21"/>
      <c r="W6207" s="21"/>
      <c r="X6207" s="21"/>
      <c r="Y6207" s="21" t="s">
        <v>41</v>
      </c>
      <c r="Z6207" s="21"/>
      <c r="AA6207" s="21" t="str">
        <f>HYPERLINK("https://miland.ru/api/getInfo/item/af1eed9e-7139-11f0-a284-00155d82e908")</f>
        <v>https://miland.ru/api/getInfo/item/af1eed9e-7139-11f0-a284-00155d82e908</v>
      </c>
      <c r="AB6207" s="21" t="s">
        <v>50</v>
      </c>
      <c r="AC6207" s="21"/>
      <c r="AD6207" s="21"/>
    </row>
    <row r="6208" spans="2:31" s="1" customFormat="1" ht="96.3" customHeight="1" outlineLevel="5">
      <c r="B6208" s="57">
        <v>5101</v>
      </c>
      <c r="C6208" s="21" t="s">
        <v>22220</v>
      </c>
      <c r="D6208" s="72" t="s">
        <v>22221</v>
      </c>
      <c r="E6208" s="72"/>
      <c r="F6208" s="72"/>
      <c r="G6208" s="72"/>
      <c r="H6208" s="22" t="s">
        <v>22222</v>
      </c>
      <c r="I6208" s="23" t="s">
        <v>36</v>
      </c>
      <c r="J6208" s="22"/>
      <c r="K6208" s="20">
        <v>6</v>
      </c>
      <c r="L6208" s="24">
        <v>111.43</v>
      </c>
      <c r="M6208" s="11"/>
      <c r="N6208" s="22">
        <f t="shared" si="361"/>
        <v>0</v>
      </c>
      <c r="O6208" s="28">
        <f>0.06*M6208</f>
        <v>0</v>
      </c>
      <c r="P6208" s="26">
        <f>0.00011*M6208</f>
        <v>0</v>
      </c>
      <c r="Q6208" s="30"/>
      <c r="R6208" s="22" t="s">
        <v>22223</v>
      </c>
      <c r="S6208" s="22" t="s">
        <v>435</v>
      </c>
      <c r="T6208" s="21" t="str">
        <f>HYPERLINK("https://miland.ru/api/getInfo/image/7ebeb98a-71d9-11e7-977d-5cf3fc4a2490")</f>
        <v>https://miland.ru/api/getInfo/image/7ebeb98a-71d9-11e7-977d-5cf3fc4a2490</v>
      </c>
      <c r="U6208" s="21"/>
      <c r="V6208" s="21"/>
      <c r="W6208" s="21"/>
      <c r="X6208" s="21"/>
      <c r="Y6208" s="21" t="s">
        <v>41</v>
      </c>
      <c r="Z6208" s="21"/>
      <c r="AA6208" s="21" t="str">
        <f>HYPERLINK("https://miland.ru/api/getInfo/item/7ebeb98a-71d9-11e7-977d-5cf3fc4a2490")</f>
        <v>https://miland.ru/api/getInfo/item/7ebeb98a-71d9-11e7-977d-5cf3fc4a2490</v>
      </c>
      <c r="AB6208" s="21" t="s">
        <v>50</v>
      </c>
      <c r="AC6208" s="21"/>
      <c r="AD6208" s="21"/>
    </row>
    <row r="6209" spans="2:30" s="1" customFormat="1" ht="96.3" customHeight="1" outlineLevel="5">
      <c r="B6209" s="57">
        <v>5102</v>
      </c>
      <c r="C6209" s="21" t="s">
        <v>22224</v>
      </c>
      <c r="D6209" s="72" t="s">
        <v>22225</v>
      </c>
      <c r="E6209" s="72"/>
      <c r="F6209" s="72"/>
      <c r="G6209" s="72"/>
      <c r="H6209" s="22" t="s">
        <v>22226</v>
      </c>
      <c r="I6209" s="27">
        <v>283</v>
      </c>
      <c r="J6209" s="22"/>
      <c r="K6209" s="20">
        <v>6</v>
      </c>
      <c r="L6209" s="24">
        <v>111.43</v>
      </c>
      <c r="M6209" s="11"/>
      <c r="N6209" s="22">
        <f t="shared" si="361"/>
        <v>0</v>
      </c>
      <c r="O6209" s="28">
        <f>0.06*M6209</f>
        <v>0</v>
      </c>
      <c r="P6209" s="26">
        <f>0.00011*M6209</f>
        <v>0</v>
      </c>
      <c r="Q6209" s="30"/>
      <c r="R6209" s="22" t="s">
        <v>22227</v>
      </c>
      <c r="S6209" s="22" t="s">
        <v>435</v>
      </c>
      <c r="T6209" s="21" t="str">
        <f>HYPERLINK("https://miland.ru/api/getInfo/image/b34ab453-fbb2-11e9-a236-ac1f6b442184")</f>
        <v>https://miland.ru/api/getInfo/image/b34ab453-fbb2-11e9-a236-ac1f6b442184</v>
      </c>
      <c r="U6209" s="21"/>
      <c r="V6209" s="21"/>
      <c r="W6209" s="21"/>
      <c r="X6209" s="21"/>
      <c r="Y6209" s="21" t="s">
        <v>41</v>
      </c>
      <c r="Z6209" s="21"/>
      <c r="AA6209" s="21" t="str">
        <f>HYPERLINK("https://miland.ru/api/getInfo/item/b34ab453-fbb2-11e9-a236-ac1f6b442184")</f>
        <v>https://miland.ru/api/getInfo/item/b34ab453-fbb2-11e9-a236-ac1f6b442184</v>
      </c>
      <c r="AB6209" s="21" t="s">
        <v>50</v>
      </c>
      <c r="AC6209" s="21"/>
      <c r="AD6209" s="21"/>
    </row>
    <row r="6210" spans="2:30" s="1" customFormat="1" ht="96.3" customHeight="1" outlineLevel="5">
      <c r="B6210" s="57">
        <v>5103</v>
      </c>
      <c r="C6210" s="21" t="s">
        <v>22228</v>
      </c>
      <c r="D6210" s="72" t="s">
        <v>22229</v>
      </c>
      <c r="E6210" s="72"/>
      <c r="F6210" s="72"/>
      <c r="G6210" s="72"/>
      <c r="H6210" s="22" t="s">
        <v>22230</v>
      </c>
      <c r="I6210" s="23" t="s">
        <v>36</v>
      </c>
      <c r="J6210" s="22"/>
      <c r="K6210" s="20">
        <v>6</v>
      </c>
      <c r="L6210" s="24">
        <v>111.43</v>
      </c>
      <c r="M6210" s="11"/>
      <c r="N6210" s="22">
        <f t="shared" si="361"/>
        <v>0</v>
      </c>
      <c r="O6210" s="25">
        <f>0.061*M6210</f>
        <v>0</v>
      </c>
      <c r="P6210" s="26">
        <f>0.00014*M6210</f>
        <v>0</v>
      </c>
      <c r="Q6210" s="30"/>
      <c r="R6210" s="22" t="s">
        <v>22231</v>
      </c>
      <c r="S6210" s="22" t="s">
        <v>435</v>
      </c>
      <c r="T6210" s="21" t="str">
        <f>HYPERLINK("https://miland.ru/api/getInfo/image/0dd62681-fbb3-11e9-a236-ac1f6b442184")</f>
        <v>https://miland.ru/api/getInfo/image/0dd62681-fbb3-11e9-a236-ac1f6b442184</v>
      </c>
      <c r="U6210" s="21"/>
      <c r="V6210" s="21"/>
      <c r="W6210" s="21"/>
      <c r="X6210" s="21"/>
      <c r="Y6210" s="21" t="s">
        <v>41</v>
      </c>
      <c r="Z6210" s="21"/>
      <c r="AA6210" s="21" t="str">
        <f>HYPERLINK("https://miland.ru/api/getInfo/item/0dd62681-fbb3-11e9-a236-ac1f6b442184")</f>
        <v>https://miland.ru/api/getInfo/item/0dd62681-fbb3-11e9-a236-ac1f6b442184</v>
      </c>
      <c r="AB6210" s="21" t="s">
        <v>50</v>
      </c>
      <c r="AC6210" s="21"/>
      <c r="AD6210" s="21"/>
    </row>
    <row r="6211" spans="2:30" s="1" customFormat="1" ht="96.3" customHeight="1" outlineLevel="5">
      <c r="B6211" s="57">
        <v>5104</v>
      </c>
      <c r="C6211" s="21" t="s">
        <v>22232</v>
      </c>
      <c r="D6211" s="72" t="s">
        <v>22233</v>
      </c>
      <c r="E6211" s="72"/>
      <c r="F6211" s="72"/>
      <c r="G6211" s="72"/>
      <c r="H6211" s="22" t="s">
        <v>22234</v>
      </c>
      <c r="I6211" s="27">
        <v>189</v>
      </c>
      <c r="J6211" s="22"/>
      <c r="K6211" s="20">
        <v>6</v>
      </c>
      <c r="L6211" s="24">
        <v>111.43</v>
      </c>
      <c r="M6211" s="11"/>
      <c r="N6211" s="22">
        <f t="shared" si="361"/>
        <v>0</v>
      </c>
      <c r="O6211" s="28">
        <f>0.06*M6211</f>
        <v>0</v>
      </c>
      <c r="P6211" s="26">
        <f>0.00011*M6211</f>
        <v>0</v>
      </c>
      <c r="Q6211" s="30"/>
      <c r="R6211" s="22" t="s">
        <v>22235</v>
      </c>
      <c r="S6211" s="22" t="s">
        <v>435</v>
      </c>
      <c r="T6211" s="21" t="str">
        <f>HYPERLINK("https://miland.ru/api/getInfo/image/46ccdd19-fbb3-11e9-a236-ac1f6b442184")</f>
        <v>https://miland.ru/api/getInfo/image/46ccdd19-fbb3-11e9-a236-ac1f6b442184</v>
      </c>
      <c r="U6211" s="21"/>
      <c r="V6211" s="21"/>
      <c r="W6211" s="21"/>
      <c r="X6211" s="21"/>
      <c r="Y6211" s="21" t="s">
        <v>41</v>
      </c>
      <c r="Z6211" s="21"/>
      <c r="AA6211" s="21" t="str">
        <f>HYPERLINK("https://miland.ru/api/getInfo/item/46ccdd19-fbb3-11e9-a236-ac1f6b442184")</f>
        <v>https://miland.ru/api/getInfo/item/46ccdd19-fbb3-11e9-a236-ac1f6b442184</v>
      </c>
      <c r="AB6211" s="21" t="s">
        <v>50</v>
      </c>
      <c r="AC6211" s="21"/>
      <c r="AD6211" s="21"/>
    </row>
    <row r="6212" spans="2:30" s="1" customFormat="1" ht="96.3" customHeight="1" outlineLevel="5">
      <c r="B6212" s="57">
        <v>5105</v>
      </c>
      <c r="C6212" s="21" t="s">
        <v>22236</v>
      </c>
      <c r="D6212" s="72" t="s">
        <v>22237</v>
      </c>
      <c r="E6212" s="72"/>
      <c r="F6212" s="72"/>
      <c r="G6212" s="72"/>
      <c r="H6212" s="22" t="s">
        <v>22105</v>
      </c>
      <c r="I6212" s="23" t="s">
        <v>36</v>
      </c>
      <c r="J6212" s="22"/>
      <c r="K6212" s="20">
        <v>12</v>
      </c>
      <c r="L6212" s="24">
        <v>92.14</v>
      </c>
      <c r="M6212" s="11"/>
      <c r="N6212" s="22">
        <f t="shared" si="361"/>
        <v>0</v>
      </c>
      <c r="O6212" s="25">
        <f>0.039*M6212</f>
        <v>0</v>
      </c>
      <c r="P6212" s="26">
        <f>0.00008*M6212</f>
        <v>0</v>
      </c>
      <c r="Q6212" s="30"/>
      <c r="R6212" s="22"/>
      <c r="S6212" s="22"/>
      <c r="T6212" s="21" t="str">
        <f>HYPERLINK("https://miland.ru/api/getInfo/image/99360a6e-fbb2-11e9-a236-ac1f6b442184")</f>
        <v>https://miland.ru/api/getInfo/image/99360a6e-fbb2-11e9-a236-ac1f6b442184</v>
      </c>
      <c r="U6212" s="21"/>
      <c r="V6212" s="21"/>
      <c r="W6212" s="21" t="s">
        <v>1819</v>
      </c>
      <c r="X6212" s="21"/>
      <c r="Y6212" s="21" t="s">
        <v>41</v>
      </c>
      <c r="Z6212" s="21"/>
      <c r="AA6212" s="21" t="str">
        <f>HYPERLINK("https://miland.ru/api/getInfo/item/99360a6e-fbb2-11e9-a236-ac1f6b442184")</f>
        <v>https://miland.ru/api/getInfo/item/99360a6e-fbb2-11e9-a236-ac1f6b442184</v>
      </c>
      <c r="AB6212" s="21" t="s">
        <v>50</v>
      </c>
      <c r="AC6212" s="21"/>
      <c r="AD6212" s="21" t="s">
        <v>22106</v>
      </c>
    </row>
    <row r="6213" spans="2:30" s="1" customFormat="1" ht="96.3" customHeight="1" outlineLevel="5">
      <c r="B6213" s="57">
        <v>5106</v>
      </c>
      <c r="C6213" s="21" t="s">
        <v>22238</v>
      </c>
      <c r="D6213" s="72" t="s">
        <v>22239</v>
      </c>
      <c r="E6213" s="72"/>
      <c r="F6213" s="72"/>
      <c r="G6213" s="72"/>
      <c r="H6213" s="22" t="s">
        <v>22240</v>
      </c>
      <c r="I6213" s="23" t="s">
        <v>36</v>
      </c>
      <c r="J6213" s="22"/>
      <c r="K6213" s="20">
        <v>6</v>
      </c>
      <c r="L6213" s="24">
        <v>111.43</v>
      </c>
      <c r="M6213" s="11"/>
      <c r="N6213" s="22">
        <f t="shared" si="361"/>
        <v>0</v>
      </c>
      <c r="O6213" s="28">
        <f>0.06*M6213</f>
        <v>0</v>
      </c>
      <c r="P6213" s="26">
        <f>0.00011*M6213</f>
        <v>0</v>
      </c>
      <c r="Q6213" s="30"/>
      <c r="R6213" s="22" t="s">
        <v>22241</v>
      </c>
      <c r="S6213" s="22" t="s">
        <v>435</v>
      </c>
      <c r="T6213" s="21" t="str">
        <f>HYPERLINK("https://miland.ru/api/getInfo/image/60017655-fbb3-11e9-a236-ac1f6b442184")</f>
        <v>https://miland.ru/api/getInfo/image/60017655-fbb3-11e9-a236-ac1f6b442184</v>
      </c>
      <c r="U6213" s="21"/>
      <c r="V6213" s="21" t="s">
        <v>1818</v>
      </c>
      <c r="W6213" s="21" t="s">
        <v>1819</v>
      </c>
      <c r="X6213" s="21"/>
      <c r="Y6213" s="21" t="s">
        <v>41</v>
      </c>
      <c r="Z6213" s="21"/>
      <c r="AA6213" s="21" t="str">
        <f>HYPERLINK("https://miland.ru/api/getInfo/item/60017655-fbb3-11e9-a236-ac1f6b442184")</f>
        <v>https://miland.ru/api/getInfo/item/60017655-fbb3-11e9-a236-ac1f6b442184</v>
      </c>
      <c r="AB6213" s="21" t="s">
        <v>50</v>
      </c>
      <c r="AC6213" s="21"/>
      <c r="AD6213" s="21"/>
    </row>
    <row r="6214" spans="2:30" s="1" customFormat="1" ht="96.3" customHeight="1" outlineLevel="5">
      <c r="B6214" s="57">
        <v>5107</v>
      </c>
      <c r="C6214" s="21" t="s">
        <v>22242</v>
      </c>
      <c r="D6214" s="72" t="s">
        <v>22243</v>
      </c>
      <c r="E6214" s="72"/>
      <c r="F6214" s="72"/>
      <c r="G6214" s="72"/>
      <c r="H6214" s="22" t="s">
        <v>22244</v>
      </c>
      <c r="I6214" s="27">
        <v>5</v>
      </c>
      <c r="J6214" s="22"/>
      <c r="K6214" s="20">
        <v>5</v>
      </c>
      <c r="L6214" s="24">
        <v>111.43</v>
      </c>
      <c r="M6214" s="11"/>
      <c r="N6214" s="22">
        <f t="shared" si="361"/>
        <v>0</v>
      </c>
      <c r="O6214" s="28">
        <f>0.06*M6214</f>
        <v>0</v>
      </c>
      <c r="P6214" s="26">
        <f>0.00011*M6214</f>
        <v>0</v>
      </c>
      <c r="Q6214" s="30"/>
      <c r="R6214" s="22" t="s">
        <v>22245</v>
      </c>
      <c r="S6214" s="22" t="s">
        <v>435</v>
      </c>
      <c r="T6214" s="21" t="str">
        <f>HYPERLINK("https://miland.ru/api/getInfo/image/26f4e571-fbb3-11e9-a236-ac1f6b442184")</f>
        <v>https://miland.ru/api/getInfo/image/26f4e571-fbb3-11e9-a236-ac1f6b442184</v>
      </c>
      <c r="U6214" s="21"/>
      <c r="V6214" s="21"/>
      <c r="W6214" s="21"/>
      <c r="X6214" s="21"/>
      <c r="Y6214" s="21" t="s">
        <v>41</v>
      </c>
      <c r="Z6214" s="21"/>
      <c r="AA6214" s="21" t="str">
        <f>HYPERLINK("https://miland.ru/api/getInfo/item/26f4e571-fbb3-11e9-a236-ac1f6b442184")</f>
        <v>https://miland.ru/api/getInfo/item/26f4e571-fbb3-11e9-a236-ac1f6b442184</v>
      </c>
      <c r="AB6214" s="21" t="s">
        <v>50</v>
      </c>
      <c r="AC6214" s="21"/>
      <c r="AD6214" s="21"/>
    </row>
    <row r="6215" spans="2:30" ht="12" customHeight="1" outlineLevel="4">
      <c r="B6215" s="70" t="s">
        <v>22246</v>
      </c>
      <c r="C6215" s="70"/>
      <c r="D6215" s="70"/>
      <c r="E6215" s="70"/>
      <c r="F6215" s="70"/>
      <c r="G6215" s="70"/>
    </row>
    <row r="6216" spans="2:30" s="1" customFormat="1" ht="96.3" customHeight="1" outlineLevel="5">
      <c r="B6216" s="57">
        <v>5108</v>
      </c>
      <c r="C6216" s="21" t="s">
        <v>22247</v>
      </c>
      <c r="D6216" s="72" t="s">
        <v>22248</v>
      </c>
      <c r="E6216" s="72"/>
      <c r="F6216" s="72"/>
      <c r="G6216" s="72"/>
      <c r="H6216" s="22" t="s">
        <v>22249</v>
      </c>
      <c r="I6216" s="23" t="s">
        <v>36</v>
      </c>
      <c r="J6216" s="22"/>
      <c r="K6216" s="20">
        <v>3</v>
      </c>
      <c r="L6216" s="24">
        <v>250.59</v>
      </c>
      <c r="M6216" s="11"/>
      <c r="N6216" s="22">
        <f>L6216*M6216</f>
        <v>0</v>
      </c>
      <c r="O6216" s="25">
        <f>0.162*M6216</f>
        <v>0</v>
      </c>
      <c r="P6216" s="26">
        <f>0.00038*M6216</f>
        <v>0</v>
      </c>
      <c r="Q6216" s="30"/>
      <c r="R6216" s="22" t="s">
        <v>22250</v>
      </c>
      <c r="S6216" s="22" t="s">
        <v>435</v>
      </c>
      <c r="T6216" s="21" t="str">
        <f>HYPERLINK("https://miland.ru/api/getInfo/image/4d3deb51-cd3b-11ed-a230-00155d82e902")</f>
        <v>https://miland.ru/api/getInfo/image/4d3deb51-cd3b-11ed-a230-00155d82e902</v>
      </c>
      <c r="U6216" s="21"/>
      <c r="V6216" s="21"/>
      <c r="W6216" s="21"/>
      <c r="X6216" s="21"/>
      <c r="Y6216" s="21" t="s">
        <v>41</v>
      </c>
      <c r="Z6216" s="21"/>
      <c r="AA6216" s="21" t="str">
        <f>HYPERLINK("https://miland.ru/api/getInfo/item/4d3deb51-cd3b-11ed-a230-00155d82e902")</f>
        <v>https://miland.ru/api/getInfo/item/4d3deb51-cd3b-11ed-a230-00155d82e902</v>
      </c>
      <c r="AB6216" s="21" t="s">
        <v>50</v>
      </c>
      <c r="AC6216" s="21"/>
      <c r="AD6216" s="21"/>
    </row>
    <row r="6217" spans="2:30" s="1" customFormat="1" ht="96.3" customHeight="1" outlineLevel="5">
      <c r="B6217" s="57">
        <v>5109</v>
      </c>
      <c r="C6217" s="21" t="s">
        <v>22251</v>
      </c>
      <c r="D6217" s="72" t="s">
        <v>22252</v>
      </c>
      <c r="E6217" s="72"/>
      <c r="F6217" s="72"/>
      <c r="G6217" s="72"/>
      <c r="H6217" s="22" t="s">
        <v>22253</v>
      </c>
      <c r="I6217" s="23" t="s">
        <v>36</v>
      </c>
      <c r="J6217" s="22"/>
      <c r="K6217" s="20">
        <v>3</v>
      </c>
      <c r="L6217" s="24">
        <v>250.59</v>
      </c>
      <c r="M6217" s="11"/>
      <c r="N6217" s="22">
        <f>L6217*M6217</f>
        <v>0</v>
      </c>
      <c r="O6217" s="28">
        <f>0.16*M6217</f>
        <v>0</v>
      </c>
      <c r="P6217" s="26">
        <f>0.00038*M6217</f>
        <v>0</v>
      </c>
      <c r="Q6217" s="30"/>
      <c r="R6217" s="22" t="s">
        <v>22254</v>
      </c>
      <c r="S6217" s="22" t="s">
        <v>435</v>
      </c>
      <c r="T6217" s="21" t="str">
        <f>HYPERLINK("https://miland.ru/api/getInfo/image/f21d508c-cd3b-11ed-a230-00155d82e902")</f>
        <v>https://miland.ru/api/getInfo/image/f21d508c-cd3b-11ed-a230-00155d82e902</v>
      </c>
      <c r="U6217" s="21"/>
      <c r="V6217" s="21"/>
      <c r="W6217" s="21"/>
      <c r="X6217" s="21"/>
      <c r="Y6217" s="21" t="s">
        <v>41</v>
      </c>
      <c r="Z6217" s="21"/>
      <c r="AA6217" s="21" t="str">
        <f>HYPERLINK("https://miland.ru/api/getInfo/item/f21d508c-cd3b-11ed-a230-00155d82e902")</f>
        <v>https://miland.ru/api/getInfo/item/f21d508c-cd3b-11ed-a230-00155d82e902</v>
      </c>
      <c r="AB6217" s="21" t="s">
        <v>50</v>
      </c>
      <c r="AC6217" s="21"/>
      <c r="AD6217" s="21"/>
    </row>
    <row r="6218" spans="2:30" s="1" customFormat="1" ht="96.3" customHeight="1" outlineLevel="5">
      <c r="B6218" s="57">
        <v>5110</v>
      </c>
      <c r="C6218" s="21" t="s">
        <v>22255</v>
      </c>
      <c r="D6218" s="72" t="s">
        <v>22256</v>
      </c>
      <c r="E6218" s="72"/>
      <c r="F6218" s="72"/>
      <c r="G6218" s="72"/>
      <c r="H6218" s="22" t="s">
        <v>22257</v>
      </c>
      <c r="I6218" s="23" t="s">
        <v>36</v>
      </c>
      <c r="J6218" s="22"/>
      <c r="K6218" s="20">
        <v>4</v>
      </c>
      <c r="L6218" s="24">
        <v>160.97</v>
      </c>
      <c r="M6218" s="11"/>
      <c r="N6218" s="22">
        <f>L6218*M6218</f>
        <v>0</v>
      </c>
      <c r="O6218" s="28">
        <f>0.13*M6218</f>
        <v>0</v>
      </c>
      <c r="P6218" s="26">
        <f>0.00034*M6218</f>
        <v>0</v>
      </c>
      <c r="Q6218" s="30"/>
      <c r="R6218" s="22" t="s">
        <v>22258</v>
      </c>
      <c r="S6218" s="22" t="s">
        <v>435</v>
      </c>
      <c r="T6218" s="21" t="str">
        <f>HYPERLINK("https://miland.ru/api/getInfo/image/007bc429-fd90-11e5-b4aa-5cf3fc4a2490")</f>
        <v>https://miland.ru/api/getInfo/image/007bc429-fd90-11e5-b4aa-5cf3fc4a2490</v>
      </c>
      <c r="U6218" s="21"/>
      <c r="V6218" s="21" t="s">
        <v>1818</v>
      </c>
      <c r="W6218" s="21" t="s">
        <v>1819</v>
      </c>
      <c r="X6218" s="21"/>
      <c r="Y6218" s="21" t="s">
        <v>41</v>
      </c>
      <c r="Z6218" s="21"/>
      <c r="AA6218" s="21" t="str">
        <f>HYPERLINK("https://miland.ru/api/getInfo/item/007bc429-fd90-11e5-b4aa-5cf3fc4a2490")</f>
        <v>https://miland.ru/api/getInfo/item/007bc429-fd90-11e5-b4aa-5cf3fc4a2490</v>
      </c>
      <c r="AB6218" s="21" t="s">
        <v>50</v>
      </c>
      <c r="AC6218" s="21" t="s">
        <v>22068</v>
      </c>
      <c r="AD6218" s="21"/>
    </row>
    <row r="6219" spans="2:30" s="1" customFormat="1" ht="96.3" customHeight="1" outlineLevel="5">
      <c r="B6219" s="57">
        <v>5111</v>
      </c>
      <c r="C6219" s="21" t="s">
        <v>22259</v>
      </c>
      <c r="D6219" s="72" t="s">
        <v>22260</v>
      </c>
      <c r="E6219" s="72"/>
      <c r="F6219" s="72"/>
      <c r="G6219" s="72"/>
      <c r="H6219" s="22" t="s">
        <v>22261</v>
      </c>
      <c r="I6219" s="23" t="s">
        <v>36</v>
      </c>
      <c r="J6219" s="22"/>
      <c r="K6219" s="20">
        <v>4</v>
      </c>
      <c r="L6219" s="24">
        <v>160.97</v>
      </c>
      <c r="M6219" s="11"/>
      <c r="N6219" s="22">
        <f>L6219*M6219</f>
        <v>0</v>
      </c>
      <c r="O6219" s="28">
        <f>0.06*M6219</f>
        <v>0</v>
      </c>
      <c r="P6219" s="26">
        <f>0.00047*M6219</f>
        <v>0</v>
      </c>
      <c r="Q6219" s="30"/>
      <c r="R6219" s="22" t="s">
        <v>22262</v>
      </c>
      <c r="S6219" s="22"/>
      <c r="T6219" s="21" t="str">
        <f>HYPERLINK("https://miland.ru/api/getInfo/image/890e79d3-fd8f-11e5-b4aa-5cf3fc4a2490")</f>
        <v>https://miland.ru/api/getInfo/image/890e79d3-fd8f-11e5-b4aa-5cf3fc4a2490</v>
      </c>
      <c r="U6219" s="21"/>
      <c r="V6219" s="21"/>
      <c r="W6219" s="21"/>
      <c r="X6219" s="21"/>
      <c r="Y6219" s="21" t="s">
        <v>41</v>
      </c>
      <c r="Z6219" s="21"/>
      <c r="AA6219" s="21" t="str">
        <f>HYPERLINK("https://miland.ru/api/getInfo/item/890e79d3-fd8f-11e5-b4aa-5cf3fc4a2490")</f>
        <v>https://miland.ru/api/getInfo/item/890e79d3-fd8f-11e5-b4aa-5cf3fc4a2490</v>
      </c>
      <c r="AB6219" s="21" t="s">
        <v>50</v>
      </c>
      <c r="AC6219" s="21" t="s">
        <v>22068</v>
      </c>
      <c r="AD6219" s="21"/>
    </row>
    <row r="6220" spans="2:30" s="1" customFormat="1" ht="96.3" customHeight="1" outlineLevel="5">
      <c r="B6220" s="57">
        <v>5112</v>
      </c>
      <c r="C6220" s="21" t="s">
        <v>22263</v>
      </c>
      <c r="D6220" s="72" t="s">
        <v>22264</v>
      </c>
      <c r="E6220" s="72"/>
      <c r="F6220" s="72"/>
      <c r="G6220" s="72"/>
      <c r="H6220" s="22" t="s">
        <v>22265</v>
      </c>
      <c r="I6220" s="27">
        <v>382</v>
      </c>
      <c r="J6220" s="22"/>
      <c r="K6220" s="20">
        <v>1</v>
      </c>
      <c r="L6220" s="24">
        <v>508.76</v>
      </c>
      <c r="M6220" s="11"/>
      <c r="N6220" s="22">
        <f>L6220*M6220</f>
        <v>0</v>
      </c>
      <c r="O6220" s="25">
        <f>0.263*M6220</f>
        <v>0</v>
      </c>
      <c r="P6220" s="26">
        <f>0.00095*M6220</f>
        <v>0</v>
      </c>
      <c r="Q6220" s="30"/>
      <c r="R6220" s="22" t="s">
        <v>22266</v>
      </c>
      <c r="S6220" s="22" t="s">
        <v>435</v>
      </c>
      <c r="T6220" s="21" t="str">
        <f>HYPERLINK("https://miland.ru/api/getInfo/image/b072ef70-903b-11ee-a250-00155d82e908")</f>
        <v>https://miland.ru/api/getInfo/image/b072ef70-903b-11ee-a250-00155d82e908</v>
      </c>
      <c r="U6220" s="21"/>
      <c r="V6220" s="21"/>
      <c r="W6220" s="21"/>
      <c r="X6220" s="21"/>
      <c r="Y6220" s="21" t="s">
        <v>41</v>
      </c>
      <c r="Z6220" s="21"/>
      <c r="AA6220" s="21" t="str">
        <f>HYPERLINK("https://miland.ru/api/getInfo/item/b072ef70-903b-11ee-a250-00155d82e908")</f>
        <v>https://miland.ru/api/getInfo/item/b072ef70-903b-11ee-a250-00155d82e908</v>
      </c>
      <c r="AB6220" s="21" t="s">
        <v>50</v>
      </c>
      <c r="AC6220" s="21"/>
      <c r="AD6220" s="21"/>
    </row>
    <row r="6221" spans="2:30" ht="12" customHeight="1" outlineLevel="4">
      <c r="B6221" s="70" t="s">
        <v>22069</v>
      </c>
      <c r="C6221" s="70"/>
      <c r="D6221" s="70"/>
      <c r="E6221" s="70"/>
      <c r="F6221" s="70"/>
      <c r="G6221" s="70"/>
    </row>
    <row r="6222" spans="2:30" s="1" customFormat="1" ht="96.3" customHeight="1" outlineLevel="5">
      <c r="B6222" s="57">
        <v>5113</v>
      </c>
      <c r="C6222" s="21" t="s">
        <v>22267</v>
      </c>
      <c r="D6222" s="72" t="s">
        <v>22268</v>
      </c>
      <c r="E6222" s="72"/>
      <c r="F6222" s="72"/>
      <c r="G6222" s="72"/>
      <c r="H6222" s="22" t="s">
        <v>22269</v>
      </c>
      <c r="I6222" s="23" t="s">
        <v>36</v>
      </c>
      <c r="J6222" s="22"/>
      <c r="K6222" s="20">
        <v>3</v>
      </c>
      <c r="L6222" s="24">
        <v>189.3</v>
      </c>
      <c r="M6222" s="11"/>
      <c r="N6222" s="22">
        <f>L6222*M6222</f>
        <v>0</v>
      </c>
      <c r="O6222" s="25">
        <f>0.086*M6222</f>
        <v>0</v>
      </c>
      <c r="P6222" s="26">
        <f>0.00042*M6222</f>
        <v>0</v>
      </c>
      <c r="Q6222" s="30"/>
      <c r="R6222" s="22" t="s">
        <v>22270</v>
      </c>
      <c r="S6222" s="22" t="s">
        <v>435</v>
      </c>
      <c r="T6222" s="21" t="str">
        <f>HYPERLINK("https://miland.ru/api/getInfo/image/df03fe46-9a09-11ec-a211-ac1f6b442185")</f>
        <v>https://miland.ru/api/getInfo/image/df03fe46-9a09-11ec-a211-ac1f6b442185</v>
      </c>
      <c r="U6222" s="21"/>
      <c r="V6222" s="21" t="s">
        <v>1818</v>
      </c>
      <c r="W6222" s="21" t="s">
        <v>1819</v>
      </c>
      <c r="X6222" s="21"/>
      <c r="Y6222" s="21" t="s">
        <v>12356</v>
      </c>
      <c r="Z6222" s="21"/>
      <c r="AA6222" s="21" t="str">
        <f>HYPERLINK("https://miland.ru/api/getInfo/item/df03fe46-9a09-11ec-a211-ac1f6b442185")</f>
        <v>https://miland.ru/api/getInfo/item/df03fe46-9a09-11ec-a211-ac1f6b442185</v>
      </c>
      <c r="AB6222" s="21" t="s">
        <v>50</v>
      </c>
      <c r="AC6222" s="21"/>
      <c r="AD6222" s="21"/>
    </row>
    <row r="6223" spans="2:30" s="1" customFormat="1" ht="96.3" customHeight="1" outlineLevel="5">
      <c r="B6223" s="57">
        <v>5114</v>
      </c>
      <c r="C6223" s="21" t="s">
        <v>22271</v>
      </c>
      <c r="D6223" s="72" t="s">
        <v>22272</v>
      </c>
      <c r="E6223" s="72"/>
      <c r="F6223" s="72"/>
      <c r="G6223" s="72"/>
      <c r="H6223" s="22" t="s">
        <v>22273</v>
      </c>
      <c r="I6223" s="23" t="s">
        <v>36</v>
      </c>
      <c r="J6223" s="22"/>
      <c r="K6223" s="20">
        <v>3</v>
      </c>
      <c r="L6223" s="24">
        <v>189.3</v>
      </c>
      <c r="M6223" s="11"/>
      <c r="N6223" s="22">
        <f>L6223*M6223</f>
        <v>0</v>
      </c>
      <c r="O6223" s="25">
        <f>0.049*M6223</f>
        <v>0</v>
      </c>
      <c r="P6223" s="26">
        <f>0.00041*M6223</f>
        <v>0</v>
      </c>
      <c r="Q6223" s="30"/>
      <c r="R6223" s="22" t="s">
        <v>22274</v>
      </c>
      <c r="S6223" s="22" t="s">
        <v>435</v>
      </c>
      <c r="T6223" s="21" t="str">
        <f>HYPERLINK("https://miland.ru/api/getInfo/image/d7cc91dd-9a08-11ec-a211-ac1f6b442185")</f>
        <v>https://miland.ru/api/getInfo/image/d7cc91dd-9a08-11ec-a211-ac1f6b442185</v>
      </c>
      <c r="U6223" s="21"/>
      <c r="V6223" s="21"/>
      <c r="W6223" s="21"/>
      <c r="X6223" s="21"/>
      <c r="Y6223" s="21" t="s">
        <v>41</v>
      </c>
      <c r="Z6223" s="21"/>
      <c r="AA6223" s="21" t="str">
        <f>HYPERLINK("https://miland.ru/api/getInfo/item/d7cc91dd-9a08-11ec-a211-ac1f6b442185")</f>
        <v>https://miland.ru/api/getInfo/item/d7cc91dd-9a08-11ec-a211-ac1f6b442185</v>
      </c>
      <c r="AB6223" s="21" t="s">
        <v>50</v>
      </c>
      <c r="AC6223" s="21"/>
      <c r="AD6223" s="21"/>
    </row>
    <row r="6224" spans="2:30" s="1" customFormat="1" ht="96.3" customHeight="1" outlineLevel="5">
      <c r="B6224" s="57">
        <v>5115</v>
      </c>
      <c r="C6224" s="21" t="s">
        <v>22275</v>
      </c>
      <c r="D6224" s="72" t="s">
        <v>22276</v>
      </c>
      <c r="E6224" s="72"/>
      <c r="F6224" s="72"/>
      <c r="G6224" s="72"/>
      <c r="H6224" s="22" t="s">
        <v>22277</v>
      </c>
      <c r="I6224" s="23" t="s">
        <v>36</v>
      </c>
      <c r="J6224" s="22"/>
      <c r="K6224" s="20">
        <v>3</v>
      </c>
      <c r="L6224" s="24">
        <v>189.3</v>
      </c>
      <c r="M6224" s="11"/>
      <c r="N6224" s="22">
        <f>L6224*M6224</f>
        <v>0</v>
      </c>
      <c r="O6224" s="25">
        <f>0.083*M6224</f>
        <v>0</v>
      </c>
      <c r="P6224" s="26">
        <f>0.00038*M6224</f>
        <v>0</v>
      </c>
      <c r="Q6224" s="30"/>
      <c r="R6224" s="22" t="s">
        <v>22278</v>
      </c>
      <c r="S6224" s="22" t="s">
        <v>435</v>
      </c>
      <c r="T6224" s="21" t="str">
        <f>HYPERLINK("https://miland.ru/api/getInfo/image/3cb07ee1-9a09-11ec-a211-ac1f6b442185")</f>
        <v>https://miland.ru/api/getInfo/image/3cb07ee1-9a09-11ec-a211-ac1f6b442185</v>
      </c>
      <c r="U6224" s="21"/>
      <c r="V6224" s="21"/>
      <c r="W6224" s="21"/>
      <c r="X6224" s="21"/>
      <c r="Y6224" s="21" t="s">
        <v>41</v>
      </c>
      <c r="Z6224" s="21"/>
      <c r="AA6224" s="21" t="str">
        <f>HYPERLINK("https://miland.ru/api/getInfo/item/3cb07ee1-9a09-11ec-a211-ac1f6b442185")</f>
        <v>https://miland.ru/api/getInfo/item/3cb07ee1-9a09-11ec-a211-ac1f6b442185</v>
      </c>
      <c r="AB6224" s="21" t="s">
        <v>50</v>
      </c>
      <c r="AC6224" s="21"/>
      <c r="AD6224" s="21"/>
    </row>
    <row r="6225" spans="2:30" s="1" customFormat="1" ht="96.3" customHeight="1" outlineLevel="5">
      <c r="B6225" s="57">
        <v>5116</v>
      </c>
      <c r="C6225" s="21" t="s">
        <v>22279</v>
      </c>
      <c r="D6225" s="72" t="s">
        <v>22280</v>
      </c>
      <c r="E6225" s="72"/>
      <c r="F6225" s="72"/>
      <c r="G6225" s="72"/>
      <c r="H6225" s="22" t="s">
        <v>22281</v>
      </c>
      <c r="I6225" s="27">
        <v>95</v>
      </c>
      <c r="J6225" s="22"/>
      <c r="K6225" s="20">
        <v>3</v>
      </c>
      <c r="L6225" s="24">
        <v>189.3</v>
      </c>
      <c r="M6225" s="11"/>
      <c r="N6225" s="22">
        <f>L6225*M6225</f>
        <v>0</v>
      </c>
      <c r="O6225" s="25">
        <f>0.094*M6225</f>
        <v>0</v>
      </c>
      <c r="P6225" s="26">
        <f>0.00041*M6225</f>
        <v>0</v>
      </c>
      <c r="Q6225" s="30"/>
      <c r="R6225" s="22" t="s">
        <v>22282</v>
      </c>
      <c r="S6225" s="22" t="s">
        <v>435</v>
      </c>
      <c r="T6225" s="21" t="str">
        <f>HYPERLINK("https://miland.ru/api/getInfo/image/803777f1-9a09-11ec-a211-ac1f6b442185")</f>
        <v>https://miland.ru/api/getInfo/image/803777f1-9a09-11ec-a211-ac1f6b442185</v>
      </c>
      <c r="U6225" s="21"/>
      <c r="V6225" s="21"/>
      <c r="W6225" s="21"/>
      <c r="X6225" s="21"/>
      <c r="Y6225" s="21" t="s">
        <v>41</v>
      </c>
      <c r="Z6225" s="21"/>
      <c r="AA6225" s="21" t="str">
        <f>HYPERLINK("https://miland.ru/api/getInfo/item/803777f1-9a09-11ec-a211-ac1f6b442185")</f>
        <v>https://miland.ru/api/getInfo/item/803777f1-9a09-11ec-a211-ac1f6b442185</v>
      </c>
      <c r="AB6225" s="21" t="s">
        <v>50</v>
      </c>
      <c r="AC6225" s="21"/>
      <c r="AD6225" s="21"/>
    </row>
    <row r="6226" spans="2:30" ht="12" customHeight="1" outlineLevel="4">
      <c r="B6226" s="70" t="s">
        <v>22283</v>
      </c>
      <c r="C6226" s="70"/>
      <c r="D6226" s="70"/>
      <c r="E6226" s="70"/>
      <c r="F6226" s="70"/>
      <c r="G6226" s="70"/>
    </row>
    <row r="6227" spans="2:30" s="1" customFormat="1" ht="96.3" customHeight="1" outlineLevel="5">
      <c r="B6227" s="57">
        <v>5117</v>
      </c>
      <c r="C6227" s="21" t="s">
        <v>22284</v>
      </c>
      <c r="D6227" s="72" t="s">
        <v>22285</v>
      </c>
      <c r="E6227" s="72"/>
      <c r="F6227" s="72"/>
      <c r="G6227" s="72"/>
      <c r="H6227" s="22" t="s">
        <v>22286</v>
      </c>
      <c r="I6227" s="23" t="s">
        <v>36</v>
      </c>
      <c r="J6227" s="22"/>
      <c r="K6227" s="20">
        <v>1</v>
      </c>
      <c r="L6227" s="24">
        <v>614.28</v>
      </c>
      <c r="M6227" s="11"/>
      <c r="N6227" s="22">
        <f t="shared" ref="N6227:N6233" si="362">L6227*M6227</f>
        <v>0</v>
      </c>
      <c r="O6227" s="25">
        <f>0.365*M6227</f>
        <v>0</v>
      </c>
      <c r="P6227" s="26">
        <f>0.00499*M6227</f>
        <v>0</v>
      </c>
      <c r="Q6227" s="30"/>
      <c r="R6227" s="22" t="s">
        <v>22287</v>
      </c>
      <c r="S6227" s="22"/>
      <c r="T6227" s="21" t="str">
        <f>HYPERLINK("https://miland.ru/api/getInfo/image/f16e525a-2214-11ee-a23d-00155d82e902")</f>
        <v>https://miland.ru/api/getInfo/image/f16e525a-2214-11ee-a23d-00155d82e902</v>
      </c>
      <c r="U6227" s="21"/>
      <c r="V6227" s="21"/>
      <c r="W6227" s="21"/>
      <c r="X6227" s="21"/>
      <c r="Y6227" s="21" t="s">
        <v>41</v>
      </c>
      <c r="Z6227" s="21"/>
      <c r="AA6227" s="21" t="str">
        <f>HYPERLINK("https://miland.ru/api/getInfo/item/f16e525a-2214-11ee-a23d-00155d82e902")</f>
        <v>https://miland.ru/api/getInfo/item/f16e525a-2214-11ee-a23d-00155d82e902</v>
      </c>
      <c r="AB6227" s="21" t="s">
        <v>50</v>
      </c>
      <c r="AC6227" s="21"/>
      <c r="AD6227" s="21"/>
    </row>
    <row r="6228" spans="2:30" s="1" customFormat="1" ht="96.3" customHeight="1" outlineLevel="5">
      <c r="B6228" s="57">
        <v>5118</v>
      </c>
      <c r="C6228" s="21" t="s">
        <v>22288</v>
      </c>
      <c r="D6228" s="72" t="s">
        <v>22289</v>
      </c>
      <c r="E6228" s="72"/>
      <c r="F6228" s="72"/>
      <c r="G6228" s="72"/>
      <c r="H6228" s="22" t="s">
        <v>22290</v>
      </c>
      <c r="I6228" s="23" t="s">
        <v>36</v>
      </c>
      <c r="J6228" s="22"/>
      <c r="K6228" s="20">
        <v>1</v>
      </c>
      <c r="L6228" s="24">
        <v>522.89</v>
      </c>
      <c r="M6228" s="11"/>
      <c r="N6228" s="22">
        <f t="shared" si="362"/>
        <v>0</v>
      </c>
      <c r="O6228" s="25">
        <f>0.419*M6228</f>
        <v>0</v>
      </c>
      <c r="P6228" s="26">
        <f>0.00108*M6228</f>
        <v>0</v>
      </c>
      <c r="Q6228" s="30"/>
      <c r="R6228" s="22" t="s">
        <v>22291</v>
      </c>
      <c r="S6228" s="22"/>
      <c r="T6228" s="21" t="str">
        <f>HYPERLINK("https://miland.ru/api/getInfo/image/6d1a2c20-2c7d-11ee-a23d-00155d82e902")</f>
        <v>https://miland.ru/api/getInfo/image/6d1a2c20-2c7d-11ee-a23d-00155d82e902</v>
      </c>
      <c r="U6228" s="21"/>
      <c r="V6228" s="21"/>
      <c r="W6228" s="21" t="s">
        <v>1819</v>
      </c>
      <c r="X6228" s="21"/>
      <c r="Y6228" s="21" t="s">
        <v>41</v>
      </c>
      <c r="Z6228" s="21"/>
      <c r="AA6228" s="21" t="str">
        <f>HYPERLINK("https://miland.ru/api/getInfo/item/6d1a2c20-2c7d-11ee-a23d-00155d82e902")</f>
        <v>https://miland.ru/api/getInfo/item/6d1a2c20-2c7d-11ee-a23d-00155d82e902</v>
      </c>
      <c r="AB6228" s="21" t="s">
        <v>50</v>
      </c>
      <c r="AC6228" s="21"/>
      <c r="AD6228" s="21"/>
    </row>
    <row r="6229" spans="2:30" s="1" customFormat="1" ht="96.3" customHeight="1" outlineLevel="5">
      <c r="B6229" s="57">
        <v>5119</v>
      </c>
      <c r="C6229" s="21" t="s">
        <v>22292</v>
      </c>
      <c r="D6229" s="72" t="s">
        <v>22293</v>
      </c>
      <c r="E6229" s="72"/>
      <c r="F6229" s="72"/>
      <c r="G6229" s="72"/>
      <c r="H6229" s="22" t="s">
        <v>22294</v>
      </c>
      <c r="I6229" s="23" t="s">
        <v>36</v>
      </c>
      <c r="J6229" s="22"/>
      <c r="K6229" s="20">
        <v>2</v>
      </c>
      <c r="L6229" s="24">
        <v>329.06</v>
      </c>
      <c r="M6229" s="11"/>
      <c r="N6229" s="22">
        <f t="shared" si="362"/>
        <v>0</v>
      </c>
      <c r="O6229" s="25">
        <f>0.206*M6229</f>
        <v>0</v>
      </c>
      <c r="P6229" s="29">
        <f>0.0012*M6229</f>
        <v>0</v>
      </c>
      <c r="Q6229" s="30"/>
      <c r="R6229" s="22" t="s">
        <v>22295</v>
      </c>
      <c r="S6229" s="22"/>
      <c r="T6229" s="21" t="str">
        <f>HYPERLINK("https://miland.ru/api/getInfo/image/65f56ca5-35b1-11ed-a216-ac1f6b442185")</f>
        <v>https://miland.ru/api/getInfo/image/65f56ca5-35b1-11ed-a216-ac1f6b442185</v>
      </c>
      <c r="U6229" s="21"/>
      <c r="V6229" s="21"/>
      <c r="W6229" s="21" t="s">
        <v>1819</v>
      </c>
      <c r="X6229" s="21"/>
      <c r="Y6229" s="21" t="s">
        <v>41</v>
      </c>
      <c r="Z6229" s="21"/>
      <c r="AA6229" s="21" t="str">
        <f>HYPERLINK("https://miland.ru/api/getInfo/item/65f56ca5-35b1-11ed-a216-ac1f6b442185")</f>
        <v>https://miland.ru/api/getInfo/item/65f56ca5-35b1-11ed-a216-ac1f6b442185</v>
      </c>
      <c r="AB6229" s="21" t="s">
        <v>50</v>
      </c>
      <c r="AC6229" s="21"/>
      <c r="AD6229" s="21"/>
    </row>
    <row r="6230" spans="2:30" s="1" customFormat="1" ht="96.3" customHeight="1" outlineLevel="5">
      <c r="B6230" s="57">
        <v>5120</v>
      </c>
      <c r="C6230" s="21" t="s">
        <v>22296</v>
      </c>
      <c r="D6230" s="72" t="s">
        <v>22297</v>
      </c>
      <c r="E6230" s="72"/>
      <c r="F6230" s="72"/>
      <c r="G6230" s="72"/>
      <c r="H6230" s="22" t="s">
        <v>22298</v>
      </c>
      <c r="I6230" s="23" t="s">
        <v>36</v>
      </c>
      <c r="J6230" s="22"/>
      <c r="K6230" s="20">
        <v>1</v>
      </c>
      <c r="L6230" s="24">
        <v>417.45</v>
      </c>
      <c r="M6230" s="11"/>
      <c r="N6230" s="22">
        <f t="shared" si="362"/>
        <v>0</v>
      </c>
      <c r="O6230" s="25">
        <f>0.473*M6230</f>
        <v>0</v>
      </c>
      <c r="P6230" s="26">
        <f>0.00097*M6230</f>
        <v>0</v>
      </c>
      <c r="Q6230" s="30"/>
      <c r="R6230" s="22" t="s">
        <v>22299</v>
      </c>
      <c r="S6230" s="22"/>
      <c r="T6230" s="21" t="str">
        <f>HYPERLINK("https://miland.ru/api/getInfo/image/47b60627-f2b8-11ec-a213-ac1f6b442185")</f>
        <v>https://miland.ru/api/getInfo/image/47b60627-f2b8-11ec-a213-ac1f6b442185</v>
      </c>
      <c r="U6230" s="21"/>
      <c r="V6230" s="21"/>
      <c r="W6230" s="21" t="s">
        <v>1819</v>
      </c>
      <c r="X6230" s="21"/>
      <c r="Y6230" s="21" t="s">
        <v>41</v>
      </c>
      <c r="Z6230" s="21"/>
      <c r="AA6230" s="21" t="str">
        <f>HYPERLINK("https://miland.ru/api/getInfo/item/47b60627-f2b8-11ec-a213-ac1f6b442185")</f>
        <v>https://miland.ru/api/getInfo/item/47b60627-f2b8-11ec-a213-ac1f6b442185</v>
      </c>
      <c r="AB6230" s="21" t="s">
        <v>50</v>
      </c>
      <c r="AC6230" s="21"/>
      <c r="AD6230" s="21"/>
    </row>
    <row r="6231" spans="2:30" s="1" customFormat="1" ht="96.3" customHeight="1" outlineLevel="5">
      <c r="B6231" s="57">
        <v>5121</v>
      </c>
      <c r="C6231" s="21" t="s">
        <v>22300</v>
      </c>
      <c r="D6231" s="72" t="s">
        <v>22301</v>
      </c>
      <c r="E6231" s="72"/>
      <c r="F6231" s="72"/>
      <c r="G6231" s="72"/>
      <c r="H6231" s="22" t="s">
        <v>22302</v>
      </c>
      <c r="I6231" s="23" t="s">
        <v>36</v>
      </c>
      <c r="J6231" s="22"/>
      <c r="K6231" s="20">
        <v>1</v>
      </c>
      <c r="L6231" s="24">
        <v>522.89</v>
      </c>
      <c r="M6231" s="11"/>
      <c r="N6231" s="22">
        <f t="shared" si="362"/>
        <v>0</v>
      </c>
      <c r="O6231" s="25">
        <f>0.439*M6231</f>
        <v>0</v>
      </c>
      <c r="P6231" s="26">
        <f>0.00102*M6231</f>
        <v>0</v>
      </c>
      <c r="Q6231" s="30"/>
      <c r="R6231" s="22" t="s">
        <v>22303</v>
      </c>
      <c r="S6231" s="22"/>
      <c r="T6231" s="21" t="str">
        <f>HYPERLINK("https://miland.ru/api/getInfo/image/be790fee-2c7d-11ee-a23d-00155d82e902")</f>
        <v>https://miland.ru/api/getInfo/image/be790fee-2c7d-11ee-a23d-00155d82e902</v>
      </c>
      <c r="U6231" s="21"/>
      <c r="V6231" s="21"/>
      <c r="W6231" s="21" t="s">
        <v>1819</v>
      </c>
      <c r="X6231" s="21"/>
      <c r="Y6231" s="21" t="s">
        <v>41</v>
      </c>
      <c r="Z6231" s="21"/>
      <c r="AA6231" s="21" t="str">
        <f>HYPERLINK("https://miland.ru/api/getInfo/item/be790fee-2c7d-11ee-a23d-00155d82e902")</f>
        <v>https://miland.ru/api/getInfo/item/be790fee-2c7d-11ee-a23d-00155d82e902</v>
      </c>
      <c r="AB6231" s="21" t="s">
        <v>50</v>
      </c>
      <c r="AC6231" s="21"/>
      <c r="AD6231" s="21"/>
    </row>
    <row r="6232" spans="2:30" s="1" customFormat="1" ht="96.3" customHeight="1" outlineLevel="5">
      <c r="B6232" s="57">
        <v>5122</v>
      </c>
      <c r="C6232" s="21" t="s">
        <v>22304</v>
      </c>
      <c r="D6232" s="72" t="s">
        <v>22305</v>
      </c>
      <c r="E6232" s="72"/>
      <c r="F6232" s="72"/>
      <c r="G6232" s="72"/>
      <c r="H6232" s="22" t="s">
        <v>22306</v>
      </c>
      <c r="I6232" s="27">
        <v>67</v>
      </c>
      <c r="J6232" s="22"/>
      <c r="K6232" s="20">
        <v>1</v>
      </c>
      <c r="L6232" s="24">
        <v>629.76</v>
      </c>
      <c r="M6232" s="11"/>
      <c r="N6232" s="22">
        <f t="shared" si="362"/>
        <v>0</v>
      </c>
      <c r="O6232" s="25">
        <f>0.375*M6232</f>
        <v>0</v>
      </c>
      <c r="P6232" s="26">
        <f>0.00101*M6232</f>
        <v>0</v>
      </c>
      <c r="Q6232" s="30"/>
      <c r="R6232" s="22" t="s">
        <v>22307</v>
      </c>
      <c r="S6232" s="22" t="s">
        <v>435</v>
      </c>
      <c r="T6232" s="21" t="str">
        <f>HYPERLINK("https://miland.ru/api/getInfo/image/b5f93933-cd39-11ed-a230-00155d82e902")</f>
        <v>https://miland.ru/api/getInfo/image/b5f93933-cd39-11ed-a230-00155d82e902</v>
      </c>
      <c r="U6232" s="21"/>
      <c r="V6232" s="21"/>
      <c r="W6232" s="21"/>
      <c r="X6232" s="21"/>
      <c r="Y6232" s="21" t="s">
        <v>41</v>
      </c>
      <c r="Z6232" s="21"/>
      <c r="AA6232" s="21" t="str">
        <f>HYPERLINK("https://miland.ru/api/getInfo/item/b5f93933-cd39-11ed-a230-00155d82e902")</f>
        <v>https://miland.ru/api/getInfo/item/b5f93933-cd39-11ed-a230-00155d82e902</v>
      </c>
      <c r="AB6232" s="21" t="s">
        <v>50</v>
      </c>
      <c r="AC6232" s="21"/>
      <c r="AD6232" s="21"/>
    </row>
    <row r="6233" spans="2:30" s="1" customFormat="1" ht="96.3" customHeight="1" outlineLevel="5">
      <c r="B6233" s="57">
        <v>5123</v>
      </c>
      <c r="C6233" s="21" t="s">
        <v>22308</v>
      </c>
      <c r="D6233" s="72" t="s">
        <v>22309</v>
      </c>
      <c r="E6233" s="72"/>
      <c r="F6233" s="72"/>
      <c r="G6233" s="72"/>
      <c r="H6233" s="22" t="s">
        <v>22310</v>
      </c>
      <c r="I6233" s="27">
        <v>415</v>
      </c>
      <c r="J6233" s="22"/>
      <c r="K6233" s="20">
        <v>1</v>
      </c>
      <c r="L6233" s="24">
        <v>629.76</v>
      </c>
      <c r="M6233" s="11"/>
      <c r="N6233" s="22">
        <f t="shared" si="362"/>
        <v>0</v>
      </c>
      <c r="O6233" s="25">
        <f>0.374*M6233</f>
        <v>0</v>
      </c>
      <c r="P6233" s="26">
        <f>0.00101*M6233</f>
        <v>0</v>
      </c>
      <c r="Q6233" s="30"/>
      <c r="R6233" s="22" t="s">
        <v>22311</v>
      </c>
      <c r="S6233" s="22" t="s">
        <v>435</v>
      </c>
      <c r="T6233" s="21" t="str">
        <f>HYPERLINK("https://miland.ru/api/getInfo/image/dc779d38-cd3a-11ed-a230-00155d82e902")</f>
        <v>https://miland.ru/api/getInfo/image/dc779d38-cd3a-11ed-a230-00155d82e902</v>
      </c>
      <c r="U6233" s="21"/>
      <c r="V6233" s="21"/>
      <c r="W6233" s="21"/>
      <c r="X6233" s="21"/>
      <c r="Y6233" s="21" t="s">
        <v>41</v>
      </c>
      <c r="Z6233" s="21"/>
      <c r="AA6233" s="21" t="str">
        <f>HYPERLINK("https://miland.ru/api/getInfo/item/dc779d38-cd3a-11ed-a230-00155d82e902")</f>
        <v>https://miland.ru/api/getInfo/item/dc779d38-cd3a-11ed-a230-00155d82e902</v>
      </c>
      <c r="AB6233" s="21" t="s">
        <v>50</v>
      </c>
      <c r="AC6233" s="21"/>
      <c r="AD6233" s="21"/>
    </row>
    <row r="6234" spans="2:30" ht="12" customHeight="1" outlineLevel="2">
      <c r="B6234" s="69" t="s">
        <v>22312</v>
      </c>
      <c r="C6234" s="69"/>
      <c r="D6234" s="69"/>
      <c r="E6234" s="69"/>
      <c r="F6234" s="69"/>
      <c r="G6234" s="69"/>
    </row>
    <row r="6235" spans="2:30" ht="12" customHeight="1" outlineLevel="3">
      <c r="B6235" s="70" t="s">
        <v>22313</v>
      </c>
      <c r="C6235" s="70"/>
      <c r="D6235" s="70"/>
      <c r="E6235" s="70"/>
      <c r="F6235" s="70"/>
      <c r="G6235" s="70"/>
    </row>
    <row r="6236" spans="2:30" s="1" customFormat="1" ht="96.3" customHeight="1" outlineLevel="4">
      <c r="B6236" s="57">
        <v>5124</v>
      </c>
      <c r="C6236" s="21" t="s">
        <v>22314</v>
      </c>
      <c r="D6236" s="72" t="s">
        <v>22315</v>
      </c>
      <c r="E6236" s="72"/>
      <c r="F6236" s="72"/>
      <c r="G6236" s="72"/>
      <c r="H6236" s="22" t="s">
        <v>22316</v>
      </c>
      <c r="I6236" s="27">
        <v>46</v>
      </c>
      <c r="J6236" s="22"/>
      <c r="K6236" s="20">
        <v>1</v>
      </c>
      <c r="L6236" s="32">
        <v>3308.39</v>
      </c>
      <c r="M6236" s="11"/>
      <c r="N6236" s="22">
        <f t="shared" ref="N6236:N6241" si="363">L6236*M6236</f>
        <v>0</v>
      </c>
      <c r="O6236" s="25">
        <f>1.437*M6236</f>
        <v>0</v>
      </c>
      <c r="P6236" s="26">
        <f>0.01965*M6236</f>
        <v>0</v>
      </c>
      <c r="Q6236" s="30"/>
      <c r="R6236" s="22" t="s">
        <v>22317</v>
      </c>
      <c r="S6236" s="22" t="s">
        <v>435</v>
      </c>
      <c r="T6236" s="21" t="str">
        <f>HYPERLINK("https://miland.ru/api/getInfo/image/e06cb02e-5209-11ee-a244-00155d82e902")</f>
        <v>https://miland.ru/api/getInfo/image/e06cb02e-5209-11ee-a244-00155d82e902</v>
      </c>
      <c r="U6236" s="21"/>
      <c r="V6236" s="21" t="s">
        <v>11512</v>
      </c>
      <c r="W6236" s="21" t="s">
        <v>11513</v>
      </c>
      <c r="X6236" s="21" t="s">
        <v>172</v>
      </c>
      <c r="Y6236" s="21" t="s">
        <v>477</v>
      </c>
      <c r="Z6236" s="21" t="s">
        <v>22318</v>
      </c>
      <c r="AA6236" s="21" t="str">
        <f>HYPERLINK("https://miland.ru/api/getInfo/item/e06cb02e-5209-11ee-a244-00155d82e902")</f>
        <v>https://miland.ru/api/getInfo/item/e06cb02e-5209-11ee-a244-00155d82e902</v>
      </c>
      <c r="AB6236" s="21" t="s">
        <v>42</v>
      </c>
      <c r="AC6236" s="21"/>
      <c r="AD6236" s="21"/>
    </row>
    <row r="6237" spans="2:30" s="1" customFormat="1" ht="96.3" customHeight="1" outlineLevel="4">
      <c r="B6237" s="57">
        <v>5125</v>
      </c>
      <c r="C6237" s="21" t="s">
        <v>22319</v>
      </c>
      <c r="D6237" s="72" t="s">
        <v>22320</v>
      </c>
      <c r="E6237" s="72"/>
      <c r="F6237" s="72"/>
      <c r="G6237" s="72"/>
      <c r="H6237" s="22" t="s">
        <v>22321</v>
      </c>
      <c r="I6237" s="27">
        <v>158</v>
      </c>
      <c r="J6237" s="22"/>
      <c r="K6237" s="20">
        <v>1</v>
      </c>
      <c r="L6237" s="32">
        <v>4192.9399999999996</v>
      </c>
      <c r="M6237" s="11"/>
      <c r="N6237" s="22">
        <f t="shared" si="363"/>
        <v>0</v>
      </c>
      <c r="O6237" s="25">
        <f>1.768*M6237</f>
        <v>0</v>
      </c>
      <c r="P6237" s="26">
        <f>0.03089*M6237</f>
        <v>0</v>
      </c>
      <c r="Q6237" s="30"/>
      <c r="R6237" s="22" t="s">
        <v>22322</v>
      </c>
      <c r="S6237" s="22" t="s">
        <v>435</v>
      </c>
      <c r="T6237" s="21" t="str">
        <f>HYPERLINK("https://miland.ru/api/getInfo/image/8536e134-5209-11ee-a244-00155d82e902")</f>
        <v>https://miland.ru/api/getInfo/image/8536e134-5209-11ee-a244-00155d82e902</v>
      </c>
      <c r="U6237" s="21"/>
      <c r="V6237" s="21"/>
      <c r="W6237" s="21" t="s">
        <v>11513</v>
      </c>
      <c r="X6237" s="21" t="s">
        <v>172</v>
      </c>
      <c r="Y6237" s="21" t="s">
        <v>477</v>
      </c>
      <c r="Z6237" s="21" t="s">
        <v>22323</v>
      </c>
      <c r="AA6237" s="21" t="str">
        <f>HYPERLINK("https://miland.ru/api/getInfo/item/8536e134-5209-11ee-a244-00155d82e902")</f>
        <v>https://miland.ru/api/getInfo/item/8536e134-5209-11ee-a244-00155d82e902</v>
      </c>
      <c r="AB6237" s="21" t="s">
        <v>42</v>
      </c>
      <c r="AC6237" s="21"/>
      <c r="AD6237" s="21"/>
    </row>
    <row r="6238" spans="2:30" s="1" customFormat="1" ht="96.3" customHeight="1" outlineLevel="4">
      <c r="B6238" s="57">
        <v>5126</v>
      </c>
      <c r="C6238" s="21" t="s">
        <v>22324</v>
      </c>
      <c r="D6238" s="72" t="s">
        <v>22325</v>
      </c>
      <c r="E6238" s="72"/>
      <c r="F6238" s="72"/>
      <c r="G6238" s="72"/>
      <c r="H6238" s="22" t="s">
        <v>22326</v>
      </c>
      <c r="I6238" s="27">
        <v>9</v>
      </c>
      <c r="J6238" s="22"/>
      <c r="K6238" s="20">
        <v>1</v>
      </c>
      <c r="L6238" s="32">
        <v>5256.88</v>
      </c>
      <c r="M6238" s="11"/>
      <c r="N6238" s="22">
        <f t="shared" si="363"/>
        <v>0</v>
      </c>
      <c r="O6238" s="25">
        <f>2.279*M6238</f>
        <v>0</v>
      </c>
      <c r="P6238" s="26">
        <f>0.03254*M6238</f>
        <v>0</v>
      </c>
      <c r="Q6238" s="30"/>
      <c r="R6238" s="22" t="s">
        <v>22327</v>
      </c>
      <c r="S6238" s="22" t="s">
        <v>435</v>
      </c>
      <c r="T6238" s="21" t="str">
        <f>HYPERLINK("https://miland.ru/api/getInfo/image/ae4b37a5-86e6-11ef-a265-00155d82e908")</f>
        <v>https://miland.ru/api/getInfo/image/ae4b37a5-86e6-11ef-a265-00155d82e908</v>
      </c>
      <c r="U6238" s="21"/>
      <c r="V6238" s="21"/>
      <c r="W6238" s="21" t="s">
        <v>11513</v>
      </c>
      <c r="X6238" s="21" t="s">
        <v>172</v>
      </c>
      <c r="Y6238" s="21" t="s">
        <v>477</v>
      </c>
      <c r="Z6238" s="21" t="s">
        <v>22328</v>
      </c>
      <c r="AA6238" s="21" t="str">
        <f>HYPERLINK("https://miland.ru/api/getInfo/item/ae4b37a5-86e6-11ef-a265-00155d82e908")</f>
        <v>https://miland.ru/api/getInfo/item/ae4b37a5-86e6-11ef-a265-00155d82e908</v>
      </c>
      <c r="AB6238" s="21" t="s">
        <v>42</v>
      </c>
      <c r="AC6238" s="21"/>
      <c r="AD6238" s="21"/>
    </row>
    <row r="6239" spans="2:30" s="1" customFormat="1" ht="96.3" customHeight="1" outlineLevel="4">
      <c r="B6239" s="57">
        <v>5127</v>
      </c>
      <c r="C6239" s="21" t="s">
        <v>22329</v>
      </c>
      <c r="D6239" s="72" t="s">
        <v>22330</v>
      </c>
      <c r="E6239" s="72"/>
      <c r="F6239" s="72"/>
      <c r="G6239" s="72"/>
      <c r="H6239" s="22" t="s">
        <v>22331</v>
      </c>
      <c r="I6239" s="27">
        <v>37</v>
      </c>
      <c r="J6239" s="22"/>
      <c r="K6239" s="20">
        <v>1</v>
      </c>
      <c r="L6239" s="32">
        <v>3257.53</v>
      </c>
      <c r="M6239" s="11"/>
      <c r="N6239" s="22">
        <f t="shared" si="363"/>
        <v>0</v>
      </c>
      <c r="O6239" s="25">
        <f>1.255*M6239</f>
        <v>0</v>
      </c>
      <c r="P6239" s="26">
        <f>0.01989*M6239</f>
        <v>0</v>
      </c>
      <c r="Q6239" s="30"/>
      <c r="R6239" s="22" t="s">
        <v>22332</v>
      </c>
      <c r="S6239" s="22" t="s">
        <v>435</v>
      </c>
      <c r="T6239" s="21" t="str">
        <f>HYPERLINK("https://miland.ru/api/getInfo/image/15043b75-520a-11ee-a244-00155d82e902")</f>
        <v>https://miland.ru/api/getInfo/image/15043b75-520a-11ee-a244-00155d82e902</v>
      </c>
      <c r="U6239" s="21"/>
      <c r="V6239" s="21" t="s">
        <v>11512</v>
      </c>
      <c r="W6239" s="21" t="s">
        <v>11513</v>
      </c>
      <c r="X6239" s="21" t="s">
        <v>172</v>
      </c>
      <c r="Y6239" s="21" t="s">
        <v>477</v>
      </c>
      <c r="Z6239" s="21" t="s">
        <v>22333</v>
      </c>
      <c r="AA6239" s="21" t="str">
        <f>HYPERLINK("https://miland.ru/api/getInfo/item/15043b75-520a-11ee-a244-00155d82e902")</f>
        <v>https://miland.ru/api/getInfo/item/15043b75-520a-11ee-a244-00155d82e902</v>
      </c>
      <c r="AB6239" s="21" t="s">
        <v>42</v>
      </c>
      <c r="AC6239" s="21"/>
      <c r="AD6239" s="21"/>
    </row>
    <row r="6240" spans="2:30" s="1" customFormat="1" ht="96.3" customHeight="1" outlineLevel="4">
      <c r="B6240" s="57">
        <v>5128</v>
      </c>
      <c r="C6240" s="21" t="s">
        <v>22334</v>
      </c>
      <c r="D6240" s="72" t="s">
        <v>22335</v>
      </c>
      <c r="E6240" s="72"/>
      <c r="F6240" s="72"/>
      <c r="G6240" s="72"/>
      <c r="H6240" s="22" t="s">
        <v>22336</v>
      </c>
      <c r="I6240" s="27">
        <v>320</v>
      </c>
      <c r="J6240" s="22"/>
      <c r="K6240" s="20">
        <v>1</v>
      </c>
      <c r="L6240" s="32">
        <v>3257.53</v>
      </c>
      <c r="M6240" s="11"/>
      <c r="N6240" s="22">
        <f t="shared" si="363"/>
        <v>0</v>
      </c>
      <c r="O6240" s="25">
        <f>1.438*M6240</f>
        <v>0</v>
      </c>
      <c r="P6240" s="26">
        <f>0.01903*M6240</f>
        <v>0</v>
      </c>
      <c r="Q6240" s="30"/>
      <c r="R6240" s="22" t="s">
        <v>22337</v>
      </c>
      <c r="S6240" s="22" t="s">
        <v>435</v>
      </c>
      <c r="T6240" s="21" t="str">
        <f>HYPERLINK("https://miland.ru/api/getInfo/image/3e555f9f-520a-11ee-a244-00155d82e902")</f>
        <v>https://miland.ru/api/getInfo/image/3e555f9f-520a-11ee-a244-00155d82e902</v>
      </c>
      <c r="U6240" s="21"/>
      <c r="V6240" s="21"/>
      <c r="W6240" s="21" t="s">
        <v>11513</v>
      </c>
      <c r="X6240" s="21" t="s">
        <v>172</v>
      </c>
      <c r="Y6240" s="21" t="s">
        <v>477</v>
      </c>
      <c r="Z6240" s="21" t="s">
        <v>22338</v>
      </c>
      <c r="AA6240" s="21" t="str">
        <f>HYPERLINK("https://miland.ru/api/getInfo/item/3e555f9f-520a-11ee-a244-00155d82e902")</f>
        <v>https://miland.ru/api/getInfo/item/3e555f9f-520a-11ee-a244-00155d82e902</v>
      </c>
      <c r="AB6240" s="21" t="s">
        <v>42</v>
      </c>
      <c r="AC6240" s="21"/>
      <c r="AD6240" s="21"/>
    </row>
    <row r="6241" spans="2:31" s="1" customFormat="1" ht="96.3" customHeight="1" outlineLevel="4">
      <c r="B6241" s="57">
        <v>5129</v>
      </c>
      <c r="C6241" s="21" t="s">
        <v>22339</v>
      </c>
      <c r="D6241" s="72" t="s">
        <v>22340</v>
      </c>
      <c r="E6241" s="72"/>
      <c r="F6241" s="72"/>
      <c r="G6241" s="72"/>
      <c r="H6241" s="22" t="s">
        <v>22341</v>
      </c>
      <c r="I6241" s="27">
        <v>9</v>
      </c>
      <c r="J6241" s="22"/>
      <c r="K6241" s="20">
        <v>1</v>
      </c>
      <c r="L6241" s="32">
        <v>2604.6</v>
      </c>
      <c r="M6241" s="11"/>
      <c r="N6241" s="22">
        <f t="shared" si="363"/>
        <v>0</v>
      </c>
      <c r="O6241" s="25">
        <f>1.112*M6241</f>
        <v>0</v>
      </c>
      <c r="P6241" s="26">
        <f>0.02141*M6241</f>
        <v>0</v>
      </c>
      <c r="Q6241" s="30"/>
      <c r="R6241" s="22" t="s">
        <v>22342</v>
      </c>
      <c r="S6241" s="22" t="s">
        <v>435</v>
      </c>
      <c r="T6241" s="21" t="str">
        <f>HYPERLINK("https://miland.ru/api/getInfo/image/52a95aaa-5209-11ee-a244-00155d82e902")</f>
        <v>https://miland.ru/api/getInfo/image/52a95aaa-5209-11ee-a244-00155d82e902</v>
      </c>
      <c r="U6241" s="21"/>
      <c r="V6241" s="21" t="s">
        <v>11512</v>
      </c>
      <c r="W6241" s="21" t="s">
        <v>11513</v>
      </c>
      <c r="X6241" s="21" t="s">
        <v>172</v>
      </c>
      <c r="Y6241" s="21" t="s">
        <v>477</v>
      </c>
      <c r="Z6241" s="21" t="s">
        <v>22343</v>
      </c>
      <c r="AA6241" s="21" t="str">
        <f>HYPERLINK("https://miland.ru/api/getInfo/item/52a95aaa-5209-11ee-a244-00155d82e902")</f>
        <v>https://miland.ru/api/getInfo/item/52a95aaa-5209-11ee-a244-00155d82e902</v>
      </c>
      <c r="AB6241" s="21" t="s">
        <v>42</v>
      </c>
      <c r="AC6241" s="21"/>
      <c r="AD6241" s="21"/>
    </row>
    <row r="6242" spans="2:31" ht="12" customHeight="1" outlineLevel="3">
      <c r="B6242" s="70" t="s">
        <v>22344</v>
      </c>
      <c r="C6242" s="70"/>
      <c r="D6242" s="70"/>
      <c r="E6242" s="70"/>
      <c r="F6242" s="70"/>
      <c r="G6242" s="70"/>
    </row>
    <row r="6243" spans="2:31" s="1" customFormat="1" ht="96.3" customHeight="1" outlineLevel="4">
      <c r="B6243" s="59">
        <v>5130</v>
      </c>
      <c r="C6243" s="35" t="s">
        <v>22345</v>
      </c>
      <c r="D6243" s="73" t="s">
        <v>22346</v>
      </c>
      <c r="E6243" s="73"/>
      <c r="F6243" s="73"/>
      <c r="G6243" s="73"/>
      <c r="H6243" s="36" t="s">
        <v>22347</v>
      </c>
      <c r="I6243" s="40">
        <v>41</v>
      </c>
      <c r="J6243" s="36"/>
      <c r="K6243" s="34">
        <v>1</v>
      </c>
      <c r="L6243" s="41">
        <v>986.37333333333333</v>
      </c>
      <c r="M6243" s="11"/>
      <c r="N6243" s="36">
        <f>L6243*M6243</f>
        <v>0</v>
      </c>
      <c r="O6243" s="47">
        <f>1.06*M6243</f>
        <v>0</v>
      </c>
      <c r="P6243" s="43">
        <f>0.00758*M6243</f>
        <v>0</v>
      </c>
      <c r="Q6243" s="50"/>
      <c r="R6243" s="36" t="s">
        <v>22348</v>
      </c>
      <c r="S6243" s="36" t="s">
        <v>435</v>
      </c>
      <c r="T6243" s="35" t="str">
        <f>HYPERLINK("https://miland.ru/api/getInfo/image/f758af22-76ea-11e9-a226-ac1f6b442184")</f>
        <v>https://miland.ru/api/getInfo/image/f758af22-76ea-11e9-a226-ac1f6b442184</v>
      </c>
      <c r="U6243" s="35"/>
      <c r="V6243" s="35" t="s">
        <v>1818</v>
      </c>
      <c r="W6243" s="35" t="s">
        <v>1819</v>
      </c>
      <c r="X6243" s="35"/>
      <c r="Y6243" s="35" t="s">
        <v>12356</v>
      </c>
      <c r="Z6243" s="35"/>
      <c r="AA6243" s="35" t="str">
        <f>HYPERLINK("https://miland.ru/api/getInfo/item/f758af22-76ea-11e9-a226-ac1f6b442184")</f>
        <v>https://miland.ru/api/getInfo/item/f758af22-76ea-11e9-a226-ac1f6b442184</v>
      </c>
      <c r="AB6243" s="35" t="s">
        <v>42</v>
      </c>
      <c r="AC6243" s="35" t="s">
        <v>22349</v>
      </c>
      <c r="AD6243" s="35"/>
      <c r="AE6243" s="52" t="s">
        <v>1251</v>
      </c>
    </row>
    <row r="6244" spans="2:31" s="1" customFormat="1" ht="96.3" customHeight="1" outlineLevel="4">
      <c r="B6244" s="57">
        <v>5131</v>
      </c>
      <c r="C6244" s="21" t="s">
        <v>22350</v>
      </c>
      <c r="D6244" s="72" t="s">
        <v>22351</v>
      </c>
      <c r="E6244" s="72"/>
      <c r="F6244" s="72"/>
      <c r="G6244" s="72"/>
      <c r="H6244" s="22" t="s">
        <v>22352</v>
      </c>
      <c r="I6244" s="27">
        <v>14</v>
      </c>
      <c r="J6244" s="22"/>
      <c r="K6244" s="20">
        <v>1</v>
      </c>
      <c r="L6244" s="24">
        <v>858.49</v>
      </c>
      <c r="M6244" s="11"/>
      <c r="N6244" s="22">
        <f>L6244*M6244</f>
        <v>0</v>
      </c>
      <c r="O6244" s="25">
        <f>1.028*M6244</f>
        <v>0</v>
      </c>
      <c r="P6244" s="26">
        <f>0.00848*M6244</f>
        <v>0</v>
      </c>
      <c r="Q6244" s="30"/>
      <c r="R6244" s="22" t="s">
        <v>22353</v>
      </c>
      <c r="S6244" s="22"/>
      <c r="T6244" s="21" t="str">
        <f>HYPERLINK("https://miland.ru/api/getInfo/image/3d1d3f91-2915-11e8-ba06-5cf3fc4a2490")</f>
        <v>https://miland.ru/api/getInfo/image/3d1d3f91-2915-11e8-ba06-5cf3fc4a2490</v>
      </c>
      <c r="U6244" s="21"/>
      <c r="V6244" s="21" t="s">
        <v>1818</v>
      </c>
      <c r="W6244" s="21" t="s">
        <v>1819</v>
      </c>
      <c r="X6244" s="21"/>
      <c r="Y6244" s="21" t="s">
        <v>12356</v>
      </c>
      <c r="Z6244" s="21"/>
      <c r="AA6244" s="21" t="str">
        <f>HYPERLINK("https://miland.ru/api/getInfo/item/3d1d3f91-2915-11e8-ba06-5cf3fc4a2490")</f>
        <v>https://miland.ru/api/getInfo/item/3d1d3f91-2915-11e8-ba06-5cf3fc4a2490</v>
      </c>
      <c r="AB6244" s="21" t="s">
        <v>42</v>
      </c>
      <c r="AC6244" s="21"/>
      <c r="AD6244" s="21"/>
    </row>
    <row r="6245" spans="2:31" ht="12" customHeight="1" outlineLevel="3">
      <c r="B6245" s="70" t="s">
        <v>22354</v>
      </c>
      <c r="C6245" s="70"/>
      <c r="D6245" s="70"/>
      <c r="E6245" s="70"/>
      <c r="F6245" s="70"/>
      <c r="G6245" s="70"/>
    </row>
    <row r="6246" spans="2:31" s="1" customFormat="1" ht="96.3" customHeight="1" outlineLevel="4">
      <c r="B6246" s="57">
        <v>5132</v>
      </c>
      <c r="C6246" s="21" t="s">
        <v>22355</v>
      </c>
      <c r="D6246" s="72" t="s">
        <v>22356</v>
      </c>
      <c r="E6246" s="72"/>
      <c r="F6246" s="72"/>
      <c r="G6246" s="72"/>
      <c r="H6246" s="22" t="s">
        <v>22357</v>
      </c>
      <c r="I6246" s="27">
        <v>129</v>
      </c>
      <c r="J6246" s="22"/>
      <c r="K6246" s="20">
        <v>1</v>
      </c>
      <c r="L6246" s="24">
        <v>748.55</v>
      </c>
      <c r="M6246" s="11"/>
      <c r="N6246" s="22">
        <f>L6246*M6246</f>
        <v>0</v>
      </c>
      <c r="O6246" s="28">
        <f>0.66*M6246</f>
        <v>0</v>
      </c>
      <c r="P6246" s="26">
        <f>0.00272*M6246</f>
        <v>0</v>
      </c>
      <c r="Q6246" s="30"/>
      <c r="R6246" s="22" t="s">
        <v>22358</v>
      </c>
      <c r="S6246" s="22"/>
      <c r="T6246" s="21" t="str">
        <f>HYPERLINK("https://miland.ru/api/getInfo/image/4c92c3a5-e97c-11e8-a214-ac1f6b442184")</f>
        <v>https://miland.ru/api/getInfo/image/4c92c3a5-e97c-11e8-a214-ac1f6b442184</v>
      </c>
      <c r="U6246" s="21"/>
      <c r="V6246" s="21" t="s">
        <v>1818</v>
      </c>
      <c r="W6246" s="21" t="s">
        <v>1819</v>
      </c>
      <c r="X6246" s="21"/>
      <c r="Y6246" s="21" t="s">
        <v>12356</v>
      </c>
      <c r="Z6246" s="21"/>
      <c r="AA6246" s="21" t="str">
        <f>HYPERLINK("https://miland.ru/api/getInfo/item/4c92c3a5-e97c-11e8-a214-ac1f6b442184")</f>
        <v>https://miland.ru/api/getInfo/item/4c92c3a5-e97c-11e8-a214-ac1f6b442184</v>
      </c>
      <c r="AB6246" s="21" t="s">
        <v>42</v>
      </c>
      <c r="AC6246" s="21"/>
      <c r="AD6246" s="21"/>
    </row>
    <row r="6247" spans="2:31" s="1" customFormat="1" ht="96.3" customHeight="1" outlineLevel="4">
      <c r="B6247" s="57">
        <v>5133</v>
      </c>
      <c r="C6247" s="21" t="s">
        <v>22359</v>
      </c>
      <c r="D6247" s="72" t="s">
        <v>22360</v>
      </c>
      <c r="E6247" s="72"/>
      <c r="F6247" s="72"/>
      <c r="G6247" s="72"/>
      <c r="H6247" s="22" t="s">
        <v>22361</v>
      </c>
      <c r="I6247" s="23" t="s">
        <v>36</v>
      </c>
      <c r="J6247" s="22"/>
      <c r="K6247" s="20">
        <v>1</v>
      </c>
      <c r="L6247" s="32">
        <v>1396.61</v>
      </c>
      <c r="M6247" s="11"/>
      <c r="N6247" s="22">
        <f>L6247*M6247</f>
        <v>0</v>
      </c>
      <c r="O6247" s="25">
        <f>0.622*M6247</f>
        <v>0</v>
      </c>
      <c r="P6247" s="26">
        <f>0.00234*M6247</f>
        <v>0</v>
      </c>
      <c r="Q6247" s="30"/>
      <c r="R6247" s="22" t="s">
        <v>22362</v>
      </c>
      <c r="S6247" s="22" t="s">
        <v>435</v>
      </c>
      <c r="T6247" s="21" t="str">
        <f>HYPERLINK("https://miland.ru/api/getInfo/image/ccbdfee4-d6e0-11ee-a25a-00155d82e908")</f>
        <v>https://miland.ru/api/getInfo/image/ccbdfee4-d6e0-11ee-a25a-00155d82e908</v>
      </c>
      <c r="U6247" s="21"/>
      <c r="V6247" s="21" t="s">
        <v>1818</v>
      </c>
      <c r="W6247" s="21" t="s">
        <v>1819</v>
      </c>
      <c r="X6247" s="21"/>
      <c r="Y6247" s="21" t="s">
        <v>12356</v>
      </c>
      <c r="Z6247" s="21"/>
      <c r="AA6247" s="21" t="str">
        <f>HYPERLINK("https://miland.ru/api/getInfo/item/ccbdfee4-d6e0-11ee-a25a-00155d82e908")</f>
        <v>https://miland.ru/api/getInfo/item/ccbdfee4-d6e0-11ee-a25a-00155d82e908</v>
      </c>
      <c r="AB6247" s="21" t="s">
        <v>42</v>
      </c>
      <c r="AC6247" s="21"/>
      <c r="AD6247" s="21"/>
    </row>
    <row r="6248" spans="2:31" ht="12" customHeight="1" outlineLevel="3">
      <c r="B6248" s="70" t="s">
        <v>22363</v>
      </c>
      <c r="C6248" s="70"/>
      <c r="D6248" s="70"/>
      <c r="E6248" s="70"/>
      <c r="F6248" s="70"/>
      <c r="G6248" s="70"/>
    </row>
    <row r="6249" spans="2:31" s="1" customFormat="1" ht="96.3" customHeight="1" outlineLevel="4">
      <c r="B6249" s="57">
        <v>5134</v>
      </c>
      <c r="C6249" s="21" t="s">
        <v>22364</v>
      </c>
      <c r="D6249" s="72" t="s">
        <v>22365</v>
      </c>
      <c r="E6249" s="72"/>
      <c r="F6249" s="72"/>
      <c r="G6249" s="72"/>
      <c r="H6249" s="22" t="s">
        <v>22366</v>
      </c>
      <c r="I6249" s="27">
        <v>89</v>
      </c>
      <c r="J6249" s="22"/>
      <c r="K6249" s="20">
        <v>1</v>
      </c>
      <c r="L6249" s="32">
        <v>2802.87</v>
      </c>
      <c r="M6249" s="11"/>
      <c r="N6249" s="22">
        <f t="shared" ref="N6249:N6257" si="364">L6249*M6249</f>
        <v>0</v>
      </c>
      <c r="O6249" s="25">
        <f>3.223*M6249</f>
        <v>0</v>
      </c>
      <c r="P6249" s="26">
        <f>0.00582*M6249</f>
        <v>0</v>
      </c>
      <c r="Q6249" s="30"/>
      <c r="R6249" s="22" t="s">
        <v>22367</v>
      </c>
      <c r="S6249" s="22"/>
      <c r="T6249" s="21" t="str">
        <f>HYPERLINK("https://miland.ru/api/getInfo/image/ae4c6baf-5d79-11e7-977d-5cf3fc4a2490")</f>
        <v>https://miland.ru/api/getInfo/image/ae4c6baf-5d79-11e7-977d-5cf3fc4a2490</v>
      </c>
      <c r="U6249" s="21"/>
      <c r="V6249" s="21"/>
      <c r="W6249" s="21" t="s">
        <v>12339</v>
      </c>
      <c r="X6249" s="21"/>
      <c r="Y6249" s="21" t="s">
        <v>41</v>
      </c>
      <c r="Z6249" s="21"/>
      <c r="AA6249" s="21" t="str">
        <f>HYPERLINK("https://miland.ru/api/getInfo/item/ae4c6baf-5d79-11e7-977d-5cf3fc4a2490")</f>
        <v>https://miland.ru/api/getInfo/item/ae4c6baf-5d79-11e7-977d-5cf3fc4a2490</v>
      </c>
      <c r="AB6249" s="21" t="s">
        <v>42</v>
      </c>
      <c r="AC6249" s="21" t="s">
        <v>22368</v>
      </c>
      <c r="AD6249" s="21"/>
    </row>
    <row r="6250" spans="2:31" s="1" customFormat="1" ht="96.3" customHeight="1" outlineLevel="4">
      <c r="B6250" s="57">
        <v>5135</v>
      </c>
      <c r="C6250" s="21" t="s">
        <v>22369</v>
      </c>
      <c r="D6250" s="72" t="s">
        <v>22370</v>
      </c>
      <c r="E6250" s="72"/>
      <c r="F6250" s="72"/>
      <c r="G6250" s="72"/>
      <c r="H6250" s="22" t="s">
        <v>22371</v>
      </c>
      <c r="I6250" s="27">
        <v>65</v>
      </c>
      <c r="J6250" s="22"/>
      <c r="K6250" s="20">
        <v>1</v>
      </c>
      <c r="L6250" s="32">
        <v>4322.96</v>
      </c>
      <c r="M6250" s="11"/>
      <c r="N6250" s="22">
        <f t="shared" si="364"/>
        <v>0</v>
      </c>
      <c r="O6250" s="25">
        <f>3.267*M6250</f>
        <v>0</v>
      </c>
      <c r="P6250" s="26">
        <f>0.00581*M6250</f>
        <v>0</v>
      </c>
      <c r="Q6250" s="30"/>
      <c r="R6250" s="22" t="s">
        <v>22372</v>
      </c>
      <c r="S6250" s="22"/>
      <c r="T6250" s="21" t="str">
        <f>HYPERLINK("https://miland.ru/api/getInfo/image/d9caabd1-0083-11ef-a25d-00155d82e908")</f>
        <v>https://miland.ru/api/getInfo/image/d9caabd1-0083-11ef-a25d-00155d82e908</v>
      </c>
      <c r="U6250" s="21"/>
      <c r="V6250" s="21"/>
      <c r="W6250" s="21" t="s">
        <v>12339</v>
      </c>
      <c r="X6250" s="21"/>
      <c r="Y6250" s="21" t="s">
        <v>41</v>
      </c>
      <c r="Z6250" s="21"/>
      <c r="AA6250" s="21" t="str">
        <f>HYPERLINK("https://miland.ru/api/getInfo/item/d9caabd1-0083-11ef-a25d-00155d82e908")</f>
        <v>https://miland.ru/api/getInfo/item/d9caabd1-0083-11ef-a25d-00155d82e908</v>
      </c>
      <c r="AB6250" s="21" t="s">
        <v>42</v>
      </c>
      <c r="AC6250" s="21" t="s">
        <v>22373</v>
      </c>
      <c r="AD6250" s="21"/>
    </row>
    <row r="6251" spans="2:31" s="1" customFormat="1" ht="96.3" customHeight="1" outlineLevel="4">
      <c r="B6251" s="57">
        <v>5136</v>
      </c>
      <c r="C6251" s="21" t="s">
        <v>22374</v>
      </c>
      <c r="D6251" s="72" t="s">
        <v>22375</v>
      </c>
      <c r="E6251" s="72"/>
      <c r="F6251" s="72"/>
      <c r="G6251" s="72"/>
      <c r="H6251" s="22" t="s">
        <v>22376</v>
      </c>
      <c r="I6251" s="27">
        <v>10</v>
      </c>
      <c r="J6251" s="22"/>
      <c r="K6251" s="20">
        <v>1</v>
      </c>
      <c r="L6251" s="32">
        <v>5443.07</v>
      </c>
      <c r="M6251" s="11"/>
      <c r="N6251" s="22">
        <f t="shared" si="364"/>
        <v>0</v>
      </c>
      <c r="O6251" s="33">
        <f>4.6*M6251</f>
        <v>0</v>
      </c>
      <c r="P6251" s="26">
        <f>0.07323*M6251</f>
        <v>0</v>
      </c>
      <c r="Q6251" s="30"/>
      <c r="R6251" s="22" t="s">
        <v>22377</v>
      </c>
      <c r="S6251" s="22"/>
      <c r="T6251" s="21" t="str">
        <f>HYPERLINK("https://miland.ru/api/getInfo/image/00974044-0084-11ef-a25d-00155d82e908")</f>
        <v>https://miland.ru/api/getInfo/image/00974044-0084-11ef-a25d-00155d82e908</v>
      </c>
      <c r="U6251" s="21"/>
      <c r="V6251" s="21"/>
      <c r="W6251" s="21" t="s">
        <v>12339</v>
      </c>
      <c r="X6251" s="21"/>
      <c r="Y6251" s="21" t="s">
        <v>41</v>
      </c>
      <c r="Z6251" s="21"/>
      <c r="AA6251" s="21" t="str">
        <f>HYPERLINK("https://miland.ru/api/getInfo/item/00974044-0084-11ef-a25d-00155d82e908")</f>
        <v>https://miland.ru/api/getInfo/item/00974044-0084-11ef-a25d-00155d82e908</v>
      </c>
      <c r="AB6251" s="21" t="s">
        <v>42</v>
      </c>
      <c r="AC6251" s="21" t="s">
        <v>22378</v>
      </c>
      <c r="AD6251" s="21"/>
    </row>
    <row r="6252" spans="2:31" s="1" customFormat="1" ht="96.3" customHeight="1" outlineLevel="4">
      <c r="B6252" s="57">
        <v>5137</v>
      </c>
      <c r="C6252" s="21" t="s">
        <v>22379</v>
      </c>
      <c r="D6252" s="72" t="s">
        <v>22380</v>
      </c>
      <c r="E6252" s="72"/>
      <c r="F6252" s="72"/>
      <c r="G6252" s="72"/>
      <c r="H6252" s="22" t="s">
        <v>22381</v>
      </c>
      <c r="I6252" s="27">
        <v>7</v>
      </c>
      <c r="J6252" s="22"/>
      <c r="K6252" s="20">
        <v>1</v>
      </c>
      <c r="L6252" s="32">
        <v>7826.55</v>
      </c>
      <c r="M6252" s="11"/>
      <c r="N6252" s="22">
        <f t="shared" si="364"/>
        <v>0</v>
      </c>
      <c r="O6252" s="25">
        <f>7.225*M6252</f>
        <v>0</v>
      </c>
      <c r="P6252" s="26">
        <f>0.01099*M6252</f>
        <v>0</v>
      </c>
      <c r="Q6252" s="30"/>
      <c r="R6252" s="22" t="s">
        <v>22382</v>
      </c>
      <c r="S6252" s="22"/>
      <c r="T6252" s="21" t="str">
        <f>HYPERLINK("https://miland.ru/api/getInfo/image/329be264-e2d4-11ee-a25a-00155d82e908")</f>
        <v>https://miland.ru/api/getInfo/image/329be264-e2d4-11ee-a25a-00155d82e908</v>
      </c>
      <c r="U6252" s="21"/>
      <c r="V6252" s="21"/>
      <c r="W6252" s="21" t="s">
        <v>12339</v>
      </c>
      <c r="X6252" s="21"/>
      <c r="Y6252" s="21" t="s">
        <v>41</v>
      </c>
      <c r="Z6252" s="21"/>
      <c r="AA6252" s="21" t="str">
        <f>HYPERLINK("https://miland.ru/api/getInfo/item/329be264-e2d4-11ee-a25a-00155d82e908")</f>
        <v>https://miland.ru/api/getInfo/item/329be264-e2d4-11ee-a25a-00155d82e908</v>
      </c>
      <c r="AB6252" s="21" t="s">
        <v>42</v>
      </c>
      <c r="AC6252" s="21" t="s">
        <v>22383</v>
      </c>
      <c r="AD6252" s="21"/>
    </row>
    <row r="6253" spans="2:31" s="1" customFormat="1" ht="96.3" customHeight="1" outlineLevel="4">
      <c r="B6253" s="57">
        <v>5138</v>
      </c>
      <c r="C6253" s="21" t="s">
        <v>22384</v>
      </c>
      <c r="D6253" s="72" t="s">
        <v>22385</v>
      </c>
      <c r="E6253" s="72"/>
      <c r="F6253" s="72"/>
      <c r="G6253" s="72"/>
      <c r="H6253" s="22" t="s">
        <v>22386</v>
      </c>
      <c r="I6253" s="27">
        <v>245</v>
      </c>
      <c r="J6253" s="22"/>
      <c r="K6253" s="20">
        <v>1</v>
      </c>
      <c r="L6253" s="32">
        <v>4286.96</v>
      </c>
      <c r="M6253" s="11"/>
      <c r="N6253" s="22">
        <f t="shared" si="364"/>
        <v>0</v>
      </c>
      <c r="O6253" s="33">
        <f>3.2*M6253</f>
        <v>0</v>
      </c>
      <c r="P6253" s="26">
        <f>0.00634*M6253</f>
        <v>0</v>
      </c>
      <c r="Q6253" s="30"/>
      <c r="R6253" s="22" t="s">
        <v>22387</v>
      </c>
      <c r="S6253" s="22" t="s">
        <v>435</v>
      </c>
      <c r="T6253" s="21" t="str">
        <f>HYPERLINK("https://miland.ru/api/getInfo/image/b61a1db9-e98c-11ed-a233-00155d82e902")</f>
        <v>https://miland.ru/api/getInfo/image/b61a1db9-e98c-11ed-a233-00155d82e902</v>
      </c>
      <c r="U6253" s="21"/>
      <c r="V6253" s="21"/>
      <c r="W6253" s="21" t="s">
        <v>12339</v>
      </c>
      <c r="X6253" s="21"/>
      <c r="Y6253" s="21" t="s">
        <v>41</v>
      </c>
      <c r="Z6253" s="21"/>
      <c r="AA6253" s="21" t="str">
        <f>HYPERLINK("https://miland.ru/api/getInfo/item/b61a1db9-e98c-11ed-a233-00155d82e902")</f>
        <v>https://miland.ru/api/getInfo/item/b61a1db9-e98c-11ed-a233-00155d82e902</v>
      </c>
      <c r="AB6253" s="21" t="s">
        <v>42</v>
      </c>
      <c r="AC6253" s="21"/>
      <c r="AD6253" s="21"/>
    </row>
    <row r="6254" spans="2:31" s="1" customFormat="1" ht="96.3" customHeight="1" outlineLevel="4">
      <c r="B6254" s="57">
        <v>5139</v>
      </c>
      <c r="C6254" s="21" t="s">
        <v>22388</v>
      </c>
      <c r="D6254" s="72" t="s">
        <v>22389</v>
      </c>
      <c r="E6254" s="72"/>
      <c r="F6254" s="72"/>
      <c r="G6254" s="72"/>
      <c r="H6254" s="22" t="s">
        <v>22390</v>
      </c>
      <c r="I6254" s="27">
        <v>10</v>
      </c>
      <c r="J6254" s="22"/>
      <c r="K6254" s="20">
        <v>1</v>
      </c>
      <c r="L6254" s="32">
        <v>1941.19</v>
      </c>
      <c r="M6254" s="11"/>
      <c r="N6254" s="22">
        <f t="shared" si="364"/>
        <v>0</v>
      </c>
      <c r="O6254" s="25">
        <f>1.904*M6254</f>
        <v>0</v>
      </c>
      <c r="P6254" s="26">
        <f>0.00421*M6254</f>
        <v>0</v>
      </c>
      <c r="Q6254" s="30"/>
      <c r="R6254" s="22" t="s">
        <v>22391</v>
      </c>
      <c r="S6254" s="22"/>
      <c r="T6254" s="21" t="str">
        <f>HYPERLINK("https://miland.ru/api/getInfo/image/b6198e36-5d79-11e7-977d-5cf3fc4a2490")</f>
        <v>https://miland.ru/api/getInfo/image/b6198e36-5d79-11e7-977d-5cf3fc4a2490</v>
      </c>
      <c r="U6254" s="21"/>
      <c r="V6254" s="21" t="s">
        <v>1818</v>
      </c>
      <c r="W6254" s="21" t="s">
        <v>12339</v>
      </c>
      <c r="X6254" s="21"/>
      <c r="Y6254" s="21" t="s">
        <v>12356</v>
      </c>
      <c r="Z6254" s="21"/>
      <c r="AA6254" s="21" t="str">
        <f>HYPERLINK("https://miland.ru/api/getInfo/item/b6198e36-5d79-11e7-977d-5cf3fc4a2490")</f>
        <v>https://miland.ru/api/getInfo/item/b6198e36-5d79-11e7-977d-5cf3fc4a2490</v>
      </c>
      <c r="AB6254" s="21" t="s">
        <v>42</v>
      </c>
      <c r="AC6254" s="21"/>
      <c r="AD6254" s="21"/>
    </row>
    <row r="6255" spans="2:31" s="1" customFormat="1" ht="96.3" customHeight="1" outlineLevel="4">
      <c r="B6255" s="57">
        <v>5140</v>
      </c>
      <c r="C6255" s="21" t="s">
        <v>22392</v>
      </c>
      <c r="D6255" s="72" t="s">
        <v>22393</v>
      </c>
      <c r="E6255" s="72"/>
      <c r="F6255" s="72"/>
      <c r="G6255" s="72"/>
      <c r="H6255" s="22" t="s">
        <v>22394</v>
      </c>
      <c r="I6255" s="23" t="s">
        <v>36</v>
      </c>
      <c r="J6255" s="22"/>
      <c r="K6255" s="20">
        <v>1</v>
      </c>
      <c r="L6255" s="32">
        <v>5283.94</v>
      </c>
      <c r="M6255" s="11"/>
      <c r="N6255" s="22">
        <f t="shared" si="364"/>
        <v>0</v>
      </c>
      <c r="O6255" s="33">
        <f>4.6*M6255</f>
        <v>0</v>
      </c>
      <c r="P6255" s="26">
        <f>0.00805*M6255</f>
        <v>0</v>
      </c>
      <c r="Q6255" s="30"/>
      <c r="R6255" s="22" t="s">
        <v>22395</v>
      </c>
      <c r="S6255" s="22" t="s">
        <v>435</v>
      </c>
      <c r="T6255" s="21" t="str">
        <f>HYPERLINK("https://miland.ru/api/getInfo/image/58fbae1f-e98d-11ed-a233-00155d82e902")</f>
        <v>https://miland.ru/api/getInfo/image/58fbae1f-e98d-11ed-a233-00155d82e902</v>
      </c>
      <c r="U6255" s="21"/>
      <c r="V6255" s="21"/>
      <c r="W6255" s="21" t="s">
        <v>12339</v>
      </c>
      <c r="X6255" s="21"/>
      <c r="Y6255" s="21" t="s">
        <v>41</v>
      </c>
      <c r="Z6255" s="21"/>
      <c r="AA6255" s="21" t="str">
        <f>HYPERLINK("https://miland.ru/api/getInfo/item/58fbae1f-e98d-11ed-a233-00155d82e902")</f>
        <v>https://miland.ru/api/getInfo/item/58fbae1f-e98d-11ed-a233-00155d82e902</v>
      </c>
      <c r="AB6255" s="21" t="s">
        <v>42</v>
      </c>
      <c r="AC6255" s="21"/>
      <c r="AD6255" s="21"/>
    </row>
    <row r="6256" spans="2:31" s="1" customFormat="1" ht="96.3" customHeight="1" outlineLevel="4">
      <c r="B6256" s="57">
        <v>5141</v>
      </c>
      <c r="C6256" s="21" t="s">
        <v>22396</v>
      </c>
      <c r="D6256" s="72" t="s">
        <v>22397</v>
      </c>
      <c r="E6256" s="72"/>
      <c r="F6256" s="72"/>
      <c r="G6256" s="72"/>
      <c r="H6256" s="22" t="s">
        <v>22398</v>
      </c>
      <c r="I6256" s="27">
        <v>197</v>
      </c>
      <c r="J6256" s="22"/>
      <c r="K6256" s="20">
        <v>1</v>
      </c>
      <c r="L6256" s="32">
        <v>4108.95</v>
      </c>
      <c r="M6256" s="11"/>
      <c r="N6256" s="22">
        <f t="shared" si="364"/>
        <v>0</v>
      </c>
      <c r="O6256" s="28">
        <f>4.68*M6256</f>
        <v>0</v>
      </c>
      <c r="P6256" s="26">
        <f>0.00809*M6256</f>
        <v>0</v>
      </c>
      <c r="Q6256" s="30"/>
      <c r="R6256" s="22" t="s">
        <v>22399</v>
      </c>
      <c r="S6256" s="22"/>
      <c r="T6256" s="21" t="str">
        <f>HYPERLINK("https://miland.ru/api/getInfo/image/836ee401-5d79-11e7-977d-5cf3fc4a2490")</f>
        <v>https://miland.ru/api/getInfo/image/836ee401-5d79-11e7-977d-5cf3fc4a2490</v>
      </c>
      <c r="U6256" s="21"/>
      <c r="V6256" s="21"/>
      <c r="W6256" s="21" t="s">
        <v>12339</v>
      </c>
      <c r="X6256" s="21"/>
      <c r="Y6256" s="21" t="s">
        <v>41</v>
      </c>
      <c r="Z6256" s="21"/>
      <c r="AA6256" s="21" t="str">
        <f>HYPERLINK("https://miland.ru/api/getInfo/item/836ee401-5d79-11e7-977d-5cf3fc4a2490")</f>
        <v>https://miland.ru/api/getInfo/item/836ee401-5d79-11e7-977d-5cf3fc4a2490</v>
      </c>
      <c r="AB6256" s="21" t="s">
        <v>42</v>
      </c>
      <c r="AC6256" s="21" t="s">
        <v>22400</v>
      </c>
      <c r="AD6256" s="21"/>
    </row>
    <row r="6257" spans="2:31" s="1" customFormat="1" ht="96.3" customHeight="1" outlineLevel="4">
      <c r="B6257" s="57">
        <v>5142</v>
      </c>
      <c r="C6257" s="21" t="s">
        <v>22401</v>
      </c>
      <c r="D6257" s="72" t="s">
        <v>22402</v>
      </c>
      <c r="E6257" s="72"/>
      <c r="F6257" s="72"/>
      <c r="G6257" s="72"/>
      <c r="H6257" s="22" t="s">
        <v>22403</v>
      </c>
      <c r="I6257" s="27">
        <v>7</v>
      </c>
      <c r="J6257" s="22"/>
      <c r="K6257" s="20">
        <v>1</v>
      </c>
      <c r="L6257" s="32">
        <v>2494.7199999999998</v>
      </c>
      <c r="M6257" s="11"/>
      <c r="N6257" s="22">
        <f t="shared" si="364"/>
        <v>0</v>
      </c>
      <c r="O6257" s="28">
        <f>2.64*M6257</f>
        <v>0</v>
      </c>
      <c r="P6257" s="26">
        <f>0.00742*M6257</f>
        <v>0</v>
      </c>
      <c r="Q6257" s="30"/>
      <c r="R6257" s="22" t="s">
        <v>22404</v>
      </c>
      <c r="S6257" s="22" t="s">
        <v>435</v>
      </c>
      <c r="T6257" s="21" t="str">
        <f>HYPERLINK("https://miland.ru/api/getInfo/image/cc56f96d-e2d3-11ee-a25a-00155d82e908")</f>
        <v>https://miland.ru/api/getInfo/image/cc56f96d-e2d3-11ee-a25a-00155d82e908</v>
      </c>
      <c r="U6257" s="21"/>
      <c r="V6257" s="21"/>
      <c r="W6257" s="21" t="s">
        <v>12339</v>
      </c>
      <c r="X6257" s="21"/>
      <c r="Y6257" s="21" t="s">
        <v>41</v>
      </c>
      <c r="Z6257" s="21"/>
      <c r="AA6257" s="21" t="str">
        <f>HYPERLINK("https://miland.ru/api/getInfo/item/cc56f96d-e2d3-11ee-a25a-00155d82e908")</f>
        <v>https://miland.ru/api/getInfo/item/cc56f96d-e2d3-11ee-a25a-00155d82e908</v>
      </c>
      <c r="AB6257" s="21" t="s">
        <v>42</v>
      </c>
      <c r="AC6257" s="21" t="s">
        <v>22405</v>
      </c>
      <c r="AD6257" s="21"/>
    </row>
    <row r="6258" spans="2:31" ht="12" customHeight="1" outlineLevel="3">
      <c r="B6258" s="70" t="s">
        <v>22406</v>
      </c>
      <c r="C6258" s="70"/>
      <c r="D6258" s="70"/>
      <c r="E6258" s="70"/>
      <c r="F6258" s="70"/>
      <c r="G6258" s="70"/>
    </row>
    <row r="6259" spans="2:31" s="1" customFormat="1" ht="96.3" customHeight="1" outlineLevel="4">
      <c r="B6259" s="58">
        <v>5143</v>
      </c>
      <c r="C6259" s="7" t="s">
        <v>22407</v>
      </c>
      <c r="D6259" s="71" t="s">
        <v>22408</v>
      </c>
      <c r="E6259" s="71"/>
      <c r="F6259" s="71"/>
      <c r="G6259" s="71"/>
      <c r="H6259" s="8" t="s">
        <v>22409</v>
      </c>
      <c r="I6259" s="14">
        <v>5</v>
      </c>
      <c r="J6259" s="8"/>
      <c r="K6259" s="6">
        <v>1</v>
      </c>
      <c r="L6259" s="10">
        <v>863.29</v>
      </c>
      <c r="M6259" s="11"/>
      <c r="N6259" s="8">
        <f>L6259*M6259</f>
        <v>0</v>
      </c>
      <c r="O6259" s="19">
        <f>0.6*M6259</f>
        <v>0</v>
      </c>
      <c r="P6259" s="13">
        <f>0.00184*M6259</f>
        <v>0</v>
      </c>
      <c r="Q6259" s="17" t="s">
        <v>37</v>
      </c>
      <c r="R6259" s="8" t="s">
        <v>22410</v>
      </c>
      <c r="S6259" s="8"/>
      <c r="T6259" s="7" t="str">
        <f>HYPERLINK("https://miland.ru/api/getInfo/image/8724f765-b30c-11f0-a286-00155d82e908")</f>
        <v>https://miland.ru/api/getInfo/image/8724f765-b30c-11f0-a286-00155d82e908</v>
      </c>
      <c r="U6259" s="7"/>
      <c r="V6259" s="7" t="s">
        <v>1818</v>
      </c>
      <c r="W6259" s="7" t="s">
        <v>1819</v>
      </c>
      <c r="X6259" s="7"/>
      <c r="Y6259" s="7" t="s">
        <v>12356</v>
      </c>
      <c r="Z6259" s="7"/>
      <c r="AA6259" s="7" t="str">
        <f>HYPERLINK("https://miland.ru/api/getInfo/item/8724f765-b30c-11f0-a286-00155d82e908")</f>
        <v>https://miland.ru/api/getInfo/item/8724f765-b30c-11f0-a286-00155d82e908</v>
      </c>
      <c r="AB6259" s="7" t="s">
        <v>42</v>
      </c>
      <c r="AC6259" s="7"/>
      <c r="AD6259" s="7"/>
      <c r="AE6259" s="54"/>
    </row>
    <row r="6260" spans="2:31" s="1" customFormat="1" ht="96.3" customHeight="1" outlineLevel="4">
      <c r="B6260" s="57">
        <v>5144</v>
      </c>
      <c r="C6260" s="21" t="s">
        <v>22411</v>
      </c>
      <c r="D6260" s="72" t="s">
        <v>22412</v>
      </c>
      <c r="E6260" s="72"/>
      <c r="F6260" s="72"/>
      <c r="G6260" s="72"/>
      <c r="H6260" s="22" t="s">
        <v>22413</v>
      </c>
      <c r="I6260" s="27">
        <v>406</v>
      </c>
      <c r="J6260" s="22"/>
      <c r="K6260" s="20">
        <v>1</v>
      </c>
      <c r="L6260" s="24">
        <v>844.98</v>
      </c>
      <c r="M6260" s="11"/>
      <c r="N6260" s="22">
        <f>L6260*M6260</f>
        <v>0</v>
      </c>
      <c r="O6260" s="28">
        <f>0.41*M6260</f>
        <v>0</v>
      </c>
      <c r="P6260" s="26">
        <f>0.00129*M6260</f>
        <v>0</v>
      </c>
      <c r="Q6260" s="30"/>
      <c r="R6260" s="22" t="s">
        <v>22414</v>
      </c>
      <c r="S6260" s="22"/>
      <c r="T6260" s="21" t="str">
        <f>HYPERLINK("https://miland.ru/api/getInfo/image/f8c872ad-a3ec-11ee-a258-00155d82e908")</f>
        <v>https://miland.ru/api/getInfo/image/f8c872ad-a3ec-11ee-a258-00155d82e908</v>
      </c>
      <c r="U6260" s="21"/>
      <c r="V6260" s="21" t="s">
        <v>1818</v>
      </c>
      <c r="W6260" s="21" t="s">
        <v>1819</v>
      </c>
      <c r="X6260" s="21"/>
      <c r="Y6260" s="21" t="s">
        <v>12356</v>
      </c>
      <c r="Z6260" s="21"/>
      <c r="AA6260" s="21" t="str">
        <f>HYPERLINK("https://miland.ru/api/getInfo/item/f8c872ad-a3ec-11ee-a258-00155d82e908")</f>
        <v>https://miland.ru/api/getInfo/item/f8c872ad-a3ec-11ee-a258-00155d82e908</v>
      </c>
      <c r="AB6260" s="21" t="s">
        <v>42</v>
      </c>
      <c r="AC6260" s="21"/>
      <c r="AD6260" s="21"/>
    </row>
    <row r="6261" spans="2:31" ht="12" customHeight="1" outlineLevel="2">
      <c r="B6261" s="69" t="s">
        <v>22415</v>
      </c>
      <c r="C6261" s="69"/>
      <c r="D6261" s="69"/>
      <c r="E6261" s="69"/>
      <c r="F6261" s="69"/>
      <c r="G6261" s="69"/>
    </row>
    <row r="6262" spans="2:31" s="1" customFormat="1" ht="96.3" customHeight="1" outlineLevel="3">
      <c r="B6262" s="57">
        <v>5145</v>
      </c>
      <c r="C6262" s="21" t="s">
        <v>22416</v>
      </c>
      <c r="D6262" s="72" t="s">
        <v>22417</v>
      </c>
      <c r="E6262" s="72"/>
      <c r="F6262" s="72"/>
      <c r="G6262" s="72"/>
      <c r="H6262" s="22" t="s">
        <v>22418</v>
      </c>
      <c r="I6262" s="23" t="s">
        <v>36</v>
      </c>
      <c r="J6262" s="22"/>
      <c r="K6262" s="20">
        <v>1</v>
      </c>
      <c r="L6262" s="32">
        <v>1154.29</v>
      </c>
      <c r="M6262" s="11"/>
      <c r="N6262" s="22">
        <f>L6262*M6262</f>
        <v>0</v>
      </c>
      <c r="O6262" s="25">
        <f>1.073*M6262</f>
        <v>0</v>
      </c>
      <c r="P6262" s="26">
        <f>0.00569*M6262</f>
        <v>0</v>
      </c>
      <c r="Q6262" s="30"/>
      <c r="R6262" s="22" t="s">
        <v>22419</v>
      </c>
      <c r="S6262" s="22"/>
      <c r="T6262" s="21" t="str">
        <f>HYPERLINK("https://miland.ru/api/getInfo/image/e0603740-43eb-11ed-a216-ac1f6b442185")</f>
        <v>https://miland.ru/api/getInfo/image/e0603740-43eb-11ed-a216-ac1f6b442185</v>
      </c>
      <c r="U6262" s="21"/>
      <c r="V6262" s="21"/>
      <c r="W6262" s="21"/>
      <c r="X6262" s="21" t="s">
        <v>172</v>
      </c>
      <c r="Y6262" s="21" t="s">
        <v>477</v>
      </c>
      <c r="Z6262" s="21" t="s">
        <v>22420</v>
      </c>
      <c r="AA6262" s="21" t="str">
        <f>HYPERLINK("https://miland.ru/api/getInfo/item/e0603740-43eb-11ed-a216-ac1f6b442185")</f>
        <v>https://miland.ru/api/getInfo/item/e0603740-43eb-11ed-a216-ac1f6b442185</v>
      </c>
      <c r="AB6262" s="21" t="s">
        <v>50</v>
      </c>
      <c r="AC6262" s="21"/>
      <c r="AD6262" s="21"/>
    </row>
    <row r="6263" spans="2:31" ht="16.05" customHeight="1" outlineLevel="1">
      <c r="B6263" s="68" t="s">
        <v>22421</v>
      </c>
      <c r="C6263" s="68"/>
      <c r="D6263" s="68"/>
      <c r="E6263" s="68"/>
      <c r="F6263" s="68"/>
      <c r="G6263" s="68"/>
    </row>
    <row r="6264" spans="2:31" ht="12" customHeight="1" outlineLevel="2">
      <c r="B6264" s="69" t="s">
        <v>22422</v>
      </c>
      <c r="C6264" s="69"/>
      <c r="D6264" s="69"/>
      <c r="E6264" s="69"/>
      <c r="F6264" s="69"/>
      <c r="G6264" s="69"/>
    </row>
    <row r="6265" spans="2:31" s="1" customFormat="1" ht="96.3" customHeight="1" outlineLevel="3">
      <c r="B6265" s="57">
        <v>5146</v>
      </c>
      <c r="C6265" s="21" t="s">
        <v>22423</v>
      </c>
      <c r="D6265" s="72" t="s">
        <v>22424</v>
      </c>
      <c r="E6265" s="72"/>
      <c r="F6265" s="72"/>
      <c r="G6265" s="72"/>
      <c r="H6265" s="22" t="s">
        <v>22425</v>
      </c>
      <c r="I6265" s="27">
        <v>84</v>
      </c>
      <c r="J6265" s="22"/>
      <c r="K6265" s="20">
        <v>3</v>
      </c>
      <c r="L6265" s="24">
        <v>204.77</v>
      </c>
      <c r="M6265" s="11"/>
      <c r="N6265" s="22">
        <f>L6265*M6265</f>
        <v>0</v>
      </c>
      <c r="O6265" s="25">
        <f>0.101*M6265</f>
        <v>0</v>
      </c>
      <c r="P6265" s="26">
        <f>0.00053*M6265</f>
        <v>0</v>
      </c>
      <c r="Q6265" s="30"/>
      <c r="R6265" s="22" t="s">
        <v>22426</v>
      </c>
      <c r="S6265" s="22" t="s">
        <v>435</v>
      </c>
      <c r="T6265" s="21" t="str">
        <f>HYPERLINK("https://miland.ru/api/getInfo/image/1593d962-8d24-11ee-a250-00155d82e908")</f>
        <v>https://miland.ru/api/getInfo/image/1593d962-8d24-11ee-a250-00155d82e908</v>
      </c>
      <c r="U6265" s="21"/>
      <c r="V6265" s="21"/>
      <c r="W6265" s="21" t="s">
        <v>10008</v>
      </c>
      <c r="X6265" s="21"/>
      <c r="Y6265" s="21" t="s">
        <v>697</v>
      </c>
      <c r="Z6265" s="21"/>
      <c r="AA6265" s="21" t="str">
        <f>HYPERLINK("https://miland.ru/api/getInfo/item/1593d962-8d24-11ee-a250-00155d82e908")</f>
        <v>https://miland.ru/api/getInfo/item/1593d962-8d24-11ee-a250-00155d82e908</v>
      </c>
      <c r="AB6265" s="21" t="s">
        <v>42</v>
      </c>
      <c r="AC6265" s="21" t="s">
        <v>22427</v>
      </c>
      <c r="AD6265" s="21"/>
    </row>
    <row r="6266" spans="2:31" s="1" customFormat="1" ht="96.3" customHeight="1" outlineLevel="3">
      <c r="B6266" s="57">
        <v>5147</v>
      </c>
      <c r="C6266" s="21" t="s">
        <v>22428</v>
      </c>
      <c r="D6266" s="72" t="s">
        <v>22429</v>
      </c>
      <c r="E6266" s="72"/>
      <c r="F6266" s="72"/>
      <c r="G6266" s="72"/>
      <c r="H6266" s="22" t="s">
        <v>22430</v>
      </c>
      <c r="I6266" s="23" t="s">
        <v>36</v>
      </c>
      <c r="J6266" s="22"/>
      <c r="K6266" s="20">
        <v>2</v>
      </c>
      <c r="L6266" s="24">
        <v>350.27</v>
      </c>
      <c r="M6266" s="11"/>
      <c r="N6266" s="22">
        <f>L6266*M6266</f>
        <v>0</v>
      </c>
      <c r="O6266" s="25">
        <f>0.172*M6266</f>
        <v>0</v>
      </c>
      <c r="P6266" s="26">
        <f>0.00069*M6266</f>
        <v>0</v>
      </c>
      <c r="Q6266" s="30"/>
      <c r="R6266" s="22" t="s">
        <v>22431</v>
      </c>
      <c r="S6266" s="22"/>
      <c r="T6266" s="21" t="str">
        <f>HYPERLINK("https://miland.ru/api/getInfo/image/4855a990-8d24-11ee-a250-00155d82e908")</f>
        <v>https://miland.ru/api/getInfo/image/4855a990-8d24-11ee-a250-00155d82e908</v>
      </c>
      <c r="U6266" s="21"/>
      <c r="V6266" s="21"/>
      <c r="W6266" s="21" t="s">
        <v>10008</v>
      </c>
      <c r="X6266" s="21"/>
      <c r="Y6266" s="21" t="s">
        <v>697</v>
      </c>
      <c r="Z6266" s="21"/>
      <c r="AA6266" s="21" t="str">
        <f>HYPERLINK("https://miland.ru/api/getInfo/item/4855a990-8d24-11ee-a250-00155d82e908")</f>
        <v>https://miland.ru/api/getInfo/item/4855a990-8d24-11ee-a250-00155d82e908</v>
      </c>
      <c r="AB6266" s="21" t="s">
        <v>42</v>
      </c>
      <c r="AC6266" s="21" t="s">
        <v>22432</v>
      </c>
      <c r="AD6266" s="21"/>
    </row>
    <row r="6267" spans="2:31" ht="12" customHeight="1" outlineLevel="2">
      <c r="B6267" s="69" t="s">
        <v>22433</v>
      </c>
      <c r="C6267" s="69"/>
      <c r="D6267" s="69"/>
      <c r="E6267" s="69"/>
      <c r="F6267" s="69"/>
      <c r="G6267" s="69"/>
    </row>
    <row r="6268" spans="2:31" ht="12" customHeight="1" outlineLevel="3">
      <c r="B6268" s="70" t="s">
        <v>22434</v>
      </c>
      <c r="C6268" s="70"/>
      <c r="D6268" s="70"/>
      <c r="E6268" s="70"/>
      <c r="F6268" s="70"/>
      <c r="G6268" s="70"/>
    </row>
    <row r="6269" spans="2:31" s="1" customFormat="1" ht="96.3" customHeight="1" outlineLevel="4">
      <c r="B6269" s="57">
        <v>5148</v>
      </c>
      <c r="C6269" s="21" t="s">
        <v>22435</v>
      </c>
      <c r="D6269" s="72" t="s">
        <v>22436</v>
      </c>
      <c r="E6269" s="72"/>
      <c r="F6269" s="72"/>
      <c r="G6269" s="72"/>
      <c r="H6269" s="22" t="s">
        <v>22437</v>
      </c>
      <c r="I6269" s="27">
        <v>10</v>
      </c>
      <c r="J6269" s="22"/>
      <c r="K6269" s="20">
        <v>1</v>
      </c>
      <c r="L6269" s="24">
        <v>837.93</v>
      </c>
      <c r="M6269" s="11"/>
      <c r="N6269" s="22">
        <f>L6269*M6269</f>
        <v>0</v>
      </c>
      <c r="O6269" s="25">
        <f>0.369*M6269</f>
        <v>0</v>
      </c>
      <c r="P6269" s="26">
        <f>0.01124*M6269</f>
        <v>0</v>
      </c>
      <c r="Q6269" s="30"/>
      <c r="R6269" s="22" t="s">
        <v>22438</v>
      </c>
      <c r="S6269" s="22" t="s">
        <v>435</v>
      </c>
      <c r="T6269" s="21" t="str">
        <f>HYPERLINK("https://miland.ru/api/getInfo/image/bdf12461-682f-11ee-a247-00155d82e902")</f>
        <v>https://miland.ru/api/getInfo/image/bdf12461-682f-11ee-a247-00155d82e902</v>
      </c>
      <c r="U6269" s="21"/>
      <c r="V6269" s="21"/>
      <c r="W6269" s="21" t="s">
        <v>22439</v>
      </c>
      <c r="X6269" s="21"/>
      <c r="Y6269" s="21" t="s">
        <v>41</v>
      </c>
      <c r="Z6269" s="21"/>
      <c r="AA6269" s="21" t="str">
        <f>HYPERLINK("https://miland.ru/api/getInfo/item/bdf12461-682f-11ee-a247-00155d82e902")</f>
        <v>https://miland.ru/api/getInfo/item/bdf12461-682f-11ee-a247-00155d82e902</v>
      </c>
      <c r="AB6269" s="21" t="s">
        <v>42</v>
      </c>
      <c r="AC6269" s="21" t="s">
        <v>22440</v>
      </c>
      <c r="AD6269" s="21"/>
    </row>
    <row r="6270" spans="2:31" s="1" customFormat="1" ht="96.3" customHeight="1" outlineLevel="4">
      <c r="B6270" s="57">
        <v>5149</v>
      </c>
      <c r="C6270" s="21" t="s">
        <v>22441</v>
      </c>
      <c r="D6270" s="72" t="s">
        <v>22442</v>
      </c>
      <c r="E6270" s="72"/>
      <c r="F6270" s="72"/>
      <c r="G6270" s="72"/>
      <c r="H6270" s="22" t="s">
        <v>22443</v>
      </c>
      <c r="I6270" s="27">
        <v>32</v>
      </c>
      <c r="J6270" s="22"/>
      <c r="K6270" s="20">
        <v>1</v>
      </c>
      <c r="L6270" s="24">
        <v>837.93</v>
      </c>
      <c r="M6270" s="11"/>
      <c r="N6270" s="22">
        <f>L6270*M6270</f>
        <v>0</v>
      </c>
      <c r="O6270" s="25">
        <f>0.369*M6270</f>
        <v>0</v>
      </c>
      <c r="P6270" s="26">
        <f>0.01124*M6270</f>
        <v>0</v>
      </c>
      <c r="Q6270" s="30"/>
      <c r="R6270" s="22" t="s">
        <v>22444</v>
      </c>
      <c r="S6270" s="22" t="s">
        <v>435</v>
      </c>
      <c r="T6270" s="21" t="str">
        <f>HYPERLINK("https://miland.ru/api/getInfo/image/ade2c732-682f-11ee-a247-00155d82e902")</f>
        <v>https://miland.ru/api/getInfo/image/ade2c732-682f-11ee-a247-00155d82e902</v>
      </c>
      <c r="U6270" s="21"/>
      <c r="V6270" s="21"/>
      <c r="W6270" s="21" t="s">
        <v>22439</v>
      </c>
      <c r="X6270" s="21"/>
      <c r="Y6270" s="21" t="s">
        <v>41</v>
      </c>
      <c r="Z6270" s="21"/>
      <c r="AA6270" s="21" t="str">
        <f>HYPERLINK("https://miland.ru/api/getInfo/item/ade2c732-682f-11ee-a247-00155d82e902")</f>
        <v>https://miland.ru/api/getInfo/item/ade2c732-682f-11ee-a247-00155d82e902</v>
      </c>
      <c r="AB6270" s="21" t="s">
        <v>42</v>
      </c>
      <c r="AC6270" s="21" t="s">
        <v>22440</v>
      </c>
      <c r="AD6270" s="21"/>
    </row>
    <row r="6271" spans="2:31" ht="12" customHeight="1" outlineLevel="3">
      <c r="B6271" s="70" t="s">
        <v>22445</v>
      </c>
      <c r="C6271" s="70"/>
      <c r="D6271" s="70"/>
      <c r="E6271" s="70"/>
      <c r="F6271" s="70"/>
      <c r="G6271" s="70"/>
    </row>
    <row r="6272" spans="2:31" s="1" customFormat="1" ht="96.3" customHeight="1" outlineLevel="4">
      <c r="B6272" s="57">
        <v>5150</v>
      </c>
      <c r="C6272" s="21" t="s">
        <v>22446</v>
      </c>
      <c r="D6272" s="72" t="s">
        <v>22447</v>
      </c>
      <c r="E6272" s="72"/>
      <c r="F6272" s="72"/>
      <c r="G6272" s="72"/>
      <c r="H6272" s="22" t="s">
        <v>22448</v>
      </c>
      <c r="I6272" s="27">
        <v>138</v>
      </c>
      <c r="J6272" s="22"/>
      <c r="K6272" s="20">
        <v>1</v>
      </c>
      <c r="L6272" s="24">
        <v>877.85</v>
      </c>
      <c r="M6272" s="11"/>
      <c r="N6272" s="22">
        <f>L6272*M6272</f>
        <v>0</v>
      </c>
      <c r="O6272" s="25">
        <f>0.376*M6272</f>
        <v>0</v>
      </c>
      <c r="P6272" s="26">
        <f>0.00122*M6272</f>
        <v>0</v>
      </c>
      <c r="Q6272" s="30"/>
      <c r="R6272" s="22" t="s">
        <v>22449</v>
      </c>
      <c r="S6272" s="22" t="s">
        <v>435</v>
      </c>
      <c r="T6272" s="21" t="str">
        <f>HYPERLINK("https://miland.ru/api/getInfo/image/b326135b-1c91-11ee-a23c-00155d82e902")</f>
        <v>https://miland.ru/api/getInfo/image/b326135b-1c91-11ee-a23c-00155d82e902</v>
      </c>
      <c r="U6272" s="21"/>
      <c r="V6272" s="21"/>
      <c r="W6272" s="21"/>
      <c r="X6272" s="21"/>
      <c r="Y6272" s="21" t="s">
        <v>41</v>
      </c>
      <c r="Z6272" s="21"/>
      <c r="AA6272" s="21" t="str">
        <f>HYPERLINK("https://miland.ru/api/getInfo/item/b326135b-1c91-11ee-a23c-00155d82e902")</f>
        <v>https://miland.ru/api/getInfo/item/b326135b-1c91-11ee-a23c-00155d82e902</v>
      </c>
      <c r="AB6272" s="21" t="s">
        <v>42</v>
      </c>
      <c r="AC6272" s="21" t="s">
        <v>22450</v>
      </c>
      <c r="AD6272" s="21"/>
    </row>
    <row r="6273" spans="2:30" ht="16.05" customHeight="1" outlineLevel="1">
      <c r="B6273" s="68" t="s">
        <v>22451</v>
      </c>
      <c r="C6273" s="68"/>
      <c r="D6273" s="68"/>
      <c r="E6273" s="68"/>
      <c r="F6273" s="68"/>
      <c r="G6273" s="68"/>
    </row>
    <row r="6274" spans="2:30" ht="12" customHeight="1" outlineLevel="2">
      <c r="B6274" s="69" t="s">
        <v>22452</v>
      </c>
      <c r="C6274" s="69"/>
      <c r="D6274" s="69"/>
      <c r="E6274" s="69"/>
      <c r="F6274" s="69"/>
      <c r="G6274" s="69"/>
    </row>
    <row r="6275" spans="2:30" ht="12" customHeight="1" outlineLevel="3">
      <c r="B6275" s="70" t="s">
        <v>22453</v>
      </c>
      <c r="C6275" s="70"/>
      <c r="D6275" s="70"/>
      <c r="E6275" s="70"/>
      <c r="F6275" s="70"/>
      <c r="G6275" s="70"/>
    </row>
    <row r="6276" spans="2:30" s="1" customFormat="1" ht="96.3" customHeight="1" outlineLevel="4">
      <c r="B6276" s="57">
        <v>5151</v>
      </c>
      <c r="C6276" s="21" t="s">
        <v>22454</v>
      </c>
      <c r="D6276" s="72" t="s">
        <v>22455</v>
      </c>
      <c r="E6276" s="72"/>
      <c r="F6276" s="72"/>
      <c r="G6276" s="72"/>
      <c r="H6276" s="22" t="s">
        <v>22456</v>
      </c>
      <c r="I6276" s="23" t="s">
        <v>36</v>
      </c>
      <c r="J6276" s="22"/>
      <c r="K6276" s="20">
        <v>1</v>
      </c>
      <c r="L6276" s="24">
        <v>732.11</v>
      </c>
      <c r="M6276" s="11"/>
      <c r="N6276" s="22">
        <f>L6276*M6276</f>
        <v>0</v>
      </c>
      <c r="O6276" s="25">
        <f>0.233*M6276</f>
        <v>0</v>
      </c>
      <c r="P6276" s="26">
        <f>0.00041*M6276</f>
        <v>0</v>
      </c>
      <c r="Q6276" s="30"/>
      <c r="R6276" s="22" t="s">
        <v>22457</v>
      </c>
      <c r="S6276" s="22" t="s">
        <v>435</v>
      </c>
      <c r="T6276" s="21" t="str">
        <f>HYPERLINK("https://miland.ru/api/getInfo/image/e5ca54b7-9e68-11ee-a257-00155d82e908")</f>
        <v>https://miland.ru/api/getInfo/image/e5ca54b7-9e68-11ee-a257-00155d82e908</v>
      </c>
      <c r="U6276" s="21"/>
      <c r="V6276" s="21"/>
      <c r="W6276" s="21" t="s">
        <v>4707</v>
      </c>
      <c r="X6276" s="21"/>
      <c r="Y6276" s="21" t="s">
        <v>41</v>
      </c>
      <c r="Z6276" s="21"/>
      <c r="AA6276" s="21" t="str">
        <f>HYPERLINK("https://miland.ru/api/getInfo/item/e5ca54b7-9e68-11ee-a257-00155d82e908")</f>
        <v>https://miland.ru/api/getInfo/item/e5ca54b7-9e68-11ee-a257-00155d82e908</v>
      </c>
      <c r="AB6276" s="21" t="s">
        <v>42</v>
      </c>
      <c r="AC6276" s="21" t="s">
        <v>22458</v>
      </c>
      <c r="AD6276" s="21"/>
    </row>
    <row r="6277" spans="2:30" s="1" customFormat="1" ht="96.3" customHeight="1" outlineLevel="4">
      <c r="B6277" s="57">
        <v>5152</v>
      </c>
      <c r="C6277" s="21" t="s">
        <v>22459</v>
      </c>
      <c r="D6277" s="72" t="s">
        <v>22460</v>
      </c>
      <c r="E6277" s="72"/>
      <c r="F6277" s="72"/>
      <c r="G6277" s="72"/>
      <c r="H6277" s="22" t="s">
        <v>22461</v>
      </c>
      <c r="I6277" s="27">
        <v>9</v>
      </c>
      <c r="J6277" s="22"/>
      <c r="K6277" s="20">
        <v>1</v>
      </c>
      <c r="L6277" s="32">
        <v>1966.53</v>
      </c>
      <c r="M6277" s="11"/>
      <c r="N6277" s="22">
        <f>L6277*M6277</f>
        <v>0</v>
      </c>
      <c r="O6277" s="28">
        <f>0.94*M6277</f>
        <v>0</v>
      </c>
      <c r="P6277" s="26">
        <f>0.00268*M6277</f>
        <v>0</v>
      </c>
      <c r="Q6277" s="30"/>
      <c r="R6277" s="22" t="s">
        <v>22462</v>
      </c>
      <c r="S6277" s="22" t="s">
        <v>435</v>
      </c>
      <c r="T6277" s="21" t="str">
        <f>HYPERLINK("https://miland.ru/api/getInfo/image/7455b0f8-9e68-11ee-a257-00155d82e908")</f>
        <v>https://miland.ru/api/getInfo/image/7455b0f8-9e68-11ee-a257-00155d82e908</v>
      </c>
      <c r="U6277" s="21"/>
      <c r="V6277" s="21"/>
      <c r="W6277" s="21" t="s">
        <v>22463</v>
      </c>
      <c r="X6277" s="21"/>
      <c r="Y6277" s="21" t="s">
        <v>41</v>
      </c>
      <c r="Z6277" s="21"/>
      <c r="AA6277" s="21" t="str">
        <f>HYPERLINK("https://miland.ru/api/getInfo/item/7455b0f8-9e68-11ee-a257-00155d82e908")</f>
        <v>https://miland.ru/api/getInfo/item/7455b0f8-9e68-11ee-a257-00155d82e908</v>
      </c>
      <c r="AB6277" s="21" t="s">
        <v>42</v>
      </c>
      <c r="AC6277" s="21" t="s">
        <v>22464</v>
      </c>
      <c r="AD6277" s="21"/>
    </row>
    <row r="6278" spans="2:30" ht="12" customHeight="1" outlineLevel="2">
      <c r="B6278" s="69" t="s">
        <v>22465</v>
      </c>
      <c r="C6278" s="69"/>
      <c r="D6278" s="69"/>
      <c r="E6278" s="69"/>
      <c r="F6278" s="69"/>
      <c r="G6278" s="69"/>
    </row>
    <row r="6279" spans="2:30" ht="12" customHeight="1" outlineLevel="3">
      <c r="B6279" s="70" t="s">
        <v>22466</v>
      </c>
      <c r="C6279" s="70"/>
      <c r="D6279" s="70"/>
      <c r="E6279" s="70"/>
      <c r="F6279" s="70"/>
      <c r="G6279" s="70"/>
    </row>
    <row r="6280" spans="2:30" s="1" customFormat="1" ht="96.3" customHeight="1" outlineLevel="4">
      <c r="B6280" s="57">
        <v>5153</v>
      </c>
      <c r="C6280" s="21" t="s">
        <v>22467</v>
      </c>
      <c r="D6280" s="72" t="s">
        <v>22468</v>
      </c>
      <c r="E6280" s="72"/>
      <c r="F6280" s="72"/>
      <c r="G6280" s="72"/>
      <c r="H6280" s="22" t="s">
        <v>22469</v>
      </c>
      <c r="I6280" s="27">
        <v>156</v>
      </c>
      <c r="J6280" s="22"/>
      <c r="K6280" s="20">
        <v>3</v>
      </c>
      <c r="L6280" s="24">
        <v>222.63</v>
      </c>
      <c r="M6280" s="11"/>
      <c r="N6280" s="22">
        <f>L6280*M6280</f>
        <v>0</v>
      </c>
      <c r="O6280" s="25">
        <f>0.029*M6280</f>
        <v>0</v>
      </c>
      <c r="P6280" s="26">
        <f>0.00016*M6280</f>
        <v>0</v>
      </c>
      <c r="Q6280" s="30"/>
      <c r="R6280" s="22" t="s">
        <v>22470</v>
      </c>
      <c r="S6280" s="22" t="s">
        <v>435</v>
      </c>
      <c r="T6280" s="21" t="str">
        <f>HYPERLINK("https://miland.ru/api/getInfo/image/04c7eff8-2cab-11ef-a261-00155d82e908")</f>
        <v>https://miland.ru/api/getInfo/image/04c7eff8-2cab-11ef-a261-00155d82e908</v>
      </c>
      <c r="U6280" s="21"/>
      <c r="V6280" s="21"/>
      <c r="W6280" s="21" t="s">
        <v>22471</v>
      </c>
      <c r="X6280" s="21"/>
      <c r="Y6280" s="21" t="s">
        <v>41</v>
      </c>
      <c r="Z6280" s="21"/>
      <c r="AA6280" s="21" t="str">
        <f>HYPERLINK("https://miland.ru/api/getInfo/item/04c7eff8-2cab-11ef-a261-00155d82e908")</f>
        <v>https://miland.ru/api/getInfo/item/04c7eff8-2cab-11ef-a261-00155d82e908</v>
      </c>
      <c r="AB6280" s="21" t="s">
        <v>42</v>
      </c>
      <c r="AC6280" s="21"/>
      <c r="AD6280" s="21"/>
    </row>
    <row r="6281" spans="2:30" s="1" customFormat="1" ht="96.3" customHeight="1" outlineLevel="4">
      <c r="B6281" s="57">
        <v>5154</v>
      </c>
      <c r="C6281" s="21" t="s">
        <v>22472</v>
      </c>
      <c r="D6281" s="72" t="s">
        <v>22473</v>
      </c>
      <c r="E6281" s="72"/>
      <c r="F6281" s="72"/>
      <c r="G6281" s="72"/>
      <c r="H6281" s="22" t="s">
        <v>22474</v>
      </c>
      <c r="I6281" s="23" t="s">
        <v>36</v>
      </c>
      <c r="J6281" s="22"/>
      <c r="K6281" s="20">
        <v>3</v>
      </c>
      <c r="L6281" s="24">
        <v>222.63</v>
      </c>
      <c r="M6281" s="11"/>
      <c r="N6281" s="22">
        <f>L6281*M6281</f>
        <v>0</v>
      </c>
      <c r="O6281" s="28">
        <f>0.03*M6281</f>
        <v>0</v>
      </c>
      <c r="P6281" s="26">
        <f>0.00031*M6281</f>
        <v>0</v>
      </c>
      <c r="Q6281" s="30"/>
      <c r="R6281" s="22" t="s">
        <v>22475</v>
      </c>
      <c r="S6281" s="22"/>
      <c r="T6281" s="21" t="str">
        <f>HYPERLINK("https://miland.ru/api/getInfo/image/90e9e699-2caa-11ef-a261-00155d82e908")</f>
        <v>https://miland.ru/api/getInfo/image/90e9e699-2caa-11ef-a261-00155d82e908</v>
      </c>
      <c r="U6281" s="21"/>
      <c r="V6281" s="21"/>
      <c r="W6281" s="21" t="s">
        <v>22471</v>
      </c>
      <c r="X6281" s="21"/>
      <c r="Y6281" s="21" t="s">
        <v>41</v>
      </c>
      <c r="Z6281" s="21"/>
      <c r="AA6281" s="21" t="str">
        <f>HYPERLINK("https://miland.ru/api/getInfo/item/90e9e699-2caa-11ef-a261-00155d82e908")</f>
        <v>https://miland.ru/api/getInfo/item/90e9e699-2caa-11ef-a261-00155d82e908</v>
      </c>
      <c r="AB6281" s="21" t="s">
        <v>42</v>
      </c>
      <c r="AC6281" s="21"/>
      <c r="AD6281" s="21"/>
    </row>
    <row r="6282" spans="2:30" s="1" customFormat="1" ht="96.3" customHeight="1" outlineLevel="4">
      <c r="B6282" s="57">
        <v>5155</v>
      </c>
      <c r="C6282" s="21" t="s">
        <v>22476</v>
      </c>
      <c r="D6282" s="72" t="s">
        <v>22477</v>
      </c>
      <c r="E6282" s="72"/>
      <c r="F6282" s="72"/>
      <c r="G6282" s="72"/>
      <c r="H6282" s="22" t="s">
        <v>22478</v>
      </c>
      <c r="I6282" s="23" t="s">
        <v>36</v>
      </c>
      <c r="J6282" s="22"/>
      <c r="K6282" s="20">
        <v>5</v>
      </c>
      <c r="L6282" s="24">
        <v>136.74</v>
      </c>
      <c r="M6282" s="11"/>
      <c r="N6282" s="22">
        <f>L6282*M6282</f>
        <v>0</v>
      </c>
      <c r="O6282" s="25">
        <f>0.024*M6282</f>
        <v>0</v>
      </c>
      <c r="P6282" s="26">
        <f>0.00052*M6282</f>
        <v>0</v>
      </c>
      <c r="Q6282" s="30"/>
      <c r="R6282" s="22" t="s">
        <v>22479</v>
      </c>
      <c r="S6282" s="22"/>
      <c r="T6282" s="21" t="str">
        <f>HYPERLINK("https://miland.ru/api/getInfo/image/bbff4908-2caa-11ef-a261-00155d82e908")</f>
        <v>https://miland.ru/api/getInfo/image/bbff4908-2caa-11ef-a261-00155d82e908</v>
      </c>
      <c r="U6282" s="21"/>
      <c r="V6282" s="21"/>
      <c r="W6282" s="21" t="s">
        <v>22471</v>
      </c>
      <c r="X6282" s="21"/>
      <c r="Y6282" s="21" t="s">
        <v>41</v>
      </c>
      <c r="Z6282" s="21"/>
      <c r="AA6282" s="21" t="str">
        <f>HYPERLINK("https://miland.ru/api/getInfo/item/bbff4908-2caa-11ef-a261-00155d82e908")</f>
        <v>https://miland.ru/api/getInfo/item/bbff4908-2caa-11ef-a261-00155d82e908</v>
      </c>
      <c r="AB6282" s="21" t="s">
        <v>42</v>
      </c>
      <c r="AC6282" s="21"/>
      <c r="AD6282" s="21"/>
    </row>
    <row r="6283" spans="2:30" ht="12" customHeight="1" outlineLevel="3">
      <c r="B6283" s="70" t="s">
        <v>22480</v>
      </c>
      <c r="C6283" s="70"/>
      <c r="D6283" s="70"/>
      <c r="E6283" s="70"/>
      <c r="F6283" s="70"/>
      <c r="G6283" s="70"/>
    </row>
    <row r="6284" spans="2:30" s="1" customFormat="1" ht="96.3" customHeight="1" outlineLevel="4">
      <c r="B6284" s="57">
        <v>5156</v>
      </c>
      <c r="C6284" s="21" t="s">
        <v>22481</v>
      </c>
      <c r="D6284" s="72" t="s">
        <v>22482</v>
      </c>
      <c r="E6284" s="72"/>
      <c r="F6284" s="72"/>
      <c r="G6284" s="72"/>
      <c r="H6284" s="22" t="s">
        <v>22483</v>
      </c>
      <c r="I6284" s="27">
        <v>5</v>
      </c>
      <c r="J6284" s="22"/>
      <c r="K6284" s="20">
        <v>1</v>
      </c>
      <c r="L6284" s="32">
        <v>1959.85</v>
      </c>
      <c r="M6284" s="11"/>
      <c r="N6284" s="22">
        <f>L6284*M6284</f>
        <v>0</v>
      </c>
      <c r="O6284" s="28">
        <f>0.36*M6284</f>
        <v>0</v>
      </c>
      <c r="P6284" s="26">
        <f>0.00172*M6284</f>
        <v>0</v>
      </c>
      <c r="Q6284" s="30"/>
      <c r="R6284" s="22" t="s">
        <v>22484</v>
      </c>
      <c r="S6284" s="22" t="s">
        <v>435</v>
      </c>
      <c r="T6284" s="21" t="str">
        <f>HYPERLINK("https://miland.ru/api/getInfo/image/76b9b35d-635f-11ee-a245-00155d82e902")</f>
        <v>https://miland.ru/api/getInfo/image/76b9b35d-635f-11ee-a245-00155d82e902</v>
      </c>
      <c r="U6284" s="21"/>
      <c r="V6284" s="21"/>
      <c r="W6284" s="21" t="s">
        <v>22485</v>
      </c>
      <c r="X6284" s="21"/>
      <c r="Y6284" s="21" t="s">
        <v>41</v>
      </c>
      <c r="Z6284" s="21"/>
      <c r="AA6284" s="21" t="str">
        <f>HYPERLINK("https://miland.ru/api/getInfo/item/76b9b35d-635f-11ee-a245-00155d82e902")</f>
        <v>https://miland.ru/api/getInfo/item/76b9b35d-635f-11ee-a245-00155d82e902</v>
      </c>
      <c r="AB6284" s="21" t="s">
        <v>42</v>
      </c>
      <c r="AC6284" s="21"/>
      <c r="AD6284" s="21"/>
    </row>
    <row r="6285" spans="2:30" ht="12" customHeight="1" outlineLevel="3">
      <c r="B6285" s="70" t="s">
        <v>22486</v>
      </c>
      <c r="C6285" s="70"/>
      <c r="D6285" s="70"/>
      <c r="E6285" s="70"/>
      <c r="F6285" s="70"/>
      <c r="G6285" s="70"/>
    </row>
    <row r="6286" spans="2:30" s="1" customFormat="1" ht="96.3" customHeight="1" outlineLevel="4">
      <c r="B6286" s="57">
        <v>5157</v>
      </c>
      <c r="C6286" s="21" t="s">
        <v>22487</v>
      </c>
      <c r="D6286" s="72" t="s">
        <v>22488</v>
      </c>
      <c r="E6286" s="72"/>
      <c r="F6286" s="72"/>
      <c r="G6286" s="72"/>
      <c r="H6286" s="22" t="s">
        <v>22489</v>
      </c>
      <c r="I6286" s="27">
        <v>5</v>
      </c>
      <c r="J6286" s="22"/>
      <c r="K6286" s="20">
        <v>1</v>
      </c>
      <c r="L6286" s="24">
        <v>750.77</v>
      </c>
      <c r="M6286" s="11"/>
      <c r="N6286" s="22">
        <f>L6286*M6286</f>
        <v>0</v>
      </c>
      <c r="O6286" s="25">
        <f>0.062*M6286</f>
        <v>0</v>
      </c>
      <c r="P6286" s="26">
        <f>0.00037*M6286</f>
        <v>0</v>
      </c>
      <c r="Q6286" s="30"/>
      <c r="R6286" s="22" t="s">
        <v>22490</v>
      </c>
      <c r="S6286" s="22" t="s">
        <v>435</v>
      </c>
      <c r="T6286" s="21" t="str">
        <f>HYPERLINK("https://miland.ru/api/getInfo/image/3afaf61e-7e41-11ee-a248-00155d82e902")</f>
        <v>https://miland.ru/api/getInfo/image/3afaf61e-7e41-11ee-a248-00155d82e902</v>
      </c>
      <c r="U6286" s="21"/>
      <c r="V6286" s="21"/>
      <c r="W6286" s="21"/>
      <c r="X6286" s="21"/>
      <c r="Y6286" s="21" t="s">
        <v>41</v>
      </c>
      <c r="Z6286" s="21"/>
      <c r="AA6286" s="21" t="str">
        <f>HYPERLINK("https://miland.ru/api/getInfo/item/3afaf61e-7e41-11ee-a248-00155d82e902")</f>
        <v>https://miland.ru/api/getInfo/item/3afaf61e-7e41-11ee-a248-00155d82e902</v>
      </c>
      <c r="AB6286" s="21" t="s">
        <v>42</v>
      </c>
      <c r="AC6286" s="21"/>
      <c r="AD6286" s="21"/>
    </row>
    <row r="6287" spans="2:30" s="1" customFormat="1" ht="96.3" customHeight="1" outlineLevel="4">
      <c r="B6287" s="57">
        <v>5158</v>
      </c>
      <c r="C6287" s="21" t="s">
        <v>22491</v>
      </c>
      <c r="D6287" s="72" t="s">
        <v>22492</v>
      </c>
      <c r="E6287" s="72"/>
      <c r="F6287" s="72"/>
      <c r="G6287" s="72"/>
      <c r="H6287" s="22" t="s">
        <v>22493</v>
      </c>
      <c r="I6287" s="27">
        <v>7</v>
      </c>
      <c r="J6287" s="22"/>
      <c r="K6287" s="20">
        <v>1</v>
      </c>
      <c r="L6287" s="32">
        <v>1678.19</v>
      </c>
      <c r="M6287" s="11"/>
      <c r="N6287" s="22">
        <f>L6287*M6287</f>
        <v>0</v>
      </c>
      <c r="O6287" s="33">
        <f>0.1*M6287</f>
        <v>0</v>
      </c>
      <c r="P6287" s="26">
        <f>0.00034*M6287</f>
        <v>0</v>
      </c>
      <c r="Q6287" s="30"/>
      <c r="R6287" s="22" t="s">
        <v>22494</v>
      </c>
      <c r="S6287" s="22" t="s">
        <v>435</v>
      </c>
      <c r="T6287" s="21" t="str">
        <f>HYPERLINK("https://miland.ru/api/getInfo/image/6be266ae-7e41-11ee-a248-00155d82e902")</f>
        <v>https://miland.ru/api/getInfo/image/6be266ae-7e41-11ee-a248-00155d82e902</v>
      </c>
      <c r="U6287" s="21"/>
      <c r="V6287" s="21"/>
      <c r="W6287" s="21"/>
      <c r="X6287" s="21"/>
      <c r="Y6287" s="21" t="s">
        <v>41</v>
      </c>
      <c r="Z6287" s="21"/>
      <c r="AA6287" s="21" t="str">
        <f>HYPERLINK("https://miland.ru/api/getInfo/item/6be266ae-7e41-11ee-a248-00155d82e902")</f>
        <v>https://miland.ru/api/getInfo/item/6be266ae-7e41-11ee-a248-00155d82e902</v>
      </c>
      <c r="AB6287" s="21" t="s">
        <v>42</v>
      </c>
      <c r="AC6287" s="21"/>
      <c r="AD6287" s="21"/>
    </row>
    <row r="6288" spans="2:30" s="1" customFormat="1" ht="96.3" customHeight="1" outlineLevel="4">
      <c r="B6288" s="57">
        <v>5159</v>
      </c>
      <c r="C6288" s="21" t="s">
        <v>22495</v>
      </c>
      <c r="D6288" s="72" t="s">
        <v>22496</v>
      </c>
      <c r="E6288" s="72"/>
      <c r="F6288" s="72"/>
      <c r="G6288" s="72"/>
      <c r="H6288" s="22" t="s">
        <v>22497</v>
      </c>
      <c r="I6288" s="27">
        <v>7</v>
      </c>
      <c r="J6288" s="22"/>
      <c r="K6288" s="20">
        <v>1</v>
      </c>
      <c r="L6288" s="32">
        <v>1854.84</v>
      </c>
      <c r="M6288" s="11"/>
      <c r="N6288" s="22">
        <f>L6288*M6288</f>
        <v>0</v>
      </c>
      <c r="O6288" s="25">
        <f>0.122*M6288</f>
        <v>0</v>
      </c>
      <c r="P6288" s="26">
        <f>0.00032*M6288</f>
        <v>0</v>
      </c>
      <c r="Q6288" s="30"/>
      <c r="R6288" s="22" t="s">
        <v>22498</v>
      </c>
      <c r="S6288" s="22" t="s">
        <v>435</v>
      </c>
      <c r="T6288" s="21" t="str">
        <f>HYPERLINK("https://miland.ru/api/getInfo/image/be8a2f6d-7e41-11ee-a248-00155d82e902")</f>
        <v>https://miland.ru/api/getInfo/image/be8a2f6d-7e41-11ee-a248-00155d82e902</v>
      </c>
      <c r="U6288" s="21"/>
      <c r="V6288" s="21"/>
      <c r="W6288" s="21"/>
      <c r="X6288" s="21"/>
      <c r="Y6288" s="21" t="s">
        <v>41</v>
      </c>
      <c r="Z6288" s="21"/>
      <c r="AA6288" s="21" t="str">
        <f>HYPERLINK("https://miland.ru/api/getInfo/item/be8a2f6d-7e41-11ee-a248-00155d82e902")</f>
        <v>https://miland.ru/api/getInfo/item/be8a2f6d-7e41-11ee-a248-00155d82e902</v>
      </c>
      <c r="AB6288" s="21" t="s">
        <v>42</v>
      </c>
      <c r="AC6288" s="21"/>
      <c r="AD6288" s="21"/>
    </row>
    <row r="6289" spans="2:30" s="1" customFormat="1" ht="96.3" customHeight="1" outlineLevel="4">
      <c r="B6289" s="57">
        <v>5160</v>
      </c>
      <c r="C6289" s="21" t="s">
        <v>22499</v>
      </c>
      <c r="D6289" s="72" t="s">
        <v>22500</v>
      </c>
      <c r="E6289" s="72"/>
      <c r="F6289" s="72"/>
      <c r="G6289" s="72"/>
      <c r="H6289" s="22" t="s">
        <v>22501</v>
      </c>
      <c r="I6289" s="27">
        <v>8</v>
      </c>
      <c r="J6289" s="22"/>
      <c r="K6289" s="20">
        <v>1</v>
      </c>
      <c r="L6289" s="32">
        <v>1367.03</v>
      </c>
      <c r="M6289" s="11"/>
      <c r="N6289" s="22">
        <f>L6289*M6289</f>
        <v>0</v>
      </c>
      <c r="O6289" s="25">
        <f>0.071*M6289</f>
        <v>0</v>
      </c>
      <c r="P6289" s="26">
        <f>0.00034*M6289</f>
        <v>0</v>
      </c>
      <c r="Q6289" s="30"/>
      <c r="R6289" s="22" t="s">
        <v>22502</v>
      </c>
      <c r="S6289" s="22" t="s">
        <v>435</v>
      </c>
      <c r="T6289" s="21" t="str">
        <f>HYPERLINK("https://miland.ru/api/getInfo/image/4eeda644-8e83-11ee-a250-00155d82e908")</f>
        <v>https://miland.ru/api/getInfo/image/4eeda644-8e83-11ee-a250-00155d82e908</v>
      </c>
      <c r="U6289" s="21"/>
      <c r="V6289" s="21"/>
      <c r="W6289" s="21"/>
      <c r="X6289" s="21"/>
      <c r="Y6289" s="21" t="s">
        <v>41</v>
      </c>
      <c r="Z6289" s="21"/>
      <c r="AA6289" s="21" t="str">
        <f>HYPERLINK("https://miland.ru/api/getInfo/item/4eeda644-8e83-11ee-a250-00155d82e908")</f>
        <v>https://miland.ru/api/getInfo/item/4eeda644-8e83-11ee-a250-00155d82e908</v>
      </c>
      <c r="AB6289" s="21" t="s">
        <v>42</v>
      </c>
      <c r="AC6289" s="21"/>
      <c r="AD6289" s="21"/>
    </row>
    <row r="6290" spans="2:30" s="1" customFormat="1" ht="96.3" customHeight="1" outlineLevel="4">
      <c r="B6290" s="57">
        <v>5161</v>
      </c>
      <c r="C6290" s="21" t="s">
        <v>22503</v>
      </c>
      <c r="D6290" s="72" t="s">
        <v>22504</v>
      </c>
      <c r="E6290" s="72"/>
      <c r="F6290" s="72"/>
      <c r="G6290" s="72"/>
      <c r="H6290" s="22" t="s">
        <v>22505</v>
      </c>
      <c r="I6290" s="27">
        <v>10</v>
      </c>
      <c r="J6290" s="22"/>
      <c r="K6290" s="20">
        <v>1</v>
      </c>
      <c r="L6290" s="32">
        <v>1896.17</v>
      </c>
      <c r="M6290" s="11"/>
      <c r="N6290" s="22">
        <f>L6290*M6290</f>
        <v>0</v>
      </c>
      <c r="O6290" s="25">
        <f>0.087*M6290</f>
        <v>0</v>
      </c>
      <c r="P6290" s="26">
        <f>0.00034*M6290</f>
        <v>0</v>
      </c>
      <c r="Q6290" s="30"/>
      <c r="R6290" s="22" t="s">
        <v>22506</v>
      </c>
      <c r="S6290" s="22" t="s">
        <v>435</v>
      </c>
      <c r="T6290" s="21" t="str">
        <f>HYPERLINK("https://miland.ru/api/getInfo/image/8fadaae8-8e8b-11ee-a250-00155d82e908")</f>
        <v>https://miland.ru/api/getInfo/image/8fadaae8-8e8b-11ee-a250-00155d82e908</v>
      </c>
      <c r="U6290" s="21"/>
      <c r="V6290" s="21"/>
      <c r="W6290" s="21"/>
      <c r="X6290" s="21"/>
      <c r="Y6290" s="21" t="s">
        <v>41</v>
      </c>
      <c r="Z6290" s="21"/>
      <c r="AA6290" s="21" t="str">
        <f>HYPERLINK("https://miland.ru/api/getInfo/item/8fadaae8-8e8b-11ee-a250-00155d82e908")</f>
        <v>https://miland.ru/api/getInfo/item/8fadaae8-8e8b-11ee-a250-00155d82e908</v>
      </c>
      <c r="AB6290" s="21" t="s">
        <v>42</v>
      </c>
      <c r="AC6290" s="21"/>
      <c r="AD6290" s="21"/>
    </row>
    <row r="6291" spans="2:30" ht="12" customHeight="1" outlineLevel="2">
      <c r="B6291" s="69" t="s">
        <v>22507</v>
      </c>
      <c r="C6291" s="69"/>
      <c r="D6291" s="69"/>
      <c r="E6291" s="69"/>
      <c r="F6291" s="69"/>
      <c r="G6291" s="69"/>
    </row>
    <row r="6292" spans="2:30" ht="12" customHeight="1" outlineLevel="3">
      <c r="B6292" s="70" t="s">
        <v>22508</v>
      </c>
      <c r="C6292" s="70"/>
      <c r="D6292" s="70"/>
      <c r="E6292" s="70"/>
      <c r="F6292" s="70"/>
      <c r="G6292" s="70"/>
    </row>
    <row r="6293" spans="2:30" s="1" customFormat="1" ht="96.3" customHeight="1" outlineLevel="4">
      <c r="B6293" s="57">
        <v>5162</v>
      </c>
      <c r="C6293" s="21" t="s">
        <v>22509</v>
      </c>
      <c r="D6293" s="72" t="s">
        <v>22510</v>
      </c>
      <c r="E6293" s="72"/>
      <c r="F6293" s="72"/>
      <c r="G6293" s="72"/>
      <c r="H6293" s="22" t="s">
        <v>22511</v>
      </c>
      <c r="I6293" s="27">
        <v>36</v>
      </c>
      <c r="J6293" s="22"/>
      <c r="K6293" s="20">
        <v>1</v>
      </c>
      <c r="L6293" s="32">
        <v>1918.8</v>
      </c>
      <c r="M6293" s="11"/>
      <c r="N6293" s="22">
        <f>L6293*M6293</f>
        <v>0</v>
      </c>
      <c r="O6293" s="25">
        <f>1.413*M6293</f>
        <v>0</v>
      </c>
      <c r="P6293" s="26">
        <f>0.01353*M6293</f>
        <v>0</v>
      </c>
      <c r="Q6293" s="30"/>
      <c r="R6293" s="22" t="s">
        <v>22512</v>
      </c>
      <c r="S6293" s="22" t="s">
        <v>435</v>
      </c>
      <c r="T6293" s="21" t="str">
        <f>HYPERLINK("https://miland.ru/api/getInfo/image/47bf87f9-fbc8-11ee-a25d-00155d82e908")</f>
        <v>https://miland.ru/api/getInfo/image/47bf87f9-fbc8-11ee-a25d-00155d82e908</v>
      </c>
      <c r="U6293" s="21"/>
      <c r="V6293" s="21"/>
      <c r="W6293" s="21" t="s">
        <v>22513</v>
      </c>
      <c r="X6293" s="21"/>
      <c r="Y6293" s="21" t="s">
        <v>41</v>
      </c>
      <c r="Z6293" s="21"/>
      <c r="AA6293" s="21" t="str">
        <f>HYPERLINK("https://miland.ru/api/getInfo/item/47bf87f9-fbc8-11ee-a25d-00155d82e908")</f>
        <v>https://miland.ru/api/getInfo/item/47bf87f9-fbc8-11ee-a25d-00155d82e908</v>
      </c>
      <c r="AB6293" s="21" t="s">
        <v>42</v>
      </c>
      <c r="AC6293" s="21" t="s">
        <v>22514</v>
      </c>
      <c r="AD6293" s="21"/>
    </row>
    <row r="6294" spans="2:30" s="1" customFormat="1" ht="96.3" customHeight="1" outlineLevel="4">
      <c r="B6294" s="57">
        <v>5163</v>
      </c>
      <c r="C6294" s="21" t="s">
        <v>22515</v>
      </c>
      <c r="D6294" s="72" t="s">
        <v>22516</v>
      </c>
      <c r="E6294" s="72"/>
      <c r="F6294" s="72"/>
      <c r="G6294" s="72"/>
      <c r="H6294" s="22" t="s">
        <v>22517</v>
      </c>
      <c r="I6294" s="27">
        <v>14</v>
      </c>
      <c r="J6294" s="22"/>
      <c r="K6294" s="20">
        <v>1</v>
      </c>
      <c r="L6294" s="32">
        <v>1465.74</v>
      </c>
      <c r="M6294" s="11"/>
      <c r="N6294" s="22">
        <f>L6294*M6294</f>
        <v>0</v>
      </c>
      <c r="O6294" s="28">
        <f>1.15*M6294</f>
        <v>0</v>
      </c>
      <c r="P6294" s="26">
        <f>0.00944*M6294</f>
        <v>0</v>
      </c>
      <c r="Q6294" s="30"/>
      <c r="R6294" s="22" t="s">
        <v>22518</v>
      </c>
      <c r="S6294" s="22" t="s">
        <v>435</v>
      </c>
      <c r="T6294" s="21" t="str">
        <f>HYPERLINK("https://miland.ru/api/getInfo/image/f7b16a6e-2c52-11ee-a23d-00155d82e902")</f>
        <v>https://miland.ru/api/getInfo/image/f7b16a6e-2c52-11ee-a23d-00155d82e902</v>
      </c>
      <c r="U6294" s="21"/>
      <c r="V6294" s="21"/>
      <c r="W6294" s="21" t="s">
        <v>22513</v>
      </c>
      <c r="X6294" s="21"/>
      <c r="Y6294" s="21" t="s">
        <v>41</v>
      </c>
      <c r="Z6294" s="21"/>
      <c r="AA6294" s="21" t="str">
        <f>HYPERLINK("https://miland.ru/api/getInfo/item/f7b16a6e-2c52-11ee-a23d-00155d82e902")</f>
        <v>https://miland.ru/api/getInfo/item/f7b16a6e-2c52-11ee-a23d-00155d82e902</v>
      </c>
      <c r="AB6294" s="21" t="s">
        <v>42</v>
      </c>
      <c r="AC6294" s="21" t="s">
        <v>22519</v>
      </c>
      <c r="AD6294" s="21"/>
    </row>
    <row r="6295" spans="2:30" ht="12" customHeight="1" outlineLevel="3">
      <c r="B6295" s="70" t="s">
        <v>22520</v>
      </c>
      <c r="C6295" s="70"/>
      <c r="D6295" s="70"/>
      <c r="E6295" s="70"/>
      <c r="F6295" s="70"/>
      <c r="G6295" s="70"/>
    </row>
    <row r="6296" spans="2:30" s="1" customFormat="1" ht="96.3" customHeight="1" outlineLevel="4">
      <c r="B6296" s="57">
        <v>5164</v>
      </c>
      <c r="C6296" s="21" t="s">
        <v>22521</v>
      </c>
      <c r="D6296" s="72" t="s">
        <v>22522</v>
      </c>
      <c r="E6296" s="72"/>
      <c r="F6296" s="72"/>
      <c r="G6296" s="72"/>
      <c r="H6296" s="22" t="s">
        <v>22523</v>
      </c>
      <c r="I6296" s="27">
        <v>284</v>
      </c>
      <c r="J6296" s="22"/>
      <c r="K6296" s="20">
        <v>1</v>
      </c>
      <c r="L6296" s="24">
        <v>400.94</v>
      </c>
      <c r="M6296" s="11"/>
      <c r="N6296" s="22">
        <f>L6296*M6296</f>
        <v>0</v>
      </c>
      <c r="O6296" s="25">
        <f>0.026*M6296</f>
        <v>0</v>
      </c>
      <c r="P6296" s="26">
        <f>0.00053*M6296</f>
        <v>0</v>
      </c>
      <c r="Q6296" s="30"/>
      <c r="R6296" s="22" t="s">
        <v>22524</v>
      </c>
      <c r="S6296" s="22" t="s">
        <v>435</v>
      </c>
      <c r="T6296" s="21" t="str">
        <f>HYPERLINK("https://miland.ru/api/getInfo/image/7a499843-2cab-11ef-a261-00155d82e908")</f>
        <v>https://miland.ru/api/getInfo/image/7a499843-2cab-11ef-a261-00155d82e908</v>
      </c>
      <c r="U6296" s="21"/>
      <c r="V6296" s="21"/>
      <c r="W6296" s="21" t="s">
        <v>9143</v>
      </c>
      <c r="X6296" s="21"/>
      <c r="Y6296" s="21" t="s">
        <v>41</v>
      </c>
      <c r="Z6296" s="21"/>
      <c r="AA6296" s="21" t="str">
        <f>HYPERLINK("https://miland.ru/api/getInfo/item/7a499843-2cab-11ef-a261-00155d82e908")</f>
        <v>https://miland.ru/api/getInfo/item/7a499843-2cab-11ef-a261-00155d82e908</v>
      </c>
      <c r="AB6296" s="21" t="s">
        <v>42</v>
      </c>
      <c r="AC6296" s="21"/>
      <c r="AD6296" s="21"/>
    </row>
    <row r="6297" spans="2:30" s="1" customFormat="1" ht="96.3" customHeight="1" outlineLevel="4">
      <c r="B6297" s="57">
        <v>5165</v>
      </c>
      <c r="C6297" s="21" t="s">
        <v>22525</v>
      </c>
      <c r="D6297" s="72" t="s">
        <v>22526</v>
      </c>
      <c r="E6297" s="72"/>
      <c r="F6297" s="72"/>
      <c r="G6297" s="72"/>
      <c r="H6297" s="22" t="s">
        <v>22527</v>
      </c>
      <c r="I6297" s="27">
        <v>250</v>
      </c>
      <c r="J6297" s="22"/>
      <c r="K6297" s="20">
        <v>5</v>
      </c>
      <c r="L6297" s="24">
        <v>123.51</v>
      </c>
      <c r="M6297" s="11"/>
      <c r="N6297" s="22">
        <f>L6297*M6297</f>
        <v>0</v>
      </c>
      <c r="O6297" s="25">
        <f>0.026*M6297</f>
        <v>0</v>
      </c>
      <c r="P6297" s="26">
        <f>0.00005*M6297</f>
        <v>0</v>
      </c>
      <c r="Q6297" s="30"/>
      <c r="R6297" s="22" t="s">
        <v>22528</v>
      </c>
      <c r="S6297" s="22" t="s">
        <v>435</v>
      </c>
      <c r="T6297" s="21" t="str">
        <f>HYPERLINK("https://miland.ru/api/getInfo/image/98f733d5-2cab-11ef-a261-00155d82e908")</f>
        <v>https://miland.ru/api/getInfo/image/98f733d5-2cab-11ef-a261-00155d82e908</v>
      </c>
      <c r="U6297" s="21"/>
      <c r="V6297" s="21"/>
      <c r="W6297" s="21" t="s">
        <v>9143</v>
      </c>
      <c r="X6297" s="21"/>
      <c r="Y6297" s="21" t="s">
        <v>41</v>
      </c>
      <c r="Z6297" s="21"/>
      <c r="AA6297" s="21" t="str">
        <f>HYPERLINK("https://miland.ru/api/getInfo/item/98f733d5-2cab-11ef-a261-00155d82e908")</f>
        <v>https://miland.ru/api/getInfo/item/98f733d5-2cab-11ef-a261-00155d82e908</v>
      </c>
      <c r="AB6297" s="21" t="s">
        <v>42</v>
      </c>
      <c r="AC6297" s="21"/>
      <c r="AD6297" s="21"/>
    </row>
    <row r="6298" spans="2:30" s="1" customFormat="1" ht="96.3" customHeight="1" outlineLevel="4">
      <c r="B6298" s="57">
        <v>5166</v>
      </c>
      <c r="C6298" s="21" t="s">
        <v>22529</v>
      </c>
      <c r="D6298" s="72" t="s">
        <v>22530</v>
      </c>
      <c r="E6298" s="72"/>
      <c r="F6298" s="72"/>
      <c r="G6298" s="72"/>
      <c r="H6298" s="22" t="s">
        <v>22531</v>
      </c>
      <c r="I6298" s="27">
        <v>429</v>
      </c>
      <c r="J6298" s="22"/>
      <c r="K6298" s="20">
        <v>3</v>
      </c>
      <c r="L6298" s="24">
        <v>249.32</v>
      </c>
      <c r="M6298" s="11"/>
      <c r="N6298" s="22">
        <f>L6298*M6298</f>
        <v>0</v>
      </c>
      <c r="O6298" s="25">
        <f>0.028*M6298</f>
        <v>0</v>
      </c>
      <c r="P6298" s="26">
        <f>0.00004*M6298</f>
        <v>0</v>
      </c>
      <c r="Q6298" s="30"/>
      <c r="R6298" s="22" t="s">
        <v>22532</v>
      </c>
      <c r="S6298" s="22" t="s">
        <v>435</v>
      </c>
      <c r="T6298" s="21" t="str">
        <f>HYPERLINK("https://miland.ru/api/getInfo/image/54d90b82-2cab-11ef-a261-00155d82e908")</f>
        <v>https://miland.ru/api/getInfo/image/54d90b82-2cab-11ef-a261-00155d82e908</v>
      </c>
      <c r="U6298" s="21"/>
      <c r="V6298" s="21"/>
      <c r="W6298" s="21" t="s">
        <v>9143</v>
      </c>
      <c r="X6298" s="21"/>
      <c r="Y6298" s="21" t="s">
        <v>41</v>
      </c>
      <c r="Z6298" s="21"/>
      <c r="AA6298" s="21" t="str">
        <f>HYPERLINK("https://miland.ru/api/getInfo/item/54d90b82-2cab-11ef-a261-00155d82e908")</f>
        <v>https://miland.ru/api/getInfo/item/54d90b82-2cab-11ef-a261-00155d82e908</v>
      </c>
      <c r="AB6298" s="21" t="s">
        <v>42</v>
      </c>
      <c r="AC6298" s="21"/>
      <c r="AD6298" s="21"/>
    </row>
    <row r="6299" spans="2:30" ht="12" customHeight="1" outlineLevel="2">
      <c r="B6299" s="69" t="s">
        <v>22533</v>
      </c>
      <c r="C6299" s="69"/>
      <c r="D6299" s="69"/>
      <c r="E6299" s="69"/>
      <c r="F6299" s="69"/>
      <c r="G6299" s="69"/>
    </row>
    <row r="6300" spans="2:30" s="1" customFormat="1" ht="96.3" customHeight="1" outlineLevel="3">
      <c r="B6300" s="57">
        <v>5167</v>
      </c>
      <c r="C6300" s="21" t="s">
        <v>22534</v>
      </c>
      <c r="D6300" s="72" t="s">
        <v>22535</v>
      </c>
      <c r="E6300" s="72"/>
      <c r="F6300" s="72"/>
      <c r="G6300" s="72"/>
      <c r="H6300" s="22" t="s">
        <v>22536</v>
      </c>
      <c r="I6300" s="27">
        <v>252</v>
      </c>
      <c r="J6300" s="22"/>
      <c r="K6300" s="20">
        <v>1</v>
      </c>
      <c r="L6300" s="32">
        <v>6092.55</v>
      </c>
      <c r="M6300" s="11"/>
      <c r="N6300" s="22">
        <f>L6300*M6300</f>
        <v>0</v>
      </c>
      <c r="O6300" s="25">
        <f>2.558*M6300</f>
        <v>0</v>
      </c>
      <c r="P6300" s="26">
        <f>0.03236*M6300</f>
        <v>0</v>
      </c>
      <c r="Q6300" s="30"/>
      <c r="R6300" s="22" t="s">
        <v>22537</v>
      </c>
      <c r="S6300" s="22" t="s">
        <v>435</v>
      </c>
      <c r="T6300" s="21" t="str">
        <f>HYPERLINK("https://miland.ru/api/getInfo/image/f608028f-9f31-11ee-a257-00155d82e908")</f>
        <v>https://miland.ru/api/getInfo/image/f608028f-9f31-11ee-a257-00155d82e908</v>
      </c>
      <c r="U6300" s="21"/>
      <c r="V6300" s="21"/>
      <c r="W6300" s="21" t="s">
        <v>10545</v>
      </c>
      <c r="X6300" s="21" t="s">
        <v>172</v>
      </c>
      <c r="Y6300" s="21" t="s">
        <v>173</v>
      </c>
      <c r="Z6300" s="21"/>
      <c r="AA6300" s="21" t="str">
        <f>HYPERLINK("https://miland.ru/api/getInfo/item/f608028f-9f31-11ee-a257-00155d82e908")</f>
        <v>https://miland.ru/api/getInfo/item/f608028f-9f31-11ee-a257-00155d82e908</v>
      </c>
      <c r="AB6300" s="21" t="s">
        <v>42</v>
      </c>
      <c r="AC6300" s="21" t="s">
        <v>22538</v>
      </c>
      <c r="AD6300" s="21"/>
    </row>
    <row r="6301" spans="2:30" ht="12" customHeight="1" outlineLevel="2">
      <c r="B6301" s="69" t="s">
        <v>22539</v>
      </c>
      <c r="C6301" s="69"/>
      <c r="D6301" s="69"/>
      <c r="E6301" s="69"/>
      <c r="F6301" s="69"/>
      <c r="G6301" s="69"/>
    </row>
    <row r="6302" spans="2:30" ht="12" customHeight="1" outlineLevel="3">
      <c r="B6302" s="70" t="s">
        <v>22540</v>
      </c>
      <c r="C6302" s="70"/>
      <c r="D6302" s="70"/>
      <c r="E6302" s="70"/>
      <c r="F6302" s="70"/>
      <c r="G6302" s="70"/>
    </row>
    <row r="6303" spans="2:30" s="1" customFormat="1" ht="96.3" customHeight="1" outlineLevel="4">
      <c r="B6303" s="57">
        <v>5168</v>
      </c>
      <c r="C6303" s="21" t="s">
        <v>22541</v>
      </c>
      <c r="D6303" s="72" t="s">
        <v>22542</v>
      </c>
      <c r="E6303" s="72"/>
      <c r="F6303" s="72"/>
      <c r="G6303" s="72"/>
      <c r="H6303" s="22" t="s">
        <v>22543</v>
      </c>
      <c r="I6303" s="27">
        <v>5</v>
      </c>
      <c r="J6303" s="22"/>
      <c r="K6303" s="20">
        <v>1</v>
      </c>
      <c r="L6303" s="32">
        <v>4194.0200000000004</v>
      </c>
      <c r="M6303" s="11"/>
      <c r="N6303" s="22">
        <f>L6303*M6303</f>
        <v>0</v>
      </c>
      <c r="O6303" s="28">
        <f>1.16*M6303</f>
        <v>0</v>
      </c>
      <c r="P6303" s="26">
        <f>0.00908*M6303</f>
        <v>0</v>
      </c>
      <c r="Q6303" s="30"/>
      <c r="R6303" s="22" t="s">
        <v>22544</v>
      </c>
      <c r="S6303" s="22" t="s">
        <v>435</v>
      </c>
      <c r="T6303" s="21" t="str">
        <f>HYPERLINK("https://miland.ru/api/getInfo/image/b6a499ff-852c-11ee-a248-00155d82e902")</f>
        <v>https://miland.ru/api/getInfo/image/b6a499ff-852c-11ee-a248-00155d82e902</v>
      </c>
      <c r="U6303" s="21"/>
      <c r="V6303" s="21"/>
      <c r="W6303" s="21" t="s">
        <v>22545</v>
      </c>
      <c r="X6303" s="21"/>
      <c r="Y6303" s="21" t="s">
        <v>41</v>
      </c>
      <c r="Z6303" s="21"/>
      <c r="AA6303" s="21" t="str">
        <f>HYPERLINK("https://miland.ru/api/getInfo/item/b6a499ff-852c-11ee-a248-00155d82e902")</f>
        <v>https://miland.ru/api/getInfo/item/b6a499ff-852c-11ee-a248-00155d82e902</v>
      </c>
      <c r="AB6303" s="21" t="s">
        <v>42</v>
      </c>
      <c r="AC6303" s="21" t="s">
        <v>22546</v>
      </c>
      <c r="AD6303" s="21"/>
    </row>
    <row r="6304" spans="2:30" s="1" customFormat="1" ht="96.3" customHeight="1" outlineLevel="4">
      <c r="B6304" s="57">
        <v>5169</v>
      </c>
      <c r="C6304" s="21" t="s">
        <v>22547</v>
      </c>
      <c r="D6304" s="72" t="s">
        <v>22548</v>
      </c>
      <c r="E6304" s="72"/>
      <c r="F6304" s="72"/>
      <c r="G6304" s="72"/>
      <c r="H6304" s="22" t="s">
        <v>22549</v>
      </c>
      <c r="I6304" s="27">
        <v>5</v>
      </c>
      <c r="J6304" s="22"/>
      <c r="K6304" s="20">
        <v>1</v>
      </c>
      <c r="L6304" s="32">
        <v>4194.0200000000004</v>
      </c>
      <c r="M6304" s="11"/>
      <c r="N6304" s="22">
        <f>L6304*M6304</f>
        <v>0</v>
      </c>
      <c r="O6304" s="25">
        <f>1.161*M6304</f>
        <v>0</v>
      </c>
      <c r="P6304" s="26">
        <f>0.00963*M6304</f>
        <v>0</v>
      </c>
      <c r="Q6304" s="30"/>
      <c r="R6304" s="22" t="s">
        <v>22550</v>
      </c>
      <c r="S6304" s="22" t="s">
        <v>435</v>
      </c>
      <c r="T6304" s="21" t="str">
        <f>HYPERLINK("https://miland.ru/api/getInfo/image/65f3e229-852c-11ee-a248-00155d82e902")</f>
        <v>https://miland.ru/api/getInfo/image/65f3e229-852c-11ee-a248-00155d82e902</v>
      </c>
      <c r="U6304" s="21"/>
      <c r="V6304" s="21"/>
      <c r="W6304" s="21" t="s">
        <v>22545</v>
      </c>
      <c r="X6304" s="21"/>
      <c r="Y6304" s="21" t="s">
        <v>41</v>
      </c>
      <c r="Z6304" s="21"/>
      <c r="AA6304" s="21" t="str">
        <f>HYPERLINK("https://miland.ru/api/getInfo/item/65f3e229-852c-11ee-a248-00155d82e902")</f>
        <v>https://miland.ru/api/getInfo/item/65f3e229-852c-11ee-a248-00155d82e902</v>
      </c>
      <c r="AB6304" s="21" t="s">
        <v>42</v>
      </c>
      <c r="AC6304" s="21" t="s">
        <v>22546</v>
      </c>
      <c r="AD6304" s="21"/>
    </row>
    <row r="6305" spans="2:30" ht="12" customHeight="1" outlineLevel="2">
      <c r="B6305" s="69" t="s">
        <v>22551</v>
      </c>
      <c r="C6305" s="69"/>
      <c r="D6305" s="69"/>
      <c r="E6305" s="69"/>
      <c r="F6305" s="69"/>
      <c r="G6305" s="69"/>
    </row>
    <row r="6306" spans="2:30" s="1" customFormat="1" ht="96.3" customHeight="1" outlineLevel="3">
      <c r="B6306" s="57">
        <v>5170</v>
      </c>
      <c r="C6306" s="21" t="s">
        <v>22552</v>
      </c>
      <c r="D6306" s="72" t="s">
        <v>22553</v>
      </c>
      <c r="E6306" s="72"/>
      <c r="F6306" s="72"/>
      <c r="G6306" s="72"/>
      <c r="H6306" s="22" t="s">
        <v>22554</v>
      </c>
      <c r="I6306" s="27">
        <v>41</v>
      </c>
      <c r="J6306" s="22"/>
      <c r="K6306" s="20">
        <v>1</v>
      </c>
      <c r="L6306" s="32">
        <v>2823.28</v>
      </c>
      <c r="M6306" s="11"/>
      <c r="N6306" s="22">
        <f>L6306*M6306</f>
        <v>0</v>
      </c>
      <c r="O6306" s="25">
        <f>0.555*M6306</f>
        <v>0</v>
      </c>
      <c r="P6306" s="29">
        <f>0.0038*M6306</f>
        <v>0</v>
      </c>
      <c r="Q6306" s="30"/>
      <c r="R6306" s="22" t="s">
        <v>22555</v>
      </c>
      <c r="S6306" s="22" t="s">
        <v>435</v>
      </c>
      <c r="T6306" s="21" t="str">
        <f>HYPERLINK("https://miland.ru/api/getInfo/image/4fe01973-f7f8-11ee-a25d-00155d82e908")</f>
        <v>https://miland.ru/api/getInfo/image/4fe01973-f7f8-11ee-a25d-00155d82e908</v>
      </c>
      <c r="U6306" s="21"/>
      <c r="V6306" s="21"/>
      <c r="W6306" s="21" t="s">
        <v>22556</v>
      </c>
      <c r="X6306" s="21"/>
      <c r="Y6306" s="21" t="s">
        <v>41</v>
      </c>
      <c r="Z6306" s="21"/>
      <c r="AA6306" s="21" t="str">
        <f>HYPERLINK("https://miland.ru/api/getInfo/item/4fe01973-f7f8-11ee-a25d-00155d82e908")</f>
        <v>https://miland.ru/api/getInfo/item/4fe01973-f7f8-11ee-a25d-00155d82e908</v>
      </c>
      <c r="AB6306" s="21" t="s">
        <v>42</v>
      </c>
      <c r="AC6306" s="21" t="s">
        <v>9856</v>
      </c>
      <c r="AD6306" s="21"/>
    </row>
    <row r="6307" spans="2:30" s="1" customFormat="1" ht="96.3" customHeight="1" outlineLevel="3">
      <c r="B6307" s="57">
        <v>5171</v>
      </c>
      <c r="C6307" s="21" t="s">
        <v>22557</v>
      </c>
      <c r="D6307" s="72" t="s">
        <v>22558</v>
      </c>
      <c r="E6307" s="72"/>
      <c r="F6307" s="72"/>
      <c r="G6307" s="72"/>
      <c r="H6307" s="22" t="s">
        <v>22559</v>
      </c>
      <c r="I6307" s="27">
        <v>5</v>
      </c>
      <c r="J6307" s="22"/>
      <c r="K6307" s="20">
        <v>1</v>
      </c>
      <c r="L6307" s="32">
        <v>2258.63</v>
      </c>
      <c r="M6307" s="11"/>
      <c r="N6307" s="22">
        <f>L6307*M6307</f>
        <v>0</v>
      </c>
      <c r="O6307" s="25">
        <f>0.385*M6307</f>
        <v>0</v>
      </c>
      <c r="P6307" s="26">
        <f>0.00334*M6307</f>
        <v>0</v>
      </c>
      <c r="Q6307" s="30"/>
      <c r="R6307" s="22" t="s">
        <v>22560</v>
      </c>
      <c r="S6307" s="22" t="s">
        <v>435</v>
      </c>
      <c r="T6307" s="21" t="str">
        <f>HYPERLINK("https://miland.ru/api/getInfo/image/315b01e5-f7f8-11ee-a25d-00155d82e908")</f>
        <v>https://miland.ru/api/getInfo/image/315b01e5-f7f8-11ee-a25d-00155d82e908</v>
      </c>
      <c r="U6307" s="21"/>
      <c r="V6307" s="21"/>
      <c r="W6307" s="21" t="s">
        <v>22556</v>
      </c>
      <c r="X6307" s="21"/>
      <c r="Y6307" s="21" t="s">
        <v>41</v>
      </c>
      <c r="Z6307" s="21"/>
      <c r="AA6307" s="21" t="str">
        <f>HYPERLINK("https://miland.ru/api/getInfo/item/315b01e5-f7f8-11ee-a25d-00155d82e908")</f>
        <v>https://miland.ru/api/getInfo/item/315b01e5-f7f8-11ee-a25d-00155d82e908</v>
      </c>
      <c r="AB6307" s="21" t="s">
        <v>42</v>
      </c>
      <c r="AC6307" s="21" t="s">
        <v>22561</v>
      </c>
      <c r="AD6307" s="21"/>
    </row>
    <row r="6308" spans="2:30" ht="12" customHeight="1" outlineLevel="2">
      <c r="B6308" s="69" t="s">
        <v>22562</v>
      </c>
      <c r="C6308" s="69"/>
      <c r="D6308" s="69"/>
      <c r="E6308" s="69"/>
      <c r="F6308" s="69"/>
      <c r="G6308" s="69"/>
    </row>
    <row r="6309" spans="2:30" ht="12" customHeight="1" outlineLevel="3">
      <c r="B6309" s="70" t="s">
        <v>22563</v>
      </c>
      <c r="C6309" s="70"/>
      <c r="D6309" s="70"/>
      <c r="E6309" s="70"/>
      <c r="F6309" s="70"/>
      <c r="G6309" s="70"/>
    </row>
    <row r="6310" spans="2:30" ht="12" customHeight="1" outlineLevel="4">
      <c r="B6310" s="70" t="s">
        <v>22564</v>
      </c>
      <c r="C6310" s="70"/>
      <c r="D6310" s="70"/>
      <c r="E6310" s="70"/>
      <c r="F6310" s="70"/>
      <c r="G6310" s="70"/>
    </row>
    <row r="6311" spans="2:30" s="1" customFormat="1" ht="96.3" customHeight="1" outlineLevel="5">
      <c r="B6311" s="57">
        <v>5172</v>
      </c>
      <c r="C6311" s="21" t="s">
        <v>22565</v>
      </c>
      <c r="D6311" s="72" t="s">
        <v>22566</v>
      </c>
      <c r="E6311" s="72"/>
      <c r="F6311" s="72"/>
      <c r="G6311" s="72"/>
      <c r="H6311" s="22" t="s">
        <v>22567</v>
      </c>
      <c r="I6311" s="27">
        <v>17</v>
      </c>
      <c r="J6311" s="22"/>
      <c r="K6311" s="20">
        <v>1</v>
      </c>
      <c r="L6311" s="32">
        <v>2972.68</v>
      </c>
      <c r="M6311" s="11"/>
      <c r="N6311" s="22">
        <f t="shared" ref="N6311:N6332" si="365">L6311*M6311</f>
        <v>0</v>
      </c>
      <c r="O6311" s="28">
        <f>2.37*M6311</f>
        <v>0</v>
      </c>
      <c r="P6311" s="26">
        <f>0.02405*M6311</f>
        <v>0</v>
      </c>
      <c r="Q6311" s="30"/>
      <c r="R6311" s="22" t="s">
        <v>22568</v>
      </c>
      <c r="S6311" s="22" t="s">
        <v>435</v>
      </c>
      <c r="T6311" s="21" t="str">
        <f>HYPERLINK("https://miland.ru/api/getInfo/image/9d9183c3-968d-11ef-a267-00155d82e908")</f>
        <v>https://miland.ru/api/getInfo/image/9d9183c3-968d-11ef-a267-00155d82e908</v>
      </c>
      <c r="U6311" s="21"/>
      <c r="V6311" s="21"/>
      <c r="W6311" s="21" t="s">
        <v>22569</v>
      </c>
      <c r="X6311" s="21"/>
      <c r="Y6311" s="21" t="s">
        <v>41</v>
      </c>
      <c r="Z6311" s="21"/>
      <c r="AA6311" s="21" t="str">
        <f>HYPERLINK("https://miland.ru/api/getInfo/item/9d9183c3-968d-11ef-a267-00155d82e908")</f>
        <v>https://miland.ru/api/getInfo/item/9d9183c3-968d-11ef-a267-00155d82e908</v>
      </c>
      <c r="AB6311" s="21" t="s">
        <v>42</v>
      </c>
      <c r="AC6311" s="21" t="s">
        <v>22570</v>
      </c>
      <c r="AD6311" s="21"/>
    </row>
    <row r="6312" spans="2:30" s="1" customFormat="1" ht="96.3" customHeight="1" outlineLevel="5">
      <c r="B6312" s="57">
        <v>5173</v>
      </c>
      <c r="C6312" s="21" t="s">
        <v>22571</v>
      </c>
      <c r="D6312" s="72" t="s">
        <v>22572</v>
      </c>
      <c r="E6312" s="72"/>
      <c r="F6312" s="72"/>
      <c r="G6312" s="72"/>
      <c r="H6312" s="22" t="s">
        <v>22573</v>
      </c>
      <c r="I6312" s="27">
        <v>5</v>
      </c>
      <c r="J6312" s="22"/>
      <c r="K6312" s="20">
        <v>1</v>
      </c>
      <c r="L6312" s="32">
        <v>6796.25</v>
      </c>
      <c r="M6312" s="11"/>
      <c r="N6312" s="22">
        <f t="shared" si="365"/>
        <v>0</v>
      </c>
      <c r="O6312" s="25">
        <f>4.012*M6312</f>
        <v>0</v>
      </c>
      <c r="P6312" s="26">
        <f>0.03762*M6312</f>
        <v>0</v>
      </c>
      <c r="Q6312" s="30"/>
      <c r="R6312" s="22" t="s">
        <v>22574</v>
      </c>
      <c r="S6312" s="22"/>
      <c r="T6312" s="21" t="str">
        <f>HYPERLINK("https://miland.ru/api/getInfo/image/2a565d8d-9691-11ef-a267-00155d82e908")</f>
        <v>https://miland.ru/api/getInfo/image/2a565d8d-9691-11ef-a267-00155d82e908</v>
      </c>
      <c r="U6312" s="21"/>
      <c r="V6312" s="21"/>
      <c r="W6312" s="21" t="s">
        <v>22569</v>
      </c>
      <c r="X6312" s="21"/>
      <c r="Y6312" s="21" t="s">
        <v>41</v>
      </c>
      <c r="Z6312" s="21"/>
      <c r="AA6312" s="21" t="str">
        <f>HYPERLINK("https://miland.ru/api/getInfo/item/2a565d8d-9691-11ef-a267-00155d82e908")</f>
        <v>https://miland.ru/api/getInfo/item/2a565d8d-9691-11ef-a267-00155d82e908</v>
      </c>
      <c r="AB6312" s="21" t="s">
        <v>42</v>
      </c>
      <c r="AC6312" s="21" t="s">
        <v>22575</v>
      </c>
      <c r="AD6312" s="21"/>
    </row>
    <row r="6313" spans="2:30" s="1" customFormat="1" ht="96.3" customHeight="1" outlineLevel="5">
      <c r="B6313" s="57">
        <v>5174</v>
      </c>
      <c r="C6313" s="21" t="s">
        <v>22576</v>
      </c>
      <c r="D6313" s="72" t="s">
        <v>22577</v>
      </c>
      <c r="E6313" s="72"/>
      <c r="F6313" s="72"/>
      <c r="G6313" s="72"/>
      <c r="H6313" s="22" t="s">
        <v>22578</v>
      </c>
      <c r="I6313" s="27">
        <v>134</v>
      </c>
      <c r="J6313" s="22"/>
      <c r="K6313" s="20">
        <v>1</v>
      </c>
      <c r="L6313" s="32">
        <v>6450.71</v>
      </c>
      <c r="M6313" s="11"/>
      <c r="N6313" s="22">
        <f t="shared" si="365"/>
        <v>0</v>
      </c>
      <c r="O6313" s="63">
        <f>4*M6313</f>
        <v>0</v>
      </c>
      <c r="P6313" s="26">
        <f>0.03614*M6313</f>
        <v>0</v>
      </c>
      <c r="Q6313" s="30"/>
      <c r="R6313" s="22" t="s">
        <v>22579</v>
      </c>
      <c r="S6313" s="22" t="s">
        <v>435</v>
      </c>
      <c r="T6313" s="21" t="str">
        <f>HYPERLINK("https://miland.ru/api/getInfo/image/b4102a45-9693-11ef-a267-00155d82e908")</f>
        <v>https://miland.ru/api/getInfo/image/b4102a45-9693-11ef-a267-00155d82e908</v>
      </c>
      <c r="U6313" s="21"/>
      <c r="V6313" s="21"/>
      <c r="W6313" s="21" t="s">
        <v>22569</v>
      </c>
      <c r="X6313" s="21"/>
      <c r="Y6313" s="21" t="s">
        <v>41</v>
      </c>
      <c r="Z6313" s="21"/>
      <c r="AA6313" s="21" t="str">
        <f>HYPERLINK("https://miland.ru/api/getInfo/item/b4102a45-9693-11ef-a267-00155d82e908")</f>
        <v>https://miland.ru/api/getInfo/item/b4102a45-9693-11ef-a267-00155d82e908</v>
      </c>
      <c r="AB6313" s="21" t="s">
        <v>42</v>
      </c>
      <c r="AC6313" s="21" t="s">
        <v>22575</v>
      </c>
      <c r="AD6313" s="21"/>
    </row>
    <row r="6314" spans="2:30" s="1" customFormat="1" ht="96.3" customHeight="1" outlineLevel="5">
      <c r="B6314" s="57">
        <v>5175</v>
      </c>
      <c r="C6314" s="21" t="s">
        <v>22580</v>
      </c>
      <c r="D6314" s="72" t="s">
        <v>22581</v>
      </c>
      <c r="E6314" s="72"/>
      <c r="F6314" s="72"/>
      <c r="G6314" s="72"/>
      <c r="H6314" s="22" t="s">
        <v>22582</v>
      </c>
      <c r="I6314" s="27">
        <v>10</v>
      </c>
      <c r="J6314" s="22"/>
      <c r="K6314" s="20">
        <v>1</v>
      </c>
      <c r="L6314" s="32">
        <v>3935.36</v>
      </c>
      <c r="M6314" s="11"/>
      <c r="N6314" s="22">
        <f t="shared" si="365"/>
        <v>0</v>
      </c>
      <c r="O6314" s="25">
        <f>2.228*M6314</f>
        <v>0</v>
      </c>
      <c r="P6314" s="26">
        <f>0.01783*M6314</f>
        <v>0</v>
      </c>
      <c r="Q6314" s="30"/>
      <c r="R6314" s="22" t="s">
        <v>22583</v>
      </c>
      <c r="S6314" s="22"/>
      <c r="T6314" s="21" t="str">
        <f>HYPERLINK("https://miland.ru/api/getInfo/image/e03916e6-be98-11ee-a25a-00155d82e908")</f>
        <v>https://miland.ru/api/getInfo/image/e03916e6-be98-11ee-a25a-00155d82e908</v>
      </c>
      <c r="U6314" s="21"/>
      <c r="V6314" s="21"/>
      <c r="W6314" s="21" t="s">
        <v>22569</v>
      </c>
      <c r="X6314" s="21"/>
      <c r="Y6314" s="21" t="s">
        <v>41</v>
      </c>
      <c r="Z6314" s="21"/>
      <c r="AA6314" s="21" t="str">
        <f>HYPERLINK("https://miland.ru/api/getInfo/item/e03916e6-be98-11ee-a25a-00155d82e908")</f>
        <v>https://miland.ru/api/getInfo/item/e03916e6-be98-11ee-a25a-00155d82e908</v>
      </c>
      <c r="AB6314" s="21" t="s">
        <v>42</v>
      </c>
      <c r="AC6314" s="21" t="s">
        <v>22584</v>
      </c>
      <c r="AD6314" s="21"/>
    </row>
    <row r="6315" spans="2:30" s="1" customFormat="1" ht="96.3" customHeight="1" outlineLevel="5">
      <c r="B6315" s="57">
        <v>5176</v>
      </c>
      <c r="C6315" s="21" t="s">
        <v>22585</v>
      </c>
      <c r="D6315" s="72" t="s">
        <v>22586</v>
      </c>
      <c r="E6315" s="72"/>
      <c r="F6315" s="72"/>
      <c r="G6315" s="72"/>
      <c r="H6315" s="22" t="s">
        <v>22587</v>
      </c>
      <c r="I6315" s="27">
        <v>8</v>
      </c>
      <c r="J6315" s="22"/>
      <c r="K6315" s="20">
        <v>1</v>
      </c>
      <c r="L6315" s="32">
        <v>2924.76</v>
      </c>
      <c r="M6315" s="11"/>
      <c r="N6315" s="22">
        <f t="shared" si="365"/>
        <v>0</v>
      </c>
      <c r="O6315" s="25">
        <f>2.162*M6315</f>
        <v>0</v>
      </c>
      <c r="P6315" s="26">
        <f>0.02443*M6315</f>
        <v>0</v>
      </c>
      <c r="Q6315" s="30"/>
      <c r="R6315" s="22" t="s">
        <v>22588</v>
      </c>
      <c r="S6315" s="22" t="s">
        <v>435</v>
      </c>
      <c r="T6315" s="21" t="str">
        <f>HYPERLINK("https://miland.ru/api/getInfo/image/676d4225-8528-11ee-a248-00155d82e902")</f>
        <v>https://miland.ru/api/getInfo/image/676d4225-8528-11ee-a248-00155d82e902</v>
      </c>
      <c r="U6315" s="21"/>
      <c r="V6315" s="21"/>
      <c r="W6315" s="21" t="s">
        <v>22569</v>
      </c>
      <c r="X6315" s="21"/>
      <c r="Y6315" s="21" t="s">
        <v>41</v>
      </c>
      <c r="Z6315" s="21"/>
      <c r="AA6315" s="21" t="str">
        <f>HYPERLINK("https://miland.ru/api/getInfo/item/676d4225-8528-11ee-a248-00155d82e902")</f>
        <v>https://miland.ru/api/getInfo/item/676d4225-8528-11ee-a248-00155d82e902</v>
      </c>
      <c r="AB6315" s="21" t="s">
        <v>42</v>
      </c>
      <c r="AC6315" s="21" t="s">
        <v>22570</v>
      </c>
      <c r="AD6315" s="21"/>
    </row>
    <row r="6316" spans="2:30" s="1" customFormat="1" ht="96.3" customHeight="1" outlineLevel="5">
      <c r="B6316" s="57">
        <v>5177</v>
      </c>
      <c r="C6316" s="21" t="s">
        <v>22589</v>
      </c>
      <c r="D6316" s="72" t="s">
        <v>22590</v>
      </c>
      <c r="E6316" s="72"/>
      <c r="F6316" s="72"/>
      <c r="G6316" s="72"/>
      <c r="H6316" s="22" t="s">
        <v>22591</v>
      </c>
      <c r="I6316" s="27">
        <v>8</v>
      </c>
      <c r="J6316" s="22"/>
      <c r="K6316" s="20">
        <v>1</v>
      </c>
      <c r="L6316" s="32">
        <v>2924.76</v>
      </c>
      <c r="M6316" s="11"/>
      <c r="N6316" s="22">
        <f t="shared" si="365"/>
        <v>0</v>
      </c>
      <c r="O6316" s="25">
        <f>2.162*M6316</f>
        <v>0</v>
      </c>
      <c r="P6316" s="26">
        <f>0.05605*M6316</f>
        <v>0</v>
      </c>
      <c r="Q6316" s="30"/>
      <c r="R6316" s="22" t="s">
        <v>22592</v>
      </c>
      <c r="S6316" s="22"/>
      <c r="T6316" s="21" t="str">
        <f>HYPERLINK("https://miland.ru/api/getInfo/image/7cf7ea3f-8528-11ee-a248-00155d82e902")</f>
        <v>https://miland.ru/api/getInfo/image/7cf7ea3f-8528-11ee-a248-00155d82e902</v>
      </c>
      <c r="U6316" s="21"/>
      <c r="V6316" s="21"/>
      <c r="W6316" s="21" t="s">
        <v>22569</v>
      </c>
      <c r="X6316" s="21"/>
      <c r="Y6316" s="21" t="s">
        <v>41</v>
      </c>
      <c r="Z6316" s="21"/>
      <c r="AA6316" s="21" t="str">
        <f>HYPERLINK("https://miland.ru/api/getInfo/item/7cf7ea3f-8528-11ee-a248-00155d82e902")</f>
        <v>https://miland.ru/api/getInfo/item/7cf7ea3f-8528-11ee-a248-00155d82e902</v>
      </c>
      <c r="AB6316" s="21" t="s">
        <v>42</v>
      </c>
      <c r="AC6316" s="21" t="s">
        <v>22570</v>
      </c>
      <c r="AD6316" s="21"/>
    </row>
    <row r="6317" spans="2:30" s="1" customFormat="1" ht="96.3" customHeight="1" outlineLevel="5">
      <c r="B6317" s="57">
        <v>5178</v>
      </c>
      <c r="C6317" s="21" t="s">
        <v>22593</v>
      </c>
      <c r="D6317" s="72" t="s">
        <v>22594</v>
      </c>
      <c r="E6317" s="72"/>
      <c r="F6317" s="72"/>
      <c r="G6317" s="72"/>
      <c r="H6317" s="22" t="s">
        <v>22595</v>
      </c>
      <c r="I6317" s="27">
        <v>7</v>
      </c>
      <c r="J6317" s="22"/>
      <c r="K6317" s="20">
        <v>1</v>
      </c>
      <c r="L6317" s="32">
        <v>3039.01</v>
      </c>
      <c r="M6317" s="11"/>
      <c r="N6317" s="22">
        <f t="shared" si="365"/>
        <v>0</v>
      </c>
      <c r="O6317" s="33">
        <f>2.2*M6317</f>
        <v>0</v>
      </c>
      <c r="P6317" s="26">
        <f>0.01464*M6317</f>
        <v>0</v>
      </c>
      <c r="Q6317" s="30"/>
      <c r="R6317" s="22"/>
      <c r="S6317" s="22"/>
      <c r="T6317" s="21" t="str">
        <f>HYPERLINK("https://miland.ru/api/getInfo/image/03a8f8b5-be99-11ee-a25a-00155d82e908")</f>
        <v>https://miland.ru/api/getInfo/image/03a8f8b5-be99-11ee-a25a-00155d82e908</v>
      </c>
      <c r="U6317" s="21"/>
      <c r="V6317" s="21"/>
      <c r="W6317" s="21" t="s">
        <v>22569</v>
      </c>
      <c r="X6317" s="21"/>
      <c r="Y6317" s="21" t="s">
        <v>41</v>
      </c>
      <c r="Z6317" s="21"/>
      <c r="AA6317" s="21" t="str">
        <f>HYPERLINK("https://miland.ru/api/getInfo/item/03a8f8b5-be99-11ee-a25a-00155d82e908")</f>
        <v>https://miland.ru/api/getInfo/item/03a8f8b5-be99-11ee-a25a-00155d82e908</v>
      </c>
      <c r="AB6317" s="21" t="s">
        <v>42</v>
      </c>
      <c r="AC6317" s="21" t="s">
        <v>22584</v>
      </c>
      <c r="AD6317" s="21"/>
    </row>
    <row r="6318" spans="2:30" s="1" customFormat="1" ht="96.3" customHeight="1" outlineLevel="5">
      <c r="B6318" s="57">
        <v>5179</v>
      </c>
      <c r="C6318" s="21" t="s">
        <v>22596</v>
      </c>
      <c r="D6318" s="72" t="s">
        <v>22597</v>
      </c>
      <c r="E6318" s="72"/>
      <c r="F6318" s="72"/>
      <c r="G6318" s="72"/>
      <c r="H6318" s="22" t="s">
        <v>22598</v>
      </c>
      <c r="I6318" s="27">
        <v>196</v>
      </c>
      <c r="J6318" s="22"/>
      <c r="K6318" s="20">
        <v>1</v>
      </c>
      <c r="L6318" s="32">
        <v>5047.03</v>
      </c>
      <c r="M6318" s="11"/>
      <c r="N6318" s="22">
        <f t="shared" si="365"/>
        <v>0</v>
      </c>
      <c r="O6318" s="28">
        <f>4.99*M6318</f>
        <v>0</v>
      </c>
      <c r="P6318" s="26">
        <f>0.06082*M6318</f>
        <v>0</v>
      </c>
      <c r="Q6318" s="30"/>
      <c r="R6318" s="22" t="s">
        <v>22599</v>
      </c>
      <c r="S6318" s="22"/>
      <c r="T6318" s="21" t="str">
        <f>HYPERLINK("https://miland.ru/api/getInfo/image/ee043b0c-968a-11ef-a267-00155d82e908")</f>
        <v>https://miland.ru/api/getInfo/image/ee043b0c-968a-11ef-a267-00155d82e908</v>
      </c>
      <c r="U6318" s="21"/>
      <c r="V6318" s="21"/>
      <c r="W6318" s="21" t="s">
        <v>22569</v>
      </c>
      <c r="X6318" s="21"/>
      <c r="Y6318" s="21" t="s">
        <v>41</v>
      </c>
      <c r="Z6318" s="21"/>
      <c r="AA6318" s="21" t="str">
        <f>HYPERLINK("https://miland.ru/api/getInfo/item/ee043b0c-968a-11ef-a267-00155d82e908")</f>
        <v>https://miland.ru/api/getInfo/item/ee043b0c-968a-11ef-a267-00155d82e908</v>
      </c>
      <c r="AB6318" s="21" t="s">
        <v>42</v>
      </c>
      <c r="AC6318" s="21" t="s">
        <v>22600</v>
      </c>
      <c r="AD6318" s="21"/>
    </row>
    <row r="6319" spans="2:30" s="1" customFormat="1" ht="96.3" customHeight="1" outlineLevel="5">
      <c r="B6319" s="57">
        <v>5180</v>
      </c>
      <c r="C6319" s="21" t="s">
        <v>22601</v>
      </c>
      <c r="D6319" s="72" t="s">
        <v>22602</v>
      </c>
      <c r="E6319" s="72"/>
      <c r="F6319" s="72"/>
      <c r="G6319" s="72"/>
      <c r="H6319" s="22" t="s">
        <v>22603</v>
      </c>
      <c r="I6319" s="27">
        <v>472</v>
      </c>
      <c r="J6319" s="22"/>
      <c r="K6319" s="20">
        <v>1</v>
      </c>
      <c r="L6319" s="32">
        <v>3570.58</v>
      </c>
      <c r="M6319" s="11"/>
      <c r="N6319" s="22">
        <f t="shared" si="365"/>
        <v>0</v>
      </c>
      <c r="O6319" s="25">
        <f>3.121*M6319</f>
        <v>0</v>
      </c>
      <c r="P6319" s="26">
        <f>0.05444*M6319</f>
        <v>0</v>
      </c>
      <c r="Q6319" s="30"/>
      <c r="R6319" s="22" t="s">
        <v>22604</v>
      </c>
      <c r="S6319" s="22" t="s">
        <v>435</v>
      </c>
      <c r="T6319" s="21" t="str">
        <f>HYPERLINK("https://miland.ru/api/getInfo/image/9129f68f-9688-11ef-a267-00155d82e908")</f>
        <v>https://miland.ru/api/getInfo/image/9129f68f-9688-11ef-a267-00155d82e908</v>
      </c>
      <c r="U6319" s="21"/>
      <c r="V6319" s="21"/>
      <c r="W6319" s="21" t="s">
        <v>22569</v>
      </c>
      <c r="X6319" s="21"/>
      <c r="Y6319" s="21" t="s">
        <v>41</v>
      </c>
      <c r="Z6319" s="21"/>
      <c r="AA6319" s="21" t="str">
        <f>HYPERLINK("https://miland.ru/api/getInfo/item/9129f68f-9688-11ef-a267-00155d82e908")</f>
        <v>https://miland.ru/api/getInfo/item/9129f68f-9688-11ef-a267-00155d82e908</v>
      </c>
      <c r="AB6319" s="21" t="s">
        <v>42</v>
      </c>
      <c r="AC6319" s="21" t="s">
        <v>22605</v>
      </c>
      <c r="AD6319" s="21"/>
    </row>
    <row r="6320" spans="2:30" s="1" customFormat="1" ht="96.3" customHeight="1" outlineLevel="5">
      <c r="B6320" s="57">
        <v>5181</v>
      </c>
      <c r="C6320" s="21" t="s">
        <v>22606</v>
      </c>
      <c r="D6320" s="72" t="s">
        <v>22607</v>
      </c>
      <c r="E6320" s="72"/>
      <c r="F6320" s="72"/>
      <c r="G6320" s="72"/>
      <c r="H6320" s="22" t="s">
        <v>22608</v>
      </c>
      <c r="I6320" s="27">
        <v>380</v>
      </c>
      <c r="J6320" s="22"/>
      <c r="K6320" s="20">
        <v>1</v>
      </c>
      <c r="L6320" s="32">
        <v>2062.02</v>
      </c>
      <c r="M6320" s="11"/>
      <c r="N6320" s="22">
        <f t="shared" si="365"/>
        <v>0</v>
      </c>
      <c r="O6320" s="25">
        <f>2.585*M6320</f>
        <v>0</v>
      </c>
      <c r="P6320" s="26">
        <f>0.03138*M6320</f>
        <v>0</v>
      </c>
      <c r="Q6320" s="30"/>
      <c r="R6320" s="22" t="s">
        <v>22609</v>
      </c>
      <c r="S6320" s="22" t="s">
        <v>435</v>
      </c>
      <c r="T6320" s="21" t="str">
        <f>HYPERLINK("https://miland.ru/api/getInfo/image/1226c637-9688-11ef-a267-00155d82e908")</f>
        <v>https://miland.ru/api/getInfo/image/1226c637-9688-11ef-a267-00155d82e908</v>
      </c>
      <c r="U6320" s="21"/>
      <c r="V6320" s="21"/>
      <c r="W6320" s="21" t="s">
        <v>22569</v>
      </c>
      <c r="X6320" s="21"/>
      <c r="Y6320" s="21" t="s">
        <v>41</v>
      </c>
      <c r="Z6320" s="21"/>
      <c r="AA6320" s="21" t="str">
        <f>HYPERLINK("https://miland.ru/api/getInfo/item/1226c637-9688-11ef-a267-00155d82e908")</f>
        <v>https://miland.ru/api/getInfo/item/1226c637-9688-11ef-a267-00155d82e908</v>
      </c>
      <c r="AB6320" s="21" t="s">
        <v>42</v>
      </c>
      <c r="AC6320" s="21" t="s">
        <v>5224</v>
      </c>
      <c r="AD6320" s="21"/>
    </row>
    <row r="6321" spans="2:30" s="1" customFormat="1" ht="96.3" customHeight="1" outlineLevel="5">
      <c r="B6321" s="57">
        <v>5182</v>
      </c>
      <c r="C6321" s="21" t="s">
        <v>22610</v>
      </c>
      <c r="D6321" s="72" t="s">
        <v>22611</v>
      </c>
      <c r="E6321" s="72"/>
      <c r="F6321" s="72"/>
      <c r="G6321" s="72"/>
      <c r="H6321" s="22" t="s">
        <v>22612</v>
      </c>
      <c r="I6321" s="27">
        <v>484</v>
      </c>
      <c r="J6321" s="22"/>
      <c r="K6321" s="20">
        <v>1</v>
      </c>
      <c r="L6321" s="32">
        <v>2277.6</v>
      </c>
      <c r="M6321" s="11"/>
      <c r="N6321" s="22">
        <f t="shared" si="365"/>
        <v>0</v>
      </c>
      <c r="O6321" s="25">
        <f>2.406*M6321</f>
        <v>0</v>
      </c>
      <c r="P6321" s="26">
        <f>0.03477*M6321</f>
        <v>0</v>
      </c>
      <c r="Q6321" s="30"/>
      <c r="R6321" s="22" t="s">
        <v>22613</v>
      </c>
      <c r="S6321" s="22" t="s">
        <v>435</v>
      </c>
      <c r="T6321" s="21" t="str">
        <f>HYPERLINK("https://miland.ru/api/getInfo/image/41750805-9687-11ef-a267-00155d82e908")</f>
        <v>https://miland.ru/api/getInfo/image/41750805-9687-11ef-a267-00155d82e908</v>
      </c>
      <c r="U6321" s="21"/>
      <c r="V6321" s="21"/>
      <c r="W6321" s="21" t="s">
        <v>22569</v>
      </c>
      <c r="X6321" s="21"/>
      <c r="Y6321" s="21" t="s">
        <v>41</v>
      </c>
      <c r="Z6321" s="21"/>
      <c r="AA6321" s="21" t="str">
        <f>HYPERLINK("https://miland.ru/api/getInfo/item/41750805-9687-11ef-a267-00155d82e908")</f>
        <v>https://miland.ru/api/getInfo/item/41750805-9687-11ef-a267-00155d82e908</v>
      </c>
      <c r="AB6321" s="21" t="s">
        <v>42</v>
      </c>
      <c r="AC6321" s="21" t="s">
        <v>5224</v>
      </c>
      <c r="AD6321" s="21"/>
    </row>
    <row r="6322" spans="2:30" s="1" customFormat="1" ht="96.3" customHeight="1" outlineLevel="5">
      <c r="B6322" s="57">
        <v>5183</v>
      </c>
      <c r="C6322" s="21" t="s">
        <v>22614</v>
      </c>
      <c r="D6322" s="72" t="s">
        <v>22615</v>
      </c>
      <c r="E6322" s="72"/>
      <c r="F6322" s="72"/>
      <c r="G6322" s="72"/>
      <c r="H6322" s="22" t="s">
        <v>22616</v>
      </c>
      <c r="I6322" s="27">
        <v>208</v>
      </c>
      <c r="J6322" s="22"/>
      <c r="K6322" s="20">
        <v>1</v>
      </c>
      <c r="L6322" s="32">
        <v>2062.02</v>
      </c>
      <c r="M6322" s="11"/>
      <c r="N6322" s="22">
        <f t="shared" si="365"/>
        <v>0</v>
      </c>
      <c r="O6322" s="25">
        <f>2.508*M6322</f>
        <v>0</v>
      </c>
      <c r="P6322" s="26">
        <f>0.02921*M6322</f>
        <v>0</v>
      </c>
      <c r="Q6322" s="30"/>
      <c r="R6322" s="22" t="s">
        <v>22617</v>
      </c>
      <c r="S6322" s="22" t="s">
        <v>435</v>
      </c>
      <c r="T6322" s="21" t="str">
        <f>HYPERLINK("https://miland.ru/api/getInfo/image/2b8f6a00-9688-11ef-a267-00155d82e908")</f>
        <v>https://miland.ru/api/getInfo/image/2b8f6a00-9688-11ef-a267-00155d82e908</v>
      </c>
      <c r="U6322" s="21"/>
      <c r="V6322" s="21"/>
      <c r="W6322" s="21" t="s">
        <v>22569</v>
      </c>
      <c r="X6322" s="21"/>
      <c r="Y6322" s="21" t="s">
        <v>41</v>
      </c>
      <c r="Z6322" s="21"/>
      <c r="AA6322" s="21" t="str">
        <f>HYPERLINK("https://miland.ru/api/getInfo/item/2b8f6a00-9688-11ef-a267-00155d82e908")</f>
        <v>https://miland.ru/api/getInfo/item/2b8f6a00-9688-11ef-a267-00155d82e908</v>
      </c>
      <c r="AB6322" s="21" t="s">
        <v>42</v>
      </c>
      <c r="AC6322" s="21" t="s">
        <v>5224</v>
      </c>
      <c r="AD6322" s="21"/>
    </row>
    <row r="6323" spans="2:30" s="1" customFormat="1" ht="96.3" customHeight="1" outlineLevel="5">
      <c r="B6323" s="57">
        <v>5184</v>
      </c>
      <c r="C6323" s="21" t="s">
        <v>22618</v>
      </c>
      <c r="D6323" s="72" t="s">
        <v>22619</v>
      </c>
      <c r="E6323" s="72"/>
      <c r="F6323" s="72"/>
      <c r="G6323" s="72"/>
      <c r="H6323" s="22" t="s">
        <v>22620</v>
      </c>
      <c r="I6323" s="27">
        <v>329</v>
      </c>
      <c r="J6323" s="22"/>
      <c r="K6323" s="20">
        <v>1</v>
      </c>
      <c r="L6323" s="32">
        <v>2014.09</v>
      </c>
      <c r="M6323" s="11"/>
      <c r="N6323" s="22">
        <f t="shared" si="365"/>
        <v>0</v>
      </c>
      <c r="O6323" s="25">
        <f>2.587*M6323</f>
        <v>0</v>
      </c>
      <c r="P6323" s="26">
        <f>0.02853*M6323</f>
        <v>0</v>
      </c>
      <c r="Q6323" s="30"/>
      <c r="R6323" s="22" t="s">
        <v>22621</v>
      </c>
      <c r="S6323" s="22" t="s">
        <v>435</v>
      </c>
      <c r="T6323" s="21" t="str">
        <f>HYPERLINK("https://miland.ru/api/getInfo/image/90926c2a-9686-11ef-a267-00155d82e908")</f>
        <v>https://miland.ru/api/getInfo/image/90926c2a-9686-11ef-a267-00155d82e908</v>
      </c>
      <c r="U6323" s="21"/>
      <c r="V6323" s="21"/>
      <c r="W6323" s="21" t="s">
        <v>22569</v>
      </c>
      <c r="X6323" s="21"/>
      <c r="Y6323" s="21" t="s">
        <v>41</v>
      </c>
      <c r="Z6323" s="21"/>
      <c r="AA6323" s="21" t="str">
        <f>HYPERLINK("https://miland.ru/api/getInfo/item/90926c2a-9686-11ef-a267-00155d82e908")</f>
        <v>https://miland.ru/api/getInfo/item/90926c2a-9686-11ef-a267-00155d82e908</v>
      </c>
      <c r="AB6323" s="21" t="s">
        <v>42</v>
      </c>
      <c r="AC6323" s="21" t="s">
        <v>5224</v>
      </c>
      <c r="AD6323" s="21"/>
    </row>
    <row r="6324" spans="2:30" s="1" customFormat="1" ht="96.3" customHeight="1" outlineLevel="5">
      <c r="B6324" s="57">
        <v>5185</v>
      </c>
      <c r="C6324" s="21" t="s">
        <v>22622</v>
      </c>
      <c r="D6324" s="72" t="s">
        <v>22623</v>
      </c>
      <c r="E6324" s="72"/>
      <c r="F6324" s="72"/>
      <c r="G6324" s="72"/>
      <c r="H6324" s="22" t="s">
        <v>22624</v>
      </c>
      <c r="I6324" s="27">
        <v>105</v>
      </c>
      <c r="J6324" s="22"/>
      <c r="K6324" s="20">
        <v>1</v>
      </c>
      <c r="L6324" s="32">
        <v>2062.02</v>
      </c>
      <c r="M6324" s="11"/>
      <c r="N6324" s="22">
        <f t="shared" si="365"/>
        <v>0</v>
      </c>
      <c r="O6324" s="25">
        <f>2.517*M6324</f>
        <v>0</v>
      </c>
      <c r="P6324" s="26">
        <f>0.03162*M6324</f>
        <v>0</v>
      </c>
      <c r="Q6324" s="30"/>
      <c r="R6324" s="22" t="s">
        <v>22625</v>
      </c>
      <c r="S6324" s="22" t="s">
        <v>435</v>
      </c>
      <c r="T6324" s="21" t="str">
        <f>HYPERLINK("https://miland.ru/api/getInfo/image/e2105f7c-9687-11ef-a267-00155d82e908")</f>
        <v>https://miland.ru/api/getInfo/image/e2105f7c-9687-11ef-a267-00155d82e908</v>
      </c>
      <c r="U6324" s="21"/>
      <c r="V6324" s="21"/>
      <c r="W6324" s="21" t="s">
        <v>22569</v>
      </c>
      <c r="X6324" s="21"/>
      <c r="Y6324" s="21" t="s">
        <v>41</v>
      </c>
      <c r="Z6324" s="21"/>
      <c r="AA6324" s="21" t="str">
        <f>HYPERLINK("https://miland.ru/api/getInfo/item/e2105f7c-9687-11ef-a267-00155d82e908")</f>
        <v>https://miland.ru/api/getInfo/item/e2105f7c-9687-11ef-a267-00155d82e908</v>
      </c>
      <c r="AB6324" s="21" t="s">
        <v>42</v>
      </c>
      <c r="AC6324" s="21" t="s">
        <v>5224</v>
      </c>
      <c r="AD6324" s="21"/>
    </row>
    <row r="6325" spans="2:30" s="1" customFormat="1" ht="96.3" customHeight="1" outlineLevel="5">
      <c r="B6325" s="57">
        <v>5186</v>
      </c>
      <c r="C6325" s="21" t="s">
        <v>22626</v>
      </c>
      <c r="D6325" s="72" t="s">
        <v>22627</v>
      </c>
      <c r="E6325" s="72"/>
      <c r="F6325" s="72"/>
      <c r="G6325" s="72"/>
      <c r="H6325" s="22" t="s">
        <v>22628</v>
      </c>
      <c r="I6325" s="27">
        <v>289</v>
      </c>
      <c r="J6325" s="22"/>
      <c r="K6325" s="20">
        <v>1</v>
      </c>
      <c r="L6325" s="32">
        <v>2253.7399999999998</v>
      </c>
      <c r="M6325" s="11"/>
      <c r="N6325" s="22">
        <f t="shared" si="365"/>
        <v>0</v>
      </c>
      <c r="O6325" s="25">
        <f>4.458*M6325</f>
        <v>0</v>
      </c>
      <c r="P6325" s="26">
        <f>0.03529*M6325</f>
        <v>0</v>
      </c>
      <c r="Q6325" s="30"/>
      <c r="R6325" s="22" t="s">
        <v>22629</v>
      </c>
      <c r="S6325" s="22" t="s">
        <v>435</v>
      </c>
      <c r="T6325" s="21" t="str">
        <f>HYPERLINK("https://miland.ru/api/getInfo/image/ff611c36-9687-11ef-a267-00155d82e908")</f>
        <v>https://miland.ru/api/getInfo/image/ff611c36-9687-11ef-a267-00155d82e908</v>
      </c>
      <c r="U6325" s="21"/>
      <c r="V6325" s="21"/>
      <c r="W6325" s="21" t="s">
        <v>22569</v>
      </c>
      <c r="X6325" s="21"/>
      <c r="Y6325" s="21" t="s">
        <v>41</v>
      </c>
      <c r="Z6325" s="21"/>
      <c r="AA6325" s="21" t="str">
        <f>HYPERLINK("https://miland.ru/api/getInfo/item/ff611c36-9687-11ef-a267-00155d82e908")</f>
        <v>https://miland.ru/api/getInfo/item/ff611c36-9687-11ef-a267-00155d82e908</v>
      </c>
      <c r="AB6325" s="21" t="s">
        <v>42</v>
      </c>
      <c r="AC6325" s="21" t="s">
        <v>5224</v>
      </c>
      <c r="AD6325" s="21"/>
    </row>
    <row r="6326" spans="2:30" s="1" customFormat="1" ht="96.3" customHeight="1" outlineLevel="5">
      <c r="B6326" s="57">
        <v>5187</v>
      </c>
      <c r="C6326" s="21" t="s">
        <v>22630</v>
      </c>
      <c r="D6326" s="72" t="s">
        <v>22631</v>
      </c>
      <c r="E6326" s="72"/>
      <c r="F6326" s="72"/>
      <c r="G6326" s="72"/>
      <c r="H6326" s="22" t="s">
        <v>22632</v>
      </c>
      <c r="I6326" s="27">
        <v>31</v>
      </c>
      <c r="J6326" s="22"/>
      <c r="K6326" s="20">
        <v>1</v>
      </c>
      <c r="L6326" s="32">
        <v>2253.7399999999998</v>
      </c>
      <c r="M6326" s="11"/>
      <c r="N6326" s="22">
        <f t="shared" si="365"/>
        <v>0</v>
      </c>
      <c r="O6326" s="25">
        <f>2.767*M6326</f>
        <v>0</v>
      </c>
      <c r="P6326" s="26">
        <f>0.03738*M6326</f>
        <v>0</v>
      </c>
      <c r="Q6326" s="30"/>
      <c r="R6326" s="22" t="s">
        <v>22633</v>
      </c>
      <c r="S6326" s="22"/>
      <c r="T6326" s="21" t="str">
        <f>HYPERLINK("https://miland.ru/api/getInfo/image/44dea3a2-9688-11ef-a267-00155d82e908")</f>
        <v>https://miland.ru/api/getInfo/image/44dea3a2-9688-11ef-a267-00155d82e908</v>
      </c>
      <c r="U6326" s="21"/>
      <c r="V6326" s="21"/>
      <c r="W6326" s="21" t="s">
        <v>22569</v>
      </c>
      <c r="X6326" s="21"/>
      <c r="Y6326" s="21" t="s">
        <v>41</v>
      </c>
      <c r="Z6326" s="21"/>
      <c r="AA6326" s="21" t="str">
        <f>HYPERLINK("https://miland.ru/api/getInfo/item/44dea3a2-9688-11ef-a267-00155d82e908")</f>
        <v>https://miland.ru/api/getInfo/item/44dea3a2-9688-11ef-a267-00155d82e908</v>
      </c>
      <c r="AB6326" s="21" t="s">
        <v>42</v>
      </c>
      <c r="AC6326" s="21" t="s">
        <v>5224</v>
      </c>
      <c r="AD6326" s="21"/>
    </row>
    <row r="6327" spans="2:30" s="1" customFormat="1" ht="96.3" customHeight="1" outlineLevel="5">
      <c r="B6327" s="57">
        <v>5188</v>
      </c>
      <c r="C6327" s="21" t="s">
        <v>22634</v>
      </c>
      <c r="D6327" s="72" t="s">
        <v>22635</v>
      </c>
      <c r="E6327" s="72"/>
      <c r="F6327" s="72"/>
      <c r="G6327" s="72"/>
      <c r="H6327" s="22" t="s">
        <v>22636</v>
      </c>
      <c r="I6327" s="23" t="s">
        <v>36</v>
      </c>
      <c r="J6327" s="22"/>
      <c r="K6327" s="20">
        <v>1</v>
      </c>
      <c r="L6327" s="32">
        <v>3935.36</v>
      </c>
      <c r="M6327" s="11"/>
      <c r="N6327" s="22">
        <f t="shared" si="365"/>
        <v>0</v>
      </c>
      <c r="O6327" s="25">
        <f>5.057*M6327</f>
        <v>0</v>
      </c>
      <c r="P6327" s="26">
        <f>0.33792*M6327</f>
        <v>0</v>
      </c>
      <c r="Q6327" s="30"/>
      <c r="R6327" s="22"/>
      <c r="S6327" s="22" t="s">
        <v>435</v>
      </c>
      <c r="T6327" s="21" t="str">
        <f>HYPERLINK("https://miland.ru/api/getInfo/image/5a328feb-9688-11ef-a267-00155d82e908")</f>
        <v>https://miland.ru/api/getInfo/image/5a328feb-9688-11ef-a267-00155d82e908</v>
      </c>
      <c r="U6327" s="21"/>
      <c r="V6327" s="21"/>
      <c r="W6327" s="21" t="s">
        <v>22569</v>
      </c>
      <c r="X6327" s="21"/>
      <c r="Y6327" s="21" t="s">
        <v>41</v>
      </c>
      <c r="Z6327" s="21"/>
      <c r="AA6327" s="21" t="str">
        <f>HYPERLINK("https://miland.ru/api/getInfo/item/5a328feb-9688-11ef-a267-00155d82e908")</f>
        <v>https://miland.ru/api/getInfo/item/5a328feb-9688-11ef-a267-00155d82e908</v>
      </c>
      <c r="AB6327" s="21" t="s">
        <v>42</v>
      </c>
      <c r="AC6327" s="21" t="s">
        <v>5224</v>
      </c>
      <c r="AD6327" s="21"/>
    </row>
    <row r="6328" spans="2:30" s="1" customFormat="1" ht="96.3" customHeight="1" outlineLevel="5">
      <c r="B6328" s="57">
        <v>5189</v>
      </c>
      <c r="C6328" s="21" t="s">
        <v>22637</v>
      </c>
      <c r="D6328" s="72" t="s">
        <v>22638</v>
      </c>
      <c r="E6328" s="72"/>
      <c r="F6328" s="72"/>
      <c r="G6328" s="72"/>
      <c r="H6328" s="22" t="s">
        <v>22639</v>
      </c>
      <c r="I6328" s="23" t="s">
        <v>36</v>
      </c>
      <c r="J6328" s="22"/>
      <c r="K6328" s="20">
        <v>1</v>
      </c>
      <c r="L6328" s="32">
        <v>3017.36</v>
      </c>
      <c r="M6328" s="11"/>
      <c r="N6328" s="22">
        <f t="shared" si="365"/>
        <v>0</v>
      </c>
      <c r="O6328" s="25">
        <f>5.057*M6328</f>
        <v>0</v>
      </c>
      <c r="P6328" s="26">
        <f>0.03792*M6328</f>
        <v>0</v>
      </c>
      <c r="Q6328" s="30"/>
      <c r="R6328" s="22"/>
      <c r="S6328" s="22" t="s">
        <v>435</v>
      </c>
      <c r="T6328" s="21" t="str">
        <f>HYPERLINK("https://miland.ru/api/getInfo/image/75e8b49c-9688-11ef-a267-00155d82e908")</f>
        <v>https://miland.ru/api/getInfo/image/75e8b49c-9688-11ef-a267-00155d82e908</v>
      </c>
      <c r="U6328" s="21"/>
      <c r="V6328" s="21"/>
      <c r="W6328" s="21" t="s">
        <v>22569</v>
      </c>
      <c r="X6328" s="21"/>
      <c r="Y6328" s="21" t="s">
        <v>41</v>
      </c>
      <c r="Z6328" s="21"/>
      <c r="AA6328" s="21" t="str">
        <f>HYPERLINK("https://miland.ru/api/getInfo/item/75e8b49c-9688-11ef-a267-00155d82e908")</f>
        <v>https://miland.ru/api/getInfo/item/75e8b49c-9688-11ef-a267-00155d82e908</v>
      </c>
      <c r="AB6328" s="21" t="s">
        <v>42</v>
      </c>
      <c r="AC6328" s="21" t="s">
        <v>5224</v>
      </c>
      <c r="AD6328" s="21"/>
    </row>
    <row r="6329" spans="2:30" s="1" customFormat="1" ht="96.3" customHeight="1" outlineLevel="5">
      <c r="B6329" s="57">
        <v>5190</v>
      </c>
      <c r="C6329" s="21" t="s">
        <v>22640</v>
      </c>
      <c r="D6329" s="72" t="s">
        <v>22641</v>
      </c>
      <c r="E6329" s="72"/>
      <c r="F6329" s="72"/>
      <c r="G6329" s="72"/>
      <c r="H6329" s="22" t="s">
        <v>22642</v>
      </c>
      <c r="I6329" s="23" t="s">
        <v>36</v>
      </c>
      <c r="J6329" s="22"/>
      <c r="K6329" s="20">
        <v>1</v>
      </c>
      <c r="L6329" s="32">
        <v>3817.09</v>
      </c>
      <c r="M6329" s="11"/>
      <c r="N6329" s="22">
        <f t="shared" si="365"/>
        <v>0</v>
      </c>
      <c r="O6329" s="25">
        <f>3.017*M6329</f>
        <v>0</v>
      </c>
      <c r="P6329" s="29">
        <f>0.0346*M6329</f>
        <v>0</v>
      </c>
      <c r="Q6329" s="30"/>
      <c r="R6329" s="22" t="s">
        <v>22643</v>
      </c>
      <c r="S6329" s="22" t="s">
        <v>435</v>
      </c>
      <c r="T6329" s="21" t="str">
        <f>HYPERLINK("https://miland.ru/api/getInfo/image/47cc82e8-8528-11ee-a248-00155d82e902")</f>
        <v>https://miland.ru/api/getInfo/image/47cc82e8-8528-11ee-a248-00155d82e902</v>
      </c>
      <c r="U6329" s="21"/>
      <c r="V6329" s="21"/>
      <c r="W6329" s="21" t="s">
        <v>22569</v>
      </c>
      <c r="X6329" s="21"/>
      <c r="Y6329" s="21" t="s">
        <v>41</v>
      </c>
      <c r="Z6329" s="21"/>
      <c r="AA6329" s="21" t="str">
        <f>HYPERLINK("https://miland.ru/api/getInfo/item/47cc82e8-8528-11ee-a248-00155d82e902")</f>
        <v>https://miland.ru/api/getInfo/item/47cc82e8-8528-11ee-a248-00155d82e902</v>
      </c>
      <c r="AB6329" s="21" t="s">
        <v>42</v>
      </c>
      <c r="AC6329" s="21" t="s">
        <v>22644</v>
      </c>
      <c r="AD6329" s="21"/>
    </row>
    <row r="6330" spans="2:30" s="1" customFormat="1" ht="96.3" customHeight="1" outlineLevel="5">
      <c r="B6330" s="57">
        <v>5191</v>
      </c>
      <c r="C6330" s="21" t="s">
        <v>22645</v>
      </c>
      <c r="D6330" s="72" t="s">
        <v>22646</v>
      </c>
      <c r="E6330" s="72"/>
      <c r="F6330" s="72"/>
      <c r="G6330" s="72"/>
      <c r="H6330" s="22" t="s">
        <v>22647</v>
      </c>
      <c r="I6330" s="23" t="s">
        <v>36</v>
      </c>
      <c r="J6330" s="22"/>
      <c r="K6330" s="20">
        <v>1</v>
      </c>
      <c r="L6330" s="32">
        <v>3817.09</v>
      </c>
      <c r="M6330" s="11"/>
      <c r="N6330" s="22">
        <f t="shared" si="365"/>
        <v>0</v>
      </c>
      <c r="O6330" s="25">
        <f>6.793*M6330</f>
        <v>0</v>
      </c>
      <c r="P6330" s="29">
        <f>0.0346*M6330</f>
        <v>0</v>
      </c>
      <c r="Q6330" s="30"/>
      <c r="R6330" s="22" t="s">
        <v>22648</v>
      </c>
      <c r="S6330" s="22" t="s">
        <v>435</v>
      </c>
      <c r="T6330" s="21" t="str">
        <f>HYPERLINK("https://miland.ru/api/getInfo/image/5a209e97-8528-11ee-a248-00155d82e902")</f>
        <v>https://miland.ru/api/getInfo/image/5a209e97-8528-11ee-a248-00155d82e902</v>
      </c>
      <c r="U6330" s="21"/>
      <c r="V6330" s="21"/>
      <c r="W6330" s="21" t="s">
        <v>22569</v>
      </c>
      <c r="X6330" s="21"/>
      <c r="Y6330" s="21" t="s">
        <v>41</v>
      </c>
      <c r="Z6330" s="21"/>
      <c r="AA6330" s="21" t="str">
        <f>HYPERLINK("https://miland.ru/api/getInfo/item/5a209e97-8528-11ee-a248-00155d82e902")</f>
        <v>https://miland.ru/api/getInfo/item/5a209e97-8528-11ee-a248-00155d82e902</v>
      </c>
      <c r="AB6330" s="21" t="s">
        <v>42</v>
      </c>
      <c r="AC6330" s="21" t="s">
        <v>22644</v>
      </c>
      <c r="AD6330" s="21"/>
    </row>
    <row r="6331" spans="2:30" s="1" customFormat="1" ht="96.3" customHeight="1" outlineLevel="5">
      <c r="B6331" s="57">
        <v>5192</v>
      </c>
      <c r="C6331" s="21" t="s">
        <v>22649</v>
      </c>
      <c r="D6331" s="72" t="s">
        <v>22650</v>
      </c>
      <c r="E6331" s="72"/>
      <c r="F6331" s="72"/>
      <c r="G6331" s="72"/>
      <c r="H6331" s="22" t="s">
        <v>22651</v>
      </c>
      <c r="I6331" s="23" t="s">
        <v>36</v>
      </c>
      <c r="J6331" s="22"/>
      <c r="K6331" s="20">
        <v>1</v>
      </c>
      <c r="L6331" s="32">
        <v>2288.15</v>
      </c>
      <c r="M6331" s="11"/>
      <c r="N6331" s="22">
        <f t="shared" si="365"/>
        <v>0</v>
      </c>
      <c r="O6331" s="33">
        <f>3.7*M6331</f>
        <v>0</v>
      </c>
      <c r="P6331" s="26">
        <f>0.02831*M6331</f>
        <v>0</v>
      </c>
      <c r="Q6331" s="30"/>
      <c r="R6331" s="22" t="s">
        <v>22652</v>
      </c>
      <c r="S6331" s="22" t="s">
        <v>435</v>
      </c>
      <c r="T6331" s="21" t="str">
        <f>HYPERLINK("https://miland.ru/api/getInfo/image/8acbd34d-8527-11ee-a248-00155d82e902")</f>
        <v>https://miland.ru/api/getInfo/image/8acbd34d-8527-11ee-a248-00155d82e902</v>
      </c>
      <c r="U6331" s="21"/>
      <c r="V6331" s="21"/>
      <c r="W6331" s="21" t="s">
        <v>22569</v>
      </c>
      <c r="X6331" s="21"/>
      <c r="Y6331" s="21" t="s">
        <v>41</v>
      </c>
      <c r="Z6331" s="21"/>
      <c r="AA6331" s="21" t="str">
        <f>HYPERLINK("https://miland.ru/api/getInfo/item/8acbd34d-8527-11ee-a248-00155d82e902")</f>
        <v>https://miland.ru/api/getInfo/item/8acbd34d-8527-11ee-a248-00155d82e902</v>
      </c>
      <c r="AB6331" s="21" t="s">
        <v>42</v>
      </c>
      <c r="AC6331" s="21" t="s">
        <v>22644</v>
      </c>
      <c r="AD6331" s="21"/>
    </row>
    <row r="6332" spans="2:30" s="1" customFormat="1" ht="96.3" customHeight="1" outlineLevel="5">
      <c r="B6332" s="57">
        <v>5193</v>
      </c>
      <c r="C6332" s="21" t="s">
        <v>22653</v>
      </c>
      <c r="D6332" s="72" t="s">
        <v>22654</v>
      </c>
      <c r="E6332" s="72"/>
      <c r="F6332" s="72"/>
      <c r="G6332" s="72"/>
      <c r="H6332" s="22" t="s">
        <v>22655</v>
      </c>
      <c r="I6332" s="23" t="s">
        <v>36</v>
      </c>
      <c r="J6332" s="22"/>
      <c r="K6332" s="20">
        <v>1</v>
      </c>
      <c r="L6332" s="32">
        <v>2014.09</v>
      </c>
      <c r="M6332" s="11"/>
      <c r="N6332" s="22">
        <f t="shared" si="365"/>
        <v>0</v>
      </c>
      <c r="O6332" s="25">
        <f>2.473*M6332</f>
        <v>0</v>
      </c>
      <c r="P6332" s="26">
        <f>0.02707*M6332</f>
        <v>0</v>
      </c>
      <c r="Q6332" s="30"/>
      <c r="R6332" s="22" t="s">
        <v>22656</v>
      </c>
      <c r="S6332" s="22" t="s">
        <v>435</v>
      </c>
      <c r="T6332" s="21" t="str">
        <f>HYPERLINK("https://miland.ru/api/getInfo/image/345f1162-8528-11ee-a248-00155d82e902")</f>
        <v>https://miland.ru/api/getInfo/image/345f1162-8528-11ee-a248-00155d82e902</v>
      </c>
      <c r="U6332" s="21"/>
      <c r="V6332" s="21"/>
      <c r="W6332" s="21" t="s">
        <v>22569</v>
      </c>
      <c r="X6332" s="21"/>
      <c r="Y6332" s="21" t="s">
        <v>41</v>
      </c>
      <c r="Z6332" s="21"/>
      <c r="AA6332" s="21" t="str">
        <f>HYPERLINK("https://miland.ru/api/getInfo/item/345f1162-8528-11ee-a248-00155d82e902")</f>
        <v>https://miland.ru/api/getInfo/item/345f1162-8528-11ee-a248-00155d82e902</v>
      </c>
      <c r="AB6332" s="21" t="s">
        <v>42</v>
      </c>
      <c r="AC6332" s="21" t="s">
        <v>22644</v>
      </c>
      <c r="AD6332" s="21"/>
    </row>
    <row r="6333" spans="2:30" ht="12" customHeight="1" outlineLevel="4">
      <c r="B6333" s="70" t="s">
        <v>22657</v>
      </c>
      <c r="C6333" s="70"/>
      <c r="D6333" s="70"/>
      <c r="E6333" s="70"/>
      <c r="F6333" s="70"/>
      <c r="G6333" s="70"/>
    </row>
    <row r="6334" spans="2:30" s="1" customFormat="1" ht="96.3" customHeight="1" outlineLevel="5">
      <c r="B6334" s="57">
        <v>5194</v>
      </c>
      <c r="C6334" s="21" t="s">
        <v>22658</v>
      </c>
      <c r="D6334" s="72" t="s">
        <v>22659</v>
      </c>
      <c r="E6334" s="72"/>
      <c r="F6334" s="72"/>
      <c r="G6334" s="72"/>
      <c r="H6334" s="22" t="s">
        <v>22660</v>
      </c>
      <c r="I6334" s="27">
        <v>453</v>
      </c>
      <c r="J6334" s="22"/>
      <c r="K6334" s="20">
        <v>1</v>
      </c>
      <c r="L6334" s="32">
        <v>1661.81</v>
      </c>
      <c r="M6334" s="11"/>
      <c r="N6334" s="22">
        <f>L6334*M6334</f>
        <v>0</v>
      </c>
      <c r="O6334" s="25">
        <f>2.027*M6334</f>
        <v>0</v>
      </c>
      <c r="P6334" s="26">
        <f>0.03272*M6334</f>
        <v>0</v>
      </c>
      <c r="Q6334" s="30"/>
      <c r="R6334" s="22"/>
      <c r="S6334" s="22" t="s">
        <v>435</v>
      </c>
      <c r="T6334" s="21" t="str">
        <f>HYPERLINK("https://miland.ru/api/getInfo/image/55875303-9698-11ef-a267-00155d82e908")</f>
        <v>https://miland.ru/api/getInfo/image/55875303-9698-11ef-a267-00155d82e908</v>
      </c>
      <c r="U6334" s="21"/>
      <c r="V6334" s="21"/>
      <c r="W6334" s="21" t="s">
        <v>22569</v>
      </c>
      <c r="X6334" s="21"/>
      <c r="Y6334" s="21" t="s">
        <v>41</v>
      </c>
      <c r="Z6334" s="21"/>
      <c r="AA6334" s="21" t="str">
        <f>HYPERLINK("https://miland.ru/api/getInfo/item/55875303-9698-11ef-a267-00155d82e908")</f>
        <v>https://miland.ru/api/getInfo/item/55875303-9698-11ef-a267-00155d82e908</v>
      </c>
      <c r="AB6334" s="21" t="s">
        <v>42</v>
      </c>
      <c r="AC6334" s="21" t="s">
        <v>22661</v>
      </c>
      <c r="AD6334" s="21"/>
    </row>
    <row r="6335" spans="2:30" s="1" customFormat="1" ht="96.3" customHeight="1" outlineLevel="5">
      <c r="B6335" s="57">
        <v>5195</v>
      </c>
      <c r="C6335" s="21" t="s">
        <v>22662</v>
      </c>
      <c r="D6335" s="72" t="s">
        <v>22663</v>
      </c>
      <c r="E6335" s="72"/>
      <c r="F6335" s="72"/>
      <c r="G6335" s="72"/>
      <c r="H6335" s="22" t="s">
        <v>22664</v>
      </c>
      <c r="I6335" s="27">
        <v>22</v>
      </c>
      <c r="J6335" s="22"/>
      <c r="K6335" s="20">
        <v>1</v>
      </c>
      <c r="L6335" s="24">
        <v>670.95</v>
      </c>
      <c r="M6335" s="11"/>
      <c r="N6335" s="22">
        <f>L6335*M6335</f>
        <v>0</v>
      </c>
      <c r="O6335" s="28">
        <f>0.41*M6335</f>
        <v>0</v>
      </c>
      <c r="P6335" s="26">
        <f>0.00322*M6335</f>
        <v>0</v>
      </c>
      <c r="Q6335" s="30"/>
      <c r="R6335" s="22" t="s">
        <v>22665</v>
      </c>
      <c r="S6335" s="22"/>
      <c r="T6335" s="21" t="str">
        <f>HYPERLINK("https://miland.ru/api/getInfo/image/878a6eab-9697-11ef-a267-00155d82e908")</f>
        <v>https://miland.ru/api/getInfo/image/878a6eab-9697-11ef-a267-00155d82e908</v>
      </c>
      <c r="U6335" s="21"/>
      <c r="V6335" s="21"/>
      <c r="W6335" s="21" t="s">
        <v>22569</v>
      </c>
      <c r="X6335" s="21"/>
      <c r="Y6335" s="21" t="s">
        <v>41</v>
      </c>
      <c r="Z6335" s="21"/>
      <c r="AA6335" s="21" t="str">
        <f>HYPERLINK("https://miland.ru/api/getInfo/item/878a6eab-9697-11ef-a267-00155d82e908")</f>
        <v>https://miland.ru/api/getInfo/item/878a6eab-9697-11ef-a267-00155d82e908</v>
      </c>
      <c r="AB6335" s="21" t="s">
        <v>42</v>
      </c>
      <c r="AC6335" s="21" t="s">
        <v>22666</v>
      </c>
      <c r="AD6335" s="21"/>
    </row>
    <row r="6336" spans="2:30" s="1" customFormat="1" ht="96.3" customHeight="1" outlineLevel="5">
      <c r="B6336" s="57">
        <v>5196</v>
      </c>
      <c r="C6336" s="21" t="s">
        <v>22667</v>
      </c>
      <c r="D6336" s="72" t="s">
        <v>22668</v>
      </c>
      <c r="E6336" s="72"/>
      <c r="F6336" s="72"/>
      <c r="G6336" s="72"/>
      <c r="H6336" s="22" t="s">
        <v>22669</v>
      </c>
      <c r="I6336" s="27">
        <v>5</v>
      </c>
      <c r="J6336" s="22"/>
      <c r="K6336" s="20">
        <v>1</v>
      </c>
      <c r="L6336" s="24">
        <v>712.16</v>
      </c>
      <c r="M6336" s="11"/>
      <c r="N6336" s="22">
        <f>L6336*M6336</f>
        <v>0</v>
      </c>
      <c r="O6336" s="25">
        <f>0.604*M6336</f>
        <v>0</v>
      </c>
      <c r="P6336" s="26">
        <f>0.00495*M6336</f>
        <v>0</v>
      </c>
      <c r="Q6336" s="30"/>
      <c r="R6336" s="22" t="s">
        <v>22670</v>
      </c>
      <c r="S6336" s="22"/>
      <c r="T6336" s="21" t="str">
        <f>HYPERLINK("https://miland.ru/api/getInfo/image/17e5fdde-9698-11ef-a267-00155d82e908")</f>
        <v>https://miland.ru/api/getInfo/image/17e5fdde-9698-11ef-a267-00155d82e908</v>
      </c>
      <c r="U6336" s="21"/>
      <c r="V6336" s="21"/>
      <c r="W6336" s="21" t="s">
        <v>22569</v>
      </c>
      <c r="X6336" s="21"/>
      <c r="Y6336" s="21" t="s">
        <v>41</v>
      </c>
      <c r="Z6336" s="21"/>
      <c r="AA6336" s="21" t="str">
        <f>HYPERLINK("https://miland.ru/api/getInfo/item/17e5fdde-9698-11ef-a267-00155d82e908")</f>
        <v>https://miland.ru/api/getInfo/item/17e5fdde-9698-11ef-a267-00155d82e908</v>
      </c>
      <c r="AB6336" s="21" t="s">
        <v>42</v>
      </c>
      <c r="AC6336" s="21" t="s">
        <v>22671</v>
      </c>
      <c r="AD6336" s="21"/>
    </row>
    <row r="6337" spans="2:30" s="1" customFormat="1" ht="96.3" customHeight="1" outlineLevel="5">
      <c r="B6337" s="57">
        <v>5197</v>
      </c>
      <c r="C6337" s="21" t="s">
        <v>22672</v>
      </c>
      <c r="D6337" s="72" t="s">
        <v>22673</v>
      </c>
      <c r="E6337" s="72"/>
      <c r="F6337" s="72"/>
      <c r="G6337" s="72"/>
      <c r="H6337" s="22" t="s">
        <v>22674</v>
      </c>
      <c r="I6337" s="27">
        <v>98</v>
      </c>
      <c r="J6337" s="22"/>
      <c r="K6337" s="20">
        <v>1</v>
      </c>
      <c r="L6337" s="24">
        <v>878.89</v>
      </c>
      <c r="M6337" s="11"/>
      <c r="N6337" s="22">
        <f>L6337*M6337</f>
        <v>0</v>
      </c>
      <c r="O6337" s="25">
        <f>0.604*M6337</f>
        <v>0</v>
      </c>
      <c r="P6337" s="26">
        <f>0.00495*M6337</f>
        <v>0</v>
      </c>
      <c r="Q6337" s="30"/>
      <c r="R6337" s="22" t="s">
        <v>22675</v>
      </c>
      <c r="S6337" s="22" t="s">
        <v>435</v>
      </c>
      <c r="T6337" s="21" t="str">
        <f>HYPERLINK("https://miland.ru/api/getInfo/image/abe0635e-9697-11ef-a267-00155d82e908")</f>
        <v>https://miland.ru/api/getInfo/image/abe0635e-9697-11ef-a267-00155d82e908</v>
      </c>
      <c r="U6337" s="21"/>
      <c r="V6337" s="21"/>
      <c r="W6337" s="21" t="s">
        <v>22569</v>
      </c>
      <c r="X6337" s="21"/>
      <c r="Y6337" s="21" t="s">
        <v>41</v>
      </c>
      <c r="Z6337" s="21"/>
      <c r="AA6337" s="21" t="str">
        <f>HYPERLINK("https://miland.ru/api/getInfo/item/abe0635e-9697-11ef-a267-00155d82e908")</f>
        <v>https://miland.ru/api/getInfo/item/abe0635e-9697-11ef-a267-00155d82e908</v>
      </c>
      <c r="AB6337" s="21" t="s">
        <v>42</v>
      </c>
      <c r="AC6337" s="21" t="s">
        <v>22671</v>
      </c>
      <c r="AD6337" s="21"/>
    </row>
    <row r="6338" spans="2:30" s="1" customFormat="1" ht="96.3" customHeight="1" outlineLevel="5">
      <c r="B6338" s="57">
        <v>5198</v>
      </c>
      <c r="C6338" s="21" t="s">
        <v>22676</v>
      </c>
      <c r="D6338" s="72" t="s">
        <v>22677</v>
      </c>
      <c r="E6338" s="72"/>
      <c r="F6338" s="72"/>
      <c r="G6338" s="72"/>
      <c r="H6338" s="22" t="s">
        <v>22678</v>
      </c>
      <c r="I6338" s="23" t="s">
        <v>36</v>
      </c>
      <c r="J6338" s="22"/>
      <c r="K6338" s="20">
        <v>1</v>
      </c>
      <c r="L6338" s="32">
        <v>1417.2</v>
      </c>
      <c r="M6338" s="11"/>
      <c r="N6338" s="22">
        <f>L6338*M6338</f>
        <v>0</v>
      </c>
      <c r="O6338" s="25">
        <f>0.691*M6338</f>
        <v>0</v>
      </c>
      <c r="P6338" s="26">
        <f>0.00678*M6338</f>
        <v>0</v>
      </c>
      <c r="Q6338" s="30"/>
      <c r="R6338" s="22" t="s">
        <v>22679</v>
      </c>
      <c r="S6338" s="22" t="s">
        <v>435</v>
      </c>
      <c r="T6338" s="21" t="str">
        <f>HYPERLINK("https://miland.ru/api/getInfo/image/9a33e828-9696-11ef-a267-00155d82e908")</f>
        <v>https://miland.ru/api/getInfo/image/9a33e828-9696-11ef-a267-00155d82e908</v>
      </c>
      <c r="U6338" s="21"/>
      <c r="V6338" s="21"/>
      <c r="W6338" s="21" t="s">
        <v>22569</v>
      </c>
      <c r="X6338" s="21"/>
      <c r="Y6338" s="21" t="s">
        <v>41</v>
      </c>
      <c r="Z6338" s="21"/>
      <c r="AA6338" s="21" t="str">
        <f>HYPERLINK("https://miland.ru/api/getInfo/item/9a33e828-9696-11ef-a267-00155d82e908")</f>
        <v>https://miland.ru/api/getInfo/item/9a33e828-9696-11ef-a267-00155d82e908</v>
      </c>
      <c r="AB6338" s="21" t="s">
        <v>42</v>
      </c>
      <c r="AC6338" s="21" t="s">
        <v>22680</v>
      </c>
      <c r="AD6338" s="21"/>
    </row>
    <row r="6339" spans="2:30" ht="12" customHeight="1" outlineLevel="4">
      <c r="B6339" s="70" t="s">
        <v>22681</v>
      </c>
      <c r="C6339" s="70"/>
      <c r="D6339" s="70"/>
      <c r="E6339" s="70"/>
      <c r="F6339" s="70"/>
      <c r="G6339" s="70"/>
    </row>
    <row r="6340" spans="2:30" s="1" customFormat="1" ht="96.3" customHeight="1" outlineLevel="5">
      <c r="B6340" s="57">
        <v>5199</v>
      </c>
      <c r="C6340" s="21" t="s">
        <v>22682</v>
      </c>
      <c r="D6340" s="72" t="s">
        <v>22683</v>
      </c>
      <c r="E6340" s="72"/>
      <c r="F6340" s="72"/>
      <c r="G6340" s="72"/>
      <c r="H6340" s="22" t="s">
        <v>22684</v>
      </c>
      <c r="I6340" s="27">
        <v>211</v>
      </c>
      <c r="J6340" s="22"/>
      <c r="K6340" s="20">
        <v>1</v>
      </c>
      <c r="L6340" s="32">
        <v>1116.58</v>
      </c>
      <c r="M6340" s="11"/>
      <c r="N6340" s="22">
        <f>L6340*M6340</f>
        <v>0</v>
      </c>
      <c r="O6340" s="25">
        <f>0.194*M6340</f>
        <v>0</v>
      </c>
      <c r="P6340" s="26">
        <f>0.00066*M6340</f>
        <v>0</v>
      </c>
      <c r="Q6340" s="30"/>
      <c r="R6340" s="22" t="s">
        <v>22685</v>
      </c>
      <c r="S6340" s="22" t="s">
        <v>435</v>
      </c>
      <c r="T6340" s="21" t="str">
        <f>HYPERLINK("https://miland.ru/api/getInfo/image/1c77868a-9697-11ef-a267-00155d82e908")</f>
        <v>https://miland.ru/api/getInfo/image/1c77868a-9697-11ef-a267-00155d82e908</v>
      </c>
      <c r="U6340" s="21"/>
      <c r="V6340" s="21"/>
      <c r="W6340" s="21" t="s">
        <v>22569</v>
      </c>
      <c r="X6340" s="21"/>
      <c r="Y6340" s="21" t="s">
        <v>41</v>
      </c>
      <c r="Z6340" s="21"/>
      <c r="AA6340" s="21" t="str">
        <f>HYPERLINK("https://miland.ru/api/getInfo/item/1c77868a-9697-11ef-a267-00155d82e908")</f>
        <v>https://miland.ru/api/getInfo/item/1c77868a-9697-11ef-a267-00155d82e908</v>
      </c>
      <c r="AB6340" s="21" t="s">
        <v>42</v>
      </c>
      <c r="AC6340" s="21" t="s">
        <v>22686</v>
      </c>
      <c r="AD6340" s="21"/>
    </row>
    <row r="6341" spans="2:30" s="1" customFormat="1" ht="96.3" customHeight="1" outlineLevel="5">
      <c r="B6341" s="57">
        <v>5200</v>
      </c>
      <c r="C6341" s="21" t="s">
        <v>22687</v>
      </c>
      <c r="D6341" s="72" t="s">
        <v>22688</v>
      </c>
      <c r="E6341" s="72"/>
      <c r="F6341" s="72"/>
      <c r="G6341" s="72"/>
      <c r="H6341" s="22" t="s">
        <v>22689</v>
      </c>
      <c r="I6341" s="27">
        <v>206</v>
      </c>
      <c r="J6341" s="22"/>
      <c r="K6341" s="20">
        <v>1</v>
      </c>
      <c r="L6341" s="32">
        <v>1116.58</v>
      </c>
      <c r="M6341" s="11"/>
      <c r="N6341" s="22">
        <f>L6341*M6341</f>
        <v>0</v>
      </c>
      <c r="O6341" s="25">
        <f>0.194*M6341</f>
        <v>0</v>
      </c>
      <c r="P6341" s="26">
        <f>0.00066*M6341</f>
        <v>0</v>
      </c>
      <c r="Q6341" s="30"/>
      <c r="R6341" s="22" t="s">
        <v>22690</v>
      </c>
      <c r="S6341" s="22" t="s">
        <v>435</v>
      </c>
      <c r="T6341" s="21" t="str">
        <f>HYPERLINK("https://miland.ru/api/getInfo/image/46665ba8-9697-11ef-a267-00155d82e908")</f>
        <v>https://miland.ru/api/getInfo/image/46665ba8-9697-11ef-a267-00155d82e908</v>
      </c>
      <c r="U6341" s="21"/>
      <c r="V6341" s="21"/>
      <c r="W6341" s="21" t="s">
        <v>22569</v>
      </c>
      <c r="X6341" s="21"/>
      <c r="Y6341" s="21" t="s">
        <v>41</v>
      </c>
      <c r="Z6341" s="21"/>
      <c r="AA6341" s="21" t="str">
        <f>HYPERLINK("https://miland.ru/api/getInfo/item/46665ba8-9697-11ef-a267-00155d82e908")</f>
        <v>https://miland.ru/api/getInfo/item/46665ba8-9697-11ef-a267-00155d82e908</v>
      </c>
      <c r="AB6341" s="21" t="s">
        <v>42</v>
      </c>
      <c r="AC6341" s="21" t="s">
        <v>22686</v>
      </c>
      <c r="AD6341" s="21"/>
    </row>
    <row r="6342" spans="2:30" ht="12" customHeight="1" outlineLevel="3">
      <c r="B6342" s="70" t="s">
        <v>22691</v>
      </c>
      <c r="C6342" s="70"/>
      <c r="D6342" s="70"/>
      <c r="E6342" s="70"/>
      <c r="F6342" s="70"/>
      <c r="G6342" s="70"/>
    </row>
    <row r="6343" spans="2:30" s="1" customFormat="1" ht="96.3" customHeight="1" outlineLevel="4">
      <c r="B6343" s="57">
        <v>5201</v>
      </c>
      <c r="C6343" s="21" t="s">
        <v>22692</v>
      </c>
      <c r="D6343" s="72" t="s">
        <v>22693</v>
      </c>
      <c r="E6343" s="72"/>
      <c r="F6343" s="72"/>
      <c r="G6343" s="72"/>
      <c r="H6343" s="22" t="s">
        <v>22694</v>
      </c>
      <c r="I6343" s="23" t="s">
        <v>36</v>
      </c>
      <c r="J6343" s="22"/>
      <c r="K6343" s="20">
        <v>1</v>
      </c>
      <c r="L6343" s="32">
        <v>9088.86</v>
      </c>
      <c r="M6343" s="11"/>
      <c r="N6343" s="22">
        <f>L6343*M6343</f>
        <v>0</v>
      </c>
      <c r="O6343" s="25">
        <f>3.609*M6343</f>
        <v>0</v>
      </c>
      <c r="P6343" s="26">
        <f>0.02786*M6343</f>
        <v>0</v>
      </c>
      <c r="Q6343" s="30"/>
      <c r="R6343" s="22" t="s">
        <v>22695</v>
      </c>
      <c r="S6343" s="22"/>
      <c r="T6343" s="21" t="str">
        <f>HYPERLINK("https://miland.ru/api/getInfo/image/ca32da82-3acc-11ef-a261-00155d82e908")</f>
        <v>https://miland.ru/api/getInfo/image/ca32da82-3acc-11ef-a261-00155d82e908</v>
      </c>
      <c r="U6343" s="21"/>
      <c r="V6343" s="21"/>
      <c r="W6343" s="21" t="s">
        <v>22696</v>
      </c>
      <c r="X6343" s="21"/>
      <c r="Y6343" s="21" t="s">
        <v>41</v>
      </c>
      <c r="Z6343" s="21"/>
      <c r="AA6343" s="21" t="str">
        <f>HYPERLINK("https://miland.ru/api/getInfo/item/ca32da82-3acc-11ef-a261-00155d82e908")</f>
        <v>https://miland.ru/api/getInfo/item/ca32da82-3acc-11ef-a261-00155d82e908</v>
      </c>
      <c r="AB6343" s="21" t="s">
        <v>42</v>
      </c>
      <c r="AC6343" s="21" t="s">
        <v>22697</v>
      </c>
      <c r="AD6343" s="21"/>
    </row>
    <row r="6344" spans="2:30" s="1" customFormat="1" ht="96.3" customHeight="1" outlineLevel="4">
      <c r="B6344" s="57">
        <v>5202</v>
      </c>
      <c r="C6344" s="21" t="s">
        <v>22698</v>
      </c>
      <c r="D6344" s="72" t="s">
        <v>22699</v>
      </c>
      <c r="E6344" s="72"/>
      <c r="F6344" s="72"/>
      <c r="G6344" s="72"/>
      <c r="H6344" s="22" t="s">
        <v>22700</v>
      </c>
      <c r="I6344" s="27">
        <v>5</v>
      </c>
      <c r="J6344" s="22"/>
      <c r="K6344" s="20">
        <v>1</v>
      </c>
      <c r="L6344" s="32">
        <v>2575.34</v>
      </c>
      <c r="M6344" s="11"/>
      <c r="N6344" s="22">
        <f>L6344*M6344</f>
        <v>0</v>
      </c>
      <c r="O6344" s="25">
        <f>1.482*M6344</f>
        <v>0</v>
      </c>
      <c r="P6344" s="26">
        <f>0.01073*M6344</f>
        <v>0</v>
      </c>
      <c r="Q6344" s="30"/>
      <c r="R6344" s="22" t="s">
        <v>22701</v>
      </c>
      <c r="S6344" s="22" t="s">
        <v>435</v>
      </c>
      <c r="T6344" s="21" t="str">
        <f>HYPERLINK("https://miland.ru/api/getInfo/image/280c4bf5-3c42-11ee-a241-00155d82e902")</f>
        <v>https://miland.ru/api/getInfo/image/280c4bf5-3c42-11ee-a241-00155d82e902</v>
      </c>
      <c r="U6344" s="21"/>
      <c r="V6344" s="21"/>
      <c r="W6344" s="21" t="s">
        <v>22696</v>
      </c>
      <c r="X6344" s="21"/>
      <c r="Y6344" s="21" t="s">
        <v>41</v>
      </c>
      <c r="Z6344" s="21"/>
      <c r="AA6344" s="21" t="str">
        <f>HYPERLINK("https://miland.ru/api/getInfo/item/280c4bf5-3c42-11ee-a241-00155d82e902")</f>
        <v>https://miland.ru/api/getInfo/item/280c4bf5-3c42-11ee-a241-00155d82e902</v>
      </c>
      <c r="AB6344" s="21" t="s">
        <v>42</v>
      </c>
      <c r="AC6344" s="21"/>
      <c r="AD6344" s="21"/>
    </row>
    <row r="6345" spans="2:30" s="1" customFormat="1" ht="96.3" customHeight="1" outlineLevel="4">
      <c r="B6345" s="57">
        <v>5203</v>
      </c>
      <c r="C6345" s="21" t="s">
        <v>22702</v>
      </c>
      <c r="D6345" s="72" t="s">
        <v>22703</v>
      </c>
      <c r="E6345" s="72"/>
      <c r="F6345" s="72"/>
      <c r="G6345" s="72"/>
      <c r="H6345" s="22" t="s">
        <v>22704</v>
      </c>
      <c r="I6345" s="27">
        <v>439</v>
      </c>
      <c r="J6345" s="22"/>
      <c r="K6345" s="20">
        <v>1</v>
      </c>
      <c r="L6345" s="32">
        <v>3196.12</v>
      </c>
      <c r="M6345" s="11"/>
      <c r="N6345" s="22">
        <f>L6345*M6345</f>
        <v>0</v>
      </c>
      <c r="O6345" s="25">
        <f>1.986*M6345</f>
        <v>0</v>
      </c>
      <c r="P6345" s="26">
        <f>0.02421*M6345</f>
        <v>0</v>
      </c>
      <c r="Q6345" s="30"/>
      <c r="R6345" s="22" t="s">
        <v>22705</v>
      </c>
      <c r="S6345" s="22" t="s">
        <v>435</v>
      </c>
      <c r="T6345" s="21" t="str">
        <f>HYPERLINK("https://miland.ru/api/getInfo/image/2c0916b2-3476-11ef-a261-00155d82e908")</f>
        <v>https://miland.ru/api/getInfo/image/2c0916b2-3476-11ef-a261-00155d82e908</v>
      </c>
      <c r="U6345" s="21"/>
      <c r="V6345" s="21"/>
      <c r="W6345" s="21" t="s">
        <v>22696</v>
      </c>
      <c r="X6345" s="21"/>
      <c r="Y6345" s="21" t="s">
        <v>41</v>
      </c>
      <c r="Z6345" s="21"/>
      <c r="AA6345" s="21" t="str">
        <f>HYPERLINK("https://miland.ru/api/getInfo/item/2c0916b2-3476-11ef-a261-00155d82e908")</f>
        <v>https://miland.ru/api/getInfo/item/2c0916b2-3476-11ef-a261-00155d82e908</v>
      </c>
      <c r="AB6345" s="21" t="s">
        <v>42</v>
      </c>
      <c r="AC6345" s="21" t="s">
        <v>22706</v>
      </c>
      <c r="AD6345" s="21"/>
    </row>
    <row r="6346" spans="2:30" s="1" customFormat="1" ht="96.3" customHeight="1" outlineLevel="4">
      <c r="B6346" s="57">
        <v>5204</v>
      </c>
      <c r="C6346" s="21" t="s">
        <v>22707</v>
      </c>
      <c r="D6346" s="72" t="s">
        <v>22708</v>
      </c>
      <c r="E6346" s="72"/>
      <c r="F6346" s="72"/>
      <c r="G6346" s="72"/>
      <c r="H6346" s="22" t="s">
        <v>22709</v>
      </c>
      <c r="I6346" s="27">
        <v>44</v>
      </c>
      <c r="J6346" s="22"/>
      <c r="K6346" s="20">
        <v>1</v>
      </c>
      <c r="L6346" s="32">
        <v>4197.91</v>
      </c>
      <c r="M6346" s="11"/>
      <c r="N6346" s="22">
        <f>L6346*M6346</f>
        <v>0</v>
      </c>
      <c r="O6346" s="25">
        <f>2.164*M6346</f>
        <v>0</v>
      </c>
      <c r="P6346" s="29">
        <f>0.0148*M6346</f>
        <v>0</v>
      </c>
      <c r="Q6346" s="30"/>
      <c r="R6346" s="22" t="s">
        <v>22710</v>
      </c>
      <c r="S6346" s="22" t="s">
        <v>435</v>
      </c>
      <c r="T6346" s="21" t="str">
        <f>HYPERLINK("https://miland.ru/api/getInfo/image/e8779936-3475-11ef-a261-00155d82e908")</f>
        <v>https://miland.ru/api/getInfo/image/e8779936-3475-11ef-a261-00155d82e908</v>
      </c>
      <c r="U6346" s="21"/>
      <c r="V6346" s="21"/>
      <c r="W6346" s="21" t="s">
        <v>22696</v>
      </c>
      <c r="X6346" s="21"/>
      <c r="Y6346" s="21" t="s">
        <v>41</v>
      </c>
      <c r="Z6346" s="21"/>
      <c r="AA6346" s="21" t="str">
        <f>HYPERLINK("https://miland.ru/api/getInfo/item/e8779936-3475-11ef-a261-00155d82e908")</f>
        <v>https://miland.ru/api/getInfo/item/e8779936-3475-11ef-a261-00155d82e908</v>
      </c>
      <c r="AB6346" s="21" t="s">
        <v>42</v>
      </c>
      <c r="AC6346" s="21" t="s">
        <v>22711</v>
      </c>
      <c r="AD6346" s="21"/>
    </row>
    <row r="6347" spans="2:30" ht="12" customHeight="1" outlineLevel="2">
      <c r="B6347" s="69" t="s">
        <v>22712</v>
      </c>
      <c r="C6347" s="69"/>
      <c r="D6347" s="69"/>
      <c r="E6347" s="69"/>
      <c r="F6347" s="69"/>
      <c r="G6347" s="69"/>
    </row>
    <row r="6348" spans="2:30" s="1" customFormat="1" ht="96.3" customHeight="1" outlineLevel="3">
      <c r="B6348" s="57">
        <v>5205</v>
      </c>
      <c r="C6348" s="21" t="s">
        <v>22713</v>
      </c>
      <c r="D6348" s="72" t="s">
        <v>22714</v>
      </c>
      <c r="E6348" s="72"/>
      <c r="F6348" s="72"/>
      <c r="G6348" s="72"/>
      <c r="H6348" s="22" t="s">
        <v>22715</v>
      </c>
      <c r="I6348" s="27">
        <v>10</v>
      </c>
      <c r="J6348" s="22"/>
      <c r="K6348" s="20">
        <v>1</v>
      </c>
      <c r="L6348" s="32">
        <v>2038.28</v>
      </c>
      <c r="M6348" s="11"/>
      <c r="N6348" s="22">
        <f>L6348*M6348</f>
        <v>0</v>
      </c>
      <c r="O6348" s="25">
        <f>0.303*M6348</f>
        <v>0</v>
      </c>
      <c r="P6348" s="26">
        <f>0.00192*M6348</f>
        <v>0</v>
      </c>
      <c r="Q6348" s="30"/>
      <c r="R6348" s="22" t="s">
        <v>22716</v>
      </c>
      <c r="S6348" s="22" t="s">
        <v>435</v>
      </c>
      <c r="T6348" s="21" t="str">
        <f>HYPERLINK("https://miland.ru/api/getInfo/image/06ff614a-a485-11ee-a258-00155d82e908")</f>
        <v>https://miland.ru/api/getInfo/image/06ff614a-a485-11ee-a258-00155d82e908</v>
      </c>
      <c r="U6348" s="21"/>
      <c r="V6348" s="21"/>
      <c r="W6348" s="21" t="s">
        <v>22717</v>
      </c>
      <c r="X6348" s="21"/>
      <c r="Y6348" s="21" t="s">
        <v>41</v>
      </c>
      <c r="Z6348" s="21"/>
      <c r="AA6348" s="21" t="str">
        <f>HYPERLINK("https://miland.ru/api/getInfo/item/06ff614a-a485-11ee-a258-00155d82e908")</f>
        <v>https://miland.ru/api/getInfo/item/06ff614a-a485-11ee-a258-00155d82e908</v>
      </c>
      <c r="AB6348" s="21" t="s">
        <v>42</v>
      </c>
      <c r="AC6348" s="21"/>
      <c r="AD6348" s="21"/>
    </row>
    <row r="6349" spans="2:30" ht="12" customHeight="1" outlineLevel="2">
      <c r="B6349" s="69" t="s">
        <v>22718</v>
      </c>
      <c r="C6349" s="69"/>
      <c r="D6349" s="69"/>
      <c r="E6349" s="69"/>
      <c r="F6349" s="69"/>
      <c r="G6349" s="69"/>
    </row>
    <row r="6350" spans="2:30" s="1" customFormat="1" ht="96.3" customHeight="1" outlineLevel="3">
      <c r="B6350" s="57">
        <v>5206</v>
      </c>
      <c r="C6350" s="21" t="s">
        <v>22719</v>
      </c>
      <c r="D6350" s="72" t="s">
        <v>22720</v>
      </c>
      <c r="E6350" s="72"/>
      <c r="F6350" s="72"/>
      <c r="G6350" s="72"/>
      <c r="H6350" s="22" t="s">
        <v>22721</v>
      </c>
      <c r="I6350" s="27">
        <v>42</v>
      </c>
      <c r="J6350" s="22"/>
      <c r="K6350" s="20">
        <v>3</v>
      </c>
      <c r="L6350" s="24">
        <v>192.12</v>
      </c>
      <c r="M6350" s="11"/>
      <c r="N6350" s="22">
        <f>L6350*M6350</f>
        <v>0</v>
      </c>
      <c r="O6350" s="25">
        <f>0.051*M6350</f>
        <v>0</v>
      </c>
      <c r="P6350" s="26">
        <f>0.00048*M6350</f>
        <v>0</v>
      </c>
      <c r="Q6350" s="30"/>
      <c r="R6350" s="22" t="s">
        <v>22722</v>
      </c>
      <c r="S6350" s="22" t="s">
        <v>435</v>
      </c>
      <c r="T6350" s="21" t="str">
        <f>HYPERLINK("https://miland.ru/api/getInfo/image/7879dcb9-5203-11ee-a244-00155d82e902")</f>
        <v>https://miland.ru/api/getInfo/image/7879dcb9-5203-11ee-a244-00155d82e902</v>
      </c>
      <c r="U6350" s="21"/>
      <c r="V6350" s="21"/>
      <c r="W6350" s="21" t="s">
        <v>22723</v>
      </c>
      <c r="X6350" s="21" t="s">
        <v>172</v>
      </c>
      <c r="Y6350" s="21" t="s">
        <v>173</v>
      </c>
      <c r="Z6350" s="21" t="s">
        <v>22722</v>
      </c>
      <c r="AA6350" s="21" t="str">
        <f>HYPERLINK("https://miland.ru/api/getInfo/item/7879dcb9-5203-11ee-a244-00155d82e902")</f>
        <v>https://miland.ru/api/getInfo/item/7879dcb9-5203-11ee-a244-00155d82e902</v>
      </c>
      <c r="AB6350" s="21" t="s">
        <v>42</v>
      </c>
      <c r="AC6350" s="21"/>
      <c r="AD6350" s="21"/>
    </row>
  </sheetData>
  <autoFilter ref="A5:AE6350">
    <filterColumn colId="3" showButton="0"/>
    <filterColumn colId="4" showButton="0"/>
    <filterColumn colId="5" showButton="0"/>
  </autoFilter>
  <mergeCells count="6373">
    <mergeCell ref="Q5:Q6"/>
    <mergeCell ref="R5:R6"/>
    <mergeCell ref="S5:S6"/>
    <mergeCell ref="T5:T6"/>
    <mergeCell ref="U5:U6"/>
    <mergeCell ref="V5:V6"/>
    <mergeCell ref="W5:W6"/>
    <mergeCell ref="X5:X6"/>
    <mergeCell ref="Y5:Y6"/>
    <mergeCell ref="Z5:Z6"/>
    <mergeCell ref="AA5:AA6"/>
    <mergeCell ref="AB5:AB6"/>
    <mergeCell ref="AC5:AC6"/>
    <mergeCell ref="AD5:AD6"/>
    <mergeCell ref="D5:G6"/>
    <mergeCell ref="D6345:G6345"/>
    <mergeCell ref="D6346:G6346"/>
    <mergeCell ref="B6347:G6347"/>
    <mergeCell ref="D6348:G6348"/>
    <mergeCell ref="B6349:G6349"/>
    <mergeCell ref="D6350:G6350"/>
    <mergeCell ref="B5:B6"/>
    <mergeCell ref="C5:C6"/>
    <mergeCell ref="H5:H6"/>
    <mergeCell ref="I5:I6"/>
    <mergeCell ref="J5:J6"/>
    <mergeCell ref="K5:K6"/>
    <mergeCell ref="L5:L6"/>
    <mergeCell ref="M5:M6"/>
    <mergeCell ref="N5:N6"/>
    <mergeCell ref="O5:O6"/>
    <mergeCell ref="P5:P6"/>
    <mergeCell ref="D6328:G6328"/>
    <mergeCell ref="D6329:G6329"/>
    <mergeCell ref="D6330:G6330"/>
    <mergeCell ref="D6331:G6331"/>
    <mergeCell ref="D6332:G6332"/>
    <mergeCell ref="B6333:G6333"/>
    <mergeCell ref="D6334:G6334"/>
    <mergeCell ref="D6335:G6335"/>
    <mergeCell ref="D6336:G6336"/>
    <mergeCell ref="D6337:G6337"/>
    <mergeCell ref="D6338:G6338"/>
    <mergeCell ref="B6339:G6339"/>
    <mergeCell ref="D6340:G6340"/>
    <mergeCell ref="D6341:G6341"/>
    <mergeCell ref="B6342:G6342"/>
    <mergeCell ref="D6343:G6343"/>
    <mergeCell ref="D6344:G6344"/>
    <mergeCell ref="D6311:G6311"/>
    <mergeCell ref="D6312:G6312"/>
    <mergeCell ref="D6313:G6313"/>
    <mergeCell ref="D6314:G6314"/>
    <mergeCell ref="D6315:G6315"/>
    <mergeCell ref="D6316:G6316"/>
    <mergeCell ref="D6317:G6317"/>
    <mergeCell ref="D6318:G6318"/>
    <mergeCell ref="D6319:G6319"/>
    <mergeCell ref="D6320:G6320"/>
    <mergeCell ref="D6321:G6321"/>
    <mergeCell ref="D6322:G6322"/>
    <mergeCell ref="D6323:G6323"/>
    <mergeCell ref="D6324:G6324"/>
    <mergeCell ref="D6325:G6325"/>
    <mergeCell ref="D6326:G6326"/>
    <mergeCell ref="D6327:G6327"/>
    <mergeCell ref="D6294:G6294"/>
    <mergeCell ref="B6295:G6295"/>
    <mergeCell ref="D6296:G6296"/>
    <mergeCell ref="D6297:G6297"/>
    <mergeCell ref="D6298:G6298"/>
    <mergeCell ref="B6299:G6299"/>
    <mergeCell ref="D6300:G6300"/>
    <mergeCell ref="B6301:G6301"/>
    <mergeCell ref="B6302:G6302"/>
    <mergeCell ref="D6303:G6303"/>
    <mergeCell ref="D6304:G6304"/>
    <mergeCell ref="B6305:G6305"/>
    <mergeCell ref="D6306:G6306"/>
    <mergeCell ref="D6307:G6307"/>
    <mergeCell ref="B6308:G6308"/>
    <mergeCell ref="B6309:G6309"/>
    <mergeCell ref="B6310:G6310"/>
    <mergeCell ref="D6277:G6277"/>
    <mergeCell ref="B6278:G6278"/>
    <mergeCell ref="B6279:G6279"/>
    <mergeCell ref="D6280:G6280"/>
    <mergeCell ref="D6281:G6281"/>
    <mergeCell ref="D6282:G6282"/>
    <mergeCell ref="B6283:G6283"/>
    <mergeCell ref="D6284:G6284"/>
    <mergeCell ref="B6285:G6285"/>
    <mergeCell ref="D6286:G6286"/>
    <mergeCell ref="D6287:G6287"/>
    <mergeCell ref="D6288:G6288"/>
    <mergeCell ref="D6289:G6289"/>
    <mergeCell ref="D6290:G6290"/>
    <mergeCell ref="B6291:G6291"/>
    <mergeCell ref="B6292:G6292"/>
    <mergeCell ref="D6293:G6293"/>
    <mergeCell ref="D6260:G6260"/>
    <mergeCell ref="B6261:G6261"/>
    <mergeCell ref="D6262:G6262"/>
    <mergeCell ref="B6263:G6263"/>
    <mergeCell ref="B6264:G6264"/>
    <mergeCell ref="D6265:G6265"/>
    <mergeCell ref="D6266:G6266"/>
    <mergeCell ref="B6267:G6267"/>
    <mergeCell ref="B6268:G6268"/>
    <mergeCell ref="D6269:G6269"/>
    <mergeCell ref="D6270:G6270"/>
    <mergeCell ref="B6271:G6271"/>
    <mergeCell ref="D6272:G6272"/>
    <mergeCell ref="B6273:G6273"/>
    <mergeCell ref="B6274:G6274"/>
    <mergeCell ref="B6275:G6275"/>
    <mergeCell ref="D6276:G6276"/>
    <mergeCell ref="D6243:G6243"/>
    <mergeCell ref="D6244:G6244"/>
    <mergeCell ref="B6245:G6245"/>
    <mergeCell ref="D6246:G6246"/>
    <mergeCell ref="D6247:G6247"/>
    <mergeCell ref="B6248:G6248"/>
    <mergeCell ref="D6249:G6249"/>
    <mergeCell ref="D6250:G6250"/>
    <mergeCell ref="D6251:G6251"/>
    <mergeCell ref="D6252:G6252"/>
    <mergeCell ref="D6253:G6253"/>
    <mergeCell ref="D6254:G6254"/>
    <mergeCell ref="D6255:G6255"/>
    <mergeCell ref="D6256:G6256"/>
    <mergeCell ref="D6257:G6257"/>
    <mergeCell ref="B6258:G6258"/>
    <mergeCell ref="D6259:G6259"/>
    <mergeCell ref="B6226:G6226"/>
    <mergeCell ref="D6227:G6227"/>
    <mergeCell ref="D6228:G6228"/>
    <mergeCell ref="D6229:G6229"/>
    <mergeCell ref="D6230:G6230"/>
    <mergeCell ref="D6231:G6231"/>
    <mergeCell ref="D6232:G6232"/>
    <mergeCell ref="D6233:G6233"/>
    <mergeCell ref="B6234:G6234"/>
    <mergeCell ref="B6235:G6235"/>
    <mergeCell ref="D6236:G6236"/>
    <mergeCell ref="D6237:G6237"/>
    <mergeCell ref="D6238:G6238"/>
    <mergeCell ref="D6239:G6239"/>
    <mergeCell ref="D6240:G6240"/>
    <mergeCell ref="D6241:G6241"/>
    <mergeCell ref="B6242:G6242"/>
    <mergeCell ref="D6209:G6209"/>
    <mergeCell ref="D6210:G6210"/>
    <mergeCell ref="D6211:G6211"/>
    <mergeCell ref="D6212:G6212"/>
    <mergeCell ref="D6213:G6213"/>
    <mergeCell ref="D6214:G6214"/>
    <mergeCell ref="B6215:G6215"/>
    <mergeCell ref="D6216:G6216"/>
    <mergeCell ref="D6217:G6217"/>
    <mergeCell ref="D6218:G6218"/>
    <mergeCell ref="D6219:G6219"/>
    <mergeCell ref="D6220:G6220"/>
    <mergeCell ref="B6221:G6221"/>
    <mergeCell ref="D6222:G6222"/>
    <mergeCell ref="D6223:G6223"/>
    <mergeCell ref="D6224:G6224"/>
    <mergeCell ref="D6225:G6225"/>
    <mergeCell ref="D6192:G6192"/>
    <mergeCell ref="D6193:G6193"/>
    <mergeCell ref="D6194:G6194"/>
    <mergeCell ref="D6195:G6195"/>
    <mergeCell ref="D6196:G6196"/>
    <mergeCell ref="D6197:G6197"/>
    <mergeCell ref="D6198:G6198"/>
    <mergeCell ref="D6199:G6199"/>
    <mergeCell ref="D6200:G6200"/>
    <mergeCell ref="D6201:G6201"/>
    <mergeCell ref="D6202:G6202"/>
    <mergeCell ref="D6203:G6203"/>
    <mergeCell ref="D6204:G6204"/>
    <mergeCell ref="D6205:G6205"/>
    <mergeCell ref="D6206:G6206"/>
    <mergeCell ref="D6207:G6207"/>
    <mergeCell ref="D6208:G6208"/>
    <mergeCell ref="D6175:G6175"/>
    <mergeCell ref="D6176:G6176"/>
    <mergeCell ref="D6177:G6177"/>
    <mergeCell ref="B6178:G6178"/>
    <mergeCell ref="D6179:G6179"/>
    <mergeCell ref="D6180:G6180"/>
    <mergeCell ref="D6181:G6181"/>
    <mergeCell ref="D6182:G6182"/>
    <mergeCell ref="D6183:G6183"/>
    <mergeCell ref="D6184:G6184"/>
    <mergeCell ref="D6185:G6185"/>
    <mergeCell ref="D6186:G6186"/>
    <mergeCell ref="D6187:G6187"/>
    <mergeCell ref="D6188:G6188"/>
    <mergeCell ref="D6189:G6189"/>
    <mergeCell ref="D6190:G6190"/>
    <mergeCell ref="D6191:G6191"/>
    <mergeCell ref="D6158:G6158"/>
    <mergeCell ref="D6159:G6159"/>
    <mergeCell ref="D6160:G6160"/>
    <mergeCell ref="D6161:G6161"/>
    <mergeCell ref="D6162:G6162"/>
    <mergeCell ref="D6163:G6163"/>
    <mergeCell ref="B6164:G6164"/>
    <mergeCell ref="D6165:G6165"/>
    <mergeCell ref="B6166:G6166"/>
    <mergeCell ref="D6167:G6167"/>
    <mergeCell ref="D6168:G6168"/>
    <mergeCell ref="D6169:G6169"/>
    <mergeCell ref="B6170:G6170"/>
    <mergeCell ref="D6171:G6171"/>
    <mergeCell ref="B6172:G6172"/>
    <mergeCell ref="B6173:G6173"/>
    <mergeCell ref="D6174:G6174"/>
    <mergeCell ref="D6141:G6141"/>
    <mergeCell ref="D6142:G6142"/>
    <mergeCell ref="D6143:G6143"/>
    <mergeCell ref="D6144:G6144"/>
    <mergeCell ref="D6145:G6145"/>
    <mergeCell ref="D6146:G6146"/>
    <mergeCell ref="D6147:G6147"/>
    <mergeCell ref="D6148:G6148"/>
    <mergeCell ref="D6149:G6149"/>
    <mergeCell ref="D6150:G6150"/>
    <mergeCell ref="D6151:G6151"/>
    <mergeCell ref="D6152:G6152"/>
    <mergeCell ref="D6153:G6153"/>
    <mergeCell ref="D6154:G6154"/>
    <mergeCell ref="D6155:G6155"/>
    <mergeCell ref="D6156:G6156"/>
    <mergeCell ref="D6157:G6157"/>
    <mergeCell ref="D6124:G6124"/>
    <mergeCell ref="D6125:G6125"/>
    <mergeCell ref="D6126:G6126"/>
    <mergeCell ref="D6127:G6127"/>
    <mergeCell ref="B6128:G6128"/>
    <mergeCell ref="D6129:G6129"/>
    <mergeCell ref="D6130:G6130"/>
    <mergeCell ref="D6131:G6131"/>
    <mergeCell ref="D6132:G6132"/>
    <mergeCell ref="D6133:G6133"/>
    <mergeCell ref="D6134:G6134"/>
    <mergeCell ref="D6135:G6135"/>
    <mergeCell ref="D6136:G6136"/>
    <mergeCell ref="D6137:G6137"/>
    <mergeCell ref="D6138:G6138"/>
    <mergeCell ref="D6139:G6139"/>
    <mergeCell ref="D6140:G6140"/>
    <mergeCell ref="B6107:G6107"/>
    <mergeCell ref="D6108:G6108"/>
    <mergeCell ref="D6109:G6109"/>
    <mergeCell ref="B6110:G6110"/>
    <mergeCell ref="D6111:G6111"/>
    <mergeCell ref="D6112:G6112"/>
    <mergeCell ref="B6113:G6113"/>
    <mergeCell ref="B6114:G6114"/>
    <mergeCell ref="B6115:G6115"/>
    <mergeCell ref="D6116:G6116"/>
    <mergeCell ref="D6117:G6117"/>
    <mergeCell ref="D6118:G6118"/>
    <mergeCell ref="D6119:G6119"/>
    <mergeCell ref="D6120:G6120"/>
    <mergeCell ref="D6121:G6121"/>
    <mergeCell ref="D6122:G6122"/>
    <mergeCell ref="D6123:G6123"/>
    <mergeCell ref="D6090:G6090"/>
    <mergeCell ref="D6091:G6091"/>
    <mergeCell ref="D6092:G6092"/>
    <mergeCell ref="D6093:G6093"/>
    <mergeCell ref="D6094:G6094"/>
    <mergeCell ref="D6095:G6095"/>
    <mergeCell ref="D6096:G6096"/>
    <mergeCell ref="D6097:G6097"/>
    <mergeCell ref="B6098:G6098"/>
    <mergeCell ref="B6099:G6099"/>
    <mergeCell ref="D6100:G6100"/>
    <mergeCell ref="D6101:G6101"/>
    <mergeCell ref="D6102:G6102"/>
    <mergeCell ref="D6103:G6103"/>
    <mergeCell ref="D6104:G6104"/>
    <mergeCell ref="D6105:G6105"/>
    <mergeCell ref="D6106:G6106"/>
    <mergeCell ref="D6073:G6073"/>
    <mergeCell ref="D6074:G6074"/>
    <mergeCell ref="D6075:G6075"/>
    <mergeCell ref="D6076:G6076"/>
    <mergeCell ref="D6077:G6077"/>
    <mergeCell ref="D6078:G6078"/>
    <mergeCell ref="B6079:G6079"/>
    <mergeCell ref="B6080:G6080"/>
    <mergeCell ref="B6081:G6081"/>
    <mergeCell ref="B6082:G6082"/>
    <mergeCell ref="D6083:G6083"/>
    <mergeCell ref="B6084:G6084"/>
    <mergeCell ref="D6085:G6085"/>
    <mergeCell ref="D6086:G6086"/>
    <mergeCell ref="D6087:G6087"/>
    <mergeCell ref="B6088:G6088"/>
    <mergeCell ref="B6089:G6089"/>
    <mergeCell ref="D6056:G6056"/>
    <mergeCell ref="D6057:G6057"/>
    <mergeCell ref="D6058:G6058"/>
    <mergeCell ref="D6059:G6059"/>
    <mergeCell ref="D6060:G6060"/>
    <mergeCell ref="B6061:G6061"/>
    <mergeCell ref="D6062:G6062"/>
    <mergeCell ref="B6063:G6063"/>
    <mergeCell ref="D6064:G6064"/>
    <mergeCell ref="D6065:G6065"/>
    <mergeCell ref="D6066:G6066"/>
    <mergeCell ref="D6067:G6067"/>
    <mergeCell ref="D6068:G6068"/>
    <mergeCell ref="D6069:G6069"/>
    <mergeCell ref="D6070:G6070"/>
    <mergeCell ref="D6071:G6071"/>
    <mergeCell ref="D6072:G6072"/>
    <mergeCell ref="D6039:G6039"/>
    <mergeCell ref="D6040:G6040"/>
    <mergeCell ref="D6041:G6041"/>
    <mergeCell ref="D6042:G6042"/>
    <mergeCell ref="D6043:G6043"/>
    <mergeCell ref="D6044:G6044"/>
    <mergeCell ref="B6045:G6045"/>
    <mergeCell ref="B6046:G6046"/>
    <mergeCell ref="D6047:G6047"/>
    <mergeCell ref="D6048:G6048"/>
    <mergeCell ref="D6049:G6049"/>
    <mergeCell ref="D6050:G6050"/>
    <mergeCell ref="D6051:G6051"/>
    <mergeCell ref="D6052:G6052"/>
    <mergeCell ref="D6053:G6053"/>
    <mergeCell ref="D6054:G6054"/>
    <mergeCell ref="D6055:G6055"/>
    <mergeCell ref="D6022:G6022"/>
    <mergeCell ref="B6023:G6023"/>
    <mergeCell ref="D6024:G6024"/>
    <mergeCell ref="D6025:G6025"/>
    <mergeCell ref="D6026:G6026"/>
    <mergeCell ref="D6027:G6027"/>
    <mergeCell ref="D6028:G6028"/>
    <mergeCell ref="D6029:G6029"/>
    <mergeCell ref="D6030:G6030"/>
    <mergeCell ref="D6031:G6031"/>
    <mergeCell ref="D6032:G6032"/>
    <mergeCell ref="D6033:G6033"/>
    <mergeCell ref="D6034:G6034"/>
    <mergeCell ref="D6035:G6035"/>
    <mergeCell ref="D6036:G6036"/>
    <mergeCell ref="D6037:G6037"/>
    <mergeCell ref="D6038:G6038"/>
    <mergeCell ref="D6005:G6005"/>
    <mergeCell ref="D6006:G6006"/>
    <mergeCell ref="D6007:G6007"/>
    <mergeCell ref="D6008:G6008"/>
    <mergeCell ref="D6009:G6009"/>
    <mergeCell ref="D6010:G6010"/>
    <mergeCell ref="D6011:G6011"/>
    <mergeCell ref="D6012:G6012"/>
    <mergeCell ref="D6013:G6013"/>
    <mergeCell ref="D6014:G6014"/>
    <mergeCell ref="D6015:G6015"/>
    <mergeCell ref="D6016:G6016"/>
    <mergeCell ref="D6017:G6017"/>
    <mergeCell ref="D6018:G6018"/>
    <mergeCell ref="D6019:G6019"/>
    <mergeCell ref="D6020:G6020"/>
    <mergeCell ref="D6021:G6021"/>
    <mergeCell ref="D5988:G5988"/>
    <mergeCell ref="D5989:G5989"/>
    <mergeCell ref="D5990:G5990"/>
    <mergeCell ref="D5991:G5991"/>
    <mergeCell ref="D5992:G5992"/>
    <mergeCell ref="B5993:G5993"/>
    <mergeCell ref="D5994:G5994"/>
    <mergeCell ref="D5995:G5995"/>
    <mergeCell ref="D5996:G5996"/>
    <mergeCell ref="D5997:G5997"/>
    <mergeCell ref="D5998:G5998"/>
    <mergeCell ref="D5999:G5999"/>
    <mergeCell ref="D6000:G6000"/>
    <mergeCell ref="D6001:G6001"/>
    <mergeCell ref="D6002:G6002"/>
    <mergeCell ref="D6003:G6003"/>
    <mergeCell ref="D6004:G6004"/>
    <mergeCell ref="D5971:G5971"/>
    <mergeCell ref="D5972:G5972"/>
    <mergeCell ref="D5973:G5973"/>
    <mergeCell ref="D5974:G5974"/>
    <mergeCell ref="D5975:G5975"/>
    <mergeCell ref="D5976:G5976"/>
    <mergeCell ref="D5977:G5977"/>
    <mergeCell ref="D5978:G5978"/>
    <mergeCell ref="B5979:G5979"/>
    <mergeCell ref="D5980:G5980"/>
    <mergeCell ref="D5981:G5981"/>
    <mergeCell ref="D5982:G5982"/>
    <mergeCell ref="D5983:G5983"/>
    <mergeCell ref="D5984:G5984"/>
    <mergeCell ref="D5985:G5985"/>
    <mergeCell ref="D5986:G5986"/>
    <mergeCell ref="D5987:G5987"/>
    <mergeCell ref="D5954:G5954"/>
    <mergeCell ref="D5955:G5955"/>
    <mergeCell ref="D5956:G5956"/>
    <mergeCell ref="D5957:G5957"/>
    <mergeCell ref="D5958:G5958"/>
    <mergeCell ref="D5959:G5959"/>
    <mergeCell ref="D5960:G5960"/>
    <mergeCell ref="B5961:G5961"/>
    <mergeCell ref="B5962:G5962"/>
    <mergeCell ref="D5963:G5963"/>
    <mergeCell ref="D5964:G5964"/>
    <mergeCell ref="D5965:G5965"/>
    <mergeCell ref="D5966:G5966"/>
    <mergeCell ref="D5967:G5967"/>
    <mergeCell ref="D5968:G5968"/>
    <mergeCell ref="D5969:G5969"/>
    <mergeCell ref="D5970:G5970"/>
    <mergeCell ref="D5937:G5937"/>
    <mergeCell ref="B5938:G5938"/>
    <mergeCell ref="D5939:G5939"/>
    <mergeCell ref="D5940:G5940"/>
    <mergeCell ref="D5941:G5941"/>
    <mergeCell ref="D5942:G5942"/>
    <mergeCell ref="D5943:G5943"/>
    <mergeCell ref="D5944:G5944"/>
    <mergeCell ref="D5945:G5945"/>
    <mergeCell ref="D5946:G5946"/>
    <mergeCell ref="D5947:G5947"/>
    <mergeCell ref="D5948:G5948"/>
    <mergeCell ref="D5949:G5949"/>
    <mergeCell ref="D5950:G5950"/>
    <mergeCell ref="D5951:G5951"/>
    <mergeCell ref="D5952:G5952"/>
    <mergeCell ref="D5953:G5953"/>
    <mergeCell ref="D5920:G5920"/>
    <mergeCell ref="D5921:G5921"/>
    <mergeCell ref="D5922:G5922"/>
    <mergeCell ref="D5923:G5923"/>
    <mergeCell ref="D5924:G5924"/>
    <mergeCell ref="D5925:G5925"/>
    <mergeCell ref="D5926:G5926"/>
    <mergeCell ref="D5927:G5927"/>
    <mergeCell ref="D5928:G5928"/>
    <mergeCell ref="D5929:G5929"/>
    <mergeCell ref="D5930:G5930"/>
    <mergeCell ref="D5931:G5931"/>
    <mergeCell ref="D5932:G5932"/>
    <mergeCell ref="D5933:G5933"/>
    <mergeCell ref="D5934:G5934"/>
    <mergeCell ref="D5935:G5935"/>
    <mergeCell ref="D5936:G5936"/>
    <mergeCell ref="D5903:G5903"/>
    <mergeCell ref="D5904:G5904"/>
    <mergeCell ref="D5905:G5905"/>
    <mergeCell ref="D5906:G5906"/>
    <mergeCell ref="D5907:G5907"/>
    <mergeCell ref="D5908:G5908"/>
    <mergeCell ref="D5909:G5909"/>
    <mergeCell ref="B5910:G5910"/>
    <mergeCell ref="D5911:G5911"/>
    <mergeCell ref="D5912:G5912"/>
    <mergeCell ref="D5913:G5913"/>
    <mergeCell ref="D5914:G5914"/>
    <mergeCell ref="D5915:G5915"/>
    <mergeCell ref="D5916:G5916"/>
    <mergeCell ref="D5917:G5917"/>
    <mergeCell ref="D5918:G5918"/>
    <mergeCell ref="D5919:G5919"/>
    <mergeCell ref="D5886:G5886"/>
    <mergeCell ref="D5887:G5887"/>
    <mergeCell ref="D5888:G5888"/>
    <mergeCell ref="D5889:G5889"/>
    <mergeCell ref="D5890:G5890"/>
    <mergeCell ref="D5891:G5891"/>
    <mergeCell ref="D5892:G5892"/>
    <mergeCell ref="D5893:G5893"/>
    <mergeCell ref="D5894:G5894"/>
    <mergeCell ref="D5895:G5895"/>
    <mergeCell ref="D5896:G5896"/>
    <mergeCell ref="D5897:G5897"/>
    <mergeCell ref="D5898:G5898"/>
    <mergeCell ref="D5899:G5899"/>
    <mergeCell ref="D5900:G5900"/>
    <mergeCell ref="D5901:G5901"/>
    <mergeCell ref="D5902:G5902"/>
    <mergeCell ref="D5869:G5869"/>
    <mergeCell ref="D5870:G5870"/>
    <mergeCell ref="D5871:G5871"/>
    <mergeCell ref="D5872:G5872"/>
    <mergeCell ref="D5873:G5873"/>
    <mergeCell ref="B5874:G5874"/>
    <mergeCell ref="D5875:G5875"/>
    <mergeCell ref="D5876:G5876"/>
    <mergeCell ref="D5877:G5877"/>
    <mergeCell ref="D5878:G5878"/>
    <mergeCell ref="D5879:G5879"/>
    <mergeCell ref="D5880:G5880"/>
    <mergeCell ref="D5881:G5881"/>
    <mergeCell ref="D5882:G5882"/>
    <mergeCell ref="D5883:G5883"/>
    <mergeCell ref="D5884:G5884"/>
    <mergeCell ref="B5885:G5885"/>
    <mergeCell ref="D5852:G5852"/>
    <mergeCell ref="D5853:G5853"/>
    <mergeCell ref="D5854:G5854"/>
    <mergeCell ref="D5855:G5855"/>
    <mergeCell ref="D5856:G5856"/>
    <mergeCell ref="D5857:G5857"/>
    <mergeCell ref="D5858:G5858"/>
    <mergeCell ref="D5859:G5859"/>
    <mergeCell ref="D5860:G5860"/>
    <mergeCell ref="D5861:G5861"/>
    <mergeCell ref="D5862:G5862"/>
    <mergeCell ref="D5863:G5863"/>
    <mergeCell ref="D5864:G5864"/>
    <mergeCell ref="B5865:G5865"/>
    <mergeCell ref="B5866:G5866"/>
    <mergeCell ref="D5867:G5867"/>
    <mergeCell ref="D5868:G5868"/>
    <mergeCell ref="D5835:G5835"/>
    <mergeCell ref="D5836:G5836"/>
    <mergeCell ref="D5837:G5837"/>
    <mergeCell ref="D5838:G5838"/>
    <mergeCell ref="D5839:G5839"/>
    <mergeCell ref="D5840:G5840"/>
    <mergeCell ref="D5841:G5841"/>
    <mergeCell ref="D5842:G5842"/>
    <mergeCell ref="D5843:G5843"/>
    <mergeCell ref="D5844:G5844"/>
    <mergeCell ref="D5845:G5845"/>
    <mergeCell ref="D5846:G5846"/>
    <mergeCell ref="D5847:G5847"/>
    <mergeCell ref="B5848:G5848"/>
    <mergeCell ref="D5849:G5849"/>
    <mergeCell ref="D5850:G5850"/>
    <mergeCell ref="D5851:G5851"/>
    <mergeCell ref="D5818:G5818"/>
    <mergeCell ref="D5819:G5819"/>
    <mergeCell ref="D5820:G5820"/>
    <mergeCell ref="D5821:G5821"/>
    <mergeCell ref="D5822:G5822"/>
    <mergeCell ref="D5823:G5823"/>
    <mergeCell ref="D5824:G5824"/>
    <mergeCell ref="D5825:G5825"/>
    <mergeCell ref="D5826:G5826"/>
    <mergeCell ref="D5827:G5827"/>
    <mergeCell ref="D5828:G5828"/>
    <mergeCell ref="D5829:G5829"/>
    <mergeCell ref="D5830:G5830"/>
    <mergeCell ref="B5831:G5831"/>
    <mergeCell ref="D5832:G5832"/>
    <mergeCell ref="D5833:G5833"/>
    <mergeCell ref="D5834:G5834"/>
    <mergeCell ref="D5801:G5801"/>
    <mergeCell ref="D5802:G5802"/>
    <mergeCell ref="B5803:G5803"/>
    <mergeCell ref="D5804:G5804"/>
    <mergeCell ref="D5805:G5805"/>
    <mergeCell ref="D5806:G5806"/>
    <mergeCell ref="D5807:G5807"/>
    <mergeCell ref="D5808:G5808"/>
    <mergeCell ref="D5809:G5809"/>
    <mergeCell ref="D5810:G5810"/>
    <mergeCell ref="D5811:G5811"/>
    <mergeCell ref="B5812:G5812"/>
    <mergeCell ref="D5813:G5813"/>
    <mergeCell ref="D5814:G5814"/>
    <mergeCell ref="D5815:G5815"/>
    <mergeCell ref="D5816:G5816"/>
    <mergeCell ref="D5817:G5817"/>
    <mergeCell ref="D5784:G5784"/>
    <mergeCell ref="D5785:G5785"/>
    <mergeCell ref="D5786:G5786"/>
    <mergeCell ref="D5787:G5787"/>
    <mergeCell ref="D5788:G5788"/>
    <mergeCell ref="D5789:G5789"/>
    <mergeCell ref="D5790:G5790"/>
    <mergeCell ref="D5791:G5791"/>
    <mergeCell ref="D5792:G5792"/>
    <mergeCell ref="D5793:G5793"/>
    <mergeCell ref="D5794:G5794"/>
    <mergeCell ref="D5795:G5795"/>
    <mergeCell ref="D5796:G5796"/>
    <mergeCell ref="D5797:G5797"/>
    <mergeCell ref="D5798:G5798"/>
    <mergeCell ref="D5799:G5799"/>
    <mergeCell ref="D5800:G5800"/>
    <mergeCell ref="D5767:G5767"/>
    <mergeCell ref="D5768:G5768"/>
    <mergeCell ref="D5769:G5769"/>
    <mergeCell ref="D5770:G5770"/>
    <mergeCell ref="D5771:G5771"/>
    <mergeCell ref="D5772:G5772"/>
    <mergeCell ref="D5773:G5773"/>
    <mergeCell ref="D5774:G5774"/>
    <mergeCell ref="D5775:G5775"/>
    <mergeCell ref="D5776:G5776"/>
    <mergeCell ref="D5777:G5777"/>
    <mergeCell ref="D5778:G5778"/>
    <mergeCell ref="D5779:G5779"/>
    <mergeCell ref="D5780:G5780"/>
    <mergeCell ref="D5781:G5781"/>
    <mergeCell ref="D5782:G5782"/>
    <mergeCell ref="D5783:G5783"/>
    <mergeCell ref="D5750:G5750"/>
    <mergeCell ref="D5751:G5751"/>
    <mergeCell ref="D5752:G5752"/>
    <mergeCell ref="D5753:G5753"/>
    <mergeCell ref="D5754:G5754"/>
    <mergeCell ref="B5755:G5755"/>
    <mergeCell ref="B5756:G5756"/>
    <mergeCell ref="D5757:G5757"/>
    <mergeCell ref="B5758:G5758"/>
    <mergeCell ref="D5759:G5759"/>
    <mergeCell ref="D5760:G5760"/>
    <mergeCell ref="D5761:G5761"/>
    <mergeCell ref="D5762:G5762"/>
    <mergeCell ref="D5763:G5763"/>
    <mergeCell ref="D5764:G5764"/>
    <mergeCell ref="D5765:G5765"/>
    <mergeCell ref="D5766:G5766"/>
    <mergeCell ref="B5733:G5733"/>
    <mergeCell ref="D5734:G5734"/>
    <mergeCell ref="D5735:G5735"/>
    <mergeCell ref="D5736:G5736"/>
    <mergeCell ref="D5737:G5737"/>
    <mergeCell ref="D5738:G5738"/>
    <mergeCell ref="D5739:G5739"/>
    <mergeCell ref="D5740:G5740"/>
    <mergeCell ref="B5741:G5741"/>
    <mergeCell ref="D5742:G5742"/>
    <mergeCell ref="D5743:G5743"/>
    <mergeCell ref="D5744:G5744"/>
    <mergeCell ref="D5745:G5745"/>
    <mergeCell ref="D5746:G5746"/>
    <mergeCell ref="D5747:G5747"/>
    <mergeCell ref="D5748:G5748"/>
    <mergeCell ref="D5749:G5749"/>
    <mergeCell ref="B5716:G5716"/>
    <mergeCell ref="D5717:G5717"/>
    <mergeCell ref="D5718:G5718"/>
    <mergeCell ref="D5719:G5719"/>
    <mergeCell ref="B5720:G5720"/>
    <mergeCell ref="B5721:G5721"/>
    <mergeCell ref="B5722:G5722"/>
    <mergeCell ref="B5723:G5723"/>
    <mergeCell ref="D5724:G5724"/>
    <mergeCell ref="B5725:G5725"/>
    <mergeCell ref="B5726:G5726"/>
    <mergeCell ref="D5727:G5727"/>
    <mergeCell ref="D5728:G5728"/>
    <mergeCell ref="B5729:G5729"/>
    <mergeCell ref="D5730:G5730"/>
    <mergeCell ref="D5731:G5731"/>
    <mergeCell ref="B5732:G5732"/>
    <mergeCell ref="D5699:G5699"/>
    <mergeCell ref="D5700:G5700"/>
    <mergeCell ref="D5701:G5701"/>
    <mergeCell ref="D5702:G5702"/>
    <mergeCell ref="B5703:G5703"/>
    <mergeCell ref="D5704:G5704"/>
    <mergeCell ref="D5705:G5705"/>
    <mergeCell ref="D5706:G5706"/>
    <mergeCell ref="D5707:G5707"/>
    <mergeCell ref="D5708:G5708"/>
    <mergeCell ref="D5709:G5709"/>
    <mergeCell ref="D5710:G5710"/>
    <mergeCell ref="D5711:G5711"/>
    <mergeCell ref="D5712:G5712"/>
    <mergeCell ref="B5713:G5713"/>
    <mergeCell ref="B5714:G5714"/>
    <mergeCell ref="D5715:G5715"/>
    <mergeCell ref="D5682:G5682"/>
    <mergeCell ref="B5683:G5683"/>
    <mergeCell ref="B5684:G5684"/>
    <mergeCell ref="D5685:G5685"/>
    <mergeCell ref="D5686:G5686"/>
    <mergeCell ref="D5687:G5687"/>
    <mergeCell ref="B5688:G5688"/>
    <mergeCell ref="D5689:G5689"/>
    <mergeCell ref="B5690:G5690"/>
    <mergeCell ref="D5691:G5691"/>
    <mergeCell ref="D5692:G5692"/>
    <mergeCell ref="D5693:G5693"/>
    <mergeCell ref="D5694:G5694"/>
    <mergeCell ref="B5695:G5695"/>
    <mergeCell ref="B5696:G5696"/>
    <mergeCell ref="D5697:G5697"/>
    <mergeCell ref="D5698:G5698"/>
    <mergeCell ref="D5665:G5665"/>
    <mergeCell ref="D5666:G5666"/>
    <mergeCell ref="D5667:G5667"/>
    <mergeCell ref="D5668:G5668"/>
    <mergeCell ref="D5669:G5669"/>
    <mergeCell ref="D5670:G5670"/>
    <mergeCell ref="B5671:G5671"/>
    <mergeCell ref="D5672:G5672"/>
    <mergeCell ref="D5673:G5673"/>
    <mergeCell ref="D5674:G5674"/>
    <mergeCell ref="D5675:G5675"/>
    <mergeCell ref="D5676:G5676"/>
    <mergeCell ref="D5677:G5677"/>
    <mergeCell ref="D5678:G5678"/>
    <mergeCell ref="D5679:G5679"/>
    <mergeCell ref="D5680:G5680"/>
    <mergeCell ref="D5681:G5681"/>
    <mergeCell ref="D5648:G5648"/>
    <mergeCell ref="D5649:G5649"/>
    <mergeCell ref="B5650:G5650"/>
    <mergeCell ref="D5651:G5651"/>
    <mergeCell ref="D5652:G5652"/>
    <mergeCell ref="D5653:G5653"/>
    <mergeCell ref="D5654:G5654"/>
    <mergeCell ref="B5655:G5655"/>
    <mergeCell ref="B5656:G5656"/>
    <mergeCell ref="B5657:G5657"/>
    <mergeCell ref="D5658:G5658"/>
    <mergeCell ref="D5659:G5659"/>
    <mergeCell ref="D5660:G5660"/>
    <mergeCell ref="D5661:G5661"/>
    <mergeCell ref="D5662:G5662"/>
    <mergeCell ref="B5663:G5663"/>
    <mergeCell ref="B5664:G5664"/>
    <mergeCell ref="D5631:G5631"/>
    <mergeCell ref="B5632:G5632"/>
    <mergeCell ref="B5633:G5633"/>
    <mergeCell ref="D5634:G5634"/>
    <mergeCell ref="B5635:G5635"/>
    <mergeCell ref="D5636:G5636"/>
    <mergeCell ref="B5637:G5637"/>
    <mergeCell ref="D5638:G5638"/>
    <mergeCell ref="D5639:G5639"/>
    <mergeCell ref="B5640:G5640"/>
    <mergeCell ref="D5641:G5641"/>
    <mergeCell ref="D5642:G5642"/>
    <mergeCell ref="D5643:G5643"/>
    <mergeCell ref="D5644:G5644"/>
    <mergeCell ref="D5645:G5645"/>
    <mergeCell ref="D5646:G5646"/>
    <mergeCell ref="B5647:G5647"/>
    <mergeCell ref="D5614:G5614"/>
    <mergeCell ref="D5615:G5615"/>
    <mergeCell ref="D5616:G5616"/>
    <mergeCell ref="D5617:G5617"/>
    <mergeCell ref="D5618:G5618"/>
    <mergeCell ref="D5619:G5619"/>
    <mergeCell ref="B5620:G5620"/>
    <mergeCell ref="D5621:G5621"/>
    <mergeCell ref="D5622:G5622"/>
    <mergeCell ref="D5623:G5623"/>
    <mergeCell ref="B5624:G5624"/>
    <mergeCell ref="D5625:G5625"/>
    <mergeCell ref="D5626:G5626"/>
    <mergeCell ref="D5627:G5627"/>
    <mergeCell ref="B5628:G5628"/>
    <mergeCell ref="B5629:G5629"/>
    <mergeCell ref="D5630:G5630"/>
    <mergeCell ref="D5597:G5597"/>
    <mergeCell ref="D5598:G5598"/>
    <mergeCell ref="D5599:G5599"/>
    <mergeCell ref="B5600:G5600"/>
    <mergeCell ref="D5601:G5601"/>
    <mergeCell ref="D5602:G5602"/>
    <mergeCell ref="D5603:G5603"/>
    <mergeCell ref="D5604:G5604"/>
    <mergeCell ref="B5605:G5605"/>
    <mergeCell ref="B5606:G5606"/>
    <mergeCell ref="D5607:G5607"/>
    <mergeCell ref="D5608:G5608"/>
    <mergeCell ref="D5609:G5609"/>
    <mergeCell ref="B5610:G5610"/>
    <mergeCell ref="D5611:G5611"/>
    <mergeCell ref="D5612:G5612"/>
    <mergeCell ref="B5613:G5613"/>
    <mergeCell ref="D5580:G5580"/>
    <mergeCell ref="D5581:G5581"/>
    <mergeCell ref="D5582:G5582"/>
    <mergeCell ref="D5583:G5583"/>
    <mergeCell ref="B5584:G5584"/>
    <mergeCell ref="D5585:G5585"/>
    <mergeCell ref="D5586:G5586"/>
    <mergeCell ref="D5587:G5587"/>
    <mergeCell ref="B5588:G5588"/>
    <mergeCell ref="D5589:G5589"/>
    <mergeCell ref="D5590:G5590"/>
    <mergeCell ref="D5591:G5591"/>
    <mergeCell ref="D5592:G5592"/>
    <mergeCell ref="D5593:G5593"/>
    <mergeCell ref="B5594:G5594"/>
    <mergeCell ref="B5595:G5595"/>
    <mergeCell ref="D5596:G5596"/>
    <mergeCell ref="D5563:G5563"/>
    <mergeCell ref="B5564:G5564"/>
    <mergeCell ref="D5565:G5565"/>
    <mergeCell ref="B5566:G5566"/>
    <mergeCell ref="D5567:G5567"/>
    <mergeCell ref="B5568:G5568"/>
    <mergeCell ref="B5569:G5569"/>
    <mergeCell ref="D5570:G5570"/>
    <mergeCell ref="D5571:G5571"/>
    <mergeCell ref="D5572:G5572"/>
    <mergeCell ref="D5573:G5573"/>
    <mergeCell ref="D5574:G5574"/>
    <mergeCell ref="D5575:G5575"/>
    <mergeCell ref="D5576:G5576"/>
    <mergeCell ref="D5577:G5577"/>
    <mergeCell ref="B5578:G5578"/>
    <mergeCell ref="D5579:G5579"/>
    <mergeCell ref="B5546:G5546"/>
    <mergeCell ref="D5547:G5547"/>
    <mergeCell ref="D5548:G5548"/>
    <mergeCell ref="D5549:G5549"/>
    <mergeCell ref="D5550:G5550"/>
    <mergeCell ref="B5551:G5551"/>
    <mergeCell ref="D5552:G5552"/>
    <mergeCell ref="D5553:G5553"/>
    <mergeCell ref="D5554:G5554"/>
    <mergeCell ref="B5555:G5555"/>
    <mergeCell ref="B5556:G5556"/>
    <mergeCell ref="B5557:G5557"/>
    <mergeCell ref="B5558:G5558"/>
    <mergeCell ref="B5559:G5559"/>
    <mergeCell ref="D5560:G5560"/>
    <mergeCell ref="D5561:G5561"/>
    <mergeCell ref="D5562:G5562"/>
    <mergeCell ref="D5529:G5529"/>
    <mergeCell ref="D5530:G5530"/>
    <mergeCell ref="B5531:G5531"/>
    <mergeCell ref="D5532:G5532"/>
    <mergeCell ref="D5533:G5533"/>
    <mergeCell ref="B5534:G5534"/>
    <mergeCell ref="D5535:G5535"/>
    <mergeCell ref="D5536:G5536"/>
    <mergeCell ref="D5537:G5537"/>
    <mergeCell ref="D5538:G5538"/>
    <mergeCell ref="D5539:G5539"/>
    <mergeCell ref="D5540:G5540"/>
    <mergeCell ref="D5541:G5541"/>
    <mergeCell ref="D5542:G5542"/>
    <mergeCell ref="D5543:G5543"/>
    <mergeCell ref="D5544:G5544"/>
    <mergeCell ref="D5545:G5545"/>
    <mergeCell ref="D5512:G5512"/>
    <mergeCell ref="D5513:G5513"/>
    <mergeCell ref="D5514:G5514"/>
    <mergeCell ref="D5515:G5515"/>
    <mergeCell ref="D5516:G5516"/>
    <mergeCell ref="D5517:G5517"/>
    <mergeCell ref="D5518:G5518"/>
    <mergeCell ref="D5519:G5519"/>
    <mergeCell ref="D5520:G5520"/>
    <mergeCell ref="B5521:G5521"/>
    <mergeCell ref="B5522:G5522"/>
    <mergeCell ref="B5523:G5523"/>
    <mergeCell ref="D5524:G5524"/>
    <mergeCell ref="D5525:G5525"/>
    <mergeCell ref="D5526:G5526"/>
    <mergeCell ref="D5527:G5527"/>
    <mergeCell ref="D5528:G5528"/>
    <mergeCell ref="B5495:G5495"/>
    <mergeCell ref="D5496:G5496"/>
    <mergeCell ref="D5497:G5497"/>
    <mergeCell ref="D5498:G5498"/>
    <mergeCell ref="B5499:G5499"/>
    <mergeCell ref="D5500:G5500"/>
    <mergeCell ref="D5501:G5501"/>
    <mergeCell ref="D5502:G5502"/>
    <mergeCell ref="D5503:G5503"/>
    <mergeCell ref="D5504:G5504"/>
    <mergeCell ref="D5505:G5505"/>
    <mergeCell ref="D5506:G5506"/>
    <mergeCell ref="D5507:G5507"/>
    <mergeCell ref="B5508:G5508"/>
    <mergeCell ref="B5509:G5509"/>
    <mergeCell ref="D5510:G5510"/>
    <mergeCell ref="D5511:G5511"/>
    <mergeCell ref="D5478:G5478"/>
    <mergeCell ref="D5479:G5479"/>
    <mergeCell ref="D5480:G5480"/>
    <mergeCell ref="D5481:G5481"/>
    <mergeCell ref="D5482:G5482"/>
    <mergeCell ref="B5483:G5483"/>
    <mergeCell ref="D5484:G5484"/>
    <mergeCell ref="D5485:G5485"/>
    <mergeCell ref="B5486:G5486"/>
    <mergeCell ref="D5487:G5487"/>
    <mergeCell ref="B5488:G5488"/>
    <mergeCell ref="B5489:G5489"/>
    <mergeCell ref="B5490:G5490"/>
    <mergeCell ref="D5491:G5491"/>
    <mergeCell ref="B5492:G5492"/>
    <mergeCell ref="D5493:G5493"/>
    <mergeCell ref="D5494:G5494"/>
    <mergeCell ref="D5461:G5461"/>
    <mergeCell ref="D5462:G5462"/>
    <mergeCell ref="D5463:G5463"/>
    <mergeCell ref="D5464:G5464"/>
    <mergeCell ref="D5465:G5465"/>
    <mergeCell ref="D5466:G5466"/>
    <mergeCell ref="D5467:G5467"/>
    <mergeCell ref="D5468:G5468"/>
    <mergeCell ref="D5469:G5469"/>
    <mergeCell ref="D5470:G5470"/>
    <mergeCell ref="D5471:G5471"/>
    <mergeCell ref="D5472:G5472"/>
    <mergeCell ref="D5473:G5473"/>
    <mergeCell ref="D5474:G5474"/>
    <mergeCell ref="D5475:G5475"/>
    <mergeCell ref="B5476:G5476"/>
    <mergeCell ref="D5477:G5477"/>
    <mergeCell ref="D5444:G5444"/>
    <mergeCell ref="D5445:G5445"/>
    <mergeCell ref="D5446:G5446"/>
    <mergeCell ref="D5447:G5447"/>
    <mergeCell ref="D5448:G5448"/>
    <mergeCell ref="D5449:G5449"/>
    <mergeCell ref="D5450:G5450"/>
    <mergeCell ref="D5451:G5451"/>
    <mergeCell ref="D5452:G5452"/>
    <mergeCell ref="D5453:G5453"/>
    <mergeCell ref="D5454:G5454"/>
    <mergeCell ref="D5455:G5455"/>
    <mergeCell ref="D5456:G5456"/>
    <mergeCell ref="D5457:G5457"/>
    <mergeCell ref="B5458:G5458"/>
    <mergeCell ref="D5459:G5459"/>
    <mergeCell ref="D5460:G5460"/>
    <mergeCell ref="B5427:G5427"/>
    <mergeCell ref="D5428:G5428"/>
    <mergeCell ref="D5429:G5429"/>
    <mergeCell ref="D5430:G5430"/>
    <mergeCell ref="B5431:G5431"/>
    <mergeCell ref="D5432:G5432"/>
    <mergeCell ref="D5433:G5433"/>
    <mergeCell ref="D5434:G5434"/>
    <mergeCell ref="D5435:G5435"/>
    <mergeCell ref="D5436:G5436"/>
    <mergeCell ref="D5437:G5437"/>
    <mergeCell ref="D5438:G5438"/>
    <mergeCell ref="D5439:G5439"/>
    <mergeCell ref="B5440:G5440"/>
    <mergeCell ref="D5441:G5441"/>
    <mergeCell ref="D5442:G5442"/>
    <mergeCell ref="D5443:G5443"/>
    <mergeCell ref="D5410:G5410"/>
    <mergeCell ref="D5411:G5411"/>
    <mergeCell ref="D5412:G5412"/>
    <mergeCell ref="D5413:G5413"/>
    <mergeCell ref="D5414:G5414"/>
    <mergeCell ref="D5415:G5415"/>
    <mergeCell ref="B5416:G5416"/>
    <mergeCell ref="D5417:G5417"/>
    <mergeCell ref="B5418:G5418"/>
    <mergeCell ref="D5419:G5419"/>
    <mergeCell ref="B5420:G5420"/>
    <mergeCell ref="D5421:G5421"/>
    <mergeCell ref="D5422:G5422"/>
    <mergeCell ref="D5423:G5423"/>
    <mergeCell ref="D5424:G5424"/>
    <mergeCell ref="D5425:G5425"/>
    <mergeCell ref="B5426:G5426"/>
    <mergeCell ref="D5393:G5393"/>
    <mergeCell ref="D5394:G5394"/>
    <mergeCell ref="D5395:G5395"/>
    <mergeCell ref="B5396:G5396"/>
    <mergeCell ref="D5397:G5397"/>
    <mergeCell ref="B5398:G5398"/>
    <mergeCell ref="D5399:G5399"/>
    <mergeCell ref="D5400:G5400"/>
    <mergeCell ref="B5401:G5401"/>
    <mergeCell ref="D5402:G5402"/>
    <mergeCell ref="D5403:G5403"/>
    <mergeCell ref="D5404:G5404"/>
    <mergeCell ref="D5405:G5405"/>
    <mergeCell ref="D5406:G5406"/>
    <mergeCell ref="B5407:G5407"/>
    <mergeCell ref="D5408:G5408"/>
    <mergeCell ref="D5409:G5409"/>
    <mergeCell ref="D5376:G5376"/>
    <mergeCell ref="D5377:G5377"/>
    <mergeCell ref="D5378:G5378"/>
    <mergeCell ref="D5379:G5379"/>
    <mergeCell ref="D5380:G5380"/>
    <mergeCell ref="D5381:G5381"/>
    <mergeCell ref="D5382:G5382"/>
    <mergeCell ref="D5383:G5383"/>
    <mergeCell ref="D5384:G5384"/>
    <mergeCell ref="D5385:G5385"/>
    <mergeCell ref="D5386:G5386"/>
    <mergeCell ref="D5387:G5387"/>
    <mergeCell ref="B5388:G5388"/>
    <mergeCell ref="D5389:G5389"/>
    <mergeCell ref="D5390:G5390"/>
    <mergeCell ref="D5391:G5391"/>
    <mergeCell ref="D5392:G5392"/>
    <mergeCell ref="D5359:G5359"/>
    <mergeCell ref="D5360:G5360"/>
    <mergeCell ref="D5361:G5361"/>
    <mergeCell ref="B5362:G5362"/>
    <mergeCell ref="D5363:G5363"/>
    <mergeCell ref="D5364:G5364"/>
    <mergeCell ref="D5365:G5365"/>
    <mergeCell ref="D5366:G5366"/>
    <mergeCell ref="D5367:G5367"/>
    <mergeCell ref="D5368:G5368"/>
    <mergeCell ref="D5369:G5369"/>
    <mergeCell ref="D5370:G5370"/>
    <mergeCell ref="B5371:G5371"/>
    <mergeCell ref="B5372:G5372"/>
    <mergeCell ref="D5373:G5373"/>
    <mergeCell ref="D5374:G5374"/>
    <mergeCell ref="D5375:G5375"/>
    <mergeCell ref="D5342:G5342"/>
    <mergeCell ref="D5343:G5343"/>
    <mergeCell ref="D5344:G5344"/>
    <mergeCell ref="D5345:G5345"/>
    <mergeCell ref="D5346:G5346"/>
    <mergeCell ref="D5347:G5347"/>
    <mergeCell ref="D5348:G5348"/>
    <mergeCell ref="D5349:G5349"/>
    <mergeCell ref="D5350:G5350"/>
    <mergeCell ref="B5351:G5351"/>
    <mergeCell ref="D5352:G5352"/>
    <mergeCell ref="B5353:G5353"/>
    <mergeCell ref="B5354:G5354"/>
    <mergeCell ref="D5355:G5355"/>
    <mergeCell ref="D5356:G5356"/>
    <mergeCell ref="D5357:G5357"/>
    <mergeCell ref="D5358:G5358"/>
    <mergeCell ref="D5325:G5325"/>
    <mergeCell ref="D5326:G5326"/>
    <mergeCell ref="D5327:G5327"/>
    <mergeCell ref="D5328:G5328"/>
    <mergeCell ref="D5329:G5329"/>
    <mergeCell ref="B5330:G5330"/>
    <mergeCell ref="B5331:G5331"/>
    <mergeCell ref="D5332:G5332"/>
    <mergeCell ref="D5333:G5333"/>
    <mergeCell ref="D5334:G5334"/>
    <mergeCell ref="D5335:G5335"/>
    <mergeCell ref="D5336:G5336"/>
    <mergeCell ref="D5337:G5337"/>
    <mergeCell ref="D5338:G5338"/>
    <mergeCell ref="D5339:G5339"/>
    <mergeCell ref="B5340:G5340"/>
    <mergeCell ref="D5341:G5341"/>
    <mergeCell ref="D5308:G5308"/>
    <mergeCell ref="D5309:G5309"/>
    <mergeCell ref="D5310:G5310"/>
    <mergeCell ref="D5311:G5311"/>
    <mergeCell ref="D5312:G5312"/>
    <mergeCell ref="D5313:G5313"/>
    <mergeCell ref="D5314:G5314"/>
    <mergeCell ref="D5315:G5315"/>
    <mergeCell ref="D5316:G5316"/>
    <mergeCell ref="B5317:G5317"/>
    <mergeCell ref="D5318:G5318"/>
    <mergeCell ref="D5319:G5319"/>
    <mergeCell ref="D5320:G5320"/>
    <mergeCell ref="D5321:G5321"/>
    <mergeCell ref="B5322:G5322"/>
    <mergeCell ref="B5323:G5323"/>
    <mergeCell ref="D5324:G5324"/>
    <mergeCell ref="D5291:G5291"/>
    <mergeCell ref="D5292:G5292"/>
    <mergeCell ref="D5293:G5293"/>
    <mergeCell ref="D5294:G5294"/>
    <mergeCell ref="B5295:G5295"/>
    <mergeCell ref="D5296:G5296"/>
    <mergeCell ref="D5297:G5297"/>
    <mergeCell ref="D5298:G5298"/>
    <mergeCell ref="D5299:G5299"/>
    <mergeCell ref="D5300:G5300"/>
    <mergeCell ref="D5301:G5301"/>
    <mergeCell ref="D5302:G5302"/>
    <mergeCell ref="D5303:G5303"/>
    <mergeCell ref="D5304:G5304"/>
    <mergeCell ref="D5305:G5305"/>
    <mergeCell ref="D5306:G5306"/>
    <mergeCell ref="D5307:G5307"/>
    <mergeCell ref="D5274:G5274"/>
    <mergeCell ref="D5275:G5275"/>
    <mergeCell ref="D5276:G5276"/>
    <mergeCell ref="D5277:G5277"/>
    <mergeCell ref="D5278:G5278"/>
    <mergeCell ref="D5279:G5279"/>
    <mergeCell ref="D5280:G5280"/>
    <mergeCell ref="D5281:G5281"/>
    <mergeCell ref="D5282:G5282"/>
    <mergeCell ref="D5283:G5283"/>
    <mergeCell ref="D5284:G5284"/>
    <mergeCell ref="D5285:G5285"/>
    <mergeCell ref="D5286:G5286"/>
    <mergeCell ref="D5287:G5287"/>
    <mergeCell ref="D5288:G5288"/>
    <mergeCell ref="D5289:G5289"/>
    <mergeCell ref="D5290:G5290"/>
    <mergeCell ref="D5257:G5257"/>
    <mergeCell ref="D5258:G5258"/>
    <mergeCell ref="D5259:G5259"/>
    <mergeCell ref="D5260:G5260"/>
    <mergeCell ref="D5261:G5261"/>
    <mergeCell ref="D5262:G5262"/>
    <mergeCell ref="D5263:G5263"/>
    <mergeCell ref="D5264:G5264"/>
    <mergeCell ref="D5265:G5265"/>
    <mergeCell ref="D5266:G5266"/>
    <mergeCell ref="D5267:G5267"/>
    <mergeCell ref="D5268:G5268"/>
    <mergeCell ref="D5269:G5269"/>
    <mergeCell ref="D5270:G5270"/>
    <mergeCell ref="D5271:G5271"/>
    <mergeCell ref="D5272:G5272"/>
    <mergeCell ref="D5273:G5273"/>
    <mergeCell ref="D5240:G5240"/>
    <mergeCell ref="D5241:G5241"/>
    <mergeCell ref="D5242:G5242"/>
    <mergeCell ref="D5243:G5243"/>
    <mergeCell ref="D5244:G5244"/>
    <mergeCell ref="D5245:G5245"/>
    <mergeCell ref="D5246:G5246"/>
    <mergeCell ref="D5247:G5247"/>
    <mergeCell ref="D5248:G5248"/>
    <mergeCell ref="D5249:G5249"/>
    <mergeCell ref="D5250:G5250"/>
    <mergeCell ref="D5251:G5251"/>
    <mergeCell ref="D5252:G5252"/>
    <mergeCell ref="D5253:G5253"/>
    <mergeCell ref="D5254:G5254"/>
    <mergeCell ref="D5255:G5255"/>
    <mergeCell ref="D5256:G5256"/>
    <mergeCell ref="D5223:G5223"/>
    <mergeCell ref="D5224:G5224"/>
    <mergeCell ref="D5225:G5225"/>
    <mergeCell ref="D5226:G5226"/>
    <mergeCell ref="D5227:G5227"/>
    <mergeCell ref="D5228:G5228"/>
    <mergeCell ref="B5229:G5229"/>
    <mergeCell ref="D5230:G5230"/>
    <mergeCell ref="D5231:G5231"/>
    <mergeCell ref="D5232:G5232"/>
    <mergeCell ref="B5233:G5233"/>
    <mergeCell ref="D5234:G5234"/>
    <mergeCell ref="D5235:G5235"/>
    <mergeCell ref="D5236:G5236"/>
    <mergeCell ref="D5237:G5237"/>
    <mergeCell ref="D5238:G5238"/>
    <mergeCell ref="D5239:G5239"/>
    <mergeCell ref="D5206:G5206"/>
    <mergeCell ref="D5207:G5207"/>
    <mergeCell ref="D5208:G5208"/>
    <mergeCell ref="D5209:G5209"/>
    <mergeCell ref="D5210:G5210"/>
    <mergeCell ref="D5211:G5211"/>
    <mergeCell ref="D5212:G5212"/>
    <mergeCell ref="D5213:G5213"/>
    <mergeCell ref="D5214:G5214"/>
    <mergeCell ref="D5215:G5215"/>
    <mergeCell ref="D5216:G5216"/>
    <mergeCell ref="D5217:G5217"/>
    <mergeCell ref="D5218:G5218"/>
    <mergeCell ref="D5219:G5219"/>
    <mergeCell ref="D5220:G5220"/>
    <mergeCell ref="D5221:G5221"/>
    <mergeCell ref="D5222:G5222"/>
    <mergeCell ref="D5189:G5189"/>
    <mergeCell ref="D5190:G5190"/>
    <mergeCell ref="D5191:G5191"/>
    <mergeCell ref="D5192:G5192"/>
    <mergeCell ref="D5193:G5193"/>
    <mergeCell ref="D5194:G5194"/>
    <mergeCell ref="D5195:G5195"/>
    <mergeCell ref="D5196:G5196"/>
    <mergeCell ref="D5197:G5197"/>
    <mergeCell ref="D5198:G5198"/>
    <mergeCell ref="D5199:G5199"/>
    <mergeCell ref="D5200:G5200"/>
    <mergeCell ref="D5201:G5201"/>
    <mergeCell ref="D5202:G5202"/>
    <mergeCell ref="D5203:G5203"/>
    <mergeCell ref="D5204:G5204"/>
    <mergeCell ref="D5205:G5205"/>
    <mergeCell ref="D5172:G5172"/>
    <mergeCell ref="D5173:G5173"/>
    <mergeCell ref="D5174:G5174"/>
    <mergeCell ref="D5175:G5175"/>
    <mergeCell ref="D5176:G5176"/>
    <mergeCell ref="D5177:G5177"/>
    <mergeCell ref="D5178:G5178"/>
    <mergeCell ref="D5179:G5179"/>
    <mergeCell ref="D5180:G5180"/>
    <mergeCell ref="D5181:G5181"/>
    <mergeCell ref="D5182:G5182"/>
    <mergeCell ref="D5183:G5183"/>
    <mergeCell ref="D5184:G5184"/>
    <mergeCell ref="D5185:G5185"/>
    <mergeCell ref="D5186:G5186"/>
    <mergeCell ref="D5187:G5187"/>
    <mergeCell ref="D5188:G5188"/>
    <mergeCell ref="D5155:G5155"/>
    <mergeCell ref="D5156:G5156"/>
    <mergeCell ref="D5157:G5157"/>
    <mergeCell ref="D5158:G5158"/>
    <mergeCell ref="D5159:G5159"/>
    <mergeCell ref="D5160:G5160"/>
    <mergeCell ref="D5161:G5161"/>
    <mergeCell ref="D5162:G5162"/>
    <mergeCell ref="D5163:G5163"/>
    <mergeCell ref="D5164:G5164"/>
    <mergeCell ref="D5165:G5165"/>
    <mergeCell ref="D5166:G5166"/>
    <mergeCell ref="D5167:G5167"/>
    <mergeCell ref="D5168:G5168"/>
    <mergeCell ref="D5169:G5169"/>
    <mergeCell ref="D5170:G5170"/>
    <mergeCell ref="D5171:G5171"/>
    <mergeCell ref="D5138:G5138"/>
    <mergeCell ref="D5139:G5139"/>
    <mergeCell ref="D5140:G5140"/>
    <mergeCell ref="D5141:G5141"/>
    <mergeCell ref="D5142:G5142"/>
    <mergeCell ref="D5143:G5143"/>
    <mergeCell ref="D5144:G5144"/>
    <mergeCell ref="D5145:G5145"/>
    <mergeCell ref="D5146:G5146"/>
    <mergeCell ref="D5147:G5147"/>
    <mergeCell ref="D5148:G5148"/>
    <mergeCell ref="D5149:G5149"/>
    <mergeCell ref="D5150:G5150"/>
    <mergeCell ref="D5151:G5151"/>
    <mergeCell ref="D5152:G5152"/>
    <mergeCell ref="D5153:G5153"/>
    <mergeCell ref="D5154:G5154"/>
    <mergeCell ref="D5121:G5121"/>
    <mergeCell ref="D5122:G5122"/>
    <mergeCell ref="D5123:G5123"/>
    <mergeCell ref="D5124:G5124"/>
    <mergeCell ref="D5125:G5125"/>
    <mergeCell ref="D5126:G5126"/>
    <mergeCell ref="D5127:G5127"/>
    <mergeCell ref="D5128:G5128"/>
    <mergeCell ref="D5129:G5129"/>
    <mergeCell ref="D5130:G5130"/>
    <mergeCell ref="D5131:G5131"/>
    <mergeCell ref="D5132:G5132"/>
    <mergeCell ref="D5133:G5133"/>
    <mergeCell ref="D5134:G5134"/>
    <mergeCell ref="D5135:G5135"/>
    <mergeCell ref="D5136:G5136"/>
    <mergeCell ref="D5137:G5137"/>
    <mergeCell ref="D5104:G5104"/>
    <mergeCell ref="D5105:G5105"/>
    <mergeCell ref="D5106:G5106"/>
    <mergeCell ref="D5107:G5107"/>
    <mergeCell ref="D5108:G5108"/>
    <mergeCell ref="D5109:G5109"/>
    <mergeCell ref="D5110:G5110"/>
    <mergeCell ref="D5111:G5111"/>
    <mergeCell ref="D5112:G5112"/>
    <mergeCell ref="D5113:G5113"/>
    <mergeCell ref="D5114:G5114"/>
    <mergeCell ref="D5115:G5115"/>
    <mergeCell ref="D5116:G5116"/>
    <mergeCell ref="D5117:G5117"/>
    <mergeCell ref="D5118:G5118"/>
    <mergeCell ref="D5119:G5119"/>
    <mergeCell ref="D5120:G5120"/>
    <mergeCell ref="D5087:G5087"/>
    <mergeCell ref="D5088:G5088"/>
    <mergeCell ref="D5089:G5089"/>
    <mergeCell ref="D5090:G5090"/>
    <mergeCell ref="D5091:G5091"/>
    <mergeCell ref="D5092:G5092"/>
    <mergeCell ref="D5093:G5093"/>
    <mergeCell ref="D5094:G5094"/>
    <mergeCell ref="D5095:G5095"/>
    <mergeCell ref="D5096:G5096"/>
    <mergeCell ref="D5097:G5097"/>
    <mergeCell ref="D5098:G5098"/>
    <mergeCell ref="D5099:G5099"/>
    <mergeCell ref="D5100:G5100"/>
    <mergeCell ref="D5101:G5101"/>
    <mergeCell ref="D5102:G5102"/>
    <mergeCell ref="D5103:G5103"/>
    <mergeCell ref="D5070:G5070"/>
    <mergeCell ref="D5071:G5071"/>
    <mergeCell ref="D5072:G5072"/>
    <mergeCell ref="D5073:G5073"/>
    <mergeCell ref="D5074:G5074"/>
    <mergeCell ref="D5075:G5075"/>
    <mergeCell ref="D5076:G5076"/>
    <mergeCell ref="D5077:G5077"/>
    <mergeCell ref="D5078:G5078"/>
    <mergeCell ref="D5079:G5079"/>
    <mergeCell ref="D5080:G5080"/>
    <mergeCell ref="D5081:G5081"/>
    <mergeCell ref="D5082:G5082"/>
    <mergeCell ref="D5083:G5083"/>
    <mergeCell ref="D5084:G5084"/>
    <mergeCell ref="D5085:G5085"/>
    <mergeCell ref="D5086:G5086"/>
    <mergeCell ref="D5053:G5053"/>
    <mergeCell ref="D5054:G5054"/>
    <mergeCell ref="D5055:G5055"/>
    <mergeCell ref="D5056:G5056"/>
    <mergeCell ref="D5057:G5057"/>
    <mergeCell ref="D5058:G5058"/>
    <mergeCell ref="D5059:G5059"/>
    <mergeCell ref="D5060:G5060"/>
    <mergeCell ref="D5061:G5061"/>
    <mergeCell ref="D5062:G5062"/>
    <mergeCell ref="D5063:G5063"/>
    <mergeCell ref="D5064:G5064"/>
    <mergeCell ref="D5065:G5065"/>
    <mergeCell ref="D5066:G5066"/>
    <mergeCell ref="D5067:G5067"/>
    <mergeCell ref="D5068:G5068"/>
    <mergeCell ref="D5069:G5069"/>
    <mergeCell ref="D5036:G5036"/>
    <mergeCell ref="D5037:G5037"/>
    <mergeCell ref="D5038:G5038"/>
    <mergeCell ref="D5039:G5039"/>
    <mergeCell ref="D5040:G5040"/>
    <mergeCell ref="D5041:G5041"/>
    <mergeCell ref="D5042:G5042"/>
    <mergeCell ref="D5043:G5043"/>
    <mergeCell ref="D5044:G5044"/>
    <mergeCell ref="D5045:G5045"/>
    <mergeCell ref="D5046:G5046"/>
    <mergeCell ref="D5047:G5047"/>
    <mergeCell ref="D5048:G5048"/>
    <mergeCell ref="D5049:G5049"/>
    <mergeCell ref="D5050:G5050"/>
    <mergeCell ref="D5051:G5051"/>
    <mergeCell ref="D5052:G5052"/>
    <mergeCell ref="D5019:G5019"/>
    <mergeCell ref="D5020:G5020"/>
    <mergeCell ref="D5021:G5021"/>
    <mergeCell ref="D5022:G5022"/>
    <mergeCell ref="D5023:G5023"/>
    <mergeCell ref="D5024:G5024"/>
    <mergeCell ref="D5025:G5025"/>
    <mergeCell ref="D5026:G5026"/>
    <mergeCell ref="D5027:G5027"/>
    <mergeCell ref="D5028:G5028"/>
    <mergeCell ref="D5029:G5029"/>
    <mergeCell ref="D5030:G5030"/>
    <mergeCell ref="D5031:G5031"/>
    <mergeCell ref="D5032:G5032"/>
    <mergeCell ref="D5033:G5033"/>
    <mergeCell ref="D5034:G5034"/>
    <mergeCell ref="D5035:G5035"/>
    <mergeCell ref="D5002:G5002"/>
    <mergeCell ref="D5003:G5003"/>
    <mergeCell ref="D5004:G5004"/>
    <mergeCell ref="D5005:G5005"/>
    <mergeCell ref="D5006:G5006"/>
    <mergeCell ref="D5007:G5007"/>
    <mergeCell ref="D5008:G5008"/>
    <mergeCell ref="D5009:G5009"/>
    <mergeCell ref="D5010:G5010"/>
    <mergeCell ref="D5011:G5011"/>
    <mergeCell ref="D5012:G5012"/>
    <mergeCell ref="D5013:G5013"/>
    <mergeCell ref="D5014:G5014"/>
    <mergeCell ref="D5015:G5015"/>
    <mergeCell ref="D5016:G5016"/>
    <mergeCell ref="D5017:G5017"/>
    <mergeCell ref="D5018:G5018"/>
    <mergeCell ref="D4985:G4985"/>
    <mergeCell ref="D4986:G4986"/>
    <mergeCell ref="D4987:G4987"/>
    <mergeCell ref="D4988:G4988"/>
    <mergeCell ref="D4989:G4989"/>
    <mergeCell ref="D4990:G4990"/>
    <mergeCell ref="D4991:G4991"/>
    <mergeCell ref="D4992:G4992"/>
    <mergeCell ref="D4993:G4993"/>
    <mergeCell ref="D4994:G4994"/>
    <mergeCell ref="D4995:G4995"/>
    <mergeCell ref="D4996:G4996"/>
    <mergeCell ref="D4997:G4997"/>
    <mergeCell ref="D4998:G4998"/>
    <mergeCell ref="D4999:G4999"/>
    <mergeCell ref="D5000:G5000"/>
    <mergeCell ref="D5001:G5001"/>
    <mergeCell ref="D4968:G4968"/>
    <mergeCell ref="D4969:G4969"/>
    <mergeCell ref="D4970:G4970"/>
    <mergeCell ref="D4971:G4971"/>
    <mergeCell ref="D4972:G4972"/>
    <mergeCell ref="D4973:G4973"/>
    <mergeCell ref="D4974:G4974"/>
    <mergeCell ref="D4975:G4975"/>
    <mergeCell ref="D4976:G4976"/>
    <mergeCell ref="D4977:G4977"/>
    <mergeCell ref="D4978:G4978"/>
    <mergeCell ref="D4979:G4979"/>
    <mergeCell ref="D4980:G4980"/>
    <mergeCell ref="D4981:G4981"/>
    <mergeCell ref="D4982:G4982"/>
    <mergeCell ref="D4983:G4983"/>
    <mergeCell ref="D4984:G4984"/>
    <mergeCell ref="D4951:G4951"/>
    <mergeCell ref="D4952:G4952"/>
    <mergeCell ref="D4953:G4953"/>
    <mergeCell ref="D4954:G4954"/>
    <mergeCell ref="D4955:G4955"/>
    <mergeCell ref="D4956:G4956"/>
    <mergeCell ref="D4957:G4957"/>
    <mergeCell ref="D4958:G4958"/>
    <mergeCell ref="D4959:G4959"/>
    <mergeCell ref="D4960:G4960"/>
    <mergeCell ref="D4961:G4961"/>
    <mergeCell ref="D4962:G4962"/>
    <mergeCell ref="D4963:G4963"/>
    <mergeCell ref="D4964:G4964"/>
    <mergeCell ref="D4965:G4965"/>
    <mergeCell ref="D4966:G4966"/>
    <mergeCell ref="D4967:G4967"/>
    <mergeCell ref="D4934:G4934"/>
    <mergeCell ref="D4935:G4935"/>
    <mergeCell ref="D4936:G4936"/>
    <mergeCell ref="D4937:G4937"/>
    <mergeCell ref="D4938:G4938"/>
    <mergeCell ref="D4939:G4939"/>
    <mergeCell ref="D4940:G4940"/>
    <mergeCell ref="D4941:G4941"/>
    <mergeCell ref="D4942:G4942"/>
    <mergeCell ref="D4943:G4943"/>
    <mergeCell ref="D4944:G4944"/>
    <mergeCell ref="D4945:G4945"/>
    <mergeCell ref="D4946:G4946"/>
    <mergeCell ref="D4947:G4947"/>
    <mergeCell ref="D4948:G4948"/>
    <mergeCell ref="D4949:G4949"/>
    <mergeCell ref="D4950:G4950"/>
    <mergeCell ref="D4917:G4917"/>
    <mergeCell ref="D4918:G4918"/>
    <mergeCell ref="D4919:G4919"/>
    <mergeCell ref="D4920:G4920"/>
    <mergeCell ref="D4921:G4921"/>
    <mergeCell ref="D4922:G4922"/>
    <mergeCell ref="D4923:G4923"/>
    <mergeCell ref="D4924:G4924"/>
    <mergeCell ref="D4925:G4925"/>
    <mergeCell ref="D4926:G4926"/>
    <mergeCell ref="D4927:G4927"/>
    <mergeCell ref="D4928:G4928"/>
    <mergeCell ref="D4929:G4929"/>
    <mergeCell ref="D4930:G4930"/>
    <mergeCell ref="D4931:G4931"/>
    <mergeCell ref="D4932:G4932"/>
    <mergeCell ref="D4933:G4933"/>
    <mergeCell ref="D4900:G4900"/>
    <mergeCell ref="D4901:G4901"/>
    <mergeCell ref="D4902:G4902"/>
    <mergeCell ref="D4903:G4903"/>
    <mergeCell ref="D4904:G4904"/>
    <mergeCell ref="D4905:G4905"/>
    <mergeCell ref="D4906:G4906"/>
    <mergeCell ref="D4907:G4907"/>
    <mergeCell ref="D4908:G4908"/>
    <mergeCell ref="D4909:G4909"/>
    <mergeCell ref="D4910:G4910"/>
    <mergeCell ref="D4911:G4911"/>
    <mergeCell ref="D4912:G4912"/>
    <mergeCell ref="D4913:G4913"/>
    <mergeCell ref="D4914:G4914"/>
    <mergeCell ref="D4915:G4915"/>
    <mergeCell ref="D4916:G4916"/>
    <mergeCell ref="D4883:G4883"/>
    <mergeCell ref="D4884:G4884"/>
    <mergeCell ref="D4885:G4885"/>
    <mergeCell ref="D4886:G4886"/>
    <mergeCell ref="D4887:G4887"/>
    <mergeCell ref="D4888:G4888"/>
    <mergeCell ref="D4889:G4889"/>
    <mergeCell ref="D4890:G4890"/>
    <mergeCell ref="D4891:G4891"/>
    <mergeCell ref="D4892:G4892"/>
    <mergeCell ref="D4893:G4893"/>
    <mergeCell ref="D4894:G4894"/>
    <mergeCell ref="D4895:G4895"/>
    <mergeCell ref="D4896:G4896"/>
    <mergeCell ref="D4897:G4897"/>
    <mergeCell ref="D4898:G4898"/>
    <mergeCell ref="D4899:G4899"/>
    <mergeCell ref="D4866:G4866"/>
    <mergeCell ref="D4867:G4867"/>
    <mergeCell ref="D4868:G4868"/>
    <mergeCell ref="D4869:G4869"/>
    <mergeCell ref="D4870:G4870"/>
    <mergeCell ref="D4871:G4871"/>
    <mergeCell ref="D4872:G4872"/>
    <mergeCell ref="D4873:G4873"/>
    <mergeCell ref="D4874:G4874"/>
    <mergeCell ref="D4875:G4875"/>
    <mergeCell ref="D4876:G4876"/>
    <mergeCell ref="D4877:G4877"/>
    <mergeCell ref="D4878:G4878"/>
    <mergeCell ref="D4879:G4879"/>
    <mergeCell ref="D4880:G4880"/>
    <mergeCell ref="D4881:G4881"/>
    <mergeCell ref="D4882:G4882"/>
    <mergeCell ref="D4849:G4849"/>
    <mergeCell ref="D4850:G4850"/>
    <mergeCell ref="D4851:G4851"/>
    <mergeCell ref="D4852:G4852"/>
    <mergeCell ref="D4853:G4853"/>
    <mergeCell ref="D4854:G4854"/>
    <mergeCell ref="D4855:G4855"/>
    <mergeCell ref="B4856:G4856"/>
    <mergeCell ref="B4857:G4857"/>
    <mergeCell ref="D4858:G4858"/>
    <mergeCell ref="D4859:G4859"/>
    <mergeCell ref="D4860:G4860"/>
    <mergeCell ref="D4861:G4861"/>
    <mergeCell ref="D4862:G4862"/>
    <mergeCell ref="D4863:G4863"/>
    <mergeCell ref="D4864:G4864"/>
    <mergeCell ref="D4865:G4865"/>
    <mergeCell ref="B4832:G4832"/>
    <mergeCell ref="B4833:G4833"/>
    <mergeCell ref="D4834:G4834"/>
    <mergeCell ref="D4835:G4835"/>
    <mergeCell ref="D4836:G4836"/>
    <mergeCell ref="D4837:G4837"/>
    <mergeCell ref="B4838:G4838"/>
    <mergeCell ref="B4839:G4839"/>
    <mergeCell ref="B4840:G4840"/>
    <mergeCell ref="D4841:G4841"/>
    <mergeCell ref="D4842:G4842"/>
    <mergeCell ref="D4843:G4843"/>
    <mergeCell ref="D4844:G4844"/>
    <mergeCell ref="D4845:G4845"/>
    <mergeCell ref="D4846:G4846"/>
    <mergeCell ref="B4847:G4847"/>
    <mergeCell ref="D4848:G4848"/>
    <mergeCell ref="D4815:G4815"/>
    <mergeCell ref="D4816:G4816"/>
    <mergeCell ref="D4817:G4817"/>
    <mergeCell ref="D4818:G4818"/>
    <mergeCell ref="D4819:G4819"/>
    <mergeCell ref="D4820:G4820"/>
    <mergeCell ref="B4821:G4821"/>
    <mergeCell ref="B4822:G4822"/>
    <mergeCell ref="B4823:G4823"/>
    <mergeCell ref="B4824:G4824"/>
    <mergeCell ref="B4825:G4825"/>
    <mergeCell ref="D4826:G4826"/>
    <mergeCell ref="D4827:G4827"/>
    <mergeCell ref="D4828:G4828"/>
    <mergeCell ref="B4829:G4829"/>
    <mergeCell ref="D4830:G4830"/>
    <mergeCell ref="D4831:G4831"/>
    <mergeCell ref="D4798:G4798"/>
    <mergeCell ref="D4799:G4799"/>
    <mergeCell ref="D4800:G4800"/>
    <mergeCell ref="D4801:G4801"/>
    <mergeCell ref="D4802:G4802"/>
    <mergeCell ref="D4803:G4803"/>
    <mergeCell ref="D4804:G4804"/>
    <mergeCell ref="D4805:G4805"/>
    <mergeCell ref="D4806:G4806"/>
    <mergeCell ref="B4807:G4807"/>
    <mergeCell ref="D4808:G4808"/>
    <mergeCell ref="D4809:G4809"/>
    <mergeCell ref="D4810:G4810"/>
    <mergeCell ref="B4811:G4811"/>
    <mergeCell ref="D4812:G4812"/>
    <mergeCell ref="D4813:G4813"/>
    <mergeCell ref="D4814:G4814"/>
    <mergeCell ref="D4781:G4781"/>
    <mergeCell ref="D4782:G4782"/>
    <mergeCell ref="D4783:G4783"/>
    <mergeCell ref="D4784:G4784"/>
    <mergeCell ref="D4785:G4785"/>
    <mergeCell ref="D4786:G4786"/>
    <mergeCell ref="D4787:G4787"/>
    <mergeCell ref="D4788:G4788"/>
    <mergeCell ref="B4789:G4789"/>
    <mergeCell ref="B4790:G4790"/>
    <mergeCell ref="D4791:G4791"/>
    <mergeCell ref="D4792:G4792"/>
    <mergeCell ref="D4793:G4793"/>
    <mergeCell ref="D4794:G4794"/>
    <mergeCell ref="D4795:G4795"/>
    <mergeCell ref="D4796:G4796"/>
    <mergeCell ref="D4797:G4797"/>
    <mergeCell ref="B4764:G4764"/>
    <mergeCell ref="D4765:G4765"/>
    <mergeCell ref="D4766:G4766"/>
    <mergeCell ref="D4767:G4767"/>
    <mergeCell ref="D4768:G4768"/>
    <mergeCell ref="D4769:G4769"/>
    <mergeCell ref="D4770:G4770"/>
    <mergeCell ref="D4771:G4771"/>
    <mergeCell ref="B4772:G4772"/>
    <mergeCell ref="D4773:G4773"/>
    <mergeCell ref="D4774:G4774"/>
    <mergeCell ref="D4775:G4775"/>
    <mergeCell ref="D4776:G4776"/>
    <mergeCell ref="D4777:G4777"/>
    <mergeCell ref="D4778:G4778"/>
    <mergeCell ref="D4779:G4779"/>
    <mergeCell ref="D4780:G4780"/>
    <mergeCell ref="D4747:G4747"/>
    <mergeCell ref="B4748:G4748"/>
    <mergeCell ref="D4749:G4749"/>
    <mergeCell ref="D4750:G4750"/>
    <mergeCell ref="D4751:G4751"/>
    <mergeCell ref="D4752:G4752"/>
    <mergeCell ref="D4753:G4753"/>
    <mergeCell ref="D4754:G4754"/>
    <mergeCell ref="D4755:G4755"/>
    <mergeCell ref="D4756:G4756"/>
    <mergeCell ref="D4757:G4757"/>
    <mergeCell ref="D4758:G4758"/>
    <mergeCell ref="D4759:G4759"/>
    <mergeCell ref="D4760:G4760"/>
    <mergeCell ref="D4761:G4761"/>
    <mergeCell ref="D4762:G4762"/>
    <mergeCell ref="D4763:G4763"/>
    <mergeCell ref="D4730:G4730"/>
    <mergeCell ref="D4731:G4731"/>
    <mergeCell ref="D4732:G4732"/>
    <mergeCell ref="D4733:G4733"/>
    <mergeCell ref="D4734:G4734"/>
    <mergeCell ref="D4735:G4735"/>
    <mergeCell ref="D4736:G4736"/>
    <mergeCell ref="B4737:G4737"/>
    <mergeCell ref="B4738:G4738"/>
    <mergeCell ref="D4739:G4739"/>
    <mergeCell ref="D4740:G4740"/>
    <mergeCell ref="D4741:G4741"/>
    <mergeCell ref="D4742:G4742"/>
    <mergeCell ref="D4743:G4743"/>
    <mergeCell ref="D4744:G4744"/>
    <mergeCell ref="D4745:G4745"/>
    <mergeCell ref="D4746:G4746"/>
    <mergeCell ref="D4713:G4713"/>
    <mergeCell ref="B4714:G4714"/>
    <mergeCell ref="D4715:G4715"/>
    <mergeCell ref="D4716:G4716"/>
    <mergeCell ref="B4717:G4717"/>
    <mergeCell ref="B4718:G4718"/>
    <mergeCell ref="D4719:G4719"/>
    <mergeCell ref="D4720:G4720"/>
    <mergeCell ref="D4721:G4721"/>
    <mergeCell ref="D4722:G4722"/>
    <mergeCell ref="D4723:G4723"/>
    <mergeCell ref="D4724:G4724"/>
    <mergeCell ref="D4725:G4725"/>
    <mergeCell ref="D4726:G4726"/>
    <mergeCell ref="D4727:G4727"/>
    <mergeCell ref="D4728:G4728"/>
    <mergeCell ref="D4729:G4729"/>
    <mergeCell ref="D4696:G4696"/>
    <mergeCell ref="D4697:G4697"/>
    <mergeCell ref="B4698:G4698"/>
    <mergeCell ref="D4699:G4699"/>
    <mergeCell ref="D4700:G4700"/>
    <mergeCell ref="D4701:G4701"/>
    <mergeCell ref="B4702:G4702"/>
    <mergeCell ref="D4703:G4703"/>
    <mergeCell ref="D4704:G4704"/>
    <mergeCell ref="D4705:G4705"/>
    <mergeCell ref="D4706:G4706"/>
    <mergeCell ref="D4707:G4707"/>
    <mergeCell ref="D4708:G4708"/>
    <mergeCell ref="D4709:G4709"/>
    <mergeCell ref="D4710:G4710"/>
    <mergeCell ref="D4711:G4711"/>
    <mergeCell ref="D4712:G4712"/>
    <mergeCell ref="B4679:G4679"/>
    <mergeCell ref="D4680:G4680"/>
    <mergeCell ref="B4681:G4681"/>
    <mergeCell ref="B4682:G4682"/>
    <mergeCell ref="D4683:G4683"/>
    <mergeCell ref="B4684:G4684"/>
    <mergeCell ref="B4685:G4685"/>
    <mergeCell ref="B4686:G4686"/>
    <mergeCell ref="B4687:G4687"/>
    <mergeCell ref="D4688:G4688"/>
    <mergeCell ref="D4689:G4689"/>
    <mergeCell ref="B4690:G4690"/>
    <mergeCell ref="D4691:G4691"/>
    <mergeCell ref="D4692:G4692"/>
    <mergeCell ref="D4693:G4693"/>
    <mergeCell ref="D4694:G4694"/>
    <mergeCell ref="D4695:G4695"/>
    <mergeCell ref="D4662:G4662"/>
    <mergeCell ref="D4663:G4663"/>
    <mergeCell ref="D4664:G4664"/>
    <mergeCell ref="B4665:G4665"/>
    <mergeCell ref="B4666:G4666"/>
    <mergeCell ref="D4667:G4667"/>
    <mergeCell ref="D4668:G4668"/>
    <mergeCell ref="B4669:G4669"/>
    <mergeCell ref="D4670:G4670"/>
    <mergeCell ref="D4671:G4671"/>
    <mergeCell ref="D4672:G4672"/>
    <mergeCell ref="D4673:G4673"/>
    <mergeCell ref="B4674:G4674"/>
    <mergeCell ref="D4675:G4675"/>
    <mergeCell ref="D4676:G4676"/>
    <mergeCell ref="B4677:G4677"/>
    <mergeCell ref="D4678:G4678"/>
    <mergeCell ref="D4645:G4645"/>
    <mergeCell ref="D4646:G4646"/>
    <mergeCell ref="D4647:G4647"/>
    <mergeCell ref="D4648:G4648"/>
    <mergeCell ref="D4649:G4649"/>
    <mergeCell ref="D4650:G4650"/>
    <mergeCell ref="D4651:G4651"/>
    <mergeCell ref="D4652:G4652"/>
    <mergeCell ref="D4653:G4653"/>
    <mergeCell ref="D4654:G4654"/>
    <mergeCell ref="D4655:G4655"/>
    <mergeCell ref="D4656:G4656"/>
    <mergeCell ref="D4657:G4657"/>
    <mergeCell ref="D4658:G4658"/>
    <mergeCell ref="D4659:G4659"/>
    <mergeCell ref="D4660:G4660"/>
    <mergeCell ref="D4661:G4661"/>
    <mergeCell ref="D4628:G4628"/>
    <mergeCell ref="D4629:G4629"/>
    <mergeCell ref="D4630:G4630"/>
    <mergeCell ref="D4631:G4631"/>
    <mergeCell ref="D4632:G4632"/>
    <mergeCell ref="D4633:G4633"/>
    <mergeCell ref="D4634:G4634"/>
    <mergeCell ref="D4635:G4635"/>
    <mergeCell ref="D4636:G4636"/>
    <mergeCell ref="D4637:G4637"/>
    <mergeCell ref="D4638:G4638"/>
    <mergeCell ref="D4639:G4639"/>
    <mergeCell ref="D4640:G4640"/>
    <mergeCell ref="D4641:G4641"/>
    <mergeCell ref="D4642:G4642"/>
    <mergeCell ref="B4643:G4643"/>
    <mergeCell ref="B4644:G4644"/>
    <mergeCell ref="D4611:G4611"/>
    <mergeCell ref="D4612:G4612"/>
    <mergeCell ref="B4613:G4613"/>
    <mergeCell ref="D4614:G4614"/>
    <mergeCell ref="D4615:G4615"/>
    <mergeCell ref="D4616:G4616"/>
    <mergeCell ref="B4617:G4617"/>
    <mergeCell ref="D4618:G4618"/>
    <mergeCell ref="D4619:G4619"/>
    <mergeCell ref="D4620:G4620"/>
    <mergeCell ref="B4621:G4621"/>
    <mergeCell ref="B4622:G4622"/>
    <mergeCell ref="B4623:G4623"/>
    <mergeCell ref="D4624:G4624"/>
    <mergeCell ref="D4625:G4625"/>
    <mergeCell ref="D4626:G4626"/>
    <mergeCell ref="D4627:G4627"/>
    <mergeCell ref="D4594:G4594"/>
    <mergeCell ref="D4595:G4595"/>
    <mergeCell ref="D4596:G4596"/>
    <mergeCell ref="D4597:G4597"/>
    <mergeCell ref="D4598:G4598"/>
    <mergeCell ref="D4599:G4599"/>
    <mergeCell ref="D4600:G4600"/>
    <mergeCell ref="B4601:G4601"/>
    <mergeCell ref="B4602:G4602"/>
    <mergeCell ref="D4603:G4603"/>
    <mergeCell ref="D4604:G4604"/>
    <mergeCell ref="B4605:G4605"/>
    <mergeCell ref="D4606:G4606"/>
    <mergeCell ref="D4607:G4607"/>
    <mergeCell ref="D4608:G4608"/>
    <mergeCell ref="D4609:G4609"/>
    <mergeCell ref="D4610:G4610"/>
    <mergeCell ref="D4577:G4577"/>
    <mergeCell ref="D4578:G4578"/>
    <mergeCell ref="B4579:G4579"/>
    <mergeCell ref="D4580:G4580"/>
    <mergeCell ref="D4581:G4581"/>
    <mergeCell ref="D4582:G4582"/>
    <mergeCell ref="D4583:G4583"/>
    <mergeCell ref="D4584:G4584"/>
    <mergeCell ref="D4585:G4585"/>
    <mergeCell ref="D4586:G4586"/>
    <mergeCell ref="D4587:G4587"/>
    <mergeCell ref="D4588:G4588"/>
    <mergeCell ref="D4589:G4589"/>
    <mergeCell ref="D4590:G4590"/>
    <mergeCell ref="D4591:G4591"/>
    <mergeCell ref="D4592:G4592"/>
    <mergeCell ref="D4593:G4593"/>
    <mergeCell ref="D4560:G4560"/>
    <mergeCell ref="D4561:G4561"/>
    <mergeCell ref="D4562:G4562"/>
    <mergeCell ref="D4563:G4563"/>
    <mergeCell ref="D4564:G4564"/>
    <mergeCell ref="D4565:G4565"/>
    <mergeCell ref="D4566:G4566"/>
    <mergeCell ref="D4567:G4567"/>
    <mergeCell ref="D4568:G4568"/>
    <mergeCell ref="D4569:G4569"/>
    <mergeCell ref="D4570:G4570"/>
    <mergeCell ref="D4571:G4571"/>
    <mergeCell ref="D4572:G4572"/>
    <mergeCell ref="D4573:G4573"/>
    <mergeCell ref="D4574:G4574"/>
    <mergeCell ref="D4575:G4575"/>
    <mergeCell ref="D4576:G4576"/>
    <mergeCell ref="D4543:G4543"/>
    <mergeCell ref="D4544:G4544"/>
    <mergeCell ref="B4545:G4545"/>
    <mergeCell ref="D4546:G4546"/>
    <mergeCell ref="D4547:G4547"/>
    <mergeCell ref="D4548:G4548"/>
    <mergeCell ref="D4549:G4549"/>
    <mergeCell ref="D4550:G4550"/>
    <mergeCell ref="D4551:G4551"/>
    <mergeCell ref="D4552:G4552"/>
    <mergeCell ref="D4553:G4553"/>
    <mergeCell ref="D4554:G4554"/>
    <mergeCell ref="D4555:G4555"/>
    <mergeCell ref="D4556:G4556"/>
    <mergeCell ref="D4557:G4557"/>
    <mergeCell ref="B4558:G4558"/>
    <mergeCell ref="B4559:G4559"/>
    <mergeCell ref="B4526:G4526"/>
    <mergeCell ref="B4527:G4527"/>
    <mergeCell ref="D4528:G4528"/>
    <mergeCell ref="D4529:G4529"/>
    <mergeCell ref="D4530:G4530"/>
    <mergeCell ref="D4531:G4531"/>
    <mergeCell ref="D4532:G4532"/>
    <mergeCell ref="D4533:G4533"/>
    <mergeCell ref="D4534:G4534"/>
    <mergeCell ref="D4535:G4535"/>
    <mergeCell ref="D4536:G4536"/>
    <mergeCell ref="D4537:G4537"/>
    <mergeCell ref="D4538:G4538"/>
    <mergeCell ref="D4539:G4539"/>
    <mergeCell ref="D4540:G4540"/>
    <mergeCell ref="D4541:G4541"/>
    <mergeCell ref="D4542:G4542"/>
    <mergeCell ref="D4509:G4509"/>
    <mergeCell ref="B4510:G4510"/>
    <mergeCell ref="B4511:G4511"/>
    <mergeCell ref="D4512:G4512"/>
    <mergeCell ref="D4513:G4513"/>
    <mergeCell ref="D4514:G4514"/>
    <mergeCell ref="D4515:G4515"/>
    <mergeCell ref="B4516:G4516"/>
    <mergeCell ref="D4517:G4517"/>
    <mergeCell ref="B4518:G4518"/>
    <mergeCell ref="D4519:G4519"/>
    <mergeCell ref="D4520:G4520"/>
    <mergeCell ref="D4521:G4521"/>
    <mergeCell ref="D4522:G4522"/>
    <mergeCell ref="D4523:G4523"/>
    <mergeCell ref="B4524:G4524"/>
    <mergeCell ref="B4525:G4525"/>
    <mergeCell ref="D4492:G4492"/>
    <mergeCell ref="D4493:G4493"/>
    <mergeCell ref="D4494:G4494"/>
    <mergeCell ref="D4495:G4495"/>
    <mergeCell ref="D4496:G4496"/>
    <mergeCell ref="D4497:G4497"/>
    <mergeCell ref="B4498:G4498"/>
    <mergeCell ref="D4499:G4499"/>
    <mergeCell ref="D4500:G4500"/>
    <mergeCell ref="D4501:G4501"/>
    <mergeCell ref="D4502:G4502"/>
    <mergeCell ref="D4503:G4503"/>
    <mergeCell ref="D4504:G4504"/>
    <mergeCell ref="D4505:G4505"/>
    <mergeCell ref="D4506:G4506"/>
    <mergeCell ref="D4507:G4507"/>
    <mergeCell ref="D4508:G4508"/>
    <mergeCell ref="D4475:G4475"/>
    <mergeCell ref="D4476:G4476"/>
    <mergeCell ref="D4477:G4477"/>
    <mergeCell ref="D4478:G4478"/>
    <mergeCell ref="D4479:G4479"/>
    <mergeCell ref="D4480:G4480"/>
    <mergeCell ref="D4481:G4481"/>
    <mergeCell ref="D4482:G4482"/>
    <mergeCell ref="D4483:G4483"/>
    <mergeCell ref="D4484:G4484"/>
    <mergeCell ref="D4485:G4485"/>
    <mergeCell ref="D4486:G4486"/>
    <mergeCell ref="D4487:G4487"/>
    <mergeCell ref="D4488:G4488"/>
    <mergeCell ref="D4489:G4489"/>
    <mergeCell ref="D4490:G4490"/>
    <mergeCell ref="D4491:G4491"/>
    <mergeCell ref="D4458:G4458"/>
    <mergeCell ref="D4459:G4459"/>
    <mergeCell ref="D4460:G4460"/>
    <mergeCell ref="D4461:G4461"/>
    <mergeCell ref="D4462:G4462"/>
    <mergeCell ref="D4463:G4463"/>
    <mergeCell ref="D4464:G4464"/>
    <mergeCell ref="D4465:G4465"/>
    <mergeCell ref="D4466:G4466"/>
    <mergeCell ref="D4467:G4467"/>
    <mergeCell ref="D4468:G4468"/>
    <mergeCell ref="D4469:G4469"/>
    <mergeCell ref="D4470:G4470"/>
    <mergeCell ref="B4471:G4471"/>
    <mergeCell ref="D4472:G4472"/>
    <mergeCell ref="D4473:G4473"/>
    <mergeCell ref="B4474:G4474"/>
    <mergeCell ref="D4441:G4441"/>
    <mergeCell ref="D4442:G4442"/>
    <mergeCell ref="D4443:G4443"/>
    <mergeCell ref="D4444:G4444"/>
    <mergeCell ref="D4445:G4445"/>
    <mergeCell ref="D4446:G4446"/>
    <mergeCell ref="D4447:G4447"/>
    <mergeCell ref="D4448:G4448"/>
    <mergeCell ref="D4449:G4449"/>
    <mergeCell ref="D4450:G4450"/>
    <mergeCell ref="D4451:G4451"/>
    <mergeCell ref="D4452:G4452"/>
    <mergeCell ref="D4453:G4453"/>
    <mergeCell ref="D4454:G4454"/>
    <mergeCell ref="D4455:G4455"/>
    <mergeCell ref="D4456:G4456"/>
    <mergeCell ref="D4457:G4457"/>
    <mergeCell ref="D4424:G4424"/>
    <mergeCell ref="D4425:G4425"/>
    <mergeCell ref="D4426:G4426"/>
    <mergeCell ref="D4427:G4427"/>
    <mergeCell ref="D4428:G4428"/>
    <mergeCell ref="D4429:G4429"/>
    <mergeCell ref="D4430:G4430"/>
    <mergeCell ref="D4431:G4431"/>
    <mergeCell ref="D4432:G4432"/>
    <mergeCell ref="D4433:G4433"/>
    <mergeCell ref="D4434:G4434"/>
    <mergeCell ref="B4435:G4435"/>
    <mergeCell ref="B4436:G4436"/>
    <mergeCell ref="B4437:G4437"/>
    <mergeCell ref="D4438:G4438"/>
    <mergeCell ref="D4439:G4439"/>
    <mergeCell ref="D4440:G4440"/>
    <mergeCell ref="D4407:G4407"/>
    <mergeCell ref="D4408:G4408"/>
    <mergeCell ref="D4409:G4409"/>
    <mergeCell ref="D4410:G4410"/>
    <mergeCell ref="D4411:G4411"/>
    <mergeCell ref="D4412:G4412"/>
    <mergeCell ref="D4413:G4413"/>
    <mergeCell ref="B4414:G4414"/>
    <mergeCell ref="B4415:G4415"/>
    <mergeCell ref="D4416:G4416"/>
    <mergeCell ref="D4417:G4417"/>
    <mergeCell ref="D4418:G4418"/>
    <mergeCell ref="D4419:G4419"/>
    <mergeCell ref="D4420:G4420"/>
    <mergeCell ref="D4421:G4421"/>
    <mergeCell ref="D4422:G4422"/>
    <mergeCell ref="D4423:G4423"/>
    <mergeCell ref="D4390:G4390"/>
    <mergeCell ref="D4391:G4391"/>
    <mergeCell ref="D4392:G4392"/>
    <mergeCell ref="D4393:G4393"/>
    <mergeCell ref="D4394:G4394"/>
    <mergeCell ref="D4395:G4395"/>
    <mergeCell ref="B4396:G4396"/>
    <mergeCell ref="B4397:G4397"/>
    <mergeCell ref="D4398:G4398"/>
    <mergeCell ref="B4399:G4399"/>
    <mergeCell ref="D4400:G4400"/>
    <mergeCell ref="B4401:G4401"/>
    <mergeCell ref="D4402:G4402"/>
    <mergeCell ref="D4403:G4403"/>
    <mergeCell ref="B4404:G4404"/>
    <mergeCell ref="D4405:G4405"/>
    <mergeCell ref="B4406:G4406"/>
    <mergeCell ref="D4373:G4373"/>
    <mergeCell ref="D4374:G4374"/>
    <mergeCell ref="D4375:G4375"/>
    <mergeCell ref="D4376:G4376"/>
    <mergeCell ref="D4377:G4377"/>
    <mergeCell ref="D4378:G4378"/>
    <mergeCell ref="D4379:G4379"/>
    <mergeCell ref="D4380:G4380"/>
    <mergeCell ref="D4381:G4381"/>
    <mergeCell ref="D4382:G4382"/>
    <mergeCell ref="B4383:G4383"/>
    <mergeCell ref="B4384:G4384"/>
    <mergeCell ref="D4385:G4385"/>
    <mergeCell ref="D4386:G4386"/>
    <mergeCell ref="B4387:G4387"/>
    <mergeCell ref="D4388:G4388"/>
    <mergeCell ref="D4389:G4389"/>
    <mergeCell ref="B4356:G4356"/>
    <mergeCell ref="D4357:G4357"/>
    <mergeCell ref="B4358:G4358"/>
    <mergeCell ref="D4359:G4359"/>
    <mergeCell ref="D4360:G4360"/>
    <mergeCell ref="B4361:G4361"/>
    <mergeCell ref="D4362:G4362"/>
    <mergeCell ref="D4363:G4363"/>
    <mergeCell ref="D4364:G4364"/>
    <mergeCell ref="D4365:G4365"/>
    <mergeCell ref="D4366:G4366"/>
    <mergeCell ref="D4367:G4367"/>
    <mergeCell ref="B4368:G4368"/>
    <mergeCell ref="D4369:G4369"/>
    <mergeCell ref="D4370:G4370"/>
    <mergeCell ref="D4371:G4371"/>
    <mergeCell ref="D4372:G4372"/>
    <mergeCell ref="D4339:G4339"/>
    <mergeCell ref="D4340:G4340"/>
    <mergeCell ref="D4341:G4341"/>
    <mergeCell ref="D4342:G4342"/>
    <mergeCell ref="D4343:G4343"/>
    <mergeCell ref="D4344:G4344"/>
    <mergeCell ref="D4345:G4345"/>
    <mergeCell ref="D4346:G4346"/>
    <mergeCell ref="D4347:G4347"/>
    <mergeCell ref="D4348:G4348"/>
    <mergeCell ref="D4349:G4349"/>
    <mergeCell ref="D4350:G4350"/>
    <mergeCell ref="D4351:G4351"/>
    <mergeCell ref="D4352:G4352"/>
    <mergeCell ref="B4353:G4353"/>
    <mergeCell ref="B4354:G4354"/>
    <mergeCell ref="D4355:G4355"/>
    <mergeCell ref="D4322:G4322"/>
    <mergeCell ref="D4323:G4323"/>
    <mergeCell ref="D4324:G4324"/>
    <mergeCell ref="D4325:G4325"/>
    <mergeCell ref="B4326:G4326"/>
    <mergeCell ref="B4327:G4327"/>
    <mergeCell ref="B4328:G4328"/>
    <mergeCell ref="D4329:G4329"/>
    <mergeCell ref="D4330:G4330"/>
    <mergeCell ref="D4331:G4331"/>
    <mergeCell ref="B4332:G4332"/>
    <mergeCell ref="D4333:G4333"/>
    <mergeCell ref="D4334:G4334"/>
    <mergeCell ref="D4335:G4335"/>
    <mergeCell ref="D4336:G4336"/>
    <mergeCell ref="D4337:G4337"/>
    <mergeCell ref="D4338:G4338"/>
    <mergeCell ref="D4305:G4305"/>
    <mergeCell ref="B4306:G4306"/>
    <mergeCell ref="B4307:G4307"/>
    <mergeCell ref="D4308:G4308"/>
    <mergeCell ref="D4309:G4309"/>
    <mergeCell ref="B4310:G4310"/>
    <mergeCell ref="B4311:G4311"/>
    <mergeCell ref="D4312:G4312"/>
    <mergeCell ref="D4313:G4313"/>
    <mergeCell ref="D4314:G4314"/>
    <mergeCell ref="B4315:G4315"/>
    <mergeCell ref="D4316:G4316"/>
    <mergeCell ref="D4317:G4317"/>
    <mergeCell ref="B4318:G4318"/>
    <mergeCell ref="D4319:G4319"/>
    <mergeCell ref="D4320:G4320"/>
    <mergeCell ref="B4321:G4321"/>
    <mergeCell ref="D4288:G4288"/>
    <mergeCell ref="D4289:G4289"/>
    <mergeCell ref="D4290:G4290"/>
    <mergeCell ref="D4291:G4291"/>
    <mergeCell ref="D4292:G4292"/>
    <mergeCell ref="D4293:G4293"/>
    <mergeCell ref="D4294:G4294"/>
    <mergeCell ref="D4295:G4295"/>
    <mergeCell ref="D4296:G4296"/>
    <mergeCell ref="D4297:G4297"/>
    <mergeCell ref="D4298:G4298"/>
    <mergeCell ref="D4299:G4299"/>
    <mergeCell ref="B4300:G4300"/>
    <mergeCell ref="B4301:G4301"/>
    <mergeCell ref="D4302:G4302"/>
    <mergeCell ref="D4303:G4303"/>
    <mergeCell ref="D4304:G4304"/>
    <mergeCell ref="B4271:G4271"/>
    <mergeCell ref="D4272:G4272"/>
    <mergeCell ref="B4273:G4273"/>
    <mergeCell ref="D4274:G4274"/>
    <mergeCell ref="D4275:G4275"/>
    <mergeCell ref="D4276:G4276"/>
    <mergeCell ref="D4277:G4277"/>
    <mergeCell ref="D4278:G4278"/>
    <mergeCell ref="D4279:G4279"/>
    <mergeCell ref="D4280:G4280"/>
    <mergeCell ref="D4281:G4281"/>
    <mergeCell ref="D4282:G4282"/>
    <mergeCell ref="D4283:G4283"/>
    <mergeCell ref="D4284:G4284"/>
    <mergeCell ref="D4285:G4285"/>
    <mergeCell ref="D4286:G4286"/>
    <mergeCell ref="D4287:G4287"/>
    <mergeCell ref="D4254:G4254"/>
    <mergeCell ref="D4255:G4255"/>
    <mergeCell ref="D4256:G4256"/>
    <mergeCell ref="D4257:G4257"/>
    <mergeCell ref="D4258:G4258"/>
    <mergeCell ref="D4259:G4259"/>
    <mergeCell ref="D4260:G4260"/>
    <mergeCell ref="D4261:G4261"/>
    <mergeCell ref="B4262:G4262"/>
    <mergeCell ref="D4263:G4263"/>
    <mergeCell ref="D4264:G4264"/>
    <mergeCell ref="D4265:G4265"/>
    <mergeCell ref="D4266:G4266"/>
    <mergeCell ref="B4267:G4267"/>
    <mergeCell ref="B4268:G4268"/>
    <mergeCell ref="D4269:G4269"/>
    <mergeCell ref="B4270:G4270"/>
    <mergeCell ref="D4237:G4237"/>
    <mergeCell ref="D4238:G4238"/>
    <mergeCell ref="D4239:G4239"/>
    <mergeCell ref="D4240:G4240"/>
    <mergeCell ref="B4241:G4241"/>
    <mergeCell ref="D4242:G4242"/>
    <mergeCell ref="D4243:G4243"/>
    <mergeCell ref="D4244:G4244"/>
    <mergeCell ref="D4245:G4245"/>
    <mergeCell ref="D4246:G4246"/>
    <mergeCell ref="D4247:G4247"/>
    <mergeCell ref="D4248:G4248"/>
    <mergeCell ref="D4249:G4249"/>
    <mergeCell ref="D4250:G4250"/>
    <mergeCell ref="B4251:G4251"/>
    <mergeCell ref="D4252:G4252"/>
    <mergeCell ref="D4253:G4253"/>
    <mergeCell ref="D4220:G4220"/>
    <mergeCell ref="D4221:G4221"/>
    <mergeCell ref="D4222:G4222"/>
    <mergeCell ref="D4223:G4223"/>
    <mergeCell ref="B4224:G4224"/>
    <mergeCell ref="B4225:G4225"/>
    <mergeCell ref="B4226:G4226"/>
    <mergeCell ref="D4227:G4227"/>
    <mergeCell ref="D4228:G4228"/>
    <mergeCell ref="D4229:G4229"/>
    <mergeCell ref="D4230:G4230"/>
    <mergeCell ref="D4231:G4231"/>
    <mergeCell ref="D4232:G4232"/>
    <mergeCell ref="D4233:G4233"/>
    <mergeCell ref="D4234:G4234"/>
    <mergeCell ref="B4235:G4235"/>
    <mergeCell ref="D4236:G4236"/>
    <mergeCell ref="D4203:G4203"/>
    <mergeCell ref="D4204:G4204"/>
    <mergeCell ref="D4205:G4205"/>
    <mergeCell ref="B4206:G4206"/>
    <mergeCell ref="B4207:G4207"/>
    <mergeCell ref="B4208:G4208"/>
    <mergeCell ref="D4209:G4209"/>
    <mergeCell ref="D4210:G4210"/>
    <mergeCell ref="D4211:G4211"/>
    <mergeCell ref="D4212:G4212"/>
    <mergeCell ref="D4213:G4213"/>
    <mergeCell ref="D4214:G4214"/>
    <mergeCell ref="D4215:G4215"/>
    <mergeCell ref="D4216:G4216"/>
    <mergeCell ref="D4217:G4217"/>
    <mergeCell ref="D4218:G4218"/>
    <mergeCell ref="D4219:G4219"/>
    <mergeCell ref="B4186:G4186"/>
    <mergeCell ref="D4187:G4187"/>
    <mergeCell ref="D4188:G4188"/>
    <mergeCell ref="D4189:G4189"/>
    <mergeCell ref="D4190:G4190"/>
    <mergeCell ref="D4191:G4191"/>
    <mergeCell ref="D4192:G4192"/>
    <mergeCell ref="D4193:G4193"/>
    <mergeCell ref="D4194:G4194"/>
    <mergeCell ref="D4195:G4195"/>
    <mergeCell ref="D4196:G4196"/>
    <mergeCell ref="B4197:G4197"/>
    <mergeCell ref="D4198:G4198"/>
    <mergeCell ref="D4199:G4199"/>
    <mergeCell ref="D4200:G4200"/>
    <mergeCell ref="B4201:G4201"/>
    <mergeCell ref="B4202:G4202"/>
    <mergeCell ref="D4169:G4169"/>
    <mergeCell ref="D4170:G4170"/>
    <mergeCell ref="D4171:G4171"/>
    <mergeCell ref="D4172:G4172"/>
    <mergeCell ref="D4173:G4173"/>
    <mergeCell ref="D4174:G4174"/>
    <mergeCell ref="D4175:G4175"/>
    <mergeCell ref="D4176:G4176"/>
    <mergeCell ref="D4177:G4177"/>
    <mergeCell ref="D4178:G4178"/>
    <mergeCell ref="D4179:G4179"/>
    <mergeCell ref="D4180:G4180"/>
    <mergeCell ref="D4181:G4181"/>
    <mergeCell ref="B4182:G4182"/>
    <mergeCell ref="D4183:G4183"/>
    <mergeCell ref="D4184:G4184"/>
    <mergeCell ref="B4185:G4185"/>
    <mergeCell ref="D4152:G4152"/>
    <mergeCell ref="D4153:G4153"/>
    <mergeCell ref="D4154:G4154"/>
    <mergeCell ref="D4155:G4155"/>
    <mergeCell ref="D4156:G4156"/>
    <mergeCell ref="D4157:G4157"/>
    <mergeCell ref="D4158:G4158"/>
    <mergeCell ref="D4159:G4159"/>
    <mergeCell ref="D4160:G4160"/>
    <mergeCell ref="D4161:G4161"/>
    <mergeCell ref="D4162:G4162"/>
    <mergeCell ref="D4163:G4163"/>
    <mergeCell ref="D4164:G4164"/>
    <mergeCell ref="D4165:G4165"/>
    <mergeCell ref="D4166:G4166"/>
    <mergeCell ref="D4167:G4167"/>
    <mergeCell ref="D4168:G4168"/>
    <mergeCell ref="D4135:G4135"/>
    <mergeCell ref="D4136:G4136"/>
    <mergeCell ref="D4137:G4137"/>
    <mergeCell ref="D4138:G4138"/>
    <mergeCell ref="D4139:G4139"/>
    <mergeCell ref="D4140:G4140"/>
    <mergeCell ref="D4141:G4141"/>
    <mergeCell ref="D4142:G4142"/>
    <mergeCell ref="D4143:G4143"/>
    <mergeCell ref="D4144:G4144"/>
    <mergeCell ref="D4145:G4145"/>
    <mergeCell ref="D4146:G4146"/>
    <mergeCell ref="D4147:G4147"/>
    <mergeCell ref="D4148:G4148"/>
    <mergeCell ref="D4149:G4149"/>
    <mergeCell ref="D4150:G4150"/>
    <mergeCell ref="D4151:G4151"/>
    <mergeCell ref="D4118:G4118"/>
    <mergeCell ref="D4119:G4119"/>
    <mergeCell ref="D4120:G4120"/>
    <mergeCell ref="D4121:G4121"/>
    <mergeCell ref="D4122:G4122"/>
    <mergeCell ref="D4123:G4123"/>
    <mergeCell ref="D4124:G4124"/>
    <mergeCell ref="D4125:G4125"/>
    <mergeCell ref="D4126:G4126"/>
    <mergeCell ref="D4127:G4127"/>
    <mergeCell ref="D4128:G4128"/>
    <mergeCell ref="D4129:G4129"/>
    <mergeCell ref="D4130:G4130"/>
    <mergeCell ref="D4131:G4131"/>
    <mergeCell ref="D4132:G4132"/>
    <mergeCell ref="D4133:G4133"/>
    <mergeCell ref="D4134:G4134"/>
    <mergeCell ref="D4101:G4101"/>
    <mergeCell ref="D4102:G4102"/>
    <mergeCell ref="D4103:G4103"/>
    <mergeCell ref="D4104:G4104"/>
    <mergeCell ref="D4105:G4105"/>
    <mergeCell ref="D4106:G4106"/>
    <mergeCell ref="D4107:G4107"/>
    <mergeCell ref="D4108:G4108"/>
    <mergeCell ref="D4109:G4109"/>
    <mergeCell ref="D4110:G4110"/>
    <mergeCell ref="D4111:G4111"/>
    <mergeCell ref="D4112:G4112"/>
    <mergeCell ref="D4113:G4113"/>
    <mergeCell ref="D4114:G4114"/>
    <mergeCell ref="D4115:G4115"/>
    <mergeCell ref="D4116:G4116"/>
    <mergeCell ref="D4117:G4117"/>
    <mergeCell ref="D4084:G4084"/>
    <mergeCell ref="B4085:G4085"/>
    <mergeCell ref="D4086:G4086"/>
    <mergeCell ref="D4087:G4087"/>
    <mergeCell ref="D4088:G4088"/>
    <mergeCell ref="D4089:G4089"/>
    <mergeCell ref="D4090:G4090"/>
    <mergeCell ref="D4091:G4091"/>
    <mergeCell ref="D4092:G4092"/>
    <mergeCell ref="D4093:G4093"/>
    <mergeCell ref="D4094:G4094"/>
    <mergeCell ref="D4095:G4095"/>
    <mergeCell ref="D4096:G4096"/>
    <mergeCell ref="D4097:G4097"/>
    <mergeCell ref="B4098:G4098"/>
    <mergeCell ref="B4099:G4099"/>
    <mergeCell ref="D4100:G4100"/>
    <mergeCell ref="B4067:G4067"/>
    <mergeCell ref="D4068:G4068"/>
    <mergeCell ref="D4069:G4069"/>
    <mergeCell ref="D4070:G4070"/>
    <mergeCell ref="D4071:G4071"/>
    <mergeCell ref="D4072:G4072"/>
    <mergeCell ref="D4073:G4073"/>
    <mergeCell ref="D4074:G4074"/>
    <mergeCell ref="D4075:G4075"/>
    <mergeCell ref="D4076:G4076"/>
    <mergeCell ref="D4077:G4077"/>
    <mergeCell ref="D4078:G4078"/>
    <mergeCell ref="D4079:G4079"/>
    <mergeCell ref="D4080:G4080"/>
    <mergeCell ref="D4081:G4081"/>
    <mergeCell ref="D4082:G4082"/>
    <mergeCell ref="D4083:G4083"/>
    <mergeCell ref="D4050:G4050"/>
    <mergeCell ref="D4051:G4051"/>
    <mergeCell ref="D4052:G4052"/>
    <mergeCell ref="D4053:G4053"/>
    <mergeCell ref="D4054:G4054"/>
    <mergeCell ref="D4055:G4055"/>
    <mergeCell ref="D4056:G4056"/>
    <mergeCell ref="B4057:G4057"/>
    <mergeCell ref="D4058:G4058"/>
    <mergeCell ref="D4059:G4059"/>
    <mergeCell ref="D4060:G4060"/>
    <mergeCell ref="D4061:G4061"/>
    <mergeCell ref="D4062:G4062"/>
    <mergeCell ref="D4063:G4063"/>
    <mergeCell ref="D4064:G4064"/>
    <mergeCell ref="D4065:G4065"/>
    <mergeCell ref="D4066:G4066"/>
    <mergeCell ref="D4033:G4033"/>
    <mergeCell ref="D4034:G4034"/>
    <mergeCell ref="B4035:G4035"/>
    <mergeCell ref="D4036:G4036"/>
    <mergeCell ref="D4037:G4037"/>
    <mergeCell ref="D4038:G4038"/>
    <mergeCell ref="D4039:G4039"/>
    <mergeCell ref="D4040:G4040"/>
    <mergeCell ref="D4041:G4041"/>
    <mergeCell ref="D4042:G4042"/>
    <mergeCell ref="D4043:G4043"/>
    <mergeCell ref="D4044:G4044"/>
    <mergeCell ref="D4045:G4045"/>
    <mergeCell ref="D4046:G4046"/>
    <mergeCell ref="D4047:G4047"/>
    <mergeCell ref="D4048:G4048"/>
    <mergeCell ref="D4049:G4049"/>
    <mergeCell ref="D4016:G4016"/>
    <mergeCell ref="D4017:G4017"/>
    <mergeCell ref="D4018:G4018"/>
    <mergeCell ref="D4019:G4019"/>
    <mergeCell ref="D4020:G4020"/>
    <mergeCell ref="D4021:G4021"/>
    <mergeCell ref="D4022:G4022"/>
    <mergeCell ref="D4023:G4023"/>
    <mergeCell ref="B4024:G4024"/>
    <mergeCell ref="D4025:G4025"/>
    <mergeCell ref="D4026:G4026"/>
    <mergeCell ref="D4027:G4027"/>
    <mergeCell ref="D4028:G4028"/>
    <mergeCell ref="B4029:G4029"/>
    <mergeCell ref="B4030:G4030"/>
    <mergeCell ref="B4031:G4031"/>
    <mergeCell ref="D4032:G4032"/>
    <mergeCell ref="D3999:G3999"/>
    <mergeCell ref="D4000:G4000"/>
    <mergeCell ref="D4001:G4001"/>
    <mergeCell ref="D4002:G4002"/>
    <mergeCell ref="D4003:G4003"/>
    <mergeCell ref="D4004:G4004"/>
    <mergeCell ref="D4005:G4005"/>
    <mergeCell ref="D4006:G4006"/>
    <mergeCell ref="D4007:G4007"/>
    <mergeCell ref="D4008:G4008"/>
    <mergeCell ref="D4009:G4009"/>
    <mergeCell ref="D4010:G4010"/>
    <mergeCell ref="D4011:G4011"/>
    <mergeCell ref="D4012:G4012"/>
    <mergeCell ref="D4013:G4013"/>
    <mergeCell ref="B4014:G4014"/>
    <mergeCell ref="B4015:G4015"/>
    <mergeCell ref="D3982:G3982"/>
    <mergeCell ref="D3983:G3983"/>
    <mergeCell ref="D3984:G3984"/>
    <mergeCell ref="D3985:G3985"/>
    <mergeCell ref="D3986:G3986"/>
    <mergeCell ref="D3987:G3987"/>
    <mergeCell ref="D3988:G3988"/>
    <mergeCell ref="D3989:G3989"/>
    <mergeCell ref="D3990:G3990"/>
    <mergeCell ref="D3991:G3991"/>
    <mergeCell ref="D3992:G3992"/>
    <mergeCell ref="D3993:G3993"/>
    <mergeCell ref="D3994:G3994"/>
    <mergeCell ref="D3995:G3995"/>
    <mergeCell ref="D3996:G3996"/>
    <mergeCell ref="D3997:G3997"/>
    <mergeCell ref="D3998:G3998"/>
    <mergeCell ref="D3965:G3965"/>
    <mergeCell ref="D3966:G3966"/>
    <mergeCell ref="D3967:G3967"/>
    <mergeCell ref="D3968:G3968"/>
    <mergeCell ref="D3969:G3969"/>
    <mergeCell ref="D3970:G3970"/>
    <mergeCell ref="D3971:G3971"/>
    <mergeCell ref="D3972:G3972"/>
    <mergeCell ref="D3973:G3973"/>
    <mergeCell ref="D3974:G3974"/>
    <mergeCell ref="D3975:G3975"/>
    <mergeCell ref="D3976:G3976"/>
    <mergeCell ref="D3977:G3977"/>
    <mergeCell ref="D3978:G3978"/>
    <mergeCell ref="D3979:G3979"/>
    <mergeCell ref="D3980:G3980"/>
    <mergeCell ref="D3981:G3981"/>
    <mergeCell ref="D3948:G3948"/>
    <mergeCell ref="D3949:G3949"/>
    <mergeCell ref="D3950:G3950"/>
    <mergeCell ref="D3951:G3951"/>
    <mergeCell ref="B3952:G3952"/>
    <mergeCell ref="D3953:G3953"/>
    <mergeCell ref="B3954:G3954"/>
    <mergeCell ref="B3955:G3955"/>
    <mergeCell ref="D3956:G3956"/>
    <mergeCell ref="D3957:G3957"/>
    <mergeCell ref="D3958:G3958"/>
    <mergeCell ref="D3959:G3959"/>
    <mergeCell ref="D3960:G3960"/>
    <mergeCell ref="D3961:G3961"/>
    <mergeCell ref="D3962:G3962"/>
    <mergeCell ref="D3963:G3963"/>
    <mergeCell ref="D3964:G3964"/>
    <mergeCell ref="D3931:G3931"/>
    <mergeCell ref="D3932:G3932"/>
    <mergeCell ref="D3933:G3933"/>
    <mergeCell ref="D3934:G3934"/>
    <mergeCell ref="D3935:G3935"/>
    <mergeCell ref="D3936:G3936"/>
    <mergeCell ref="D3937:G3937"/>
    <mergeCell ref="D3938:G3938"/>
    <mergeCell ref="D3939:G3939"/>
    <mergeCell ref="D3940:G3940"/>
    <mergeCell ref="D3941:G3941"/>
    <mergeCell ref="D3942:G3942"/>
    <mergeCell ref="D3943:G3943"/>
    <mergeCell ref="D3944:G3944"/>
    <mergeCell ref="D3945:G3945"/>
    <mergeCell ref="D3946:G3946"/>
    <mergeCell ref="D3947:G3947"/>
    <mergeCell ref="D3914:G3914"/>
    <mergeCell ref="D3915:G3915"/>
    <mergeCell ref="B3916:G3916"/>
    <mergeCell ref="D3917:G3917"/>
    <mergeCell ref="D3918:G3918"/>
    <mergeCell ref="B3919:G3919"/>
    <mergeCell ref="B3920:G3920"/>
    <mergeCell ref="D3921:G3921"/>
    <mergeCell ref="B3922:G3922"/>
    <mergeCell ref="B3923:G3923"/>
    <mergeCell ref="B3924:G3924"/>
    <mergeCell ref="D3925:G3925"/>
    <mergeCell ref="D3926:G3926"/>
    <mergeCell ref="D3927:G3927"/>
    <mergeCell ref="D3928:G3928"/>
    <mergeCell ref="D3929:G3929"/>
    <mergeCell ref="D3930:G3930"/>
    <mergeCell ref="D3897:G3897"/>
    <mergeCell ref="B3898:G3898"/>
    <mergeCell ref="D3899:G3899"/>
    <mergeCell ref="D3900:G3900"/>
    <mergeCell ref="D3901:G3901"/>
    <mergeCell ref="D3902:G3902"/>
    <mergeCell ref="B3903:G3903"/>
    <mergeCell ref="B3904:G3904"/>
    <mergeCell ref="D3905:G3905"/>
    <mergeCell ref="D3906:G3906"/>
    <mergeCell ref="D3907:G3907"/>
    <mergeCell ref="D3908:G3908"/>
    <mergeCell ref="D3909:G3909"/>
    <mergeCell ref="D3910:G3910"/>
    <mergeCell ref="D3911:G3911"/>
    <mergeCell ref="D3912:G3912"/>
    <mergeCell ref="D3913:G3913"/>
    <mergeCell ref="D3880:G3880"/>
    <mergeCell ref="D3881:G3881"/>
    <mergeCell ref="D3882:G3882"/>
    <mergeCell ref="D3883:G3883"/>
    <mergeCell ref="D3884:G3884"/>
    <mergeCell ref="D3885:G3885"/>
    <mergeCell ref="D3886:G3886"/>
    <mergeCell ref="D3887:G3887"/>
    <mergeCell ref="D3888:G3888"/>
    <mergeCell ref="D3889:G3889"/>
    <mergeCell ref="D3890:G3890"/>
    <mergeCell ref="D3891:G3891"/>
    <mergeCell ref="D3892:G3892"/>
    <mergeCell ref="D3893:G3893"/>
    <mergeCell ref="D3894:G3894"/>
    <mergeCell ref="D3895:G3895"/>
    <mergeCell ref="D3896:G3896"/>
    <mergeCell ref="D3863:G3863"/>
    <mergeCell ref="D3864:G3864"/>
    <mergeCell ref="D3865:G3865"/>
    <mergeCell ref="D3866:G3866"/>
    <mergeCell ref="D3867:G3867"/>
    <mergeCell ref="D3868:G3868"/>
    <mergeCell ref="D3869:G3869"/>
    <mergeCell ref="D3870:G3870"/>
    <mergeCell ref="D3871:G3871"/>
    <mergeCell ref="D3872:G3872"/>
    <mergeCell ref="D3873:G3873"/>
    <mergeCell ref="D3874:G3874"/>
    <mergeCell ref="D3875:G3875"/>
    <mergeCell ref="D3876:G3876"/>
    <mergeCell ref="D3877:G3877"/>
    <mergeCell ref="D3878:G3878"/>
    <mergeCell ref="D3879:G3879"/>
    <mergeCell ref="D3846:G3846"/>
    <mergeCell ref="D3847:G3847"/>
    <mergeCell ref="D3848:G3848"/>
    <mergeCell ref="D3849:G3849"/>
    <mergeCell ref="D3850:G3850"/>
    <mergeCell ref="D3851:G3851"/>
    <mergeCell ref="D3852:G3852"/>
    <mergeCell ref="D3853:G3853"/>
    <mergeCell ref="D3854:G3854"/>
    <mergeCell ref="D3855:G3855"/>
    <mergeCell ref="D3856:G3856"/>
    <mergeCell ref="D3857:G3857"/>
    <mergeCell ref="D3858:G3858"/>
    <mergeCell ref="D3859:G3859"/>
    <mergeCell ref="D3860:G3860"/>
    <mergeCell ref="D3861:G3861"/>
    <mergeCell ref="D3862:G3862"/>
    <mergeCell ref="D3829:G3829"/>
    <mergeCell ref="D3830:G3830"/>
    <mergeCell ref="D3831:G3831"/>
    <mergeCell ref="D3832:G3832"/>
    <mergeCell ref="D3833:G3833"/>
    <mergeCell ref="D3834:G3834"/>
    <mergeCell ref="D3835:G3835"/>
    <mergeCell ref="D3836:G3836"/>
    <mergeCell ref="D3837:G3837"/>
    <mergeCell ref="D3838:G3838"/>
    <mergeCell ref="D3839:G3839"/>
    <mergeCell ref="D3840:G3840"/>
    <mergeCell ref="D3841:G3841"/>
    <mergeCell ref="D3842:G3842"/>
    <mergeCell ref="D3843:G3843"/>
    <mergeCell ref="D3844:G3844"/>
    <mergeCell ref="D3845:G3845"/>
    <mergeCell ref="D3812:G3812"/>
    <mergeCell ref="D3813:G3813"/>
    <mergeCell ref="B3814:G3814"/>
    <mergeCell ref="B3815:G3815"/>
    <mergeCell ref="D3816:G3816"/>
    <mergeCell ref="D3817:G3817"/>
    <mergeCell ref="D3818:G3818"/>
    <mergeCell ref="D3819:G3819"/>
    <mergeCell ref="D3820:G3820"/>
    <mergeCell ref="D3821:G3821"/>
    <mergeCell ref="D3822:G3822"/>
    <mergeCell ref="D3823:G3823"/>
    <mergeCell ref="D3824:G3824"/>
    <mergeCell ref="D3825:G3825"/>
    <mergeCell ref="D3826:G3826"/>
    <mergeCell ref="D3827:G3827"/>
    <mergeCell ref="D3828:G3828"/>
    <mergeCell ref="D3795:G3795"/>
    <mergeCell ref="D3796:G3796"/>
    <mergeCell ref="D3797:G3797"/>
    <mergeCell ref="D3798:G3798"/>
    <mergeCell ref="D3799:G3799"/>
    <mergeCell ref="D3800:G3800"/>
    <mergeCell ref="D3801:G3801"/>
    <mergeCell ref="D3802:G3802"/>
    <mergeCell ref="D3803:G3803"/>
    <mergeCell ref="D3804:G3804"/>
    <mergeCell ref="D3805:G3805"/>
    <mergeCell ref="D3806:G3806"/>
    <mergeCell ref="D3807:G3807"/>
    <mergeCell ref="D3808:G3808"/>
    <mergeCell ref="D3809:G3809"/>
    <mergeCell ref="D3810:G3810"/>
    <mergeCell ref="D3811:G3811"/>
    <mergeCell ref="D3778:G3778"/>
    <mergeCell ref="D3779:G3779"/>
    <mergeCell ref="D3780:G3780"/>
    <mergeCell ref="D3781:G3781"/>
    <mergeCell ref="D3782:G3782"/>
    <mergeCell ref="D3783:G3783"/>
    <mergeCell ref="D3784:G3784"/>
    <mergeCell ref="D3785:G3785"/>
    <mergeCell ref="B3786:G3786"/>
    <mergeCell ref="D3787:G3787"/>
    <mergeCell ref="D3788:G3788"/>
    <mergeCell ref="D3789:G3789"/>
    <mergeCell ref="D3790:G3790"/>
    <mergeCell ref="D3791:G3791"/>
    <mergeCell ref="D3792:G3792"/>
    <mergeCell ref="D3793:G3793"/>
    <mergeCell ref="D3794:G3794"/>
    <mergeCell ref="D3761:G3761"/>
    <mergeCell ref="B3762:G3762"/>
    <mergeCell ref="D3763:G3763"/>
    <mergeCell ref="D3764:G3764"/>
    <mergeCell ref="D3765:G3765"/>
    <mergeCell ref="D3766:G3766"/>
    <mergeCell ref="D3767:G3767"/>
    <mergeCell ref="D3768:G3768"/>
    <mergeCell ref="D3769:G3769"/>
    <mergeCell ref="D3770:G3770"/>
    <mergeCell ref="D3771:G3771"/>
    <mergeCell ref="D3772:G3772"/>
    <mergeCell ref="D3773:G3773"/>
    <mergeCell ref="D3774:G3774"/>
    <mergeCell ref="B3775:G3775"/>
    <mergeCell ref="D3776:G3776"/>
    <mergeCell ref="D3777:G3777"/>
    <mergeCell ref="D3744:G3744"/>
    <mergeCell ref="B3745:G3745"/>
    <mergeCell ref="B3746:G3746"/>
    <mergeCell ref="B3747:G3747"/>
    <mergeCell ref="D3748:G3748"/>
    <mergeCell ref="D3749:G3749"/>
    <mergeCell ref="D3750:G3750"/>
    <mergeCell ref="D3751:G3751"/>
    <mergeCell ref="D3752:G3752"/>
    <mergeCell ref="D3753:G3753"/>
    <mergeCell ref="D3754:G3754"/>
    <mergeCell ref="D3755:G3755"/>
    <mergeCell ref="D3756:G3756"/>
    <mergeCell ref="D3757:G3757"/>
    <mergeCell ref="D3758:G3758"/>
    <mergeCell ref="D3759:G3759"/>
    <mergeCell ref="D3760:G3760"/>
    <mergeCell ref="D3727:G3727"/>
    <mergeCell ref="D3728:G3728"/>
    <mergeCell ref="D3729:G3729"/>
    <mergeCell ref="D3730:G3730"/>
    <mergeCell ref="D3731:G3731"/>
    <mergeCell ref="D3732:G3732"/>
    <mergeCell ref="D3733:G3733"/>
    <mergeCell ref="D3734:G3734"/>
    <mergeCell ref="D3735:G3735"/>
    <mergeCell ref="D3736:G3736"/>
    <mergeCell ref="D3737:G3737"/>
    <mergeCell ref="D3738:G3738"/>
    <mergeCell ref="D3739:G3739"/>
    <mergeCell ref="D3740:G3740"/>
    <mergeCell ref="B3741:G3741"/>
    <mergeCell ref="B3742:G3742"/>
    <mergeCell ref="D3743:G3743"/>
    <mergeCell ref="D3710:G3710"/>
    <mergeCell ref="D3711:G3711"/>
    <mergeCell ref="D3712:G3712"/>
    <mergeCell ref="D3713:G3713"/>
    <mergeCell ref="B3714:G3714"/>
    <mergeCell ref="B3715:G3715"/>
    <mergeCell ref="B3716:G3716"/>
    <mergeCell ref="D3717:G3717"/>
    <mergeCell ref="D3718:G3718"/>
    <mergeCell ref="D3719:G3719"/>
    <mergeCell ref="B3720:G3720"/>
    <mergeCell ref="D3721:G3721"/>
    <mergeCell ref="D3722:G3722"/>
    <mergeCell ref="D3723:G3723"/>
    <mergeCell ref="D3724:G3724"/>
    <mergeCell ref="D3725:G3725"/>
    <mergeCell ref="D3726:G3726"/>
    <mergeCell ref="D3693:G3693"/>
    <mergeCell ref="B3694:G3694"/>
    <mergeCell ref="D3695:G3695"/>
    <mergeCell ref="D3696:G3696"/>
    <mergeCell ref="D3697:G3697"/>
    <mergeCell ref="B3698:G3698"/>
    <mergeCell ref="B3699:G3699"/>
    <mergeCell ref="D3700:G3700"/>
    <mergeCell ref="D3701:G3701"/>
    <mergeCell ref="B3702:G3702"/>
    <mergeCell ref="B3703:G3703"/>
    <mergeCell ref="D3704:G3704"/>
    <mergeCell ref="B3705:G3705"/>
    <mergeCell ref="D3706:G3706"/>
    <mergeCell ref="D3707:G3707"/>
    <mergeCell ref="D3708:G3708"/>
    <mergeCell ref="D3709:G3709"/>
    <mergeCell ref="D3676:G3676"/>
    <mergeCell ref="D3677:G3677"/>
    <mergeCell ref="D3678:G3678"/>
    <mergeCell ref="D3679:G3679"/>
    <mergeCell ref="D3680:G3680"/>
    <mergeCell ref="D3681:G3681"/>
    <mergeCell ref="D3682:G3682"/>
    <mergeCell ref="D3683:G3683"/>
    <mergeCell ref="D3684:G3684"/>
    <mergeCell ref="D3685:G3685"/>
    <mergeCell ref="D3686:G3686"/>
    <mergeCell ref="D3687:G3687"/>
    <mergeCell ref="D3688:G3688"/>
    <mergeCell ref="D3689:G3689"/>
    <mergeCell ref="D3690:G3690"/>
    <mergeCell ref="D3691:G3691"/>
    <mergeCell ref="D3692:G3692"/>
    <mergeCell ref="D3659:G3659"/>
    <mergeCell ref="D3660:G3660"/>
    <mergeCell ref="D3661:G3661"/>
    <mergeCell ref="B3662:G3662"/>
    <mergeCell ref="B3663:G3663"/>
    <mergeCell ref="D3664:G3664"/>
    <mergeCell ref="D3665:G3665"/>
    <mergeCell ref="D3666:G3666"/>
    <mergeCell ref="D3667:G3667"/>
    <mergeCell ref="D3668:G3668"/>
    <mergeCell ref="D3669:G3669"/>
    <mergeCell ref="D3670:G3670"/>
    <mergeCell ref="D3671:G3671"/>
    <mergeCell ref="D3672:G3672"/>
    <mergeCell ref="D3673:G3673"/>
    <mergeCell ref="D3674:G3674"/>
    <mergeCell ref="D3675:G3675"/>
    <mergeCell ref="D3642:G3642"/>
    <mergeCell ref="D3643:G3643"/>
    <mergeCell ref="D3644:G3644"/>
    <mergeCell ref="D3645:G3645"/>
    <mergeCell ref="D3646:G3646"/>
    <mergeCell ref="D3647:G3647"/>
    <mergeCell ref="D3648:G3648"/>
    <mergeCell ref="D3649:G3649"/>
    <mergeCell ref="D3650:G3650"/>
    <mergeCell ref="D3651:G3651"/>
    <mergeCell ref="D3652:G3652"/>
    <mergeCell ref="D3653:G3653"/>
    <mergeCell ref="D3654:G3654"/>
    <mergeCell ref="D3655:G3655"/>
    <mergeCell ref="D3656:G3656"/>
    <mergeCell ref="D3657:G3657"/>
    <mergeCell ref="D3658:G3658"/>
    <mergeCell ref="D3625:G3625"/>
    <mergeCell ref="D3626:G3626"/>
    <mergeCell ref="B3627:G3627"/>
    <mergeCell ref="B3628:G3628"/>
    <mergeCell ref="D3629:G3629"/>
    <mergeCell ref="D3630:G3630"/>
    <mergeCell ref="D3631:G3631"/>
    <mergeCell ref="D3632:G3632"/>
    <mergeCell ref="D3633:G3633"/>
    <mergeCell ref="D3634:G3634"/>
    <mergeCell ref="D3635:G3635"/>
    <mergeCell ref="D3636:G3636"/>
    <mergeCell ref="D3637:G3637"/>
    <mergeCell ref="D3638:G3638"/>
    <mergeCell ref="D3639:G3639"/>
    <mergeCell ref="D3640:G3640"/>
    <mergeCell ref="D3641:G3641"/>
    <mergeCell ref="D3608:G3608"/>
    <mergeCell ref="D3609:G3609"/>
    <mergeCell ref="D3610:G3610"/>
    <mergeCell ref="D3611:G3611"/>
    <mergeCell ref="D3612:G3612"/>
    <mergeCell ref="D3613:G3613"/>
    <mergeCell ref="D3614:G3614"/>
    <mergeCell ref="D3615:G3615"/>
    <mergeCell ref="D3616:G3616"/>
    <mergeCell ref="D3617:G3617"/>
    <mergeCell ref="D3618:G3618"/>
    <mergeCell ref="D3619:G3619"/>
    <mergeCell ref="D3620:G3620"/>
    <mergeCell ref="D3621:G3621"/>
    <mergeCell ref="D3622:G3622"/>
    <mergeCell ref="D3623:G3623"/>
    <mergeCell ref="B3624:G3624"/>
    <mergeCell ref="D3591:G3591"/>
    <mergeCell ref="D3592:G3592"/>
    <mergeCell ref="D3593:G3593"/>
    <mergeCell ref="D3594:G3594"/>
    <mergeCell ref="D3595:G3595"/>
    <mergeCell ref="D3596:G3596"/>
    <mergeCell ref="D3597:G3597"/>
    <mergeCell ref="D3598:G3598"/>
    <mergeCell ref="D3599:G3599"/>
    <mergeCell ref="D3600:G3600"/>
    <mergeCell ref="D3601:G3601"/>
    <mergeCell ref="D3602:G3602"/>
    <mergeCell ref="B3603:G3603"/>
    <mergeCell ref="B3604:G3604"/>
    <mergeCell ref="D3605:G3605"/>
    <mergeCell ref="D3606:G3606"/>
    <mergeCell ref="D3607:G3607"/>
    <mergeCell ref="B3574:G3574"/>
    <mergeCell ref="B3575:G3575"/>
    <mergeCell ref="B3576:G3576"/>
    <mergeCell ref="D3577:G3577"/>
    <mergeCell ref="D3578:G3578"/>
    <mergeCell ref="D3579:G3579"/>
    <mergeCell ref="D3580:G3580"/>
    <mergeCell ref="D3581:G3581"/>
    <mergeCell ref="D3582:G3582"/>
    <mergeCell ref="D3583:G3583"/>
    <mergeCell ref="D3584:G3584"/>
    <mergeCell ref="D3585:G3585"/>
    <mergeCell ref="D3586:G3586"/>
    <mergeCell ref="D3587:G3587"/>
    <mergeCell ref="D3588:G3588"/>
    <mergeCell ref="D3589:G3589"/>
    <mergeCell ref="B3590:G3590"/>
    <mergeCell ref="D3557:G3557"/>
    <mergeCell ref="D3558:G3558"/>
    <mergeCell ref="B3559:G3559"/>
    <mergeCell ref="D3560:G3560"/>
    <mergeCell ref="B3561:G3561"/>
    <mergeCell ref="B3562:G3562"/>
    <mergeCell ref="B3563:G3563"/>
    <mergeCell ref="B3564:G3564"/>
    <mergeCell ref="B3565:G3565"/>
    <mergeCell ref="D3566:G3566"/>
    <mergeCell ref="D3567:G3567"/>
    <mergeCell ref="B3568:G3568"/>
    <mergeCell ref="D3569:G3569"/>
    <mergeCell ref="D3570:G3570"/>
    <mergeCell ref="B3571:G3571"/>
    <mergeCell ref="D3572:G3572"/>
    <mergeCell ref="D3573:G3573"/>
    <mergeCell ref="B3540:G3540"/>
    <mergeCell ref="B3541:G3541"/>
    <mergeCell ref="D3542:G3542"/>
    <mergeCell ref="D3543:G3543"/>
    <mergeCell ref="D3544:G3544"/>
    <mergeCell ref="D3545:G3545"/>
    <mergeCell ref="B3546:G3546"/>
    <mergeCell ref="D3547:G3547"/>
    <mergeCell ref="D3548:G3548"/>
    <mergeCell ref="D3549:G3549"/>
    <mergeCell ref="B3550:G3550"/>
    <mergeCell ref="D3551:G3551"/>
    <mergeCell ref="D3552:G3552"/>
    <mergeCell ref="D3553:G3553"/>
    <mergeCell ref="D3554:G3554"/>
    <mergeCell ref="D3555:G3555"/>
    <mergeCell ref="B3556:G3556"/>
    <mergeCell ref="D3523:G3523"/>
    <mergeCell ref="D3524:G3524"/>
    <mergeCell ref="D3525:G3525"/>
    <mergeCell ref="D3526:G3526"/>
    <mergeCell ref="B3527:G3527"/>
    <mergeCell ref="D3528:G3528"/>
    <mergeCell ref="D3529:G3529"/>
    <mergeCell ref="B3530:G3530"/>
    <mergeCell ref="D3531:G3531"/>
    <mergeCell ref="D3532:G3532"/>
    <mergeCell ref="D3533:G3533"/>
    <mergeCell ref="B3534:G3534"/>
    <mergeCell ref="D3535:G3535"/>
    <mergeCell ref="D3536:G3536"/>
    <mergeCell ref="D3537:G3537"/>
    <mergeCell ref="D3538:G3538"/>
    <mergeCell ref="D3539:G3539"/>
    <mergeCell ref="D3506:G3506"/>
    <mergeCell ref="D3507:G3507"/>
    <mergeCell ref="D3508:G3508"/>
    <mergeCell ref="D3509:G3509"/>
    <mergeCell ref="D3510:G3510"/>
    <mergeCell ref="B3511:G3511"/>
    <mergeCell ref="B3512:G3512"/>
    <mergeCell ref="D3513:G3513"/>
    <mergeCell ref="D3514:G3514"/>
    <mergeCell ref="D3515:G3515"/>
    <mergeCell ref="D3516:G3516"/>
    <mergeCell ref="D3517:G3517"/>
    <mergeCell ref="D3518:G3518"/>
    <mergeCell ref="D3519:G3519"/>
    <mergeCell ref="D3520:G3520"/>
    <mergeCell ref="D3521:G3521"/>
    <mergeCell ref="D3522:G3522"/>
    <mergeCell ref="B3489:G3489"/>
    <mergeCell ref="D3490:G3490"/>
    <mergeCell ref="D3491:G3491"/>
    <mergeCell ref="B3492:G3492"/>
    <mergeCell ref="D3493:G3493"/>
    <mergeCell ref="B3494:G3494"/>
    <mergeCell ref="D3495:G3495"/>
    <mergeCell ref="B3496:G3496"/>
    <mergeCell ref="D3497:G3497"/>
    <mergeCell ref="B3498:G3498"/>
    <mergeCell ref="D3499:G3499"/>
    <mergeCell ref="D3500:G3500"/>
    <mergeCell ref="B3501:G3501"/>
    <mergeCell ref="D3502:G3502"/>
    <mergeCell ref="B3503:G3503"/>
    <mergeCell ref="B3504:G3504"/>
    <mergeCell ref="D3505:G3505"/>
    <mergeCell ref="D3472:G3472"/>
    <mergeCell ref="D3473:G3473"/>
    <mergeCell ref="D3474:G3474"/>
    <mergeCell ref="D3475:G3475"/>
    <mergeCell ref="D3476:G3476"/>
    <mergeCell ref="D3477:G3477"/>
    <mergeCell ref="D3478:G3478"/>
    <mergeCell ref="D3479:G3479"/>
    <mergeCell ref="D3480:G3480"/>
    <mergeCell ref="D3481:G3481"/>
    <mergeCell ref="D3482:G3482"/>
    <mergeCell ref="D3483:G3483"/>
    <mergeCell ref="D3484:G3484"/>
    <mergeCell ref="D3485:G3485"/>
    <mergeCell ref="D3486:G3486"/>
    <mergeCell ref="B3487:G3487"/>
    <mergeCell ref="D3488:G3488"/>
    <mergeCell ref="D3455:G3455"/>
    <mergeCell ref="D3456:G3456"/>
    <mergeCell ref="D3457:G3457"/>
    <mergeCell ref="D3458:G3458"/>
    <mergeCell ref="B3459:G3459"/>
    <mergeCell ref="D3460:G3460"/>
    <mergeCell ref="D3461:G3461"/>
    <mergeCell ref="B3462:G3462"/>
    <mergeCell ref="D3463:G3463"/>
    <mergeCell ref="D3464:G3464"/>
    <mergeCell ref="D3465:G3465"/>
    <mergeCell ref="D3466:G3466"/>
    <mergeCell ref="D3467:G3467"/>
    <mergeCell ref="B3468:G3468"/>
    <mergeCell ref="B3469:G3469"/>
    <mergeCell ref="D3470:G3470"/>
    <mergeCell ref="B3471:G3471"/>
    <mergeCell ref="D3438:G3438"/>
    <mergeCell ref="B3439:G3439"/>
    <mergeCell ref="D3440:G3440"/>
    <mergeCell ref="B3441:G3441"/>
    <mergeCell ref="B3442:G3442"/>
    <mergeCell ref="D3443:G3443"/>
    <mergeCell ref="D3444:G3444"/>
    <mergeCell ref="D3445:G3445"/>
    <mergeCell ref="D3446:G3446"/>
    <mergeCell ref="D3447:G3447"/>
    <mergeCell ref="D3448:G3448"/>
    <mergeCell ref="D3449:G3449"/>
    <mergeCell ref="D3450:G3450"/>
    <mergeCell ref="D3451:G3451"/>
    <mergeCell ref="D3452:G3452"/>
    <mergeCell ref="D3453:G3453"/>
    <mergeCell ref="D3454:G3454"/>
    <mergeCell ref="D3421:G3421"/>
    <mergeCell ref="D3422:G3422"/>
    <mergeCell ref="D3423:G3423"/>
    <mergeCell ref="D3424:G3424"/>
    <mergeCell ref="D3425:G3425"/>
    <mergeCell ref="B3426:G3426"/>
    <mergeCell ref="B3427:G3427"/>
    <mergeCell ref="D3428:G3428"/>
    <mergeCell ref="D3429:G3429"/>
    <mergeCell ref="B3430:G3430"/>
    <mergeCell ref="D3431:G3431"/>
    <mergeCell ref="D3432:G3432"/>
    <mergeCell ref="D3433:G3433"/>
    <mergeCell ref="D3434:G3434"/>
    <mergeCell ref="D3435:G3435"/>
    <mergeCell ref="D3436:G3436"/>
    <mergeCell ref="D3437:G3437"/>
    <mergeCell ref="D3404:G3404"/>
    <mergeCell ref="D3405:G3405"/>
    <mergeCell ref="D3406:G3406"/>
    <mergeCell ref="D3407:G3407"/>
    <mergeCell ref="B3408:G3408"/>
    <mergeCell ref="D3409:G3409"/>
    <mergeCell ref="D3410:G3410"/>
    <mergeCell ref="D3411:G3411"/>
    <mergeCell ref="D3412:G3412"/>
    <mergeCell ref="D3413:G3413"/>
    <mergeCell ref="D3414:G3414"/>
    <mergeCell ref="D3415:G3415"/>
    <mergeCell ref="B3416:G3416"/>
    <mergeCell ref="B3417:G3417"/>
    <mergeCell ref="D3418:G3418"/>
    <mergeCell ref="D3419:G3419"/>
    <mergeCell ref="B3420:G3420"/>
    <mergeCell ref="D3387:G3387"/>
    <mergeCell ref="B3388:G3388"/>
    <mergeCell ref="D3389:G3389"/>
    <mergeCell ref="D3390:G3390"/>
    <mergeCell ref="D3391:G3391"/>
    <mergeCell ref="B3392:G3392"/>
    <mergeCell ref="D3393:G3393"/>
    <mergeCell ref="D3394:G3394"/>
    <mergeCell ref="D3395:G3395"/>
    <mergeCell ref="D3396:G3396"/>
    <mergeCell ref="B3397:G3397"/>
    <mergeCell ref="D3398:G3398"/>
    <mergeCell ref="D3399:G3399"/>
    <mergeCell ref="B3400:G3400"/>
    <mergeCell ref="D3401:G3401"/>
    <mergeCell ref="B3402:G3402"/>
    <mergeCell ref="B3403:G3403"/>
    <mergeCell ref="D3370:G3370"/>
    <mergeCell ref="D3371:G3371"/>
    <mergeCell ref="D3372:G3372"/>
    <mergeCell ref="D3373:G3373"/>
    <mergeCell ref="B3374:G3374"/>
    <mergeCell ref="B3375:G3375"/>
    <mergeCell ref="B3376:G3376"/>
    <mergeCell ref="D3377:G3377"/>
    <mergeCell ref="D3378:G3378"/>
    <mergeCell ref="B3379:G3379"/>
    <mergeCell ref="D3380:G3380"/>
    <mergeCell ref="D3381:G3381"/>
    <mergeCell ref="D3382:G3382"/>
    <mergeCell ref="D3383:G3383"/>
    <mergeCell ref="D3384:G3384"/>
    <mergeCell ref="D3385:G3385"/>
    <mergeCell ref="D3386:G3386"/>
    <mergeCell ref="B3353:G3353"/>
    <mergeCell ref="D3354:G3354"/>
    <mergeCell ref="D3355:G3355"/>
    <mergeCell ref="D3356:G3356"/>
    <mergeCell ref="D3357:G3357"/>
    <mergeCell ref="D3358:G3358"/>
    <mergeCell ref="D3359:G3359"/>
    <mergeCell ref="D3360:G3360"/>
    <mergeCell ref="D3361:G3361"/>
    <mergeCell ref="B3362:G3362"/>
    <mergeCell ref="D3363:G3363"/>
    <mergeCell ref="D3364:G3364"/>
    <mergeCell ref="D3365:G3365"/>
    <mergeCell ref="D3366:G3366"/>
    <mergeCell ref="D3367:G3367"/>
    <mergeCell ref="D3368:G3368"/>
    <mergeCell ref="D3369:G3369"/>
    <mergeCell ref="D3336:G3336"/>
    <mergeCell ref="D3337:G3337"/>
    <mergeCell ref="D3338:G3338"/>
    <mergeCell ref="D3339:G3339"/>
    <mergeCell ref="D3340:G3340"/>
    <mergeCell ref="D3341:G3341"/>
    <mergeCell ref="D3342:G3342"/>
    <mergeCell ref="D3343:G3343"/>
    <mergeCell ref="D3344:G3344"/>
    <mergeCell ref="D3345:G3345"/>
    <mergeCell ref="D3346:G3346"/>
    <mergeCell ref="D3347:G3347"/>
    <mergeCell ref="D3348:G3348"/>
    <mergeCell ref="D3349:G3349"/>
    <mergeCell ref="D3350:G3350"/>
    <mergeCell ref="D3351:G3351"/>
    <mergeCell ref="D3352:G3352"/>
    <mergeCell ref="D3319:G3319"/>
    <mergeCell ref="D3320:G3320"/>
    <mergeCell ref="D3321:G3321"/>
    <mergeCell ref="D3322:G3322"/>
    <mergeCell ref="D3323:G3323"/>
    <mergeCell ref="D3324:G3324"/>
    <mergeCell ref="D3325:G3325"/>
    <mergeCell ref="D3326:G3326"/>
    <mergeCell ref="D3327:G3327"/>
    <mergeCell ref="D3328:G3328"/>
    <mergeCell ref="D3329:G3329"/>
    <mergeCell ref="D3330:G3330"/>
    <mergeCell ref="D3331:G3331"/>
    <mergeCell ref="D3332:G3332"/>
    <mergeCell ref="D3333:G3333"/>
    <mergeCell ref="D3334:G3334"/>
    <mergeCell ref="D3335:G3335"/>
    <mergeCell ref="B3302:G3302"/>
    <mergeCell ref="D3303:G3303"/>
    <mergeCell ref="D3304:G3304"/>
    <mergeCell ref="D3305:G3305"/>
    <mergeCell ref="D3306:G3306"/>
    <mergeCell ref="D3307:G3307"/>
    <mergeCell ref="D3308:G3308"/>
    <mergeCell ref="D3309:G3309"/>
    <mergeCell ref="D3310:G3310"/>
    <mergeCell ref="D3311:G3311"/>
    <mergeCell ref="D3312:G3312"/>
    <mergeCell ref="D3313:G3313"/>
    <mergeCell ref="B3314:G3314"/>
    <mergeCell ref="D3315:G3315"/>
    <mergeCell ref="D3316:G3316"/>
    <mergeCell ref="D3317:G3317"/>
    <mergeCell ref="D3318:G3318"/>
    <mergeCell ref="D3285:G3285"/>
    <mergeCell ref="D3286:G3286"/>
    <mergeCell ref="B3287:G3287"/>
    <mergeCell ref="D3288:G3288"/>
    <mergeCell ref="D3289:G3289"/>
    <mergeCell ref="B3290:G3290"/>
    <mergeCell ref="D3291:G3291"/>
    <mergeCell ref="D3292:G3292"/>
    <mergeCell ref="D3293:G3293"/>
    <mergeCell ref="D3294:G3294"/>
    <mergeCell ref="D3295:G3295"/>
    <mergeCell ref="D3296:G3296"/>
    <mergeCell ref="D3297:G3297"/>
    <mergeCell ref="D3298:G3298"/>
    <mergeCell ref="D3299:G3299"/>
    <mergeCell ref="D3300:G3300"/>
    <mergeCell ref="B3301:G3301"/>
    <mergeCell ref="D3268:G3268"/>
    <mergeCell ref="D3269:G3269"/>
    <mergeCell ref="D3270:G3270"/>
    <mergeCell ref="D3271:G3271"/>
    <mergeCell ref="D3272:G3272"/>
    <mergeCell ref="D3273:G3273"/>
    <mergeCell ref="D3274:G3274"/>
    <mergeCell ref="D3275:G3275"/>
    <mergeCell ref="D3276:G3276"/>
    <mergeCell ref="B3277:G3277"/>
    <mergeCell ref="D3278:G3278"/>
    <mergeCell ref="B3279:G3279"/>
    <mergeCell ref="D3280:G3280"/>
    <mergeCell ref="D3281:G3281"/>
    <mergeCell ref="D3282:G3282"/>
    <mergeCell ref="B3283:G3283"/>
    <mergeCell ref="D3284:G3284"/>
    <mergeCell ref="D3251:G3251"/>
    <mergeCell ref="D3252:G3252"/>
    <mergeCell ref="D3253:G3253"/>
    <mergeCell ref="B3254:G3254"/>
    <mergeCell ref="B3255:G3255"/>
    <mergeCell ref="D3256:G3256"/>
    <mergeCell ref="B3257:G3257"/>
    <mergeCell ref="D3258:G3258"/>
    <mergeCell ref="B3259:G3259"/>
    <mergeCell ref="D3260:G3260"/>
    <mergeCell ref="B3261:G3261"/>
    <mergeCell ref="D3262:G3262"/>
    <mergeCell ref="D3263:G3263"/>
    <mergeCell ref="B3264:G3264"/>
    <mergeCell ref="B3265:G3265"/>
    <mergeCell ref="B3266:G3266"/>
    <mergeCell ref="D3267:G3267"/>
    <mergeCell ref="D3234:G3234"/>
    <mergeCell ref="D3235:G3235"/>
    <mergeCell ref="D3236:G3236"/>
    <mergeCell ref="D3237:G3237"/>
    <mergeCell ref="D3238:G3238"/>
    <mergeCell ref="D3239:G3239"/>
    <mergeCell ref="D3240:G3240"/>
    <mergeCell ref="D3241:G3241"/>
    <mergeCell ref="D3242:G3242"/>
    <mergeCell ref="D3243:G3243"/>
    <mergeCell ref="D3244:G3244"/>
    <mergeCell ref="D3245:G3245"/>
    <mergeCell ref="D3246:G3246"/>
    <mergeCell ref="D3247:G3247"/>
    <mergeCell ref="B3248:G3248"/>
    <mergeCell ref="D3249:G3249"/>
    <mergeCell ref="B3250:G3250"/>
    <mergeCell ref="D3217:G3217"/>
    <mergeCell ref="D3218:G3218"/>
    <mergeCell ref="D3219:G3219"/>
    <mergeCell ref="D3220:G3220"/>
    <mergeCell ref="B3221:G3221"/>
    <mergeCell ref="D3222:G3222"/>
    <mergeCell ref="D3223:G3223"/>
    <mergeCell ref="D3224:G3224"/>
    <mergeCell ref="B3225:G3225"/>
    <mergeCell ref="D3226:G3226"/>
    <mergeCell ref="D3227:G3227"/>
    <mergeCell ref="D3228:G3228"/>
    <mergeCell ref="D3229:G3229"/>
    <mergeCell ref="B3230:G3230"/>
    <mergeCell ref="D3231:G3231"/>
    <mergeCell ref="D3232:G3232"/>
    <mergeCell ref="D3233:G3233"/>
    <mergeCell ref="B3200:G3200"/>
    <mergeCell ref="B3201:G3201"/>
    <mergeCell ref="D3202:G3202"/>
    <mergeCell ref="D3203:G3203"/>
    <mergeCell ref="D3204:G3204"/>
    <mergeCell ref="B3205:G3205"/>
    <mergeCell ref="B3206:G3206"/>
    <mergeCell ref="D3207:G3207"/>
    <mergeCell ref="D3208:G3208"/>
    <mergeCell ref="B3209:G3209"/>
    <mergeCell ref="D3210:G3210"/>
    <mergeCell ref="D3211:G3211"/>
    <mergeCell ref="D3212:G3212"/>
    <mergeCell ref="D3213:G3213"/>
    <mergeCell ref="D3214:G3214"/>
    <mergeCell ref="D3215:G3215"/>
    <mergeCell ref="D3216:G3216"/>
    <mergeCell ref="D3183:G3183"/>
    <mergeCell ref="B3184:G3184"/>
    <mergeCell ref="B3185:G3185"/>
    <mergeCell ref="D3186:G3186"/>
    <mergeCell ref="D3187:G3187"/>
    <mergeCell ref="D3188:G3188"/>
    <mergeCell ref="D3189:G3189"/>
    <mergeCell ref="B3190:G3190"/>
    <mergeCell ref="B3191:G3191"/>
    <mergeCell ref="D3192:G3192"/>
    <mergeCell ref="D3193:G3193"/>
    <mergeCell ref="D3194:G3194"/>
    <mergeCell ref="D3195:G3195"/>
    <mergeCell ref="D3196:G3196"/>
    <mergeCell ref="B3197:G3197"/>
    <mergeCell ref="D3198:G3198"/>
    <mergeCell ref="D3199:G3199"/>
    <mergeCell ref="D3166:G3166"/>
    <mergeCell ref="D3167:G3167"/>
    <mergeCell ref="D3168:G3168"/>
    <mergeCell ref="D3169:G3169"/>
    <mergeCell ref="B3170:G3170"/>
    <mergeCell ref="B3171:G3171"/>
    <mergeCell ref="B3172:G3172"/>
    <mergeCell ref="B3173:G3173"/>
    <mergeCell ref="D3174:G3174"/>
    <mergeCell ref="B3175:G3175"/>
    <mergeCell ref="D3176:G3176"/>
    <mergeCell ref="D3177:G3177"/>
    <mergeCell ref="D3178:G3178"/>
    <mergeCell ref="D3179:G3179"/>
    <mergeCell ref="D3180:G3180"/>
    <mergeCell ref="D3181:G3181"/>
    <mergeCell ref="D3182:G3182"/>
    <mergeCell ref="D3149:G3149"/>
    <mergeCell ref="D3150:G3150"/>
    <mergeCell ref="D3151:G3151"/>
    <mergeCell ref="D3152:G3152"/>
    <mergeCell ref="D3153:G3153"/>
    <mergeCell ref="D3154:G3154"/>
    <mergeCell ref="D3155:G3155"/>
    <mergeCell ref="D3156:G3156"/>
    <mergeCell ref="B3157:G3157"/>
    <mergeCell ref="D3158:G3158"/>
    <mergeCell ref="B3159:G3159"/>
    <mergeCell ref="D3160:G3160"/>
    <mergeCell ref="D3161:G3161"/>
    <mergeCell ref="D3162:G3162"/>
    <mergeCell ref="D3163:G3163"/>
    <mergeCell ref="D3164:G3164"/>
    <mergeCell ref="D3165:G3165"/>
    <mergeCell ref="D3132:G3132"/>
    <mergeCell ref="D3133:G3133"/>
    <mergeCell ref="D3134:G3134"/>
    <mergeCell ref="D3135:G3135"/>
    <mergeCell ref="D3136:G3136"/>
    <mergeCell ref="D3137:G3137"/>
    <mergeCell ref="D3138:G3138"/>
    <mergeCell ref="D3139:G3139"/>
    <mergeCell ref="B3140:G3140"/>
    <mergeCell ref="D3141:G3141"/>
    <mergeCell ref="D3142:G3142"/>
    <mergeCell ref="D3143:G3143"/>
    <mergeCell ref="B3144:G3144"/>
    <mergeCell ref="D3145:G3145"/>
    <mergeCell ref="D3146:G3146"/>
    <mergeCell ref="D3147:G3147"/>
    <mergeCell ref="D3148:G3148"/>
    <mergeCell ref="B3115:G3115"/>
    <mergeCell ref="D3116:G3116"/>
    <mergeCell ref="B3117:G3117"/>
    <mergeCell ref="D3118:G3118"/>
    <mergeCell ref="D3119:G3119"/>
    <mergeCell ref="B3120:G3120"/>
    <mergeCell ref="D3121:G3121"/>
    <mergeCell ref="D3122:G3122"/>
    <mergeCell ref="D3123:G3123"/>
    <mergeCell ref="D3124:G3124"/>
    <mergeCell ref="D3125:G3125"/>
    <mergeCell ref="D3126:G3126"/>
    <mergeCell ref="D3127:G3127"/>
    <mergeCell ref="D3128:G3128"/>
    <mergeCell ref="D3129:G3129"/>
    <mergeCell ref="D3130:G3130"/>
    <mergeCell ref="D3131:G3131"/>
    <mergeCell ref="D3098:G3098"/>
    <mergeCell ref="D3099:G3099"/>
    <mergeCell ref="B3100:G3100"/>
    <mergeCell ref="D3101:G3101"/>
    <mergeCell ref="D3102:G3102"/>
    <mergeCell ref="B3103:G3103"/>
    <mergeCell ref="B3104:G3104"/>
    <mergeCell ref="D3105:G3105"/>
    <mergeCell ref="D3106:G3106"/>
    <mergeCell ref="D3107:G3107"/>
    <mergeCell ref="D3108:G3108"/>
    <mergeCell ref="D3109:G3109"/>
    <mergeCell ref="D3110:G3110"/>
    <mergeCell ref="D3111:G3111"/>
    <mergeCell ref="D3112:G3112"/>
    <mergeCell ref="D3113:G3113"/>
    <mergeCell ref="B3114:G3114"/>
    <mergeCell ref="D3081:G3081"/>
    <mergeCell ref="D3082:G3082"/>
    <mergeCell ref="D3083:G3083"/>
    <mergeCell ref="D3084:G3084"/>
    <mergeCell ref="D3085:G3085"/>
    <mergeCell ref="D3086:G3086"/>
    <mergeCell ref="D3087:G3087"/>
    <mergeCell ref="D3088:G3088"/>
    <mergeCell ref="D3089:G3089"/>
    <mergeCell ref="D3090:G3090"/>
    <mergeCell ref="B3091:G3091"/>
    <mergeCell ref="D3092:G3092"/>
    <mergeCell ref="D3093:G3093"/>
    <mergeCell ref="D3094:G3094"/>
    <mergeCell ref="D3095:G3095"/>
    <mergeCell ref="D3096:G3096"/>
    <mergeCell ref="D3097:G3097"/>
    <mergeCell ref="D3064:G3064"/>
    <mergeCell ref="D3065:G3065"/>
    <mergeCell ref="D3066:G3066"/>
    <mergeCell ref="D3067:G3067"/>
    <mergeCell ref="D3068:G3068"/>
    <mergeCell ref="D3069:G3069"/>
    <mergeCell ref="D3070:G3070"/>
    <mergeCell ref="D3071:G3071"/>
    <mergeCell ref="D3072:G3072"/>
    <mergeCell ref="D3073:G3073"/>
    <mergeCell ref="D3074:G3074"/>
    <mergeCell ref="D3075:G3075"/>
    <mergeCell ref="D3076:G3076"/>
    <mergeCell ref="D3077:G3077"/>
    <mergeCell ref="D3078:G3078"/>
    <mergeCell ref="D3079:G3079"/>
    <mergeCell ref="D3080:G3080"/>
    <mergeCell ref="B3047:G3047"/>
    <mergeCell ref="B3048:G3048"/>
    <mergeCell ref="D3049:G3049"/>
    <mergeCell ref="D3050:G3050"/>
    <mergeCell ref="B3051:G3051"/>
    <mergeCell ref="D3052:G3052"/>
    <mergeCell ref="D3053:G3053"/>
    <mergeCell ref="D3054:G3054"/>
    <mergeCell ref="D3055:G3055"/>
    <mergeCell ref="D3056:G3056"/>
    <mergeCell ref="D3057:G3057"/>
    <mergeCell ref="D3058:G3058"/>
    <mergeCell ref="D3059:G3059"/>
    <mergeCell ref="D3060:G3060"/>
    <mergeCell ref="B3061:G3061"/>
    <mergeCell ref="D3062:G3062"/>
    <mergeCell ref="D3063:G3063"/>
    <mergeCell ref="D3030:G3030"/>
    <mergeCell ref="D3031:G3031"/>
    <mergeCell ref="D3032:G3032"/>
    <mergeCell ref="D3033:G3033"/>
    <mergeCell ref="D3034:G3034"/>
    <mergeCell ref="D3035:G3035"/>
    <mergeCell ref="D3036:G3036"/>
    <mergeCell ref="D3037:G3037"/>
    <mergeCell ref="D3038:G3038"/>
    <mergeCell ref="D3039:G3039"/>
    <mergeCell ref="D3040:G3040"/>
    <mergeCell ref="D3041:G3041"/>
    <mergeCell ref="D3042:G3042"/>
    <mergeCell ref="D3043:G3043"/>
    <mergeCell ref="D3044:G3044"/>
    <mergeCell ref="B3045:G3045"/>
    <mergeCell ref="D3046:G3046"/>
    <mergeCell ref="B3013:G3013"/>
    <mergeCell ref="B3014:G3014"/>
    <mergeCell ref="D3015:G3015"/>
    <mergeCell ref="B3016:G3016"/>
    <mergeCell ref="B3017:G3017"/>
    <mergeCell ref="D3018:G3018"/>
    <mergeCell ref="D3019:G3019"/>
    <mergeCell ref="D3020:G3020"/>
    <mergeCell ref="D3021:G3021"/>
    <mergeCell ref="D3022:G3022"/>
    <mergeCell ref="D3023:G3023"/>
    <mergeCell ref="D3024:G3024"/>
    <mergeCell ref="D3025:G3025"/>
    <mergeCell ref="B3026:G3026"/>
    <mergeCell ref="D3027:G3027"/>
    <mergeCell ref="D3028:G3028"/>
    <mergeCell ref="D3029:G3029"/>
    <mergeCell ref="D2996:G2996"/>
    <mergeCell ref="D2997:G2997"/>
    <mergeCell ref="D2998:G2998"/>
    <mergeCell ref="D2999:G2999"/>
    <mergeCell ref="B3000:G3000"/>
    <mergeCell ref="D3001:G3001"/>
    <mergeCell ref="D3002:G3002"/>
    <mergeCell ref="D3003:G3003"/>
    <mergeCell ref="D3004:G3004"/>
    <mergeCell ref="D3005:G3005"/>
    <mergeCell ref="B3006:G3006"/>
    <mergeCell ref="D3007:G3007"/>
    <mergeCell ref="D3008:G3008"/>
    <mergeCell ref="B3009:G3009"/>
    <mergeCell ref="D3010:G3010"/>
    <mergeCell ref="B3011:G3011"/>
    <mergeCell ref="D3012:G3012"/>
    <mergeCell ref="B2979:G2979"/>
    <mergeCell ref="D2980:G2980"/>
    <mergeCell ref="D2981:G2981"/>
    <mergeCell ref="D2982:G2982"/>
    <mergeCell ref="D2983:G2983"/>
    <mergeCell ref="D2984:G2984"/>
    <mergeCell ref="D2985:G2985"/>
    <mergeCell ref="B2986:G2986"/>
    <mergeCell ref="D2987:G2987"/>
    <mergeCell ref="D2988:G2988"/>
    <mergeCell ref="D2989:G2989"/>
    <mergeCell ref="D2990:G2990"/>
    <mergeCell ref="D2991:G2991"/>
    <mergeCell ref="D2992:G2992"/>
    <mergeCell ref="D2993:G2993"/>
    <mergeCell ref="D2994:G2994"/>
    <mergeCell ref="B2995:G2995"/>
    <mergeCell ref="B2962:G2962"/>
    <mergeCell ref="B2963:G2963"/>
    <mergeCell ref="B2964:G2964"/>
    <mergeCell ref="D2965:G2965"/>
    <mergeCell ref="D2966:G2966"/>
    <mergeCell ref="D2967:G2967"/>
    <mergeCell ref="B2968:G2968"/>
    <mergeCell ref="D2969:G2969"/>
    <mergeCell ref="D2970:G2970"/>
    <mergeCell ref="B2971:G2971"/>
    <mergeCell ref="D2972:G2972"/>
    <mergeCell ref="D2973:G2973"/>
    <mergeCell ref="D2974:G2974"/>
    <mergeCell ref="B2975:G2975"/>
    <mergeCell ref="D2976:G2976"/>
    <mergeCell ref="D2977:G2977"/>
    <mergeCell ref="D2978:G2978"/>
    <mergeCell ref="D2945:G2945"/>
    <mergeCell ref="D2946:G2946"/>
    <mergeCell ref="B2947:G2947"/>
    <mergeCell ref="D2948:G2948"/>
    <mergeCell ref="D2949:G2949"/>
    <mergeCell ref="D2950:G2950"/>
    <mergeCell ref="D2951:G2951"/>
    <mergeCell ref="D2952:G2952"/>
    <mergeCell ref="D2953:G2953"/>
    <mergeCell ref="D2954:G2954"/>
    <mergeCell ref="D2955:G2955"/>
    <mergeCell ref="D2956:G2956"/>
    <mergeCell ref="B2957:G2957"/>
    <mergeCell ref="D2958:G2958"/>
    <mergeCell ref="D2959:G2959"/>
    <mergeCell ref="D2960:G2960"/>
    <mergeCell ref="D2961:G2961"/>
    <mergeCell ref="D2928:G2928"/>
    <mergeCell ref="D2929:G2929"/>
    <mergeCell ref="B2930:G2930"/>
    <mergeCell ref="D2931:G2931"/>
    <mergeCell ref="D2932:G2932"/>
    <mergeCell ref="D2933:G2933"/>
    <mergeCell ref="D2934:G2934"/>
    <mergeCell ref="D2935:G2935"/>
    <mergeCell ref="D2936:G2936"/>
    <mergeCell ref="D2937:G2937"/>
    <mergeCell ref="D2938:G2938"/>
    <mergeCell ref="D2939:G2939"/>
    <mergeCell ref="D2940:G2940"/>
    <mergeCell ref="D2941:G2941"/>
    <mergeCell ref="D2942:G2942"/>
    <mergeCell ref="D2943:G2943"/>
    <mergeCell ref="D2944:G2944"/>
    <mergeCell ref="D2911:G2911"/>
    <mergeCell ref="D2912:G2912"/>
    <mergeCell ref="D2913:G2913"/>
    <mergeCell ref="D2914:G2914"/>
    <mergeCell ref="D2915:G2915"/>
    <mergeCell ref="B2916:G2916"/>
    <mergeCell ref="B2917:G2917"/>
    <mergeCell ref="D2918:G2918"/>
    <mergeCell ref="D2919:G2919"/>
    <mergeCell ref="D2920:G2920"/>
    <mergeCell ref="D2921:G2921"/>
    <mergeCell ref="D2922:G2922"/>
    <mergeCell ref="D2923:G2923"/>
    <mergeCell ref="D2924:G2924"/>
    <mergeCell ref="D2925:G2925"/>
    <mergeCell ref="D2926:G2926"/>
    <mergeCell ref="D2927:G2927"/>
    <mergeCell ref="D2894:G2894"/>
    <mergeCell ref="B2895:G2895"/>
    <mergeCell ref="D2896:G2896"/>
    <mergeCell ref="D2897:G2897"/>
    <mergeCell ref="D2898:G2898"/>
    <mergeCell ref="B2899:G2899"/>
    <mergeCell ref="D2900:G2900"/>
    <mergeCell ref="D2901:G2901"/>
    <mergeCell ref="B2902:G2902"/>
    <mergeCell ref="D2903:G2903"/>
    <mergeCell ref="D2904:G2904"/>
    <mergeCell ref="D2905:G2905"/>
    <mergeCell ref="D2906:G2906"/>
    <mergeCell ref="D2907:G2907"/>
    <mergeCell ref="D2908:G2908"/>
    <mergeCell ref="D2909:G2909"/>
    <mergeCell ref="D2910:G2910"/>
    <mergeCell ref="D2877:G2877"/>
    <mergeCell ref="D2878:G2878"/>
    <mergeCell ref="D2879:G2879"/>
    <mergeCell ref="D2880:G2880"/>
    <mergeCell ref="D2881:G2881"/>
    <mergeCell ref="D2882:G2882"/>
    <mergeCell ref="B2883:G2883"/>
    <mergeCell ref="D2884:G2884"/>
    <mergeCell ref="B2885:G2885"/>
    <mergeCell ref="D2886:G2886"/>
    <mergeCell ref="D2887:G2887"/>
    <mergeCell ref="D2888:G2888"/>
    <mergeCell ref="B2889:G2889"/>
    <mergeCell ref="B2890:G2890"/>
    <mergeCell ref="B2891:G2891"/>
    <mergeCell ref="D2892:G2892"/>
    <mergeCell ref="B2893:G2893"/>
    <mergeCell ref="D2860:G2860"/>
    <mergeCell ref="D2861:G2861"/>
    <mergeCell ref="D2862:G2862"/>
    <mergeCell ref="D2863:G2863"/>
    <mergeCell ref="D2864:G2864"/>
    <mergeCell ref="D2865:G2865"/>
    <mergeCell ref="D2866:G2866"/>
    <mergeCell ref="D2867:G2867"/>
    <mergeCell ref="D2868:G2868"/>
    <mergeCell ref="D2869:G2869"/>
    <mergeCell ref="D2870:G2870"/>
    <mergeCell ref="D2871:G2871"/>
    <mergeCell ref="D2872:G2872"/>
    <mergeCell ref="D2873:G2873"/>
    <mergeCell ref="D2874:G2874"/>
    <mergeCell ref="B2875:G2875"/>
    <mergeCell ref="B2876:G2876"/>
    <mergeCell ref="D2843:G2843"/>
    <mergeCell ref="D2844:G2844"/>
    <mergeCell ref="D2845:G2845"/>
    <mergeCell ref="D2846:G2846"/>
    <mergeCell ref="D2847:G2847"/>
    <mergeCell ref="D2848:G2848"/>
    <mergeCell ref="D2849:G2849"/>
    <mergeCell ref="B2850:G2850"/>
    <mergeCell ref="D2851:G2851"/>
    <mergeCell ref="D2852:G2852"/>
    <mergeCell ref="D2853:G2853"/>
    <mergeCell ref="D2854:G2854"/>
    <mergeCell ref="D2855:G2855"/>
    <mergeCell ref="D2856:G2856"/>
    <mergeCell ref="D2857:G2857"/>
    <mergeCell ref="D2858:G2858"/>
    <mergeCell ref="D2859:G2859"/>
    <mergeCell ref="D2826:G2826"/>
    <mergeCell ref="D2827:G2827"/>
    <mergeCell ref="D2828:G2828"/>
    <mergeCell ref="D2829:G2829"/>
    <mergeCell ref="D2830:G2830"/>
    <mergeCell ref="B2831:G2831"/>
    <mergeCell ref="B2832:G2832"/>
    <mergeCell ref="D2833:G2833"/>
    <mergeCell ref="D2834:G2834"/>
    <mergeCell ref="D2835:G2835"/>
    <mergeCell ref="D2836:G2836"/>
    <mergeCell ref="D2837:G2837"/>
    <mergeCell ref="D2838:G2838"/>
    <mergeCell ref="B2839:G2839"/>
    <mergeCell ref="D2840:G2840"/>
    <mergeCell ref="D2841:G2841"/>
    <mergeCell ref="D2842:G2842"/>
    <mergeCell ref="B2809:G2809"/>
    <mergeCell ref="D2810:G2810"/>
    <mergeCell ref="D2811:G2811"/>
    <mergeCell ref="D2812:G2812"/>
    <mergeCell ref="D2813:G2813"/>
    <mergeCell ref="D2814:G2814"/>
    <mergeCell ref="D2815:G2815"/>
    <mergeCell ref="B2816:G2816"/>
    <mergeCell ref="B2817:G2817"/>
    <mergeCell ref="D2818:G2818"/>
    <mergeCell ref="D2819:G2819"/>
    <mergeCell ref="B2820:G2820"/>
    <mergeCell ref="B2821:G2821"/>
    <mergeCell ref="D2822:G2822"/>
    <mergeCell ref="D2823:G2823"/>
    <mergeCell ref="D2824:G2824"/>
    <mergeCell ref="D2825:G2825"/>
    <mergeCell ref="D2792:G2792"/>
    <mergeCell ref="B2793:G2793"/>
    <mergeCell ref="D2794:G2794"/>
    <mergeCell ref="D2795:G2795"/>
    <mergeCell ref="D2796:G2796"/>
    <mergeCell ref="D2797:G2797"/>
    <mergeCell ref="D2798:G2798"/>
    <mergeCell ref="B2799:G2799"/>
    <mergeCell ref="D2800:G2800"/>
    <mergeCell ref="D2801:G2801"/>
    <mergeCell ref="D2802:G2802"/>
    <mergeCell ref="B2803:G2803"/>
    <mergeCell ref="B2804:G2804"/>
    <mergeCell ref="D2805:G2805"/>
    <mergeCell ref="D2806:G2806"/>
    <mergeCell ref="D2807:G2807"/>
    <mergeCell ref="D2808:G2808"/>
    <mergeCell ref="B2775:G2775"/>
    <mergeCell ref="B2776:G2776"/>
    <mergeCell ref="D2777:G2777"/>
    <mergeCell ref="D2778:G2778"/>
    <mergeCell ref="D2779:G2779"/>
    <mergeCell ref="B2780:G2780"/>
    <mergeCell ref="D2781:G2781"/>
    <mergeCell ref="B2782:G2782"/>
    <mergeCell ref="D2783:G2783"/>
    <mergeCell ref="B2784:G2784"/>
    <mergeCell ref="B2785:G2785"/>
    <mergeCell ref="B2786:G2786"/>
    <mergeCell ref="D2787:G2787"/>
    <mergeCell ref="D2788:G2788"/>
    <mergeCell ref="D2789:G2789"/>
    <mergeCell ref="D2790:G2790"/>
    <mergeCell ref="D2791:G2791"/>
    <mergeCell ref="D2758:G2758"/>
    <mergeCell ref="B2759:G2759"/>
    <mergeCell ref="B2760:G2760"/>
    <mergeCell ref="B2761:G2761"/>
    <mergeCell ref="B2762:G2762"/>
    <mergeCell ref="D2763:G2763"/>
    <mergeCell ref="B2764:G2764"/>
    <mergeCell ref="B2765:G2765"/>
    <mergeCell ref="D2766:G2766"/>
    <mergeCell ref="D2767:G2767"/>
    <mergeCell ref="D2768:G2768"/>
    <mergeCell ref="D2769:G2769"/>
    <mergeCell ref="B2770:G2770"/>
    <mergeCell ref="D2771:G2771"/>
    <mergeCell ref="D2772:G2772"/>
    <mergeCell ref="B2773:G2773"/>
    <mergeCell ref="D2774:G2774"/>
    <mergeCell ref="D2741:G2741"/>
    <mergeCell ref="D2742:G2742"/>
    <mergeCell ref="D2743:G2743"/>
    <mergeCell ref="D2744:G2744"/>
    <mergeCell ref="D2745:G2745"/>
    <mergeCell ref="B2746:G2746"/>
    <mergeCell ref="B2747:G2747"/>
    <mergeCell ref="B2748:G2748"/>
    <mergeCell ref="D2749:G2749"/>
    <mergeCell ref="D2750:G2750"/>
    <mergeCell ref="D2751:G2751"/>
    <mergeCell ref="D2752:G2752"/>
    <mergeCell ref="D2753:G2753"/>
    <mergeCell ref="D2754:G2754"/>
    <mergeCell ref="D2755:G2755"/>
    <mergeCell ref="D2756:G2756"/>
    <mergeCell ref="D2757:G2757"/>
    <mergeCell ref="D2724:G2724"/>
    <mergeCell ref="D2725:G2725"/>
    <mergeCell ref="D2726:G2726"/>
    <mergeCell ref="B2727:G2727"/>
    <mergeCell ref="B2728:G2728"/>
    <mergeCell ref="B2729:G2729"/>
    <mergeCell ref="D2730:G2730"/>
    <mergeCell ref="D2731:G2731"/>
    <mergeCell ref="D2732:G2732"/>
    <mergeCell ref="D2733:G2733"/>
    <mergeCell ref="B2734:G2734"/>
    <mergeCell ref="D2735:G2735"/>
    <mergeCell ref="D2736:G2736"/>
    <mergeCell ref="D2737:G2737"/>
    <mergeCell ref="D2738:G2738"/>
    <mergeCell ref="D2739:G2739"/>
    <mergeCell ref="B2740:G2740"/>
    <mergeCell ref="D2707:G2707"/>
    <mergeCell ref="D2708:G2708"/>
    <mergeCell ref="D2709:G2709"/>
    <mergeCell ref="D2710:G2710"/>
    <mergeCell ref="B2711:G2711"/>
    <mergeCell ref="D2712:G2712"/>
    <mergeCell ref="D2713:G2713"/>
    <mergeCell ref="D2714:G2714"/>
    <mergeCell ref="B2715:G2715"/>
    <mergeCell ref="D2716:G2716"/>
    <mergeCell ref="D2717:G2717"/>
    <mergeCell ref="D2718:G2718"/>
    <mergeCell ref="D2719:G2719"/>
    <mergeCell ref="D2720:G2720"/>
    <mergeCell ref="D2721:G2721"/>
    <mergeCell ref="D2722:G2722"/>
    <mergeCell ref="D2723:G2723"/>
    <mergeCell ref="D2690:G2690"/>
    <mergeCell ref="D2691:G2691"/>
    <mergeCell ref="D2692:G2692"/>
    <mergeCell ref="D2693:G2693"/>
    <mergeCell ref="D2694:G2694"/>
    <mergeCell ref="D2695:G2695"/>
    <mergeCell ref="D2696:G2696"/>
    <mergeCell ref="D2697:G2697"/>
    <mergeCell ref="D2698:G2698"/>
    <mergeCell ref="D2699:G2699"/>
    <mergeCell ref="D2700:G2700"/>
    <mergeCell ref="D2701:G2701"/>
    <mergeCell ref="B2702:G2702"/>
    <mergeCell ref="D2703:G2703"/>
    <mergeCell ref="D2704:G2704"/>
    <mergeCell ref="D2705:G2705"/>
    <mergeCell ref="D2706:G2706"/>
    <mergeCell ref="B2673:G2673"/>
    <mergeCell ref="B2674:G2674"/>
    <mergeCell ref="D2675:G2675"/>
    <mergeCell ref="B2676:G2676"/>
    <mergeCell ref="D2677:G2677"/>
    <mergeCell ref="D2678:G2678"/>
    <mergeCell ref="D2679:G2679"/>
    <mergeCell ref="D2680:G2680"/>
    <mergeCell ref="B2681:G2681"/>
    <mergeCell ref="D2682:G2682"/>
    <mergeCell ref="D2683:G2683"/>
    <mergeCell ref="D2684:G2684"/>
    <mergeCell ref="D2685:G2685"/>
    <mergeCell ref="D2686:G2686"/>
    <mergeCell ref="D2687:G2687"/>
    <mergeCell ref="D2688:G2688"/>
    <mergeCell ref="D2689:G2689"/>
    <mergeCell ref="D2656:G2656"/>
    <mergeCell ref="D2657:G2657"/>
    <mergeCell ref="D2658:G2658"/>
    <mergeCell ref="D2659:G2659"/>
    <mergeCell ref="D2660:G2660"/>
    <mergeCell ref="D2661:G2661"/>
    <mergeCell ref="D2662:G2662"/>
    <mergeCell ref="D2663:G2663"/>
    <mergeCell ref="D2664:G2664"/>
    <mergeCell ref="D2665:G2665"/>
    <mergeCell ref="D2666:G2666"/>
    <mergeCell ref="D2667:G2667"/>
    <mergeCell ref="D2668:G2668"/>
    <mergeCell ref="D2669:G2669"/>
    <mergeCell ref="B2670:G2670"/>
    <mergeCell ref="D2671:G2671"/>
    <mergeCell ref="D2672:G2672"/>
    <mergeCell ref="B2639:G2639"/>
    <mergeCell ref="B2640:G2640"/>
    <mergeCell ref="D2641:G2641"/>
    <mergeCell ref="B2642:G2642"/>
    <mergeCell ref="B2643:G2643"/>
    <mergeCell ref="B2644:G2644"/>
    <mergeCell ref="D2645:G2645"/>
    <mergeCell ref="B2646:G2646"/>
    <mergeCell ref="D2647:G2647"/>
    <mergeCell ref="B2648:G2648"/>
    <mergeCell ref="B2649:G2649"/>
    <mergeCell ref="B2650:G2650"/>
    <mergeCell ref="D2651:G2651"/>
    <mergeCell ref="D2652:G2652"/>
    <mergeCell ref="D2653:G2653"/>
    <mergeCell ref="D2654:G2654"/>
    <mergeCell ref="D2655:G2655"/>
    <mergeCell ref="D2622:G2622"/>
    <mergeCell ref="D2623:G2623"/>
    <mergeCell ref="D2624:G2624"/>
    <mergeCell ref="D2625:G2625"/>
    <mergeCell ref="D2626:G2626"/>
    <mergeCell ref="D2627:G2627"/>
    <mergeCell ref="D2628:G2628"/>
    <mergeCell ref="D2629:G2629"/>
    <mergeCell ref="D2630:G2630"/>
    <mergeCell ref="D2631:G2631"/>
    <mergeCell ref="B2632:G2632"/>
    <mergeCell ref="B2633:G2633"/>
    <mergeCell ref="B2634:G2634"/>
    <mergeCell ref="B2635:G2635"/>
    <mergeCell ref="B2636:G2636"/>
    <mergeCell ref="D2637:G2637"/>
    <mergeCell ref="B2638:G2638"/>
    <mergeCell ref="D2605:G2605"/>
    <mergeCell ref="D2606:G2606"/>
    <mergeCell ref="D2607:G2607"/>
    <mergeCell ref="D2608:G2608"/>
    <mergeCell ref="D2609:G2609"/>
    <mergeCell ref="D2610:G2610"/>
    <mergeCell ref="D2611:G2611"/>
    <mergeCell ref="D2612:G2612"/>
    <mergeCell ref="D2613:G2613"/>
    <mergeCell ref="D2614:G2614"/>
    <mergeCell ref="D2615:G2615"/>
    <mergeCell ref="D2616:G2616"/>
    <mergeCell ref="D2617:G2617"/>
    <mergeCell ref="D2618:G2618"/>
    <mergeCell ref="B2619:G2619"/>
    <mergeCell ref="D2620:G2620"/>
    <mergeCell ref="D2621:G2621"/>
    <mergeCell ref="B2588:G2588"/>
    <mergeCell ref="D2589:G2589"/>
    <mergeCell ref="D2590:G2590"/>
    <mergeCell ref="D2591:G2591"/>
    <mergeCell ref="D2592:G2592"/>
    <mergeCell ref="D2593:G2593"/>
    <mergeCell ref="D2594:G2594"/>
    <mergeCell ref="D2595:G2595"/>
    <mergeCell ref="D2596:G2596"/>
    <mergeCell ref="D2597:G2597"/>
    <mergeCell ref="D2598:G2598"/>
    <mergeCell ref="D2599:G2599"/>
    <mergeCell ref="D2600:G2600"/>
    <mergeCell ref="D2601:G2601"/>
    <mergeCell ref="D2602:G2602"/>
    <mergeCell ref="B2603:G2603"/>
    <mergeCell ref="B2604:G2604"/>
    <mergeCell ref="D2571:G2571"/>
    <mergeCell ref="B2572:G2572"/>
    <mergeCell ref="B2573:G2573"/>
    <mergeCell ref="B2574:G2574"/>
    <mergeCell ref="D2575:G2575"/>
    <mergeCell ref="D2576:G2576"/>
    <mergeCell ref="B2577:G2577"/>
    <mergeCell ref="D2578:G2578"/>
    <mergeCell ref="D2579:G2579"/>
    <mergeCell ref="D2580:G2580"/>
    <mergeCell ref="D2581:G2581"/>
    <mergeCell ref="D2582:G2582"/>
    <mergeCell ref="D2583:G2583"/>
    <mergeCell ref="D2584:G2584"/>
    <mergeCell ref="D2585:G2585"/>
    <mergeCell ref="B2586:G2586"/>
    <mergeCell ref="D2587:G2587"/>
    <mergeCell ref="D2554:G2554"/>
    <mergeCell ref="D2555:G2555"/>
    <mergeCell ref="D2556:G2556"/>
    <mergeCell ref="D2557:G2557"/>
    <mergeCell ref="B2558:G2558"/>
    <mergeCell ref="D2559:G2559"/>
    <mergeCell ref="D2560:G2560"/>
    <mergeCell ref="D2561:G2561"/>
    <mergeCell ref="D2562:G2562"/>
    <mergeCell ref="D2563:G2563"/>
    <mergeCell ref="D2564:G2564"/>
    <mergeCell ref="D2565:G2565"/>
    <mergeCell ref="D2566:G2566"/>
    <mergeCell ref="D2567:G2567"/>
    <mergeCell ref="D2568:G2568"/>
    <mergeCell ref="D2569:G2569"/>
    <mergeCell ref="D2570:G2570"/>
    <mergeCell ref="D2537:G2537"/>
    <mergeCell ref="B2538:G2538"/>
    <mergeCell ref="D2539:G2539"/>
    <mergeCell ref="B2540:G2540"/>
    <mergeCell ref="D2541:G2541"/>
    <mergeCell ref="D2542:G2542"/>
    <mergeCell ref="D2543:G2543"/>
    <mergeCell ref="D2544:G2544"/>
    <mergeCell ref="B2545:G2545"/>
    <mergeCell ref="B2546:G2546"/>
    <mergeCell ref="D2547:G2547"/>
    <mergeCell ref="D2548:G2548"/>
    <mergeCell ref="B2549:G2549"/>
    <mergeCell ref="D2550:G2550"/>
    <mergeCell ref="D2551:G2551"/>
    <mergeCell ref="D2552:G2552"/>
    <mergeCell ref="D2553:G2553"/>
    <mergeCell ref="B2520:G2520"/>
    <mergeCell ref="D2521:G2521"/>
    <mergeCell ref="D2522:G2522"/>
    <mergeCell ref="B2523:G2523"/>
    <mergeCell ref="B2524:G2524"/>
    <mergeCell ref="D2525:G2525"/>
    <mergeCell ref="D2526:G2526"/>
    <mergeCell ref="B2527:G2527"/>
    <mergeCell ref="D2528:G2528"/>
    <mergeCell ref="B2529:G2529"/>
    <mergeCell ref="D2530:G2530"/>
    <mergeCell ref="D2531:G2531"/>
    <mergeCell ref="D2532:G2532"/>
    <mergeCell ref="B2533:G2533"/>
    <mergeCell ref="B2534:G2534"/>
    <mergeCell ref="D2535:G2535"/>
    <mergeCell ref="B2536:G2536"/>
    <mergeCell ref="B2503:G2503"/>
    <mergeCell ref="D2504:G2504"/>
    <mergeCell ref="D2505:G2505"/>
    <mergeCell ref="B2506:G2506"/>
    <mergeCell ref="D2507:G2507"/>
    <mergeCell ref="B2508:G2508"/>
    <mergeCell ref="D2509:G2509"/>
    <mergeCell ref="D2510:G2510"/>
    <mergeCell ref="B2511:G2511"/>
    <mergeCell ref="B2512:G2512"/>
    <mergeCell ref="D2513:G2513"/>
    <mergeCell ref="D2514:G2514"/>
    <mergeCell ref="B2515:G2515"/>
    <mergeCell ref="D2516:G2516"/>
    <mergeCell ref="D2517:G2517"/>
    <mergeCell ref="B2518:G2518"/>
    <mergeCell ref="D2519:G2519"/>
    <mergeCell ref="B2486:G2486"/>
    <mergeCell ref="D2487:G2487"/>
    <mergeCell ref="D2488:G2488"/>
    <mergeCell ref="B2489:G2489"/>
    <mergeCell ref="D2490:G2490"/>
    <mergeCell ref="D2491:G2491"/>
    <mergeCell ref="D2492:G2492"/>
    <mergeCell ref="B2493:G2493"/>
    <mergeCell ref="B2494:G2494"/>
    <mergeCell ref="B2495:G2495"/>
    <mergeCell ref="B2496:G2496"/>
    <mergeCell ref="D2497:G2497"/>
    <mergeCell ref="D2498:G2498"/>
    <mergeCell ref="B2499:G2499"/>
    <mergeCell ref="B2500:G2500"/>
    <mergeCell ref="D2501:G2501"/>
    <mergeCell ref="D2502:G2502"/>
    <mergeCell ref="D2469:G2469"/>
    <mergeCell ref="D2470:G2470"/>
    <mergeCell ref="D2471:G2471"/>
    <mergeCell ref="D2472:G2472"/>
    <mergeCell ref="B2473:G2473"/>
    <mergeCell ref="D2474:G2474"/>
    <mergeCell ref="D2475:G2475"/>
    <mergeCell ref="D2476:G2476"/>
    <mergeCell ref="D2477:G2477"/>
    <mergeCell ref="D2478:G2478"/>
    <mergeCell ref="D2479:G2479"/>
    <mergeCell ref="D2480:G2480"/>
    <mergeCell ref="D2481:G2481"/>
    <mergeCell ref="D2482:G2482"/>
    <mergeCell ref="D2483:G2483"/>
    <mergeCell ref="D2484:G2484"/>
    <mergeCell ref="D2485:G2485"/>
    <mergeCell ref="D2452:G2452"/>
    <mergeCell ref="D2453:G2453"/>
    <mergeCell ref="D2454:G2454"/>
    <mergeCell ref="D2455:G2455"/>
    <mergeCell ref="D2456:G2456"/>
    <mergeCell ref="D2457:G2457"/>
    <mergeCell ref="D2458:G2458"/>
    <mergeCell ref="D2459:G2459"/>
    <mergeCell ref="D2460:G2460"/>
    <mergeCell ref="D2461:G2461"/>
    <mergeCell ref="D2462:G2462"/>
    <mergeCell ref="D2463:G2463"/>
    <mergeCell ref="D2464:G2464"/>
    <mergeCell ref="D2465:G2465"/>
    <mergeCell ref="D2466:G2466"/>
    <mergeCell ref="B2467:G2467"/>
    <mergeCell ref="D2468:G2468"/>
    <mergeCell ref="D2435:G2435"/>
    <mergeCell ref="D2436:G2436"/>
    <mergeCell ref="D2437:G2437"/>
    <mergeCell ref="D2438:G2438"/>
    <mergeCell ref="D2439:G2439"/>
    <mergeCell ref="D2440:G2440"/>
    <mergeCell ref="B2441:G2441"/>
    <mergeCell ref="B2442:G2442"/>
    <mergeCell ref="D2443:G2443"/>
    <mergeCell ref="B2444:G2444"/>
    <mergeCell ref="B2445:G2445"/>
    <mergeCell ref="D2446:G2446"/>
    <mergeCell ref="D2447:G2447"/>
    <mergeCell ref="D2448:G2448"/>
    <mergeCell ref="D2449:G2449"/>
    <mergeCell ref="D2450:G2450"/>
    <mergeCell ref="D2451:G2451"/>
    <mergeCell ref="D2418:G2418"/>
    <mergeCell ref="D2419:G2419"/>
    <mergeCell ref="D2420:G2420"/>
    <mergeCell ref="D2421:G2421"/>
    <mergeCell ref="B2422:G2422"/>
    <mergeCell ref="D2423:G2423"/>
    <mergeCell ref="D2424:G2424"/>
    <mergeCell ref="D2425:G2425"/>
    <mergeCell ref="D2426:G2426"/>
    <mergeCell ref="D2427:G2427"/>
    <mergeCell ref="D2428:G2428"/>
    <mergeCell ref="D2429:G2429"/>
    <mergeCell ref="D2430:G2430"/>
    <mergeCell ref="B2431:G2431"/>
    <mergeCell ref="B2432:G2432"/>
    <mergeCell ref="D2433:G2433"/>
    <mergeCell ref="D2434:G2434"/>
    <mergeCell ref="D2401:G2401"/>
    <mergeCell ref="D2402:G2402"/>
    <mergeCell ref="B2403:G2403"/>
    <mergeCell ref="D2404:G2404"/>
    <mergeCell ref="D2405:G2405"/>
    <mergeCell ref="D2406:G2406"/>
    <mergeCell ref="D2407:G2407"/>
    <mergeCell ref="B2408:G2408"/>
    <mergeCell ref="D2409:G2409"/>
    <mergeCell ref="D2410:G2410"/>
    <mergeCell ref="D2411:G2411"/>
    <mergeCell ref="D2412:G2412"/>
    <mergeCell ref="D2413:G2413"/>
    <mergeCell ref="D2414:G2414"/>
    <mergeCell ref="D2415:G2415"/>
    <mergeCell ref="D2416:G2416"/>
    <mergeCell ref="D2417:G2417"/>
    <mergeCell ref="B2384:G2384"/>
    <mergeCell ref="D2385:G2385"/>
    <mergeCell ref="D2386:G2386"/>
    <mergeCell ref="D2387:G2387"/>
    <mergeCell ref="D2388:G2388"/>
    <mergeCell ref="D2389:G2389"/>
    <mergeCell ref="D2390:G2390"/>
    <mergeCell ref="D2391:G2391"/>
    <mergeCell ref="D2392:G2392"/>
    <mergeCell ref="B2393:G2393"/>
    <mergeCell ref="D2394:G2394"/>
    <mergeCell ref="B2395:G2395"/>
    <mergeCell ref="B2396:G2396"/>
    <mergeCell ref="D2397:G2397"/>
    <mergeCell ref="D2398:G2398"/>
    <mergeCell ref="D2399:G2399"/>
    <mergeCell ref="D2400:G2400"/>
    <mergeCell ref="D2367:G2367"/>
    <mergeCell ref="D2368:G2368"/>
    <mergeCell ref="D2369:G2369"/>
    <mergeCell ref="D2370:G2370"/>
    <mergeCell ref="B2371:G2371"/>
    <mergeCell ref="B2372:G2372"/>
    <mergeCell ref="D2373:G2373"/>
    <mergeCell ref="D2374:G2374"/>
    <mergeCell ref="D2375:G2375"/>
    <mergeCell ref="B2376:G2376"/>
    <mergeCell ref="D2377:G2377"/>
    <mergeCell ref="D2378:G2378"/>
    <mergeCell ref="B2379:G2379"/>
    <mergeCell ref="B2380:G2380"/>
    <mergeCell ref="D2381:G2381"/>
    <mergeCell ref="B2382:G2382"/>
    <mergeCell ref="B2383:G2383"/>
    <mergeCell ref="D2350:G2350"/>
    <mergeCell ref="D2351:G2351"/>
    <mergeCell ref="D2352:G2352"/>
    <mergeCell ref="D2353:G2353"/>
    <mergeCell ref="D2354:G2354"/>
    <mergeCell ref="D2355:G2355"/>
    <mergeCell ref="D2356:G2356"/>
    <mergeCell ref="B2357:G2357"/>
    <mergeCell ref="D2358:G2358"/>
    <mergeCell ref="D2359:G2359"/>
    <mergeCell ref="D2360:G2360"/>
    <mergeCell ref="D2361:G2361"/>
    <mergeCell ref="D2362:G2362"/>
    <mergeCell ref="D2363:G2363"/>
    <mergeCell ref="D2364:G2364"/>
    <mergeCell ref="D2365:G2365"/>
    <mergeCell ref="D2366:G2366"/>
    <mergeCell ref="D2333:G2333"/>
    <mergeCell ref="D2334:G2334"/>
    <mergeCell ref="D2335:G2335"/>
    <mergeCell ref="D2336:G2336"/>
    <mergeCell ref="D2337:G2337"/>
    <mergeCell ref="D2338:G2338"/>
    <mergeCell ref="D2339:G2339"/>
    <mergeCell ref="D2340:G2340"/>
    <mergeCell ref="D2341:G2341"/>
    <mergeCell ref="B2342:G2342"/>
    <mergeCell ref="D2343:G2343"/>
    <mergeCell ref="D2344:G2344"/>
    <mergeCell ref="D2345:G2345"/>
    <mergeCell ref="D2346:G2346"/>
    <mergeCell ref="D2347:G2347"/>
    <mergeCell ref="D2348:G2348"/>
    <mergeCell ref="D2349:G2349"/>
    <mergeCell ref="B2316:G2316"/>
    <mergeCell ref="D2317:G2317"/>
    <mergeCell ref="D2318:G2318"/>
    <mergeCell ref="B2319:G2319"/>
    <mergeCell ref="D2320:G2320"/>
    <mergeCell ref="D2321:G2321"/>
    <mergeCell ref="D2322:G2322"/>
    <mergeCell ref="B2323:G2323"/>
    <mergeCell ref="B2324:G2324"/>
    <mergeCell ref="D2325:G2325"/>
    <mergeCell ref="B2326:G2326"/>
    <mergeCell ref="D2327:G2327"/>
    <mergeCell ref="B2328:G2328"/>
    <mergeCell ref="B2329:G2329"/>
    <mergeCell ref="B2330:G2330"/>
    <mergeCell ref="D2331:G2331"/>
    <mergeCell ref="D2332:G2332"/>
    <mergeCell ref="B2299:G2299"/>
    <mergeCell ref="D2300:G2300"/>
    <mergeCell ref="D2301:G2301"/>
    <mergeCell ref="D2302:G2302"/>
    <mergeCell ref="D2303:G2303"/>
    <mergeCell ref="D2304:G2304"/>
    <mergeCell ref="D2305:G2305"/>
    <mergeCell ref="D2306:G2306"/>
    <mergeCell ref="D2307:G2307"/>
    <mergeCell ref="D2308:G2308"/>
    <mergeCell ref="B2309:G2309"/>
    <mergeCell ref="B2310:G2310"/>
    <mergeCell ref="D2311:G2311"/>
    <mergeCell ref="D2312:G2312"/>
    <mergeCell ref="B2313:G2313"/>
    <mergeCell ref="D2314:G2314"/>
    <mergeCell ref="D2315:G2315"/>
    <mergeCell ref="D2282:G2282"/>
    <mergeCell ref="D2283:G2283"/>
    <mergeCell ref="D2284:G2284"/>
    <mergeCell ref="B2285:G2285"/>
    <mergeCell ref="B2286:G2286"/>
    <mergeCell ref="D2287:G2287"/>
    <mergeCell ref="B2288:G2288"/>
    <mergeCell ref="D2289:G2289"/>
    <mergeCell ref="D2290:G2290"/>
    <mergeCell ref="B2291:G2291"/>
    <mergeCell ref="D2292:G2292"/>
    <mergeCell ref="B2293:G2293"/>
    <mergeCell ref="D2294:G2294"/>
    <mergeCell ref="D2295:G2295"/>
    <mergeCell ref="D2296:G2296"/>
    <mergeCell ref="D2297:G2297"/>
    <mergeCell ref="D2298:G2298"/>
    <mergeCell ref="B2265:G2265"/>
    <mergeCell ref="D2266:G2266"/>
    <mergeCell ref="B2267:G2267"/>
    <mergeCell ref="D2268:G2268"/>
    <mergeCell ref="B2269:G2269"/>
    <mergeCell ref="D2270:G2270"/>
    <mergeCell ref="B2271:G2271"/>
    <mergeCell ref="D2272:G2272"/>
    <mergeCell ref="D2273:G2273"/>
    <mergeCell ref="D2274:G2274"/>
    <mergeCell ref="D2275:G2275"/>
    <mergeCell ref="D2276:G2276"/>
    <mergeCell ref="D2277:G2277"/>
    <mergeCell ref="D2278:G2278"/>
    <mergeCell ref="D2279:G2279"/>
    <mergeCell ref="D2280:G2280"/>
    <mergeCell ref="D2281:G2281"/>
    <mergeCell ref="B2248:G2248"/>
    <mergeCell ref="D2249:G2249"/>
    <mergeCell ref="D2250:G2250"/>
    <mergeCell ref="B2251:G2251"/>
    <mergeCell ref="B2252:G2252"/>
    <mergeCell ref="B2253:G2253"/>
    <mergeCell ref="D2254:G2254"/>
    <mergeCell ref="D2255:G2255"/>
    <mergeCell ref="B2256:G2256"/>
    <mergeCell ref="B2257:G2257"/>
    <mergeCell ref="D2258:G2258"/>
    <mergeCell ref="D2259:G2259"/>
    <mergeCell ref="D2260:G2260"/>
    <mergeCell ref="D2261:G2261"/>
    <mergeCell ref="D2262:G2262"/>
    <mergeCell ref="D2263:G2263"/>
    <mergeCell ref="B2264:G2264"/>
    <mergeCell ref="D2231:G2231"/>
    <mergeCell ref="D2232:G2232"/>
    <mergeCell ref="D2233:G2233"/>
    <mergeCell ref="D2234:G2234"/>
    <mergeCell ref="D2235:G2235"/>
    <mergeCell ref="D2236:G2236"/>
    <mergeCell ref="D2237:G2237"/>
    <mergeCell ref="D2238:G2238"/>
    <mergeCell ref="D2239:G2239"/>
    <mergeCell ref="D2240:G2240"/>
    <mergeCell ref="B2241:G2241"/>
    <mergeCell ref="B2242:G2242"/>
    <mergeCell ref="D2243:G2243"/>
    <mergeCell ref="D2244:G2244"/>
    <mergeCell ref="D2245:G2245"/>
    <mergeCell ref="D2246:G2246"/>
    <mergeCell ref="D2247:G2247"/>
    <mergeCell ref="D2214:G2214"/>
    <mergeCell ref="D2215:G2215"/>
    <mergeCell ref="D2216:G2216"/>
    <mergeCell ref="D2217:G2217"/>
    <mergeCell ref="D2218:G2218"/>
    <mergeCell ref="D2219:G2219"/>
    <mergeCell ref="B2220:G2220"/>
    <mergeCell ref="D2221:G2221"/>
    <mergeCell ref="D2222:G2222"/>
    <mergeCell ref="D2223:G2223"/>
    <mergeCell ref="D2224:G2224"/>
    <mergeCell ref="D2225:G2225"/>
    <mergeCell ref="D2226:G2226"/>
    <mergeCell ref="B2227:G2227"/>
    <mergeCell ref="D2228:G2228"/>
    <mergeCell ref="D2229:G2229"/>
    <mergeCell ref="B2230:G2230"/>
    <mergeCell ref="D2197:G2197"/>
    <mergeCell ref="B2198:G2198"/>
    <mergeCell ref="D2199:G2199"/>
    <mergeCell ref="B2200:G2200"/>
    <mergeCell ref="B2201:G2201"/>
    <mergeCell ref="B2202:G2202"/>
    <mergeCell ref="D2203:G2203"/>
    <mergeCell ref="D2204:G2204"/>
    <mergeCell ref="D2205:G2205"/>
    <mergeCell ref="D2206:G2206"/>
    <mergeCell ref="D2207:G2207"/>
    <mergeCell ref="D2208:G2208"/>
    <mergeCell ref="D2209:G2209"/>
    <mergeCell ref="D2210:G2210"/>
    <mergeCell ref="D2211:G2211"/>
    <mergeCell ref="D2212:G2212"/>
    <mergeCell ref="D2213:G2213"/>
    <mergeCell ref="D2180:G2180"/>
    <mergeCell ref="D2181:G2181"/>
    <mergeCell ref="D2182:G2182"/>
    <mergeCell ref="D2183:G2183"/>
    <mergeCell ref="D2184:G2184"/>
    <mergeCell ref="B2185:G2185"/>
    <mergeCell ref="D2186:G2186"/>
    <mergeCell ref="D2187:G2187"/>
    <mergeCell ref="B2188:G2188"/>
    <mergeCell ref="B2189:G2189"/>
    <mergeCell ref="D2190:G2190"/>
    <mergeCell ref="D2191:G2191"/>
    <mergeCell ref="B2192:G2192"/>
    <mergeCell ref="D2193:G2193"/>
    <mergeCell ref="D2194:G2194"/>
    <mergeCell ref="B2195:G2195"/>
    <mergeCell ref="D2196:G2196"/>
    <mergeCell ref="D2163:G2163"/>
    <mergeCell ref="B2164:G2164"/>
    <mergeCell ref="D2165:G2165"/>
    <mergeCell ref="D2166:G2166"/>
    <mergeCell ref="D2167:G2167"/>
    <mergeCell ref="D2168:G2168"/>
    <mergeCell ref="D2169:G2169"/>
    <mergeCell ref="D2170:G2170"/>
    <mergeCell ref="D2171:G2171"/>
    <mergeCell ref="D2172:G2172"/>
    <mergeCell ref="D2173:G2173"/>
    <mergeCell ref="D2174:G2174"/>
    <mergeCell ref="D2175:G2175"/>
    <mergeCell ref="D2176:G2176"/>
    <mergeCell ref="D2177:G2177"/>
    <mergeCell ref="D2178:G2178"/>
    <mergeCell ref="D2179:G2179"/>
    <mergeCell ref="D2146:G2146"/>
    <mergeCell ref="D2147:G2147"/>
    <mergeCell ref="D2148:G2148"/>
    <mergeCell ref="D2149:G2149"/>
    <mergeCell ref="D2150:G2150"/>
    <mergeCell ref="D2151:G2151"/>
    <mergeCell ref="D2152:G2152"/>
    <mergeCell ref="D2153:G2153"/>
    <mergeCell ref="D2154:G2154"/>
    <mergeCell ref="D2155:G2155"/>
    <mergeCell ref="D2156:G2156"/>
    <mergeCell ref="D2157:G2157"/>
    <mergeCell ref="D2158:G2158"/>
    <mergeCell ref="D2159:G2159"/>
    <mergeCell ref="D2160:G2160"/>
    <mergeCell ref="D2161:G2161"/>
    <mergeCell ref="D2162:G2162"/>
    <mergeCell ref="D2129:G2129"/>
    <mergeCell ref="D2130:G2130"/>
    <mergeCell ref="D2131:G2131"/>
    <mergeCell ref="D2132:G2132"/>
    <mergeCell ref="D2133:G2133"/>
    <mergeCell ref="D2134:G2134"/>
    <mergeCell ref="D2135:G2135"/>
    <mergeCell ref="D2136:G2136"/>
    <mergeCell ref="D2137:G2137"/>
    <mergeCell ref="D2138:G2138"/>
    <mergeCell ref="D2139:G2139"/>
    <mergeCell ref="B2140:G2140"/>
    <mergeCell ref="D2141:G2141"/>
    <mergeCell ref="D2142:G2142"/>
    <mergeCell ref="D2143:G2143"/>
    <mergeCell ref="D2144:G2144"/>
    <mergeCell ref="D2145:G2145"/>
    <mergeCell ref="D2112:G2112"/>
    <mergeCell ref="D2113:G2113"/>
    <mergeCell ref="D2114:G2114"/>
    <mergeCell ref="D2115:G2115"/>
    <mergeCell ref="B2116:G2116"/>
    <mergeCell ref="D2117:G2117"/>
    <mergeCell ref="D2118:G2118"/>
    <mergeCell ref="D2119:G2119"/>
    <mergeCell ref="D2120:G2120"/>
    <mergeCell ref="D2121:G2121"/>
    <mergeCell ref="D2122:G2122"/>
    <mergeCell ref="D2123:G2123"/>
    <mergeCell ref="D2124:G2124"/>
    <mergeCell ref="D2125:G2125"/>
    <mergeCell ref="D2126:G2126"/>
    <mergeCell ref="D2127:G2127"/>
    <mergeCell ref="D2128:G2128"/>
    <mergeCell ref="B2095:G2095"/>
    <mergeCell ref="D2096:G2096"/>
    <mergeCell ref="D2097:G2097"/>
    <mergeCell ref="B2098:G2098"/>
    <mergeCell ref="D2099:G2099"/>
    <mergeCell ref="D2100:G2100"/>
    <mergeCell ref="D2101:G2101"/>
    <mergeCell ref="D2102:G2102"/>
    <mergeCell ref="D2103:G2103"/>
    <mergeCell ref="D2104:G2104"/>
    <mergeCell ref="D2105:G2105"/>
    <mergeCell ref="D2106:G2106"/>
    <mergeCell ref="D2107:G2107"/>
    <mergeCell ref="D2108:G2108"/>
    <mergeCell ref="D2109:G2109"/>
    <mergeCell ref="D2110:G2110"/>
    <mergeCell ref="D2111:G2111"/>
    <mergeCell ref="D2078:G2078"/>
    <mergeCell ref="D2079:G2079"/>
    <mergeCell ref="B2080:G2080"/>
    <mergeCell ref="D2081:G2081"/>
    <mergeCell ref="D2082:G2082"/>
    <mergeCell ref="D2083:G2083"/>
    <mergeCell ref="D2084:G2084"/>
    <mergeCell ref="B2085:G2085"/>
    <mergeCell ref="D2086:G2086"/>
    <mergeCell ref="D2087:G2087"/>
    <mergeCell ref="D2088:G2088"/>
    <mergeCell ref="D2089:G2089"/>
    <mergeCell ref="D2090:G2090"/>
    <mergeCell ref="D2091:G2091"/>
    <mergeCell ref="D2092:G2092"/>
    <mergeCell ref="B2093:G2093"/>
    <mergeCell ref="D2094:G2094"/>
    <mergeCell ref="D2061:G2061"/>
    <mergeCell ref="D2062:G2062"/>
    <mergeCell ref="D2063:G2063"/>
    <mergeCell ref="B2064:G2064"/>
    <mergeCell ref="D2065:G2065"/>
    <mergeCell ref="D2066:G2066"/>
    <mergeCell ref="D2067:G2067"/>
    <mergeCell ref="D2068:G2068"/>
    <mergeCell ref="B2069:G2069"/>
    <mergeCell ref="D2070:G2070"/>
    <mergeCell ref="D2071:G2071"/>
    <mergeCell ref="D2072:G2072"/>
    <mergeCell ref="B2073:G2073"/>
    <mergeCell ref="B2074:G2074"/>
    <mergeCell ref="B2075:G2075"/>
    <mergeCell ref="D2076:G2076"/>
    <mergeCell ref="D2077:G2077"/>
    <mergeCell ref="D2044:G2044"/>
    <mergeCell ref="D2045:G2045"/>
    <mergeCell ref="D2046:G2046"/>
    <mergeCell ref="D2047:G2047"/>
    <mergeCell ref="B2048:G2048"/>
    <mergeCell ref="B2049:G2049"/>
    <mergeCell ref="D2050:G2050"/>
    <mergeCell ref="D2051:G2051"/>
    <mergeCell ref="B2052:G2052"/>
    <mergeCell ref="D2053:G2053"/>
    <mergeCell ref="D2054:G2054"/>
    <mergeCell ref="B2055:G2055"/>
    <mergeCell ref="D2056:G2056"/>
    <mergeCell ref="D2057:G2057"/>
    <mergeCell ref="B2058:G2058"/>
    <mergeCell ref="B2059:G2059"/>
    <mergeCell ref="D2060:G2060"/>
    <mergeCell ref="D2027:G2027"/>
    <mergeCell ref="D2028:G2028"/>
    <mergeCell ref="D2029:G2029"/>
    <mergeCell ref="D2030:G2030"/>
    <mergeCell ref="D2031:G2031"/>
    <mergeCell ref="D2032:G2032"/>
    <mergeCell ref="D2033:G2033"/>
    <mergeCell ref="D2034:G2034"/>
    <mergeCell ref="D2035:G2035"/>
    <mergeCell ref="D2036:G2036"/>
    <mergeCell ref="D2037:G2037"/>
    <mergeCell ref="D2038:G2038"/>
    <mergeCell ref="D2039:G2039"/>
    <mergeCell ref="D2040:G2040"/>
    <mergeCell ref="B2041:G2041"/>
    <mergeCell ref="D2042:G2042"/>
    <mergeCell ref="D2043:G2043"/>
    <mergeCell ref="D2010:G2010"/>
    <mergeCell ref="D2011:G2011"/>
    <mergeCell ref="D2012:G2012"/>
    <mergeCell ref="D2013:G2013"/>
    <mergeCell ref="D2014:G2014"/>
    <mergeCell ref="D2015:G2015"/>
    <mergeCell ref="D2016:G2016"/>
    <mergeCell ref="D2017:G2017"/>
    <mergeCell ref="D2018:G2018"/>
    <mergeCell ref="D2019:G2019"/>
    <mergeCell ref="D2020:G2020"/>
    <mergeCell ref="D2021:G2021"/>
    <mergeCell ref="D2022:G2022"/>
    <mergeCell ref="B2023:G2023"/>
    <mergeCell ref="D2024:G2024"/>
    <mergeCell ref="D2025:G2025"/>
    <mergeCell ref="D2026:G2026"/>
    <mergeCell ref="B1993:G1993"/>
    <mergeCell ref="D1994:G1994"/>
    <mergeCell ref="D1995:G1995"/>
    <mergeCell ref="D1996:G1996"/>
    <mergeCell ref="D1997:G1997"/>
    <mergeCell ref="D1998:G1998"/>
    <mergeCell ref="D1999:G1999"/>
    <mergeCell ref="D2000:G2000"/>
    <mergeCell ref="D2001:G2001"/>
    <mergeCell ref="D2002:G2002"/>
    <mergeCell ref="D2003:G2003"/>
    <mergeCell ref="D2004:G2004"/>
    <mergeCell ref="D2005:G2005"/>
    <mergeCell ref="D2006:G2006"/>
    <mergeCell ref="D2007:G2007"/>
    <mergeCell ref="D2008:G2008"/>
    <mergeCell ref="D2009:G2009"/>
    <mergeCell ref="D1976:G1976"/>
    <mergeCell ref="D1977:G1977"/>
    <mergeCell ref="D1978:G1978"/>
    <mergeCell ref="D1979:G1979"/>
    <mergeCell ref="D1980:G1980"/>
    <mergeCell ref="D1981:G1981"/>
    <mergeCell ref="D1982:G1982"/>
    <mergeCell ref="D1983:G1983"/>
    <mergeCell ref="D1984:G1984"/>
    <mergeCell ref="D1985:G1985"/>
    <mergeCell ref="D1986:G1986"/>
    <mergeCell ref="D1987:G1987"/>
    <mergeCell ref="D1988:G1988"/>
    <mergeCell ref="D1989:G1989"/>
    <mergeCell ref="D1990:G1990"/>
    <mergeCell ref="D1991:G1991"/>
    <mergeCell ref="D1992:G1992"/>
    <mergeCell ref="D1959:G1959"/>
    <mergeCell ref="D1960:G1960"/>
    <mergeCell ref="D1961:G1961"/>
    <mergeCell ref="D1962:G1962"/>
    <mergeCell ref="D1963:G1963"/>
    <mergeCell ref="D1964:G1964"/>
    <mergeCell ref="D1965:G1965"/>
    <mergeCell ref="D1966:G1966"/>
    <mergeCell ref="D1967:G1967"/>
    <mergeCell ref="D1968:G1968"/>
    <mergeCell ref="D1969:G1969"/>
    <mergeCell ref="D1970:G1970"/>
    <mergeCell ref="D1971:G1971"/>
    <mergeCell ref="D1972:G1972"/>
    <mergeCell ref="D1973:G1973"/>
    <mergeCell ref="D1974:G1974"/>
    <mergeCell ref="B1975:G1975"/>
    <mergeCell ref="D1942:G1942"/>
    <mergeCell ref="D1943:G1943"/>
    <mergeCell ref="D1944:G1944"/>
    <mergeCell ref="D1945:G1945"/>
    <mergeCell ref="D1946:G1946"/>
    <mergeCell ref="B1947:G1947"/>
    <mergeCell ref="B1948:G1948"/>
    <mergeCell ref="B1949:G1949"/>
    <mergeCell ref="D1950:G1950"/>
    <mergeCell ref="D1951:G1951"/>
    <mergeCell ref="D1952:G1952"/>
    <mergeCell ref="D1953:G1953"/>
    <mergeCell ref="B1954:G1954"/>
    <mergeCell ref="D1955:G1955"/>
    <mergeCell ref="D1956:G1956"/>
    <mergeCell ref="D1957:G1957"/>
    <mergeCell ref="D1958:G1958"/>
    <mergeCell ref="D1925:G1925"/>
    <mergeCell ref="D1926:G1926"/>
    <mergeCell ref="D1927:G1927"/>
    <mergeCell ref="D1928:G1928"/>
    <mergeCell ref="D1929:G1929"/>
    <mergeCell ref="D1930:G1930"/>
    <mergeCell ref="D1931:G1931"/>
    <mergeCell ref="B1932:G1932"/>
    <mergeCell ref="B1933:G1933"/>
    <mergeCell ref="D1934:G1934"/>
    <mergeCell ref="D1935:G1935"/>
    <mergeCell ref="D1936:G1936"/>
    <mergeCell ref="D1937:G1937"/>
    <mergeCell ref="D1938:G1938"/>
    <mergeCell ref="B1939:G1939"/>
    <mergeCell ref="D1940:G1940"/>
    <mergeCell ref="B1941:G1941"/>
    <mergeCell ref="D1908:G1908"/>
    <mergeCell ref="D1909:G1909"/>
    <mergeCell ref="D1910:G1910"/>
    <mergeCell ref="D1911:G1911"/>
    <mergeCell ref="D1912:G1912"/>
    <mergeCell ref="D1913:G1913"/>
    <mergeCell ref="D1914:G1914"/>
    <mergeCell ref="D1915:G1915"/>
    <mergeCell ref="B1916:G1916"/>
    <mergeCell ref="D1917:G1917"/>
    <mergeCell ref="B1918:G1918"/>
    <mergeCell ref="B1919:G1919"/>
    <mergeCell ref="D1920:G1920"/>
    <mergeCell ref="D1921:G1921"/>
    <mergeCell ref="D1922:G1922"/>
    <mergeCell ref="B1923:G1923"/>
    <mergeCell ref="B1924:G1924"/>
    <mergeCell ref="D1891:G1891"/>
    <mergeCell ref="D1892:G1892"/>
    <mergeCell ref="D1893:G1893"/>
    <mergeCell ref="D1894:G1894"/>
    <mergeCell ref="D1895:G1895"/>
    <mergeCell ref="D1896:G1896"/>
    <mergeCell ref="D1897:G1897"/>
    <mergeCell ref="D1898:G1898"/>
    <mergeCell ref="D1899:G1899"/>
    <mergeCell ref="D1900:G1900"/>
    <mergeCell ref="D1901:G1901"/>
    <mergeCell ref="D1902:G1902"/>
    <mergeCell ref="D1903:G1903"/>
    <mergeCell ref="D1904:G1904"/>
    <mergeCell ref="D1905:G1905"/>
    <mergeCell ref="D1906:G1906"/>
    <mergeCell ref="D1907:G1907"/>
    <mergeCell ref="D1874:G1874"/>
    <mergeCell ref="D1875:G1875"/>
    <mergeCell ref="D1876:G1876"/>
    <mergeCell ref="D1877:G1877"/>
    <mergeCell ref="D1878:G1878"/>
    <mergeCell ref="D1879:G1879"/>
    <mergeCell ref="D1880:G1880"/>
    <mergeCell ref="B1881:G1881"/>
    <mergeCell ref="B1882:G1882"/>
    <mergeCell ref="D1883:G1883"/>
    <mergeCell ref="D1884:G1884"/>
    <mergeCell ref="D1885:G1885"/>
    <mergeCell ref="D1886:G1886"/>
    <mergeCell ref="D1887:G1887"/>
    <mergeCell ref="D1888:G1888"/>
    <mergeCell ref="B1889:G1889"/>
    <mergeCell ref="D1890:G1890"/>
    <mergeCell ref="D1857:G1857"/>
    <mergeCell ref="D1858:G1858"/>
    <mergeCell ref="D1859:G1859"/>
    <mergeCell ref="B1860:G1860"/>
    <mergeCell ref="D1861:G1861"/>
    <mergeCell ref="B1862:G1862"/>
    <mergeCell ref="B1863:G1863"/>
    <mergeCell ref="B1864:G1864"/>
    <mergeCell ref="B1865:G1865"/>
    <mergeCell ref="B1866:G1866"/>
    <mergeCell ref="D1867:G1867"/>
    <mergeCell ref="D1868:G1868"/>
    <mergeCell ref="D1869:G1869"/>
    <mergeCell ref="B1870:G1870"/>
    <mergeCell ref="D1871:G1871"/>
    <mergeCell ref="D1872:G1872"/>
    <mergeCell ref="D1873:G1873"/>
    <mergeCell ref="B1840:G1840"/>
    <mergeCell ref="D1841:G1841"/>
    <mergeCell ref="B1842:G1842"/>
    <mergeCell ref="D1843:G1843"/>
    <mergeCell ref="B1844:G1844"/>
    <mergeCell ref="D1845:G1845"/>
    <mergeCell ref="B1846:G1846"/>
    <mergeCell ref="D1847:G1847"/>
    <mergeCell ref="D1848:G1848"/>
    <mergeCell ref="B1849:G1849"/>
    <mergeCell ref="D1850:G1850"/>
    <mergeCell ref="D1851:G1851"/>
    <mergeCell ref="D1852:G1852"/>
    <mergeCell ref="B1853:G1853"/>
    <mergeCell ref="D1854:G1854"/>
    <mergeCell ref="D1855:G1855"/>
    <mergeCell ref="D1856:G1856"/>
    <mergeCell ref="D1823:G1823"/>
    <mergeCell ref="D1824:G1824"/>
    <mergeCell ref="D1825:G1825"/>
    <mergeCell ref="B1826:G1826"/>
    <mergeCell ref="D1827:G1827"/>
    <mergeCell ref="D1828:G1828"/>
    <mergeCell ref="B1829:G1829"/>
    <mergeCell ref="D1830:G1830"/>
    <mergeCell ref="D1831:G1831"/>
    <mergeCell ref="D1832:G1832"/>
    <mergeCell ref="D1833:G1833"/>
    <mergeCell ref="B1834:G1834"/>
    <mergeCell ref="D1835:G1835"/>
    <mergeCell ref="D1836:G1836"/>
    <mergeCell ref="D1837:G1837"/>
    <mergeCell ref="D1838:G1838"/>
    <mergeCell ref="B1839:G1839"/>
    <mergeCell ref="D1806:G1806"/>
    <mergeCell ref="B1807:G1807"/>
    <mergeCell ref="D1808:G1808"/>
    <mergeCell ref="B1809:G1809"/>
    <mergeCell ref="B1810:G1810"/>
    <mergeCell ref="B1811:G1811"/>
    <mergeCell ref="D1812:G1812"/>
    <mergeCell ref="D1813:G1813"/>
    <mergeCell ref="D1814:G1814"/>
    <mergeCell ref="D1815:G1815"/>
    <mergeCell ref="D1816:G1816"/>
    <mergeCell ref="D1817:G1817"/>
    <mergeCell ref="B1818:G1818"/>
    <mergeCell ref="D1819:G1819"/>
    <mergeCell ref="D1820:G1820"/>
    <mergeCell ref="B1821:G1821"/>
    <mergeCell ref="B1822:G1822"/>
    <mergeCell ref="D1789:G1789"/>
    <mergeCell ref="D1790:G1790"/>
    <mergeCell ref="D1791:G1791"/>
    <mergeCell ref="D1792:G1792"/>
    <mergeCell ref="D1793:G1793"/>
    <mergeCell ref="B1794:G1794"/>
    <mergeCell ref="D1795:G1795"/>
    <mergeCell ref="B1796:G1796"/>
    <mergeCell ref="B1797:G1797"/>
    <mergeCell ref="D1798:G1798"/>
    <mergeCell ref="D1799:G1799"/>
    <mergeCell ref="B1800:G1800"/>
    <mergeCell ref="D1801:G1801"/>
    <mergeCell ref="D1802:G1802"/>
    <mergeCell ref="D1803:G1803"/>
    <mergeCell ref="D1804:G1804"/>
    <mergeCell ref="B1805:G1805"/>
    <mergeCell ref="B1772:G1772"/>
    <mergeCell ref="D1773:G1773"/>
    <mergeCell ref="D1774:G1774"/>
    <mergeCell ref="B1775:G1775"/>
    <mergeCell ref="B1776:G1776"/>
    <mergeCell ref="D1777:G1777"/>
    <mergeCell ref="D1778:G1778"/>
    <mergeCell ref="D1779:G1779"/>
    <mergeCell ref="B1780:G1780"/>
    <mergeCell ref="D1781:G1781"/>
    <mergeCell ref="D1782:G1782"/>
    <mergeCell ref="D1783:G1783"/>
    <mergeCell ref="D1784:G1784"/>
    <mergeCell ref="D1785:G1785"/>
    <mergeCell ref="B1786:G1786"/>
    <mergeCell ref="B1787:G1787"/>
    <mergeCell ref="D1788:G1788"/>
    <mergeCell ref="D1755:G1755"/>
    <mergeCell ref="D1756:G1756"/>
    <mergeCell ref="D1757:G1757"/>
    <mergeCell ref="B1758:G1758"/>
    <mergeCell ref="D1759:G1759"/>
    <mergeCell ref="D1760:G1760"/>
    <mergeCell ref="D1761:G1761"/>
    <mergeCell ref="D1762:G1762"/>
    <mergeCell ref="D1763:G1763"/>
    <mergeCell ref="D1764:G1764"/>
    <mergeCell ref="D1765:G1765"/>
    <mergeCell ref="D1766:G1766"/>
    <mergeCell ref="B1767:G1767"/>
    <mergeCell ref="D1768:G1768"/>
    <mergeCell ref="D1769:G1769"/>
    <mergeCell ref="D1770:G1770"/>
    <mergeCell ref="D1771:G1771"/>
    <mergeCell ref="D1738:G1738"/>
    <mergeCell ref="D1739:G1739"/>
    <mergeCell ref="D1740:G1740"/>
    <mergeCell ref="D1741:G1741"/>
    <mergeCell ref="B1742:G1742"/>
    <mergeCell ref="B1743:G1743"/>
    <mergeCell ref="D1744:G1744"/>
    <mergeCell ref="B1745:G1745"/>
    <mergeCell ref="D1746:G1746"/>
    <mergeCell ref="D1747:G1747"/>
    <mergeCell ref="B1748:G1748"/>
    <mergeCell ref="B1749:G1749"/>
    <mergeCell ref="D1750:G1750"/>
    <mergeCell ref="D1751:G1751"/>
    <mergeCell ref="D1752:G1752"/>
    <mergeCell ref="D1753:G1753"/>
    <mergeCell ref="B1754:G1754"/>
    <mergeCell ref="D1721:G1721"/>
    <mergeCell ref="D1722:G1722"/>
    <mergeCell ref="B1723:G1723"/>
    <mergeCell ref="D1724:G1724"/>
    <mergeCell ref="D1725:G1725"/>
    <mergeCell ref="D1726:G1726"/>
    <mergeCell ref="D1727:G1727"/>
    <mergeCell ref="D1728:G1728"/>
    <mergeCell ref="D1729:G1729"/>
    <mergeCell ref="D1730:G1730"/>
    <mergeCell ref="D1731:G1731"/>
    <mergeCell ref="D1732:G1732"/>
    <mergeCell ref="D1733:G1733"/>
    <mergeCell ref="D1734:G1734"/>
    <mergeCell ref="D1735:G1735"/>
    <mergeCell ref="D1736:G1736"/>
    <mergeCell ref="D1737:G1737"/>
    <mergeCell ref="D1704:G1704"/>
    <mergeCell ref="D1705:G1705"/>
    <mergeCell ref="D1706:G1706"/>
    <mergeCell ref="D1707:G1707"/>
    <mergeCell ref="D1708:G1708"/>
    <mergeCell ref="D1709:G1709"/>
    <mergeCell ref="D1710:G1710"/>
    <mergeCell ref="B1711:G1711"/>
    <mergeCell ref="D1712:G1712"/>
    <mergeCell ref="D1713:G1713"/>
    <mergeCell ref="D1714:G1714"/>
    <mergeCell ref="D1715:G1715"/>
    <mergeCell ref="D1716:G1716"/>
    <mergeCell ref="D1717:G1717"/>
    <mergeCell ref="D1718:G1718"/>
    <mergeCell ref="D1719:G1719"/>
    <mergeCell ref="D1720:G1720"/>
    <mergeCell ref="D1687:G1687"/>
    <mergeCell ref="D1688:G1688"/>
    <mergeCell ref="D1689:G1689"/>
    <mergeCell ref="D1690:G1690"/>
    <mergeCell ref="D1691:G1691"/>
    <mergeCell ref="D1692:G1692"/>
    <mergeCell ref="D1693:G1693"/>
    <mergeCell ref="D1694:G1694"/>
    <mergeCell ref="D1695:G1695"/>
    <mergeCell ref="D1696:G1696"/>
    <mergeCell ref="D1697:G1697"/>
    <mergeCell ref="D1698:G1698"/>
    <mergeCell ref="B1699:G1699"/>
    <mergeCell ref="D1700:G1700"/>
    <mergeCell ref="D1701:G1701"/>
    <mergeCell ref="D1702:G1702"/>
    <mergeCell ref="D1703:G1703"/>
    <mergeCell ref="D1670:G1670"/>
    <mergeCell ref="D1671:G1671"/>
    <mergeCell ref="D1672:G1672"/>
    <mergeCell ref="D1673:G1673"/>
    <mergeCell ref="D1674:G1674"/>
    <mergeCell ref="D1675:G1675"/>
    <mergeCell ref="D1676:G1676"/>
    <mergeCell ref="D1677:G1677"/>
    <mergeCell ref="D1678:G1678"/>
    <mergeCell ref="D1679:G1679"/>
    <mergeCell ref="D1680:G1680"/>
    <mergeCell ref="B1681:G1681"/>
    <mergeCell ref="B1682:G1682"/>
    <mergeCell ref="D1683:G1683"/>
    <mergeCell ref="B1684:G1684"/>
    <mergeCell ref="B1685:G1685"/>
    <mergeCell ref="B1686:G1686"/>
    <mergeCell ref="D1653:G1653"/>
    <mergeCell ref="D1654:G1654"/>
    <mergeCell ref="D1655:G1655"/>
    <mergeCell ref="D1656:G1656"/>
    <mergeCell ref="D1657:G1657"/>
    <mergeCell ref="D1658:G1658"/>
    <mergeCell ref="D1659:G1659"/>
    <mergeCell ref="D1660:G1660"/>
    <mergeCell ref="D1661:G1661"/>
    <mergeCell ref="D1662:G1662"/>
    <mergeCell ref="D1663:G1663"/>
    <mergeCell ref="B1664:G1664"/>
    <mergeCell ref="D1665:G1665"/>
    <mergeCell ref="D1666:G1666"/>
    <mergeCell ref="D1667:G1667"/>
    <mergeCell ref="D1668:G1668"/>
    <mergeCell ref="D1669:G1669"/>
    <mergeCell ref="D1636:G1636"/>
    <mergeCell ref="D1637:G1637"/>
    <mergeCell ref="B1638:G1638"/>
    <mergeCell ref="D1639:G1639"/>
    <mergeCell ref="B1640:G1640"/>
    <mergeCell ref="D1641:G1641"/>
    <mergeCell ref="D1642:G1642"/>
    <mergeCell ref="D1643:G1643"/>
    <mergeCell ref="D1644:G1644"/>
    <mergeCell ref="D1645:G1645"/>
    <mergeCell ref="B1646:G1646"/>
    <mergeCell ref="D1647:G1647"/>
    <mergeCell ref="D1648:G1648"/>
    <mergeCell ref="B1649:G1649"/>
    <mergeCell ref="B1650:G1650"/>
    <mergeCell ref="D1651:G1651"/>
    <mergeCell ref="D1652:G1652"/>
    <mergeCell ref="D1619:G1619"/>
    <mergeCell ref="D1620:G1620"/>
    <mergeCell ref="D1621:G1621"/>
    <mergeCell ref="D1622:G1622"/>
    <mergeCell ref="D1623:G1623"/>
    <mergeCell ref="D1624:G1624"/>
    <mergeCell ref="B1625:G1625"/>
    <mergeCell ref="D1626:G1626"/>
    <mergeCell ref="D1627:G1627"/>
    <mergeCell ref="D1628:G1628"/>
    <mergeCell ref="D1629:G1629"/>
    <mergeCell ref="D1630:G1630"/>
    <mergeCell ref="D1631:G1631"/>
    <mergeCell ref="B1632:G1632"/>
    <mergeCell ref="B1633:G1633"/>
    <mergeCell ref="D1634:G1634"/>
    <mergeCell ref="D1635:G1635"/>
    <mergeCell ref="B1602:G1602"/>
    <mergeCell ref="D1603:G1603"/>
    <mergeCell ref="D1604:G1604"/>
    <mergeCell ref="D1605:G1605"/>
    <mergeCell ref="D1606:G1606"/>
    <mergeCell ref="D1607:G1607"/>
    <mergeCell ref="D1608:G1608"/>
    <mergeCell ref="D1609:G1609"/>
    <mergeCell ref="D1610:G1610"/>
    <mergeCell ref="B1611:G1611"/>
    <mergeCell ref="B1612:G1612"/>
    <mergeCell ref="B1613:G1613"/>
    <mergeCell ref="D1614:G1614"/>
    <mergeCell ref="D1615:G1615"/>
    <mergeCell ref="D1616:G1616"/>
    <mergeCell ref="D1617:G1617"/>
    <mergeCell ref="D1618:G1618"/>
    <mergeCell ref="D1585:G1585"/>
    <mergeCell ref="D1586:G1586"/>
    <mergeCell ref="D1587:G1587"/>
    <mergeCell ref="D1588:G1588"/>
    <mergeCell ref="B1589:G1589"/>
    <mergeCell ref="B1590:G1590"/>
    <mergeCell ref="B1591:G1591"/>
    <mergeCell ref="B1592:G1592"/>
    <mergeCell ref="B1593:G1593"/>
    <mergeCell ref="D1594:G1594"/>
    <mergeCell ref="B1595:G1595"/>
    <mergeCell ref="D1596:G1596"/>
    <mergeCell ref="D1597:G1597"/>
    <mergeCell ref="B1598:G1598"/>
    <mergeCell ref="D1599:G1599"/>
    <mergeCell ref="B1600:G1600"/>
    <mergeCell ref="D1601:G1601"/>
    <mergeCell ref="D1568:G1568"/>
    <mergeCell ref="D1569:G1569"/>
    <mergeCell ref="B1570:G1570"/>
    <mergeCell ref="D1571:G1571"/>
    <mergeCell ref="B1572:G1572"/>
    <mergeCell ref="D1573:G1573"/>
    <mergeCell ref="D1574:G1574"/>
    <mergeCell ref="D1575:G1575"/>
    <mergeCell ref="D1576:G1576"/>
    <mergeCell ref="B1577:G1577"/>
    <mergeCell ref="D1578:G1578"/>
    <mergeCell ref="D1579:G1579"/>
    <mergeCell ref="D1580:G1580"/>
    <mergeCell ref="D1581:G1581"/>
    <mergeCell ref="D1582:G1582"/>
    <mergeCell ref="D1583:G1583"/>
    <mergeCell ref="D1584:G1584"/>
    <mergeCell ref="D1551:G1551"/>
    <mergeCell ref="D1552:G1552"/>
    <mergeCell ref="D1553:G1553"/>
    <mergeCell ref="D1554:G1554"/>
    <mergeCell ref="D1555:G1555"/>
    <mergeCell ref="D1556:G1556"/>
    <mergeCell ref="D1557:G1557"/>
    <mergeCell ref="D1558:G1558"/>
    <mergeCell ref="D1559:G1559"/>
    <mergeCell ref="D1560:G1560"/>
    <mergeCell ref="D1561:G1561"/>
    <mergeCell ref="D1562:G1562"/>
    <mergeCell ref="D1563:G1563"/>
    <mergeCell ref="D1564:G1564"/>
    <mergeCell ref="D1565:G1565"/>
    <mergeCell ref="B1566:G1566"/>
    <mergeCell ref="D1567:G1567"/>
    <mergeCell ref="D1534:G1534"/>
    <mergeCell ref="B1535:G1535"/>
    <mergeCell ref="B1536:G1536"/>
    <mergeCell ref="D1537:G1537"/>
    <mergeCell ref="B1538:G1538"/>
    <mergeCell ref="D1539:G1539"/>
    <mergeCell ref="B1540:G1540"/>
    <mergeCell ref="D1541:G1541"/>
    <mergeCell ref="D1542:G1542"/>
    <mergeCell ref="D1543:G1543"/>
    <mergeCell ref="D1544:G1544"/>
    <mergeCell ref="B1545:G1545"/>
    <mergeCell ref="D1546:G1546"/>
    <mergeCell ref="D1547:G1547"/>
    <mergeCell ref="D1548:G1548"/>
    <mergeCell ref="D1549:G1549"/>
    <mergeCell ref="B1550:G1550"/>
    <mergeCell ref="D1517:G1517"/>
    <mergeCell ref="B1518:G1518"/>
    <mergeCell ref="B1519:G1519"/>
    <mergeCell ref="D1520:G1520"/>
    <mergeCell ref="D1521:G1521"/>
    <mergeCell ref="D1522:G1522"/>
    <mergeCell ref="D1523:G1523"/>
    <mergeCell ref="B1524:G1524"/>
    <mergeCell ref="D1525:G1525"/>
    <mergeCell ref="D1526:G1526"/>
    <mergeCell ref="D1527:G1527"/>
    <mergeCell ref="D1528:G1528"/>
    <mergeCell ref="B1529:G1529"/>
    <mergeCell ref="D1530:G1530"/>
    <mergeCell ref="D1531:G1531"/>
    <mergeCell ref="B1532:G1532"/>
    <mergeCell ref="D1533:G1533"/>
    <mergeCell ref="D1500:G1500"/>
    <mergeCell ref="D1501:G1501"/>
    <mergeCell ref="D1502:G1502"/>
    <mergeCell ref="D1503:G1503"/>
    <mergeCell ref="D1504:G1504"/>
    <mergeCell ref="D1505:G1505"/>
    <mergeCell ref="B1506:G1506"/>
    <mergeCell ref="D1507:G1507"/>
    <mergeCell ref="D1508:G1508"/>
    <mergeCell ref="B1509:G1509"/>
    <mergeCell ref="D1510:G1510"/>
    <mergeCell ref="D1511:G1511"/>
    <mergeCell ref="D1512:G1512"/>
    <mergeCell ref="D1513:G1513"/>
    <mergeCell ref="B1514:G1514"/>
    <mergeCell ref="D1515:G1515"/>
    <mergeCell ref="D1516:G1516"/>
    <mergeCell ref="D1483:G1483"/>
    <mergeCell ref="D1484:G1484"/>
    <mergeCell ref="B1485:G1485"/>
    <mergeCell ref="D1486:G1486"/>
    <mergeCell ref="D1487:G1487"/>
    <mergeCell ref="D1488:G1488"/>
    <mergeCell ref="B1489:G1489"/>
    <mergeCell ref="D1490:G1490"/>
    <mergeCell ref="D1491:G1491"/>
    <mergeCell ref="B1492:G1492"/>
    <mergeCell ref="D1493:G1493"/>
    <mergeCell ref="B1494:G1494"/>
    <mergeCell ref="D1495:G1495"/>
    <mergeCell ref="B1496:G1496"/>
    <mergeCell ref="D1497:G1497"/>
    <mergeCell ref="B1498:G1498"/>
    <mergeCell ref="B1499:G1499"/>
    <mergeCell ref="D1466:G1466"/>
    <mergeCell ref="B1467:G1467"/>
    <mergeCell ref="B1468:G1468"/>
    <mergeCell ref="D1469:G1469"/>
    <mergeCell ref="D1470:G1470"/>
    <mergeCell ref="D1471:G1471"/>
    <mergeCell ref="D1472:G1472"/>
    <mergeCell ref="D1473:G1473"/>
    <mergeCell ref="B1474:G1474"/>
    <mergeCell ref="D1475:G1475"/>
    <mergeCell ref="D1476:G1476"/>
    <mergeCell ref="D1477:G1477"/>
    <mergeCell ref="D1478:G1478"/>
    <mergeCell ref="D1479:G1479"/>
    <mergeCell ref="B1480:G1480"/>
    <mergeCell ref="D1481:G1481"/>
    <mergeCell ref="D1482:G1482"/>
    <mergeCell ref="B1449:G1449"/>
    <mergeCell ref="D1450:G1450"/>
    <mergeCell ref="B1451:G1451"/>
    <mergeCell ref="B1452:G1452"/>
    <mergeCell ref="B1453:G1453"/>
    <mergeCell ref="D1454:G1454"/>
    <mergeCell ref="D1455:G1455"/>
    <mergeCell ref="D1456:G1456"/>
    <mergeCell ref="B1457:G1457"/>
    <mergeCell ref="D1458:G1458"/>
    <mergeCell ref="D1459:G1459"/>
    <mergeCell ref="D1460:G1460"/>
    <mergeCell ref="B1461:G1461"/>
    <mergeCell ref="D1462:G1462"/>
    <mergeCell ref="D1463:G1463"/>
    <mergeCell ref="B1464:G1464"/>
    <mergeCell ref="D1465:G1465"/>
    <mergeCell ref="D1432:G1432"/>
    <mergeCell ref="D1433:G1433"/>
    <mergeCell ref="D1434:G1434"/>
    <mergeCell ref="B1435:G1435"/>
    <mergeCell ref="D1436:G1436"/>
    <mergeCell ref="D1437:G1437"/>
    <mergeCell ref="D1438:G1438"/>
    <mergeCell ref="D1439:G1439"/>
    <mergeCell ref="D1440:G1440"/>
    <mergeCell ref="D1441:G1441"/>
    <mergeCell ref="D1442:G1442"/>
    <mergeCell ref="D1443:G1443"/>
    <mergeCell ref="D1444:G1444"/>
    <mergeCell ref="B1445:G1445"/>
    <mergeCell ref="D1446:G1446"/>
    <mergeCell ref="B1447:G1447"/>
    <mergeCell ref="D1448:G1448"/>
    <mergeCell ref="B1415:G1415"/>
    <mergeCell ref="D1416:G1416"/>
    <mergeCell ref="D1417:G1417"/>
    <mergeCell ref="D1418:G1418"/>
    <mergeCell ref="D1419:G1419"/>
    <mergeCell ref="D1420:G1420"/>
    <mergeCell ref="D1421:G1421"/>
    <mergeCell ref="D1422:G1422"/>
    <mergeCell ref="D1423:G1423"/>
    <mergeCell ref="D1424:G1424"/>
    <mergeCell ref="B1425:G1425"/>
    <mergeCell ref="B1426:G1426"/>
    <mergeCell ref="D1427:G1427"/>
    <mergeCell ref="D1428:G1428"/>
    <mergeCell ref="D1429:G1429"/>
    <mergeCell ref="D1430:G1430"/>
    <mergeCell ref="D1431:G1431"/>
    <mergeCell ref="D1398:G1398"/>
    <mergeCell ref="D1399:G1399"/>
    <mergeCell ref="B1400:G1400"/>
    <mergeCell ref="D1401:G1401"/>
    <mergeCell ref="B1402:G1402"/>
    <mergeCell ref="B1403:G1403"/>
    <mergeCell ref="B1404:G1404"/>
    <mergeCell ref="B1405:G1405"/>
    <mergeCell ref="D1406:G1406"/>
    <mergeCell ref="D1407:G1407"/>
    <mergeCell ref="D1408:G1408"/>
    <mergeCell ref="D1409:G1409"/>
    <mergeCell ref="D1410:G1410"/>
    <mergeCell ref="D1411:G1411"/>
    <mergeCell ref="D1412:G1412"/>
    <mergeCell ref="D1413:G1413"/>
    <mergeCell ref="D1414:G1414"/>
    <mergeCell ref="B1381:G1381"/>
    <mergeCell ref="D1382:G1382"/>
    <mergeCell ref="D1383:G1383"/>
    <mergeCell ref="D1384:G1384"/>
    <mergeCell ref="B1385:G1385"/>
    <mergeCell ref="D1386:G1386"/>
    <mergeCell ref="D1387:G1387"/>
    <mergeCell ref="D1388:G1388"/>
    <mergeCell ref="D1389:G1389"/>
    <mergeCell ref="D1390:G1390"/>
    <mergeCell ref="D1391:G1391"/>
    <mergeCell ref="D1392:G1392"/>
    <mergeCell ref="D1393:G1393"/>
    <mergeCell ref="B1394:G1394"/>
    <mergeCell ref="D1395:G1395"/>
    <mergeCell ref="D1396:G1396"/>
    <mergeCell ref="D1397:G1397"/>
    <mergeCell ref="D1364:G1364"/>
    <mergeCell ref="D1365:G1365"/>
    <mergeCell ref="D1366:G1366"/>
    <mergeCell ref="D1367:G1367"/>
    <mergeCell ref="D1368:G1368"/>
    <mergeCell ref="D1369:G1369"/>
    <mergeCell ref="D1370:G1370"/>
    <mergeCell ref="B1371:G1371"/>
    <mergeCell ref="D1372:G1372"/>
    <mergeCell ref="D1373:G1373"/>
    <mergeCell ref="D1374:G1374"/>
    <mergeCell ref="D1375:G1375"/>
    <mergeCell ref="D1376:G1376"/>
    <mergeCell ref="B1377:G1377"/>
    <mergeCell ref="D1378:G1378"/>
    <mergeCell ref="D1379:G1379"/>
    <mergeCell ref="D1380:G1380"/>
    <mergeCell ref="D1347:G1347"/>
    <mergeCell ref="D1348:G1348"/>
    <mergeCell ref="D1349:G1349"/>
    <mergeCell ref="D1350:G1350"/>
    <mergeCell ref="D1351:G1351"/>
    <mergeCell ref="D1352:G1352"/>
    <mergeCell ref="D1353:G1353"/>
    <mergeCell ref="D1354:G1354"/>
    <mergeCell ref="D1355:G1355"/>
    <mergeCell ref="D1356:G1356"/>
    <mergeCell ref="B1357:G1357"/>
    <mergeCell ref="B1358:G1358"/>
    <mergeCell ref="B1359:G1359"/>
    <mergeCell ref="D1360:G1360"/>
    <mergeCell ref="D1361:G1361"/>
    <mergeCell ref="D1362:G1362"/>
    <mergeCell ref="D1363:G1363"/>
    <mergeCell ref="B1330:G1330"/>
    <mergeCell ref="D1331:G1331"/>
    <mergeCell ref="D1332:G1332"/>
    <mergeCell ref="D1333:G1333"/>
    <mergeCell ref="D1334:G1334"/>
    <mergeCell ref="D1335:G1335"/>
    <mergeCell ref="D1336:G1336"/>
    <mergeCell ref="D1337:G1337"/>
    <mergeCell ref="D1338:G1338"/>
    <mergeCell ref="D1339:G1339"/>
    <mergeCell ref="D1340:G1340"/>
    <mergeCell ref="B1341:G1341"/>
    <mergeCell ref="D1342:G1342"/>
    <mergeCell ref="D1343:G1343"/>
    <mergeCell ref="D1344:G1344"/>
    <mergeCell ref="D1345:G1345"/>
    <mergeCell ref="D1346:G1346"/>
    <mergeCell ref="D1313:G1313"/>
    <mergeCell ref="D1314:G1314"/>
    <mergeCell ref="D1315:G1315"/>
    <mergeCell ref="D1316:G1316"/>
    <mergeCell ref="D1317:G1317"/>
    <mergeCell ref="D1318:G1318"/>
    <mergeCell ref="D1319:G1319"/>
    <mergeCell ref="D1320:G1320"/>
    <mergeCell ref="B1321:G1321"/>
    <mergeCell ref="D1322:G1322"/>
    <mergeCell ref="B1323:G1323"/>
    <mergeCell ref="B1324:G1324"/>
    <mergeCell ref="D1325:G1325"/>
    <mergeCell ref="D1326:G1326"/>
    <mergeCell ref="D1327:G1327"/>
    <mergeCell ref="D1328:G1328"/>
    <mergeCell ref="D1329:G1329"/>
    <mergeCell ref="D1296:G1296"/>
    <mergeCell ref="B1297:G1297"/>
    <mergeCell ref="D1298:G1298"/>
    <mergeCell ref="D1299:G1299"/>
    <mergeCell ref="D1300:G1300"/>
    <mergeCell ref="D1301:G1301"/>
    <mergeCell ref="D1302:G1302"/>
    <mergeCell ref="D1303:G1303"/>
    <mergeCell ref="D1304:G1304"/>
    <mergeCell ref="D1305:G1305"/>
    <mergeCell ref="D1306:G1306"/>
    <mergeCell ref="D1307:G1307"/>
    <mergeCell ref="D1308:G1308"/>
    <mergeCell ref="D1309:G1309"/>
    <mergeCell ref="D1310:G1310"/>
    <mergeCell ref="D1311:G1311"/>
    <mergeCell ref="D1312:G1312"/>
    <mergeCell ref="D1279:G1279"/>
    <mergeCell ref="D1280:G1280"/>
    <mergeCell ref="D1281:G1281"/>
    <mergeCell ref="D1282:G1282"/>
    <mergeCell ref="D1283:G1283"/>
    <mergeCell ref="D1284:G1284"/>
    <mergeCell ref="D1285:G1285"/>
    <mergeCell ref="D1286:G1286"/>
    <mergeCell ref="D1287:G1287"/>
    <mergeCell ref="D1288:G1288"/>
    <mergeCell ref="D1289:G1289"/>
    <mergeCell ref="D1290:G1290"/>
    <mergeCell ref="D1291:G1291"/>
    <mergeCell ref="D1292:G1292"/>
    <mergeCell ref="D1293:G1293"/>
    <mergeCell ref="D1294:G1294"/>
    <mergeCell ref="D1295:G1295"/>
    <mergeCell ref="D1262:G1262"/>
    <mergeCell ref="D1263:G1263"/>
    <mergeCell ref="D1264:G1264"/>
    <mergeCell ref="D1265:G1265"/>
    <mergeCell ref="D1266:G1266"/>
    <mergeCell ref="D1267:G1267"/>
    <mergeCell ref="D1268:G1268"/>
    <mergeCell ref="D1269:G1269"/>
    <mergeCell ref="D1270:G1270"/>
    <mergeCell ref="B1271:G1271"/>
    <mergeCell ref="B1272:G1272"/>
    <mergeCell ref="D1273:G1273"/>
    <mergeCell ref="D1274:G1274"/>
    <mergeCell ref="D1275:G1275"/>
    <mergeCell ref="D1276:G1276"/>
    <mergeCell ref="D1277:G1277"/>
    <mergeCell ref="D1278:G1278"/>
    <mergeCell ref="B1245:G1245"/>
    <mergeCell ref="D1246:G1246"/>
    <mergeCell ref="B1247:G1247"/>
    <mergeCell ref="D1248:G1248"/>
    <mergeCell ref="D1249:G1249"/>
    <mergeCell ref="D1250:G1250"/>
    <mergeCell ref="D1251:G1251"/>
    <mergeCell ref="D1252:G1252"/>
    <mergeCell ref="D1253:G1253"/>
    <mergeCell ref="B1254:G1254"/>
    <mergeCell ref="D1255:G1255"/>
    <mergeCell ref="D1256:G1256"/>
    <mergeCell ref="D1257:G1257"/>
    <mergeCell ref="D1258:G1258"/>
    <mergeCell ref="D1259:G1259"/>
    <mergeCell ref="D1260:G1260"/>
    <mergeCell ref="D1261:G1261"/>
    <mergeCell ref="B1228:G1228"/>
    <mergeCell ref="B1229:G1229"/>
    <mergeCell ref="D1230:G1230"/>
    <mergeCell ref="D1231:G1231"/>
    <mergeCell ref="D1232:G1232"/>
    <mergeCell ref="D1233:G1233"/>
    <mergeCell ref="B1234:G1234"/>
    <mergeCell ref="D1235:G1235"/>
    <mergeCell ref="D1236:G1236"/>
    <mergeCell ref="D1237:G1237"/>
    <mergeCell ref="D1238:G1238"/>
    <mergeCell ref="D1239:G1239"/>
    <mergeCell ref="D1240:G1240"/>
    <mergeCell ref="D1241:G1241"/>
    <mergeCell ref="D1242:G1242"/>
    <mergeCell ref="D1243:G1243"/>
    <mergeCell ref="D1244:G1244"/>
    <mergeCell ref="D1211:G1211"/>
    <mergeCell ref="D1212:G1212"/>
    <mergeCell ref="D1213:G1213"/>
    <mergeCell ref="D1214:G1214"/>
    <mergeCell ref="B1215:G1215"/>
    <mergeCell ref="D1216:G1216"/>
    <mergeCell ref="B1217:G1217"/>
    <mergeCell ref="B1218:G1218"/>
    <mergeCell ref="B1219:G1219"/>
    <mergeCell ref="D1220:G1220"/>
    <mergeCell ref="D1221:G1221"/>
    <mergeCell ref="B1222:G1222"/>
    <mergeCell ref="D1223:G1223"/>
    <mergeCell ref="D1224:G1224"/>
    <mergeCell ref="D1225:G1225"/>
    <mergeCell ref="D1226:G1226"/>
    <mergeCell ref="D1227:G1227"/>
    <mergeCell ref="D1194:G1194"/>
    <mergeCell ref="B1195:G1195"/>
    <mergeCell ref="D1196:G1196"/>
    <mergeCell ref="D1197:G1197"/>
    <mergeCell ref="D1198:G1198"/>
    <mergeCell ref="B1199:G1199"/>
    <mergeCell ref="D1200:G1200"/>
    <mergeCell ref="D1201:G1201"/>
    <mergeCell ref="D1202:G1202"/>
    <mergeCell ref="D1203:G1203"/>
    <mergeCell ref="D1204:G1204"/>
    <mergeCell ref="D1205:G1205"/>
    <mergeCell ref="D1206:G1206"/>
    <mergeCell ref="D1207:G1207"/>
    <mergeCell ref="D1208:G1208"/>
    <mergeCell ref="B1209:G1209"/>
    <mergeCell ref="B1210:G1210"/>
    <mergeCell ref="D1177:G1177"/>
    <mergeCell ref="D1178:G1178"/>
    <mergeCell ref="D1179:G1179"/>
    <mergeCell ref="D1180:G1180"/>
    <mergeCell ref="D1181:G1181"/>
    <mergeCell ref="D1182:G1182"/>
    <mergeCell ref="D1183:G1183"/>
    <mergeCell ref="D1184:G1184"/>
    <mergeCell ref="D1185:G1185"/>
    <mergeCell ref="D1186:G1186"/>
    <mergeCell ref="B1187:G1187"/>
    <mergeCell ref="D1188:G1188"/>
    <mergeCell ref="D1189:G1189"/>
    <mergeCell ref="D1190:G1190"/>
    <mergeCell ref="D1191:G1191"/>
    <mergeCell ref="D1192:G1192"/>
    <mergeCell ref="D1193:G1193"/>
    <mergeCell ref="D1160:G1160"/>
    <mergeCell ref="B1161:G1161"/>
    <mergeCell ref="D1162:G1162"/>
    <mergeCell ref="D1163:G1163"/>
    <mergeCell ref="D1164:G1164"/>
    <mergeCell ref="D1165:G1165"/>
    <mergeCell ref="D1166:G1166"/>
    <mergeCell ref="D1167:G1167"/>
    <mergeCell ref="D1168:G1168"/>
    <mergeCell ref="D1169:G1169"/>
    <mergeCell ref="D1170:G1170"/>
    <mergeCell ref="D1171:G1171"/>
    <mergeCell ref="D1172:G1172"/>
    <mergeCell ref="D1173:G1173"/>
    <mergeCell ref="D1174:G1174"/>
    <mergeCell ref="D1175:G1175"/>
    <mergeCell ref="D1176:G1176"/>
    <mergeCell ref="D1143:G1143"/>
    <mergeCell ref="D1144:G1144"/>
    <mergeCell ref="D1145:G1145"/>
    <mergeCell ref="D1146:G1146"/>
    <mergeCell ref="D1147:G1147"/>
    <mergeCell ref="D1148:G1148"/>
    <mergeCell ref="D1149:G1149"/>
    <mergeCell ref="D1150:G1150"/>
    <mergeCell ref="D1151:G1151"/>
    <mergeCell ref="D1152:G1152"/>
    <mergeCell ref="D1153:G1153"/>
    <mergeCell ref="D1154:G1154"/>
    <mergeCell ref="D1155:G1155"/>
    <mergeCell ref="B1156:G1156"/>
    <mergeCell ref="B1157:G1157"/>
    <mergeCell ref="D1158:G1158"/>
    <mergeCell ref="D1159:G1159"/>
    <mergeCell ref="D1126:G1126"/>
    <mergeCell ref="D1127:G1127"/>
    <mergeCell ref="D1128:G1128"/>
    <mergeCell ref="D1129:G1129"/>
    <mergeCell ref="D1130:G1130"/>
    <mergeCell ref="D1131:G1131"/>
    <mergeCell ref="D1132:G1132"/>
    <mergeCell ref="B1133:G1133"/>
    <mergeCell ref="D1134:G1134"/>
    <mergeCell ref="D1135:G1135"/>
    <mergeCell ref="D1136:G1136"/>
    <mergeCell ref="D1137:G1137"/>
    <mergeCell ref="D1138:G1138"/>
    <mergeCell ref="D1139:G1139"/>
    <mergeCell ref="D1140:G1140"/>
    <mergeCell ref="D1141:G1141"/>
    <mergeCell ref="B1142:G1142"/>
    <mergeCell ref="D1109:G1109"/>
    <mergeCell ref="D1110:G1110"/>
    <mergeCell ref="D1111:G1111"/>
    <mergeCell ref="D1112:G1112"/>
    <mergeCell ref="D1113:G1113"/>
    <mergeCell ref="B1114:G1114"/>
    <mergeCell ref="D1115:G1115"/>
    <mergeCell ref="B1116:G1116"/>
    <mergeCell ref="D1117:G1117"/>
    <mergeCell ref="D1118:G1118"/>
    <mergeCell ref="D1119:G1119"/>
    <mergeCell ref="D1120:G1120"/>
    <mergeCell ref="D1121:G1121"/>
    <mergeCell ref="D1122:G1122"/>
    <mergeCell ref="B1123:G1123"/>
    <mergeCell ref="B1124:G1124"/>
    <mergeCell ref="D1125:G1125"/>
    <mergeCell ref="B1092:G1092"/>
    <mergeCell ref="D1093:G1093"/>
    <mergeCell ref="D1094:G1094"/>
    <mergeCell ref="B1095:G1095"/>
    <mergeCell ref="D1096:G1096"/>
    <mergeCell ref="D1097:G1097"/>
    <mergeCell ref="D1098:G1098"/>
    <mergeCell ref="D1099:G1099"/>
    <mergeCell ref="D1100:G1100"/>
    <mergeCell ref="D1101:G1101"/>
    <mergeCell ref="D1102:G1102"/>
    <mergeCell ref="D1103:G1103"/>
    <mergeCell ref="D1104:G1104"/>
    <mergeCell ref="D1105:G1105"/>
    <mergeCell ref="D1106:G1106"/>
    <mergeCell ref="D1107:G1107"/>
    <mergeCell ref="D1108:G1108"/>
    <mergeCell ref="D1075:G1075"/>
    <mergeCell ref="D1076:G1076"/>
    <mergeCell ref="B1077:G1077"/>
    <mergeCell ref="D1078:G1078"/>
    <mergeCell ref="D1079:G1079"/>
    <mergeCell ref="D1080:G1080"/>
    <mergeCell ref="D1081:G1081"/>
    <mergeCell ref="B1082:G1082"/>
    <mergeCell ref="D1083:G1083"/>
    <mergeCell ref="B1084:G1084"/>
    <mergeCell ref="D1085:G1085"/>
    <mergeCell ref="D1086:G1086"/>
    <mergeCell ref="D1087:G1087"/>
    <mergeCell ref="D1088:G1088"/>
    <mergeCell ref="B1089:G1089"/>
    <mergeCell ref="B1090:G1090"/>
    <mergeCell ref="D1091:G1091"/>
    <mergeCell ref="D1058:G1058"/>
    <mergeCell ref="D1059:G1059"/>
    <mergeCell ref="D1060:G1060"/>
    <mergeCell ref="D1061:G1061"/>
    <mergeCell ref="D1062:G1062"/>
    <mergeCell ref="D1063:G1063"/>
    <mergeCell ref="D1064:G1064"/>
    <mergeCell ref="D1065:G1065"/>
    <mergeCell ref="D1066:G1066"/>
    <mergeCell ref="D1067:G1067"/>
    <mergeCell ref="B1068:G1068"/>
    <mergeCell ref="D1069:G1069"/>
    <mergeCell ref="D1070:G1070"/>
    <mergeCell ref="D1071:G1071"/>
    <mergeCell ref="B1072:G1072"/>
    <mergeCell ref="D1073:G1073"/>
    <mergeCell ref="D1074:G1074"/>
    <mergeCell ref="D1041:G1041"/>
    <mergeCell ref="D1042:G1042"/>
    <mergeCell ref="D1043:G1043"/>
    <mergeCell ref="D1044:G1044"/>
    <mergeCell ref="D1045:G1045"/>
    <mergeCell ref="D1046:G1046"/>
    <mergeCell ref="D1047:G1047"/>
    <mergeCell ref="D1048:G1048"/>
    <mergeCell ref="B1049:G1049"/>
    <mergeCell ref="D1050:G1050"/>
    <mergeCell ref="D1051:G1051"/>
    <mergeCell ref="D1052:G1052"/>
    <mergeCell ref="D1053:G1053"/>
    <mergeCell ref="D1054:G1054"/>
    <mergeCell ref="D1055:G1055"/>
    <mergeCell ref="D1056:G1056"/>
    <mergeCell ref="D1057:G1057"/>
    <mergeCell ref="D1024:G1024"/>
    <mergeCell ref="B1025:G1025"/>
    <mergeCell ref="D1026:G1026"/>
    <mergeCell ref="B1027:G1027"/>
    <mergeCell ref="D1028:G1028"/>
    <mergeCell ref="B1029:G1029"/>
    <mergeCell ref="B1030:G1030"/>
    <mergeCell ref="D1031:G1031"/>
    <mergeCell ref="D1032:G1032"/>
    <mergeCell ref="D1033:G1033"/>
    <mergeCell ref="D1034:G1034"/>
    <mergeCell ref="D1035:G1035"/>
    <mergeCell ref="D1036:G1036"/>
    <mergeCell ref="D1037:G1037"/>
    <mergeCell ref="D1038:G1038"/>
    <mergeCell ref="D1039:G1039"/>
    <mergeCell ref="D1040:G1040"/>
    <mergeCell ref="D1007:G1007"/>
    <mergeCell ref="D1008:G1008"/>
    <mergeCell ref="B1009:G1009"/>
    <mergeCell ref="D1010:G1010"/>
    <mergeCell ref="B1011:G1011"/>
    <mergeCell ref="D1012:G1012"/>
    <mergeCell ref="D1013:G1013"/>
    <mergeCell ref="D1014:G1014"/>
    <mergeCell ref="D1015:G1015"/>
    <mergeCell ref="D1016:G1016"/>
    <mergeCell ref="B1017:G1017"/>
    <mergeCell ref="B1018:G1018"/>
    <mergeCell ref="D1019:G1019"/>
    <mergeCell ref="D1020:G1020"/>
    <mergeCell ref="D1021:G1021"/>
    <mergeCell ref="D1022:G1022"/>
    <mergeCell ref="D1023:G1023"/>
    <mergeCell ref="D990:G990"/>
    <mergeCell ref="D991:G991"/>
    <mergeCell ref="D992:G992"/>
    <mergeCell ref="D993:G993"/>
    <mergeCell ref="D994:G994"/>
    <mergeCell ref="D995:G995"/>
    <mergeCell ref="B996:G996"/>
    <mergeCell ref="B997:G997"/>
    <mergeCell ref="D998:G998"/>
    <mergeCell ref="D999:G999"/>
    <mergeCell ref="D1000:G1000"/>
    <mergeCell ref="D1001:G1001"/>
    <mergeCell ref="D1002:G1002"/>
    <mergeCell ref="D1003:G1003"/>
    <mergeCell ref="D1004:G1004"/>
    <mergeCell ref="D1005:G1005"/>
    <mergeCell ref="D1006:G1006"/>
    <mergeCell ref="D973:G973"/>
    <mergeCell ref="B974:G974"/>
    <mergeCell ref="D975:G975"/>
    <mergeCell ref="D976:G976"/>
    <mergeCell ref="D977:G977"/>
    <mergeCell ref="D978:G978"/>
    <mergeCell ref="B979:G979"/>
    <mergeCell ref="D980:G980"/>
    <mergeCell ref="D981:G981"/>
    <mergeCell ref="D982:G982"/>
    <mergeCell ref="D983:G983"/>
    <mergeCell ref="D984:G984"/>
    <mergeCell ref="B985:G985"/>
    <mergeCell ref="B986:G986"/>
    <mergeCell ref="D987:G987"/>
    <mergeCell ref="D988:G988"/>
    <mergeCell ref="D989:G989"/>
    <mergeCell ref="D956:G956"/>
    <mergeCell ref="B957:G957"/>
    <mergeCell ref="D958:G958"/>
    <mergeCell ref="D959:G959"/>
    <mergeCell ref="D960:G960"/>
    <mergeCell ref="D961:G961"/>
    <mergeCell ref="D962:G962"/>
    <mergeCell ref="B963:G963"/>
    <mergeCell ref="D964:G964"/>
    <mergeCell ref="D965:G965"/>
    <mergeCell ref="D966:G966"/>
    <mergeCell ref="D967:G967"/>
    <mergeCell ref="B968:G968"/>
    <mergeCell ref="D969:G969"/>
    <mergeCell ref="D970:G970"/>
    <mergeCell ref="D971:G971"/>
    <mergeCell ref="D972:G972"/>
    <mergeCell ref="D939:G939"/>
    <mergeCell ref="D940:G940"/>
    <mergeCell ref="D941:G941"/>
    <mergeCell ref="D942:G942"/>
    <mergeCell ref="D943:G943"/>
    <mergeCell ref="B944:G944"/>
    <mergeCell ref="D945:G945"/>
    <mergeCell ref="D946:G946"/>
    <mergeCell ref="B947:G947"/>
    <mergeCell ref="D948:G948"/>
    <mergeCell ref="D949:G949"/>
    <mergeCell ref="D950:G950"/>
    <mergeCell ref="D951:G951"/>
    <mergeCell ref="B952:G952"/>
    <mergeCell ref="D953:G953"/>
    <mergeCell ref="D954:G954"/>
    <mergeCell ref="D955:G955"/>
    <mergeCell ref="D922:G922"/>
    <mergeCell ref="D923:G923"/>
    <mergeCell ref="D924:G924"/>
    <mergeCell ref="D925:G925"/>
    <mergeCell ref="D926:G926"/>
    <mergeCell ref="B927:G927"/>
    <mergeCell ref="D928:G928"/>
    <mergeCell ref="D929:G929"/>
    <mergeCell ref="D930:G930"/>
    <mergeCell ref="D931:G931"/>
    <mergeCell ref="B932:G932"/>
    <mergeCell ref="D933:G933"/>
    <mergeCell ref="D934:G934"/>
    <mergeCell ref="D935:G935"/>
    <mergeCell ref="D936:G936"/>
    <mergeCell ref="D937:G937"/>
    <mergeCell ref="B938:G938"/>
    <mergeCell ref="D905:G905"/>
    <mergeCell ref="D906:G906"/>
    <mergeCell ref="D907:G907"/>
    <mergeCell ref="D908:G908"/>
    <mergeCell ref="D909:G909"/>
    <mergeCell ref="B910:G910"/>
    <mergeCell ref="D911:G911"/>
    <mergeCell ref="D912:G912"/>
    <mergeCell ref="D913:G913"/>
    <mergeCell ref="D914:G914"/>
    <mergeCell ref="B915:G915"/>
    <mergeCell ref="D916:G916"/>
    <mergeCell ref="D917:G917"/>
    <mergeCell ref="D918:G918"/>
    <mergeCell ref="D919:G919"/>
    <mergeCell ref="D920:G920"/>
    <mergeCell ref="B921:G921"/>
    <mergeCell ref="B888:G888"/>
    <mergeCell ref="D889:G889"/>
    <mergeCell ref="D890:G890"/>
    <mergeCell ref="D891:G891"/>
    <mergeCell ref="D892:G892"/>
    <mergeCell ref="B893:G893"/>
    <mergeCell ref="D894:G894"/>
    <mergeCell ref="D895:G895"/>
    <mergeCell ref="D896:G896"/>
    <mergeCell ref="D897:G897"/>
    <mergeCell ref="D898:G898"/>
    <mergeCell ref="B899:G899"/>
    <mergeCell ref="D900:G900"/>
    <mergeCell ref="D901:G901"/>
    <mergeCell ref="D902:G902"/>
    <mergeCell ref="D903:G903"/>
    <mergeCell ref="B904:G904"/>
    <mergeCell ref="D871:G871"/>
    <mergeCell ref="D872:G872"/>
    <mergeCell ref="B873:G873"/>
    <mergeCell ref="B874:G874"/>
    <mergeCell ref="D875:G875"/>
    <mergeCell ref="D876:G876"/>
    <mergeCell ref="D877:G877"/>
    <mergeCell ref="D878:G878"/>
    <mergeCell ref="B879:G879"/>
    <mergeCell ref="D880:G880"/>
    <mergeCell ref="D881:G881"/>
    <mergeCell ref="D882:G882"/>
    <mergeCell ref="D883:G883"/>
    <mergeCell ref="B884:G884"/>
    <mergeCell ref="D885:G885"/>
    <mergeCell ref="D886:G886"/>
    <mergeCell ref="D887:G887"/>
    <mergeCell ref="D854:G854"/>
    <mergeCell ref="D855:G855"/>
    <mergeCell ref="B856:G856"/>
    <mergeCell ref="D857:G857"/>
    <mergeCell ref="D858:G858"/>
    <mergeCell ref="D859:G859"/>
    <mergeCell ref="D860:G860"/>
    <mergeCell ref="B861:G861"/>
    <mergeCell ref="D862:G862"/>
    <mergeCell ref="D863:G863"/>
    <mergeCell ref="D864:G864"/>
    <mergeCell ref="D865:G865"/>
    <mergeCell ref="D866:G866"/>
    <mergeCell ref="B867:G867"/>
    <mergeCell ref="D868:G868"/>
    <mergeCell ref="D869:G869"/>
    <mergeCell ref="D870:G870"/>
    <mergeCell ref="D837:G837"/>
    <mergeCell ref="D838:G838"/>
    <mergeCell ref="D839:G839"/>
    <mergeCell ref="B840:G840"/>
    <mergeCell ref="D841:G841"/>
    <mergeCell ref="D842:G842"/>
    <mergeCell ref="D843:G843"/>
    <mergeCell ref="D844:G844"/>
    <mergeCell ref="B845:G845"/>
    <mergeCell ref="D846:G846"/>
    <mergeCell ref="D847:G847"/>
    <mergeCell ref="D848:G848"/>
    <mergeCell ref="D849:G849"/>
    <mergeCell ref="B850:G850"/>
    <mergeCell ref="D851:G851"/>
    <mergeCell ref="D852:G852"/>
    <mergeCell ref="D853:G853"/>
    <mergeCell ref="D820:G820"/>
    <mergeCell ref="B821:G821"/>
    <mergeCell ref="D822:G822"/>
    <mergeCell ref="B823:G823"/>
    <mergeCell ref="D824:G824"/>
    <mergeCell ref="D825:G825"/>
    <mergeCell ref="D826:G826"/>
    <mergeCell ref="D827:G827"/>
    <mergeCell ref="D828:G828"/>
    <mergeCell ref="D829:G829"/>
    <mergeCell ref="D830:G830"/>
    <mergeCell ref="B831:G831"/>
    <mergeCell ref="B832:G832"/>
    <mergeCell ref="B833:G833"/>
    <mergeCell ref="B834:G834"/>
    <mergeCell ref="D835:G835"/>
    <mergeCell ref="D836:G836"/>
    <mergeCell ref="D803:G803"/>
    <mergeCell ref="D804:G804"/>
    <mergeCell ref="D805:G805"/>
    <mergeCell ref="D806:G806"/>
    <mergeCell ref="D807:G807"/>
    <mergeCell ref="D808:G808"/>
    <mergeCell ref="D809:G809"/>
    <mergeCell ref="D810:G810"/>
    <mergeCell ref="D811:G811"/>
    <mergeCell ref="D812:G812"/>
    <mergeCell ref="D813:G813"/>
    <mergeCell ref="D814:G814"/>
    <mergeCell ref="D815:G815"/>
    <mergeCell ref="D816:G816"/>
    <mergeCell ref="D817:G817"/>
    <mergeCell ref="D818:G818"/>
    <mergeCell ref="D819:G819"/>
    <mergeCell ref="D786:G786"/>
    <mergeCell ref="D787:G787"/>
    <mergeCell ref="D788:G788"/>
    <mergeCell ref="D789:G789"/>
    <mergeCell ref="D790:G790"/>
    <mergeCell ref="D791:G791"/>
    <mergeCell ref="D792:G792"/>
    <mergeCell ref="D793:G793"/>
    <mergeCell ref="D794:G794"/>
    <mergeCell ref="D795:G795"/>
    <mergeCell ref="D796:G796"/>
    <mergeCell ref="D797:G797"/>
    <mergeCell ref="D798:G798"/>
    <mergeCell ref="D799:G799"/>
    <mergeCell ref="D800:G800"/>
    <mergeCell ref="B801:G801"/>
    <mergeCell ref="D802:G802"/>
    <mergeCell ref="D769:G769"/>
    <mergeCell ref="D770:G770"/>
    <mergeCell ref="D771:G771"/>
    <mergeCell ref="D772:G772"/>
    <mergeCell ref="D773:G773"/>
    <mergeCell ref="D774:G774"/>
    <mergeCell ref="D775:G775"/>
    <mergeCell ref="D776:G776"/>
    <mergeCell ref="D777:G777"/>
    <mergeCell ref="B778:G778"/>
    <mergeCell ref="B779:G779"/>
    <mergeCell ref="D780:G780"/>
    <mergeCell ref="D781:G781"/>
    <mergeCell ref="D782:G782"/>
    <mergeCell ref="B783:G783"/>
    <mergeCell ref="D784:G784"/>
    <mergeCell ref="D785:G785"/>
    <mergeCell ref="B752:G752"/>
    <mergeCell ref="B753:G753"/>
    <mergeCell ref="D754:G754"/>
    <mergeCell ref="D755:G755"/>
    <mergeCell ref="D756:G756"/>
    <mergeCell ref="D757:G757"/>
    <mergeCell ref="D758:G758"/>
    <mergeCell ref="D759:G759"/>
    <mergeCell ref="D760:G760"/>
    <mergeCell ref="D761:G761"/>
    <mergeCell ref="B762:G762"/>
    <mergeCell ref="D763:G763"/>
    <mergeCell ref="D764:G764"/>
    <mergeCell ref="D765:G765"/>
    <mergeCell ref="D766:G766"/>
    <mergeCell ref="D767:G767"/>
    <mergeCell ref="D768:G768"/>
    <mergeCell ref="D735:G735"/>
    <mergeCell ref="D736:G736"/>
    <mergeCell ref="D737:G737"/>
    <mergeCell ref="D738:G738"/>
    <mergeCell ref="D739:G739"/>
    <mergeCell ref="D740:G740"/>
    <mergeCell ref="D741:G741"/>
    <mergeCell ref="D742:G742"/>
    <mergeCell ref="D743:G743"/>
    <mergeCell ref="D744:G744"/>
    <mergeCell ref="D745:G745"/>
    <mergeCell ref="D746:G746"/>
    <mergeCell ref="B747:G747"/>
    <mergeCell ref="D748:G748"/>
    <mergeCell ref="D749:G749"/>
    <mergeCell ref="D750:G750"/>
    <mergeCell ref="D751:G751"/>
    <mergeCell ref="B718:G718"/>
    <mergeCell ref="D719:G719"/>
    <mergeCell ref="D720:G720"/>
    <mergeCell ref="B721:G721"/>
    <mergeCell ref="B722:G722"/>
    <mergeCell ref="D723:G723"/>
    <mergeCell ref="D724:G724"/>
    <mergeCell ref="D725:G725"/>
    <mergeCell ref="D726:G726"/>
    <mergeCell ref="D727:G727"/>
    <mergeCell ref="B728:G728"/>
    <mergeCell ref="B729:G729"/>
    <mergeCell ref="D730:G730"/>
    <mergeCell ref="B731:G731"/>
    <mergeCell ref="D732:G732"/>
    <mergeCell ref="D733:G733"/>
    <mergeCell ref="B734:G734"/>
    <mergeCell ref="D701:G701"/>
    <mergeCell ref="D702:G702"/>
    <mergeCell ref="D703:G703"/>
    <mergeCell ref="D704:G704"/>
    <mergeCell ref="D705:G705"/>
    <mergeCell ref="D706:G706"/>
    <mergeCell ref="D707:G707"/>
    <mergeCell ref="D708:G708"/>
    <mergeCell ref="D709:G709"/>
    <mergeCell ref="B710:G710"/>
    <mergeCell ref="B711:G711"/>
    <mergeCell ref="B712:G712"/>
    <mergeCell ref="D713:G713"/>
    <mergeCell ref="D714:G714"/>
    <mergeCell ref="D715:G715"/>
    <mergeCell ref="B716:G716"/>
    <mergeCell ref="D717:G717"/>
    <mergeCell ref="D684:G684"/>
    <mergeCell ref="B685:G685"/>
    <mergeCell ref="D686:G686"/>
    <mergeCell ref="B687:G687"/>
    <mergeCell ref="D688:G688"/>
    <mergeCell ref="D689:G689"/>
    <mergeCell ref="D690:G690"/>
    <mergeCell ref="D691:G691"/>
    <mergeCell ref="D692:G692"/>
    <mergeCell ref="D693:G693"/>
    <mergeCell ref="D694:G694"/>
    <mergeCell ref="D695:G695"/>
    <mergeCell ref="D696:G696"/>
    <mergeCell ref="D697:G697"/>
    <mergeCell ref="D698:G698"/>
    <mergeCell ref="D699:G699"/>
    <mergeCell ref="D700:G700"/>
    <mergeCell ref="B667:G667"/>
    <mergeCell ref="B668:G668"/>
    <mergeCell ref="D669:G669"/>
    <mergeCell ref="D670:G670"/>
    <mergeCell ref="D671:G671"/>
    <mergeCell ref="D672:G672"/>
    <mergeCell ref="D673:G673"/>
    <mergeCell ref="D674:G674"/>
    <mergeCell ref="B675:G675"/>
    <mergeCell ref="D676:G676"/>
    <mergeCell ref="D677:G677"/>
    <mergeCell ref="D678:G678"/>
    <mergeCell ref="D679:G679"/>
    <mergeCell ref="D680:G680"/>
    <mergeCell ref="D681:G681"/>
    <mergeCell ref="D682:G682"/>
    <mergeCell ref="B683:G683"/>
    <mergeCell ref="D650:G650"/>
    <mergeCell ref="B651:G651"/>
    <mergeCell ref="D652:G652"/>
    <mergeCell ref="D653:G653"/>
    <mergeCell ref="D654:G654"/>
    <mergeCell ref="B655:G655"/>
    <mergeCell ref="D656:G656"/>
    <mergeCell ref="B657:G657"/>
    <mergeCell ref="B658:G658"/>
    <mergeCell ref="B659:G659"/>
    <mergeCell ref="B660:G660"/>
    <mergeCell ref="D661:G661"/>
    <mergeCell ref="D662:G662"/>
    <mergeCell ref="D663:G663"/>
    <mergeCell ref="D664:G664"/>
    <mergeCell ref="D665:G665"/>
    <mergeCell ref="D666:G666"/>
    <mergeCell ref="D633:G633"/>
    <mergeCell ref="D634:G634"/>
    <mergeCell ref="D635:G635"/>
    <mergeCell ref="D636:G636"/>
    <mergeCell ref="B637:G637"/>
    <mergeCell ref="D638:G638"/>
    <mergeCell ref="D639:G639"/>
    <mergeCell ref="D640:G640"/>
    <mergeCell ref="D641:G641"/>
    <mergeCell ref="B642:G642"/>
    <mergeCell ref="D643:G643"/>
    <mergeCell ref="B644:G644"/>
    <mergeCell ref="B645:G645"/>
    <mergeCell ref="B646:G646"/>
    <mergeCell ref="D647:G647"/>
    <mergeCell ref="D648:G648"/>
    <mergeCell ref="D649:G649"/>
    <mergeCell ref="D616:G616"/>
    <mergeCell ref="D617:G617"/>
    <mergeCell ref="D618:G618"/>
    <mergeCell ref="B619:G619"/>
    <mergeCell ref="D620:G620"/>
    <mergeCell ref="D621:G621"/>
    <mergeCell ref="D622:G622"/>
    <mergeCell ref="D623:G623"/>
    <mergeCell ref="B624:G624"/>
    <mergeCell ref="D625:G625"/>
    <mergeCell ref="D626:G626"/>
    <mergeCell ref="D627:G627"/>
    <mergeCell ref="B628:G628"/>
    <mergeCell ref="D629:G629"/>
    <mergeCell ref="B630:G630"/>
    <mergeCell ref="D631:G631"/>
    <mergeCell ref="B632:G632"/>
    <mergeCell ref="D599:G599"/>
    <mergeCell ref="D600:G600"/>
    <mergeCell ref="B601:G601"/>
    <mergeCell ref="D602:G602"/>
    <mergeCell ref="D603:G603"/>
    <mergeCell ref="D604:G604"/>
    <mergeCell ref="D605:G605"/>
    <mergeCell ref="D606:G606"/>
    <mergeCell ref="B607:G607"/>
    <mergeCell ref="D608:G608"/>
    <mergeCell ref="D609:G609"/>
    <mergeCell ref="B610:G610"/>
    <mergeCell ref="D611:G611"/>
    <mergeCell ref="D612:G612"/>
    <mergeCell ref="D613:G613"/>
    <mergeCell ref="B614:G614"/>
    <mergeCell ref="D615:G615"/>
    <mergeCell ref="D582:G582"/>
    <mergeCell ref="D583:G583"/>
    <mergeCell ref="B584:G584"/>
    <mergeCell ref="B585:G585"/>
    <mergeCell ref="D586:G586"/>
    <mergeCell ref="D587:G587"/>
    <mergeCell ref="D588:G588"/>
    <mergeCell ref="B589:G589"/>
    <mergeCell ref="D590:G590"/>
    <mergeCell ref="D591:G591"/>
    <mergeCell ref="D592:G592"/>
    <mergeCell ref="D593:G593"/>
    <mergeCell ref="B594:G594"/>
    <mergeCell ref="D595:G595"/>
    <mergeCell ref="B596:G596"/>
    <mergeCell ref="D597:G597"/>
    <mergeCell ref="D598:G598"/>
    <mergeCell ref="D565:G565"/>
    <mergeCell ref="B566:G566"/>
    <mergeCell ref="D567:G567"/>
    <mergeCell ref="D568:G568"/>
    <mergeCell ref="D569:G569"/>
    <mergeCell ref="D570:G570"/>
    <mergeCell ref="D571:G571"/>
    <mergeCell ref="D572:G572"/>
    <mergeCell ref="D573:G573"/>
    <mergeCell ref="D574:G574"/>
    <mergeCell ref="D575:G575"/>
    <mergeCell ref="B576:G576"/>
    <mergeCell ref="B577:G577"/>
    <mergeCell ref="B578:G578"/>
    <mergeCell ref="D579:G579"/>
    <mergeCell ref="D580:G580"/>
    <mergeCell ref="D581:G581"/>
    <mergeCell ref="D548:G548"/>
    <mergeCell ref="D549:G549"/>
    <mergeCell ref="B550:G550"/>
    <mergeCell ref="D551:G551"/>
    <mergeCell ref="D552:G552"/>
    <mergeCell ref="D553:G553"/>
    <mergeCell ref="D554:G554"/>
    <mergeCell ref="D555:G555"/>
    <mergeCell ref="D556:G556"/>
    <mergeCell ref="D557:G557"/>
    <mergeCell ref="D558:G558"/>
    <mergeCell ref="D559:G559"/>
    <mergeCell ref="D560:G560"/>
    <mergeCell ref="D561:G561"/>
    <mergeCell ref="D562:G562"/>
    <mergeCell ref="D563:G563"/>
    <mergeCell ref="D564:G564"/>
    <mergeCell ref="D531:G531"/>
    <mergeCell ref="D532:G532"/>
    <mergeCell ref="B533:G533"/>
    <mergeCell ref="D534:G534"/>
    <mergeCell ref="D535:G535"/>
    <mergeCell ref="D536:G536"/>
    <mergeCell ref="B537:G537"/>
    <mergeCell ref="D538:G538"/>
    <mergeCell ref="D539:G539"/>
    <mergeCell ref="D540:G540"/>
    <mergeCell ref="D541:G541"/>
    <mergeCell ref="D542:G542"/>
    <mergeCell ref="D543:G543"/>
    <mergeCell ref="D544:G544"/>
    <mergeCell ref="D545:G545"/>
    <mergeCell ref="D546:G546"/>
    <mergeCell ref="B547:G547"/>
    <mergeCell ref="D514:G514"/>
    <mergeCell ref="D515:G515"/>
    <mergeCell ref="D516:G516"/>
    <mergeCell ref="D517:G517"/>
    <mergeCell ref="D518:G518"/>
    <mergeCell ref="D519:G519"/>
    <mergeCell ref="D520:G520"/>
    <mergeCell ref="D521:G521"/>
    <mergeCell ref="B522:G522"/>
    <mergeCell ref="B523:G523"/>
    <mergeCell ref="D524:G524"/>
    <mergeCell ref="B525:G525"/>
    <mergeCell ref="D526:G526"/>
    <mergeCell ref="B527:G527"/>
    <mergeCell ref="D528:G528"/>
    <mergeCell ref="D529:G529"/>
    <mergeCell ref="D530:G530"/>
    <mergeCell ref="B497:G497"/>
    <mergeCell ref="D498:G498"/>
    <mergeCell ref="D499:G499"/>
    <mergeCell ref="B500:G500"/>
    <mergeCell ref="D501:G501"/>
    <mergeCell ref="B502:G502"/>
    <mergeCell ref="B503:G503"/>
    <mergeCell ref="D504:G504"/>
    <mergeCell ref="D505:G505"/>
    <mergeCell ref="B506:G506"/>
    <mergeCell ref="D507:G507"/>
    <mergeCell ref="D508:G508"/>
    <mergeCell ref="D509:G509"/>
    <mergeCell ref="D510:G510"/>
    <mergeCell ref="D511:G511"/>
    <mergeCell ref="D512:G512"/>
    <mergeCell ref="B513:G513"/>
    <mergeCell ref="B480:G480"/>
    <mergeCell ref="D481:G481"/>
    <mergeCell ref="B482:G482"/>
    <mergeCell ref="D483:G483"/>
    <mergeCell ref="D484:G484"/>
    <mergeCell ref="D485:G485"/>
    <mergeCell ref="D486:G486"/>
    <mergeCell ref="D487:G487"/>
    <mergeCell ref="D488:G488"/>
    <mergeCell ref="D489:G489"/>
    <mergeCell ref="D490:G490"/>
    <mergeCell ref="B491:G491"/>
    <mergeCell ref="B492:G492"/>
    <mergeCell ref="D493:G493"/>
    <mergeCell ref="D494:G494"/>
    <mergeCell ref="B495:G495"/>
    <mergeCell ref="D496:G496"/>
    <mergeCell ref="D463:G463"/>
    <mergeCell ref="D464:G464"/>
    <mergeCell ref="D465:G465"/>
    <mergeCell ref="D466:G466"/>
    <mergeCell ref="D467:G467"/>
    <mergeCell ref="B468:G468"/>
    <mergeCell ref="D469:G469"/>
    <mergeCell ref="B470:G470"/>
    <mergeCell ref="D471:G471"/>
    <mergeCell ref="B472:G472"/>
    <mergeCell ref="D473:G473"/>
    <mergeCell ref="D474:G474"/>
    <mergeCell ref="D475:G475"/>
    <mergeCell ref="B476:G476"/>
    <mergeCell ref="B477:G477"/>
    <mergeCell ref="D478:G478"/>
    <mergeCell ref="D479:G479"/>
    <mergeCell ref="D446:G446"/>
    <mergeCell ref="D447:G447"/>
    <mergeCell ref="D448:G448"/>
    <mergeCell ref="D449:G449"/>
    <mergeCell ref="D450:G450"/>
    <mergeCell ref="D451:G451"/>
    <mergeCell ref="D452:G452"/>
    <mergeCell ref="B453:G453"/>
    <mergeCell ref="B454:G454"/>
    <mergeCell ref="D455:G455"/>
    <mergeCell ref="D456:G456"/>
    <mergeCell ref="B457:G457"/>
    <mergeCell ref="D458:G458"/>
    <mergeCell ref="D459:G459"/>
    <mergeCell ref="D460:G460"/>
    <mergeCell ref="D461:G461"/>
    <mergeCell ref="B462:G462"/>
    <mergeCell ref="D429:G429"/>
    <mergeCell ref="D430:G430"/>
    <mergeCell ref="D431:G431"/>
    <mergeCell ref="D432:G432"/>
    <mergeCell ref="D433:G433"/>
    <mergeCell ref="D434:G434"/>
    <mergeCell ref="D435:G435"/>
    <mergeCell ref="D436:G436"/>
    <mergeCell ref="D437:G437"/>
    <mergeCell ref="D438:G438"/>
    <mergeCell ref="D439:G439"/>
    <mergeCell ref="B440:G440"/>
    <mergeCell ref="D441:G441"/>
    <mergeCell ref="D442:G442"/>
    <mergeCell ref="D443:G443"/>
    <mergeCell ref="B444:G444"/>
    <mergeCell ref="B445:G445"/>
    <mergeCell ref="D412:G412"/>
    <mergeCell ref="D413:G413"/>
    <mergeCell ref="B414:G414"/>
    <mergeCell ref="D415:G415"/>
    <mergeCell ref="D416:G416"/>
    <mergeCell ref="B417:G417"/>
    <mergeCell ref="B418:G418"/>
    <mergeCell ref="D419:G419"/>
    <mergeCell ref="D420:G420"/>
    <mergeCell ref="D421:G421"/>
    <mergeCell ref="D422:G422"/>
    <mergeCell ref="D423:G423"/>
    <mergeCell ref="D424:G424"/>
    <mergeCell ref="D425:G425"/>
    <mergeCell ref="D426:G426"/>
    <mergeCell ref="D427:G427"/>
    <mergeCell ref="D428:G428"/>
    <mergeCell ref="D395:G395"/>
    <mergeCell ref="B396:G396"/>
    <mergeCell ref="D397:G397"/>
    <mergeCell ref="D398:G398"/>
    <mergeCell ref="B399:G399"/>
    <mergeCell ref="D400:G400"/>
    <mergeCell ref="D401:G401"/>
    <mergeCell ref="D402:G402"/>
    <mergeCell ref="B403:G403"/>
    <mergeCell ref="D404:G404"/>
    <mergeCell ref="D405:G405"/>
    <mergeCell ref="B406:G406"/>
    <mergeCell ref="D407:G407"/>
    <mergeCell ref="D408:G408"/>
    <mergeCell ref="D409:G409"/>
    <mergeCell ref="D410:G410"/>
    <mergeCell ref="D411:G411"/>
    <mergeCell ref="D378:G378"/>
    <mergeCell ref="D379:G379"/>
    <mergeCell ref="D380:G380"/>
    <mergeCell ref="D381:G381"/>
    <mergeCell ref="D382:G382"/>
    <mergeCell ref="D383:G383"/>
    <mergeCell ref="B384:G384"/>
    <mergeCell ref="B385:G385"/>
    <mergeCell ref="D386:G386"/>
    <mergeCell ref="D387:G387"/>
    <mergeCell ref="B388:G388"/>
    <mergeCell ref="D389:G389"/>
    <mergeCell ref="D390:G390"/>
    <mergeCell ref="B391:G391"/>
    <mergeCell ref="D392:G392"/>
    <mergeCell ref="D393:G393"/>
    <mergeCell ref="D394:G394"/>
    <mergeCell ref="D361:G361"/>
    <mergeCell ref="D362:G362"/>
    <mergeCell ref="B363:G363"/>
    <mergeCell ref="D364:G364"/>
    <mergeCell ref="D365:G365"/>
    <mergeCell ref="D366:G366"/>
    <mergeCell ref="D367:G367"/>
    <mergeCell ref="D368:G368"/>
    <mergeCell ref="D369:G369"/>
    <mergeCell ref="D370:G370"/>
    <mergeCell ref="D371:G371"/>
    <mergeCell ref="D372:G372"/>
    <mergeCell ref="D373:G373"/>
    <mergeCell ref="D374:G374"/>
    <mergeCell ref="B375:G375"/>
    <mergeCell ref="D376:G376"/>
    <mergeCell ref="D377:G377"/>
    <mergeCell ref="D344:G344"/>
    <mergeCell ref="B345:G345"/>
    <mergeCell ref="D346:G346"/>
    <mergeCell ref="D347:G347"/>
    <mergeCell ref="D348:G348"/>
    <mergeCell ref="D349:G349"/>
    <mergeCell ref="D350:G350"/>
    <mergeCell ref="D351:G351"/>
    <mergeCell ref="B352:G352"/>
    <mergeCell ref="B353:G353"/>
    <mergeCell ref="D354:G354"/>
    <mergeCell ref="D355:G355"/>
    <mergeCell ref="D356:G356"/>
    <mergeCell ref="D357:G357"/>
    <mergeCell ref="D358:G358"/>
    <mergeCell ref="D359:G359"/>
    <mergeCell ref="D360:G360"/>
    <mergeCell ref="D327:G327"/>
    <mergeCell ref="D328:G328"/>
    <mergeCell ref="D329:G329"/>
    <mergeCell ref="D330:G330"/>
    <mergeCell ref="D331:G331"/>
    <mergeCell ref="D332:G332"/>
    <mergeCell ref="D333:G333"/>
    <mergeCell ref="D334:G334"/>
    <mergeCell ref="D335:G335"/>
    <mergeCell ref="D336:G336"/>
    <mergeCell ref="D337:G337"/>
    <mergeCell ref="B338:G338"/>
    <mergeCell ref="D339:G339"/>
    <mergeCell ref="D340:G340"/>
    <mergeCell ref="D341:G341"/>
    <mergeCell ref="D342:G342"/>
    <mergeCell ref="D343:G343"/>
    <mergeCell ref="B310:G310"/>
    <mergeCell ref="D311:G311"/>
    <mergeCell ref="D312:G312"/>
    <mergeCell ref="D313:G313"/>
    <mergeCell ref="D314:G314"/>
    <mergeCell ref="D315:G315"/>
    <mergeCell ref="D316:G316"/>
    <mergeCell ref="D317:G317"/>
    <mergeCell ref="D318:G318"/>
    <mergeCell ref="B319:G319"/>
    <mergeCell ref="D320:G320"/>
    <mergeCell ref="D321:G321"/>
    <mergeCell ref="D322:G322"/>
    <mergeCell ref="D323:G323"/>
    <mergeCell ref="D324:G324"/>
    <mergeCell ref="D325:G325"/>
    <mergeCell ref="D326:G326"/>
    <mergeCell ref="B293:G293"/>
    <mergeCell ref="D294:G294"/>
    <mergeCell ref="D295:G295"/>
    <mergeCell ref="D296:G296"/>
    <mergeCell ref="D297:G297"/>
    <mergeCell ref="D298:G298"/>
    <mergeCell ref="D299:G299"/>
    <mergeCell ref="D300:G300"/>
    <mergeCell ref="D301:G301"/>
    <mergeCell ref="B302:G302"/>
    <mergeCell ref="B303:G303"/>
    <mergeCell ref="B304:G304"/>
    <mergeCell ref="B305:G305"/>
    <mergeCell ref="D306:G306"/>
    <mergeCell ref="D307:G307"/>
    <mergeCell ref="D308:G308"/>
    <mergeCell ref="D309:G309"/>
    <mergeCell ref="D276:G276"/>
    <mergeCell ref="D277:G277"/>
    <mergeCell ref="B278:G278"/>
    <mergeCell ref="D279:G279"/>
    <mergeCell ref="D280:G280"/>
    <mergeCell ref="D281:G281"/>
    <mergeCell ref="D282:G282"/>
    <mergeCell ref="D283:G283"/>
    <mergeCell ref="B284:G284"/>
    <mergeCell ref="B285:G285"/>
    <mergeCell ref="B286:G286"/>
    <mergeCell ref="B287:G287"/>
    <mergeCell ref="D288:G288"/>
    <mergeCell ref="D289:G289"/>
    <mergeCell ref="D290:G290"/>
    <mergeCell ref="D291:G291"/>
    <mergeCell ref="D292:G292"/>
    <mergeCell ref="D259:G259"/>
    <mergeCell ref="D260:G260"/>
    <mergeCell ref="D261:G261"/>
    <mergeCell ref="D262:G262"/>
    <mergeCell ref="D263:G263"/>
    <mergeCell ref="B264:G264"/>
    <mergeCell ref="D265:G265"/>
    <mergeCell ref="D266:G266"/>
    <mergeCell ref="D267:G267"/>
    <mergeCell ref="D268:G268"/>
    <mergeCell ref="D269:G269"/>
    <mergeCell ref="D270:G270"/>
    <mergeCell ref="B271:G271"/>
    <mergeCell ref="B272:G272"/>
    <mergeCell ref="D273:G273"/>
    <mergeCell ref="D274:G274"/>
    <mergeCell ref="D275:G275"/>
    <mergeCell ref="D242:G242"/>
    <mergeCell ref="D243:G243"/>
    <mergeCell ref="D244:G244"/>
    <mergeCell ref="D245:G245"/>
    <mergeCell ref="D246:G246"/>
    <mergeCell ref="B247:G247"/>
    <mergeCell ref="D248:G248"/>
    <mergeCell ref="D249:G249"/>
    <mergeCell ref="B250:G250"/>
    <mergeCell ref="D251:G251"/>
    <mergeCell ref="D252:G252"/>
    <mergeCell ref="D253:G253"/>
    <mergeCell ref="B254:G254"/>
    <mergeCell ref="B255:G255"/>
    <mergeCell ref="B256:G256"/>
    <mergeCell ref="D257:G257"/>
    <mergeCell ref="D258:G258"/>
    <mergeCell ref="D225:G225"/>
    <mergeCell ref="B226:G226"/>
    <mergeCell ref="D227:G227"/>
    <mergeCell ref="D228:G228"/>
    <mergeCell ref="B229:G229"/>
    <mergeCell ref="B230:G230"/>
    <mergeCell ref="B231:G231"/>
    <mergeCell ref="B232:G232"/>
    <mergeCell ref="B233:G233"/>
    <mergeCell ref="D234:G234"/>
    <mergeCell ref="B235:G235"/>
    <mergeCell ref="B236:G236"/>
    <mergeCell ref="B237:G237"/>
    <mergeCell ref="D238:G238"/>
    <mergeCell ref="B239:G239"/>
    <mergeCell ref="D240:G240"/>
    <mergeCell ref="D241:G241"/>
    <mergeCell ref="B208:G208"/>
    <mergeCell ref="D209:G209"/>
    <mergeCell ref="D210:G210"/>
    <mergeCell ref="B211:G211"/>
    <mergeCell ref="D212:G212"/>
    <mergeCell ref="B213:G213"/>
    <mergeCell ref="B214:G214"/>
    <mergeCell ref="D215:G215"/>
    <mergeCell ref="D216:G216"/>
    <mergeCell ref="D217:G217"/>
    <mergeCell ref="D218:G218"/>
    <mergeCell ref="D219:G219"/>
    <mergeCell ref="D220:G220"/>
    <mergeCell ref="D221:G221"/>
    <mergeCell ref="D222:G222"/>
    <mergeCell ref="D223:G223"/>
    <mergeCell ref="B224:G224"/>
    <mergeCell ref="B191:G191"/>
    <mergeCell ref="B192:G192"/>
    <mergeCell ref="D193:G193"/>
    <mergeCell ref="B194:G194"/>
    <mergeCell ref="B195:G195"/>
    <mergeCell ref="B196:G196"/>
    <mergeCell ref="D197:G197"/>
    <mergeCell ref="B198:G198"/>
    <mergeCell ref="B199:G199"/>
    <mergeCell ref="B200:G200"/>
    <mergeCell ref="B201:G201"/>
    <mergeCell ref="D202:G202"/>
    <mergeCell ref="B203:G203"/>
    <mergeCell ref="B204:G204"/>
    <mergeCell ref="B205:G205"/>
    <mergeCell ref="D206:G206"/>
    <mergeCell ref="B207:G207"/>
    <mergeCell ref="B174:G174"/>
    <mergeCell ref="D175:G175"/>
    <mergeCell ref="D176:G176"/>
    <mergeCell ref="D177:G177"/>
    <mergeCell ref="B178:G178"/>
    <mergeCell ref="D179:G179"/>
    <mergeCell ref="B180:G180"/>
    <mergeCell ref="D181:G181"/>
    <mergeCell ref="B182:G182"/>
    <mergeCell ref="B183:G183"/>
    <mergeCell ref="D184:G184"/>
    <mergeCell ref="B185:G185"/>
    <mergeCell ref="D186:G186"/>
    <mergeCell ref="B187:G187"/>
    <mergeCell ref="B188:G188"/>
    <mergeCell ref="B189:G189"/>
    <mergeCell ref="D190:G190"/>
    <mergeCell ref="B157:G157"/>
    <mergeCell ref="B158:G158"/>
    <mergeCell ref="D159:G159"/>
    <mergeCell ref="D160:G160"/>
    <mergeCell ref="D161:G161"/>
    <mergeCell ref="D162:G162"/>
    <mergeCell ref="B163:G163"/>
    <mergeCell ref="D164:G164"/>
    <mergeCell ref="B165:G165"/>
    <mergeCell ref="D166:G166"/>
    <mergeCell ref="B167:G167"/>
    <mergeCell ref="B168:G168"/>
    <mergeCell ref="D169:G169"/>
    <mergeCell ref="B170:G170"/>
    <mergeCell ref="B171:G171"/>
    <mergeCell ref="D172:G172"/>
    <mergeCell ref="B173:G173"/>
    <mergeCell ref="D140:G140"/>
    <mergeCell ref="D141:G141"/>
    <mergeCell ref="D142:G142"/>
    <mergeCell ref="B143:G143"/>
    <mergeCell ref="D144:G144"/>
    <mergeCell ref="D145:G145"/>
    <mergeCell ref="B146:G146"/>
    <mergeCell ref="B147:G147"/>
    <mergeCell ref="D148:G148"/>
    <mergeCell ref="B149:G149"/>
    <mergeCell ref="D150:G150"/>
    <mergeCell ref="D151:G151"/>
    <mergeCell ref="B152:G152"/>
    <mergeCell ref="B153:G153"/>
    <mergeCell ref="D154:G154"/>
    <mergeCell ref="B155:G155"/>
    <mergeCell ref="D156:G156"/>
    <mergeCell ref="B123:G123"/>
    <mergeCell ref="B124:G124"/>
    <mergeCell ref="D125:G125"/>
    <mergeCell ref="B126:G126"/>
    <mergeCell ref="D127:G127"/>
    <mergeCell ref="B128:G128"/>
    <mergeCell ref="D129:G129"/>
    <mergeCell ref="D130:G130"/>
    <mergeCell ref="B131:G131"/>
    <mergeCell ref="D132:G132"/>
    <mergeCell ref="B133:G133"/>
    <mergeCell ref="B134:G134"/>
    <mergeCell ref="B135:G135"/>
    <mergeCell ref="B136:G136"/>
    <mergeCell ref="D137:G137"/>
    <mergeCell ref="B138:G138"/>
    <mergeCell ref="B139:G139"/>
    <mergeCell ref="D106:G106"/>
    <mergeCell ref="B107:G107"/>
    <mergeCell ref="B108:G108"/>
    <mergeCell ref="B109:G109"/>
    <mergeCell ref="B110:G110"/>
    <mergeCell ref="D111:G111"/>
    <mergeCell ref="B112:G112"/>
    <mergeCell ref="B113:G113"/>
    <mergeCell ref="D114:G114"/>
    <mergeCell ref="B115:G115"/>
    <mergeCell ref="D116:G116"/>
    <mergeCell ref="D117:G117"/>
    <mergeCell ref="B118:G118"/>
    <mergeCell ref="B119:G119"/>
    <mergeCell ref="D120:G120"/>
    <mergeCell ref="B121:G121"/>
    <mergeCell ref="D122:G122"/>
    <mergeCell ref="D89:G89"/>
    <mergeCell ref="D90:G90"/>
    <mergeCell ref="D91:G91"/>
    <mergeCell ref="D92:G92"/>
    <mergeCell ref="D93:G93"/>
    <mergeCell ref="D94:G94"/>
    <mergeCell ref="B95:G95"/>
    <mergeCell ref="D96:G96"/>
    <mergeCell ref="D97:G97"/>
    <mergeCell ref="D98:G98"/>
    <mergeCell ref="D99:G99"/>
    <mergeCell ref="D100:G100"/>
    <mergeCell ref="D101:G101"/>
    <mergeCell ref="D102:G102"/>
    <mergeCell ref="D103:G103"/>
    <mergeCell ref="B104:G104"/>
    <mergeCell ref="D105:G105"/>
    <mergeCell ref="D72:G72"/>
    <mergeCell ref="D73:G73"/>
    <mergeCell ref="D74:G74"/>
    <mergeCell ref="D75:G75"/>
    <mergeCell ref="D76:G76"/>
    <mergeCell ref="D77:G77"/>
    <mergeCell ref="D78:G78"/>
    <mergeCell ref="D79:G79"/>
    <mergeCell ref="D80:G80"/>
    <mergeCell ref="D81:G81"/>
    <mergeCell ref="D82:G82"/>
    <mergeCell ref="D83:G83"/>
    <mergeCell ref="B84:G84"/>
    <mergeCell ref="B85:G85"/>
    <mergeCell ref="B86:G86"/>
    <mergeCell ref="B87:G87"/>
    <mergeCell ref="D88:G88"/>
    <mergeCell ref="D55:G55"/>
    <mergeCell ref="D56:G56"/>
    <mergeCell ref="D57:G57"/>
    <mergeCell ref="B58:G58"/>
    <mergeCell ref="B59:G59"/>
    <mergeCell ref="D60:G60"/>
    <mergeCell ref="B61:G61"/>
    <mergeCell ref="D62:G62"/>
    <mergeCell ref="D63:G63"/>
    <mergeCell ref="B64:G64"/>
    <mergeCell ref="D65:G65"/>
    <mergeCell ref="D66:G66"/>
    <mergeCell ref="D67:G67"/>
    <mergeCell ref="D68:G68"/>
    <mergeCell ref="D69:G69"/>
    <mergeCell ref="D70:G70"/>
    <mergeCell ref="D71:G71"/>
    <mergeCell ref="D38:G38"/>
    <mergeCell ref="B39:G39"/>
    <mergeCell ref="D40:G40"/>
    <mergeCell ref="D41:G41"/>
    <mergeCell ref="D42:G42"/>
    <mergeCell ref="B43:G43"/>
    <mergeCell ref="D44:G44"/>
    <mergeCell ref="D45:G45"/>
    <mergeCell ref="D46:G46"/>
    <mergeCell ref="D47:G47"/>
    <mergeCell ref="D48:G48"/>
    <mergeCell ref="B49:G49"/>
    <mergeCell ref="D50:G50"/>
    <mergeCell ref="D51:G51"/>
    <mergeCell ref="B52:G52"/>
    <mergeCell ref="D53:G53"/>
    <mergeCell ref="D54:G54"/>
    <mergeCell ref="D21:G21"/>
    <mergeCell ref="B22:G22"/>
    <mergeCell ref="B23:G23"/>
    <mergeCell ref="B24:G24"/>
    <mergeCell ref="D25:G25"/>
    <mergeCell ref="D26:G26"/>
    <mergeCell ref="D27:G27"/>
    <mergeCell ref="D28:G28"/>
    <mergeCell ref="D29:G29"/>
    <mergeCell ref="D30:G30"/>
    <mergeCell ref="B31:G31"/>
    <mergeCell ref="D32:G32"/>
    <mergeCell ref="D33:G33"/>
    <mergeCell ref="D34:G34"/>
    <mergeCell ref="D35:G35"/>
    <mergeCell ref="D36:G36"/>
    <mergeCell ref="D37:G37"/>
    <mergeCell ref="B3:C3"/>
    <mergeCell ref="D3:G3"/>
    <mergeCell ref="M3:N3"/>
    <mergeCell ref="B7:G7"/>
    <mergeCell ref="B8:G8"/>
    <mergeCell ref="B9:G9"/>
    <mergeCell ref="B10:G10"/>
    <mergeCell ref="D11:G11"/>
    <mergeCell ref="B12:G12"/>
    <mergeCell ref="D13:G13"/>
    <mergeCell ref="D14:G14"/>
    <mergeCell ref="D15:G15"/>
    <mergeCell ref="B16:G16"/>
    <mergeCell ref="B17:G17"/>
    <mergeCell ref="D18:G18"/>
    <mergeCell ref="B19:G19"/>
    <mergeCell ref="D20:G20"/>
  </mergeCells>
  <dataValidations count="62">
    <dataValidation type="decimal" operator="equal" allowBlank="1" showErrorMessage="1" errorTitle="Не нужно менять минимальное количество для заказа:" error="минимальное количество для заказа = 12" sqref="K11 K111 K114 K120 K122 K212 K244 K246 K446 K1284 K1286 K1290 K1292 K1294 K1328 K1897 K1906 K1928 K1940 K2018 K2028 K2056 K2094 K2112 K2139 K2141 K2199 K2206 K2214 K2221 K2223 K2232 K3693 K3704 K3709 K3711 K3921 K3953 K4269 K4272 K4786 K4868 K4898 K5051 K5237 K6108 K6130 K6142 K6149 K6157 K6194 K6212 K20:K21 K116:K117 K150:K151 K634:K636 K1867:K1869 K1871:K1880 K1890:K1892 K1934:K1938 K1942:K1946 K1950:K1953 K1955:K1974 K1976:K1992 K2002:K2003 K2005:K2013 K2030:K2034 K2042:K2047 K2050:K2051 K2053:K2054 K2060:K2063 K2065:K2068 K2070:K2072 K2076:K2079 K2081:K2084 K2086:K2092 K2096:K2097 K2099:K2100 K2103:K2109 K2114:K2115 K2117:K2125 K2152:K2154 K2159:K2163 K2169:K2170 K2173:K2180 K2186:K2187 K2190:K2191 K2193:K2194 K2196:K2197 K2203:K2204 K2216:K2219 K2228:K2229 K2234:K2236 K2238:K2240 K2243:K2247 K2249:K2250 K2607:K2612 K2616:K2618 K2622:K2624 K2627:K2629 K3577:K3589 K3591:K3602 K3605:K3623 K3625:K3626 K3629:K3661 K3665:K3673 K3695:K3697 K3717:K3719 K3748:K3761 K3763:K3774 K3776:K3785 K3787:K3813 K3816:K3897 K3905:K3915 K3925:K3951 K3956:K4013 K4016:K4023 K4025:K4028 K4032:K4034 K4036:K4056 K4058:K4066 K4068:K4084 K4086:K4097 K4100:K4181 K4183:K4184 K4187:K4196 K4198:K4200 K4203:K4205 K4209:K4223 K4227:K4234 K4236:K4240 K4242:K4250 K4252:K4261 K4263:K4266 K4274:K4299 K4302:K4305 K4308:K4309 K4312:K4314 K4316:K4317 K4319:K4320 K4773:K4778 K4870:K4880 K4892:K4896 K4900:K4902 K4907:K4930 K4932:K4947 K4951:K4979 K4990:K5009 K5019:K5022 K5032:K5033 K5035:K5049 K5058:K5065 K5084:K5092 K5103:K5112 K5123:K5133 K5180:K5181 K5183:K5223 K5231:K5232 K5281:K5283 K5285:K5288 K5290:K5294 K5318:K5321 K6100:K6106 K6111:K6112">
      <formula1>12</formula1>
    </dataValidation>
    <dataValidation type="decimal" operator="greaterThanOrEqual" allowBlank="1" showErrorMessage="1" errorTitle="Нельзя заказать меньше чем :" error="минимальное количество для заказа = 12" sqref="M11 M111 M114 M120 M122 M212 M244 M246 M446 M1284 M1286 M1290 M1292 M1294 M1328 M1897 M1906 M1928 M1940 M2018 M2028 M2056 M2094 M2112 M2139 M2141 M2199 M2206 M2214 M2221 M2223 M2232 M3693 M3704 M3709 M3711 M3921 M3953 M4269 M4272 M4786 M4868 M4898 M5051 M5237 M6108 M6130 M6142 M6149 M6157 M6194 M6212 M20:M21 M116:M117 M150:M151 M634:M636 M1867:M1869 M1871:M1880 M1890:M1892 M1934:M1938 M1942:M1946 M1950:M1953 M1955:M1974 M1976:M1992 M2002:M2003 M2005:M2013 M2030:M2034 M2042:M2047 M2050:M2051 M2053:M2054 M2060:M2063 M2065:M2068 M2070:M2072 M2076:M2079 M2081:M2084 M2086:M2092 M2096:M2097 M2099:M2100 M2103:M2109 M2114:M2115 M2117:M2125 M2152:M2154 M2159:M2163 M2169:M2170 M2173:M2180 M2186:M2187 M2190:M2191 M2193:M2194 M2196:M2197 M2203:M2204 M2216:M2219 M2228:M2229 M2234:M2236 M2238:M2240 M2243:M2247 M2249:M2250 M2607:M2612 M2616:M2618 M2622:M2624 M2627:M2629 M3577:M3589 M3591:M3602 M3605:M3623 M3625:M3626 M3629:M3661 M3665:M3673 M3695:M3697 M3717:M3719 M3748:M3761 M3763:M3774 M3776:M3785 M3787:M3813 M3816:M3897 M3905:M3915 M3925:M3951 M3956:M4013 M4016:M4023 M4025:M4028 M4032:M4034 M4036:M4056 M4058:M4066 M4068:M4084 M4086:M4097 M4100:M4181 M4183:M4184 M4187:M4196 M4198:M4200 M4203:M4205 M4209:M4223 M4227:M4234 M4236:M4240 M4242:M4250 M4252:M4261 M4263:M4266 M4274:M4299 M4302:M4305 M4308:M4309 M4312:M4314 M4316:M4317 M4319:M4320 M4773:M4778 M4870:M4880 M4892:M4896 M4900:M4902 M4907:M4930 M4932:M4947 M4951:M4979 M4990:M5009 M5019:M5022 M5032:M5033 M5035:M5049 M5058:M5065 M5084:M5092 M5103:M5112 M5123:M5133 M5180:M5181 M5183:M5223 M5231:M5232 M5281:M5283 M5285:M5288 M5290:M5294 M5318:M5321 M6100:M6106 M6111:M6112">
      <formula1>12</formula1>
    </dataValidation>
    <dataValidation type="decimal" operator="equal" allowBlank="1" showErrorMessage="1" errorTitle="Не нужно менять минимальное количество для заказа:" error="минимальное количество для заказа = 60" sqref="K13 K501 K2215">
      <formula1>60</formula1>
    </dataValidation>
    <dataValidation type="decimal" operator="greaterThanOrEqual" allowBlank="1" showErrorMessage="1" errorTitle="Нельзя заказать меньше чем :" error="минимальное количество для заказа = 60" sqref="M13 M501 M2215">
      <formula1>60</formula1>
    </dataValidation>
    <dataValidation type="decimal" operator="equal" allowBlank="1" showErrorMessage="1" errorTitle="Не нужно менять минимальное количество для заказа:" error="минимальное количество для заказа = 20" sqref="K18 K466 K496 K524 K526 K554 K1248 K2001 K2004 K2016 K5545 K5772 K528:K532 K1994:K1995 K2019:K2022 K2101:K2102 K2446:K2466 K2468:K2472 K2474:K2479 K2484:K2485 K2487:K2488 K2490:K2492 K2651:K2658 K2660:K2669 K5538:K5542 K5727:K5728 K5730:K5731 K5849:K5864 K5939:K5960 K5963:K5978 K5980:K5992 K5994:K6009 K6011:K6022 K6024:K6044">
      <formula1>20</formula1>
    </dataValidation>
    <dataValidation type="decimal" operator="greaterThanOrEqual" allowBlank="1" showErrorMessage="1" errorTitle="Нельзя заказать меньше чем :" error="минимальное количество для заказа = 20" sqref="M18 M466 M496 M524 M526 M554 M1248 M2001 M2004 M2016 M5545 M5772 M528:M532 M1994:M1995 M2019:M2022 M2101:M2102 M2446:M2466 M2468:M2472 M2474:M2479 M2484:M2485 M2487:M2488 M2490:M2492 M2651:M2658 M2660:M2669 M5538:M5542 M5727:M5728 M5730:M5731 M5849:M5864 M5939:M5960 M5963:M5978 M5980:M5992 M5994:M6009 M6011:M6022 M6024:M6044">
      <formula1>20</formula1>
    </dataValidation>
    <dataValidation type="decimal" operator="equal" allowBlank="1" showErrorMessage="1" errorTitle="Не нужно менять минимальное количество для заказа:" error="минимальное количество для заказа = 5" sqref="K44 K47 K413 K447 K536 K676 K688 K693 K699 K756 K763 K780 K793 K810 K829 K1004 K1056 K1208 K1216 K1257 K1268 K1287 K1295 K1302 K1326 K1355 K1361 K1744 K1750 K1831 K2443 K2705 K3440 K4891 K4897 K4899 K5034 K5234 K5278 K5316 K5352 K5376 K5380 K5402 K5415 K5474 K5480 K5507 K5525 K5550 K5715 K6203 K6205 K6207 K6214 K6282 K6297 K62:K63 K258:K263 K690:K691 K701:K702 K759:K760 K805:K807 K812:K817 K819:K820 K825:K827 K1117:K1118 K1120:K1121 K1143:K1145 K1259:K1260 K1262:K1263 K1265:K1266 K1331:K1332 K1342:K1343 K1687:K1698 K1700:K1710 K1790:K1791 K1798:K1799 K1835:K1836 K1847:K1848 K1850:K1852 K2730:K2733 K3551:K3555 K4611:K4612 K4614:K4616 K4670:K4673 K4745:K4747 K4765:K4771 K4792:K4798 K5252:K5253 K5355:K5361 K5363:K5370 K5410:K5412 K5454:K5455 K5464:K5465 K5585:K5587 K5638:K5639 K5685:K5687">
      <formula1>5</formula1>
    </dataValidation>
    <dataValidation type="decimal" operator="greaterThanOrEqual" allowBlank="1" showErrorMessage="1" errorTitle="Нельзя заказать меньше чем :" error="минимальное количество для заказа = 5" sqref="M44 M47 M413 M447 M536 M676 M688 M693 M699 M756 M763 M780 M793 M810 M829 M1004 M1056 M1208 M1216 M1257 M1268 M1287 M1295 M1302 M1326 M1355 M1361 M1744 M1750 M1831 M2443 M2705 M3440 M4891 M4897 M4899 M5034 M5234 M5278 M5316 M5352 M5376 M5380 M5402 M5415 M5474 M5480 M5507 M5525 M5550 M5715 M6203 M6205 M6207 M6214 M6282 M6297 M62:M63 M258:M263 M690:M691 M701:M702 M759:M760 M805:M807 M812:M817 M819:M820 M825:M827 M1117:M1118 M1120:M1121 M1143:M1145 M1259:M1260 M1262:M1263 M1265:M1266 M1331:M1332 M1342:M1343 M1687:M1698 M1700:M1710 M1790:M1791 M1798:M1799 M1835:M1836 M1847:M1848 M1850:M1852 M2730:M2733 M3551:M3555 M4611:M4612 M4614:M4616 M4670:M4673 M4745:M4747 M4765:M4771 M4792:M4798 M5252:M5253 M5355:M5361 M5363:M5370 M5410:M5412 M5454:M5455 M5464:M5465 M5585:M5587 M5638:M5639 M5685:M5687">
      <formula1>5</formula1>
    </dataValidation>
    <dataValidation type="decimal" operator="equal" allowBlank="1" showErrorMessage="1" errorTitle="Не нужно менять минимальное количество для заказа:" error="минимальное количество для заказа = 4" sqref="K48 K137 K148 K161 K169 K400 K408 K643 K689 K696 K725 K776 K818 K993 K1034 K1039 K1237 K1241 K1244 K1246 K1273 K1307 K1312 K1317 K1793 K1808 K1812 K1816 K1833 K1861 K3038 K3389 K3470 K3488 K3558 K4607 K4609 K4758 K5324 K5417 K5425 K5449 K5462 K5548 K5689 K6086 K209:K210 K240:K243 K333:K335 K534:K535 K539:K546 K771:K773 K789:K791 K1043:K1044 K1196:K1198 K1206:K1207 K1275:K1276 K1333:K1334 K1712:K1722 K1724:K1741 K1746:K1747 K1837:K1838 K1854:K1859 K2671:K2672 K2735:K2738 K2805:K2808 K2818:K2819 K3027:K3035 K4618:K4619 K4675:K4676 K4760:K4763 K4812:K4820 K5010:K5018 K5135:K5144 K5296:K5297 K5373:K5374 K5477:K5479 K5497:K5498 K5579:K5583 K5596:K5599 K5607:K5609 K5614:K5619 K5648:K5649 K5665:K5670 K5717:K5719 K6218:K6219">
      <formula1>4</formula1>
    </dataValidation>
    <dataValidation type="decimal" operator="greaterThanOrEqual" allowBlank="1" showErrorMessage="1" errorTitle="Нельзя заказать меньше чем :" error="минимальное количество для заказа = 4" sqref="M48 M137 M148 M161 M169 M400 M408 M643 M689 M696 M725 M776 M818 M993 M1034 M1039 M1237 M1241 M1244 M1246 M1273 M1307 M1312 M1317 M1793 M1808 M1812 M1816 M1833 M1861 M3038 M3389 M3470 M3488 M3558 M4607 M4609 M4758 M5324 M5417 M5425 M5449 M5462 M5548 M5689 M6086 M209:M210 M240:M243 M333:M335 M534:M535 M539:M546 M771:M773 M789:M791 M1043:M1044 M1196:M1198 M1206:M1207 M1275:M1276 M1333:M1334 M1712:M1722 M1724:M1741 M1746:M1747 M1837:M1838 M1854:M1859 M2671:M2672 M2735:M2738 M2805:M2808 M2818:M2819 M3027:M3035 M4618:M4619 M4675:M4676 M4760:M4763 M4812:M4820 M5010:M5018 M5135:M5144 M5296:M5297 M5373:M5374 M5477:M5479 M5497:M5498 M5579:M5583 M5596:M5599 M5607:M5609 M5614:M5619 M5648:M5649 M5665:M5670 M5717:M5719 M6218:M6219">
      <formula1>4</formula1>
    </dataValidation>
    <dataValidation type="decimal" operator="equal" allowBlank="1" showErrorMessage="1" errorTitle="Не нужно менять минимальное количество для заказа:" error="минимальное количество для заказа = 1" sqref="K60 K88 K96 K159 K164 K166 K179 K181 K184 K186 K190 K193 K197 K202 K206 K225 K234 K257 K277 K283 K320 K481 K631 K684 K686 K706 K720 K724 K742 K781 K822 K839 K855 K866 K872 K883 K898 K909 K920 K926 K937 K943 K960 K962 K973 K980 K983 K1012 K1026 K1083 K1115 K1205 K1300 K1306 K1310 K1316 K1360 K1373 K1376 K1401 K1446 K1448 K1450 K1493 K1495 K1497 K1537 K1539 K1571 K1594 K1599 K1601 K1639 K1665 K1683 K1752 K1827 K2394 K2507 K2519 K2528 K2535 K2537 K2539 K2585 K2589 K2631 K2647 K2774 K2781 K2783 K2856 K2860 K2862 K2884 K2892 K2894 K3010 K3012 K3015 K3046 K3119 K3249 K3256 K3258 K3260 K3278 K3282 K3381 K3387 K3401 K3415 K3486 K3493 K3497 K3535 K3557 K3560 K5329 K5395 K5397 K5441 K5443 K5461 K5487 K6097 K6171 K6220 K6262 K6272 K6284 K6296 K6300 K6348 K25:K30 K56:K57 K129:K130 K140:K142 K144:K145 K175:K176 K216:K217 K227:K228 K251:K253 K265:K270 K288:K292 K294:K301 K308:K309 K315:K318 K324:K332 K336:K337 K339:K344 K346:K351 K354:K362 K364:K374 K379:K383 K386:K387 K389:K390 K392:K395 K397:K398 K409:K412 K415:K416 K419:K439 K441:K443 K455:K456 K483:K490 K493:K494 K579:K583 K586:K588 K615:K618 K620:K623 K625:K627 K662:K666 K714:K715 K735:K736 K749:K750 K802:K804 K885:K887 K889:K892 K900:K903 K990:K992 K1014:K1016 K1019:K1024 K1050:K1051 K1058:K1067 K1069:K1071 K1073:K1076 K1078:K1081 K1085:K1088 K1096:K1098 K1109:K1113 K1134:K1141 K1146:K1155 K1158:K1160 K1174:K1186 K1188:K1194 K1201:K1203 K1212:K1214 K1220:K1221 K1223:K1227 K1230:K1233 K1235:K1236 K1335:K1337 K1362:K1367 K1378:K1380 K1386:K1393 K1395:K1396 K1398:K1399 K1406:K1414 K1416:K1424 K1427:K1434 K1436:K1444 K1454:K1456 K1458:K1460 K1462:K1463 K1465:K1466 K1469:K1473 K1475:K1479 K1481:K1484 K1486:K1488 K1490:K1491 K1500:K1505 K1507:K1508 K1510:K1513 K1515:K1517 K1520:K1523 K1525:K1528 K1530:K1531 K1533:K1534 K1541:K1544 K1546:K1549 K1551:K1565 K1567:K1569 K1573:K1576 K1578:K1588 K1596:K1597 K1603:K1610 K1614:K1624 K1629:K1631 K1634:K1637 K1641:K1645 K1647:K1648 K1651:K1663 K1667:K1668 K1673:K1674 K1676:K1680 K1778:K1779 K1781:K1785 K2358:K2370 K2385:K2392 K2397:K2402 K2404:K2407 K2409:K2421 K2423:K2430 K2435:K2437 K2439:K2440 K2497:K2498 K2501:K2502 K2504:K2505 K2509:K2510 K2513:K2514 K2516:K2517 K2521:K2522 K2525:K2526 K2530:K2532 K2541:K2544 K2547:K2548 K2550:K2557 K2575:K2576 K2582:K2583 K2716:K2726 K2741:K2745 K2749:K2758 K2766:K2768 K2771:K2772 K2777:K2779 K2800:K2802 K2822:K2830 K2833:K2838 K2877:K2882 K2886:K2888 K2896:K2898 K2900:K2901 K2903:K2905 K2907:K2908 K2910:K2915 K2918:K2920 K2922:K2929 K2931:K2946 K2948:K2956 K2958:K2961 K2965:K2967 K2969:K2970 K2972:K2974 K2976:K2978 K2980:K2985 K2987:K2994 K2996:K2999 K3002:K3005 K3007:K3008 K3018:K3023 K3049:K3050 K3053:K3054 K3056:K3060 K3062:K3090 K3092:K3099 K3101:K3102 K3105:K3113 K3121:K3139 K3141:K3142 K3145:K3156 K3160:K3168 K3192:K3196 K3207:K3208 K3210:K3220 K3222:K3224 K3226:K3229 K3231:K3247 K3251:K3253 K3267:K3276 K3284:K3286 K3288:K3289 K3291:K3300 K3303:K3313 K3315:K3352 K3355:K3358 K3363:K3373 K3377:K3378 K3383:K3384 K3393:K3396 K3398:K3399 K3404:K3407 K3418:K3419 K3421:K3425 K3428:K3429 K3431:K3438 K3443:K3458 K3460:K3461 K3463:K3467 K3472:K3477 K3490:K3491 K3499:K3500 K3505:K3510 K3513:K3514 K3517:K3526 K3531:K3533 K3538:K3539 K4472:K4473 K4499:K4509 K4528:K4544 K4546:K4557 K4560:K4578 K4580:K4600 K4624:K4642 K4645:K4664 K4688:K4689 K4691:K4697 K4699:K4701 K4703:K4713 K4715:K4716 K5381:K5387 K5389:K5392 K5399:K5400 K5428:K5430 K5437:K5439 K5447:K5448 K5452:K5453 K5456:K5457 K5493:K5494 K5552:K5554 K6227:K6228 K6230:K6233 K6236:K6241 K6243:K6244 K6246:K6247 K6249:K6257 K6259:K6260 K6269:K6270 K6276:K6277 K6286:K6290 K6293:K6294 K6303:K6304 K6306:K6307 K6311:K6332 K6334:K6338 K6340:K6341 K6343:K6346">
      <formula1>1</formula1>
    </dataValidation>
    <dataValidation type="decimal" operator="greaterThanOrEqual" allowBlank="1" showErrorMessage="1" errorTitle="Нельзя заказать меньше чем :" error="минимальное количество для заказа = 1" sqref="M60 M88 M96 M159 M164 M166 M179 M181 M184 M186 M190 M193 M197 M202 M206 M225 M234 M257 M277 M283 M320 M481 M631 M684 M686 M706 M720 M724 M742 M781 M822 M839 M855 M866 M872 M883 M898 M909 M920 M926 M937 M943 M960 M962 M973 M980 M983 M1012 M1026 M1083 M1115 M1205 M1300 M1306 M1310 M1316 M1360 M1373 M1376 M1401 M1446 M1448 M1450 M1493 M1495 M1497 M1537 M1539 M1571 M1594 M1599 M1601 M1639 M1665 M1683 M1752 M1827 M2394 M2507 M2519 M2528 M2535 M2537 M2539 M2585 M2589 M2631 M2647 M2774 M2781 M2783 M2856 M2860 M2862 M2884 M2892 M2894 M3010 M3012 M3015 M3046 M3119 M3249 M3256 M3258 M3260 M3278 M3282 M3381 M3387 M3401 M3415 M3486 M3493 M3497 M3535 M3557 M3560 M5329 M5395 M5397 M5441 M5443 M5461 M5487 M6097 M6171 M6220 M6262 M6272 M6284 M6296 M6300 M6348 M25:M30 M56:M57 M129:M130 M140:M142 M144:M145 M175:M176 M216:M217 M227:M228 M251:M253 M265:M270 M288:M292 M294:M301 M308:M309 M315:M318 M324:M332 M336:M337 M339:M344 M346:M351 M354:M362 M364:M374 M379:M383 M386:M387 M389:M390 M392:M395 M397:M398 M409:M412 M415:M416 M419:M439 M441:M443 M455:M456 M483:M490 M493:M494 M579:M583 M586:M588 M615:M618 M620:M623 M625:M627 M662:M666 M714:M715 M735:M736 M749:M750 M802:M804 M885:M887 M889:M892 M900:M903 M990:M992 M1014:M1016 M1019:M1024 M1050:M1051 M1058:M1067 M1069:M1071 M1073:M1076 M1078:M1081 M1085:M1088 M1096:M1098 M1109:M1113 M1134:M1141 M1146:M1155 M1158:M1160 M1174:M1186 M1188:M1194 M1201:M1203 M1212:M1214 M1220:M1221 M1223:M1227 M1230:M1233 M1235:M1236 M1335:M1337 M1362:M1367 M1378:M1380 M1386:M1393 M1395:M1396 M1398:M1399 M1406:M1414 M1416:M1424 M1427:M1434 M1436:M1444 M1454:M1456 M1458:M1460 M1462:M1463 M1465:M1466 M1469:M1473 M1475:M1479 M1481:M1484 M1486:M1488 M1490:M1491 M1500:M1505 M1507:M1508 M1510:M1513 M1515:M1517 M1520:M1523 M1525:M1528 M1530:M1531 M1533:M1534 M1541:M1544 M1546:M1549 M1551:M1565 M1567:M1569 M1573:M1576 M1578:M1588 M1596:M1597 M1603:M1610 M1614:M1624 M1629:M1631 M1634:M1637 M1641:M1645 M1647:M1648 M1651:M1663 M1667:M1668 M1673:M1674 M1676:M1680 M1778:M1779 M1781:M1785 M2358:M2370 M2385:M2392 M2397:M2402 M2404:M2407 M2409:M2421 M2423:M2430 M2435:M2437 M2439:M2440 M2497:M2498 M2501:M2502 M2504:M2505 M2509:M2510 M2513:M2514 M2516:M2517 M2521:M2522 M2525:M2526 M2530:M2532 M2541:M2544 M2547:M2548 M2550:M2557 M2575:M2576 M2582:M2583 M2716:M2726 M2741:M2745 M2749:M2758 M2766:M2768 M2771:M2772 M2777:M2779 M2800:M2802 M2822:M2830 M2833:M2838 M2877:M2882 M2886:M2888 M2896:M2898 M2900:M2901 M2903:M2905 M2907:M2908 M2910:M2915 M2918:M2920 M2922:M2929 M2931:M2946 M2948:M2956 M2958:M2961 M2965:M2967 M2969:M2970 M2972:M2974 M2976:M2978 M2980:M2985 M2987:M2994 M2996:M2999 M3002:M3005 M3007:M3008 M3018:M3023 M3049:M3050 M3053:M3054 M3056:M3060 M3062:M3090 M3092:M3099 M3101:M3102 M3105:M3113 M3121:M3139 M3141:M3142 M3145:M3156 M3160:M3168 M3192:M3196 M3207:M3208 M3210:M3220 M3222:M3224 M3226:M3229 M3231:M3247 M3251:M3253 M3267:M3276 M3284:M3286 M3288:M3289 M3291:M3300 M3303:M3313 M3315:M3352 M3355:M3358 M3363:M3373 M3377:M3378 M3383:M3384 M3393:M3396 M3398:M3399 M3404:M3407 M3418:M3419 M3421:M3425 M3428:M3429 M3431:M3438 M3443:M3458 M3460:M3461 M3463:M3467 M3472:M3477 M3490:M3491 M3499:M3500 M3505:M3510 M3513:M3514 M3517:M3526 M3531:M3533 M3538:M3539 M4472:M4473 M4499:M4509 M4528:M4544 M4546:M4557 M4560:M4578 M4580:M4600 M4624:M4642 M4645:M4664 M4688:M4689 M4691:M4697 M4699:M4701 M4703:M4713 M4715:M4716 M5381:M5387 M5389:M5392 M5399:M5400 M5428:M5430 M5437:M5439 M5447:M5448 M5452:M5453 M5456:M5457 M5493:M5494 M5552:M5554 M6227:M6228 M6230:M6233 M6236:M6241 M6243:M6244 M6246:M6247 M6249:M6257 M6259:M6260 M6269:M6270 M6276:M6277 M6286:M6290 M6293:M6294 M6303:M6304 M6306:M6307 M6311:M6332 M6334:M6338 M6340:M6341 M6343:M6346">
      <formula1>1</formula1>
    </dataValidation>
    <dataValidation type="decimal" operator="equal" allowBlank="1" showErrorMessage="1" errorTitle="Не нужно менять минимальное количество для заказа:" error="минимальное количество для заказа = 18" sqref="K65 K463:K464">
      <formula1>18</formula1>
    </dataValidation>
    <dataValidation type="decimal" operator="greaterThanOrEqual" allowBlank="1" showErrorMessage="1" errorTitle="Нельзя заказать меньше чем :" error="минимальное количество для заказа = 18" sqref="M65 M463:M464">
      <formula1>18</formula1>
    </dataValidation>
    <dataValidation type="decimal" operator="equal" allowBlank="1" showErrorMessage="1" errorTitle="Не нужно менять минимальное количество для заказа:" error="минимальное количество для заказа = 50" sqref="K125 K127 K132 K2287 K4363 K4367 K4398 K4400 K4403 K4405 K2272:K2276 K2278:K2279 K2281:K2284 K2289:K2290 K2300:K2308 K2311:K2312 K2314:K2315 K2317:K2318 K2373:K2375 K2377:K2378 K2614:K2615 K2625:K2626 K4372:K4379 K4381:K4382 K4385:K4386 K4389:K4392 K4394:K4395 K4512:K4515 K4519:K4523 K4721:K4728 K4731:K4732 K5734:K5739 K5742:K5754">
      <formula1>50</formula1>
    </dataValidation>
    <dataValidation type="decimal" operator="greaterThanOrEqual" allowBlank="1" showErrorMessage="1" errorTitle="Нельзя заказать меньше чем :" error="минимальное количество для заказа = 50" sqref="M125 M127 M132 M2287 M4363 M4367 M4398 M4400 M4403 M4405 M2272:M2276 M2278:M2279 M2281:M2284 M2289:M2290 M2300:M2308 M2311:M2312 M2314:M2315 M2317:M2318 M2373:M2375 M2377:M2378 M2614:M2615 M2625:M2626 M4372:M4379 M4381:M4382 M4385:M4386 M4389:M4392 M4394:M4395 M4512:M4515 M4519:M4523 M4721:M4728 M4731:M4732 M5734:M5739 M5742:M5754">
      <formula1>50</formula1>
    </dataValidation>
    <dataValidation type="decimal" operator="equal" allowBlank="1" showErrorMessage="1" errorTitle="Не нужно менять минимальное количество для заказа:" error="минимальное количество для заказа = 2" sqref="K154 K172 K248 K499 K595 K629 K656 K661 K692 K697 K705 K707 K713 K717 K719 K751 K757 K782 K800 K811 K837 K858 K961 K984 K1010 K1013 K1048 K1057 K1091 K1200 K1211 K1243 K1298 K1301 K1309 K1311 K1372 K1382 K1397 K1666 K1675 K1766 K1777 K1788 K1792 K1824 K1828 K2438 K2584 K2587 K2592 K2594 K2597 K2675 K2739 K2769 K2861 K2906 K2921 K3039 K3041 K3044 K3052 K3116 K3118 K3143 K3158 K3169 K3354 K3382 K3409 K3542 K4680 K4759 K5403 K5419 K5423 K5436 K5446 K5503 K6229 K6266 K14:K15 K32:K38 K53:K55 K105:K106 K279:K282 K306:K307 K311:K314 K321:K323 K376:K378 K404:K405 K449:K450 K473:K475 K590:K593 K597:K600 K608:K609 K611:K613 K647:K650 K652:K654 K732:K733 K737:K741 K744:K746 K765:K766 K808:K809 K841:K844 K846:K849 K862:K865 K868:K871 K875:K878 K880:K882 K894:K897 K905:K908 K911:K914 K916:K919 K922:K925 K928:K931 K933:K936 K939:K942 K945:K946 K948:K951 K953:K956 K958:K959 K964:K967 K969:K972 K975:K978 K981:K982 K987:K989 K1045:K1046 K1052:K1055 K1099:K1105 K1107:K1108 K1162:K1173 K1239:K1240 K1303:K1305 K1314:K1315 K1319:K1320 K1368:K1369 K1374:K1375 K1626:K1628 K1669:K1672 K1755:K1757 K1759:K1764 K1768:K1771 K1801:K1804 K1819:K1820 K2331:K2341 K2343:K2356 K2433:K2434 K2578:K2581 K2851:K2855 K2857:K2859 K2863:K2874 K3024:K3025 K3198:K3199 K3202:K3204 K3411:K3413 K3478:K3485 K3536:K3537 K3544:K3545 K3547:K3549 K4438:K4470 K4475:K4497 K4808:K4809 K5341:K5350 K5393:K5394 K5432:K5433 K5459:K5460 K5484:K5485 K6090:K6096">
      <formula1>2</formula1>
    </dataValidation>
    <dataValidation type="decimal" operator="greaterThanOrEqual" allowBlank="1" showErrorMessage="1" errorTitle="Нельзя заказать меньше чем :" error="минимальное количество для заказа = 2" sqref="M154 M172 M248 M499 M595 M629 M656 M661 M692 M697 M705 M707 M713 M717 M719 M751 M757 M782 M800 M811 M837 M858 M961 M984 M1010 M1013 M1048 M1057 M1091 M1200 M1211 M1243 M1298 M1301 M1309 M1311 M1372 M1382 M1397 M1666 M1675 M1766 M1777 M1788 M1792 M1824 M1828 M2438 M2584 M2587 M2592 M2594 M2597 M2675 M2739 M2769 M2861 M2906 M2921 M3039 M3041 M3044 M3052 M3116 M3118 M3143 M3158 M3169 M3354 M3382 M3409 M3542 M4680 M4759 M5403 M5419 M5423 M5436 M5446 M5503 M6229 M6266 M14:M15 M32:M38 M53:M55 M105:M106 M279:M282 M306:M307 M311:M314 M321:M323 M376:M378 M404:M405 M449:M450 M473:M475 M590:M593 M597:M600 M608:M609 M611:M613 M647:M650 M652:M654 M732:M733 M737:M741 M744:M746 M765:M766 M808:M809 M841:M844 M846:M849 M862:M865 M868:M871 M875:M878 M880:M882 M894:M897 M905:M908 M911:M914 M916:M919 M922:M925 M928:M931 M933:M936 M939:M942 M945:M946 M948:M951 M953:M956 M958:M959 M964:M967 M969:M972 M975:M978 M981:M982 M987:M989 M1045:M1046 M1052:M1055 M1099:M1105 M1107:M1108 M1162:M1173 M1239:M1240 M1303:M1305 M1314:M1315 M1319:M1320 M1368:M1369 M1374:M1375 M1626:M1628 M1669:M1672 M1755:M1757 M1759:M1764 M1768:M1771 M1801:M1804 M1819:M1820 M2331:M2341 M2343:M2356 M2433:M2434 M2578:M2581 M2851:M2855 M2857:M2859 M2863:M2874 M3024:M3025 M3198:M3199 M3202:M3204 M3411:M3413 M3478:M3485 M3536:M3537 M3544:M3545 M3547:M3549 M4438:M4470 M4475:M4497 M4808:M4809 M5341:M5350 M5393:M5394 M5432:M5433 M5459:M5460 M5484:M5485 M6090:M6096">
      <formula1>2</formula1>
    </dataValidation>
    <dataValidation type="decimal" operator="equal" allowBlank="1" showErrorMessage="1" errorTitle="Не нужно менять минимальное количество для заказа:" error="минимальное количество для заказа = 3" sqref="K156 K215 K407 K471 K498 K538 K695 K698 K700 K709 K723 K730 K743 K748 K764 K777 K838 K857 K1028 K1047 K1106 K1122 K1204 K1238 K1242 K1274 K1277 K1299 K1308 K1313 K1318 K1325 K1327 K1370 K1765 K1795 K1815 K1823 K1825 K1830 K1832 K2593 K2613 K2637 K2641 K2645 K2763 K2909 K3001 K3040 K3055 K3174 K3380 K3390 K3410 K3414 K3543 K4620 K4678 K4683 K4810 K5414 K5424 K5442 K5491 K5496 K5524 K5526 K5535 K5537 K5565 K5567 K5634 K5636 K6109 K6136 K6165 K6183 K6265 K6298 K6350 K40:K42 K50:K51 K273:K276 K401:K402 K478:K479 K548:K549 K602:K606 K638:K641 K726:K727 K768:K770 K774:K775 K835:K836 K851:K854 K859:K860 K994:K995 K998:K1003 K1005:K1008 K1031:K1033 K1035:K1038 K1040:K1042 K1093:K1094 K1125:K1132 K1383:K1384 K2254:K2255 K2559:K2571 K2590:K2591 K2595:K2596 K2599:K2602 K2787:K2792 K2794:K2798 K2810:K2815 K2840:K2849 K3036:K3037 K3042:K3043 K3186:K3189 K3262:K3263 K3280:K3281 K3359:K3361 K3385:K3386 K3515:K3516 K3528:K3529 K4416:K4434 K4749:K4757 K4830:K4831 K4848:K4855 K5408:K5409 K5421:K5422 K5434:K5435 K5450:K5451 K5505:K5506 K5560:K5563 K5570:K5577 K5589:K5593 K5601:K5604 K5611:K5612 K5641:K5646 K5651:K5654 K5672:K5682 K5697:K5702 K5704:K5712 K6167:K6169 K6216:K6217 K6222:K6225 K6280:K6281">
      <formula1>3</formula1>
    </dataValidation>
    <dataValidation type="decimal" operator="greaterThanOrEqual" allowBlank="1" showErrorMessage="1" errorTitle="Нельзя заказать меньше чем :" error="минимальное количество для заказа = 3" sqref="M156 M215 M407 M471 M498 M538 M695 M698 M700 M709 M723 M730 M743 M748 M764 M777 M838 M857 M1028 M1047 M1106 M1122 M1204 M1238 M1242 M1274 M1277 M1299 M1308 M1313 M1318 M1325 M1327 M1370 M1765 M1795 M1815 M1823 M1825 M1830 M1832 M2593 M2613 M2637 M2641 M2645 M2763 M2909 M3001 M3040 M3055 M3174 M3380 M3390 M3410 M3414 M3543 M4620 M4678 M4683 M4810 M5414 M5424 M5442 M5491 M5496 M5524 M5526 M5535 M5537 M5565 M5567 M5634 M5636 M6109 M6136 M6165 M6183 M6265 M6298 M6350 M40:M42 M50:M51 M273:M276 M401:M402 M478:M479 M548:M549 M602:M606 M638:M641 M726:M727 M768:M770 M774:M775 M835:M836 M851:M854 M859:M860 M994:M995 M998:M1003 M1005:M1008 M1031:M1033 M1035:M1038 M1040:M1042 M1093:M1094 M1125:M1132 M1383:M1384 M2254:M2255 M2559:M2571 M2590:M2591 M2595:M2596 M2599:M2602 M2787:M2792 M2794:M2798 M2810:M2815 M2840:M2849 M3036:M3037 M3042:M3043 M3186:M3189 M3262:M3263 M3280:M3281 M3359:M3361 M3385:M3386 M3515:M3516 M3528:M3529 M4416:M4434 M4749:M4757 M4830:M4831 M4848:M4855 M5408:M5409 M5421:M5422 M5434:M5435 M5450:M5451 M5505:M5506 M5560:M5563 M5570:M5577 M5589:M5593 M5601:M5604 M5611:M5612 M5641:M5646 M5651:M5654 M5672:M5682 M5697:M5702 M5704:M5712 M6167:M6169 M6216:M6217 M6222:M6225 M6280:M6281">
      <formula1>3</formula1>
    </dataValidation>
    <dataValidation type="decimal" operator="equal" allowBlank="1" showErrorMessage="1" errorTitle="Не нужно менять минимальное количество для заказа:" error="минимальное количество для заказа = 7" sqref="K160 K162 K177 K451 K553 K704 K1261 K2683 K2685 K2687 K2695 K2698 K4791 K4869 K4931 K5053 K5404 K5658 K45:K46 K218:K223 K4805:K4806 K4980:K4989 K5023:K5031 K5113:K5122 K5153:K5162 K5298:K5300 K5302:K5303 K5305:K5306 K6116:K6127 K6174:K6177">
      <formula1>7</formula1>
    </dataValidation>
    <dataValidation type="decimal" operator="greaterThanOrEqual" allowBlank="1" showErrorMessage="1" errorTitle="Нельзя заказать меньше чем :" error="минимальное количество для заказа = 7" sqref="M160 M162 M177 M451 M553 M704 M1261 M2683 M2685 M2687 M2695 M2698 M4791 M4869 M4931 M5053 M5404 M5658 M45:M46 M218:M223 M4805:M4806 M4980:M4989 M5023:M5031 M5113:M5122 M5153:M5162 M5298:M5300 M5302:M5303 M5305:M5306 M6116:M6127 M6174:M6177">
      <formula1>7</formula1>
    </dataValidation>
    <dataValidation type="decimal" operator="equal" allowBlank="1" showErrorMessage="1" errorTitle="Не нужно менять минимальное количество для заказа:" error="минимальное количество для заказа = 24" sqref="K238 K1845 K1917 K1999 K2029 K2057 K2113 K2233 K3664 K3710 K4325 K1883:K1888 K1893:K1894 K1898:K1901 K1920:K1922 K1925:K1927 K1929:K1931 K2024:K2027 K2035:K2040 K2110:K2111 K2142:K2151 K2155:K2158 K2165:K2168 K2171:K2172 K2181:K2184 K2712:K2714 K3674:K3692 K3700:K3701 K3706:K3708 K3712:K3713 K3721:K3740 K3743:K3744 K3899:K3902 K3917:K3918 K4779:K4785 K4787:K4788 K4903:K4905 K5066:K5083 K5093:K5102">
      <formula1>24</formula1>
    </dataValidation>
    <dataValidation type="decimal" operator="greaterThanOrEqual" allowBlank="1" showErrorMessage="1" errorTitle="Нельзя заказать меньше чем :" error="минимальное количество для заказа = 24" sqref="M238 M1845 M1917 M1999 M2029 M2057 M2113 M2233 M3664 M3710 M4325 M1883:M1888 M1893:M1894 M1898:M1901 M1920:M1922 M1925:M1927 M1929:M1931 M2024:M2027 M2035:M2040 M2110:M2111 M2142:M2151 M2155:M2158 M2165:M2168 M2171:M2172 M2181:M2184 M2712:M2714 M3674:M3692 M3700:M3701 M3706:M3708 M3712:M3713 M3721:M3740 M3743:M3744 M3899:M3902 M3917:M3918 M4779:M4785 M4787:M4788 M4903:M4905 M5066:M5083 M5093:M5102">
      <formula1>24</formula1>
    </dataValidation>
    <dataValidation type="decimal" operator="equal" allowBlank="1" showErrorMessage="1" errorTitle="Не нужно менять минимальное количество для заказа:" error="минимальное количество для заказа = 8" sqref="K245 K2710 K5406">
      <formula1>8</formula1>
    </dataValidation>
    <dataValidation type="decimal" operator="greaterThanOrEqual" allowBlank="1" showErrorMessage="1" errorTitle="Нельзя заказать меньше чем :" error="минимальное количество для заказа = 8" sqref="M245 M2710 M5406">
      <formula1>8</formula1>
    </dataValidation>
    <dataValidation type="decimal" operator="equal" allowBlank="1" showErrorMessage="1" errorTitle="Не нужно менять минимальное количество для заказа:" error="минимальное количество для заказа = 10" sqref="K249 K469 K556 K633 K708 K755 K758 K792 K799 K1119 K1258 K1267 K1322 K1338 K1340 K1789 K1817 K2325 K2327 K2482 K2598 K2659 K4606 K4608 K4881 K4906 K5230 K5284 K5301 K5304 K5375 K5377 K5379 K5470 K5504 K5547 K5549 K5740 K5757 K5908 K6010 K6062 K6085 K6087 K66:K83 K97:K103 K669:K674 K677:K682 K784:K785 K787:K788 K794:K797 K1249:K1253 K1255:K1256 K1269:K1270 K1344:K1347 K1351:K1353 K1773:K1774 K1813:K1814 K2605:K2606 K2620:K2621 K2677:K2680 K2703:K2704 K2706:K2709 K4667:K4668 K4739:K4744 K4834:K4837 K4948:K4950 K5145:K5152 K5163:K5178 K5224:K5228 K5235:K5236 K5238:K5241 K5243:K5251 K5255:K5277 K5279:K5280 K5307:K5309 K5325:K5328 K5466:K5468 K5472:K5473 K5481:K5482 K5500:K5502 K5527:K5530 K5532:K5533 K5543:K5544 K5630:K5631 K5659:K5661 K6047:K6060 K6064:K6078">
      <formula1>10</formula1>
    </dataValidation>
    <dataValidation type="decimal" operator="greaterThanOrEqual" allowBlank="1" showErrorMessage="1" errorTitle="Нельзя заказать меньше чем :" error="минимальное количество для заказа = 10" sqref="M249 M469 M556 M633 M708 M755 M758 M792 M799 M1119 M1258 M1267 M1322 M1338 M1340 M1789 M1817 M2325 M2327 M2482 M2598 M2659 M4606 M4608 M4881 M4906 M5230 M5284 M5301 M5304 M5375 M5377 M5379 M5470 M5504 M5547 M5549 M5740 M5757 M5908 M6010 M6062 M6085 M6087 M66:M83 M97:M103 M669:M674 M677:M682 M784:M785 M787:M788 M794:M797 M1249:M1253 M1255:M1256 M1269:M1270 M1344:M1347 M1351:M1353 M1773:M1774 M1813:M1814 M2605:M2606 M2620:M2621 M2677:M2680 M2703:M2704 M2706:M2709 M4667:M4668 M4739:M4744 M4834:M4837 M4948:M4950 M5145:M5152 M5163:M5178 M5224:M5228 M5235:M5236 M5238:M5241 M5243:M5251 M5255:M5277 M5279:M5280 M5307:M5309 M5325:M5328 M5466:M5468 M5472:M5473 M5481:M5482 M5500:M5502 M5527:M5530 M5532:M5533 M5543:M5544 M5630:M5631 M5659:M5661 M6047:M6060 M6064:M6078">
      <formula1>10</formula1>
    </dataValidation>
    <dataValidation type="decimal" operator="equal" allowBlank="1" showErrorMessage="1" errorTitle="Не нужно менять минимальное количество для заказа:" error="минимальное количество для заказа = 9" sqref="K448">
      <formula1>9</formula1>
    </dataValidation>
    <dataValidation type="decimal" operator="greaterThanOrEqual" allowBlank="1" showErrorMessage="1" errorTitle="Нельзя заказать меньше чем :" error="минимальное количество для заказа = 9" sqref="M448">
      <formula1>9</formula1>
    </dataValidation>
    <dataValidation type="decimal" operator="equal" allowBlank="1" showErrorMessage="1" errorTitle="Не нужно менять минимальное количество для заказа:" error="минимальное количество для заказа = 6" sqref="K452 K694 K703 K754 K761 K767 K786 K798 K824 K828 K830 K1264 K1285 K1291 K1293 K1296 K1329 K1339 K1354 K1356 K1751 K1753 K1806 K2381 K2682 K2684 K2686 K3391 K3495 K3502 K4610 K5050 K5052 K5179 K5182 K5289 K5405 K5413 K5463 K5469 K5536 K6129 K6204 K6206 K6213 K89:K94 K458:K461 K567:K575 K1278:K1283 K1288:K1289 K1348:K1350 K2688:K2694 K2696:K2697 K2699:K2701 K3176:K3183 K4603:K4604 K4799:K4804 K5310:K5315 K5332:K5339 K5444:K5445 K5621:K5623 K5625:K5627 K5691:K5694 K6131:K6135 K6137:K6141 K6143:K6148 K6150:K6156 K6158:K6163 K6179:K6182 K6184:K6193 K6195:K6202 K6208:K6211">
      <formula1>6</formula1>
    </dataValidation>
    <dataValidation type="decimal" operator="greaterThanOrEqual" allowBlank="1" showErrorMessage="1" errorTitle="Нельзя заказать меньше чем :" error="минимальное количество для заказа = 6" sqref="M452 M694 M703 M754 M761 M767 M786 M798 M824 M828 M830 M1264 M1285 M1291 M1293 M1296 M1329 M1339 M1354 M1356 M1751 M1753 M1806 M2381 M2682 M2684 M2686 M3391 M3495 M3502 M4610 M5050 M5052 M5179 M5182 M5289 M5405 M5413 M5463 M5469 M5536 M6129 M6204 M6206 M6213 M89:M94 M458:M461 M567:M575 M1278:M1283 M1288:M1289 M1348:M1350 M2688:M2694 M2696:M2697 M2699:M2701 M3176:M3183 M4603:M4604 M4799:M4804 M5310:M5315 M5332:M5339 M5444:M5445 M5621:M5623 M5625:M5627 M5691:M5694 M6131:M6135 M6137:M6141 M6143:M6148 M6150:M6156 M6158:M6163 M6179:M6182 M6184:M6193 M6195:M6202 M6208:M6211">
      <formula1>6</formula1>
    </dataValidation>
    <dataValidation type="decimal" operator="equal" allowBlank="1" showErrorMessage="1" errorTitle="Не нужно менять минимальное количество для заказа:" error="минимальное количество для заказа = 15" sqref="K465 K467">
      <formula1>15</formula1>
    </dataValidation>
    <dataValidation type="decimal" operator="greaterThanOrEqual" allowBlank="1" showErrorMessage="1" errorTitle="Нельзя заказать меньше чем :" error="минимальное количество для заказа = 15" sqref="M465 M467">
      <formula1>15</formula1>
    </dataValidation>
    <dataValidation type="decimal" operator="equal" allowBlank="1" showErrorMessage="1" errorTitle="Не нужно менять минимальное количество для заказа:" error="минимальное количество для заказа = 30" sqref="K521 K555 K2017 K2237 K2483 K5776 K5813 K5881 K5909 K551:K552 K557:K565 K1895:K1896 K2014:K2015 K2480:K2481 K5815:K5821 K5823:K5830 K5832:K5847 K5876:K5879 K5886:K5907 K5911:K5937">
      <formula1>30</formula1>
    </dataValidation>
    <dataValidation type="decimal" operator="greaterThanOrEqual" allowBlank="1" showErrorMessage="1" errorTitle="Нельзя заказать меньше чем :" error="минимальное количество для заказа = 30" sqref="M521 M555 M2017 M2237 M2483 M5776 M5813 M5881 M5909 M551:M552 M557:M565 M1895:M1896 M2014:M2015 M2480:M2481 M5815:M5821 M5823:M5830 M5832:M5847 M5876:M5879 M5886:M5907 M5911:M5937">
      <formula1>30</formula1>
    </dataValidation>
    <dataValidation type="decimal" operator="equal" allowBlank="1" showErrorMessage="1" errorTitle="Не нужно менять минимальное количество для заказа:" error="минимальное количество для заказа = 17" sqref="K1841">
      <formula1>17</formula1>
    </dataValidation>
    <dataValidation type="decimal" operator="greaterThanOrEqual" allowBlank="1" showErrorMessage="1" errorTitle="Нельзя заказать меньше чем :" error="минимальное количество для заказа = 17" sqref="M1841">
      <formula1>17</formula1>
    </dataValidation>
    <dataValidation type="decimal" operator="equal" allowBlank="1" showErrorMessage="1" errorTitle="Не нужно менять минимальное количество для заказа:" error="минимальное количество для заказа = 23" sqref="K1843">
      <formula1>23</formula1>
    </dataValidation>
    <dataValidation type="decimal" operator="greaterThanOrEqual" allowBlank="1" showErrorMessage="1" errorTitle="Нельзя заказать меньше чем :" error="минимальное количество для заказа = 23" sqref="M1843">
      <formula1>23</formula1>
    </dataValidation>
    <dataValidation type="decimal" operator="equal" allowBlank="1" showErrorMessage="1" errorTitle="Не нужно менять минимальное количество для заказа:" error="минимальное количество для заказа = 36" sqref="K2000 K2126 K2128 K2133 K2135 K2138 K2205 K2211 K2213 K2222 K2231 K1902:K1905 K1907:K1915 K1996:K1998 K2130:K2131 K2207:K2209 K2224:K2226">
      <formula1>36</formula1>
    </dataValidation>
    <dataValidation type="decimal" operator="greaterThanOrEqual" allowBlank="1" showErrorMessage="1" errorTitle="Нельзя заказать меньше чем :" error="минимальное количество для заказа = 36" sqref="M2000 M2126 M2128 M2133 M2135 M2138 M2205 M2211 M2213 M2222 M2231 M1902:M1905 M1907:M1915 M1996:M1998 M2130:M2131 M2207:M2209 M2224:M2226">
      <formula1>36</formula1>
    </dataValidation>
    <dataValidation type="decimal" operator="equal" allowBlank="1" showErrorMessage="1" errorTitle="Не нужно менять минимальное количество для заказа:" error="минимальное количество для заказа = 48" sqref="K2127 K2129 K2132 K2134 K2210 K2212 K4517 K2136:K2137">
      <formula1>48</formula1>
    </dataValidation>
    <dataValidation type="decimal" operator="greaterThanOrEqual" allowBlank="1" showErrorMessage="1" errorTitle="Нельзя заказать меньше чем :" error="минимальное количество для заказа = 48" sqref="M2127 M2129 M2132 M2134 M2210 M2212 M4517 M2136:M2137">
      <formula1>48</formula1>
    </dataValidation>
    <dataValidation type="decimal" operator="equal" allowBlank="1" showErrorMessage="1" errorTitle="Не нужно менять минимальное количество для заказа:" error="минимальное количество для заказа = 100" sqref="K2266 K2268 K2270 K2630 K4348 K4355 K2258:K2263 K4329:K4331 K4333:K4339 K4341:K4346 K4350:K4352 K5510:K5520">
      <formula1>100</formula1>
    </dataValidation>
    <dataValidation type="decimal" operator="greaterThanOrEqual" allowBlank="1" showErrorMessage="1" errorTitle="Нельзя заказать меньше чем :" error="минимальное количество для заказа = 100" sqref="M2266 M2268 M2270 M2630 M4348 M4355 M2258:M2263 M4329:M4331 M4333:M4339 M4341:M4346 M4350:M4352 M5510:M5520">
      <formula1>100</formula1>
    </dataValidation>
    <dataValidation type="decimal" operator="equal" allowBlank="1" showErrorMessage="1" errorTitle="Не нужно менять минимальное количество для заказа:" error="минимальное количество для заказа = 25" sqref="K2277 K2280 K2292 K4357 K4362 K4380 K4388 K4393 K4402 K6083 K2294:K2298 K2320:K2322 K3566:K3567 K3569:K3570 K3572:K3573 K4359:K4360 K4364:K4366 K4369:K4371 K4407:K4413 K4729:K4730 K4733:K4736">
      <formula1>25</formula1>
    </dataValidation>
    <dataValidation type="decimal" operator="greaterThanOrEqual" allowBlank="1" showErrorMessage="1" errorTitle="Нельзя заказать меньше чем :" error="минимальное количество для заказа = 25" sqref="M2277 M2280 M2292 M4357 M4362 M4380 M4388 M4393 M4402 M6083 M2294:M2298 M2320:M2322 M3566:M3567 M3569:M3570 M3572:M3573 M4359:M4360 M4364:M4366 M4369:M4371 M4407:M4413 M4729:M4730 M4733:M4736">
      <formula1>25</formula1>
    </dataValidation>
    <dataValidation type="decimal" operator="equal" allowBlank="1" showErrorMessage="1" errorTitle="Не нужно менять минимальное количество для заказа:" error="минимальное количество для заказа = 150" sqref="K4340 K4347 K4349">
      <formula1>150</formula1>
    </dataValidation>
    <dataValidation type="decimal" operator="greaterThanOrEqual" allowBlank="1" showErrorMessage="1" errorTitle="Нельзя заказать меньше чем :" error="минимальное количество для заказа = 150" sqref="M4340 M4347 M4349">
      <formula1>150</formula1>
    </dataValidation>
    <dataValidation type="decimal" operator="equal" allowBlank="1" showErrorMessage="1" errorTitle="Не нужно менять минимальное количество для заказа:" error="минимальное количество для заказа = 11" sqref="K5134">
      <formula1>11</formula1>
    </dataValidation>
    <dataValidation type="decimal" operator="greaterThanOrEqual" allowBlank="1" showErrorMessage="1" errorTitle="Нельзя заказать меньше чем :" error="минимальное количество для заказа = 11" sqref="M5134">
      <formula1>11</formula1>
    </dataValidation>
    <dataValidation type="decimal" operator="equal" allowBlank="1" showErrorMessage="1" errorTitle="Не нужно менять минимальное количество для заказа:" error="минимальное количество для заказа = 16" sqref="K5242 K5254 K4858:K4867 K4882:K4890 K5054:K5057">
      <formula1>16</formula1>
    </dataValidation>
    <dataValidation type="decimal" operator="greaterThanOrEqual" allowBlank="1" showErrorMessage="1" errorTitle="Нельзя заказать меньше чем :" error="минимальное количество для заказа = 16" sqref="M5242 M5254 M4858:M4867 M4882:M4890 M5054:M5057">
      <formula1>16</formula1>
    </dataValidation>
    <dataValidation type="decimal" operator="equal" allowBlank="1" showErrorMessage="1" errorTitle="Не нужно менять минимальное количество для заказа:" error="минимальное количество для заказа = 13" sqref="K5378 K5471 K5475">
      <formula1>13</formula1>
    </dataValidation>
    <dataValidation type="decimal" operator="greaterThanOrEqual" allowBlank="1" showErrorMessage="1" errorTitle="Нельзя заказать меньше чем :" error="минимальное количество для заказа = 13" sqref="M5378 M5471 M5475">
      <formula1>13</formula1>
    </dataValidation>
    <dataValidation type="decimal" operator="equal" allowBlank="1" showErrorMessage="1" errorTitle="Не нужно менять минимальное количество для заказа:" error="минимальное количество для заказа = 14" sqref="K5662 K4826:K4828 K4841:K4846">
      <formula1>14</formula1>
    </dataValidation>
    <dataValidation type="decimal" operator="greaterThanOrEqual" allowBlank="1" showErrorMessage="1" errorTitle="Нельзя заказать меньше чем :" error="минимальное количество для заказа = 14" sqref="M5662 M4826:M4828 M4841:M4846">
      <formula1>14</formula1>
    </dataValidation>
    <dataValidation type="decimal" operator="equal" allowBlank="1" showErrorMessage="1" errorTitle="Не нужно менять минимальное количество для заказа:" error="минимальное количество для заказа = 40" sqref="K5724 K5814 K5822 K5875 K5880 K504:K505 K507:K512 K514:K520 K5759:K5771 K5773:K5775 K5777:K5802 K5804:K5811 K5867:K5873 K5882:K5884">
      <formula1>40</formula1>
    </dataValidation>
    <dataValidation type="decimal" operator="greaterThanOrEqual" allowBlank="1" showErrorMessage="1" errorTitle="Нельзя заказать меньше чем :" error="минимальное количество для заказа = 40" sqref="M5724 M5814 M5822 M5875 M5880 M504:M505 M507:M512 M514:M520 M5759:M5771 M5773:M5775 M5777:M5802 M5804:M5811 M5867:M5873 M5882:M5884">
      <formula1>40</formula1>
    </dataValidation>
    <dataValidation type="decimal" operator="equal" allowBlank="1" showErrorMessage="1" errorTitle="Не нужно менять минимальное количество для заказа:" error="минимальное количество для заказа = 120" sqref="K4322:K4324 K4719:K4720">
      <formula1>120</formula1>
    </dataValidation>
    <dataValidation type="decimal" operator="greaterThanOrEqual" allowBlank="1" showErrorMessage="1" errorTitle="Нельзя заказать меньше чем :" error="минимальное количество для заказа = 120" sqref="M4322:M4324 M4719:M4720">
      <formula1>120</formula1>
    </dataValidation>
  </dataValidations>
  <pageMargins left="0.39305555555555599" right="0.39305555555555599" top="0.39305555555555599" bottom="0.39305555555555599" header="0" footer="0"/>
  <pageSetup paperSize="9" pageOrder="overThenDown"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aernandes</dc:creator>
  <cp:lastModifiedBy>Albina</cp:lastModifiedBy>
  <dcterms:created xsi:type="dcterms:W3CDTF">2026-09-21T12:37:00Z</dcterms:created>
  <dcterms:modified xsi:type="dcterms:W3CDTF">2026-09-21T14:24:33Z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1049-12.2.0.23206</vt:lpwstr>
  </property>
  <property fmtid="{D5CDD505-2E9C-101B-9397-08002B2CF9AE}" pid="3" name="ICV">
    <vt:lpwstr>D653F071AAFA45B1BDDB571B9BCB020D_13</vt:lpwstr>
  </property>
</Properties>
</file>